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mc:AlternateContent xmlns:mc="http://schemas.openxmlformats.org/markup-compatibility/2006">
    <mc:Choice Requires="x15">
      <x15ac:absPath xmlns:x15ac="http://schemas.microsoft.com/office/spreadsheetml/2010/11/ac" url="C:\Users\Standard\Desktop\Bücher\"/>
    </mc:Choice>
  </mc:AlternateContent>
  <xr:revisionPtr revIDLastSave="0" documentId="13_ncr:1_{071F4564-17AE-4B33-9D8C-076CAF040B52}" xr6:coauthVersionLast="45" xr6:coauthVersionMax="45" xr10:uidLastSave="{00000000-0000-0000-0000-000000000000}"/>
  <bookViews>
    <workbookView xWindow="28680" yWindow="-120" windowWidth="29040" windowHeight="17640" tabRatio="809" firstSheet="1" activeTab="3" xr2:uid="{00000000-000D-0000-FFFF-FFFF00000000}"/>
  </bookViews>
  <sheets>
    <sheet name="Bitte lesen_" sheetId="1" r:id="rId1"/>
    <sheet name="Tabelle4" sheetId="28" r:id="rId2"/>
    <sheet name="Verkauft gesamt" sheetId="21" r:id="rId3"/>
    <sheet name="Buecher" sheetId="12" r:id="rId4"/>
    <sheet name="booklooker_vorlage_neu" sheetId="2" r:id="rId5"/>
    <sheet name="Tabelle1" sheetId="23" r:id="rId6"/>
    <sheet name="Bücher_Sparten" sheetId="7" r:id="rId7"/>
    <sheet name="Amazon kalk" sheetId="22" r:id="rId8"/>
    <sheet name="Hoerbuecher" sheetId="3" r:id="rId9"/>
    <sheet name="Hörbücher kalk" sheetId="14" r:id="rId10"/>
    <sheet name="Filme" sheetId="4" r:id="rId11"/>
    <sheet name="Filme kalk" sheetId="16" r:id="rId12"/>
    <sheet name="Musik" sheetId="5" r:id="rId13"/>
    <sheet name="Musik kalk" sheetId="17" r:id="rId14"/>
    <sheet name="Spiele" sheetId="6" r:id="rId15"/>
    <sheet name="Spiele kalk" sheetId="18" r:id="rId16"/>
    <sheet name="Hörbücher Sparten" sheetId="8" r:id="rId17"/>
    <sheet name="Musik_Sparten" sheetId="9" r:id="rId18"/>
    <sheet name="Film_Sparten" sheetId="10" r:id="rId19"/>
    <sheet name="Tabelle2" sheetId="19" r:id="rId20"/>
    <sheet name="Spiele_Sparten" sheetId="11" r:id="rId21"/>
    <sheet name="Verkaufsgrafik" sheetId="20" r:id="rId22"/>
    <sheet name="Bücher_Sparten (2)" sheetId="25" r:id="rId23"/>
    <sheet name="Tabelle3" sheetId="27" r:id="rId24"/>
  </sheets>
  <definedNames>
    <definedName name="_xlnm._FilterDatabase" localSheetId="7" hidden="1">'Amazon kalk'!$A$4:$AP$2195</definedName>
    <definedName name="_xlnm._FilterDatabase" localSheetId="4" hidden="1">booklooker_vorlage_neu!$A$4:$AN$2086</definedName>
    <definedName name="_xlnm._FilterDatabase" localSheetId="3" hidden="1">Buecher!$A$1:$Z$1</definedName>
    <definedName name="_xlnm._FilterDatabase" localSheetId="23" hidden="1">Tabelle3!$A$2:$S$2741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060" i="2" l="1"/>
  <c r="Q3061" i="2"/>
  <c r="Q3062" i="2"/>
  <c r="Q3063" i="2"/>
  <c r="Q3064" i="2"/>
  <c r="Q3065" i="2"/>
  <c r="Q3066" i="2"/>
  <c r="Q3067" i="2"/>
  <c r="Q3068" i="2"/>
  <c r="Q3069" i="2"/>
  <c r="Q3070" i="2"/>
  <c r="Q3071" i="2"/>
  <c r="Q3072" i="2"/>
  <c r="Q3073" i="2"/>
  <c r="Q3074" i="2"/>
  <c r="Q3075" i="2"/>
  <c r="Q3076" i="2"/>
  <c r="Q3077" i="2"/>
  <c r="Q3078" i="2"/>
  <c r="Q3079" i="2"/>
  <c r="Q3080" i="2"/>
  <c r="Q3081" i="2"/>
  <c r="Q3082" i="2"/>
  <c r="Q3083" i="2"/>
  <c r="Q3084" i="2"/>
  <c r="Q3085" i="2"/>
  <c r="Q3086" i="2"/>
  <c r="Q3087" i="2"/>
  <c r="Q3088" i="2"/>
  <c r="Q3089" i="2"/>
  <c r="Q3090" i="2"/>
  <c r="Q3051" i="2"/>
  <c r="Q3052" i="2"/>
  <c r="Q3053" i="2"/>
  <c r="Q3054" i="2"/>
  <c r="Q3055" i="2"/>
  <c r="Q3056" i="2"/>
  <c r="Q3057" i="2"/>
  <c r="Q3058" i="2"/>
  <c r="Q3059" i="2"/>
  <c r="Q2917" i="2"/>
  <c r="Q2918" i="2"/>
  <c r="Q2919" i="2"/>
  <c r="Q2920" i="2"/>
  <c r="Q3043" i="2"/>
  <c r="Q3044" i="2"/>
  <c r="Q3045" i="2"/>
  <c r="Q3046" i="2"/>
  <c r="Q3047" i="2"/>
  <c r="Q3048" i="2"/>
  <c r="Q3049" i="2"/>
  <c r="Q3050" i="2"/>
  <c r="C5" i="21" l="1"/>
  <c r="D5" i="21"/>
  <c r="E5" i="21"/>
  <c r="F5" i="21"/>
  <c r="G5" i="21"/>
  <c r="B5" i="21"/>
  <c r="E2" i="28"/>
  <c r="F2" i="28"/>
  <c r="G2" i="28"/>
  <c r="H2" i="28"/>
  <c r="I2" i="28"/>
  <c r="J2" i="28"/>
  <c r="D2" i="28"/>
  <c r="Q1" i="27"/>
  <c r="S1" i="27"/>
  <c r="R1" i="27"/>
  <c r="J125" i="27" a="1"/>
  <c r="J125" i="27" s="1"/>
  <c r="J131" i="27" a="1"/>
  <c r="J131" i="27" s="1"/>
  <c r="J136" i="27" a="1"/>
  <c r="J136" i="27" s="1"/>
  <c r="J153" i="27" a="1"/>
  <c r="J153" i="27" s="1"/>
  <c r="J169" i="27" a="1"/>
  <c r="J169" i="27" s="1"/>
  <c r="J173" i="27" a="1"/>
  <c r="J173" i="27" s="1"/>
  <c r="J175" i="27" a="1"/>
  <c r="J175" i="27"/>
  <c r="J211" i="27" a="1"/>
  <c r="J211" i="27"/>
  <c r="J269" i="27" a="1"/>
  <c r="J269" i="27" s="1"/>
  <c r="J275" i="27" a="1"/>
  <c r="J275" i="27" s="1"/>
  <c r="J278" i="27" a="1"/>
  <c r="J278" i="27" s="1"/>
  <c r="J282" i="27" a="1"/>
  <c r="J282" i="27" s="1"/>
  <c r="J330" i="27" a="1"/>
  <c r="J330" i="27" s="1"/>
  <c r="J355" i="27" a="1"/>
  <c r="J355" i="27" s="1"/>
  <c r="J418" i="27" a="1"/>
  <c r="J418" i="27"/>
  <c r="J419" i="27" a="1"/>
  <c r="J419" i="27"/>
  <c r="J424" i="27" a="1"/>
  <c r="J424" i="27" s="1"/>
  <c r="J444" i="27" a="1"/>
  <c r="J444" i="27" s="1"/>
  <c r="J446" i="27" a="1"/>
  <c r="J446" i="27" s="1"/>
  <c r="J451" i="27" a="1"/>
  <c r="J451" i="27" s="1"/>
  <c r="J453" i="27" a="1"/>
  <c r="J453" i="27" s="1"/>
  <c r="J462" i="27" a="1"/>
  <c r="J462" i="27" s="1"/>
  <c r="J466" i="27" a="1"/>
  <c r="J466" i="27" s="1"/>
  <c r="J467" i="27" a="1"/>
  <c r="J467" i="27" s="1"/>
  <c r="J595" i="27" a="1"/>
  <c r="J595" i="27" s="1"/>
  <c r="J633" i="27" a="1"/>
  <c r="J633" i="27" s="1"/>
  <c r="J1525" i="27" a="1"/>
  <c r="J1525" i="27" s="1"/>
  <c r="Q3032" i="2" l="1"/>
  <c r="Q3033" i="2"/>
  <c r="Q3034" i="2"/>
  <c r="Q3035" i="2"/>
  <c r="Q3036" i="2"/>
  <c r="Q3037" i="2"/>
  <c r="Q3038" i="2"/>
  <c r="Q3039" i="2"/>
  <c r="Q3040" i="2"/>
  <c r="Q3041" i="2"/>
  <c r="Q3042" i="2"/>
  <c r="Q3031" i="2"/>
  <c r="Q2893" i="2"/>
  <c r="Q2894" i="2"/>
  <c r="Q2895" i="2"/>
  <c r="Q2896" i="2"/>
  <c r="Q2897" i="2"/>
  <c r="Q2898" i="2"/>
  <c r="Q2899" i="2"/>
  <c r="Q2900" i="2"/>
  <c r="Q2901" i="2"/>
  <c r="Q2902" i="2"/>
  <c r="Q2903" i="2"/>
  <c r="Q2904" i="2"/>
  <c r="Q2905" i="2"/>
  <c r="Q2907" i="2"/>
  <c r="Q214" i="2"/>
  <c r="Q2908" i="2"/>
  <c r="Q2909" i="2"/>
  <c r="Q2910" i="2"/>
  <c r="Q2911" i="2"/>
  <c r="Q2912" i="2"/>
  <c r="Q2913" i="2"/>
  <c r="Q2914" i="2"/>
  <c r="Q2915" i="2"/>
  <c r="Q2916" i="2"/>
  <c r="Q2892" i="2"/>
  <c r="S2906" i="2"/>
  <c r="Q2906" i="2" s="1"/>
  <c r="S3014" i="2" l="1"/>
  <c r="S2996" i="2"/>
  <c r="Q2996" i="2" s="1"/>
  <c r="Q2992" i="2"/>
  <c r="Q2993" i="2"/>
  <c r="Q2994" i="2"/>
  <c r="Q2995" i="2"/>
  <c r="Q2997" i="2"/>
  <c r="Q2998" i="2"/>
  <c r="Q2999" i="2"/>
  <c r="Q3000" i="2"/>
  <c r="Q3001" i="2"/>
  <c r="Q3002" i="2"/>
  <c r="Q3003" i="2"/>
  <c r="Q3004" i="2"/>
  <c r="Q3005" i="2"/>
  <c r="Q3006" i="2"/>
  <c r="Q3007" i="2"/>
  <c r="Q3008" i="2"/>
  <c r="Q3009" i="2"/>
  <c r="Q3010" i="2"/>
  <c r="Q3011" i="2"/>
  <c r="Q3012" i="2"/>
  <c r="Q3013" i="2"/>
  <c r="Q3014" i="2"/>
  <c r="Q3015" i="2"/>
  <c r="Q3016" i="2"/>
  <c r="Q3017" i="2"/>
  <c r="Q3018" i="2"/>
  <c r="Q3019" i="2"/>
  <c r="Q3020" i="2"/>
  <c r="Q3021" i="2"/>
  <c r="Q3022" i="2"/>
  <c r="Q3023" i="2"/>
  <c r="Q3024" i="2"/>
  <c r="Q3025" i="2"/>
  <c r="Q3026" i="2"/>
  <c r="Q3027" i="2"/>
  <c r="Q3028" i="2"/>
  <c r="Q3029" i="2"/>
  <c r="Q3030" i="2"/>
  <c r="Q2991" i="2"/>
  <c r="S2888" i="2"/>
  <c r="Q2888" i="2" s="1"/>
  <c r="S2881" i="2"/>
  <c r="Q2869" i="2"/>
  <c r="Q2870" i="2"/>
  <c r="Q2871" i="2"/>
  <c r="Q2872" i="2"/>
  <c r="Q2873" i="2"/>
  <c r="Q2874" i="2"/>
  <c r="Q2875" i="2"/>
  <c r="Q2876" i="2"/>
  <c r="Q2877" i="2"/>
  <c r="Q2878" i="2"/>
  <c r="Q2879" i="2"/>
  <c r="Q2880" i="2"/>
  <c r="Q2881" i="2"/>
  <c r="Q2882" i="2"/>
  <c r="Q2883" i="2"/>
  <c r="Q2884" i="2"/>
  <c r="Q2885" i="2"/>
  <c r="Q2886" i="2"/>
  <c r="Q2887" i="2"/>
  <c r="Q2889" i="2"/>
  <c r="Q2890" i="2"/>
  <c r="Q2891" i="2"/>
  <c r="Q2868" i="2"/>
  <c r="S2865" i="2" l="1"/>
  <c r="Q2865" i="2" s="1"/>
  <c r="S2864" i="2"/>
  <c r="Q2864" i="2" s="1"/>
  <c r="S2861" i="2"/>
  <c r="S2849" i="2"/>
  <c r="Q2849" i="2" s="1"/>
  <c r="Q2848" i="2"/>
  <c r="S2847" i="2"/>
  <c r="Q2847" i="2" s="1"/>
  <c r="S2842" i="2"/>
  <c r="Q2842" i="2" s="1"/>
  <c r="S2983" i="2"/>
  <c r="Q2983" i="2" s="1"/>
  <c r="S2980" i="2"/>
  <c r="S2978" i="2"/>
  <c r="Q2978" i="2" s="1"/>
  <c r="Q2962" i="2"/>
  <c r="Q2963" i="2"/>
  <c r="Q2964" i="2"/>
  <c r="Q2965" i="2"/>
  <c r="Q2966" i="2"/>
  <c r="Q2967" i="2"/>
  <c r="Q2968" i="2"/>
  <c r="Q2969" i="2"/>
  <c r="Q2970" i="2"/>
  <c r="Q2971" i="2"/>
  <c r="Q2972" i="2"/>
  <c r="Q2973" i="2"/>
  <c r="Q2974" i="2"/>
  <c r="Q2975" i="2"/>
  <c r="Q2976" i="2"/>
  <c r="Q2977" i="2"/>
  <c r="Q2979" i="2"/>
  <c r="Q2980" i="2"/>
  <c r="Q2981" i="2"/>
  <c r="Q2982" i="2"/>
  <c r="Q2984" i="2"/>
  <c r="Q2985" i="2"/>
  <c r="Q2986" i="2"/>
  <c r="Q2987" i="2"/>
  <c r="Q2988" i="2"/>
  <c r="Q2989" i="2"/>
  <c r="Q2990" i="2"/>
  <c r="S2802" i="2"/>
  <c r="Q2802" i="2" s="1"/>
  <c r="S2793" i="2"/>
  <c r="S2788" i="2"/>
  <c r="Q2788" i="2" s="1"/>
  <c r="S2787" i="2"/>
  <c r="Q2787" i="2" s="1"/>
  <c r="S2786" i="2"/>
  <c r="S2783" i="2"/>
  <c r="Q2783" i="2" s="1"/>
  <c r="S2781" i="2"/>
  <c r="Q2781" i="2" s="1"/>
  <c r="Q2763" i="2"/>
  <c r="Q2764" i="2"/>
  <c r="Q2765" i="2"/>
  <c r="Q2766" i="2"/>
  <c r="Q2767" i="2"/>
  <c r="Q2768" i="2"/>
  <c r="Q2769" i="2"/>
  <c r="Q2770" i="2"/>
  <c r="Q2771" i="2"/>
  <c r="Q2772" i="2"/>
  <c r="Q2773" i="2"/>
  <c r="Q2774" i="2"/>
  <c r="Q2775" i="2"/>
  <c r="Q2776" i="2"/>
  <c r="Q2777" i="2"/>
  <c r="Q2778" i="2"/>
  <c r="Q2779" i="2"/>
  <c r="Q2780" i="2"/>
  <c r="Q2782" i="2"/>
  <c r="Q2784" i="2"/>
  <c r="Q2785" i="2"/>
  <c r="Q2786" i="2"/>
  <c r="Q2789" i="2"/>
  <c r="Q2790" i="2"/>
  <c r="Q2791" i="2"/>
  <c r="Q2792" i="2"/>
  <c r="Q2793" i="2"/>
  <c r="Q2794" i="2"/>
  <c r="Q2795" i="2"/>
  <c r="Q2796" i="2"/>
  <c r="Q2797" i="2"/>
  <c r="Q2798" i="2"/>
  <c r="Q2799" i="2"/>
  <c r="Q2800" i="2"/>
  <c r="Q2801" i="2"/>
  <c r="Q2803" i="2"/>
  <c r="Q2804" i="2"/>
  <c r="Q2805" i="2"/>
  <c r="Q2806" i="2"/>
  <c r="Q2807" i="2"/>
  <c r="Q2808" i="2"/>
  <c r="Q2809" i="2"/>
  <c r="Q2810" i="2"/>
  <c r="Q2811" i="2"/>
  <c r="Q2812" i="2"/>
  <c r="Q2813" i="2"/>
  <c r="Q2814" i="2"/>
  <c r="Q2815" i="2"/>
  <c r="Q2816" i="2"/>
  <c r="Q2817" i="2"/>
  <c r="Q2818" i="2"/>
  <c r="Q2819" i="2"/>
  <c r="Q2820" i="2"/>
  <c r="Q2821" i="2"/>
  <c r="Q2822" i="2"/>
  <c r="Q2823" i="2"/>
  <c r="Q2824" i="2"/>
  <c r="Q2825" i="2"/>
  <c r="Q2826" i="2"/>
  <c r="Q2827" i="2"/>
  <c r="Q2828" i="2"/>
  <c r="Q2829" i="2"/>
  <c r="Q2830" i="2"/>
  <c r="Q2831" i="2"/>
  <c r="Q2832" i="2"/>
  <c r="Q2833" i="2"/>
  <c r="Q2834" i="2"/>
  <c r="Q2835" i="2"/>
  <c r="Q2836" i="2"/>
  <c r="Q2837" i="2"/>
  <c r="Q2838" i="2"/>
  <c r="Q2839" i="2"/>
  <c r="Q2840" i="2"/>
  <c r="Q2841" i="2"/>
  <c r="Q2843" i="2"/>
  <c r="Q2844" i="2"/>
  <c r="Q2845" i="2"/>
  <c r="Q2846" i="2"/>
  <c r="Q2850" i="2"/>
  <c r="Q2851" i="2"/>
  <c r="Q2852" i="2"/>
  <c r="Q2853" i="2"/>
  <c r="Q2854" i="2"/>
  <c r="Q2855" i="2"/>
  <c r="Q2856" i="2"/>
  <c r="Q2857" i="2"/>
  <c r="Q2858" i="2"/>
  <c r="Q2859" i="2"/>
  <c r="Q2860" i="2"/>
  <c r="Q2861" i="2"/>
  <c r="Q2862" i="2"/>
  <c r="Q2863" i="2"/>
  <c r="Q2866" i="2"/>
  <c r="Q2867" i="2"/>
  <c r="Q2921" i="2"/>
  <c r="Q2922" i="2"/>
  <c r="Q2923" i="2"/>
  <c r="Q2924" i="2"/>
  <c r="Q2925" i="2"/>
  <c r="Q2926" i="2"/>
  <c r="Q2927" i="2"/>
  <c r="Q2928" i="2"/>
  <c r="Q2929" i="2"/>
  <c r="Q2930" i="2"/>
  <c r="Q2931" i="2"/>
  <c r="Q2932" i="2"/>
  <c r="Q2933" i="2"/>
  <c r="Q2934" i="2"/>
  <c r="Q2935" i="2"/>
  <c r="Q2936" i="2"/>
  <c r="Q2937" i="2"/>
  <c r="Q2938" i="2"/>
  <c r="Q2939" i="2"/>
  <c r="Q2940" i="2"/>
  <c r="Q2941" i="2"/>
  <c r="Q2942" i="2"/>
  <c r="Q2943" i="2"/>
  <c r="Q2944" i="2"/>
  <c r="Q2945" i="2"/>
  <c r="Q2946" i="2"/>
  <c r="Q2947" i="2"/>
  <c r="Q2948" i="2"/>
  <c r="Q2949" i="2"/>
  <c r="Q2950" i="2"/>
  <c r="Q2951" i="2"/>
  <c r="Q2952" i="2"/>
  <c r="Q2953" i="2"/>
  <c r="Q2954" i="2"/>
  <c r="Q2955" i="2"/>
  <c r="Q2956" i="2"/>
  <c r="Q2957" i="2"/>
  <c r="Q2958" i="2"/>
  <c r="Q2959" i="2"/>
  <c r="Q2960" i="2"/>
  <c r="Q2961" i="2"/>
  <c r="Q2762" i="2"/>
  <c r="S2760" i="2" l="1"/>
  <c r="S2757" i="2"/>
  <c r="S2754" i="2"/>
  <c r="S2751" i="2"/>
  <c r="S2743" i="2"/>
  <c r="S2742" i="2"/>
  <c r="S2741" i="2"/>
  <c r="S2738" i="2"/>
  <c r="S2703" i="2"/>
  <c r="S2701" i="2"/>
  <c r="S2696" i="2"/>
  <c r="S2693" i="2"/>
  <c r="AC213" i="2"/>
  <c r="AC212" i="2" l="1"/>
  <c r="Q2708" i="2"/>
  <c r="Q2709" i="2"/>
  <c r="Q2710" i="2"/>
  <c r="Q2711" i="2"/>
  <c r="Q2712" i="2"/>
  <c r="Q2713" i="2"/>
  <c r="Q2714" i="2"/>
  <c r="Q2715" i="2"/>
  <c r="Q2716" i="2"/>
  <c r="Q2717" i="2"/>
  <c r="Q2718" i="2"/>
  <c r="Q2719" i="2"/>
  <c r="Q2720" i="2"/>
  <c r="Q2721" i="2"/>
  <c r="Q2722" i="2"/>
  <c r="Q2723" i="2"/>
  <c r="Q2724" i="2"/>
  <c r="Q2725" i="2"/>
  <c r="Q2726" i="2"/>
  <c r="Q2727" i="2"/>
  <c r="Q2728" i="2"/>
  <c r="Q2729" i="2"/>
  <c r="Q2730" i="2"/>
  <c r="Q2731" i="2"/>
  <c r="Q2732" i="2"/>
  <c r="Q2733" i="2"/>
  <c r="Q2734" i="2"/>
  <c r="Q2735" i="2"/>
  <c r="Q2736" i="2"/>
  <c r="Q2737" i="2"/>
  <c r="Q2738" i="2"/>
  <c r="Q2739" i="2"/>
  <c r="Q2740" i="2"/>
  <c r="Q2741" i="2"/>
  <c r="Q2742" i="2"/>
  <c r="Q2743" i="2"/>
  <c r="Q2744" i="2"/>
  <c r="Q2745" i="2"/>
  <c r="Q2746" i="2"/>
  <c r="Q2747" i="2"/>
  <c r="Q2748" i="2"/>
  <c r="Q2749" i="2"/>
  <c r="Q2750" i="2"/>
  <c r="Q2751" i="2"/>
  <c r="Q2752" i="2"/>
  <c r="Q2753" i="2"/>
  <c r="Q2754" i="2"/>
  <c r="Q2755" i="2"/>
  <c r="Q2756" i="2"/>
  <c r="Q2757" i="2"/>
  <c r="Q2758" i="2"/>
  <c r="Q2759" i="2"/>
  <c r="Q2760" i="2"/>
  <c r="Q2761" i="2"/>
  <c r="Q2652" i="2"/>
  <c r="Q2653" i="2"/>
  <c r="Q2654" i="2"/>
  <c r="Q2655" i="2"/>
  <c r="Q2656" i="2"/>
  <c r="Q2657" i="2"/>
  <c r="Q2658" i="2"/>
  <c r="Q2659" i="2"/>
  <c r="Q2660" i="2"/>
  <c r="Q2661" i="2"/>
  <c r="S2479" i="2" l="1"/>
  <c r="Q2479" i="2" s="1"/>
  <c r="S2460" i="2"/>
  <c r="Q2439" i="2"/>
  <c r="Q2440" i="2"/>
  <c r="Q2441" i="2"/>
  <c r="Q2442" i="2"/>
  <c r="Q2443" i="2"/>
  <c r="Q2444" i="2"/>
  <c r="Q2445" i="2"/>
  <c r="Q2446" i="2"/>
  <c r="Q2447" i="2"/>
  <c r="Q2448" i="2"/>
  <c r="Q2449" i="2"/>
  <c r="Q2450" i="2"/>
  <c r="Q2451" i="2"/>
  <c r="Q2452" i="2"/>
  <c r="Q2453" i="2"/>
  <c r="Q2454" i="2"/>
  <c r="Q2455" i="2"/>
  <c r="Q2456" i="2"/>
  <c r="Q2457" i="2"/>
  <c r="Q2458" i="2"/>
  <c r="Q2459" i="2"/>
  <c r="Q2460" i="2"/>
  <c r="Q2461" i="2"/>
  <c r="Q2462" i="2"/>
  <c r="Q2463" i="2"/>
  <c r="Q2464" i="2"/>
  <c r="Q2465" i="2"/>
  <c r="Q2466" i="2"/>
  <c r="Q2467" i="2"/>
  <c r="Q2468" i="2"/>
  <c r="Q2469" i="2"/>
  <c r="Q2470" i="2"/>
  <c r="Q2471" i="2"/>
  <c r="Q2472" i="2"/>
  <c r="Q2473" i="2"/>
  <c r="Q2474" i="2"/>
  <c r="Q2475" i="2"/>
  <c r="Q2476" i="2"/>
  <c r="Q2477" i="2"/>
  <c r="Q2478" i="2"/>
  <c r="Q2480" i="2"/>
  <c r="Q2481" i="2"/>
  <c r="Q2482" i="2"/>
  <c r="Q2483" i="2"/>
  <c r="Q2484" i="2"/>
  <c r="Q2485" i="2"/>
  <c r="Q2486" i="2"/>
  <c r="Q2487" i="2"/>
  <c r="Q2488" i="2"/>
  <c r="Q2489" i="2"/>
  <c r="Q2490" i="2"/>
  <c r="Q2491" i="2"/>
  <c r="Q2492" i="2"/>
  <c r="Q2493" i="2"/>
  <c r="Q2494" i="2"/>
  <c r="Q2495" i="2"/>
  <c r="Q2496" i="2"/>
  <c r="Q2497" i="2"/>
  <c r="Q2498" i="2"/>
  <c r="Q2499" i="2"/>
  <c r="Q2500" i="2"/>
  <c r="Q2501" i="2"/>
  <c r="Q2502" i="2"/>
  <c r="Q2503" i="2"/>
  <c r="Q2504" i="2"/>
  <c r="Q2505" i="2"/>
  <c r="Q2506" i="2"/>
  <c r="Q2507" i="2"/>
  <c r="Q2508" i="2"/>
  <c r="Q2509" i="2"/>
  <c r="Q2510" i="2"/>
  <c r="Q2511" i="2"/>
  <c r="Q2512" i="2"/>
  <c r="Q2513" i="2"/>
  <c r="Q2514" i="2"/>
  <c r="Q2515" i="2"/>
  <c r="Q2516" i="2"/>
  <c r="Q2517" i="2"/>
  <c r="Q2518" i="2"/>
  <c r="Q2519" i="2"/>
  <c r="Q2520" i="2"/>
  <c r="Q2521" i="2"/>
  <c r="Q2522" i="2"/>
  <c r="Q2523" i="2"/>
  <c r="Q2524" i="2"/>
  <c r="Q2525" i="2"/>
  <c r="Q2526" i="2"/>
  <c r="Q2527" i="2"/>
  <c r="Q2528" i="2"/>
  <c r="Q2529" i="2"/>
  <c r="Q2530" i="2"/>
  <c r="Q2531" i="2"/>
  <c r="Q2532" i="2"/>
  <c r="Q2533" i="2"/>
  <c r="Q2534" i="2"/>
  <c r="Q2535" i="2"/>
  <c r="Q2536" i="2"/>
  <c r="Q2537" i="2"/>
  <c r="Q2538" i="2"/>
  <c r="Q2539" i="2"/>
  <c r="Q2540" i="2"/>
  <c r="Q2541" i="2"/>
  <c r="Q2542" i="2"/>
  <c r="Q2543" i="2"/>
  <c r="Q2544" i="2"/>
  <c r="Q2545" i="2"/>
  <c r="Q2546" i="2"/>
  <c r="Q2547" i="2"/>
  <c r="Q2548" i="2"/>
  <c r="Q2549" i="2"/>
  <c r="Q2550" i="2"/>
  <c r="Q2551" i="2"/>
  <c r="Q2552" i="2"/>
  <c r="Q2553" i="2"/>
  <c r="Q2554" i="2"/>
  <c r="Q2555" i="2"/>
  <c r="Q2556" i="2"/>
  <c r="Q2557" i="2"/>
  <c r="Q2558" i="2"/>
  <c r="Q2559" i="2"/>
  <c r="Q2560" i="2"/>
  <c r="Q2561" i="2"/>
  <c r="Q2562" i="2"/>
  <c r="Q2563" i="2"/>
  <c r="Q2564" i="2"/>
  <c r="Q2565" i="2"/>
  <c r="Q2566" i="2"/>
  <c r="Q2567" i="2"/>
  <c r="Q2568" i="2"/>
  <c r="Q2569" i="2"/>
  <c r="Q2570" i="2"/>
  <c r="Q2571" i="2"/>
  <c r="Q2572" i="2"/>
  <c r="Q2573" i="2"/>
  <c r="Q2574" i="2"/>
  <c r="Q2575" i="2"/>
  <c r="Q2576" i="2"/>
  <c r="Q2577" i="2"/>
  <c r="Q2578" i="2"/>
  <c r="Q2579" i="2"/>
  <c r="Q2580" i="2"/>
  <c r="Q2581" i="2"/>
  <c r="Q2582" i="2"/>
  <c r="Q2583" i="2"/>
  <c r="Q2584" i="2"/>
  <c r="Q2585" i="2"/>
  <c r="Q2586" i="2"/>
  <c r="Q2587" i="2"/>
  <c r="Q2588" i="2"/>
  <c r="Q2589" i="2"/>
  <c r="Q2590" i="2"/>
  <c r="Q2591" i="2"/>
  <c r="Q2592" i="2"/>
  <c r="Q2593" i="2"/>
  <c r="Q2594" i="2"/>
  <c r="Q2595" i="2"/>
  <c r="Q2596" i="2"/>
  <c r="Q2597" i="2"/>
  <c r="Q2598" i="2"/>
  <c r="Q2599" i="2"/>
  <c r="Q2600" i="2"/>
  <c r="Q2601" i="2"/>
  <c r="Q2602" i="2"/>
  <c r="Q2603" i="2"/>
  <c r="Q2604" i="2"/>
  <c r="Q2605" i="2"/>
  <c r="Q2606" i="2"/>
  <c r="Q2607" i="2"/>
  <c r="Q2608" i="2"/>
  <c r="Q2609" i="2"/>
  <c r="Q2610" i="2"/>
  <c r="Q2611" i="2"/>
  <c r="Q2612" i="2"/>
  <c r="Q2613" i="2"/>
  <c r="Q2614" i="2"/>
  <c r="Q2615" i="2"/>
  <c r="Q2616" i="2"/>
  <c r="Q2617" i="2"/>
  <c r="Q2618" i="2"/>
  <c r="Q2619" i="2"/>
  <c r="Q2620" i="2"/>
  <c r="Q2621" i="2"/>
  <c r="Q2622" i="2"/>
  <c r="Q2623" i="2"/>
  <c r="Q2624" i="2"/>
  <c r="Q2625" i="2"/>
  <c r="Q2626" i="2"/>
  <c r="Q2627" i="2"/>
  <c r="Q2628" i="2"/>
  <c r="Q2629" i="2"/>
  <c r="Q2630" i="2"/>
  <c r="Q2631" i="2"/>
  <c r="Q2632" i="2"/>
  <c r="Q2633" i="2"/>
  <c r="Q2634" i="2"/>
  <c r="Q2635" i="2"/>
  <c r="Q2636" i="2"/>
  <c r="Q2637" i="2"/>
  <c r="Q2638" i="2"/>
  <c r="Q2639" i="2"/>
  <c r="Q2640" i="2"/>
  <c r="Q2641" i="2"/>
  <c r="Q2642" i="2"/>
  <c r="Q2643" i="2"/>
  <c r="Q2644" i="2"/>
  <c r="Q2645" i="2"/>
  <c r="Q2646" i="2"/>
  <c r="Q2647" i="2"/>
  <c r="Q2648" i="2"/>
  <c r="Q2649" i="2"/>
  <c r="Q2650" i="2"/>
  <c r="Q2651" i="2"/>
  <c r="Q2662" i="2"/>
  <c r="Q2663" i="2"/>
  <c r="Q2664" i="2"/>
  <c r="Q2665" i="2"/>
  <c r="Q2666" i="2"/>
  <c r="Q2667" i="2"/>
  <c r="Q2668" i="2"/>
  <c r="Q2669" i="2"/>
  <c r="Q2670" i="2"/>
  <c r="Q2671" i="2"/>
  <c r="Q2672" i="2"/>
  <c r="Q2673" i="2"/>
  <c r="Q2674" i="2"/>
  <c r="Q2675" i="2"/>
  <c r="Q2676" i="2"/>
  <c r="Q2677" i="2"/>
  <c r="Q2678" i="2"/>
  <c r="Q2679" i="2"/>
  <c r="Q2680" i="2"/>
  <c r="Q2681" i="2"/>
  <c r="Q2682" i="2"/>
  <c r="Q2683" i="2"/>
  <c r="Q2684" i="2"/>
  <c r="Q2685" i="2"/>
  <c r="Q2686" i="2"/>
  <c r="Q2687" i="2"/>
  <c r="Q2688" i="2"/>
  <c r="Q2689" i="2"/>
  <c r="Q2690" i="2"/>
  <c r="Q2691" i="2"/>
  <c r="Q2692" i="2"/>
  <c r="Q2693" i="2"/>
  <c r="Q2694" i="2"/>
  <c r="Q2695" i="2"/>
  <c r="Q2696" i="2"/>
  <c r="Q2697" i="2"/>
  <c r="Q2698" i="2"/>
  <c r="Q2699" i="2"/>
  <c r="Q2700" i="2"/>
  <c r="Q2701" i="2"/>
  <c r="Q2702" i="2"/>
  <c r="Q2703" i="2"/>
  <c r="Q2704" i="2"/>
  <c r="Q2705" i="2"/>
  <c r="Q2706" i="2"/>
  <c r="Q2707" i="2"/>
  <c r="Q2438" i="2"/>
  <c r="Y2471" i="2" l="1"/>
  <c r="V2471" i="2"/>
  <c r="U2471" i="2"/>
  <c r="X2471" i="2" l="1"/>
  <c r="Z2471" i="2" s="1"/>
  <c r="Q2437" i="2"/>
  <c r="Q2436" i="2"/>
  <c r="Q2435" i="2"/>
  <c r="Q2434" i="2"/>
  <c r="Q2433" i="2"/>
  <c r="Q2432" i="2"/>
  <c r="Q2431" i="2"/>
  <c r="Q2430" i="2"/>
  <c r="Q2429" i="2"/>
  <c r="Q2428" i="2"/>
  <c r="Q2427" i="2"/>
  <c r="Q2426" i="2"/>
  <c r="Q2425" i="2"/>
  <c r="Q2424" i="2"/>
  <c r="Q2414" i="2" l="1"/>
  <c r="Q2415" i="2"/>
  <c r="Q2416" i="2"/>
  <c r="Q2417" i="2"/>
  <c r="Q2418" i="2"/>
  <c r="Q2419" i="2"/>
  <c r="Q2420" i="2"/>
  <c r="Q2421" i="2"/>
  <c r="Q2422" i="2"/>
  <c r="Q2423" i="2"/>
  <c r="Q2413" i="2"/>
  <c r="S2206" i="2" l="1"/>
  <c r="Q2206" i="2" s="1"/>
  <c r="S2199" i="2"/>
  <c r="Q2199" i="2" s="1"/>
  <c r="Q2225" i="2"/>
  <c r="Q2226" i="2"/>
  <c r="S2224" i="2"/>
  <c r="Q2224" i="2" s="1"/>
  <c r="Q2223" i="2"/>
  <c r="Q2222" i="2"/>
  <c r="Q2184" i="2"/>
  <c r="Q2185" i="2"/>
  <c r="Q2186" i="2"/>
  <c r="Q2187" i="2"/>
  <c r="Q2188" i="2"/>
  <c r="Q2189" i="2"/>
  <c r="Q2190" i="2"/>
  <c r="Q2191" i="2"/>
  <c r="Q2192" i="2"/>
  <c r="Q2193" i="2"/>
  <c r="Q2194" i="2"/>
  <c r="Q2195" i="2"/>
  <c r="Q2196" i="2"/>
  <c r="Q2197" i="2"/>
  <c r="Q205" i="2"/>
  <c r="Q2200" i="2"/>
  <c r="Q197" i="2"/>
  <c r="Q2201" i="2"/>
  <c r="Q2202" i="2"/>
  <c r="Q2203" i="2"/>
  <c r="Q2204" i="2"/>
  <c r="Q195" i="2"/>
  <c r="Q2205" i="2"/>
  <c r="Q2207" i="2"/>
  <c r="Q2208" i="2"/>
  <c r="Q2209" i="2"/>
  <c r="Q188" i="2"/>
  <c r="Q2210" i="2"/>
  <c r="Q2211" i="2"/>
  <c r="Q2212" i="2"/>
  <c r="Q2213" i="2"/>
  <c r="Q2214" i="2"/>
  <c r="Q2215" i="2"/>
  <c r="Q2216" i="2"/>
  <c r="Q2217" i="2"/>
  <c r="Q2218" i="2"/>
  <c r="Q2219" i="2"/>
  <c r="Q2220" i="2"/>
  <c r="Q2221" i="2"/>
  <c r="Q2121" i="2"/>
  <c r="Y2121"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00" i="2"/>
  <c r="Q2137" i="2"/>
  <c r="Q2136" i="2"/>
  <c r="Q202" i="2"/>
  <c r="Q2134" i="2"/>
  <c r="Q2133" i="2"/>
  <c r="Q2132" i="2"/>
  <c r="Q2131" i="2"/>
  <c r="Q2130" i="2"/>
  <c r="Q2129" i="2"/>
  <c r="Q2128" i="2"/>
  <c r="Q186" i="2"/>
  <c r="Q2127" i="2"/>
  <c r="Q2126" i="2"/>
  <c r="Q2125" i="2"/>
  <c r="Q2124" i="2"/>
  <c r="Q2123" i="2"/>
  <c r="Q2122" i="2"/>
  <c r="Y2107" i="2" l="1"/>
  <c r="Q2107" i="2" s="1"/>
  <c r="X2107" i="2" s="1"/>
  <c r="Y2108" i="2"/>
  <c r="Q2108" i="2" s="1"/>
  <c r="X2108" i="2" s="1"/>
  <c r="Y2109" i="2"/>
  <c r="Q2109" i="2" s="1"/>
  <c r="X2109" i="2" s="1"/>
  <c r="Y2111" i="2"/>
  <c r="Q2111" i="2" s="1"/>
  <c r="Y2112" i="2"/>
  <c r="Q2112" i="2" s="1"/>
  <c r="Y2113" i="2"/>
  <c r="Q2113" i="2" s="1"/>
  <c r="Y2114" i="2"/>
  <c r="Q2114" i="2" s="1"/>
  <c r="Y2115" i="2"/>
  <c r="Q2115" i="2" s="1"/>
  <c r="X2115" i="2" s="1"/>
  <c r="Y207" i="2"/>
  <c r="Q207" i="2" s="1"/>
  <c r="X207" i="2" s="1"/>
  <c r="Y2117" i="2"/>
  <c r="Q2117" i="2" s="1"/>
  <c r="X2117" i="2" s="1"/>
  <c r="Y156" i="2"/>
  <c r="Q156" i="2" s="1"/>
  <c r="X156" i="2" s="1"/>
  <c r="Y2118" i="2"/>
  <c r="Q2118" i="2" s="1"/>
  <c r="Y2119" i="2"/>
  <c r="Q2119" i="2" s="1"/>
  <c r="Y2120" i="2"/>
  <c r="Q2120" i="2" s="1"/>
  <c r="S2110" i="2"/>
  <c r="Y2110" i="2" s="1"/>
  <c r="Q2110" i="2" s="1"/>
  <c r="X2110" i="2" s="1"/>
  <c r="S2106" i="2"/>
  <c r="Y2106" i="2" s="1"/>
  <c r="Q2106" i="2" s="1"/>
  <c r="Y2105" i="2"/>
  <c r="Q2105" i="2" s="1"/>
  <c r="Y2104" i="2"/>
  <c r="Q2104" i="2" s="1"/>
  <c r="Y2103" i="2"/>
  <c r="Q2103" i="2" s="1"/>
  <c r="Y2102" i="2"/>
  <c r="Q2102" i="2" s="1"/>
  <c r="X2102" i="2" s="1"/>
  <c r="Y2101" i="2"/>
  <c r="Q2101" i="2" s="1"/>
  <c r="X2101" i="2" s="1"/>
  <c r="Y2100" i="2"/>
  <c r="Q2100" i="2" s="1"/>
  <c r="X2100" i="2" s="1"/>
  <c r="Y2099" i="2"/>
  <c r="Q2099" i="2" s="1"/>
  <c r="X2099" i="2" s="1"/>
  <c r="Y2098" i="2"/>
  <c r="Q2098" i="2" s="1"/>
  <c r="Y2097" i="2"/>
  <c r="Q2097" i="2" s="1"/>
  <c r="Y2096" i="2"/>
  <c r="Q2096" i="2" s="1"/>
  <c r="Y2095" i="2"/>
  <c r="Q2095" i="2" s="1"/>
  <c r="Y2094" i="2"/>
  <c r="Q2094" i="2" s="1"/>
  <c r="X2094" i="2" s="1"/>
  <c r="Y2093" i="2"/>
  <c r="Q2093" i="2" s="1"/>
  <c r="X2093" i="2" s="1"/>
  <c r="Y2092" i="2"/>
  <c r="Q2092" i="2" s="1"/>
  <c r="X2092" i="2" s="1"/>
  <c r="Y2091" i="2"/>
  <c r="Q2091" i="2" s="1"/>
  <c r="X2091" i="2" s="1"/>
  <c r="Y177" i="2"/>
  <c r="Q177" i="2" s="1"/>
  <c r="Y2090" i="2"/>
  <c r="Q2090" i="2" s="1"/>
  <c r="Y2089" i="2"/>
  <c r="Q2089" i="2" s="1"/>
  <c r="Y2088" i="2"/>
  <c r="Q2088" i="2" s="1"/>
  <c r="Y2087" i="2"/>
  <c r="Q2087" i="2" s="1"/>
  <c r="X2087" i="2" l="1"/>
  <c r="W2087" i="2" s="1"/>
  <c r="X2114" i="2"/>
  <c r="W2114" i="2" s="1"/>
  <c r="X2106" i="2"/>
  <c r="W2106" i="2" s="1"/>
  <c r="X2098" i="2"/>
  <c r="W2098" i="2" s="1"/>
  <c r="X177" i="2"/>
  <c r="W177" i="2" s="1"/>
  <c r="W156" i="2"/>
  <c r="W2110" i="2"/>
  <c r="W2102" i="2"/>
  <c r="W2094" i="2"/>
  <c r="X2120" i="2"/>
  <c r="W2120" i="2" s="1"/>
  <c r="X2113" i="2"/>
  <c r="W2113" i="2" s="1"/>
  <c r="X2105" i="2"/>
  <c r="W2105" i="2" s="1"/>
  <c r="X2097" i="2"/>
  <c r="W2097" i="2" s="1"/>
  <c r="X2090" i="2"/>
  <c r="W2090" i="2" s="1"/>
  <c r="W2117" i="2"/>
  <c r="W2109" i="2"/>
  <c r="W2101" i="2"/>
  <c r="W2093" i="2"/>
  <c r="X2119" i="2"/>
  <c r="W2119" i="2" s="1"/>
  <c r="X2112" i="2"/>
  <c r="W2112" i="2" s="1"/>
  <c r="X2104" i="2"/>
  <c r="W2104" i="2" s="1"/>
  <c r="X2096" i="2"/>
  <c r="W2096" i="2" s="1"/>
  <c r="X2089" i="2"/>
  <c r="W2089" i="2" s="1"/>
  <c r="W207" i="2"/>
  <c r="W2108" i="2"/>
  <c r="W2100" i="2"/>
  <c r="W2092" i="2"/>
  <c r="X2118" i="2"/>
  <c r="W2118" i="2" s="1"/>
  <c r="X2111" i="2"/>
  <c r="W2111" i="2" s="1"/>
  <c r="X2103" i="2"/>
  <c r="W2103" i="2" s="1"/>
  <c r="X2095" i="2"/>
  <c r="W2095" i="2" s="1"/>
  <c r="X2088" i="2"/>
  <c r="W2088" i="2" s="1"/>
  <c r="W2115" i="2"/>
  <c r="W2107" i="2"/>
  <c r="W2099" i="2"/>
  <c r="W2091" i="2"/>
  <c r="AC2" i="2"/>
  <c r="Y2147" i="22" l="1"/>
  <c r="AB2147" i="22" s="1"/>
  <c r="AA2147" i="22"/>
  <c r="AA2156" i="22"/>
  <c r="AA2164" i="22"/>
  <c r="AA2180" i="22"/>
  <c r="AA2188" i="22"/>
  <c r="AA2196" i="22"/>
  <c r="W2201" i="22"/>
  <c r="W2200" i="22"/>
  <c r="W2199" i="22"/>
  <c r="X2199" i="22" s="1"/>
  <c r="Z2199" i="22" s="1"/>
  <c r="W2198" i="22"/>
  <c r="W2197" i="22"/>
  <c r="W2196" i="22"/>
  <c r="X2196" i="22" s="1"/>
  <c r="Z2196" i="22" s="1"/>
  <c r="Y2196" i="22" s="1"/>
  <c r="W2195" i="22"/>
  <c r="W2194" i="22"/>
  <c r="X2193" i="22"/>
  <c r="Z2193" i="22" s="1"/>
  <c r="W2193" i="22"/>
  <c r="AA2193" i="22" s="1"/>
  <c r="Y2193" i="22" s="1"/>
  <c r="W2192" i="22"/>
  <c r="W2191" i="22"/>
  <c r="X2191" i="22" s="1"/>
  <c r="Z2191" i="22" s="1"/>
  <c r="W2190" i="22"/>
  <c r="X2190" i="22" s="1"/>
  <c r="W2189" i="22"/>
  <c r="W2188" i="22"/>
  <c r="X2188" i="22" s="1"/>
  <c r="Z2188" i="22" s="1"/>
  <c r="Y2188" i="22" s="1"/>
  <c r="Q2188" i="22" s="1"/>
  <c r="W2187" i="22"/>
  <c r="W2186" i="22"/>
  <c r="W2185" i="22"/>
  <c r="W2184" i="22"/>
  <c r="X2184" i="22" s="1"/>
  <c r="Z2184" i="22" s="1"/>
  <c r="W2183" i="22"/>
  <c r="X2183" i="22" s="1"/>
  <c r="Z2183" i="22" s="1"/>
  <c r="W2182" i="22"/>
  <c r="X2181" i="22"/>
  <c r="W2181" i="22"/>
  <c r="W2180" i="22"/>
  <c r="X2180" i="22" s="1"/>
  <c r="Z2180" i="22" s="1"/>
  <c r="Y2180" i="22" s="1"/>
  <c r="Q2180" i="22" s="1"/>
  <c r="W2179" i="22"/>
  <c r="W2178" i="22"/>
  <c r="X2177" i="22"/>
  <c r="Z2177" i="22" s="1"/>
  <c r="Y2177" i="22" s="1"/>
  <c r="AB2177" i="22" s="1"/>
  <c r="W2177" i="22"/>
  <c r="AA2177" i="22" s="1"/>
  <c r="W2176" i="22"/>
  <c r="W2175" i="22"/>
  <c r="X2175" i="22" s="1"/>
  <c r="Z2175" i="22" s="1"/>
  <c r="W2174" i="22"/>
  <c r="W2173" i="22"/>
  <c r="W2172" i="22"/>
  <c r="X2172" i="22" s="1"/>
  <c r="Z2172" i="22" s="1"/>
  <c r="W2171" i="22"/>
  <c r="W2170" i="22"/>
  <c r="X2169" i="22"/>
  <c r="Z2169" i="22" s="1"/>
  <c r="W2169" i="22"/>
  <c r="AA2169" i="22" s="1"/>
  <c r="Y2169" i="22" s="1"/>
  <c r="Q2169" i="22" s="1"/>
  <c r="W2168" i="22"/>
  <c r="W2167" i="22"/>
  <c r="X2167" i="22" s="1"/>
  <c r="Z2167" i="22" s="1"/>
  <c r="W2166" i="22"/>
  <c r="X2165" i="22"/>
  <c r="W2165" i="22"/>
  <c r="W2164" i="22"/>
  <c r="X2164" i="22" s="1"/>
  <c r="Z2164" i="22" s="1"/>
  <c r="Y2164" i="22" s="1"/>
  <c r="W2163" i="22"/>
  <c r="W2162" i="22"/>
  <c r="W2161" i="22"/>
  <c r="W2160" i="22"/>
  <c r="W2159" i="22"/>
  <c r="X2159" i="22" s="1"/>
  <c r="Z2159" i="22" s="1"/>
  <c r="W2158" i="22"/>
  <c r="X2158" i="22" s="1"/>
  <c r="X2157" i="22"/>
  <c r="W2157" i="22"/>
  <c r="S2157" i="22"/>
  <c r="W2156" i="22"/>
  <c r="X2156" i="22" s="1"/>
  <c r="Z2156" i="22" s="1"/>
  <c r="Y2156" i="22" s="1"/>
  <c r="S2156" i="22"/>
  <c r="X2155" i="22"/>
  <c r="Z2155" i="22" s="1"/>
  <c r="W2155" i="22"/>
  <c r="W2154" i="22"/>
  <c r="W2153" i="22"/>
  <c r="X2153" i="22" s="1"/>
  <c r="Z2153" i="22" s="1"/>
  <c r="W2152" i="22"/>
  <c r="X2152" i="22" s="1"/>
  <c r="W2151" i="22"/>
  <c r="W2150" i="22"/>
  <c r="X2150" i="22" s="1"/>
  <c r="Z2150" i="22" s="1"/>
  <c r="W2149" i="22"/>
  <c r="W2148" i="22"/>
  <c r="X2147" i="22"/>
  <c r="Z2147" i="22" s="1"/>
  <c r="W2147" i="22"/>
  <c r="W2146" i="22"/>
  <c r="S2146" i="22"/>
  <c r="W2145" i="22"/>
  <c r="X2144" i="22"/>
  <c r="Z2144" i="22" s="1"/>
  <c r="W2144" i="22"/>
  <c r="AA2144" i="22" s="1"/>
  <c r="AA2176" i="22" l="1"/>
  <c r="AA2182" i="22"/>
  <c r="Y2144" i="22"/>
  <c r="AB2144" i="22" s="1"/>
  <c r="Y2150" i="22"/>
  <c r="Q2150" i="22" s="1"/>
  <c r="AA2194" i="22"/>
  <c r="Y2155" i="22"/>
  <c r="Q2155" i="22" s="1"/>
  <c r="AA2201" i="22"/>
  <c r="AA2160" i="22"/>
  <c r="AA2174" i="22"/>
  <c r="AB2193" i="22"/>
  <c r="Q2193" i="22"/>
  <c r="X2189" i="22"/>
  <c r="Z2189" i="22" s="1"/>
  <c r="X2197" i="22"/>
  <c r="AA2197" i="22" s="1"/>
  <c r="AA2184" i="22"/>
  <c r="Y2184" i="22" s="1"/>
  <c r="AA2152" i="22"/>
  <c r="Q2153" i="22"/>
  <c r="Z2157" i="22"/>
  <c r="Y2157" i="22" s="1"/>
  <c r="AB2157" i="22" s="1"/>
  <c r="Z2181" i="22"/>
  <c r="AA2199" i="22"/>
  <c r="Y2199" i="22" s="1"/>
  <c r="AA2191" i="22"/>
  <c r="Y2191" i="22" s="1"/>
  <c r="AA2183" i="22"/>
  <c r="Y2183" i="22" s="1"/>
  <c r="AA2175" i="22"/>
  <c r="Y2175" i="22" s="1"/>
  <c r="AA2167" i="22"/>
  <c r="Y2167" i="22" s="1"/>
  <c r="AA2159" i="22"/>
  <c r="Y2159" i="22" s="1"/>
  <c r="AA2151" i="22"/>
  <c r="X2201" i="22"/>
  <c r="Z2201" i="22" s="1"/>
  <c r="Q2147" i="22"/>
  <c r="AA2190" i="22"/>
  <c r="AA2166" i="22"/>
  <c r="AA2158" i="22"/>
  <c r="AA2150" i="22"/>
  <c r="AA2172" i="22"/>
  <c r="Y2172" i="22" s="1"/>
  <c r="AA2155" i="22"/>
  <c r="Z2151" i="22"/>
  <c r="Z2165" i="22"/>
  <c r="AA2181" i="22"/>
  <c r="AA2165" i="22"/>
  <c r="AA2157" i="22"/>
  <c r="AB2196" i="22"/>
  <c r="AB2180" i="22"/>
  <c r="AB2164" i="22"/>
  <c r="X2151" i="22"/>
  <c r="X2161" i="22"/>
  <c r="Z2161" i="22" s="1"/>
  <c r="X2173" i="22"/>
  <c r="Z2173" i="22" s="1"/>
  <c r="X2185" i="22"/>
  <c r="Z2185" i="22" s="1"/>
  <c r="Z2197" i="22"/>
  <c r="AA2153" i="22"/>
  <c r="Y2153" i="22" s="1"/>
  <c r="AB2153" i="22" s="1"/>
  <c r="AB2188" i="22"/>
  <c r="AB2156" i="22"/>
  <c r="Q2177" i="22"/>
  <c r="AB2169" i="22"/>
  <c r="Q2156" i="22"/>
  <c r="Q2164" i="22"/>
  <c r="Q2196" i="22"/>
  <c r="Z2179" i="22"/>
  <c r="Q2144" i="22"/>
  <c r="X2166" i="22"/>
  <c r="Z2166" i="22" s="1"/>
  <c r="X2174" i="22"/>
  <c r="X2182" i="22"/>
  <c r="X2198" i="22"/>
  <c r="AA2198" i="22" s="1"/>
  <c r="X2149" i="22"/>
  <c r="AA2149" i="22" s="1"/>
  <c r="X2163" i="22"/>
  <c r="X2171" i="22"/>
  <c r="X2179" i="22"/>
  <c r="X2187" i="22"/>
  <c r="AA2187" i="22" s="1"/>
  <c r="X2195" i="22"/>
  <c r="X2146" i="22"/>
  <c r="AA2146" i="22" s="1"/>
  <c r="Z2152" i="22"/>
  <c r="X2154" i="22"/>
  <c r="AA2154" i="22" s="1"/>
  <c r="Z2158" i="22"/>
  <c r="X2160" i="22"/>
  <c r="Z2160" i="22" s="1"/>
  <c r="X2168" i="22"/>
  <c r="Z2168" i="22" s="1"/>
  <c r="X2176" i="22"/>
  <c r="Z2176" i="22" s="1"/>
  <c r="Z2190" i="22"/>
  <c r="X2192" i="22"/>
  <c r="X2200" i="22"/>
  <c r="Z2200" i="22" s="1"/>
  <c r="X2145" i="22"/>
  <c r="Z2145" i="22" s="1"/>
  <c r="X2148" i="22"/>
  <c r="X2186" i="22"/>
  <c r="X2194" i="22"/>
  <c r="Z2194" i="22" s="1"/>
  <c r="X2162" i="22"/>
  <c r="AA2162" i="22" s="1"/>
  <c r="X2170" i="22"/>
  <c r="X2178" i="22"/>
  <c r="Z2178" i="22" s="1"/>
  <c r="Y2036" i="2"/>
  <c r="Y2038" i="2"/>
  <c r="Y2039" i="2"/>
  <c r="Y172" i="2"/>
  <c r="Y2040" i="2"/>
  <c r="Y2041" i="2"/>
  <c r="Y2042" i="2"/>
  <c r="Y158" i="2"/>
  <c r="Y2043" i="2"/>
  <c r="Y2044" i="2"/>
  <c r="Y2047" i="2"/>
  <c r="Y2048" i="2"/>
  <c r="Y2049" i="2"/>
  <c r="Y2050" i="2"/>
  <c r="Y198" i="2"/>
  <c r="Y2051" i="2"/>
  <c r="Y2052" i="2"/>
  <c r="Y2053" i="2"/>
  <c r="Y179" i="2"/>
  <c r="Y2054" i="2"/>
  <c r="Y2055" i="2"/>
  <c r="Y2056" i="2"/>
  <c r="Y2057" i="2"/>
  <c r="Y2058" i="2"/>
  <c r="Y2059" i="2"/>
  <c r="Y2060" i="2"/>
  <c r="Y2061" i="2"/>
  <c r="Y2062" i="2"/>
  <c r="Y2063" i="2"/>
  <c r="Y2064" i="2"/>
  <c r="Y2065" i="2"/>
  <c r="Y2066" i="2"/>
  <c r="Y2067" i="2"/>
  <c r="Y2068" i="2"/>
  <c r="Y2069" i="2"/>
  <c r="Y2070" i="2"/>
  <c r="Y2071" i="2"/>
  <c r="Y2072" i="2"/>
  <c r="Y2073" i="2"/>
  <c r="Y146" i="2"/>
  <c r="Y2074" i="2"/>
  <c r="Y193" i="2"/>
  <c r="Y2075" i="2"/>
  <c r="Y2076" i="2"/>
  <c r="Y2077" i="2"/>
  <c r="Y2078" i="2"/>
  <c r="Y2079" i="2"/>
  <c r="Y2080" i="2"/>
  <c r="Y2081" i="2"/>
  <c r="Y2082" i="2"/>
  <c r="Y2083" i="2"/>
  <c r="Y2084" i="2"/>
  <c r="Y2085" i="2"/>
  <c r="Y2086" i="2"/>
  <c r="Y161" i="2"/>
  <c r="S2046" i="2"/>
  <c r="Y2046" i="2" s="1"/>
  <c r="S2045" i="2"/>
  <c r="Y2045" i="2" s="1"/>
  <c r="S2037" i="2"/>
  <c r="Y2037" i="2" s="1"/>
  <c r="W2037" i="2"/>
  <c r="X2037" i="2" s="1"/>
  <c r="W2038" i="2"/>
  <c r="X2038" i="2" s="1"/>
  <c r="W2039" i="2"/>
  <c r="X2039" i="2" s="1"/>
  <c r="W172" i="2"/>
  <c r="X172" i="2" s="1"/>
  <c r="W2040" i="2"/>
  <c r="X2040" i="2" s="1"/>
  <c r="Z2040" i="2" s="1"/>
  <c r="W2041" i="2"/>
  <c r="X2041" i="2" s="1"/>
  <c r="W2042" i="2"/>
  <c r="X2042" i="2" s="1"/>
  <c r="W158" i="2"/>
  <c r="X158" i="2" s="1"/>
  <c r="W2043" i="2"/>
  <c r="X2043" i="2" s="1"/>
  <c r="W2044" i="2"/>
  <c r="X2044" i="2" s="1"/>
  <c r="W2045" i="2"/>
  <c r="W2046" i="2"/>
  <c r="X2046" i="2" s="1"/>
  <c r="W2047" i="2"/>
  <c r="X2047" i="2" s="1"/>
  <c r="Z2047" i="2" s="1"/>
  <c r="W2048" i="2"/>
  <c r="X2048" i="2" s="1"/>
  <c r="W2049" i="2"/>
  <c r="W2050" i="2"/>
  <c r="X2050" i="2" s="1"/>
  <c r="W198" i="2"/>
  <c r="X198" i="2" s="1"/>
  <c r="W2051" i="2"/>
  <c r="X2051" i="2" s="1"/>
  <c r="W2052" i="2"/>
  <c r="X2052" i="2" s="1"/>
  <c r="W2053" i="2"/>
  <c r="X2053" i="2" s="1"/>
  <c r="W179" i="2"/>
  <c r="X179" i="2" s="1"/>
  <c r="Z179" i="2" s="1"/>
  <c r="W2054" i="2"/>
  <c r="X2054" i="2" s="1"/>
  <c r="W2055" i="2"/>
  <c r="X2055" i="2" s="1"/>
  <c r="W2056" i="2"/>
  <c r="X2056" i="2" s="1"/>
  <c r="W2057" i="2"/>
  <c r="X2057" i="2" s="1"/>
  <c r="W2058" i="2"/>
  <c r="X2058" i="2" s="1"/>
  <c r="W2059" i="2"/>
  <c r="X2059" i="2" s="1"/>
  <c r="W2060" i="2"/>
  <c r="X2060" i="2" s="1"/>
  <c r="W2061" i="2"/>
  <c r="X2061" i="2" s="1"/>
  <c r="Z2061" i="2" s="1"/>
  <c r="W2062" i="2"/>
  <c r="X2062" i="2" s="1"/>
  <c r="W2063" i="2"/>
  <c r="W2064" i="2"/>
  <c r="X2064" i="2" s="1"/>
  <c r="W2065" i="2"/>
  <c r="X2065" i="2" s="1"/>
  <c r="W2066" i="2"/>
  <c r="X2066" i="2" s="1"/>
  <c r="W2067" i="2"/>
  <c r="X2067" i="2" s="1"/>
  <c r="W2068" i="2"/>
  <c r="X2068" i="2" s="1"/>
  <c r="W2069" i="2"/>
  <c r="X2069" i="2" s="1"/>
  <c r="Z2069" i="2" s="1"/>
  <c r="W2070" i="2"/>
  <c r="X2070" i="2" s="1"/>
  <c r="W2071" i="2"/>
  <c r="X2071" i="2" s="1"/>
  <c r="W2072" i="2"/>
  <c r="X2072" i="2" s="1"/>
  <c r="W2073" i="2"/>
  <c r="X2073" i="2" s="1"/>
  <c r="W146" i="2"/>
  <c r="X146" i="2" s="1"/>
  <c r="W2074" i="2"/>
  <c r="X2074" i="2" s="1"/>
  <c r="W193" i="2"/>
  <c r="X193" i="2" s="1"/>
  <c r="W2075" i="2"/>
  <c r="X2075" i="2" s="1"/>
  <c r="Z2075" i="2" s="1"/>
  <c r="W2076" i="2"/>
  <c r="X2076" i="2" s="1"/>
  <c r="W2077" i="2"/>
  <c r="W2078" i="2"/>
  <c r="X2078" i="2" s="1"/>
  <c r="W2079" i="2"/>
  <c r="X2079" i="2" s="1"/>
  <c r="W2080" i="2"/>
  <c r="X2080" i="2" s="1"/>
  <c r="W2081" i="2"/>
  <c r="X2081" i="2" s="1"/>
  <c r="W2082" i="2"/>
  <c r="X2082" i="2" s="1"/>
  <c r="W2083" i="2"/>
  <c r="X2083" i="2" s="1"/>
  <c r="Z2083" i="2" s="1"/>
  <c r="W2084" i="2"/>
  <c r="X2084" i="2" s="1"/>
  <c r="W2085" i="2"/>
  <c r="X2085" i="2" s="1"/>
  <c r="W2086" i="2"/>
  <c r="X2086" i="2" s="1"/>
  <c r="W2036" i="2"/>
  <c r="X2036" i="2" s="1"/>
  <c r="W161" i="2"/>
  <c r="AB2167" i="22" l="1"/>
  <c r="Q2167" i="22"/>
  <c r="AB2184" i="22"/>
  <c r="Q2184" i="22"/>
  <c r="AB2191" i="22"/>
  <c r="Q2191" i="22"/>
  <c r="Q2199" i="22"/>
  <c r="AB2199" i="22"/>
  <c r="AB2159" i="22"/>
  <c r="Q2159" i="22"/>
  <c r="AB2175" i="22"/>
  <c r="Q2175" i="22"/>
  <c r="AB2151" i="22"/>
  <c r="Q2172" i="22"/>
  <c r="AB2172" i="22"/>
  <c r="Q2183" i="22"/>
  <c r="AB2183" i="22"/>
  <c r="Y2200" i="22"/>
  <c r="Q2200" i="22" s="1"/>
  <c r="Y2179" i="22"/>
  <c r="AB2179" i="22" s="1"/>
  <c r="Z2182" i="22"/>
  <c r="Z2149" i="22"/>
  <c r="AA2189" i="22"/>
  <c r="Y2189" i="22" s="1"/>
  <c r="AB2189" i="22" s="1"/>
  <c r="Z2170" i="22"/>
  <c r="AA2170" i="22"/>
  <c r="Y2190" i="22"/>
  <c r="Z2195" i="22"/>
  <c r="Z2174" i="22"/>
  <c r="Z2198" i="22"/>
  <c r="Y2198" i="22" s="1"/>
  <c r="AB2150" i="22"/>
  <c r="AB2200" i="22"/>
  <c r="AA2173" i="22"/>
  <c r="Y2173" i="22" s="1"/>
  <c r="Y2197" i="22"/>
  <c r="AB2197" i="22" s="1"/>
  <c r="Z2192" i="22"/>
  <c r="Y2185" i="22"/>
  <c r="Q2176" i="22"/>
  <c r="Y2176" i="22"/>
  <c r="AB2176" i="22" s="1"/>
  <c r="Q2166" i="22"/>
  <c r="Y2166" i="22"/>
  <c r="AA2168" i="22"/>
  <c r="Y2168" i="22" s="1"/>
  <c r="AB2166" i="22"/>
  <c r="Y2194" i="22"/>
  <c r="AB2194" i="22" s="1"/>
  <c r="AA2179" i="22"/>
  <c r="Y2201" i="22"/>
  <c r="AA2192" i="22"/>
  <c r="AA2161" i="22"/>
  <c r="Y2161" i="22" s="1"/>
  <c r="Q2151" i="22"/>
  <c r="Y2151" i="22"/>
  <c r="Q2152" i="22"/>
  <c r="Y2152" i="22"/>
  <c r="AB2152" i="22" s="1"/>
  <c r="Z2146" i="22"/>
  <c r="Q2157" i="22"/>
  <c r="Z2186" i="22"/>
  <c r="AA2186" i="22"/>
  <c r="Q2160" i="22"/>
  <c r="Y2160" i="22"/>
  <c r="AB2160" i="22" s="1"/>
  <c r="Z2171" i="22"/>
  <c r="AA2171" i="22"/>
  <c r="Z2187" i="22"/>
  <c r="Z2154" i="22"/>
  <c r="AA2185" i="22"/>
  <c r="AB2155" i="22"/>
  <c r="Z2148" i="22"/>
  <c r="AA2148" i="22"/>
  <c r="Y2158" i="22"/>
  <c r="AB2158" i="22" s="1"/>
  <c r="Z2163" i="22"/>
  <c r="AA2163" i="22"/>
  <c r="Z2162" i="22"/>
  <c r="Y2165" i="22"/>
  <c r="Y2181" i="22"/>
  <c r="AA2200" i="22"/>
  <c r="AA2178" i="22"/>
  <c r="Y2178" i="22" s="1"/>
  <c r="AB2178" i="22" s="1"/>
  <c r="AA2145" i="22"/>
  <c r="Y2145" i="22" s="1"/>
  <c r="AA2195" i="22"/>
  <c r="Z2038" i="2"/>
  <c r="Q2038" i="2" s="1"/>
  <c r="Z2056" i="2"/>
  <c r="Q2056" i="2" s="1"/>
  <c r="Q2083" i="2"/>
  <c r="Z2080" i="2"/>
  <c r="Q2040" i="2"/>
  <c r="Q2061" i="2"/>
  <c r="Q179" i="2"/>
  <c r="Z2058" i="2"/>
  <c r="Q2058" i="2" s="1"/>
  <c r="Z2084" i="2"/>
  <c r="Q2084" i="2" s="1"/>
  <c r="Z198" i="2"/>
  <c r="Q198" i="2" s="1"/>
  <c r="Z2076" i="2"/>
  <c r="Q2076" i="2" s="1"/>
  <c r="Z2054" i="2"/>
  <c r="Q2054" i="2" s="1"/>
  <c r="Z2067" i="2"/>
  <c r="Q2067" i="2" s="1"/>
  <c r="Q2075" i="2"/>
  <c r="Z2059" i="2"/>
  <c r="Q2059" i="2" s="1"/>
  <c r="Z2043" i="2"/>
  <c r="Q2043" i="2" s="1"/>
  <c r="Z2039" i="2"/>
  <c r="Q2039" i="2" s="1"/>
  <c r="Z146" i="2"/>
  <c r="Q146" i="2" s="1"/>
  <c r="Z2051" i="2"/>
  <c r="Q2051" i="2" s="1"/>
  <c r="Q2080" i="2"/>
  <c r="Z2081" i="2"/>
  <c r="Q2081" i="2" s="1"/>
  <c r="Z2065" i="2"/>
  <c r="Q2065" i="2" s="1"/>
  <c r="Z2072" i="2"/>
  <c r="Q2072" i="2" s="1"/>
  <c r="Z2048" i="2"/>
  <c r="Q2048" i="2" s="1"/>
  <c r="Z2073" i="2"/>
  <c r="Q2073" i="2" s="1"/>
  <c r="Q2069" i="2"/>
  <c r="Q2047" i="2"/>
  <c r="Z2070" i="2"/>
  <c r="Q2070" i="2" s="1"/>
  <c r="Z2044" i="2"/>
  <c r="Q2044" i="2" s="1"/>
  <c r="Z2074" i="2"/>
  <c r="Q2074" i="2" s="1"/>
  <c r="Z2057" i="2"/>
  <c r="Q2057" i="2" s="1"/>
  <c r="Z2052" i="2"/>
  <c r="Q2052" i="2" s="1"/>
  <c r="Z2037" i="2"/>
  <c r="Q2037" i="2" s="1"/>
  <c r="Z2066" i="2"/>
  <c r="Q2066" i="2" s="1"/>
  <c r="Z158" i="2"/>
  <c r="Q158" i="2" s="1"/>
  <c r="Z2079" i="2"/>
  <c r="Q2079" i="2" s="1"/>
  <c r="X2045" i="2"/>
  <c r="Z2045" i="2" s="1"/>
  <c r="Q2045" i="2" s="1"/>
  <c r="Z2086" i="2"/>
  <c r="Q2086" i="2" s="1"/>
  <c r="Z2062" i="2"/>
  <c r="Q2062" i="2" s="1"/>
  <c r="Z2041" i="2"/>
  <c r="Q2041" i="2" s="1"/>
  <c r="Z2078" i="2"/>
  <c r="Q2078" i="2" s="1"/>
  <c r="Z2064" i="2"/>
  <c r="Q2064" i="2" s="1"/>
  <c r="Z2050" i="2"/>
  <c r="Q2050" i="2" s="1"/>
  <c r="X2077" i="2"/>
  <c r="Z2077" i="2" s="1"/>
  <c r="Q2077" i="2" s="1"/>
  <c r="X2063" i="2"/>
  <c r="Z2063" i="2" s="1"/>
  <c r="Q2063" i="2" s="1"/>
  <c r="X2049" i="2"/>
  <c r="Z2049" i="2" s="1"/>
  <c r="Q2049" i="2" s="1"/>
  <c r="Z2085" i="2"/>
  <c r="Q2085" i="2" s="1"/>
  <c r="Z2071" i="2"/>
  <c r="Q2071" i="2" s="1"/>
  <c r="Z2055" i="2"/>
  <c r="Q2055" i="2" s="1"/>
  <c r="Z2042" i="2"/>
  <c r="Q2042" i="2" s="1"/>
  <c r="Z2082" i="2"/>
  <c r="Q2082" i="2" s="1"/>
  <c r="Z193" i="2"/>
  <c r="Q193" i="2" s="1"/>
  <c r="Z2068" i="2"/>
  <c r="Q2068" i="2" s="1"/>
  <c r="Z2060" i="2"/>
  <c r="Q2060" i="2" s="1"/>
  <c r="Z2053" i="2"/>
  <c r="Q2053" i="2" s="1"/>
  <c r="Z2046" i="2"/>
  <c r="Q2046" i="2" s="1"/>
  <c r="Z172" i="2"/>
  <c r="Q172" i="2" s="1"/>
  <c r="Z2036" i="2"/>
  <c r="Q2036" i="2" s="1"/>
  <c r="X161" i="2"/>
  <c r="Z161" i="2" s="1"/>
  <c r="Q161" i="2" s="1"/>
  <c r="Y300" i="22"/>
  <c r="Y301" i="22"/>
  <c r="Y302" i="22"/>
  <c r="Y303" i="22"/>
  <c r="Y304" i="22"/>
  <c r="Y305" i="22"/>
  <c r="Y306" i="22"/>
  <c r="Y307" i="22"/>
  <c r="Y308" i="22"/>
  <c r="Y309" i="22"/>
  <c r="Y310" i="22"/>
  <c r="Y311" i="22"/>
  <c r="Y312" i="22"/>
  <c r="Y313" i="22"/>
  <c r="Y314" i="22"/>
  <c r="Y315" i="22"/>
  <c r="Y316" i="22"/>
  <c r="Y317" i="22"/>
  <c r="Y318" i="22"/>
  <c r="Y319" i="22"/>
  <c r="Y320" i="22"/>
  <c r="Y321" i="22"/>
  <c r="Y322" i="22"/>
  <c r="Y323" i="22"/>
  <c r="Y324" i="22"/>
  <c r="Y325" i="22"/>
  <c r="Y326" i="22"/>
  <c r="Y327" i="22"/>
  <c r="Y328" i="22"/>
  <c r="Y329" i="22"/>
  <c r="Y330" i="22"/>
  <c r="Y331" i="22"/>
  <c r="Y332" i="22"/>
  <c r="Y333" i="22"/>
  <c r="Y334" i="22"/>
  <c r="Y335" i="22"/>
  <c r="Y336" i="22"/>
  <c r="Y337" i="22"/>
  <c r="Y338" i="22"/>
  <c r="Y339" i="22"/>
  <c r="Y340" i="22"/>
  <c r="Y341" i="22"/>
  <c r="Y342" i="22"/>
  <c r="Y343" i="22"/>
  <c r="Y344" i="22"/>
  <c r="Y345" i="22"/>
  <c r="Y346" i="22"/>
  <c r="Y347" i="22"/>
  <c r="Y348" i="22"/>
  <c r="Y349" i="22"/>
  <c r="Y350" i="22"/>
  <c r="Y351" i="22"/>
  <c r="Y352" i="22"/>
  <c r="Y353" i="22"/>
  <c r="Y354" i="22"/>
  <c r="Y355" i="22"/>
  <c r="Y356" i="22"/>
  <c r="Y357" i="22"/>
  <c r="Y358" i="22"/>
  <c r="Y359" i="22"/>
  <c r="Y360" i="22"/>
  <c r="Y361" i="22"/>
  <c r="Y362" i="22"/>
  <c r="Y363" i="22"/>
  <c r="Y364" i="22"/>
  <c r="Y365" i="22"/>
  <c r="Y366" i="22"/>
  <c r="Y367" i="22"/>
  <c r="Y368" i="22"/>
  <c r="Y369" i="22"/>
  <c r="Y370" i="22"/>
  <c r="Y371" i="22"/>
  <c r="Y372" i="22"/>
  <c r="Y373" i="22"/>
  <c r="Y374" i="22"/>
  <c r="Y375" i="22"/>
  <c r="Y376" i="22"/>
  <c r="Y377" i="22"/>
  <c r="Y378" i="22"/>
  <c r="Y379" i="22"/>
  <c r="Y380" i="22"/>
  <c r="Y381" i="22"/>
  <c r="Y382" i="22"/>
  <c r="Y383" i="22"/>
  <c r="Y384" i="22"/>
  <c r="Y385" i="22"/>
  <c r="Y386" i="22"/>
  <c r="Y387" i="22"/>
  <c r="Y388" i="22"/>
  <c r="Y389" i="22"/>
  <c r="Y390" i="22"/>
  <c r="Y391" i="22"/>
  <c r="Y392" i="22"/>
  <c r="Y393" i="22"/>
  <c r="Y394" i="22"/>
  <c r="Y395" i="22"/>
  <c r="Y396" i="22"/>
  <c r="Y397" i="22"/>
  <c r="Y398" i="22"/>
  <c r="Y399" i="22"/>
  <c r="Y400" i="22"/>
  <c r="Y401" i="22"/>
  <c r="Y402" i="22"/>
  <c r="Y403" i="22"/>
  <c r="Y404" i="22"/>
  <c r="Y405" i="22"/>
  <c r="Y406" i="22"/>
  <c r="Y407" i="22"/>
  <c r="Y408" i="22"/>
  <c r="Y409" i="22"/>
  <c r="Y410" i="22"/>
  <c r="Y411" i="22"/>
  <c r="Y412" i="22"/>
  <c r="Y413" i="22"/>
  <c r="Y414" i="22"/>
  <c r="Y415" i="22"/>
  <c r="Y416" i="22"/>
  <c r="Y417" i="22"/>
  <c r="Y418" i="22"/>
  <c r="Y419" i="22"/>
  <c r="Y420" i="22"/>
  <c r="Y421" i="22"/>
  <c r="Y422" i="22"/>
  <c r="Y423" i="22"/>
  <c r="Y424" i="22"/>
  <c r="Y425" i="22"/>
  <c r="Y426" i="22"/>
  <c r="Y427" i="22"/>
  <c r="Y428" i="22"/>
  <c r="Y429" i="22"/>
  <c r="Y430" i="22"/>
  <c r="Y431" i="22"/>
  <c r="Y432" i="22"/>
  <c r="Y433" i="22"/>
  <c r="Y434" i="22"/>
  <c r="Y435" i="22"/>
  <c r="Y436" i="22"/>
  <c r="Y437" i="22"/>
  <c r="Y438" i="22"/>
  <c r="Y439" i="22"/>
  <c r="Y440" i="22"/>
  <c r="Y441" i="22"/>
  <c r="Y442" i="22"/>
  <c r="Y443" i="22"/>
  <c r="Y444" i="22"/>
  <c r="Y445" i="22"/>
  <c r="Y446" i="22"/>
  <c r="Y447" i="22"/>
  <c r="Y448" i="22"/>
  <c r="Y449" i="22"/>
  <c r="Y450" i="22"/>
  <c r="Y451" i="22"/>
  <c r="Y452" i="22"/>
  <c r="Y453" i="22"/>
  <c r="Y454" i="22"/>
  <c r="Y455" i="22"/>
  <c r="Y456" i="22"/>
  <c r="Y457" i="22"/>
  <c r="Y458" i="22"/>
  <c r="Y459" i="22"/>
  <c r="Y460" i="22"/>
  <c r="Y461" i="22"/>
  <c r="Y462" i="22"/>
  <c r="Y463" i="22"/>
  <c r="Y464" i="22"/>
  <c r="Y465" i="22"/>
  <c r="Y466" i="22"/>
  <c r="Y467" i="22"/>
  <c r="Y468" i="22"/>
  <c r="Y469" i="22"/>
  <c r="Y470" i="22"/>
  <c r="Y471" i="22"/>
  <c r="Y472" i="22"/>
  <c r="Y473" i="22"/>
  <c r="Y474" i="22"/>
  <c r="Y475" i="22"/>
  <c r="Y476" i="22"/>
  <c r="Y477" i="22"/>
  <c r="Y478" i="22"/>
  <c r="Y479" i="22"/>
  <c r="Y480" i="22"/>
  <c r="Y481" i="22"/>
  <c r="Y482" i="22"/>
  <c r="Y483" i="22"/>
  <c r="Y484" i="22"/>
  <c r="Y485" i="22"/>
  <c r="Y486" i="22"/>
  <c r="Y487" i="22"/>
  <c r="Y488" i="22"/>
  <c r="Y489" i="22"/>
  <c r="Y490" i="22"/>
  <c r="Y491" i="22"/>
  <c r="Y492" i="22"/>
  <c r="Y493" i="22"/>
  <c r="Y494" i="22"/>
  <c r="Y495" i="22"/>
  <c r="Y496" i="22"/>
  <c r="Y497" i="22"/>
  <c r="Y498" i="22"/>
  <c r="Y499" i="22"/>
  <c r="Y500" i="22"/>
  <c r="Y501" i="22"/>
  <c r="Y502" i="22"/>
  <c r="Y503" i="22"/>
  <c r="Y504" i="22"/>
  <c r="Y505" i="22"/>
  <c r="Y506" i="22"/>
  <c r="Y507" i="22"/>
  <c r="Y508" i="22"/>
  <c r="Y509" i="22"/>
  <c r="Y510" i="22"/>
  <c r="Y511" i="22"/>
  <c r="Y512" i="22"/>
  <c r="Y513" i="22"/>
  <c r="Y514" i="22"/>
  <c r="Y515" i="22"/>
  <c r="Y516" i="22"/>
  <c r="Y517" i="22"/>
  <c r="Y518" i="22"/>
  <c r="Y519" i="22"/>
  <c r="Y520" i="22"/>
  <c r="Y521" i="22"/>
  <c r="Y522" i="22"/>
  <c r="Y523" i="22"/>
  <c r="Y524" i="22"/>
  <c r="Y525" i="22"/>
  <c r="Y526" i="22"/>
  <c r="Y527" i="22"/>
  <c r="Y528" i="22"/>
  <c r="Y529" i="22"/>
  <c r="Y530" i="22"/>
  <c r="Y531" i="22"/>
  <c r="Y532" i="22"/>
  <c r="Y533" i="22"/>
  <c r="Y534" i="22"/>
  <c r="Y535" i="22"/>
  <c r="Y536" i="22"/>
  <c r="Y537" i="22"/>
  <c r="Y538" i="22"/>
  <c r="Y539" i="22"/>
  <c r="Y540" i="22"/>
  <c r="Y541" i="22"/>
  <c r="Y542" i="22"/>
  <c r="Y543" i="22"/>
  <c r="Y544" i="22"/>
  <c r="Y545" i="22"/>
  <c r="Y546" i="22"/>
  <c r="Y547" i="22"/>
  <c r="Y548" i="22"/>
  <c r="Y549" i="22"/>
  <c r="Y550" i="22"/>
  <c r="Y551" i="22"/>
  <c r="Y552" i="22"/>
  <c r="Y553" i="22"/>
  <c r="Y554" i="22"/>
  <c r="Y555" i="22"/>
  <c r="Y556" i="22"/>
  <c r="Y557" i="22"/>
  <c r="Y558" i="22"/>
  <c r="Y559" i="22"/>
  <c r="Y560" i="22"/>
  <c r="Y561" i="22"/>
  <c r="Y562" i="22"/>
  <c r="Y563" i="22"/>
  <c r="Y564" i="22"/>
  <c r="Y565" i="22"/>
  <c r="Y566" i="22"/>
  <c r="Y567" i="22"/>
  <c r="Y568" i="22"/>
  <c r="Y569" i="22"/>
  <c r="Y570" i="22"/>
  <c r="Y571" i="22"/>
  <c r="Y572" i="22"/>
  <c r="Y573" i="22"/>
  <c r="Y574" i="22"/>
  <c r="Y575" i="22"/>
  <c r="Y576" i="22"/>
  <c r="Y577" i="22"/>
  <c r="Y578" i="22"/>
  <c r="Y579" i="22"/>
  <c r="Y580" i="22"/>
  <c r="Y581" i="22"/>
  <c r="Y582" i="22"/>
  <c r="Y583" i="22"/>
  <c r="Y584" i="22"/>
  <c r="Y585" i="22"/>
  <c r="Y586" i="22"/>
  <c r="Y587" i="22"/>
  <c r="Y588" i="22"/>
  <c r="Y589" i="22"/>
  <c r="Y590" i="22"/>
  <c r="Y591" i="22"/>
  <c r="Y592" i="22"/>
  <c r="Y593" i="22"/>
  <c r="Y594" i="22"/>
  <c r="Y595" i="22"/>
  <c r="Y596" i="22"/>
  <c r="Y597" i="22"/>
  <c r="Y598" i="22"/>
  <c r="Y599" i="22"/>
  <c r="Y600" i="22"/>
  <c r="Y601" i="22"/>
  <c r="Y602" i="22"/>
  <c r="Y603" i="22"/>
  <c r="Y604" i="22"/>
  <c r="Y605" i="22"/>
  <c r="Y606" i="22"/>
  <c r="Y607" i="22"/>
  <c r="Y608" i="22"/>
  <c r="Y609" i="22"/>
  <c r="Y610" i="22"/>
  <c r="Y611" i="22"/>
  <c r="Y612" i="22"/>
  <c r="Y613" i="22"/>
  <c r="Y614" i="22"/>
  <c r="Y615" i="22"/>
  <c r="Y616" i="22"/>
  <c r="Y617" i="22"/>
  <c r="Y618" i="22"/>
  <c r="Y619" i="22"/>
  <c r="Y620" i="22"/>
  <c r="Y621" i="22"/>
  <c r="Y622" i="22"/>
  <c r="Y623" i="22"/>
  <c r="Y624" i="22"/>
  <c r="Y625" i="22"/>
  <c r="Y626" i="22"/>
  <c r="Y627" i="22"/>
  <c r="Y628" i="22"/>
  <c r="Y629" i="22"/>
  <c r="Y630" i="22"/>
  <c r="Y631" i="22"/>
  <c r="Y632" i="22"/>
  <c r="Y633" i="22"/>
  <c r="Y634" i="22"/>
  <c r="Y635" i="22"/>
  <c r="Y636" i="22"/>
  <c r="Y637" i="22"/>
  <c r="Y638" i="22"/>
  <c r="Y639" i="22"/>
  <c r="Y640" i="22"/>
  <c r="Y641" i="22"/>
  <c r="Y642" i="22"/>
  <c r="Y643" i="22"/>
  <c r="Y644" i="22"/>
  <c r="Y645" i="22"/>
  <c r="Y646" i="22"/>
  <c r="Y647" i="22"/>
  <c r="Y648" i="22"/>
  <c r="Y649" i="22"/>
  <c r="Y650" i="22"/>
  <c r="Y651" i="22"/>
  <c r="Y652" i="22"/>
  <c r="Y653" i="22"/>
  <c r="Y654" i="22"/>
  <c r="Y655" i="22"/>
  <c r="Y656" i="22"/>
  <c r="Y657" i="22"/>
  <c r="Y658" i="22"/>
  <c r="Y659" i="22"/>
  <c r="Y660" i="22"/>
  <c r="Y661" i="22"/>
  <c r="Y662" i="22"/>
  <c r="Y663" i="22"/>
  <c r="Y664" i="22"/>
  <c r="Y665" i="22"/>
  <c r="Y666" i="22"/>
  <c r="Y667" i="22"/>
  <c r="Y668" i="22"/>
  <c r="Y669" i="22"/>
  <c r="Y670" i="22"/>
  <c r="Y671" i="22"/>
  <c r="Y672" i="22"/>
  <c r="Y673" i="22"/>
  <c r="Y674" i="22"/>
  <c r="Y675" i="22"/>
  <c r="Y676" i="22"/>
  <c r="Y677" i="22"/>
  <c r="Y678" i="22"/>
  <c r="Y679" i="22"/>
  <c r="Y680" i="22"/>
  <c r="Y681" i="22"/>
  <c r="Y682" i="22"/>
  <c r="Y683" i="22"/>
  <c r="Y684" i="22"/>
  <c r="Y685" i="22"/>
  <c r="Y686" i="22"/>
  <c r="Y687" i="22"/>
  <c r="Y688" i="22"/>
  <c r="Y689" i="22"/>
  <c r="Y690" i="22"/>
  <c r="Y691" i="22"/>
  <c r="Y692" i="22"/>
  <c r="Y693" i="22"/>
  <c r="Y694" i="22"/>
  <c r="Y695" i="22"/>
  <c r="Y696" i="22"/>
  <c r="Y697" i="22"/>
  <c r="Y698" i="22"/>
  <c r="Y699" i="22"/>
  <c r="Y700" i="22"/>
  <c r="Y701" i="22"/>
  <c r="Y702" i="22"/>
  <c r="Y703" i="22"/>
  <c r="Y704" i="22"/>
  <c r="Y705" i="22"/>
  <c r="Y706" i="22"/>
  <c r="Y707" i="22"/>
  <c r="Y708" i="22"/>
  <c r="Y709" i="22"/>
  <c r="Y710" i="22"/>
  <c r="Y711" i="22"/>
  <c r="Y712" i="22"/>
  <c r="Y713" i="22"/>
  <c r="Y714" i="22"/>
  <c r="Y715" i="22"/>
  <c r="Y716" i="22"/>
  <c r="Y717" i="22"/>
  <c r="Y718" i="22"/>
  <c r="Y719" i="22"/>
  <c r="Y720" i="22"/>
  <c r="Y721" i="22"/>
  <c r="Y722" i="22"/>
  <c r="Y723" i="22"/>
  <c r="Y724" i="22"/>
  <c r="Y725" i="22"/>
  <c r="Y726" i="22"/>
  <c r="Y727" i="22"/>
  <c r="Y728" i="22"/>
  <c r="Y729" i="22"/>
  <c r="Y730" i="22"/>
  <c r="Y731" i="22"/>
  <c r="Y732" i="22"/>
  <c r="Y733" i="22"/>
  <c r="Y734" i="22"/>
  <c r="Y735" i="22"/>
  <c r="Y736" i="22"/>
  <c r="Y737" i="22"/>
  <c r="Y738" i="22"/>
  <c r="Y739" i="22"/>
  <c r="Y740" i="22"/>
  <c r="Y741" i="22"/>
  <c r="Y742" i="22"/>
  <c r="Y743" i="22"/>
  <c r="Y744" i="22"/>
  <c r="Y745" i="22"/>
  <c r="Y746" i="22"/>
  <c r="Y747" i="22"/>
  <c r="Y748" i="22"/>
  <c r="Y749" i="22"/>
  <c r="Y750" i="22"/>
  <c r="Y751" i="22"/>
  <c r="Y752" i="22"/>
  <c r="Y753" i="22"/>
  <c r="Y754" i="22"/>
  <c r="Y755" i="22"/>
  <c r="Y756" i="22"/>
  <c r="Y757" i="22"/>
  <c r="Y758" i="22"/>
  <c r="Y759" i="22"/>
  <c r="Y760" i="22"/>
  <c r="Y761" i="22"/>
  <c r="Y762" i="22"/>
  <c r="Y763" i="22"/>
  <c r="Y764" i="22"/>
  <c r="Y765" i="22"/>
  <c r="Y766" i="22"/>
  <c r="Y767" i="22"/>
  <c r="Y768" i="22"/>
  <c r="Y769" i="22"/>
  <c r="Y770" i="22"/>
  <c r="Y771" i="22"/>
  <c r="Y772" i="22"/>
  <c r="Y773" i="22"/>
  <c r="Y774" i="22"/>
  <c r="Y775" i="22"/>
  <c r="Y776" i="22"/>
  <c r="Y777" i="22"/>
  <c r="Y778" i="22"/>
  <c r="Y779" i="22"/>
  <c r="Y780" i="22"/>
  <c r="Y781" i="22"/>
  <c r="Y782" i="22"/>
  <c r="Y783" i="22"/>
  <c r="Y784" i="22"/>
  <c r="Y785" i="22"/>
  <c r="Y786" i="22"/>
  <c r="Y787" i="22"/>
  <c r="Y788" i="22"/>
  <c r="Y789" i="22"/>
  <c r="Y790" i="22"/>
  <c r="Y791" i="22"/>
  <c r="Y792" i="22"/>
  <c r="Y793" i="22"/>
  <c r="Y794" i="22"/>
  <c r="Y795" i="22"/>
  <c r="Y796" i="22"/>
  <c r="Y797" i="22"/>
  <c r="Y798" i="22"/>
  <c r="Y799" i="22"/>
  <c r="Y800" i="22"/>
  <c r="Y801" i="22"/>
  <c r="Y802" i="22"/>
  <c r="Y803" i="22"/>
  <c r="Y804" i="22"/>
  <c r="Y805" i="22"/>
  <c r="Y806" i="22"/>
  <c r="Y807" i="22"/>
  <c r="Y808" i="22"/>
  <c r="Y809" i="22"/>
  <c r="Y810" i="22"/>
  <c r="Y811" i="22"/>
  <c r="Y812" i="22"/>
  <c r="Y813" i="22"/>
  <c r="Y814" i="22"/>
  <c r="Y815" i="22"/>
  <c r="Y816" i="22"/>
  <c r="Y817" i="22"/>
  <c r="Y818" i="22"/>
  <c r="Y819" i="22"/>
  <c r="Y820" i="22"/>
  <c r="Y821" i="22"/>
  <c r="Y822" i="22"/>
  <c r="Y823" i="22"/>
  <c r="Y824" i="22"/>
  <c r="Y825" i="22"/>
  <c r="Y826" i="22"/>
  <c r="Y827" i="22"/>
  <c r="Y828" i="22"/>
  <c r="Y829" i="22"/>
  <c r="Y830" i="22"/>
  <c r="Y831" i="22"/>
  <c r="Y832" i="22"/>
  <c r="Y833" i="22"/>
  <c r="Y834" i="22"/>
  <c r="Y835" i="22"/>
  <c r="Y836" i="22"/>
  <c r="Y837" i="22"/>
  <c r="Y838" i="22"/>
  <c r="Y839" i="22"/>
  <c r="Y840" i="22"/>
  <c r="Y841" i="22"/>
  <c r="Y842" i="22"/>
  <c r="Y843" i="22"/>
  <c r="Y844" i="22"/>
  <c r="Y845" i="22"/>
  <c r="Y846" i="22"/>
  <c r="Y847" i="22"/>
  <c r="Y848" i="22"/>
  <c r="Y849" i="22"/>
  <c r="Y850" i="22"/>
  <c r="Y851" i="22"/>
  <c r="Y852" i="22"/>
  <c r="Y853" i="22"/>
  <c r="Y854" i="22"/>
  <c r="Y855" i="22"/>
  <c r="Y856" i="22"/>
  <c r="Y857" i="22"/>
  <c r="Y858" i="22"/>
  <c r="Y859" i="22"/>
  <c r="Y860" i="22"/>
  <c r="Y861" i="22"/>
  <c r="Y862" i="22"/>
  <c r="Y863" i="22"/>
  <c r="Y864" i="22"/>
  <c r="Y865" i="22"/>
  <c r="Y866" i="22"/>
  <c r="Y867" i="22"/>
  <c r="Y868" i="22"/>
  <c r="Y869" i="22"/>
  <c r="Y870" i="22"/>
  <c r="Y871" i="22"/>
  <c r="Y872" i="22"/>
  <c r="Y873" i="22"/>
  <c r="Y874" i="22"/>
  <c r="Y875" i="22"/>
  <c r="Y876" i="22"/>
  <c r="Y877" i="22"/>
  <c r="Y878" i="22"/>
  <c r="Y879" i="22"/>
  <c r="Y880" i="22"/>
  <c r="Y881" i="22"/>
  <c r="Y882" i="22"/>
  <c r="Y883" i="22"/>
  <c r="Y884" i="22"/>
  <c r="Y885" i="22"/>
  <c r="Y886" i="22"/>
  <c r="Y887" i="22"/>
  <c r="Y888" i="22"/>
  <c r="Y889" i="22"/>
  <c r="Y890" i="22"/>
  <c r="Y891" i="22"/>
  <c r="Y892" i="22"/>
  <c r="Y893" i="22"/>
  <c r="Y894" i="22"/>
  <c r="Y895" i="22"/>
  <c r="Y896" i="22"/>
  <c r="Y897" i="22"/>
  <c r="Y898" i="22"/>
  <c r="Y899" i="22"/>
  <c r="Y900" i="22"/>
  <c r="Y901" i="22"/>
  <c r="Y902" i="22"/>
  <c r="Y903" i="22"/>
  <c r="Y904" i="22"/>
  <c r="Y905" i="22"/>
  <c r="Y906" i="22"/>
  <c r="Y907" i="22"/>
  <c r="Y908" i="22"/>
  <c r="Y909" i="22"/>
  <c r="Y910" i="22"/>
  <c r="Y911" i="22"/>
  <c r="Y912" i="22"/>
  <c r="Y913" i="22"/>
  <c r="Y914" i="22"/>
  <c r="Y915" i="22"/>
  <c r="Y916" i="22"/>
  <c r="Y917" i="22"/>
  <c r="Y918" i="22"/>
  <c r="Y919" i="22"/>
  <c r="Y920" i="22"/>
  <c r="Y921" i="22"/>
  <c r="Y922" i="22"/>
  <c r="Y923" i="22"/>
  <c r="Y924" i="22"/>
  <c r="Y925" i="22"/>
  <c r="Y926" i="22"/>
  <c r="Y927" i="22"/>
  <c r="Y928" i="22"/>
  <c r="Y929" i="22"/>
  <c r="Y930" i="22"/>
  <c r="Y931" i="22"/>
  <c r="Y932" i="22"/>
  <c r="Y933" i="22"/>
  <c r="Y934" i="22"/>
  <c r="Y935" i="22"/>
  <c r="Y936" i="22"/>
  <c r="Y937" i="22"/>
  <c r="Y938" i="22"/>
  <c r="Y939" i="22"/>
  <c r="Y940" i="22"/>
  <c r="Y941" i="22"/>
  <c r="Y942" i="22"/>
  <c r="Y943" i="22"/>
  <c r="Y944" i="22"/>
  <c r="Y945" i="22"/>
  <c r="Y946" i="22"/>
  <c r="Y947" i="22"/>
  <c r="Y948" i="22"/>
  <c r="Y949" i="22"/>
  <c r="Y950" i="22"/>
  <c r="Y951" i="22"/>
  <c r="Y952" i="22"/>
  <c r="Y953" i="22"/>
  <c r="Y954" i="22"/>
  <c r="Y955" i="22"/>
  <c r="Y956" i="22"/>
  <c r="Y957" i="22"/>
  <c r="Y958" i="22"/>
  <c r="Y959" i="22"/>
  <c r="Y960" i="22"/>
  <c r="Y961" i="22"/>
  <c r="Y962" i="22"/>
  <c r="Y963" i="22"/>
  <c r="Y964" i="22"/>
  <c r="Y965" i="22"/>
  <c r="Y966" i="22"/>
  <c r="Y967" i="22"/>
  <c r="Y968" i="22"/>
  <c r="Y969" i="22"/>
  <c r="Y970" i="22"/>
  <c r="Y971" i="22"/>
  <c r="Y972" i="22"/>
  <c r="Y973" i="22"/>
  <c r="Y974" i="22"/>
  <c r="Y975" i="22"/>
  <c r="Y976" i="22"/>
  <c r="Y977" i="22"/>
  <c r="Y978" i="22"/>
  <c r="Y979" i="22"/>
  <c r="Y980" i="22"/>
  <c r="Y981" i="22"/>
  <c r="Y982" i="22"/>
  <c r="Y983" i="22"/>
  <c r="Y984" i="22"/>
  <c r="Y985" i="22"/>
  <c r="Y986" i="22"/>
  <c r="Y987" i="22"/>
  <c r="Y988" i="22"/>
  <c r="Y989" i="22"/>
  <c r="Y990" i="22"/>
  <c r="Y991" i="22"/>
  <c r="Y992" i="22"/>
  <c r="Y993" i="22"/>
  <c r="Y994" i="22"/>
  <c r="Y995" i="22"/>
  <c r="Y996" i="22"/>
  <c r="Y997" i="22"/>
  <c r="Y998" i="22"/>
  <c r="Y999" i="22"/>
  <c r="Y1000" i="22"/>
  <c r="Y1001" i="22"/>
  <c r="Y1002" i="22"/>
  <c r="Y1003" i="22"/>
  <c r="Y1004" i="22"/>
  <c r="Y1005" i="22"/>
  <c r="Y1006" i="22"/>
  <c r="Y1007" i="22"/>
  <c r="Y1008" i="22"/>
  <c r="Y1009" i="22"/>
  <c r="Y1010" i="22"/>
  <c r="Y1011" i="22"/>
  <c r="Y1012" i="22"/>
  <c r="Y1013" i="22"/>
  <c r="Y1014" i="22"/>
  <c r="Y1015" i="22"/>
  <c r="Y1016" i="22"/>
  <c r="Y1017" i="22"/>
  <c r="Y1018" i="22"/>
  <c r="Y1019" i="22"/>
  <c r="Y1020" i="22"/>
  <c r="Y1021" i="22"/>
  <c r="Y1022" i="22"/>
  <c r="Y1023" i="22"/>
  <c r="Y1024" i="22"/>
  <c r="Y1025" i="22"/>
  <c r="Y1026" i="22"/>
  <c r="Y1027" i="22"/>
  <c r="Y1028" i="22"/>
  <c r="Y1029" i="22"/>
  <c r="Y1030" i="22"/>
  <c r="Y1031" i="22"/>
  <c r="Y1032" i="22"/>
  <c r="Y1033" i="22"/>
  <c r="Y1034" i="22"/>
  <c r="Y1035" i="22"/>
  <c r="Y1036" i="22"/>
  <c r="Y1037" i="22"/>
  <c r="Y1038" i="22"/>
  <c r="Y1039" i="22"/>
  <c r="Y1040" i="22"/>
  <c r="Y1041" i="22"/>
  <c r="Y1042" i="22"/>
  <c r="Y1043" i="22"/>
  <c r="Y1044" i="22"/>
  <c r="Y1045" i="22"/>
  <c r="Y1046" i="22"/>
  <c r="Y1047" i="22"/>
  <c r="Y1048" i="22"/>
  <c r="Y1049" i="22"/>
  <c r="Y1050" i="22"/>
  <c r="Y1051" i="22"/>
  <c r="Y1052" i="22"/>
  <c r="Y1053" i="22"/>
  <c r="Y1054" i="22"/>
  <c r="Y1055" i="22"/>
  <c r="Y1056" i="22"/>
  <c r="Y1057" i="22"/>
  <c r="Y1058" i="22"/>
  <c r="Y1059" i="22"/>
  <c r="Y1060" i="22"/>
  <c r="Y1061" i="22"/>
  <c r="Y1062" i="22"/>
  <c r="Y1063" i="22"/>
  <c r="Y1064" i="22"/>
  <c r="Y1065" i="22"/>
  <c r="Y1066" i="22"/>
  <c r="Y1067" i="22"/>
  <c r="Y1068" i="22"/>
  <c r="Y1069" i="22"/>
  <c r="Y1070" i="22"/>
  <c r="Y1071" i="22"/>
  <c r="Y1072" i="22"/>
  <c r="Y1073" i="22"/>
  <c r="Y1074" i="22"/>
  <c r="Y1075" i="22"/>
  <c r="Y1076" i="22"/>
  <c r="Y1077" i="22"/>
  <c r="Y1078" i="22"/>
  <c r="Y1079" i="22"/>
  <c r="Y1080" i="22"/>
  <c r="Y1081" i="22"/>
  <c r="Y1082" i="22"/>
  <c r="Y1083" i="22"/>
  <c r="Y1084" i="22"/>
  <c r="Y1085" i="22"/>
  <c r="Y1086" i="22"/>
  <c r="Y1087" i="22"/>
  <c r="Y1088" i="22"/>
  <c r="Y1089" i="22"/>
  <c r="Y1090" i="22"/>
  <c r="Y1091" i="22"/>
  <c r="Y1092" i="22"/>
  <c r="Y1093" i="22"/>
  <c r="Y1094" i="22"/>
  <c r="Y1095" i="22"/>
  <c r="Y1096" i="22"/>
  <c r="Y1097" i="22"/>
  <c r="Y1098" i="22"/>
  <c r="Y1099" i="22"/>
  <c r="Y1100" i="22"/>
  <c r="Y1101" i="22"/>
  <c r="Y1102" i="22"/>
  <c r="Y1103" i="22"/>
  <c r="Y1104" i="22"/>
  <c r="Y1105" i="22"/>
  <c r="Y1106" i="22"/>
  <c r="Y1107" i="22"/>
  <c r="Y1108" i="22"/>
  <c r="Y1109" i="22"/>
  <c r="Y1110" i="22"/>
  <c r="Y1111" i="22"/>
  <c r="Y1112" i="22"/>
  <c r="Y1113" i="22"/>
  <c r="Y1114" i="22"/>
  <c r="Y1115" i="22"/>
  <c r="Y1116" i="22"/>
  <c r="Y1117" i="22"/>
  <c r="Y1118" i="22"/>
  <c r="Y1119" i="22"/>
  <c r="Y1120" i="22"/>
  <c r="Y1121" i="22"/>
  <c r="Y1122" i="22"/>
  <c r="Y1123" i="22"/>
  <c r="Y1124" i="22"/>
  <c r="Y1125" i="22"/>
  <c r="Y1126" i="22"/>
  <c r="Y1127" i="22"/>
  <c r="Y1128" i="22"/>
  <c r="Y1129" i="22"/>
  <c r="Y1130" i="22"/>
  <c r="Y1131" i="22"/>
  <c r="Y1132" i="22"/>
  <c r="Y1133" i="22"/>
  <c r="Y1134" i="22"/>
  <c r="Y1135" i="22"/>
  <c r="Y1136" i="22"/>
  <c r="Y1137" i="22"/>
  <c r="Y1138" i="22"/>
  <c r="Y1139" i="22"/>
  <c r="Y1140" i="22"/>
  <c r="Y1141" i="22"/>
  <c r="Y1142" i="22"/>
  <c r="Y1143" i="22"/>
  <c r="Y1144" i="22"/>
  <c r="Y1145" i="22"/>
  <c r="Y1146" i="22"/>
  <c r="Y1147" i="22"/>
  <c r="Y1148" i="22"/>
  <c r="Y1149" i="22"/>
  <c r="Y1150" i="22"/>
  <c r="Y1151" i="22"/>
  <c r="Y1152" i="22"/>
  <c r="Y1153" i="22"/>
  <c r="Y1154" i="22"/>
  <c r="Y1155" i="22"/>
  <c r="Y1156" i="22"/>
  <c r="Y1157" i="22"/>
  <c r="Y1158" i="22"/>
  <c r="Y1159" i="22"/>
  <c r="Y1160" i="22"/>
  <c r="Y1161" i="22"/>
  <c r="Y1162" i="22"/>
  <c r="Y1163" i="22"/>
  <c r="Y1164" i="22"/>
  <c r="Y1165" i="22"/>
  <c r="Y1166" i="22"/>
  <c r="Y1167" i="22"/>
  <c r="Y1168" i="22"/>
  <c r="Y1169" i="22"/>
  <c r="Y1170" i="22"/>
  <c r="Y1171" i="22"/>
  <c r="Y1172" i="22"/>
  <c r="Y1173" i="22"/>
  <c r="Y1174" i="22"/>
  <c r="Y1175" i="22"/>
  <c r="Y1176" i="22"/>
  <c r="Y1177" i="22"/>
  <c r="Y1178" i="22"/>
  <c r="Y1179" i="22"/>
  <c r="Y1180" i="22"/>
  <c r="Y1181" i="22"/>
  <c r="Y1182" i="22"/>
  <c r="Y1183" i="22"/>
  <c r="Y1184" i="22"/>
  <c r="Y1185" i="22"/>
  <c r="Y1186" i="22"/>
  <c r="Y1187" i="22"/>
  <c r="Y1188" i="22"/>
  <c r="Y1189" i="22"/>
  <c r="Y1190" i="22"/>
  <c r="Y1191" i="22"/>
  <c r="Y1192" i="22"/>
  <c r="Y1193" i="22"/>
  <c r="Y1194" i="22"/>
  <c r="Y1195" i="22"/>
  <c r="Y1196" i="22"/>
  <c r="Y1197" i="22"/>
  <c r="Y1198" i="22"/>
  <c r="Y1199" i="22"/>
  <c r="Y1200" i="22"/>
  <c r="Y1201" i="22"/>
  <c r="Y1202" i="22"/>
  <c r="Y1203" i="22"/>
  <c r="Y1204" i="22"/>
  <c r="Y1205" i="22"/>
  <c r="Y1206" i="22"/>
  <c r="Y1207" i="22"/>
  <c r="Y1208" i="22"/>
  <c r="Y1209" i="22"/>
  <c r="Y1210" i="22"/>
  <c r="Y1211" i="22"/>
  <c r="Y1212" i="22"/>
  <c r="Y1213" i="22"/>
  <c r="Y1214" i="22"/>
  <c r="Y1215" i="22"/>
  <c r="Y1216" i="22"/>
  <c r="Y1217" i="22"/>
  <c r="Y1218" i="22"/>
  <c r="Y1219" i="22"/>
  <c r="Y1220" i="22"/>
  <c r="Y1221" i="22"/>
  <c r="Y1222" i="22"/>
  <c r="Y1223" i="22"/>
  <c r="Y1224" i="22"/>
  <c r="Y1225" i="22"/>
  <c r="Y1226" i="22"/>
  <c r="Y1227" i="22"/>
  <c r="Y1228" i="22"/>
  <c r="Y1229" i="22"/>
  <c r="Y1230" i="22"/>
  <c r="Y1231" i="22"/>
  <c r="Y1232" i="22"/>
  <c r="Y1233" i="22"/>
  <c r="Y1234" i="22"/>
  <c r="Y1235" i="22"/>
  <c r="Y1236" i="22"/>
  <c r="Y1237" i="22"/>
  <c r="Y1238" i="22"/>
  <c r="Y1239" i="22"/>
  <c r="Y1240" i="22"/>
  <c r="Y1241" i="22"/>
  <c r="Y1242" i="22"/>
  <c r="Y1243" i="22"/>
  <c r="Y1244" i="22"/>
  <c r="Y1245" i="22"/>
  <c r="Y1246" i="22"/>
  <c r="Y1247" i="22"/>
  <c r="Y1248" i="22"/>
  <c r="Y1249" i="22"/>
  <c r="Y1250" i="22"/>
  <c r="Y1251" i="22"/>
  <c r="Y1252" i="22"/>
  <c r="Y1253" i="22"/>
  <c r="Y1254" i="22"/>
  <c r="Y1255" i="22"/>
  <c r="Y1256" i="22"/>
  <c r="Y1257" i="22"/>
  <c r="Y1258" i="22"/>
  <c r="Y1259" i="22"/>
  <c r="Y1260" i="22"/>
  <c r="Y1261" i="22"/>
  <c r="Y1262" i="22"/>
  <c r="Y1263" i="22"/>
  <c r="Y1264" i="22"/>
  <c r="Y1265" i="22"/>
  <c r="Y1266" i="22"/>
  <c r="Y1267" i="22"/>
  <c r="Y1268" i="22"/>
  <c r="Y1269" i="22"/>
  <c r="Y1270" i="22"/>
  <c r="Y1271" i="22"/>
  <c r="Y1272" i="22"/>
  <c r="Y1273" i="22"/>
  <c r="Y1274" i="22"/>
  <c r="Y1275" i="22"/>
  <c r="Y1276" i="22"/>
  <c r="Y1277" i="22"/>
  <c r="Y1278" i="22"/>
  <c r="Y1279" i="22"/>
  <c r="Y1280" i="22"/>
  <c r="Y1281" i="22"/>
  <c r="Y1282" i="22"/>
  <c r="Y1283" i="22"/>
  <c r="Y1284" i="22"/>
  <c r="Y1285" i="22"/>
  <c r="Y1286" i="22"/>
  <c r="Y1287" i="22"/>
  <c r="Y1288" i="22"/>
  <c r="Y1289" i="22"/>
  <c r="Y1290" i="22"/>
  <c r="Y1291" i="22"/>
  <c r="Y1292" i="22"/>
  <c r="Y1293" i="22"/>
  <c r="Y1294" i="22"/>
  <c r="Y1295" i="22"/>
  <c r="Y1296" i="22"/>
  <c r="Y1297" i="22"/>
  <c r="Y1298" i="22"/>
  <c r="Y1299" i="22"/>
  <c r="Y1300" i="22"/>
  <c r="Y1301" i="22"/>
  <c r="Y1302" i="22"/>
  <c r="Y1303" i="22"/>
  <c r="Y1304" i="22"/>
  <c r="Y1305" i="22"/>
  <c r="Y1306" i="22"/>
  <c r="Y1307" i="22"/>
  <c r="Y1308" i="22"/>
  <c r="Y1309" i="22"/>
  <c r="Y1310" i="22"/>
  <c r="Y1311" i="22"/>
  <c r="Y1312" i="22"/>
  <c r="Y1313" i="22"/>
  <c r="Y1314" i="22"/>
  <c r="Y1315" i="22"/>
  <c r="Y1316" i="22"/>
  <c r="Y1317" i="22"/>
  <c r="Y1318" i="22"/>
  <c r="Y1319" i="22"/>
  <c r="Y1320" i="22"/>
  <c r="Y1321" i="22"/>
  <c r="Y1322" i="22"/>
  <c r="Y1323" i="22"/>
  <c r="Y1324" i="22"/>
  <c r="Y1325" i="22"/>
  <c r="Y1326" i="22"/>
  <c r="Y1327" i="22"/>
  <c r="Y1328" i="22"/>
  <c r="Y1329" i="22"/>
  <c r="Y1330" i="22"/>
  <c r="Y1331" i="22"/>
  <c r="Y1332" i="22"/>
  <c r="Y1333" i="22"/>
  <c r="Y1334" i="22"/>
  <c r="Y1335" i="22"/>
  <c r="Y1336" i="22"/>
  <c r="Y1337" i="22"/>
  <c r="Y1338" i="22"/>
  <c r="Y1339" i="22"/>
  <c r="Y1340" i="22"/>
  <c r="Y1341" i="22"/>
  <c r="Y1342" i="22"/>
  <c r="Y1343" i="22"/>
  <c r="Y1344" i="22"/>
  <c r="Y1345" i="22"/>
  <c r="Y1346" i="22"/>
  <c r="Y1347" i="22"/>
  <c r="Y1348" i="22"/>
  <c r="Y1349" i="22"/>
  <c r="Y1350" i="22"/>
  <c r="Y1351" i="22"/>
  <c r="Y1352" i="22"/>
  <c r="Y1353" i="22"/>
  <c r="Y1354" i="22"/>
  <c r="Y1355" i="22"/>
  <c r="Y1356" i="22"/>
  <c r="Y1357" i="22"/>
  <c r="Y1358" i="22"/>
  <c r="Y1359" i="22"/>
  <c r="Y1360" i="22"/>
  <c r="Y1361" i="22"/>
  <c r="Y1362" i="22"/>
  <c r="Y1363" i="22"/>
  <c r="Y1364" i="22"/>
  <c r="Y1365" i="22"/>
  <c r="Y1366" i="22"/>
  <c r="Y1367" i="22"/>
  <c r="Y1368" i="22"/>
  <c r="Y1369" i="22"/>
  <c r="Y1370" i="22"/>
  <c r="Y1371" i="22"/>
  <c r="Y1372" i="22"/>
  <c r="Y1373" i="22"/>
  <c r="Y1374" i="22"/>
  <c r="Y1375" i="22"/>
  <c r="Y1376" i="22"/>
  <c r="Y1377" i="22"/>
  <c r="Y1378" i="22"/>
  <c r="Y1379" i="22"/>
  <c r="Y1380" i="22"/>
  <c r="Y1381" i="22"/>
  <c r="Y1382" i="22"/>
  <c r="Y1383" i="22"/>
  <c r="Y1384" i="22"/>
  <c r="Y1385" i="22"/>
  <c r="Y1386" i="22"/>
  <c r="Y1387" i="22"/>
  <c r="Y1388" i="22"/>
  <c r="Y1389" i="22"/>
  <c r="Y1390" i="22"/>
  <c r="Y1391" i="22"/>
  <c r="Y1392" i="22"/>
  <c r="Y1393" i="22"/>
  <c r="Y1394" i="22"/>
  <c r="Y1395" i="22"/>
  <c r="Y1396" i="22"/>
  <c r="Y1397" i="22"/>
  <c r="Y1398" i="22"/>
  <c r="Y1399" i="22"/>
  <c r="Y1400" i="22"/>
  <c r="Y1401" i="22"/>
  <c r="Y1402" i="22"/>
  <c r="Y1403" i="22"/>
  <c r="Y1404" i="22"/>
  <c r="Y1405" i="22"/>
  <c r="Y1406" i="22"/>
  <c r="Y1407" i="22"/>
  <c r="Y1408" i="22"/>
  <c r="Y1409" i="22"/>
  <c r="Y1410" i="22"/>
  <c r="Y1411" i="22"/>
  <c r="Y1412" i="22"/>
  <c r="Y1413" i="22"/>
  <c r="Y1414" i="22"/>
  <c r="Y1415" i="22"/>
  <c r="Y1416" i="22"/>
  <c r="Y1417" i="22"/>
  <c r="Y1418" i="22"/>
  <c r="Y1419" i="22"/>
  <c r="Y1420" i="22"/>
  <c r="Y1421" i="22"/>
  <c r="Y1422" i="22"/>
  <c r="Y1423" i="22"/>
  <c r="Y1424" i="22"/>
  <c r="Y1425" i="22"/>
  <c r="Y1426" i="22"/>
  <c r="Y1427" i="22"/>
  <c r="Y1428" i="22"/>
  <c r="Y1429" i="22"/>
  <c r="Y1430" i="22"/>
  <c r="Y1431" i="22"/>
  <c r="Y1432" i="22"/>
  <c r="Y1433" i="22"/>
  <c r="Y1434" i="22"/>
  <c r="Y1435" i="22"/>
  <c r="Y1436" i="22"/>
  <c r="Y1437" i="22"/>
  <c r="Y1438" i="22"/>
  <c r="Y1439" i="22"/>
  <c r="Y1440" i="22"/>
  <c r="Y1441" i="22"/>
  <c r="Y1442" i="22"/>
  <c r="Y1443" i="22"/>
  <c r="Y1444" i="22"/>
  <c r="Y1445" i="22"/>
  <c r="Y1446" i="22"/>
  <c r="Y1447" i="22"/>
  <c r="Y1448" i="22"/>
  <c r="Y1449" i="22"/>
  <c r="Y1450" i="22"/>
  <c r="Y1451" i="22"/>
  <c r="Y1452" i="22"/>
  <c r="Y1453" i="22"/>
  <c r="Y1454" i="22"/>
  <c r="Y1455" i="22"/>
  <c r="Y1456" i="22"/>
  <c r="Y1457" i="22"/>
  <c r="Y1458" i="22"/>
  <c r="Y1459" i="22"/>
  <c r="Y1460" i="22"/>
  <c r="Y1461" i="22"/>
  <c r="Y1462" i="22"/>
  <c r="Y1463" i="22"/>
  <c r="Y1464" i="22"/>
  <c r="Y1465" i="22"/>
  <c r="Y1466" i="22"/>
  <c r="Y1467" i="22"/>
  <c r="Y1468" i="22"/>
  <c r="Y1469" i="22"/>
  <c r="Y1470" i="22"/>
  <c r="Y1471" i="22"/>
  <c r="Y1472" i="22"/>
  <c r="Y1473" i="22"/>
  <c r="Y1474" i="22"/>
  <c r="Y1475" i="22"/>
  <c r="Y1476" i="22"/>
  <c r="Y1477" i="22"/>
  <c r="Y1478" i="22"/>
  <c r="Y1479" i="22"/>
  <c r="Y1480" i="22"/>
  <c r="Y1481" i="22"/>
  <c r="Y1482" i="22"/>
  <c r="Y1483" i="22"/>
  <c r="Y1484" i="22"/>
  <c r="Y1485" i="22"/>
  <c r="Y1486" i="22"/>
  <c r="Y1487" i="22"/>
  <c r="Y1488" i="22"/>
  <c r="Y1489" i="22"/>
  <c r="Y1490" i="22"/>
  <c r="Y1491" i="22"/>
  <c r="Y1492" i="22"/>
  <c r="Y1493" i="22"/>
  <c r="Y1494" i="22"/>
  <c r="Y1495" i="22"/>
  <c r="Y1496" i="22"/>
  <c r="Y1497" i="22"/>
  <c r="Y1498" i="22"/>
  <c r="Y1499" i="22"/>
  <c r="Y1500" i="22"/>
  <c r="Y1501" i="22"/>
  <c r="Y1502" i="22"/>
  <c r="Y1503" i="22"/>
  <c r="Y1504" i="22"/>
  <c r="Y1505" i="22"/>
  <c r="Y1506" i="22"/>
  <c r="Y1507" i="22"/>
  <c r="Y1508" i="22"/>
  <c r="Y1509" i="22"/>
  <c r="Y1510" i="22"/>
  <c r="Y1511" i="22"/>
  <c r="Y1512" i="22"/>
  <c r="Y1513" i="22"/>
  <c r="Y1514" i="22"/>
  <c r="Y1515" i="22"/>
  <c r="Y1516" i="22"/>
  <c r="Y1517" i="22"/>
  <c r="Y1518" i="22"/>
  <c r="Y1519" i="22"/>
  <c r="Y1520" i="22"/>
  <c r="Y1521" i="22"/>
  <c r="Y1522" i="22"/>
  <c r="Y1523" i="22"/>
  <c r="Y1524" i="22"/>
  <c r="Y1525" i="22"/>
  <c r="Y1526" i="22"/>
  <c r="Y1527" i="22"/>
  <c r="Y1528" i="22"/>
  <c r="Y1529" i="22"/>
  <c r="Y1530" i="22"/>
  <c r="Y1531" i="22"/>
  <c r="Y1532" i="22"/>
  <c r="Y1533" i="22"/>
  <c r="Y1534" i="22"/>
  <c r="Y1535" i="22"/>
  <c r="Y1536" i="22"/>
  <c r="Y1537" i="22"/>
  <c r="Y1538" i="22"/>
  <c r="Y1539" i="22"/>
  <c r="Y1540" i="22"/>
  <c r="Y1541" i="22"/>
  <c r="Y1542" i="22"/>
  <c r="Y1543" i="22"/>
  <c r="Y1544" i="22"/>
  <c r="Y1545" i="22"/>
  <c r="Y1546" i="22"/>
  <c r="Y1547" i="22"/>
  <c r="Y1548" i="22"/>
  <c r="Y1549" i="22"/>
  <c r="Y1550" i="22"/>
  <c r="Y1551" i="22"/>
  <c r="Y1552" i="22"/>
  <c r="Y1553" i="22"/>
  <c r="Y1554" i="22"/>
  <c r="Y1555" i="22"/>
  <c r="Y1556" i="22"/>
  <c r="Y1557" i="22"/>
  <c r="Y1558" i="22"/>
  <c r="Y1559" i="22"/>
  <c r="Y1560" i="22"/>
  <c r="Y1561" i="22"/>
  <c r="Y1562" i="22"/>
  <c r="Y1563" i="22"/>
  <c r="Y1564" i="22"/>
  <c r="Y1565" i="22"/>
  <c r="Y1566" i="22"/>
  <c r="Y1567" i="22"/>
  <c r="Y1568" i="22"/>
  <c r="Y1569" i="22"/>
  <c r="Y1570" i="22"/>
  <c r="Y1571" i="22"/>
  <c r="Y1572" i="22"/>
  <c r="Y1573" i="22"/>
  <c r="Y1574" i="22"/>
  <c r="Y1575" i="22"/>
  <c r="Y1576" i="22"/>
  <c r="Y1577" i="22"/>
  <c r="Y1578" i="22"/>
  <c r="Y1579" i="22"/>
  <c r="Y1580" i="22"/>
  <c r="Y1581" i="22"/>
  <c r="Y1582" i="22"/>
  <c r="Y1583" i="22"/>
  <c r="Y1584" i="22"/>
  <c r="Y1585" i="22"/>
  <c r="Y1586" i="22"/>
  <c r="Y1587" i="22"/>
  <c r="Y1588" i="22"/>
  <c r="Y1589" i="22"/>
  <c r="Y1590" i="22"/>
  <c r="Y1591" i="22"/>
  <c r="Y1592" i="22"/>
  <c r="Y1593" i="22"/>
  <c r="Y1594" i="22"/>
  <c r="Y1595" i="22"/>
  <c r="Y1596" i="22"/>
  <c r="Y1597" i="22"/>
  <c r="Y1598" i="22"/>
  <c r="Y1599" i="22"/>
  <c r="Y1600" i="22"/>
  <c r="Y1601" i="22"/>
  <c r="Y1602" i="22"/>
  <c r="Y1603" i="22"/>
  <c r="Y1604" i="22"/>
  <c r="Y1605" i="22"/>
  <c r="Y1606" i="22"/>
  <c r="Y1607" i="22"/>
  <c r="Y1608" i="22"/>
  <c r="Y1609" i="22"/>
  <c r="Y1610" i="22"/>
  <c r="Y1611" i="22"/>
  <c r="Y1612" i="22"/>
  <c r="Y1613" i="22"/>
  <c r="Y1614" i="22"/>
  <c r="Y1615" i="22"/>
  <c r="Y1616" i="22"/>
  <c r="Y1617" i="22"/>
  <c r="Y1618" i="22"/>
  <c r="Y1619" i="22"/>
  <c r="Y1620" i="22"/>
  <c r="Y1621" i="22"/>
  <c r="Y1622" i="22"/>
  <c r="Y1623" i="22"/>
  <c r="Y1624" i="22"/>
  <c r="Y1625" i="22"/>
  <c r="Y1626" i="22"/>
  <c r="Y1627" i="22"/>
  <c r="Y1628" i="22"/>
  <c r="Y1629" i="22"/>
  <c r="Y1630" i="22"/>
  <c r="Y1631" i="22"/>
  <c r="Y1632" i="22"/>
  <c r="Y1633" i="22"/>
  <c r="Y1634" i="22"/>
  <c r="Y1635" i="22"/>
  <c r="Y1636" i="22"/>
  <c r="Y1637" i="22"/>
  <c r="Y1638" i="22"/>
  <c r="Y1639" i="22"/>
  <c r="Y1640" i="22"/>
  <c r="Y1641" i="22"/>
  <c r="Y1642" i="22"/>
  <c r="Y1643" i="22"/>
  <c r="Y1644" i="22"/>
  <c r="Y1645" i="22"/>
  <c r="Y1646" i="22"/>
  <c r="Y1647" i="22"/>
  <c r="Y1648" i="22"/>
  <c r="Y1649" i="22"/>
  <c r="Y1650" i="22"/>
  <c r="Y1651" i="22"/>
  <c r="Y1652" i="22"/>
  <c r="Y1653" i="22"/>
  <c r="Y1654" i="22"/>
  <c r="Y1655" i="22"/>
  <c r="Y1656" i="22"/>
  <c r="Y1657" i="22"/>
  <c r="Y1658" i="22"/>
  <c r="Y1659" i="22"/>
  <c r="Y1660" i="22"/>
  <c r="Y1661" i="22"/>
  <c r="Y1724" i="22"/>
  <c r="Y1794" i="22"/>
  <c r="Y1809" i="22"/>
  <c r="Y1893" i="22"/>
  <c r="Y1894" i="22"/>
  <c r="Y1895" i="22"/>
  <c r="Y1896" i="22"/>
  <c r="Y1897" i="22"/>
  <c r="Y1898" i="22"/>
  <c r="Y1899" i="22"/>
  <c r="Y1900" i="22"/>
  <c r="Y1901" i="22"/>
  <c r="Y1902" i="22"/>
  <c r="Y1903" i="22"/>
  <c r="Y1904" i="22"/>
  <c r="Y1905" i="22"/>
  <c r="Y1906" i="22"/>
  <c r="Y1907" i="22"/>
  <c r="Y1908" i="22"/>
  <c r="Y1909" i="22"/>
  <c r="Y1910" i="22"/>
  <c r="Y1911" i="22"/>
  <c r="Y1912" i="22"/>
  <c r="Y1913" i="22"/>
  <c r="Y1914" i="22"/>
  <c r="Y1915" i="22"/>
  <c r="Y1916" i="22"/>
  <c r="Y1917" i="22"/>
  <c r="Y1918" i="22"/>
  <c r="Y1919" i="22"/>
  <c r="Y1920" i="22"/>
  <c r="Y1921" i="22"/>
  <c r="Y1922" i="22"/>
  <c r="Y1923" i="22"/>
  <c r="Y1924" i="22"/>
  <c r="Y1925" i="22"/>
  <c r="Y1926" i="22"/>
  <c r="Y1927" i="22"/>
  <c r="Y1928" i="22"/>
  <c r="Y1929" i="22"/>
  <c r="Y1930" i="22"/>
  <c r="Y1931" i="22"/>
  <c r="Y1937" i="22"/>
  <c r="Y1943" i="22"/>
  <c r="Y1944" i="22"/>
  <c r="Y1960" i="22"/>
  <c r="Y1983" i="22"/>
  <c r="Y1985" i="22"/>
  <c r="Y2024" i="22"/>
  <c r="Y2025" i="22"/>
  <c r="Y2031" i="22"/>
  <c r="Y2040" i="22"/>
  <c r="Y2047" i="22"/>
  <c r="Y2049" i="22"/>
  <c r="Y2057" i="22"/>
  <c r="Y2065" i="22"/>
  <c r="Y2072" i="22"/>
  <c r="Y2081" i="22"/>
  <c r="AB2143" i="22"/>
  <c r="Q2143" i="22" s="1"/>
  <c r="Y2101" i="22"/>
  <c r="Y2108" i="22"/>
  <c r="Y2126" i="22"/>
  <c r="AB2126" i="22" s="1"/>
  <c r="Y2131" i="22"/>
  <c r="Y2134" i="22"/>
  <c r="AB2134" i="22" s="1"/>
  <c r="Y2142" i="22"/>
  <c r="AB2142" i="22" s="1"/>
  <c r="Y2143" i="22"/>
  <c r="Z2143" i="22"/>
  <c r="W2143" i="22"/>
  <c r="X2143" i="22" s="1"/>
  <c r="AA2143" i="22" s="1"/>
  <c r="Z2142" i="22"/>
  <c r="W2142" i="22"/>
  <c r="X2142" i="22" s="1"/>
  <c r="AA2142" i="22" s="1"/>
  <c r="Z2141" i="22"/>
  <c r="W2141" i="22"/>
  <c r="Z2140" i="22"/>
  <c r="W2140" i="22"/>
  <c r="Z2139" i="22"/>
  <c r="W2139" i="22"/>
  <c r="Z2138" i="22"/>
  <c r="W2138" i="22"/>
  <c r="Z2137" i="22"/>
  <c r="X2137" i="22"/>
  <c r="W2137" i="22"/>
  <c r="Z2136" i="22"/>
  <c r="W2136" i="22"/>
  <c r="X2136" i="22" s="1"/>
  <c r="AA2135" i="22"/>
  <c r="Z2135" i="22"/>
  <c r="X2135" i="22"/>
  <c r="W2135" i="22"/>
  <c r="Z2134" i="22"/>
  <c r="W2134" i="22"/>
  <c r="X2134" i="22" s="1"/>
  <c r="AA2134" i="22" s="1"/>
  <c r="Z2133" i="22"/>
  <c r="W2133" i="22"/>
  <c r="Z2132" i="22"/>
  <c r="W2132" i="22"/>
  <c r="AA2131" i="22"/>
  <c r="Z2131" i="22"/>
  <c r="X2131" i="22"/>
  <c r="W2131" i="22"/>
  <c r="AB2131" i="22" s="1"/>
  <c r="Z2130" i="22"/>
  <c r="W2130" i="22"/>
  <c r="Z2129" i="22"/>
  <c r="X2129" i="22"/>
  <c r="W2129" i="22"/>
  <c r="Z2128" i="22"/>
  <c r="X2128" i="22"/>
  <c r="W2128" i="22"/>
  <c r="Z2127" i="22"/>
  <c r="X2127" i="22"/>
  <c r="W2127" i="22"/>
  <c r="Z2126" i="22"/>
  <c r="W2126" i="22"/>
  <c r="X2126" i="22" s="1"/>
  <c r="AA2126" i="22" s="1"/>
  <c r="Z2125" i="22"/>
  <c r="W2125" i="22"/>
  <c r="Z2124" i="22"/>
  <c r="W2124" i="22"/>
  <c r="Z2123" i="22"/>
  <c r="X2123" i="22"/>
  <c r="AA2123" i="22" s="1"/>
  <c r="W2123" i="22"/>
  <c r="Z2122" i="22"/>
  <c r="Y2122" i="22" s="1"/>
  <c r="W2122" i="22"/>
  <c r="X2122" i="22" s="1"/>
  <c r="AA2122" i="22" s="1"/>
  <c r="Z2121" i="22"/>
  <c r="W2121" i="22"/>
  <c r="Z2120" i="22"/>
  <c r="X2120" i="22"/>
  <c r="W2120" i="22"/>
  <c r="Z2119" i="22"/>
  <c r="W2119" i="22"/>
  <c r="Z2118" i="22"/>
  <c r="W2118" i="22"/>
  <c r="X2118" i="22" s="1"/>
  <c r="AA2118" i="22" s="1"/>
  <c r="Z2117" i="22"/>
  <c r="W2117" i="22"/>
  <c r="W2116" i="22"/>
  <c r="S2116" i="22"/>
  <c r="Z2116" i="22" s="1"/>
  <c r="Z2115" i="22"/>
  <c r="W2115" i="22"/>
  <c r="Z2114" i="22"/>
  <c r="W2114" i="22"/>
  <c r="Z2113" i="22"/>
  <c r="W2113" i="22"/>
  <c r="Z2112" i="22"/>
  <c r="W2112" i="22"/>
  <c r="Z2111" i="22"/>
  <c r="Y2111" i="22" s="1"/>
  <c r="AB2111" i="22" s="1"/>
  <c r="W2111" i="22"/>
  <c r="X2111" i="22" s="1"/>
  <c r="AA2111" i="22" s="1"/>
  <c r="Z2110" i="22"/>
  <c r="W2110" i="22"/>
  <c r="Z2109" i="22"/>
  <c r="W2109" i="22"/>
  <c r="W2108" i="22"/>
  <c r="X2108" i="22" s="1"/>
  <c r="AA2108" i="22" s="1"/>
  <c r="S2108" i="22"/>
  <c r="Z2108" i="22" s="1"/>
  <c r="Z2107" i="22"/>
  <c r="X2107" i="22"/>
  <c r="W2107" i="22"/>
  <c r="Z2106" i="22"/>
  <c r="X2106" i="22"/>
  <c r="W2106" i="22"/>
  <c r="S2106" i="22"/>
  <c r="Z2105" i="22"/>
  <c r="W2105" i="22"/>
  <c r="Z2104" i="22"/>
  <c r="X2104" i="22"/>
  <c r="W2104" i="22"/>
  <c r="Z2103" i="22"/>
  <c r="W2103" i="22"/>
  <c r="X2103" i="22" s="1"/>
  <c r="Z2102" i="22"/>
  <c r="W2102" i="22"/>
  <c r="Z2101" i="22"/>
  <c r="W2101" i="22"/>
  <c r="X2101" i="22" s="1"/>
  <c r="AA2101" i="22" s="1"/>
  <c r="Z2100" i="22"/>
  <c r="W2100" i="22"/>
  <c r="Z2099" i="22"/>
  <c r="W2099" i="22"/>
  <c r="Z2098" i="22"/>
  <c r="Y2098" i="22" s="1"/>
  <c r="X2098" i="22"/>
  <c r="AA2098" i="22" s="1"/>
  <c r="W2098" i="22"/>
  <c r="Z2097" i="22"/>
  <c r="Y2097" i="22" s="1"/>
  <c r="W2097" i="22"/>
  <c r="X2097" i="22" s="1"/>
  <c r="AA2097" i="22" s="1"/>
  <c r="Z2096" i="22"/>
  <c r="W2096" i="22"/>
  <c r="Z2095" i="22"/>
  <c r="X2095" i="22"/>
  <c r="W2095" i="22"/>
  <c r="Z2094" i="22"/>
  <c r="W2094" i="22"/>
  <c r="Z2093" i="22"/>
  <c r="W2093" i="22"/>
  <c r="Z2092" i="22"/>
  <c r="W2092" i="22"/>
  <c r="Z2091" i="22"/>
  <c r="W2091" i="22"/>
  <c r="Z2090" i="22"/>
  <c r="W2090" i="22"/>
  <c r="Z2089" i="22"/>
  <c r="Y2089" i="22" s="1"/>
  <c r="W2089" i="22"/>
  <c r="X2089" i="22" s="1"/>
  <c r="AA2089" i="22" s="1"/>
  <c r="Z2088" i="22"/>
  <c r="W2088" i="22"/>
  <c r="Z2087" i="22"/>
  <c r="W2087" i="22"/>
  <c r="Z2086" i="22"/>
  <c r="AA2085" i="22"/>
  <c r="Z2085" i="22"/>
  <c r="Y2085" i="22" s="1"/>
  <c r="AA2084" i="22"/>
  <c r="Z2084" i="22"/>
  <c r="Q2084" i="22" s="1"/>
  <c r="AA2083" i="22"/>
  <c r="S2083" i="22"/>
  <c r="Z2083" i="22" s="1"/>
  <c r="AA2082" i="22"/>
  <c r="Z2082" i="22"/>
  <c r="AA2081" i="22"/>
  <c r="Q2081" i="22" s="1"/>
  <c r="Z2081" i="22"/>
  <c r="AA2080" i="22"/>
  <c r="Z2080" i="22"/>
  <c r="Y2080" i="22" s="1"/>
  <c r="AA2079" i="22"/>
  <c r="Z2079" i="22"/>
  <c r="AA2078" i="22"/>
  <c r="Z2078" i="22"/>
  <c r="Q2078" i="22" s="1"/>
  <c r="AA2077" i="22"/>
  <c r="Z2077" i="22"/>
  <c r="Y2077" i="22" s="1"/>
  <c r="Q2077" i="22"/>
  <c r="AA2076" i="22"/>
  <c r="Z2076" i="22"/>
  <c r="AA2075" i="22"/>
  <c r="Z2075" i="22"/>
  <c r="Y2075" i="22" s="1"/>
  <c r="S2075" i="22"/>
  <c r="AA2074" i="22"/>
  <c r="S2074" i="22"/>
  <c r="Z2074" i="22" s="1"/>
  <c r="AA2073" i="22"/>
  <c r="Z2073" i="22"/>
  <c r="S2073" i="22"/>
  <c r="AA2072" i="22"/>
  <c r="Z2072" i="22"/>
  <c r="S2072" i="22"/>
  <c r="AA2071" i="22"/>
  <c r="Z2071" i="22"/>
  <c r="Q2071" i="22" s="1"/>
  <c r="AA2070" i="22"/>
  <c r="Z2070" i="22"/>
  <c r="S2070" i="22"/>
  <c r="AA2069" i="22"/>
  <c r="Z2069" i="22"/>
  <c r="Q2069" i="22" s="1"/>
  <c r="AA2068" i="22"/>
  <c r="Z2068" i="22"/>
  <c r="Y2068" i="22" s="1"/>
  <c r="Q2068" i="22"/>
  <c r="AA2067" i="22"/>
  <c r="Z2067" i="22"/>
  <c r="AA2066" i="22"/>
  <c r="Z2066" i="22"/>
  <c r="AA2065" i="22"/>
  <c r="Z2065" i="22"/>
  <c r="Q2065" i="22" s="1"/>
  <c r="AA2064" i="22"/>
  <c r="Z2064" i="22"/>
  <c r="Y2064" i="22" s="1"/>
  <c r="AA2063" i="22"/>
  <c r="Z2063" i="22"/>
  <c r="Y2063" i="22" s="1"/>
  <c r="AA2062" i="22"/>
  <c r="Z2062" i="22"/>
  <c r="Q2062" i="22" s="1"/>
  <c r="AA2061" i="22"/>
  <c r="S2061" i="22"/>
  <c r="Z2061" i="22" s="1"/>
  <c r="Q2061" i="22" s="1"/>
  <c r="AA2060" i="22"/>
  <c r="Z2060" i="22"/>
  <c r="AA2059" i="22"/>
  <c r="Q2059" i="22" s="1"/>
  <c r="Z2059" i="22"/>
  <c r="AA2058" i="22"/>
  <c r="Z2058" i="22"/>
  <c r="Q2058" i="22" s="1"/>
  <c r="AA2057" i="22"/>
  <c r="Z2057" i="22"/>
  <c r="Q2057" i="22" s="1"/>
  <c r="AA2056" i="22"/>
  <c r="Z2056" i="22"/>
  <c r="Y2056" i="22" s="1"/>
  <c r="Q2056" i="22"/>
  <c r="AA2055" i="22"/>
  <c r="Q2055" i="22" s="1"/>
  <c r="Z2055" i="22"/>
  <c r="AA2054" i="22"/>
  <c r="Z2054" i="22"/>
  <c r="Q2054" i="22" s="1"/>
  <c r="AA2053" i="22"/>
  <c r="Z2053" i="22"/>
  <c r="AA2052" i="22"/>
  <c r="Z2052" i="22"/>
  <c r="AA2051" i="22"/>
  <c r="Z2051" i="22"/>
  <c r="Y2051" i="22" s="1"/>
  <c r="AA2050" i="22"/>
  <c r="Z2050" i="22"/>
  <c r="Q2050" i="22" s="1"/>
  <c r="AA2049" i="22"/>
  <c r="Z2049" i="22"/>
  <c r="Q2049" i="22" s="1"/>
  <c r="AA2048" i="22"/>
  <c r="Z2048" i="22"/>
  <c r="Q2048" i="22" s="1"/>
  <c r="AA2047" i="22"/>
  <c r="S2047" i="22"/>
  <c r="Z2047" i="22" s="1"/>
  <c r="AA2046" i="22"/>
  <c r="S2046" i="22"/>
  <c r="Z2046" i="22" s="1"/>
  <c r="Y2046" i="22" s="1"/>
  <c r="Q2046" i="22"/>
  <c r="AA2045" i="22"/>
  <c r="S2045" i="22"/>
  <c r="Z2045" i="22" s="1"/>
  <c r="AA2044" i="22"/>
  <c r="Z2044" i="22"/>
  <c r="Y2044" i="22" s="1"/>
  <c r="AA2043" i="22"/>
  <c r="Z2043" i="22"/>
  <c r="Q2043" i="22" s="1"/>
  <c r="AA2042" i="22"/>
  <c r="Z2042" i="22"/>
  <c r="AA2041" i="22"/>
  <c r="Z2041" i="22"/>
  <c r="Q2041" i="22" s="1"/>
  <c r="AA2040" i="22"/>
  <c r="S2040" i="22"/>
  <c r="Z2040" i="22" s="1"/>
  <c r="AA2039" i="22"/>
  <c r="Q2039" i="22" s="1"/>
  <c r="Z2039" i="22"/>
  <c r="Y2039" i="22" s="1"/>
  <c r="AA2038" i="22"/>
  <c r="Z2038" i="22"/>
  <c r="Y2038" i="22" s="1"/>
  <c r="AA2037" i="22"/>
  <c r="Z2037" i="22"/>
  <c r="Y2037" i="22" s="1"/>
  <c r="AA2036" i="22"/>
  <c r="S2036" i="22"/>
  <c r="Z2036" i="22" s="1"/>
  <c r="AA2035" i="22"/>
  <c r="Z2035" i="22"/>
  <c r="AA2034" i="22"/>
  <c r="Z2034" i="22"/>
  <c r="Y2034" i="22" s="1"/>
  <c r="AA2033" i="22"/>
  <c r="S2033" i="22"/>
  <c r="Z2033" i="22" s="1"/>
  <c r="Y2033" i="22" s="1"/>
  <c r="AA2032" i="22"/>
  <c r="Z2032" i="22"/>
  <c r="Q2032" i="22" s="1"/>
  <c r="S2032" i="22"/>
  <c r="AA2031" i="22"/>
  <c r="Z2031" i="22"/>
  <c r="AA2030" i="22"/>
  <c r="Z2030" i="22"/>
  <c r="AA2029" i="22"/>
  <c r="Q2029" i="22" s="1"/>
  <c r="Z2029" i="22"/>
  <c r="Y2029" i="22" s="1"/>
  <c r="AA2028" i="22"/>
  <c r="Q2028" i="22" s="1"/>
  <c r="Z2028" i="22"/>
  <c r="AA2027" i="22"/>
  <c r="Z2027" i="22"/>
  <c r="AA2026" i="22"/>
  <c r="Z2026" i="22"/>
  <c r="AA2025" i="22"/>
  <c r="Z2025" i="22"/>
  <c r="S2025" i="22"/>
  <c r="AA2024" i="22"/>
  <c r="Z2024" i="22"/>
  <c r="Q2024" i="22"/>
  <c r="AA2023" i="22"/>
  <c r="Q2023" i="22" s="1"/>
  <c r="Z2023" i="22"/>
  <c r="AA2022" i="22"/>
  <c r="S2022" i="22"/>
  <c r="Z2022" i="22" s="1"/>
  <c r="AA2021" i="22"/>
  <c r="Z2021" i="22"/>
  <c r="Y2021" i="22" s="1"/>
  <c r="AA2020" i="22"/>
  <c r="S2020" i="22"/>
  <c r="Z2020" i="22" s="1"/>
  <c r="AA2019" i="22"/>
  <c r="Z2019" i="22"/>
  <c r="AA2018" i="22"/>
  <c r="Z2018" i="22"/>
  <c r="AA2017" i="22"/>
  <c r="Z2017" i="22"/>
  <c r="Y2017" i="22" s="1"/>
  <c r="AA2016" i="22"/>
  <c r="Z2016" i="22"/>
  <c r="Q2016" i="22" s="1"/>
  <c r="AA2015" i="22"/>
  <c r="Z2015" i="22"/>
  <c r="AA2014" i="22"/>
  <c r="Z2014" i="22"/>
  <c r="Y2014" i="22" s="1"/>
  <c r="Q2014" i="22"/>
  <c r="AA2013" i="22"/>
  <c r="Z2013" i="22"/>
  <c r="Y2013" i="22" s="1"/>
  <c r="Q2013" i="22"/>
  <c r="AA2012" i="22"/>
  <c r="Z2012" i="22"/>
  <c r="S2012" i="22"/>
  <c r="AA2011" i="22"/>
  <c r="Z2011" i="22"/>
  <c r="Y2011" i="22" s="1"/>
  <c r="AA2010" i="22"/>
  <c r="S2010" i="22"/>
  <c r="Z2010" i="22" s="1"/>
  <c r="AA2009" i="22"/>
  <c r="Z2009" i="22"/>
  <c r="AA2008" i="22"/>
  <c r="S2008" i="22"/>
  <c r="Z2008" i="22" s="1"/>
  <c r="AA2007" i="22"/>
  <c r="Z2007" i="22"/>
  <c r="Y2007" i="22" s="1"/>
  <c r="Q2007" i="22"/>
  <c r="AA2006" i="22"/>
  <c r="Z2006" i="22"/>
  <c r="Q2006" i="22" s="1"/>
  <c r="AA2005" i="22"/>
  <c r="S2005" i="22"/>
  <c r="Z2005" i="22" s="1"/>
  <c r="AA2004" i="22"/>
  <c r="Z2004" i="22"/>
  <c r="Y2004" i="22" s="1"/>
  <c r="S2004" i="22"/>
  <c r="AA2003" i="22"/>
  <c r="S2003" i="22"/>
  <c r="Z2003" i="22" s="1"/>
  <c r="AA2002" i="22"/>
  <c r="S2002" i="22"/>
  <c r="Z2002" i="22" s="1"/>
  <c r="Y2002" i="22" s="1"/>
  <c r="AA2001" i="22"/>
  <c r="Y2001" i="22" s="1"/>
  <c r="Z2001" i="22"/>
  <c r="AA2000" i="22"/>
  <c r="Z2000" i="22"/>
  <c r="Y2000" i="22" s="1"/>
  <c r="AA1999" i="22"/>
  <c r="Z1999" i="22"/>
  <c r="Q1999" i="22" s="1"/>
  <c r="AA1998" i="22"/>
  <c r="Z1998" i="22"/>
  <c r="Y1998" i="22" s="1"/>
  <c r="AA1997" i="22"/>
  <c r="Q1997" i="22" s="1"/>
  <c r="Z1997" i="22"/>
  <c r="S1997" i="22"/>
  <c r="AA1996" i="22"/>
  <c r="Z1996" i="22"/>
  <c r="AA1995" i="22"/>
  <c r="Z1995" i="22"/>
  <c r="AA1994" i="22"/>
  <c r="Z1994" i="22"/>
  <c r="AA1993" i="22"/>
  <c r="S1993" i="22"/>
  <c r="Z1993" i="22" s="1"/>
  <c r="Y1993" i="22" s="1"/>
  <c r="AA1992" i="22"/>
  <c r="Z1992" i="22"/>
  <c r="Y1992" i="22" s="1"/>
  <c r="Q1992" i="22"/>
  <c r="AA1991" i="22"/>
  <c r="S1991" i="22"/>
  <c r="Z1991" i="22" s="1"/>
  <c r="AA1990" i="22"/>
  <c r="Z1990" i="22"/>
  <c r="AA1989" i="22"/>
  <c r="S1989" i="22"/>
  <c r="Z1989" i="22" s="1"/>
  <c r="Y1989" i="22" s="1"/>
  <c r="AA1988" i="22"/>
  <c r="Z1988" i="22"/>
  <c r="AA1987" i="22"/>
  <c r="Z1987" i="22"/>
  <c r="AA1986" i="22"/>
  <c r="Q1986" i="22" s="1"/>
  <c r="Z1986" i="22"/>
  <c r="AA1985" i="22"/>
  <c r="Z1985" i="22"/>
  <c r="Q1985" i="22" s="1"/>
  <c r="AA1984" i="22"/>
  <c r="S1984" i="22"/>
  <c r="Z1984" i="22" s="1"/>
  <c r="AA1983" i="22"/>
  <c r="Z1983" i="22"/>
  <c r="Q1983" i="22" s="1"/>
  <c r="AA1982" i="22"/>
  <c r="Z1982" i="22"/>
  <c r="AA1981" i="22"/>
  <c r="S1981" i="22"/>
  <c r="Z1981" i="22" s="1"/>
  <c r="Y1981" i="22" s="1"/>
  <c r="Q1981" i="22"/>
  <c r="AA1980" i="22"/>
  <c r="S1980" i="22"/>
  <c r="Z1980" i="22" s="1"/>
  <c r="AA1979" i="22"/>
  <c r="Q1979" i="22" s="1"/>
  <c r="Z1979" i="22"/>
  <c r="AA1978" i="22"/>
  <c r="S1978" i="22"/>
  <c r="Z1978" i="22" s="1"/>
  <c r="AA1977" i="22"/>
  <c r="S1977" i="22"/>
  <c r="Z1977" i="22" s="1"/>
  <c r="Y1977" i="22" s="1"/>
  <c r="AA1976" i="22"/>
  <c r="Z1976" i="22"/>
  <c r="Y1976" i="22" s="1"/>
  <c r="AA1975" i="22"/>
  <c r="Z1975" i="22"/>
  <c r="Y1975" i="22" s="1"/>
  <c r="AA1974" i="22"/>
  <c r="S1974" i="22"/>
  <c r="Z1974" i="22" s="1"/>
  <c r="AA1973" i="22"/>
  <c r="Z1973" i="22"/>
  <c r="S1973" i="22"/>
  <c r="AA1972" i="22"/>
  <c r="Z1972" i="22"/>
  <c r="Y1972" i="22" s="1"/>
  <c r="Q1972" i="22"/>
  <c r="AA1971" i="22"/>
  <c r="Z1971" i="22"/>
  <c r="Y1971" i="22" s="1"/>
  <c r="AA1970" i="22"/>
  <c r="Z1970" i="22"/>
  <c r="AA1969" i="22"/>
  <c r="Z1969" i="22"/>
  <c r="Q1969" i="22" s="1"/>
  <c r="AA1968" i="22"/>
  <c r="Z1968" i="22"/>
  <c r="Q1968" i="22" s="1"/>
  <c r="AA1967" i="22"/>
  <c r="Y1967" i="22" s="1"/>
  <c r="S1967" i="22"/>
  <c r="Z1967" i="22" s="1"/>
  <c r="AA1966" i="22"/>
  <c r="S1966" i="22"/>
  <c r="Z1966" i="22" s="1"/>
  <c r="AA1965" i="22"/>
  <c r="Z1965" i="22"/>
  <c r="Y1965" i="22" s="1"/>
  <c r="Q1965" i="22"/>
  <c r="AA1964" i="22"/>
  <c r="Z1964" i="22"/>
  <c r="Y1964" i="22" s="1"/>
  <c r="S1964" i="22"/>
  <c r="AA1963" i="22"/>
  <c r="Z1963" i="22"/>
  <c r="AA1962" i="22"/>
  <c r="Z1962" i="22"/>
  <c r="AA1961" i="22"/>
  <c r="Z1961" i="22"/>
  <c r="Q1961" i="22" s="1"/>
  <c r="AA1960" i="22"/>
  <c r="S1960" i="22"/>
  <c r="Z1960" i="22" s="1"/>
  <c r="Q1960" i="22" s="1"/>
  <c r="AA1959" i="22"/>
  <c r="Z1959" i="22"/>
  <c r="Y1959" i="22" s="1"/>
  <c r="Q1959" i="22"/>
  <c r="AA1958" i="22"/>
  <c r="Z1958" i="22"/>
  <c r="AA1957" i="22"/>
  <c r="Z1957" i="22"/>
  <c r="AA1956" i="22"/>
  <c r="Z1956" i="22"/>
  <c r="AA1955" i="22"/>
  <c r="Z1955" i="22"/>
  <c r="Y1955" i="22" s="1"/>
  <c r="Q1955" i="22"/>
  <c r="AA1954" i="22"/>
  <c r="Z1954" i="22"/>
  <c r="Y1954" i="22" s="1"/>
  <c r="AA1953" i="22"/>
  <c r="Z1953" i="22"/>
  <c r="Y1953" i="22" s="1"/>
  <c r="S1953" i="22"/>
  <c r="AA1952" i="22"/>
  <c r="Z1952" i="22"/>
  <c r="Q1952" i="22" s="1"/>
  <c r="AA1951" i="22"/>
  <c r="Z1951" i="22"/>
  <c r="Q1951" i="22" s="1"/>
  <c r="AA1950" i="22"/>
  <c r="S1950" i="22"/>
  <c r="Z1950" i="22" s="1"/>
  <c r="AA1949" i="22"/>
  <c r="Q1949" i="22" s="1"/>
  <c r="Z1949" i="22"/>
  <c r="AA1948" i="22"/>
  <c r="Z1948" i="22"/>
  <c r="AA1947" i="22"/>
  <c r="Z1947" i="22"/>
  <c r="AA1946" i="22"/>
  <c r="Z1946" i="22"/>
  <c r="Z1945" i="22"/>
  <c r="Q1945" i="22" s="1"/>
  <c r="Z1944" i="22"/>
  <c r="Q1944" i="22"/>
  <c r="Z1943" i="22"/>
  <c r="Q1943" i="22" s="1"/>
  <c r="Z1942" i="22"/>
  <c r="Z1941" i="22"/>
  <c r="Z1940" i="22"/>
  <c r="Y1940" i="22" s="1"/>
  <c r="Q1940" i="22"/>
  <c r="Z1939" i="22"/>
  <c r="Z1938" i="22"/>
  <c r="Z1937" i="22"/>
  <c r="Q1937" i="22" s="1"/>
  <c r="Z1936" i="22"/>
  <c r="Y1936" i="22" s="1"/>
  <c r="Q1936" i="22"/>
  <c r="Z1935" i="22"/>
  <c r="Q1935" i="22" s="1"/>
  <c r="Z1934" i="22"/>
  <c r="Z1933" i="22"/>
  <c r="Z1932" i="22"/>
  <c r="Y1932" i="22" s="1"/>
  <c r="Q1932" i="22"/>
  <c r="Z1892" i="22"/>
  <c r="V1892" i="22"/>
  <c r="U1892" i="22"/>
  <c r="Z1891" i="22"/>
  <c r="V1891" i="22"/>
  <c r="U1891" i="22"/>
  <c r="Z1890" i="22"/>
  <c r="V1890" i="22"/>
  <c r="U1890" i="22"/>
  <c r="X1890" i="22" s="1"/>
  <c r="Z1889" i="22"/>
  <c r="V1889" i="22"/>
  <c r="U1889" i="22"/>
  <c r="X1889" i="22" s="1"/>
  <c r="Z1888" i="22"/>
  <c r="V1888" i="22"/>
  <c r="U1888" i="22"/>
  <c r="Z1887" i="22"/>
  <c r="V1887" i="22"/>
  <c r="U1887" i="22"/>
  <c r="Z1886" i="22"/>
  <c r="V1886" i="22"/>
  <c r="X1886" i="22" s="1"/>
  <c r="U1886" i="22"/>
  <c r="Z1885" i="22"/>
  <c r="V1885" i="22"/>
  <c r="U1885" i="22"/>
  <c r="X1885" i="22" s="1"/>
  <c r="Z1884" i="22"/>
  <c r="X1884" i="22"/>
  <c r="V1884" i="22"/>
  <c r="U1884" i="22"/>
  <c r="Z1883" i="22"/>
  <c r="V1883" i="22"/>
  <c r="U1883" i="22"/>
  <c r="Z1882" i="22"/>
  <c r="V1882" i="22"/>
  <c r="U1882" i="22"/>
  <c r="Z1881" i="22"/>
  <c r="V1881" i="22"/>
  <c r="U1881" i="22"/>
  <c r="V1880" i="22"/>
  <c r="U1880" i="22"/>
  <c r="S1880" i="22"/>
  <c r="Z1880" i="22" s="1"/>
  <c r="Z1879" i="22"/>
  <c r="V1879" i="22"/>
  <c r="U1879" i="22"/>
  <c r="Z1878" i="22"/>
  <c r="V1878" i="22"/>
  <c r="U1878" i="22"/>
  <c r="Z1877" i="22"/>
  <c r="V1877" i="22"/>
  <c r="U1877" i="22"/>
  <c r="Z1876" i="22"/>
  <c r="V1876" i="22"/>
  <c r="U1876" i="22"/>
  <c r="V1875" i="22"/>
  <c r="U1875" i="22"/>
  <c r="S1875" i="22"/>
  <c r="Z1875" i="22" s="1"/>
  <c r="Z1874" i="22"/>
  <c r="V1874" i="22"/>
  <c r="U1874" i="22"/>
  <c r="Z1873" i="22"/>
  <c r="V1873" i="22"/>
  <c r="U1873" i="22"/>
  <c r="Z1872" i="22"/>
  <c r="V1872" i="22"/>
  <c r="U1872" i="22"/>
  <c r="Z1871" i="22"/>
  <c r="V1871" i="22"/>
  <c r="U1871" i="22"/>
  <c r="X1871" i="22" s="1"/>
  <c r="Z1870" i="22"/>
  <c r="V1870" i="22"/>
  <c r="U1870" i="22"/>
  <c r="Z1869" i="22"/>
  <c r="V1869" i="22"/>
  <c r="X1869" i="22" s="1"/>
  <c r="U1869" i="22"/>
  <c r="V1868" i="22"/>
  <c r="U1868" i="22"/>
  <c r="X1868" i="22" s="1"/>
  <c r="AA1868" i="22" s="1"/>
  <c r="S1868" i="22"/>
  <c r="Z1868" i="22" s="1"/>
  <c r="Z1867" i="22"/>
  <c r="V1867" i="22"/>
  <c r="X1867" i="22" s="1"/>
  <c r="U1867" i="22"/>
  <c r="Z1866" i="22"/>
  <c r="V1866" i="22"/>
  <c r="U1866" i="22"/>
  <c r="Z1865" i="22"/>
  <c r="X1865" i="22"/>
  <c r="V1865" i="22"/>
  <c r="U1865" i="22"/>
  <c r="Z1864" i="22"/>
  <c r="V1864" i="22"/>
  <c r="U1864" i="22"/>
  <c r="Z1863" i="22"/>
  <c r="X1863" i="22"/>
  <c r="V1863" i="22"/>
  <c r="U1863" i="22"/>
  <c r="Z1862" i="22"/>
  <c r="V1862" i="22"/>
  <c r="U1862" i="22"/>
  <c r="Z1861" i="22"/>
  <c r="X1861" i="22"/>
  <c r="V1861" i="22"/>
  <c r="U1861" i="22"/>
  <c r="Z1860" i="22"/>
  <c r="V1860" i="22"/>
  <c r="U1860" i="22"/>
  <c r="Z1859" i="22"/>
  <c r="V1859" i="22"/>
  <c r="U1859" i="22"/>
  <c r="Z1858" i="22"/>
  <c r="V1858" i="22"/>
  <c r="U1858" i="22"/>
  <c r="Z1857" i="22"/>
  <c r="V1857" i="22"/>
  <c r="U1857" i="22"/>
  <c r="X1857" i="22" s="1"/>
  <c r="V1856" i="22"/>
  <c r="U1856" i="22"/>
  <c r="S1856" i="22"/>
  <c r="Z1856" i="22" s="1"/>
  <c r="Z1855" i="22"/>
  <c r="V1855" i="22"/>
  <c r="U1855" i="22"/>
  <c r="X1855" i="22" s="1"/>
  <c r="AA1855" i="22" s="1"/>
  <c r="Z1854" i="22"/>
  <c r="V1854" i="22"/>
  <c r="U1854" i="22"/>
  <c r="Z1853" i="22"/>
  <c r="V1853" i="22"/>
  <c r="U1853" i="22"/>
  <c r="V1852" i="22"/>
  <c r="U1852" i="22"/>
  <c r="S1852" i="22"/>
  <c r="Z1852" i="22" s="1"/>
  <c r="Z1851" i="22"/>
  <c r="V1851" i="22"/>
  <c r="U1851" i="22"/>
  <c r="Z1850" i="22"/>
  <c r="V1850" i="22"/>
  <c r="U1850" i="22"/>
  <c r="X1850" i="22" s="1"/>
  <c r="Z1849" i="22"/>
  <c r="V1849" i="22"/>
  <c r="U1849" i="22"/>
  <c r="Z1848" i="22"/>
  <c r="V1848" i="22"/>
  <c r="U1848" i="22"/>
  <c r="X1848" i="22" s="1"/>
  <c r="Z1847" i="22"/>
  <c r="V1847" i="22"/>
  <c r="U1847" i="22"/>
  <c r="Z1846" i="22"/>
  <c r="V1846" i="22"/>
  <c r="X1846" i="22" s="1"/>
  <c r="U1846" i="22"/>
  <c r="Z1845" i="22"/>
  <c r="V1845" i="22"/>
  <c r="U1845" i="22"/>
  <c r="Z1844" i="22"/>
  <c r="X1844" i="22"/>
  <c r="V1844" i="22"/>
  <c r="U1844" i="22"/>
  <c r="Z1843" i="22"/>
  <c r="V1843" i="22"/>
  <c r="U1843" i="22"/>
  <c r="Z1842" i="22"/>
  <c r="V1842" i="22"/>
  <c r="X1842" i="22" s="1"/>
  <c r="U1842" i="22"/>
  <c r="Z1841" i="22"/>
  <c r="V1841" i="22"/>
  <c r="U1841" i="22"/>
  <c r="V1840" i="22"/>
  <c r="U1840" i="22"/>
  <c r="S1840" i="22"/>
  <c r="Z1840" i="22" s="1"/>
  <c r="V1839" i="22"/>
  <c r="U1839" i="22"/>
  <c r="S1839" i="22"/>
  <c r="Z1839" i="22" s="1"/>
  <c r="Z1838" i="22"/>
  <c r="V1838" i="22"/>
  <c r="U1838" i="22"/>
  <c r="X1838" i="22" s="1"/>
  <c r="Z1837" i="22"/>
  <c r="V1837" i="22"/>
  <c r="U1837" i="22"/>
  <c r="Z1836" i="22"/>
  <c r="V1836" i="22"/>
  <c r="X1836" i="22" s="1"/>
  <c r="U1836" i="22"/>
  <c r="Z1835" i="22"/>
  <c r="X1835" i="22"/>
  <c r="V1835" i="22"/>
  <c r="U1835" i="22"/>
  <c r="Z1834" i="22"/>
  <c r="V1834" i="22"/>
  <c r="U1834" i="22"/>
  <c r="Z1833" i="22"/>
  <c r="V1833" i="22"/>
  <c r="U1833" i="22"/>
  <c r="Z1832" i="22"/>
  <c r="V1832" i="22"/>
  <c r="U1832" i="22"/>
  <c r="Z1831" i="22"/>
  <c r="V1831" i="22"/>
  <c r="X1831" i="22" s="1"/>
  <c r="U1831" i="22"/>
  <c r="Z1830" i="22"/>
  <c r="V1830" i="22"/>
  <c r="U1830" i="22"/>
  <c r="Z1829" i="22"/>
  <c r="V1829" i="22"/>
  <c r="U1829" i="22"/>
  <c r="X1829" i="22" s="1"/>
  <c r="AA1829" i="22" s="1"/>
  <c r="Z1828" i="22"/>
  <c r="X1828" i="22"/>
  <c r="V1828" i="22"/>
  <c r="U1828" i="22"/>
  <c r="Z1827" i="22"/>
  <c r="V1827" i="22"/>
  <c r="U1827" i="22"/>
  <c r="AA1826" i="22"/>
  <c r="R1826" i="22" s="1"/>
  <c r="Q1826" i="22" s="1"/>
  <c r="Z1826" i="22"/>
  <c r="V1826" i="22"/>
  <c r="U1826" i="22"/>
  <c r="X1826" i="22" s="1"/>
  <c r="Z1825" i="22"/>
  <c r="V1825" i="22"/>
  <c r="U1825" i="22"/>
  <c r="Z1824" i="22"/>
  <c r="X1824" i="22"/>
  <c r="V1824" i="22"/>
  <c r="U1824" i="22"/>
  <c r="Z1823" i="22"/>
  <c r="V1823" i="22"/>
  <c r="U1823" i="22"/>
  <c r="Z1822" i="22"/>
  <c r="V1822" i="22"/>
  <c r="U1822" i="22"/>
  <c r="X1822" i="22" s="1"/>
  <c r="Z1821" i="22"/>
  <c r="V1821" i="22"/>
  <c r="U1821" i="22"/>
  <c r="X1821" i="22" s="1"/>
  <c r="AA1821" i="22" s="1"/>
  <c r="S1821" i="22"/>
  <c r="Z1820" i="22"/>
  <c r="V1820" i="22"/>
  <c r="U1820" i="22"/>
  <c r="Z1819" i="22"/>
  <c r="V1819" i="22"/>
  <c r="U1819" i="22"/>
  <c r="X1819" i="22" s="1"/>
  <c r="Z1818" i="22"/>
  <c r="V1818" i="22"/>
  <c r="U1818" i="22"/>
  <c r="Z1817" i="22"/>
  <c r="V1817" i="22"/>
  <c r="U1817" i="22"/>
  <c r="Z1816" i="22"/>
  <c r="V1816" i="22"/>
  <c r="U1816" i="22"/>
  <c r="Z1815" i="22"/>
  <c r="V1815" i="22"/>
  <c r="X1815" i="22" s="1"/>
  <c r="U1815" i="22"/>
  <c r="Z1814" i="22"/>
  <c r="V1814" i="22"/>
  <c r="U1814" i="22"/>
  <c r="Z1813" i="22"/>
  <c r="V1813" i="22"/>
  <c r="U1813" i="22"/>
  <c r="Z1812" i="22"/>
  <c r="V1812" i="22"/>
  <c r="U1812" i="22"/>
  <c r="X1812" i="22" s="1"/>
  <c r="Z1811" i="22"/>
  <c r="V1811" i="22"/>
  <c r="U1811" i="22"/>
  <c r="Z1810" i="22"/>
  <c r="V1810" i="22"/>
  <c r="X1810" i="22" s="1"/>
  <c r="U1810" i="22"/>
  <c r="Z1808" i="22"/>
  <c r="V1808" i="22"/>
  <c r="U1808" i="22"/>
  <c r="Z1807" i="22"/>
  <c r="V1807" i="22"/>
  <c r="U1807" i="22"/>
  <c r="Z1806" i="22"/>
  <c r="V1806" i="22"/>
  <c r="U1806" i="22"/>
  <c r="X1806" i="22" s="1"/>
  <c r="Z1805" i="22"/>
  <c r="X1805" i="22"/>
  <c r="V1805" i="22"/>
  <c r="U1805" i="22"/>
  <c r="Z1804" i="22"/>
  <c r="V1804" i="22"/>
  <c r="U1804" i="22"/>
  <c r="Z1803" i="22"/>
  <c r="V1803" i="22"/>
  <c r="U1803" i="22"/>
  <c r="Z1802" i="22"/>
  <c r="V1802" i="22"/>
  <c r="U1802" i="22"/>
  <c r="Z1801" i="22"/>
  <c r="V1801" i="22"/>
  <c r="U1801" i="22"/>
  <c r="Z1800" i="22"/>
  <c r="Y1800" i="22" s="1"/>
  <c r="V1800" i="22"/>
  <c r="X1800" i="22" s="1"/>
  <c r="AA1800" i="22" s="1"/>
  <c r="U1800" i="22"/>
  <c r="Z1799" i="22"/>
  <c r="V1799" i="22"/>
  <c r="X1799" i="22" s="1"/>
  <c r="U1799" i="22"/>
  <c r="Z1798" i="22"/>
  <c r="V1798" i="22"/>
  <c r="U1798" i="22"/>
  <c r="Z1797" i="22"/>
  <c r="V1797" i="22"/>
  <c r="U1797" i="22"/>
  <c r="Z1796" i="22"/>
  <c r="V1796" i="22"/>
  <c r="U1796" i="22"/>
  <c r="Z1795" i="22"/>
  <c r="V1795" i="22"/>
  <c r="U1795" i="22"/>
  <c r="Z1793" i="22"/>
  <c r="V1793" i="22"/>
  <c r="U1793" i="22"/>
  <c r="AA1792" i="22"/>
  <c r="R1792" i="22" s="1"/>
  <c r="Q1792" i="22" s="1"/>
  <c r="Z1792" i="22"/>
  <c r="V1792" i="22"/>
  <c r="U1792" i="22"/>
  <c r="X1792" i="22" s="1"/>
  <c r="Z1791" i="22"/>
  <c r="V1791" i="22"/>
  <c r="U1791" i="22"/>
  <c r="Z1790" i="22"/>
  <c r="V1790" i="22"/>
  <c r="U1790" i="22"/>
  <c r="X1790" i="22" s="1"/>
  <c r="AA1790" i="22" s="1"/>
  <c r="Z1789" i="22"/>
  <c r="V1789" i="22"/>
  <c r="X1789" i="22" s="1"/>
  <c r="U1789" i="22"/>
  <c r="Z1788" i="22"/>
  <c r="V1788" i="22"/>
  <c r="U1788" i="22"/>
  <c r="S1788" i="22"/>
  <c r="Z1787" i="22"/>
  <c r="V1787" i="22"/>
  <c r="U1787" i="22"/>
  <c r="Z1786" i="22"/>
  <c r="V1786" i="22"/>
  <c r="U1786" i="22"/>
  <c r="Z1785" i="22"/>
  <c r="V1785" i="22"/>
  <c r="U1785" i="22"/>
  <c r="Z1784" i="22"/>
  <c r="V1784" i="22"/>
  <c r="U1784" i="22"/>
  <c r="Z1783" i="22"/>
  <c r="X1783" i="22"/>
  <c r="V1783" i="22"/>
  <c r="U1783" i="22"/>
  <c r="AA1782" i="22"/>
  <c r="Z1782" i="22"/>
  <c r="V1782" i="22"/>
  <c r="X1782" i="22" s="1"/>
  <c r="U1782" i="22"/>
  <c r="Z1781" i="22"/>
  <c r="V1781" i="22"/>
  <c r="U1781" i="22"/>
  <c r="Z1780" i="22"/>
  <c r="V1780" i="22"/>
  <c r="X1780" i="22" s="1"/>
  <c r="U1780" i="22"/>
  <c r="Z1779" i="22"/>
  <c r="V1779" i="22"/>
  <c r="U1779" i="22"/>
  <c r="Z1778" i="22"/>
  <c r="V1778" i="22"/>
  <c r="U1778" i="22"/>
  <c r="Z1777" i="22"/>
  <c r="V1777" i="22"/>
  <c r="U1777" i="22"/>
  <c r="Z1776" i="22"/>
  <c r="V1776" i="22"/>
  <c r="U1776" i="22"/>
  <c r="Z1775" i="22"/>
  <c r="V1775" i="22"/>
  <c r="U1775" i="22"/>
  <c r="AA1774" i="22"/>
  <c r="Z1774" i="22"/>
  <c r="V1774" i="22"/>
  <c r="X1774" i="22" s="1"/>
  <c r="U1774" i="22"/>
  <c r="Z1773" i="22"/>
  <c r="V1773" i="22"/>
  <c r="U1773" i="22"/>
  <c r="Z1772" i="22"/>
  <c r="V1772" i="22"/>
  <c r="U1772" i="22"/>
  <c r="Z1771" i="22"/>
  <c r="V1771" i="22"/>
  <c r="U1771" i="22"/>
  <c r="Z1770" i="22"/>
  <c r="V1770" i="22"/>
  <c r="U1770" i="22"/>
  <c r="Z1769" i="22"/>
  <c r="V1769" i="22"/>
  <c r="U1769" i="22"/>
  <c r="Z1768" i="22"/>
  <c r="Y1768" i="22" s="1"/>
  <c r="V1768" i="22"/>
  <c r="U1768" i="22"/>
  <c r="X1768" i="22" s="1"/>
  <c r="AA1768" i="22" s="1"/>
  <c r="Z1767" i="22"/>
  <c r="V1767" i="22"/>
  <c r="U1767" i="22"/>
  <c r="Z1766" i="22"/>
  <c r="V1766" i="22"/>
  <c r="X1766" i="22" s="1"/>
  <c r="U1766" i="22"/>
  <c r="Z1765" i="22"/>
  <c r="V1765" i="22"/>
  <c r="U1765" i="22"/>
  <c r="Z1764" i="22"/>
  <c r="V1764" i="22"/>
  <c r="X1764" i="22" s="1"/>
  <c r="U1764" i="22"/>
  <c r="Z1763" i="22"/>
  <c r="V1763" i="22"/>
  <c r="U1763" i="22"/>
  <c r="X1763" i="22" s="1"/>
  <c r="Z1762" i="22"/>
  <c r="V1762" i="22"/>
  <c r="U1762" i="22"/>
  <c r="Z1761" i="22"/>
  <c r="V1761" i="22"/>
  <c r="U1761" i="22"/>
  <c r="Z1760" i="22"/>
  <c r="V1760" i="22"/>
  <c r="U1760" i="22"/>
  <c r="Z1759" i="22"/>
  <c r="X1759" i="22"/>
  <c r="AA1759" i="22" s="1"/>
  <c r="V1759" i="22"/>
  <c r="U1759" i="22"/>
  <c r="Z1758" i="22"/>
  <c r="V1758" i="22"/>
  <c r="U1758" i="22"/>
  <c r="Z1757" i="22"/>
  <c r="Y1757" i="22" s="1"/>
  <c r="V1757" i="22"/>
  <c r="U1757" i="22"/>
  <c r="X1757" i="22" s="1"/>
  <c r="AA1757" i="22" s="1"/>
  <c r="Z1756" i="22"/>
  <c r="V1756" i="22"/>
  <c r="U1756" i="22"/>
  <c r="Z1755" i="22"/>
  <c r="V1755" i="22"/>
  <c r="X1755" i="22" s="1"/>
  <c r="U1755" i="22"/>
  <c r="Z1754" i="22"/>
  <c r="V1754" i="22"/>
  <c r="U1754" i="22"/>
  <c r="Z1753" i="22"/>
  <c r="V1753" i="22"/>
  <c r="U1753" i="22"/>
  <c r="Z1752" i="22"/>
  <c r="V1752" i="22"/>
  <c r="U1752" i="22"/>
  <c r="X1752" i="22" s="1"/>
  <c r="AA1752" i="22" s="1"/>
  <c r="Z1751" i="22"/>
  <c r="Y1751" i="22" s="1"/>
  <c r="X1751" i="22"/>
  <c r="V1751" i="22"/>
  <c r="U1751" i="22"/>
  <c r="AA1751" i="22" s="1"/>
  <c r="S1751" i="22"/>
  <c r="Z1750" i="22"/>
  <c r="V1750" i="22"/>
  <c r="U1750" i="22"/>
  <c r="Z1749" i="22"/>
  <c r="V1749" i="22"/>
  <c r="U1749" i="22"/>
  <c r="Z1748" i="22"/>
  <c r="V1748" i="22"/>
  <c r="U1748" i="22"/>
  <c r="Z1747" i="22"/>
  <c r="V1747" i="22"/>
  <c r="U1747" i="22"/>
  <c r="V1746" i="22"/>
  <c r="U1746" i="22"/>
  <c r="S1746" i="22"/>
  <c r="Z1746" i="22" s="1"/>
  <c r="Z1745" i="22"/>
  <c r="X1745" i="22"/>
  <c r="V1745" i="22"/>
  <c r="U1745" i="22"/>
  <c r="Z1744" i="22"/>
  <c r="V1744" i="22"/>
  <c r="U1744" i="22"/>
  <c r="Z1743" i="22"/>
  <c r="V1743" i="22"/>
  <c r="U1743" i="22"/>
  <c r="Z1742" i="22"/>
  <c r="V1742" i="22"/>
  <c r="U1742" i="22"/>
  <c r="Z1741" i="22"/>
  <c r="X1741" i="22"/>
  <c r="AA1741" i="22" s="1"/>
  <c r="V1741" i="22"/>
  <c r="U1741" i="22"/>
  <c r="Z1740" i="22"/>
  <c r="V1740" i="22"/>
  <c r="U1740" i="22"/>
  <c r="Z1739" i="22"/>
  <c r="V1739" i="22"/>
  <c r="U1739" i="22"/>
  <c r="Z1738" i="22"/>
  <c r="X1738" i="22"/>
  <c r="V1738" i="22"/>
  <c r="U1738" i="22"/>
  <c r="Z1737" i="22"/>
  <c r="V1737" i="22"/>
  <c r="X1737" i="22" s="1"/>
  <c r="U1737" i="22"/>
  <c r="Z1736" i="22"/>
  <c r="V1736" i="22"/>
  <c r="U1736" i="22"/>
  <c r="Z1735" i="22"/>
  <c r="V1735" i="22"/>
  <c r="U1735" i="22"/>
  <c r="Z1734" i="22"/>
  <c r="V1734" i="22"/>
  <c r="U1734" i="22"/>
  <c r="Z1733" i="22"/>
  <c r="X1733" i="22"/>
  <c r="AA1733" i="22" s="1"/>
  <c r="V1733" i="22"/>
  <c r="U1733" i="22"/>
  <c r="Z1732" i="22"/>
  <c r="V1732" i="22"/>
  <c r="U1732" i="22"/>
  <c r="Z1731" i="22"/>
  <c r="Y1731" i="22" s="1"/>
  <c r="V1731" i="22"/>
  <c r="U1731" i="22"/>
  <c r="X1731" i="22" s="1"/>
  <c r="AA1731" i="22" s="1"/>
  <c r="Z1730" i="22"/>
  <c r="V1730" i="22"/>
  <c r="U1730" i="22"/>
  <c r="Z1729" i="22"/>
  <c r="V1729" i="22"/>
  <c r="U1729" i="22"/>
  <c r="Z1728" i="22"/>
  <c r="V1728" i="22"/>
  <c r="U1728" i="22"/>
  <c r="Z1727" i="22"/>
  <c r="V1727" i="22"/>
  <c r="U1727" i="22"/>
  <c r="Z1726" i="22"/>
  <c r="V1726" i="22"/>
  <c r="U1726" i="22"/>
  <c r="X1726" i="22" s="1"/>
  <c r="AA1726" i="22" s="1"/>
  <c r="R1726" i="22" s="1"/>
  <c r="Q1726" i="22" s="1"/>
  <c r="AA1725" i="22"/>
  <c r="Z1725" i="22"/>
  <c r="V1725" i="22"/>
  <c r="U1725" i="22"/>
  <c r="X1725" i="22" s="1"/>
  <c r="Z1723" i="22"/>
  <c r="V1723" i="22"/>
  <c r="X1723" i="22" s="1"/>
  <c r="U1723" i="22"/>
  <c r="Z1722" i="22"/>
  <c r="V1722" i="22"/>
  <c r="U1722" i="22"/>
  <c r="Z1721" i="22"/>
  <c r="V1721" i="22"/>
  <c r="U1721" i="22"/>
  <c r="X1721" i="22" s="1"/>
  <c r="Z1720" i="22"/>
  <c r="X1720" i="22"/>
  <c r="V1720" i="22"/>
  <c r="U1720" i="22"/>
  <c r="Z1719" i="22"/>
  <c r="V1719" i="22"/>
  <c r="U1719" i="22"/>
  <c r="Z1718" i="22"/>
  <c r="V1718" i="22"/>
  <c r="U1718" i="22"/>
  <c r="Z1717" i="22"/>
  <c r="V1717" i="22"/>
  <c r="U1717" i="22"/>
  <c r="Z1716" i="22"/>
  <c r="V1716" i="22"/>
  <c r="X1716" i="22" s="1"/>
  <c r="AA1716" i="22" s="1"/>
  <c r="U1716" i="22"/>
  <c r="Z1715" i="22"/>
  <c r="V1715" i="22"/>
  <c r="U1715" i="22"/>
  <c r="V1714" i="22"/>
  <c r="U1714" i="22"/>
  <c r="X1714" i="22" s="1"/>
  <c r="AA1714" i="22" s="1"/>
  <c r="S1714" i="22"/>
  <c r="Z1714" i="22" s="1"/>
  <c r="Y1714" i="22" s="1"/>
  <c r="Z1713" i="22"/>
  <c r="V1713" i="22"/>
  <c r="U1713" i="22"/>
  <c r="Z1712" i="22"/>
  <c r="V1712" i="22"/>
  <c r="X1712" i="22" s="1"/>
  <c r="U1712" i="22"/>
  <c r="X1711" i="22"/>
  <c r="V1711" i="22"/>
  <c r="U1711" i="22"/>
  <c r="S1711" i="22"/>
  <c r="Z1711" i="22" s="1"/>
  <c r="Z1710" i="22"/>
  <c r="V1710" i="22"/>
  <c r="U1710" i="22"/>
  <c r="Z1709" i="22"/>
  <c r="V1709" i="22"/>
  <c r="U1709" i="22"/>
  <c r="AA1708" i="22"/>
  <c r="R1708" i="22" s="1"/>
  <c r="Q1708" i="22" s="1"/>
  <c r="Z1708" i="22"/>
  <c r="V1708" i="22"/>
  <c r="U1708" i="22"/>
  <c r="X1708" i="22" s="1"/>
  <c r="Z1707" i="22"/>
  <c r="V1707" i="22"/>
  <c r="U1707" i="22"/>
  <c r="X1707" i="22" s="1"/>
  <c r="AA1707" i="22" s="1"/>
  <c r="Z1706" i="22"/>
  <c r="V1706" i="22"/>
  <c r="U1706" i="22"/>
  <c r="Z1705" i="22"/>
  <c r="V1705" i="22"/>
  <c r="U1705" i="22"/>
  <c r="Z1704" i="22"/>
  <c r="Y1704" i="22" s="1"/>
  <c r="X1704" i="22"/>
  <c r="AA1704" i="22" s="1"/>
  <c r="V1704" i="22"/>
  <c r="U1704" i="22"/>
  <c r="Z1703" i="22"/>
  <c r="V1703" i="22"/>
  <c r="U1703" i="22"/>
  <c r="X1703" i="22" s="1"/>
  <c r="Z1702" i="22"/>
  <c r="X1702" i="22"/>
  <c r="V1702" i="22"/>
  <c r="U1702" i="22"/>
  <c r="Z1701" i="22"/>
  <c r="V1701" i="22"/>
  <c r="U1701" i="22"/>
  <c r="Z1700" i="22"/>
  <c r="V1700" i="22"/>
  <c r="U1700" i="22"/>
  <c r="Z1699" i="22"/>
  <c r="V1699" i="22"/>
  <c r="X1699" i="22" s="1"/>
  <c r="U1699" i="22"/>
  <c r="Z1698" i="22"/>
  <c r="V1698" i="22"/>
  <c r="U1698" i="22"/>
  <c r="Z1697" i="22"/>
  <c r="V1697" i="22"/>
  <c r="U1697" i="22"/>
  <c r="Z1696" i="22"/>
  <c r="V1696" i="22"/>
  <c r="U1696" i="22"/>
  <c r="Z1695" i="22"/>
  <c r="V1695" i="22"/>
  <c r="U1695" i="22"/>
  <c r="V1694" i="22"/>
  <c r="U1694" i="22"/>
  <c r="S1694" i="22"/>
  <c r="Z1694" i="22" s="1"/>
  <c r="AA1693" i="22"/>
  <c r="Z1693" i="22"/>
  <c r="X1693" i="22"/>
  <c r="V1693" i="22"/>
  <c r="U1693" i="22"/>
  <c r="Z1692" i="22"/>
  <c r="V1692" i="22"/>
  <c r="U1692" i="22"/>
  <c r="X1692" i="22" s="1"/>
  <c r="AA1692" i="22" s="1"/>
  <c r="Z1691" i="22"/>
  <c r="Y1691" i="22" s="1"/>
  <c r="X1691" i="22"/>
  <c r="AA1691" i="22" s="1"/>
  <c r="V1691" i="22"/>
  <c r="U1691" i="22"/>
  <c r="Z1690" i="22"/>
  <c r="V1690" i="22"/>
  <c r="U1690" i="22"/>
  <c r="Z1689" i="22"/>
  <c r="X1689" i="22"/>
  <c r="V1689" i="22"/>
  <c r="U1689" i="22"/>
  <c r="Z1688" i="22"/>
  <c r="V1688" i="22"/>
  <c r="U1688" i="22"/>
  <c r="Z1687" i="22"/>
  <c r="V1687" i="22"/>
  <c r="U1687" i="22"/>
  <c r="Z1686" i="22"/>
  <c r="V1686" i="22"/>
  <c r="U1686" i="22"/>
  <c r="Z1685" i="22"/>
  <c r="V1685" i="22"/>
  <c r="U1685" i="22"/>
  <c r="Z1684" i="22"/>
  <c r="V1684" i="22"/>
  <c r="U1684" i="22"/>
  <c r="Z1683" i="22"/>
  <c r="V1683" i="22"/>
  <c r="U1683" i="22"/>
  <c r="Z1682" i="22"/>
  <c r="V1682" i="22"/>
  <c r="U1682" i="22"/>
  <c r="Z1681" i="22"/>
  <c r="V1681" i="22"/>
  <c r="U1681" i="22"/>
  <c r="Z1680" i="22"/>
  <c r="V1680" i="22"/>
  <c r="U1680" i="22"/>
  <c r="V1679" i="22"/>
  <c r="U1679" i="22"/>
  <c r="S1679" i="22"/>
  <c r="Z1679" i="22" s="1"/>
  <c r="Z1678" i="22"/>
  <c r="V1678" i="22"/>
  <c r="U1678" i="22"/>
  <c r="Z1677" i="22"/>
  <c r="V1677" i="22"/>
  <c r="U1677" i="22"/>
  <c r="AA1676" i="22"/>
  <c r="R1676" i="22" s="1"/>
  <c r="Q1676" i="22" s="1"/>
  <c r="Z1676" i="22"/>
  <c r="X1676" i="22"/>
  <c r="V1676" i="22"/>
  <c r="U1676" i="22"/>
  <c r="V1675" i="22"/>
  <c r="U1675" i="22"/>
  <c r="S1675" i="22"/>
  <c r="Z1675" i="22" s="1"/>
  <c r="Z1674" i="22"/>
  <c r="V1674" i="22"/>
  <c r="U1674" i="22"/>
  <c r="S1674" i="22"/>
  <c r="Z1673" i="22"/>
  <c r="V1673" i="22"/>
  <c r="U1673" i="22"/>
  <c r="S1673" i="22"/>
  <c r="V1672" i="22"/>
  <c r="U1672" i="22"/>
  <c r="S1672" i="22"/>
  <c r="Z1672" i="22" s="1"/>
  <c r="Z1671" i="22"/>
  <c r="V1671" i="22"/>
  <c r="U1671" i="22"/>
  <c r="S1671" i="22"/>
  <c r="V1670" i="22"/>
  <c r="U1670" i="22"/>
  <c r="S1670" i="22"/>
  <c r="Z1670" i="22" s="1"/>
  <c r="Z1669" i="22"/>
  <c r="V1669" i="22"/>
  <c r="U1669" i="22"/>
  <c r="S1669" i="22"/>
  <c r="V1668" i="22"/>
  <c r="U1668" i="22"/>
  <c r="S1668" i="22"/>
  <c r="Z1668" i="22" s="1"/>
  <c r="Z1667" i="22"/>
  <c r="V1667" i="22"/>
  <c r="U1667" i="22"/>
  <c r="S1667" i="22"/>
  <c r="Z1666" i="22"/>
  <c r="V1666" i="22"/>
  <c r="U1666" i="22"/>
  <c r="S1666" i="22"/>
  <c r="AA1665" i="22"/>
  <c r="W1665" i="22"/>
  <c r="V1665" i="22"/>
  <c r="U1665" i="22"/>
  <c r="X1665" i="22" s="1"/>
  <c r="S1665" i="22"/>
  <c r="Z1665" i="22" s="1"/>
  <c r="X1664" i="22"/>
  <c r="AA1664" i="22" s="1"/>
  <c r="R1664" i="22" s="1"/>
  <c r="Q1664" i="22" s="1"/>
  <c r="V1664" i="22"/>
  <c r="U1664" i="22"/>
  <c r="S1664" i="22"/>
  <c r="Z1664" i="22" s="1"/>
  <c r="V1663" i="22"/>
  <c r="U1663" i="22"/>
  <c r="X1663" i="22" s="1"/>
  <c r="AA1663" i="22" s="1"/>
  <c r="S1663" i="22"/>
  <c r="Z1663" i="22" s="1"/>
  <c r="Y1663" i="22" s="1"/>
  <c r="X1662" i="22"/>
  <c r="AA1662" i="22" s="1"/>
  <c r="R1662" i="22" s="1"/>
  <c r="Q1662" i="22" s="1"/>
  <c r="V1662" i="22"/>
  <c r="U1662" i="22"/>
  <c r="S1662" i="22"/>
  <c r="Z1662" i="22" s="1"/>
  <c r="X1661" i="22"/>
  <c r="Q1661" i="22" s="1"/>
  <c r="X1660" i="22"/>
  <c r="Q1660" i="22" s="1"/>
  <c r="X1659" i="22"/>
  <c r="Q1659" i="22"/>
  <c r="X1658" i="22"/>
  <c r="Q1658" i="22" s="1"/>
  <c r="X1657" i="22"/>
  <c r="Q1657" i="22" s="1"/>
  <c r="X1656" i="22"/>
  <c r="Q1656" i="22" s="1"/>
  <c r="X1655" i="22"/>
  <c r="Q1655" i="22"/>
  <c r="X1654" i="22"/>
  <c r="Q1654" i="22"/>
  <c r="X1653" i="22"/>
  <c r="Q1653" i="22" s="1"/>
  <c r="X1652" i="22"/>
  <c r="Q1652" i="22" s="1"/>
  <c r="X1651" i="22"/>
  <c r="Q1651" i="22" s="1"/>
  <c r="X1650" i="22"/>
  <c r="Q1650" i="22"/>
  <c r="X1649" i="22"/>
  <c r="Q1649" i="22" s="1"/>
  <c r="X1648" i="22"/>
  <c r="Q1648" i="22" s="1"/>
  <c r="X1647" i="22"/>
  <c r="Q1647" i="22" s="1"/>
  <c r="X1646" i="22"/>
  <c r="Q1646" i="22" s="1"/>
  <c r="X1645" i="22"/>
  <c r="Q1645" i="22" s="1"/>
  <c r="X1644" i="22"/>
  <c r="Q1644" i="22" s="1"/>
  <c r="X1643" i="22"/>
  <c r="Q1643" i="22" s="1"/>
  <c r="X1642" i="22"/>
  <c r="Q1642" i="22" s="1"/>
  <c r="X1641" i="22"/>
  <c r="Q1641" i="22" s="1"/>
  <c r="X1640" i="22"/>
  <c r="Q1640" i="22" s="1"/>
  <c r="X1639" i="22"/>
  <c r="Q1639" i="22"/>
  <c r="X1638" i="22"/>
  <c r="Q1638" i="22" s="1"/>
  <c r="X1637" i="22"/>
  <c r="Q1637" i="22" s="1"/>
  <c r="X1635" i="22"/>
  <c r="Q1635" i="22" s="1"/>
  <c r="X1633" i="22"/>
  <c r="Q1633" i="22" s="1"/>
  <c r="X1632" i="22"/>
  <c r="Q1632" i="22"/>
  <c r="X1631" i="22"/>
  <c r="Q1631" i="22" s="1"/>
  <c r="X1630" i="22"/>
  <c r="Q1630" i="22" s="1"/>
  <c r="X1629" i="22"/>
  <c r="Q1629" i="22" s="1"/>
  <c r="X1628" i="22"/>
  <c r="Q1628" i="22" s="1"/>
  <c r="X1627" i="22"/>
  <c r="Q1627" i="22" s="1"/>
  <c r="X1626" i="22"/>
  <c r="Q1626" i="22" s="1"/>
  <c r="X1625" i="22"/>
  <c r="Q1625" i="22"/>
  <c r="X1624" i="22"/>
  <c r="Q1624" i="22"/>
  <c r="X1623" i="22"/>
  <c r="Q1623" i="22" s="1"/>
  <c r="X1622" i="22"/>
  <c r="Q1622" i="22" s="1"/>
  <c r="X1621" i="22"/>
  <c r="Q1621" i="22" s="1"/>
  <c r="X1620" i="22"/>
  <c r="Q1620" i="22" s="1"/>
  <c r="X1619" i="22"/>
  <c r="Q1619" i="22" s="1"/>
  <c r="X1618" i="22"/>
  <c r="Q1618" i="22" s="1"/>
  <c r="X1617" i="22"/>
  <c r="Q1617" i="22" s="1"/>
  <c r="X1616" i="22"/>
  <c r="Q1616" i="22" s="1"/>
  <c r="X1615" i="22"/>
  <c r="Q1615" i="22" s="1"/>
  <c r="X1614" i="22"/>
  <c r="W1613" i="22"/>
  <c r="X1613" i="22" s="1"/>
  <c r="Q1613" i="22"/>
  <c r="X1612" i="22"/>
  <c r="Q1612" i="22" s="1"/>
  <c r="W1612" i="22"/>
  <c r="W1611" i="22"/>
  <c r="X1610" i="22"/>
  <c r="W1610" i="22"/>
  <c r="W1609" i="22"/>
  <c r="W1608" i="22"/>
  <c r="X1608" i="22" s="1"/>
  <c r="Q1608" i="22"/>
  <c r="X1606" i="22"/>
  <c r="W1606" i="22"/>
  <c r="X1605" i="22"/>
  <c r="W1605" i="22"/>
  <c r="Q1605" i="22" s="1"/>
  <c r="W1604" i="22"/>
  <c r="X1604" i="22" s="1"/>
  <c r="Q1604" i="22"/>
  <c r="W1603" i="22"/>
  <c r="X1603" i="22" s="1"/>
  <c r="Q1603" i="22" s="1"/>
  <c r="W1602" i="22"/>
  <c r="W1601" i="22"/>
  <c r="X1601" i="22" s="1"/>
  <c r="X1600" i="22"/>
  <c r="W1600" i="22"/>
  <c r="W1599" i="22"/>
  <c r="W1598" i="22"/>
  <c r="X1598" i="22" s="1"/>
  <c r="Q1598" i="22"/>
  <c r="X1597" i="22"/>
  <c r="Q1597" i="22" s="1"/>
  <c r="W1597" i="22"/>
  <c r="X1596" i="22"/>
  <c r="Q1596" i="22" s="1"/>
  <c r="W1596" i="22"/>
  <c r="W1595" i="22"/>
  <c r="X1595" i="22" s="1"/>
  <c r="Q1595" i="22" s="1"/>
  <c r="W1594" i="22"/>
  <c r="X1594" i="22" s="1"/>
  <c r="Q1594" i="22"/>
  <c r="W1593" i="22"/>
  <c r="X1593" i="22" s="1"/>
  <c r="Q1593" i="22" s="1"/>
  <c r="X1592" i="22"/>
  <c r="W1592" i="22"/>
  <c r="Q1592" i="22" s="1"/>
  <c r="W1591" i="22"/>
  <c r="X1591" i="22" s="1"/>
  <c r="Q1591" i="22"/>
  <c r="W1590" i="22"/>
  <c r="X1590" i="22" s="1"/>
  <c r="W1589" i="22"/>
  <c r="W1588" i="22"/>
  <c r="W1587" i="22"/>
  <c r="X1587" i="22" s="1"/>
  <c r="W1586" i="22"/>
  <c r="X1586" i="22" s="1"/>
  <c r="Q1586" i="22" s="1"/>
  <c r="W1585" i="22"/>
  <c r="X1585" i="22" s="1"/>
  <c r="Q1585" i="22" s="1"/>
  <c r="X1584" i="22"/>
  <c r="W1584" i="22"/>
  <c r="W1583" i="22"/>
  <c r="X1583" i="22" s="1"/>
  <c r="Q1583" i="22" s="1"/>
  <c r="W1581" i="22"/>
  <c r="X1581" i="22" s="1"/>
  <c r="Q1581" i="22"/>
  <c r="W1580" i="22"/>
  <c r="W1579" i="22"/>
  <c r="W1577" i="22"/>
  <c r="X1577" i="22" s="1"/>
  <c r="W1576" i="22"/>
  <c r="X1576" i="22" s="1"/>
  <c r="Q1576" i="22" s="1"/>
  <c r="W1575" i="22"/>
  <c r="X1575" i="22" s="1"/>
  <c r="Q1575" i="22" s="1"/>
  <c r="P1575" i="22"/>
  <c r="M1575" i="22"/>
  <c r="X1574" i="22"/>
  <c r="Q1574" i="22" s="1"/>
  <c r="W1574" i="22"/>
  <c r="W1573" i="22"/>
  <c r="X1573" i="22" s="1"/>
  <c r="Q1573" i="22" s="1"/>
  <c r="W1572" i="22"/>
  <c r="X1572" i="22" s="1"/>
  <c r="W1570" i="22"/>
  <c r="W1568" i="22"/>
  <c r="X1568" i="22" s="1"/>
  <c r="W1567" i="22"/>
  <c r="W1566" i="22"/>
  <c r="W1565" i="22"/>
  <c r="X1565" i="22" s="1"/>
  <c r="W1564" i="22"/>
  <c r="X1563" i="22"/>
  <c r="Q1563" i="22" s="1"/>
  <c r="W1563" i="22"/>
  <c r="W1562" i="22"/>
  <c r="X1562" i="22" s="1"/>
  <c r="Q1562" i="22" s="1"/>
  <c r="W1561" i="22"/>
  <c r="X1561" i="22" s="1"/>
  <c r="Q1561" i="22"/>
  <c r="W1559" i="22"/>
  <c r="W1558" i="22"/>
  <c r="W1557" i="22"/>
  <c r="W1555" i="22"/>
  <c r="X1555" i="22" s="1"/>
  <c r="W1554" i="22"/>
  <c r="W1553" i="22"/>
  <c r="X1553" i="22" s="1"/>
  <c r="Q1553" i="22" s="1"/>
  <c r="X1552" i="22"/>
  <c r="W1552" i="22"/>
  <c r="Q1552" i="22" s="1"/>
  <c r="W1551" i="22"/>
  <c r="X1551" i="22" s="1"/>
  <c r="Q1551" i="22" s="1"/>
  <c r="W1550" i="22"/>
  <c r="X1550" i="22" s="1"/>
  <c r="W1549" i="22"/>
  <c r="W1548" i="22"/>
  <c r="W1547" i="22"/>
  <c r="X1547" i="22" s="1"/>
  <c r="W1546" i="22"/>
  <c r="W1545" i="22"/>
  <c r="X1545" i="22" s="1"/>
  <c r="Q1545" i="22" s="1"/>
  <c r="W1544" i="22"/>
  <c r="W1543" i="22"/>
  <c r="X1543" i="22" s="1"/>
  <c r="W1542" i="22"/>
  <c r="X1542" i="22" s="1"/>
  <c r="W1541" i="22"/>
  <c r="W1540" i="22"/>
  <c r="W1539" i="22"/>
  <c r="X1539" i="22" s="1"/>
  <c r="X1538" i="22"/>
  <c r="W1538" i="22"/>
  <c r="W1536" i="22"/>
  <c r="X1536" i="22" s="1"/>
  <c r="Q1536" i="22" s="1"/>
  <c r="W1535" i="22"/>
  <c r="X1535" i="22" s="1"/>
  <c r="Q1535" i="22"/>
  <c r="W1534" i="22"/>
  <c r="W1533" i="22"/>
  <c r="X1533" i="22" s="1"/>
  <c r="W1532" i="22"/>
  <c r="W1531" i="22"/>
  <c r="W1530" i="22"/>
  <c r="X1530" i="22" s="1"/>
  <c r="X1529" i="22"/>
  <c r="W1529" i="22"/>
  <c r="X1528" i="22"/>
  <c r="Q1528" i="22" s="1"/>
  <c r="W1528" i="22"/>
  <c r="W1527" i="22"/>
  <c r="X1527" i="22" s="1"/>
  <c r="W1526" i="22"/>
  <c r="X1526" i="22" s="1"/>
  <c r="Q1526" i="22"/>
  <c r="W1525" i="22"/>
  <c r="W1524" i="22"/>
  <c r="W1523" i="22"/>
  <c r="W1522" i="22"/>
  <c r="X1522" i="22" s="1"/>
  <c r="W1521" i="22"/>
  <c r="W1519" i="22"/>
  <c r="X1519" i="22" s="1"/>
  <c r="Q1519" i="22" s="1"/>
  <c r="X1518" i="22"/>
  <c r="W1518" i="22"/>
  <c r="Q1518" i="22" s="1"/>
  <c r="W1517" i="22"/>
  <c r="X1517" i="22" s="1"/>
  <c r="W1515" i="22"/>
  <c r="X1515" i="22" s="1"/>
  <c r="Q1515" i="22"/>
  <c r="W1514" i="22"/>
  <c r="W1513" i="22"/>
  <c r="W1512" i="22"/>
  <c r="X1512" i="22" s="1"/>
  <c r="W1511" i="22"/>
  <c r="W1510" i="22"/>
  <c r="X1510" i="22" s="1"/>
  <c r="Q1510" i="22" s="1"/>
  <c r="X1509" i="22"/>
  <c r="W1509" i="22"/>
  <c r="W1508" i="22"/>
  <c r="X1508" i="22" s="1"/>
  <c r="W1507" i="22"/>
  <c r="X1507" i="22" s="1"/>
  <c r="W1506" i="22"/>
  <c r="W1505" i="22"/>
  <c r="W1504" i="22"/>
  <c r="X1504" i="22" s="1"/>
  <c r="X1503" i="22"/>
  <c r="W1503" i="22"/>
  <c r="W1502" i="22"/>
  <c r="X1502" i="22" s="1"/>
  <c r="Q1502" i="22" s="1"/>
  <c r="W1501" i="22"/>
  <c r="X1501" i="22" s="1"/>
  <c r="W1499" i="22"/>
  <c r="W1498" i="22"/>
  <c r="X1498" i="22" s="1"/>
  <c r="W1497" i="22"/>
  <c r="W1496" i="22"/>
  <c r="W1495" i="22"/>
  <c r="X1495" i="22" s="1"/>
  <c r="W1494" i="22"/>
  <c r="X1493" i="22"/>
  <c r="Q1493" i="22" s="1"/>
  <c r="W1493" i="22"/>
  <c r="W1492" i="22"/>
  <c r="X1492" i="22" s="1"/>
  <c r="W1491" i="22"/>
  <c r="W1490" i="22"/>
  <c r="W1489" i="22"/>
  <c r="W1488" i="22"/>
  <c r="W1487" i="22"/>
  <c r="X1487" i="22" s="1"/>
  <c r="W1486" i="22"/>
  <c r="W1485" i="22"/>
  <c r="X1485" i="22" s="1"/>
  <c r="Q1485" i="22" s="1"/>
  <c r="X1483" i="22"/>
  <c r="W1483" i="22"/>
  <c r="Q1483" i="22" s="1"/>
  <c r="W1482" i="22"/>
  <c r="X1482" i="22" s="1"/>
  <c r="W1481" i="22"/>
  <c r="X1481" i="22" s="1"/>
  <c r="W1480" i="22"/>
  <c r="W1479" i="22"/>
  <c r="W1478" i="22"/>
  <c r="X1478" i="22" s="1"/>
  <c r="W1477" i="22"/>
  <c r="W1476" i="22"/>
  <c r="X1476" i="22" s="1"/>
  <c r="Q1476" i="22" s="1"/>
  <c r="W1475" i="22"/>
  <c r="W1474" i="22"/>
  <c r="X1474" i="22" s="1"/>
  <c r="W1473" i="22"/>
  <c r="X1473" i="22" s="1"/>
  <c r="W1472" i="22"/>
  <c r="W1471" i="22"/>
  <c r="W1470" i="22"/>
  <c r="X1470" i="22" s="1"/>
  <c r="X1469" i="22"/>
  <c r="W1469" i="22"/>
  <c r="W1468" i="22"/>
  <c r="X1468" i="22" s="1"/>
  <c r="Q1468" i="22" s="1"/>
  <c r="W1467" i="22"/>
  <c r="X1467" i="22" s="1"/>
  <c r="Q1467" i="22"/>
  <c r="W1466" i="22"/>
  <c r="W1465" i="22"/>
  <c r="X1465" i="22" s="1"/>
  <c r="W1464" i="22"/>
  <c r="W1463" i="22"/>
  <c r="W1462" i="22"/>
  <c r="X1462" i="22" s="1"/>
  <c r="X1461" i="22"/>
  <c r="W1461" i="22"/>
  <c r="X1459" i="22"/>
  <c r="Q1459" i="22" s="1"/>
  <c r="W1459" i="22"/>
  <c r="W1458" i="22"/>
  <c r="X1458" i="22" s="1"/>
  <c r="W1457" i="22"/>
  <c r="X1457" i="22" s="1"/>
  <c r="W1456" i="22"/>
  <c r="W1455" i="22"/>
  <c r="X1455" i="22" s="1"/>
  <c r="W1454" i="22"/>
  <c r="W1453" i="22"/>
  <c r="X1453" i="22" s="1"/>
  <c r="Q1453" i="22" s="1"/>
  <c r="W1452" i="22"/>
  <c r="X1452" i="22" s="1"/>
  <c r="Q1452" i="22" s="1"/>
  <c r="W1451" i="22"/>
  <c r="W1450" i="22"/>
  <c r="X1450" i="22" s="1"/>
  <c r="Q1450" i="22" s="1"/>
  <c r="W1449" i="22"/>
  <c r="X1449" i="22" s="1"/>
  <c r="Q1449" i="22" s="1"/>
  <c r="W1447" i="22"/>
  <c r="X1447" i="22" s="1"/>
  <c r="W1446" i="22"/>
  <c r="X1446" i="22" s="1"/>
  <c r="W1445" i="22"/>
  <c r="W1443" i="22"/>
  <c r="X1442" i="22"/>
  <c r="W1442" i="22"/>
  <c r="X1441" i="22"/>
  <c r="Q1441" i="22" s="1"/>
  <c r="W1441" i="22"/>
  <c r="W1440" i="22"/>
  <c r="W1439" i="22"/>
  <c r="X1439" i="22" s="1"/>
  <c r="Q1439" i="22" s="1"/>
  <c r="W1438" i="22"/>
  <c r="X1438" i="22" s="1"/>
  <c r="W1437" i="22"/>
  <c r="W1436" i="22"/>
  <c r="W1435" i="22"/>
  <c r="X1434" i="22"/>
  <c r="Q1434" i="22" s="1"/>
  <c r="W1434" i="22"/>
  <c r="W1433" i="22"/>
  <c r="X1433" i="22" s="1"/>
  <c r="W1432" i="22"/>
  <c r="W1431" i="22"/>
  <c r="X1431" i="22" s="1"/>
  <c r="Q1431" i="22" s="1"/>
  <c r="W1430" i="22"/>
  <c r="X1429" i="22"/>
  <c r="W1429" i="22"/>
  <c r="W1428" i="22"/>
  <c r="W1427" i="22"/>
  <c r="X1427" i="22" s="1"/>
  <c r="X1426" i="22"/>
  <c r="W1426" i="22"/>
  <c r="X1425" i="22"/>
  <c r="Q1425" i="22" s="1"/>
  <c r="W1425" i="22"/>
  <c r="W1424" i="22"/>
  <c r="X1424" i="22" s="1"/>
  <c r="W1423" i="22"/>
  <c r="X1423" i="22" s="1"/>
  <c r="Q1423" i="22"/>
  <c r="W1422" i="22"/>
  <c r="X1421" i="22"/>
  <c r="W1421" i="22"/>
  <c r="W1420" i="22"/>
  <c r="W1419" i="22"/>
  <c r="X1419" i="22" s="1"/>
  <c r="Q1419" i="22" s="1"/>
  <c r="X1418" i="22"/>
  <c r="W1418" i="22"/>
  <c r="X1417" i="22"/>
  <c r="W1417" i="22"/>
  <c r="Q1417" i="22"/>
  <c r="W1416" i="22"/>
  <c r="X1416" i="22" s="1"/>
  <c r="Q1416" i="22" s="1"/>
  <c r="W1415" i="22"/>
  <c r="X1415" i="22" s="1"/>
  <c r="Q1415" i="22" s="1"/>
  <c r="W1414" i="22"/>
  <c r="X1414" i="22" s="1"/>
  <c r="X1413" i="22"/>
  <c r="W1413" i="22"/>
  <c r="W1412" i="22"/>
  <c r="W1411" i="22"/>
  <c r="X1410" i="22"/>
  <c r="W1410" i="22"/>
  <c r="X1409" i="22"/>
  <c r="Q1409" i="22" s="1"/>
  <c r="W1409" i="22"/>
  <c r="W1408" i="22"/>
  <c r="W1407" i="22"/>
  <c r="X1407" i="22" s="1"/>
  <c r="Q1407" i="22" s="1"/>
  <c r="W1406" i="22"/>
  <c r="X1406" i="22" s="1"/>
  <c r="W1405" i="22"/>
  <c r="W1404" i="22"/>
  <c r="W1403" i="22"/>
  <c r="X1402" i="22"/>
  <c r="Q1402" i="22" s="1"/>
  <c r="W1402" i="22"/>
  <c r="X1399" i="22"/>
  <c r="Q1399" i="22" s="1"/>
  <c r="W1399" i="22"/>
  <c r="W1398" i="22"/>
  <c r="W1397" i="22"/>
  <c r="X1397" i="22" s="1"/>
  <c r="Q1397" i="22" s="1"/>
  <c r="W1396" i="22"/>
  <c r="X1396" i="22" s="1"/>
  <c r="W1395" i="22"/>
  <c r="W1394" i="22"/>
  <c r="X1394" i="22" s="1"/>
  <c r="W1393" i="22"/>
  <c r="X1393" i="22" s="1"/>
  <c r="Q1393" i="22" s="1"/>
  <c r="W1392" i="22"/>
  <c r="X1392" i="22" s="1"/>
  <c r="Q1392" i="22" s="1"/>
  <c r="X1391" i="22"/>
  <c r="W1391" i="22"/>
  <c r="W1390" i="22"/>
  <c r="X1390" i="22" s="1"/>
  <c r="Q1390" i="22" s="1"/>
  <c r="W1389" i="22"/>
  <c r="X1389" i="22" s="1"/>
  <c r="Q1389" i="22" s="1"/>
  <c r="X1388" i="22"/>
  <c r="W1388" i="22"/>
  <c r="Q1388" i="22"/>
  <c r="W1387" i="22"/>
  <c r="W1386" i="22"/>
  <c r="W1385" i="22"/>
  <c r="W1384" i="22"/>
  <c r="X1384" i="22" s="1"/>
  <c r="W1383" i="22"/>
  <c r="X1383" i="22" s="1"/>
  <c r="Q1383" i="22" s="1"/>
  <c r="W1382" i="22"/>
  <c r="W1381" i="22"/>
  <c r="X1381" i="22" s="1"/>
  <c r="Q1381" i="22" s="1"/>
  <c r="W1380" i="22"/>
  <c r="W1379" i="22"/>
  <c r="W1378" i="22"/>
  <c r="X1378" i="22" s="1"/>
  <c r="Q1378" i="22"/>
  <c r="W1377" i="22"/>
  <c r="X1377" i="22" s="1"/>
  <c r="Q1377" i="22" s="1"/>
  <c r="W1376" i="22"/>
  <c r="X1376" i="22" s="1"/>
  <c r="X1375" i="22"/>
  <c r="W1375" i="22"/>
  <c r="W1374" i="22"/>
  <c r="X1374" i="22" s="1"/>
  <c r="Q1374" i="22" s="1"/>
  <c r="W1373" i="22"/>
  <c r="X1373" i="22" s="1"/>
  <c r="Q1373" i="22" s="1"/>
  <c r="W1372" i="22"/>
  <c r="X1372" i="22" s="1"/>
  <c r="Q1372" i="22"/>
  <c r="W1371" i="22"/>
  <c r="W1370" i="22"/>
  <c r="X1370" i="22" s="1"/>
  <c r="W1369" i="22"/>
  <c r="X1368" i="22"/>
  <c r="W1368" i="22"/>
  <c r="W1367" i="22"/>
  <c r="X1367" i="22" s="1"/>
  <c r="W1366" i="22"/>
  <c r="W1365" i="22"/>
  <c r="X1365" i="22" s="1"/>
  <c r="Q1365" i="22" s="1"/>
  <c r="W1364" i="22"/>
  <c r="X1364" i="22" s="1"/>
  <c r="Q1364" i="22" s="1"/>
  <c r="W1363" i="22"/>
  <c r="W1362" i="22"/>
  <c r="X1362" i="22" s="1"/>
  <c r="W1361" i="22"/>
  <c r="X1361" i="22" s="1"/>
  <c r="Q1361" i="22" s="1"/>
  <c r="X1360" i="22"/>
  <c r="W1360" i="22"/>
  <c r="X1359" i="22"/>
  <c r="W1359" i="22"/>
  <c r="Q1359" i="22" s="1"/>
  <c r="W1358" i="22"/>
  <c r="X1358" i="22" s="1"/>
  <c r="Q1358" i="22" s="1"/>
  <c r="W1357" i="22"/>
  <c r="X1357" i="22" s="1"/>
  <c r="Q1357" i="22" s="1"/>
  <c r="W1356" i="22"/>
  <c r="X1356" i="22" s="1"/>
  <c r="W1355" i="22"/>
  <c r="X1355" i="22" s="1"/>
  <c r="Q1355" i="22" s="1"/>
  <c r="W1354" i="22"/>
  <c r="X1353" i="22"/>
  <c r="Q1353" i="22" s="1"/>
  <c r="W1353" i="22"/>
  <c r="W1352" i="22"/>
  <c r="W1351" i="22"/>
  <c r="X1351" i="22" s="1"/>
  <c r="Q1351" i="22"/>
  <c r="W1350" i="22"/>
  <c r="X1350" i="22" s="1"/>
  <c r="Q1350" i="22" s="1"/>
  <c r="X1349" i="22"/>
  <c r="Q1349" i="22" s="1"/>
  <c r="W1349" i="22"/>
  <c r="W1348" i="22"/>
  <c r="X1348" i="22" s="1"/>
  <c r="W1347" i="22"/>
  <c r="X1347" i="22" s="1"/>
  <c r="W1346" i="22"/>
  <c r="W1344" i="22"/>
  <c r="X1344" i="22" s="1"/>
  <c r="Q1344" i="22" s="1"/>
  <c r="W1343" i="22"/>
  <c r="X1342" i="22"/>
  <c r="Q1342" i="22" s="1"/>
  <c r="W1342" i="22"/>
  <c r="W1341" i="22"/>
  <c r="X1341" i="22" s="1"/>
  <c r="Q1341" i="22" s="1"/>
  <c r="X1340" i="22"/>
  <c r="Q1340" i="22" s="1"/>
  <c r="W1340" i="22"/>
  <c r="W1339" i="22"/>
  <c r="X1339" i="22" s="1"/>
  <c r="W1338" i="22"/>
  <c r="X1338" i="22" s="1"/>
  <c r="W1337" i="22"/>
  <c r="X1336" i="22"/>
  <c r="Q1336" i="22" s="1"/>
  <c r="W1336" i="22"/>
  <c r="W1335" i="22"/>
  <c r="X1334" i="22"/>
  <c r="W1334" i="22"/>
  <c r="W1333" i="22"/>
  <c r="X1333" i="22" s="1"/>
  <c r="Q1333" i="22" s="1"/>
  <c r="W1332" i="22"/>
  <c r="X1332" i="22" s="1"/>
  <c r="Q1332" i="22" s="1"/>
  <c r="W1331" i="22"/>
  <c r="X1331" i="22" s="1"/>
  <c r="W1330" i="22"/>
  <c r="X1330" i="22" s="1"/>
  <c r="W1329" i="22"/>
  <c r="X1328" i="22"/>
  <c r="Q1328" i="22" s="1"/>
  <c r="W1328" i="22"/>
  <c r="W1327" i="22"/>
  <c r="X1326" i="22"/>
  <c r="W1326" i="22"/>
  <c r="Q1326" i="22"/>
  <c r="W1325" i="22"/>
  <c r="X1325" i="22" s="1"/>
  <c r="Q1325" i="22" s="1"/>
  <c r="X1324" i="22"/>
  <c r="Q1324" i="22" s="1"/>
  <c r="W1324" i="22"/>
  <c r="W1323" i="22"/>
  <c r="X1323" i="22" s="1"/>
  <c r="W1322" i="22"/>
  <c r="X1322" i="22" s="1"/>
  <c r="Q1322" i="22"/>
  <c r="W1321" i="22"/>
  <c r="X1320" i="22"/>
  <c r="Q1320" i="22" s="1"/>
  <c r="W1320" i="22"/>
  <c r="W1319" i="22"/>
  <c r="X1318" i="22"/>
  <c r="W1318" i="22"/>
  <c r="Q1318" i="22" s="1"/>
  <c r="W1317" i="22"/>
  <c r="X1317" i="22" s="1"/>
  <c r="Q1317" i="22" s="1"/>
  <c r="W1316" i="22"/>
  <c r="X1316" i="22" s="1"/>
  <c r="Q1316" i="22" s="1"/>
  <c r="W1315" i="22"/>
  <c r="X1315" i="22" s="1"/>
  <c r="W1314" i="22"/>
  <c r="X1314" i="22" s="1"/>
  <c r="Q1314" i="22" s="1"/>
  <c r="W1313" i="22"/>
  <c r="X1312" i="22"/>
  <c r="Q1312" i="22" s="1"/>
  <c r="W1312" i="22"/>
  <c r="W1311" i="22"/>
  <c r="W1310" i="22"/>
  <c r="X1310" i="22" s="1"/>
  <c r="Q1310" i="22"/>
  <c r="W1309" i="22"/>
  <c r="X1309" i="22" s="1"/>
  <c r="Q1309" i="22" s="1"/>
  <c r="X1308" i="22"/>
  <c r="Q1308" i="22" s="1"/>
  <c r="W1308" i="22"/>
  <c r="W1307" i="22"/>
  <c r="X1307" i="22" s="1"/>
  <c r="W1306" i="22"/>
  <c r="X1306" i="22" s="1"/>
  <c r="Q1306" i="22" s="1"/>
  <c r="W1305" i="22"/>
  <c r="W1304" i="22"/>
  <c r="X1304" i="22" s="1"/>
  <c r="Q1304" i="22" s="1"/>
  <c r="W1303" i="22"/>
  <c r="X1302" i="22"/>
  <c r="W1302" i="22"/>
  <c r="Q1302" i="22" s="1"/>
  <c r="W1301" i="22"/>
  <c r="X1301" i="22" s="1"/>
  <c r="Q1301" i="22" s="1"/>
  <c r="W1299" i="22"/>
  <c r="X1299" i="22" s="1"/>
  <c r="Q1299" i="22" s="1"/>
  <c r="W1298" i="22"/>
  <c r="X1298" i="22" s="1"/>
  <c r="W1297" i="22"/>
  <c r="X1297" i="22" s="1"/>
  <c r="Q1297" i="22" s="1"/>
  <c r="W1296" i="22"/>
  <c r="X1295" i="22"/>
  <c r="Q1295" i="22" s="1"/>
  <c r="W1295" i="22"/>
  <c r="W1293" i="22"/>
  <c r="W1292" i="22"/>
  <c r="X1292" i="22" s="1"/>
  <c r="Q1292" i="22"/>
  <c r="W1291" i="22"/>
  <c r="X1291" i="22" s="1"/>
  <c r="Q1291" i="22" s="1"/>
  <c r="X1290" i="22"/>
  <c r="Q1290" i="22" s="1"/>
  <c r="W1290" i="22"/>
  <c r="W1289" i="22"/>
  <c r="X1289" i="22" s="1"/>
  <c r="W1288" i="22"/>
  <c r="X1288" i="22" s="1"/>
  <c r="Q1288" i="22" s="1"/>
  <c r="W1287" i="22"/>
  <c r="W1286" i="22"/>
  <c r="X1286" i="22" s="1"/>
  <c r="Q1286" i="22" s="1"/>
  <c r="W1285" i="22"/>
  <c r="X1284" i="22"/>
  <c r="W1284" i="22"/>
  <c r="Q1284" i="22" s="1"/>
  <c r="W1283" i="22"/>
  <c r="X1283" i="22" s="1"/>
  <c r="Q1283" i="22" s="1"/>
  <c r="W1282" i="22"/>
  <c r="X1282" i="22" s="1"/>
  <c r="Q1282" i="22" s="1"/>
  <c r="W1281" i="22"/>
  <c r="W1280" i="22"/>
  <c r="X1280" i="22" s="1"/>
  <c r="Q1280" i="22" s="1"/>
  <c r="W1279" i="22"/>
  <c r="X1278" i="22"/>
  <c r="Q1278" i="22" s="1"/>
  <c r="W1278" i="22"/>
  <c r="W1277" i="22"/>
  <c r="W1276" i="22"/>
  <c r="W1275" i="22"/>
  <c r="X1275" i="22" s="1"/>
  <c r="Q1275" i="22" s="1"/>
  <c r="X1274" i="22"/>
  <c r="Q1274" i="22" s="1"/>
  <c r="W1274" i="22"/>
  <c r="W1273" i="22"/>
  <c r="W1272" i="22"/>
  <c r="X1272" i="22" s="1"/>
  <c r="W1271" i="22"/>
  <c r="X1270" i="22"/>
  <c r="Q1270" i="22" s="1"/>
  <c r="W1270" i="22"/>
  <c r="W1269" i="22"/>
  <c r="X1268" i="22"/>
  <c r="Q1268" i="22" s="1"/>
  <c r="W1268" i="22"/>
  <c r="W1267" i="22"/>
  <c r="X1267" i="22" s="1"/>
  <c r="Q1267" i="22" s="1"/>
  <c r="W1266" i="22"/>
  <c r="X1266" i="22" s="1"/>
  <c r="Q1266" i="22" s="1"/>
  <c r="W1265" i="22"/>
  <c r="W1264" i="22"/>
  <c r="X1264" i="22" s="1"/>
  <c r="W1263" i="22"/>
  <c r="X1262" i="22"/>
  <c r="Q1262" i="22" s="1"/>
  <c r="W1262" i="22"/>
  <c r="W1261" i="22"/>
  <c r="W1260" i="22"/>
  <c r="W1259" i="22"/>
  <c r="X1259" i="22" s="1"/>
  <c r="Q1259" i="22" s="1"/>
  <c r="W1258" i="22"/>
  <c r="X1258" i="22" s="1"/>
  <c r="Q1258" i="22" s="1"/>
  <c r="W1256" i="22"/>
  <c r="W1255" i="22"/>
  <c r="X1255" i="22" s="1"/>
  <c r="Q1255" i="22"/>
  <c r="W1254" i="22"/>
  <c r="X1253" i="22"/>
  <c r="Q1253" i="22" s="1"/>
  <c r="W1253" i="22"/>
  <c r="W1252" i="22"/>
  <c r="X1251" i="22"/>
  <c r="W1251" i="22"/>
  <c r="Q1251" i="22"/>
  <c r="W1250" i="22"/>
  <c r="X1250" i="22" s="1"/>
  <c r="Q1250" i="22" s="1"/>
  <c r="X1249" i="22"/>
  <c r="Q1249" i="22" s="1"/>
  <c r="W1249" i="22"/>
  <c r="W1248" i="22"/>
  <c r="W1247" i="22"/>
  <c r="X1247" i="22" s="1"/>
  <c r="Q1247" i="22" s="1"/>
  <c r="W1246" i="22"/>
  <c r="W1245" i="22"/>
  <c r="X1245" i="22" s="1"/>
  <c r="Q1245" i="22" s="1"/>
  <c r="W1244" i="22"/>
  <c r="X1243" i="22"/>
  <c r="W1243" i="22"/>
  <c r="W1242" i="22"/>
  <c r="X1242" i="22" s="1"/>
  <c r="Q1242" i="22" s="1"/>
  <c r="X1241" i="22"/>
  <c r="Q1241" i="22" s="1"/>
  <c r="W1241" i="22"/>
  <c r="W1240" i="22"/>
  <c r="W1239" i="22"/>
  <c r="X1239" i="22" s="1"/>
  <c r="Q1239" i="22" s="1"/>
  <c r="W1238" i="22"/>
  <c r="X1237" i="22"/>
  <c r="Q1237" i="22" s="1"/>
  <c r="W1237" i="22"/>
  <c r="W1236" i="22"/>
  <c r="X1235" i="22"/>
  <c r="W1235" i="22"/>
  <c r="Q1235" i="22"/>
  <c r="W1234" i="22"/>
  <c r="X1234" i="22" s="1"/>
  <c r="Q1234" i="22" s="1"/>
  <c r="X1233" i="22"/>
  <c r="Q1233" i="22" s="1"/>
  <c r="W1233" i="22"/>
  <c r="W1232" i="22"/>
  <c r="W1231" i="22"/>
  <c r="X1231" i="22" s="1"/>
  <c r="Q1231" i="22" s="1"/>
  <c r="W1230" i="22"/>
  <c r="W1229" i="22"/>
  <c r="X1229" i="22" s="1"/>
  <c r="Q1229" i="22" s="1"/>
  <c r="W1228" i="22"/>
  <c r="X1227" i="22"/>
  <c r="W1227" i="22"/>
  <c r="W1226" i="22"/>
  <c r="X1226" i="22" s="1"/>
  <c r="Q1226" i="22" s="1"/>
  <c r="W1225" i="22"/>
  <c r="X1225" i="22" s="1"/>
  <c r="Q1225" i="22" s="1"/>
  <c r="W1224" i="22"/>
  <c r="W1223" i="22"/>
  <c r="X1223" i="22" s="1"/>
  <c r="Q1223" i="22" s="1"/>
  <c r="W1222" i="22"/>
  <c r="X1221" i="22"/>
  <c r="Q1221" i="22" s="1"/>
  <c r="W1221" i="22"/>
  <c r="W1220" i="22"/>
  <c r="W1219" i="22"/>
  <c r="X1219" i="22" s="1"/>
  <c r="Q1219" i="22" s="1"/>
  <c r="W1218" i="22"/>
  <c r="X1218" i="22" s="1"/>
  <c r="Q1218" i="22"/>
  <c r="X1217" i="22"/>
  <c r="Q1217" i="22" s="1"/>
  <c r="W1217" i="22"/>
  <c r="W1216" i="22"/>
  <c r="W1215" i="22"/>
  <c r="X1215" i="22" s="1"/>
  <c r="W1214" i="22"/>
  <c r="W1213" i="22"/>
  <c r="X1213" i="22" s="1"/>
  <c r="Q1213" i="22" s="1"/>
  <c r="W1212" i="22"/>
  <c r="X1211" i="22"/>
  <c r="W1211" i="22"/>
  <c r="Q1211" i="22" s="1"/>
  <c r="W1210" i="22"/>
  <c r="X1210" i="22" s="1"/>
  <c r="Q1210" i="22" s="1"/>
  <c r="W1209" i="22"/>
  <c r="X1209" i="22" s="1"/>
  <c r="Q1209" i="22" s="1"/>
  <c r="W1208" i="22"/>
  <c r="W1207" i="22"/>
  <c r="W1206" i="22"/>
  <c r="X1205" i="22"/>
  <c r="Q1205" i="22" s="1"/>
  <c r="W1205" i="22"/>
  <c r="W1204" i="22"/>
  <c r="X1204" i="22" s="1"/>
  <c r="W1203" i="22"/>
  <c r="X1203" i="22" s="1"/>
  <c r="Q1203" i="22" s="1"/>
  <c r="W1202" i="22"/>
  <c r="X1202" i="22" s="1"/>
  <c r="Q1202" i="22" s="1"/>
  <c r="X1201" i="22"/>
  <c r="W1201" i="22"/>
  <c r="Q1201" i="22" s="1"/>
  <c r="W1200" i="22"/>
  <c r="W1199" i="22"/>
  <c r="W1197" i="22"/>
  <c r="X1196" i="22"/>
  <c r="Q1196" i="22" s="1"/>
  <c r="W1196" i="22"/>
  <c r="W1195" i="22"/>
  <c r="X1194" i="22"/>
  <c r="Q1194" i="22" s="1"/>
  <c r="W1194" i="22"/>
  <c r="W1193" i="22"/>
  <c r="X1193" i="22" s="1"/>
  <c r="W1192" i="22"/>
  <c r="X1192" i="22" s="1"/>
  <c r="X1191" i="22"/>
  <c r="W1191" i="22"/>
  <c r="X1190" i="22"/>
  <c r="W1190" i="22"/>
  <c r="W1189" i="22"/>
  <c r="X1189" i="22" s="1"/>
  <c r="Q1189" i="22" s="1"/>
  <c r="X1188" i="22"/>
  <c r="W1188" i="22"/>
  <c r="X1187" i="22"/>
  <c r="Q1187" i="22" s="1"/>
  <c r="W1187" i="22"/>
  <c r="W1186" i="22"/>
  <c r="X1186" i="22" s="1"/>
  <c r="W1185" i="22"/>
  <c r="W1184" i="22"/>
  <c r="X1184" i="22" s="1"/>
  <c r="X1183" i="22"/>
  <c r="W1183" i="22"/>
  <c r="X1182" i="22"/>
  <c r="W1182" i="22"/>
  <c r="W1181" i="22"/>
  <c r="X1181" i="22" s="1"/>
  <c r="W1180" i="22"/>
  <c r="X1180" i="22" s="1"/>
  <c r="Q1180" i="22"/>
  <c r="X1179" i="22"/>
  <c r="Q1179" i="22" s="1"/>
  <c r="W1179" i="22"/>
  <c r="W1178" i="22"/>
  <c r="W1177" i="22"/>
  <c r="W1176" i="22"/>
  <c r="X1176" i="22" s="1"/>
  <c r="W1175" i="22"/>
  <c r="W1174" i="22"/>
  <c r="X1174" i="22" s="1"/>
  <c r="W1173" i="22"/>
  <c r="X1173" i="22" s="1"/>
  <c r="Q1173" i="22" s="1"/>
  <c r="X1172" i="22"/>
  <c r="Q1172" i="22" s="1"/>
  <c r="W1172" i="22"/>
  <c r="X1171" i="22"/>
  <c r="Q1171" i="22" s="1"/>
  <c r="W1171" i="22"/>
  <c r="W1170" i="22"/>
  <c r="X1170" i="22" s="1"/>
  <c r="Q1170" i="22"/>
  <c r="W1169" i="22"/>
  <c r="W1168" i="22"/>
  <c r="X1168" i="22" s="1"/>
  <c r="W1166" i="22"/>
  <c r="X1166" i="22" s="1"/>
  <c r="X1165" i="22"/>
  <c r="W1165" i="22"/>
  <c r="W1164" i="22"/>
  <c r="X1164" i="22" s="1"/>
  <c r="Q1164" i="22"/>
  <c r="W1163" i="22"/>
  <c r="X1162" i="22"/>
  <c r="Q1162" i="22" s="1"/>
  <c r="W1162" i="22"/>
  <c r="W1161" i="22"/>
  <c r="W1160" i="22"/>
  <c r="W1159" i="22"/>
  <c r="X1159" i="22" s="1"/>
  <c r="Q1159" i="22" s="1"/>
  <c r="W1158" i="22"/>
  <c r="X1157" i="22"/>
  <c r="W1157" i="22"/>
  <c r="W1156" i="22"/>
  <c r="X1156" i="22" s="1"/>
  <c r="Q1156" i="22" s="1"/>
  <c r="X1155" i="22"/>
  <c r="Q1155" i="22" s="1"/>
  <c r="W1155" i="22"/>
  <c r="W1154" i="22"/>
  <c r="X1154" i="22" s="1"/>
  <c r="Q1154" i="22" s="1"/>
  <c r="W1153" i="22"/>
  <c r="X1153" i="22" s="1"/>
  <c r="W1152" i="22"/>
  <c r="W1151" i="22"/>
  <c r="X1151" i="22" s="1"/>
  <c r="W1150" i="22"/>
  <c r="W1149" i="22"/>
  <c r="X1149" i="22" s="1"/>
  <c r="W1148" i="22"/>
  <c r="X1148" i="22" s="1"/>
  <c r="Q1148" i="22"/>
  <c r="X1147" i="22"/>
  <c r="Q1147" i="22" s="1"/>
  <c r="W1147" i="22"/>
  <c r="W1146" i="22"/>
  <c r="X1146" i="22" s="1"/>
  <c r="Q1146" i="22" s="1"/>
  <c r="W1145" i="22"/>
  <c r="X1145" i="22" s="1"/>
  <c r="W1144" i="22"/>
  <c r="W1143" i="22"/>
  <c r="X1143" i="22" s="1"/>
  <c r="X1142" i="22"/>
  <c r="W1142" i="22"/>
  <c r="X1141" i="22"/>
  <c r="W1141" i="22"/>
  <c r="W1140" i="22"/>
  <c r="X1140" i="22" s="1"/>
  <c r="W1139" i="22"/>
  <c r="X1139" i="22" s="1"/>
  <c r="Q1139" i="22"/>
  <c r="X1138" i="22"/>
  <c r="Q1138" i="22" s="1"/>
  <c r="W1138" i="22"/>
  <c r="W1137" i="22"/>
  <c r="X1137" i="22" s="1"/>
  <c r="W1136" i="22"/>
  <c r="W1135" i="22"/>
  <c r="X1135" i="22" s="1"/>
  <c r="W1134" i="22"/>
  <c r="W1133" i="22"/>
  <c r="W1132" i="22"/>
  <c r="X1132" i="22" s="1"/>
  <c r="Q1132" i="22" s="1"/>
  <c r="W1131" i="22"/>
  <c r="X1131" i="22" s="1"/>
  <c r="Q1131" i="22" s="1"/>
  <c r="X1130" i="22"/>
  <c r="Q1130" i="22" s="1"/>
  <c r="W1130" i="22"/>
  <c r="W1129" i="22"/>
  <c r="X1129" i="22" s="1"/>
  <c r="Q1129" i="22"/>
  <c r="W1128" i="22"/>
  <c r="W1127" i="22"/>
  <c r="X1127" i="22" s="1"/>
  <c r="W1126" i="22"/>
  <c r="X1126" i="22" s="1"/>
  <c r="X1125" i="22"/>
  <c r="W1125" i="22"/>
  <c r="W1124" i="22"/>
  <c r="X1124" i="22" s="1"/>
  <c r="Q1124" i="22"/>
  <c r="X1123" i="22"/>
  <c r="W1123" i="22"/>
  <c r="X1122" i="22"/>
  <c r="Q1122" i="22" s="1"/>
  <c r="W1122" i="22"/>
  <c r="W1121" i="22"/>
  <c r="X1121" i="22" s="1"/>
  <c r="Q1121" i="22" s="1"/>
  <c r="W1120" i="22"/>
  <c r="W1119" i="22"/>
  <c r="X1119" i="22" s="1"/>
  <c r="W1118" i="22"/>
  <c r="W1117" i="22"/>
  <c r="W1116" i="22"/>
  <c r="X1116" i="22" s="1"/>
  <c r="W1115" i="22"/>
  <c r="X1115" i="22" s="1"/>
  <c r="Q1115" i="22"/>
  <c r="X1114" i="22"/>
  <c r="Q1114" i="22" s="1"/>
  <c r="W1114" i="22"/>
  <c r="W1113" i="22"/>
  <c r="W1112" i="22"/>
  <c r="W1111" i="22"/>
  <c r="X1111" i="22" s="1"/>
  <c r="W1110" i="22"/>
  <c r="W1109" i="22"/>
  <c r="X1109" i="22" s="1"/>
  <c r="W1108" i="22"/>
  <c r="X1108" i="22" s="1"/>
  <c r="Q1108" i="22" s="1"/>
  <c r="W1107" i="22"/>
  <c r="X1107" i="22" s="1"/>
  <c r="Q1107" i="22" s="1"/>
  <c r="W1106" i="22"/>
  <c r="X1106" i="22" s="1"/>
  <c r="Q1106" i="22" s="1"/>
  <c r="W1105" i="22"/>
  <c r="X1105" i="22" s="1"/>
  <c r="Q1105" i="22"/>
  <c r="W1104" i="22"/>
  <c r="W1103" i="22"/>
  <c r="X1103" i="22" s="1"/>
  <c r="W1102" i="22"/>
  <c r="X1102" i="22" s="1"/>
  <c r="W1101" i="22"/>
  <c r="X1101" i="22" s="1"/>
  <c r="W1100" i="22"/>
  <c r="X1100" i="22" s="1"/>
  <c r="Q1100" i="22"/>
  <c r="W1099" i="22"/>
  <c r="X1098" i="22"/>
  <c r="Q1098" i="22" s="1"/>
  <c r="W1098" i="22"/>
  <c r="W1097" i="22"/>
  <c r="W1096" i="22"/>
  <c r="W1095" i="22"/>
  <c r="X1095" i="22" s="1"/>
  <c r="Q1095" i="22" s="1"/>
  <c r="W1094" i="22"/>
  <c r="X1093" i="22"/>
  <c r="W1093" i="22"/>
  <c r="W1092" i="22"/>
  <c r="X1092" i="22" s="1"/>
  <c r="Q1092" i="22" s="1"/>
  <c r="W1091" i="22"/>
  <c r="X1091" i="22" s="1"/>
  <c r="Q1091" i="22" s="1"/>
  <c r="W1090" i="22"/>
  <c r="X1090" i="22" s="1"/>
  <c r="Q1090" i="22" s="1"/>
  <c r="W1089" i="22"/>
  <c r="W1088" i="22"/>
  <c r="W1087" i="22"/>
  <c r="X1087" i="22" s="1"/>
  <c r="Q1087" i="22" s="1"/>
  <c r="W1086" i="22"/>
  <c r="X1085" i="22"/>
  <c r="W1085" i="22"/>
  <c r="W1084" i="22"/>
  <c r="X1084" i="22" s="1"/>
  <c r="Q1084" i="22"/>
  <c r="X1083" i="22"/>
  <c r="Q1083" i="22" s="1"/>
  <c r="W1083" i="22"/>
  <c r="X1082" i="22"/>
  <c r="W1082" i="22"/>
  <c r="W1081" i="22"/>
  <c r="X1081" i="22" s="1"/>
  <c r="W1080" i="22"/>
  <c r="W1079" i="22"/>
  <c r="X1079" i="22" s="1"/>
  <c r="Q1079" i="22" s="1"/>
  <c r="X1078" i="22"/>
  <c r="W1078" i="22"/>
  <c r="X1077" i="22"/>
  <c r="W1077" i="22"/>
  <c r="W1076" i="22"/>
  <c r="X1076" i="22" s="1"/>
  <c r="W1075" i="22"/>
  <c r="X1075" i="22" s="1"/>
  <c r="Q1075" i="22"/>
  <c r="W1074" i="22"/>
  <c r="W1073" i="22"/>
  <c r="X1073" i="22" s="1"/>
  <c r="W1072" i="22"/>
  <c r="W1071" i="22"/>
  <c r="X1071" i="22" s="1"/>
  <c r="W1070" i="22"/>
  <c r="W1069" i="22"/>
  <c r="W1068" i="22"/>
  <c r="X1068" i="22" s="1"/>
  <c r="Q1068" i="22" s="1"/>
  <c r="X1067" i="22"/>
  <c r="Q1067" i="22" s="1"/>
  <c r="W1067" i="22"/>
  <c r="W1066" i="22"/>
  <c r="X1066" i="22" s="1"/>
  <c r="W1065" i="22"/>
  <c r="X1065" i="22" s="1"/>
  <c r="Q1065" i="22"/>
  <c r="W1064" i="22"/>
  <c r="W1063" i="22"/>
  <c r="X1063" i="22" s="1"/>
  <c r="W1062" i="22"/>
  <c r="W1061" i="22"/>
  <c r="W1060" i="22"/>
  <c r="X1060" i="22" s="1"/>
  <c r="Q1060" i="22" s="1"/>
  <c r="X1059" i="22"/>
  <c r="Q1059" i="22" s="1"/>
  <c r="W1059" i="22"/>
  <c r="X1058" i="22"/>
  <c r="W1058" i="22"/>
  <c r="W1057" i="22"/>
  <c r="X1057" i="22" s="1"/>
  <c r="W1056" i="22"/>
  <c r="X1056" i="22" s="1"/>
  <c r="W1055" i="22"/>
  <c r="X1055" i="22" s="1"/>
  <c r="W1054" i="22"/>
  <c r="W1053" i="22"/>
  <c r="W1052" i="22"/>
  <c r="X1052" i="22" s="1"/>
  <c r="Q1052" i="22" s="1"/>
  <c r="X1051" i="22"/>
  <c r="Q1051" i="22" s="1"/>
  <c r="W1051" i="22"/>
  <c r="X1050" i="22"/>
  <c r="W1050" i="22"/>
  <c r="W1049" i="22"/>
  <c r="W1048" i="22"/>
  <c r="W1047" i="22"/>
  <c r="X1047" i="22" s="1"/>
  <c r="W1046" i="22"/>
  <c r="W1045" i="22"/>
  <c r="W1044" i="22"/>
  <c r="X1044" i="22" s="1"/>
  <c r="Q1044" i="22" s="1"/>
  <c r="W1043" i="22"/>
  <c r="X1043" i="22" s="1"/>
  <c r="Q1043" i="22" s="1"/>
  <c r="X1042" i="22"/>
  <c r="W1042" i="22"/>
  <c r="W1041" i="22"/>
  <c r="W1040" i="22"/>
  <c r="X1040" i="22" s="1"/>
  <c r="W1039" i="22"/>
  <c r="X1039" i="22" s="1"/>
  <c r="W1038" i="22"/>
  <c r="W1037" i="22"/>
  <c r="W1036" i="22"/>
  <c r="X1036" i="22" s="1"/>
  <c r="Q1036" i="22" s="1"/>
  <c r="W1035" i="22"/>
  <c r="X1035" i="22" s="1"/>
  <c r="Q1035" i="22" s="1"/>
  <c r="W1034" i="22"/>
  <c r="X1034" i="22" s="1"/>
  <c r="W1033" i="22"/>
  <c r="W1032" i="22"/>
  <c r="X1032" i="22" s="1"/>
  <c r="W1031" i="22"/>
  <c r="X1031" i="22" s="1"/>
  <c r="W1030" i="22"/>
  <c r="W1029" i="22"/>
  <c r="W1028" i="22"/>
  <c r="X1028" i="22" s="1"/>
  <c r="Q1028" i="22" s="1"/>
  <c r="W1027" i="22"/>
  <c r="X1027" i="22" s="1"/>
  <c r="Q1027" i="22" s="1"/>
  <c r="W1026" i="22"/>
  <c r="X1026" i="22" s="1"/>
  <c r="W1025" i="22"/>
  <c r="W1024" i="22"/>
  <c r="X1024" i="22" s="1"/>
  <c r="Q1024" i="22"/>
  <c r="W1023" i="22"/>
  <c r="X1023" i="22" s="1"/>
  <c r="W1022" i="22"/>
  <c r="W1021" i="22"/>
  <c r="W1020" i="22"/>
  <c r="X1020" i="22" s="1"/>
  <c r="Q1020" i="22" s="1"/>
  <c r="X1019" i="22"/>
  <c r="Q1019" i="22" s="1"/>
  <c r="W1019" i="22"/>
  <c r="W1018" i="22"/>
  <c r="X1018" i="22" s="1"/>
  <c r="W1017" i="22"/>
  <c r="W1016" i="22"/>
  <c r="X1016" i="22" s="1"/>
  <c r="W1015" i="22"/>
  <c r="X1015" i="22" s="1"/>
  <c r="Q1015" i="22" s="1"/>
  <c r="W1014" i="22"/>
  <c r="W1013" i="22"/>
  <c r="W1012" i="22"/>
  <c r="X1012" i="22" s="1"/>
  <c r="Q1012" i="22" s="1"/>
  <c r="X1011" i="22"/>
  <c r="Q1011" i="22" s="1"/>
  <c r="W1011" i="22"/>
  <c r="W1010" i="22"/>
  <c r="X1010" i="22" s="1"/>
  <c r="W1009" i="22"/>
  <c r="W1008" i="22"/>
  <c r="X1008" i="22" s="1"/>
  <c r="W1007" i="22"/>
  <c r="X1007" i="22" s="1"/>
  <c r="W1006" i="22"/>
  <c r="W1005" i="22"/>
  <c r="W1004" i="22"/>
  <c r="X1004" i="22" s="1"/>
  <c r="Q1004" i="22"/>
  <c r="X1003" i="22"/>
  <c r="W1003" i="22"/>
  <c r="X1002" i="22"/>
  <c r="Q1002" i="22" s="1"/>
  <c r="W1002" i="22"/>
  <c r="W1001" i="22"/>
  <c r="X1001" i="22" s="1"/>
  <c r="W1000" i="22"/>
  <c r="X1000" i="22" s="1"/>
  <c r="W999" i="22"/>
  <c r="X999" i="22" s="1"/>
  <c r="W998" i="22"/>
  <c r="X998" i="22" s="1"/>
  <c r="W997" i="22"/>
  <c r="X997" i="22" s="1"/>
  <c r="W996" i="22"/>
  <c r="X996" i="22" s="1"/>
  <c r="W995" i="22"/>
  <c r="X995" i="22" s="1"/>
  <c r="Q995" i="22"/>
  <c r="X994" i="22"/>
  <c r="W994" i="22"/>
  <c r="W993" i="22"/>
  <c r="X993" i="22" s="1"/>
  <c r="W992" i="22"/>
  <c r="X992" i="22" s="1"/>
  <c r="W991" i="22"/>
  <c r="X991" i="22" s="1"/>
  <c r="X990" i="22"/>
  <c r="W990" i="22"/>
  <c r="X989" i="22"/>
  <c r="W989" i="22"/>
  <c r="W988" i="22"/>
  <c r="X988" i="22" s="1"/>
  <c r="W987" i="22"/>
  <c r="X987" i="22" s="1"/>
  <c r="Q987" i="22" s="1"/>
  <c r="X986" i="22"/>
  <c r="W986" i="22"/>
  <c r="W985" i="22"/>
  <c r="X985" i="22" s="1"/>
  <c r="W984" i="22"/>
  <c r="W983" i="22"/>
  <c r="X983" i="22" s="1"/>
  <c r="Q983" i="22" s="1"/>
  <c r="X982" i="22"/>
  <c r="W982" i="22"/>
  <c r="W981" i="22"/>
  <c r="X981" i="22" s="1"/>
  <c r="W980" i="22"/>
  <c r="W979" i="22"/>
  <c r="X979" i="22" s="1"/>
  <c r="W978" i="22"/>
  <c r="W977" i="22"/>
  <c r="X977" i="22" s="1"/>
  <c r="W976" i="22"/>
  <c r="X976" i="22" s="1"/>
  <c r="Q976" i="22"/>
  <c r="W975" i="22"/>
  <c r="X975" i="22" s="1"/>
  <c r="X974" i="22"/>
  <c r="W974" i="22"/>
  <c r="W973" i="22"/>
  <c r="X973" i="22" s="1"/>
  <c r="W972" i="22"/>
  <c r="X972" i="22" s="1"/>
  <c r="Q972" i="22"/>
  <c r="X971" i="22"/>
  <c r="Q971" i="22" s="1"/>
  <c r="W971" i="22"/>
  <c r="X970" i="22"/>
  <c r="W970" i="22"/>
  <c r="W969" i="22"/>
  <c r="X969" i="22" s="1"/>
  <c r="W968" i="22"/>
  <c r="W967" i="22"/>
  <c r="X967" i="22" s="1"/>
  <c r="X966" i="22"/>
  <c r="W966" i="22"/>
  <c r="W965" i="22"/>
  <c r="X965" i="22" s="1"/>
  <c r="W964" i="22"/>
  <c r="X964" i="22" s="1"/>
  <c r="W963" i="22"/>
  <c r="X963" i="22" s="1"/>
  <c r="Q963" i="22" s="1"/>
  <c r="X962" i="22"/>
  <c r="W962" i="22"/>
  <c r="W961" i="22"/>
  <c r="X961" i="22" s="1"/>
  <c r="W960" i="22"/>
  <c r="X960" i="22" s="1"/>
  <c r="W959" i="22"/>
  <c r="X959" i="22" s="1"/>
  <c r="W958" i="22"/>
  <c r="X958" i="22" s="1"/>
  <c r="W957" i="22"/>
  <c r="X957" i="22" s="1"/>
  <c r="W956" i="22"/>
  <c r="X956" i="22" s="1"/>
  <c r="Q956" i="22"/>
  <c r="W955" i="22"/>
  <c r="X955" i="22" s="1"/>
  <c r="X954" i="22"/>
  <c r="W954" i="22"/>
  <c r="W953" i="22"/>
  <c r="X953" i="22" s="1"/>
  <c r="W952" i="22"/>
  <c r="X952" i="22" s="1"/>
  <c r="Q952" i="22"/>
  <c r="W951" i="22"/>
  <c r="X951" i="22" s="1"/>
  <c r="X950" i="22"/>
  <c r="W950" i="22"/>
  <c r="X949" i="22"/>
  <c r="W949" i="22"/>
  <c r="W948" i="22"/>
  <c r="X947" i="22"/>
  <c r="W947" i="22"/>
  <c r="Q947" i="22" s="1"/>
  <c r="W946" i="22"/>
  <c r="W945" i="22"/>
  <c r="X945" i="22" s="1"/>
  <c r="W944" i="22"/>
  <c r="W943" i="22"/>
  <c r="X943" i="22" s="1"/>
  <c r="W940" i="22"/>
  <c r="X940" i="22" s="1"/>
  <c r="W938" i="22"/>
  <c r="X938" i="22" s="1"/>
  <c r="W937" i="22"/>
  <c r="X937" i="22" s="1"/>
  <c r="Q937" i="22"/>
  <c r="W936" i="22"/>
  <c r="X936" i="22" s="1"/>
  <c r="W935" i="22"/>
  <c r="W934" i="22"/>
  <c r="X934" i="22" s="1"/>
  <c r="W933" i="22"/>
  <c r="X933" i="22" s="1"/>
  <c r="W932" i="22"/>
  <c r="X932" i="22" s="1"/>
  <c r="W931" i="22"/>
  <c r="X931" i="22" s="1"/>
  <c r="W930" i="22"/>
  <c r="X930" i="22" s="1"/>
  <c r="W929" i="22"/>
  <c r="X929" i="22" s="1"/>
  <c r="Q929" i="22"/>
  <c r="X928" i="22"/>
  <c r="W928" i="22"/>
  <c r="X927" i="22"/>
  <c r="W927" i="22"/>
  <c r="W926" i="22"/>
  <c r="X926" i="22" s="1"/>
  <c r="W925" i="22"/>
  <c r="X925" i="22" s="1"/>
  <c r="Q925" i="22"/>
  <c r="W924" i="22"/>
  <c r="X924" i="22" s="1"/>
  <c r="X923" i="22"/>
  <c r="W923" i="22"/>
  <c r="W922" i="22"/>
  <c r="X922" i="22" s="1"/>
  <c r="W921" i="22"/>
  <c r="X921" i="22" s="1"/>
  <c r="Q921" i="22"/>
  <c r="W920" i="22"/>
  <c r="X920" i="22" s="1"/>
  <c r="W919" i="22"/>
  <c r="X919" i="22" s="1"/>
  <c r="W918" i="22"/>
  <c r="X918" i="22" s="1"/>
  <c r="Q918" i="22"/>
  <c r="W917" i="22"/>
  <c r="W916" i="22"/>
  <c r="X916" i="22" s="1"/>
  <c r="W915" i="22"/>
  <c r="W914" i="22"/>
  <c r="X914" i="22" s="1"/>
  <c r="W913" i="22"/>
  <c r="X913" i="22" s="1"/>
  <c r="X912" i="22"/>
  <c r="Q912" i="22" s="1"/>
  <c r="W912" i="22"/>
  <c r="X911" i="22"/>
  <c r="W911" i="22"/>
  <c r="W910" i="22"/>
  <c r="X910" i="22" s="1"/>
  <c r="W909" i="22"/>
  <c r="X909" i="22" s="1"/>
  <c r="W908" i="22"/>
  <c r="X908" i="22" s="1"/>
  <c r="X907" i="22"/>
  <c r="W907" i="22"/>
  <c r="W906" i="22"/>
  <c r="W905" i="22"/>
  <c r="X905" i="22" s="1"/>
  <c r="Q905" i="22" s="1"/>
  <c r="W904" i="22"/>
  <c r="X904" i="22" s="1"/>
  <c r="X903" i="22"/>
  <c r="Q903" i="22" s="1"/>
  <c r="W903" i="22"/>
  <c r="W902" i="22"/>
  <c r="W901" i="22"/>
  <c r="W900" i="22"/>
  <c r="X900" i="22" s="1"/>
  <c r="W899" i="22"/>
  <c r="X899" i="22" s="1"/>
  <c r="W898" i="22"/>
  <c r="X897" i="22"/>
  <c r="W897" i="22"/>
  <c r="Q897" i="22" s="1"/>
  <c r="W896" i="22"/>
  <c r="X896" i="22" s="1"/>
  <c r="Q896" i="22" s="1"/>
  <c r="W895" i="22"/>
  <c r="M895" i="22"/>
  <c r="X894" i="22"/>
  <c r="W894" i="22"/>
  <c r="W893" i="22"/>
  <c r="X893" i="22" s="1"/>
  <c r="X892" i="22"/>
  <c r="W892" i="22"/>
  <c r="Q892" i="22"/>
  <c r="X891" i="22"/>
  <c r="W891" i="22"/>
  <c r="W890" i="22"/>
  <c r="X890" i="22" s="1"/>
  <c r="W889" i="22"/>
  <c r="X889" i="22" s="1"/>
  <c r="W888" i="22"/>
  <c r="W887" i="22"/>
  <c r="X887" i="22" s="1"/>
  <c r="W886" i="22"/>
  <c r="X885" i="22"/>
  <c r="Q885" i="22" s="1"/>
  <c r="W885" i="22"/>
  <c r="W884" i="22"/>
  <c r="X884" i="22" s="1"/>
  <c r="Q884" i="22" s="1"/>
  <c r="W883" i="22"/>
  <c r="X883" i="22" s="1"/>
  <c r="Q883" i="22" s="1"/>
  <c r="W882" i="22"/>
  <c r="X882" i="22" s="1"/>
  <c r="W881" i="22"/>
  <c r="W880" i="22"/>
  <c r="X880" i="22" s="1"/>
  <c r="W879" i="22"/>
  <c r="X878" i="22"/>
  <c r="Q878" i="22" s="1"/>
  <c r="W878" i="22"/>
  <c r="W877" i="22"/>
  <c r="W876" i="22"/>
  <c r="X876" i="22" s="1"/>
  <c r="Q876" i="22" s="1"/>
  <c r="W875" i="22"/>
  <c r="X875" i="22" s="1"/>
  <c r="Q875" i="22"/>
  <c r="W874" i="22"/>
  <c r="W873" i="22"/>
  <c r="W872" i="22"/>
  <c r="W870" i="22"/>
  <c r="X870" i="22" s="1"/>
  <c r="W869" i="22"/>
  <c r="X869" i="22" s="1"/>
  <c r="Q869" i="22" s="1"/>
  <c r="X868" i="22"/>
  <c r="W868" i="22"/>
  <c r="W867" i="22"/>
  <c r="X867" i="22" s="1"/>
  <c r="Q867" i="22" s="1"/>
  <c r="W865" i="22"/>
  <c r="X865" i="22" s="1"/>
  <c r="W864" i="22"/>
  <c r="X864" i="22" s="1"/>
  <c r="W863" i="22"/>
  <c r="W862" i="22"/>
  <c r="X862" i="22" s="1"/>
  <c r="W861" i="22"/>
  <c r="X861" i="22" s="1"/>
  <c r="X860" i="22"/>
  <c r="Q860" i="22" s="1"/>
  <c r="W860" i="22"/>
  <c r="X859" i="22"/>
  <c r="W859" i="22"/>
  <c r="Q859" i="22" s="1"/>
  <c r="W858" i="22"/>
  <c r="X858" i="22" s="1"/>
  <c r="Q858" i="22" s="1"/>
  <c r="W857" i="22"/>
  <c r="X857" i="22" s="1"/>
  <c r="Q857" i="22"/>
  <c r="W856" i="22"/>
  <c r="W855" i="22"/>
  <c r="W854" i="22"/>
  <c r="X854" i="22" s="1"/>
  <c r="W853" i="22"/>
  <c r="X853" i="22" s="1"/>
  <c r="W852" i="22"/>
  <c r="X852" i="22" s="1"/>
  <c r="Q852" i="22"/>
  <c r="X851" i="22"/>
  <c r="Q851" i="22" s="1"/>
  <c r="W851" i="22"/>
  <c r="W850" i="22"/>
  <c r="X850" i="22" s="1"/>
  <c r="Q850" i="22" s="1"/>
  <c r="W849" i="22"/>
  <c r="X849" i="22" s="1"/>
  <c r="Q849" i="22"/>
  <c r="W848" i="22"/>
  <c r="X848" i="22" s="1"/>
  <c r="Q848" i="22"/>
  <c r="W847" i="22"/>
  <c r="W846" i="22"/>
  <c r="X846" i="22" s="1"/>
  <c r="W845" i="22"/>
  <c r="X844" i="22"/>
  <c r="Q844" i="22" s="1"/>
  <c r="W844" i="22"/>
  <c r="X843" i="22"/>
  <c r="Q843" i="22" s="1"/>
  <c r="W843" i="22"/>
  <c r="W842" i="22"/>
  <c r="X842" i="22" s="1"/>
  <c r="W841" i="22"/>
  <c r="X841" i="22" s="1"/>
  <c r="W839" i="22"/>
  <c r="X839" i="22" s="1"/>
  <c r="W838" i="22"/>
  <c r="W837" i="22"/>
  <c r="X836" i="22"/>
  <c r="W836" i="22"/>
  <c r="X835" i="22"/>
  <c r="Q835" i="22" s="1"/>
  <c r="W835" i="22"/>
  <c r="X834" i="22"/>
  <c r="Q834" i="22" s="1"/>
  <c r="W834" i="22"/>
  <c r="W833" i="22"/>
  <c r="W832" i="22"/>
  <c r="X832" i="22" s="1"/>
  <c r="W831" i="22"/>
  <c r="X831" i="22" s="1"/>
  <c r="W830" i="22"/>
  <c r="W829" i="22"/>
  <c r="X829" i="22" s="1"/>
  <c r="X828" i="22"/>
  <c r="W828" i="22"/>
  <c r="X827" i="22"/>
  <c r="Q827" i="22" s="1"/>
  <c r="W827" i="22"/>
  <c r="X826" i="22"/>
  <c r="Q826" i="22" s="1"/>
  <c r="W826" i="22"/>
  <c r="W825" i="22"/>
  <c r="X825" i="22" s="1"/>
  <c r="W824" i="22"/>
  <c r="X824" i="22" s="1"/>
  <c r="W823" i="22"/>
  <c r="X823" i="22" s="1"/>
  <c r="Q823" i="22"/>
  <c r="W822" i="22"/>
  <c r="W821" i="22"/>
  <c r="X821" i="22" s="1"/>
  <c r="X820" i="22"/>
  <c r="W820" i="22"/>
  <c r="X819" i="22"/>
  <c r="W819" i="22"/>
  <c r="Q819" i="22"/>
  <c r="W818" i="22"/>
  <c r="X818" i="22" s="1"/>
  <c r="Q818" i="22" s="1"/>
  <c r="X817" i="22"/>
  <c r="Q817" i="22" s="1"/>
  <c r="W817" i="22"/>
  <c r="W816" i="22"/>
  <c r="X816" i="22" s="1"/>
  <c r="W815" i="22"/>
  <c r="X815" i="22" s="1"/>
  <c r="Q815" i="22"/>
  <c r="W814" i="22"/>
  <c r="W813" i="22"/>
  <c r="X813" i="22" s="1"/>
  <c r="W812" i="22"/>
  <c r="X811" i="22"/>
  <c r="Q811" i="22" s="1"/>
  <c r="W811" i="22"/>
  <c r="W808" i="22"/>
  <c r="X808" i="22" s="1"/>
  <c r="W807" i="22"/>
  <c r="X807" i="22" s="1"/>
  <c r="Q807" i="22"/>
  <c r="W806" i="22"/>
  <c r="X806" i="22" s="1"/>
  <c r="W805" i="22"/>
  <c r="X805" i="22" s="1"/>
  <c r="Q805" i="22"/>
  <c r="W804" i="22"/>
  <c r="W803" i="22"/>
  <c r="W802" i="22"/>
  <c r="X802" i="22" s="1"/>
  <c r="X801" i="22"/>
  <c r="W801" i="22"/>
  <c r="Q801" i="22" s="1"/>
  <c r="X800" i="22"/>
  <c r="Q800" i="22" s="1"/>
  <c r="W800" i="22"/>
  <c r="X799" i="22"/>
  <c r="Q799" i="22" s="1"/>
  <c r="W799" i="22"/>
  <c r="W798" i="22"/>
  <c r="X798" i="22" s="1"/>
  <c r="W797" i="22"/>
  <c r="X797" i="22" s="1"/>
  <c r="W796" i="22"/>
  <c r="W795" i="22"/>
  <c r="X795" i="22" s="1"/>
  <c r="W794" i="22"/>
  <c r="X794" i="22" s="1"/>
  <c r="X793" i="22"/>
  <c r="Q793" i="22" s="1"/>
  <c r="W793" i="22"/>
  <c r="W792" i="22"/>
  <c r="X792" i="22" s="1"/>
  <c r="W791" i="22"/>
  <c r="X791" i="22" s="1"/>
  <c r="Q791" i="22" s="1"/>
  <c r="W790" i="22"/>
  <c r="X790" i="22" s="1"/>
  <c r="W789" i="22"/>
  <c r="W788" i="22"/>
  <c r="X787" i="22"/>
  <c r="W787" i="22"/>
  <c r="W786" i="22"/>
  <c r="X786" i="22" s="1"/>
  <c r="W785" i="22"/>
  <c r="W784" i="22"/>
  <c r="X784" i="22" s="1"/>
  <c r="Q784" i="22" s="1"/>
  <c r="W783" i="22"/>
  <c r="X783" i="22" s="1"/>
  <c r="Q783" i="22" s="1"/>
  <c r="W782" i="22"/>
  <c r="X782" i="22" s="1"/>
  <c r="Q782" i="22"/>
  <c r="W781" i="22"/>
  <c r="W780" i="22"/>
  <c r="X779" i="22"/>
  <c r="W779" i="22"/>
  <c r="W778" i="22"/>
  <c r="W777" i="22"/>
  <c r="X777" i="22" s="1"/>
  <c r="Q777" i="22" s="1"/>
  <c r="W776" i="22"/>
  <c r="X776" i="22" s="1"/>
  <c r="Q776" i="22" s="1"/>
  <c r="W775" i="22"/>
  <c r="X775" i="22" s="1"/>
  <c r="Q775" i="22" s="1"/>
  <c r="W774" i="22"/>
  <c r="X774" i="22" s="1"/>
  <c r="Q774" i="22"/>
  <c r="W773" i="22"/>
  <c r="X773" i="22" s="1"/>
  <c r="W772" i="22"/>
  <c r="W771" i="22"/>
  <c r="W770" i="22"/>
  <c r="X770" i="22" s="1"/>
  <c r="X769" i="22"/>
  <c r="W769" i="22"/>
  <c r="W768" i="22"/>
  <c r="X768" i="22" s="1"/>
  <c r="W767" i="22"/>
  <c r="X767" i="22" s="1"/>
  <c r="Q767" i="22" s="1"/>
  <c r="W766" i="22"/>
  <c r="X766" i="22" s="1"/>
  <c r="Q766" i="22"/>
  <c r="W765" i="22"/>
  <c r="X765" i="22" s="1"/>
  <c r="W764" i="22"/>
  <c r="X763" i="22"/>
  <c r="W763" i="22"/>
  <c r="W762" i="22"/>
  <c r="X762" i="22" s="1"/>
  <c r="X761" i="22"/>
  <c r="Q761" i="22" s="1"/>
  <c r="W761" i="22"/>
  <c r="W759" i="22"/>
  <c r="X759" i="22" s="1"/>
  <c r="Q759" i="22" s="1"/>
  <c r="W758" i="22"/>
  <c r="X758" i="22" s="1"/>
  <c r="Q758" i="22" s="1"/>
  <c r="W757" i="22"/>
  <c r="X757" i="22" s="1"/>
  <c r="W756" i="22"/>
  <c r="X756" i="22" s="1"/>
  <c r="W755" i="22"/>
  <c r="W754" i="22"/>
  <c r="X754" i="22" s="1"/>
  <c r="W753" i="22"/>
  <c r="X753" i="22" s="1"/>
  <c r="W752" i="22"/>
  <c r="X752" i="22" s="1"/>
  <c r="Q752" i="22" s="1"/>
  <c r="W751" i="22"/>
  <c r="X751" i="22" s="1"/>
  <c r="Q751" i="22" s="1"/>
  <c r="X750" i="22"/>
  <c r="Q750" i="22" s="1"/>
  <c r="W750" i="22"/>
  <c r="W749" i="22"/>
  <c r="X749" i="22" s="1"/>
  <c r="Q749" i="22"/>
  <c r="W748" i="22"/>
  <c r="X748" i="22" s="1"/>
  <c r="Q748" i="22"/>
  <c r="W747" i="22"/>
  <c r="W746" i="22"/>
  <c r="X746" i="22" s="1"/>
  <c r="W745" i="22"/>
  <c r="W744" i="22"/>
  <c r="X744" i="22" s="1"/>
  <c r="Q744" i="22"/>
  <c r="X743" i="22"/>
  <c r="Q743" i="22" s="1"/>
  <c r="W743" i="22"/>
  <c r="X742" i="22"/>
  <c r="Q742" i="22" s="1"/>
  <c r="W742" i="22"/>
  <c r="W741" i="22"/>
  <c r="X741" i="22" s="1"/>
  <c r="W740" i="22"/>
  <c r="W739" i="22"/>
  <c r="W738" i="22"/>
  <c r="W737" i="22"/>
  <c r="X737" i="22" s="1"/>
  <c r="W736" i="22"/>
  <c r="W735" i="22"/>
  <c r="X735" i="22" s="1"/>
  <c r="Q735" i="22" s="1"/>
  <c r="W734" i="22"/>
  <c r="X734" i="22" s="1"/>
  <c r="Q734" i="22"/>
  <c r="W733" i="22"/>
  <c r="X733" i="22" s="1"/>
  <c r="Q733" i="22"/>
  <c r="W732" i="22"/>
  <c r="X732" i="22" s="1"/>
  <c r="W731" i="22"/>
  <c r="X730" i="22"/>
  <c r="W730" i="22"/>
  <c r="W729" i="22"/>
  <c r="X729" i="22" s="1"/>
  <c r="X728" i="22"/>
  <c r="Q728" i="22" s="1"/>
  <c r="W728" i="22"/>
  <c r="W727" i="22"/>
  <c r="X727" i="22" s="1"/>
  <c r="Q727" i="22" s="1"/>
  <c r="W726" i="22"/>
  <c r="X726" i="22" s="1"/>
  <c r="Q726" i="22"/>
  <c r="W725" i="22"/>
  <c r="X725" i="22" s="1"/>
  <c r="W724" i="22"/>
  <c r="W723" i="22"/>
  <c r="X722" i="22"/>
  <c r="W722" i="22"/>
  <c r="W721" i="22"/>
  <c r="X721" i="22" s="1"/>
  <c r="W720" i="22"/>
  <c r="X720" i="22" s="1"/>
  <c r="W719" i="22"/>
  <c r="X719" i="22" s="1"/>
  <c r="Q719" i="22" s="1"/>
  <c r="W718" i="22"/>
  <c r="X718" i="22" s="1"/>
  <c r="Q718" i="22" s="1"/>
  <c r="W717" i="22"/>
  <c r="X717" i="22" s="1"/>
  <c r="Q717" i="22"/>
  <c r="W716" i="22"/>
  <c r="W715" i="22"/>
  <c r="X714" i="22"/>
  <c r="W714" i="22"/>
  <c r="W712" i="22"/>
  <c r="W711" i="22"/>
  <c r="X711" i="22" s="1"/>
  <c r="Q711" i="22" s="1"/>
  <c r="W710" i="22"/>
  <c r="X710" i="22" s="1"/>
  <c r="Q710" i="22" s="1"/>
  <c r="W709" i="22"/>
  <c r="X709" i="22" s="1"/>
  <c r="Q709" i="22"/>
  <c r="W708" i="22"/>
  <c r="X708" i="22" s="1"/>
  <c r="W707" i="22"/>
  <c r="X707" i="22" s="1"/>
  <c r="W706" i="22"/>
  <c r="W705" i="22"/>
  <c r="W704" i="22"/>
  <c r="X704" i="22" s="1"/>
  <c r="W703" i="22"/>
  <c r="X703" i="22" s="1"/>
  <c r="Q703" i="22" s="1"/>
  <c r="W702" i="22"/>
  <c r="X702" i="22" s="1"/>
  <c r="Q702" i="22" s="1"/>
  <c r="W701" i="22"/>
  <c r="X701" i="22" s="1"/>
  <c r="Q701" i="22" s="1"/>
  <c r="W700" i="22"/>
  <c r="X700" i="22" s="1"/>
  <c r="Q700" i="22"/>
  <c r="W699" i="22"/>
  <c r="X699" i="22" s="1"/>
  <c r="W698" i="22"/>
  <c r="X697" i="22"/>
  <c r="W697" i="22"/>
  <c r="W696" i="22"/>
  <c r="X696" i="22" s="1"/>
  <c r="W695" i="22"/>
  <c r="X695" i="22" s="1"/>
  <c r="Q695" i="22" s="1"/>
  <c r="W694" i="22"/>
  <c r="X694" i="22" s="1"/>
  <c r="Q694" i="22" s="1"/>
  <c r="W693" i="22"/>
  <c r="X693" i="22" s="1"/>
  <c r="Q693" i="22"/>
  <c r="W691" i="22"/>
  <c r="X691" i="22" s="1"/>
  <c r="W690" i="22"/>
  <c r="W689" i="22"/>
  <c r="X688" i="22"/>
  <c r="W688" i="22"/>
  <c r="W687" i="22"/>
  <c r="X687" i="22" s="1"/>
  <c r="W686" i="22"/>
  <c r="W685" i="22"/>
  <c r="X685" i="22" s="1"/>
  <c r="Q685" i="22" s="1"/>
  <c r="W684" i="22"/>
  <c r="X684" i="22" s="1"/>
  <c r="Q684" i="22" s="1"/>
  <c r="W683" i="22"/>
  <c r="X683" i="22" s="1"/>
  <c r="W682" i="22"/>
  <c r="W681" i="22"/>
  <c r="X679" i="22"/>
  <c r="W679" i="22"/>
  <c r="W678" i="22"/>
  <c r="X677" i="22"/>
  <c r="Q677" i="22" s="1"/>
  <c r="W677" i="22"/>
  <c r="X676" i="22"/>
  <c r="W676" i="22"/>
  <c r="Q676" i="22" s="1"/>
  <c r="X675" i="22"/>
  <c r="Q675" i="22" s="1"/>
  <c r="W675" i="22"/>
  <c r="W674" i="22"/>
  <c r="X674" i="22" s="1"/>
  <c r="Q674" i="22"/>
  <c r="W673" i="22"/>
  <c r="W672" i="22"/>
  <c r="W671" i="22"/>
  <c r="W670" i="22"/>
  <c r="X670" i="22" s="1"/>
  <c r="X669" i="22"/>
  <c r="Q669" i="22" s="1"/>
  <c r="W669" i="22"/>
  <c r="W668" i="22"/>
  <c r="X668" i="22" s="1"/>
  <c r="Q668" i="22" s="1"/>
  <c r="W666" i="22"/>
  <c r="X666" i="22" s="1"/>
  <c r="Q666" i="22" s="1"/>
  <c r="W665" i="22"/>
  <c r="W663" i="22"/>
  <c r="W662" i="22"/>
  <c r="X661" i="22"/>
  <c r="W661" i="22"/>
  <c r="W660" i="22"/>
  <c r="X660" i="22" s="1"/>
  <c r="W659" i="22"/>
  <c r="X659" i="22" s="1"/>
  <c r="W658" i="22"/>
  <c r="X658" i="22" s="1"/>
  <c r="Q658" i="22" s="1"/>
  <c r="X657" i="22"/>
  <c r="Q657" i="22" s="1"/>
  <c r="W657" i="22"/>
  <c r="W656" i="22"/>
  <c r="W655" i="22"/>
  <c r="W654" i="22"/>
  <c r="W653" i="22"/>
  <c r="W652" i="22"/>
  <c r="X652" i="22" s="1"/>
  <c r="X651" i="22"/>
  <c r="Q651" i="22" s="1"/>
  <c r="W651" i="22"/>
  <c r="X650" i="22"/>
  <c r="Q650" i="22" s="1"/>
  <c r="W650" i="22"/>
  <c r="W649" i="22"/>
  <c r="X649" i="22" s="1"/>
  <c r="Q649" i="22" s="1"/>
  <c r="W648" i="22"/>
  <c r="W647" i="22"/>
  <c r="X647" i="22" s="1"/>
  <c r="Q647" i="22"/>
  <c r="W646" i="22"/>
  <c r="X645" i="22"/>
  <c r="W645" i="22"/>
  <c r="W644" i="22"/>
  <c r="X644" i="22" s="1"/>
  <c r="W643" i="22"/>
  <c r="X643" i="22" s="1"/>
  <c r="W642" i="22"/>
  <c r="X642" i="22" s="1"/>
  <c r="Q642" i="22" s="1"/>
  <c r="X641" i="22"/>
  <c r="Q641" i="22" s="1"/>
  <c r="W641" i="22"/>
  <c r="W640" i="22"/>
  <c r="W639" i="22"/>
  <c r="W638" i="22"/>
  <c r="W637" i="22"/>
  <c r="W636" i="22"/>
  <c r="X636" i="22" s="1"/>
  <c r="X635" i="22"/>
  <c r="Q635" i="22" s="1"/>
  <c r="W635" i="22"/>
  <c r="W634" i="22"/>
  <c r="X634" i="22" s="1"/>
  <c r="Q634" i="22" s="1"/>
  <c r="W633" i="22"/>
  <c r="X633" i="22" s="1"/>
  <c r="Q633" i="22"/>
  <c r="W632" i="22"/>
  <c r="W631" i="22"/>
  <c r="W630" i="22"/>
  <c r="X629" i="22"/>
  <c r="W629" i="22"/>
  <c r="W628" i="22"/>
  <c r="X628" i="22" s="1"/>
  <c r="W627" i="22"/>
  <c r="X627" i="22" s="1"/>
  <c r="Q627" i="22" s="1"/>
  <c r="X626" i="22"/>
  <c r="Q626" i="22" s="1"/>
  <c r="W626" i="22"/>
  <c r="W625" i="22"/>
  <c r="X625" i="22" s="1"/>
  <c r="Q625" i="22" s="1"/>
  <c r="W624" i="22"/>
  <c r="W623" i="22"/>
  <c r="W622" i="22"/>
  <c r="W621" i="22"/>
  <c r="X620" i="22"/>
  <c r="W620" i="22"/>
  <c r="W619" i="22"/>
  <c r="X619" i="22" s="1"/>
  <c r="Q619" i="22" s="1"/>
  <c r="W618" i="22"/>
  <c r="X618" i="22" s="1"/>
  <c r="Q618" i="22"/>
  <c r="X617" i="22"/>
  <c r="W617" i="22"/>
  <c r="W616" i="22"/>
  <c r="W614" i="22"/>
  <c r="X614" i="22" s="1"/>
  <c r="W613" i="22"/>
  <c r="W612" i="22"/>
  <c r="X612" i="22" s="1"/>
  <c r="X611" i="22"/>
  <c r="W611" i="22"/>
  <c r="W610" i="22"/>
  <c r="X610" i="22" s="1"/>
  <c r="Q610" i="22" s="1"/>
  <c r="X609" i="22"/>
  <c r="Q609" i="22" s="1"/>
  <c r="W609" i="22"/>
  <c r="W608" i="22"/>
  <c r="X608" i="22" s="1"/>
  <c r="Q608" i="22" s="1"/>
  <c r="W607" i="22"/>
  <c r="W606" i="22"/>
  <c r="W605" i="22"/>
  <c r="W604" i="22"/>
  <c r="X603" i="22"/>
  <c r="W603" i="22"/>
  <c r="W602" i="22"/>
  <c r="X602" i="22" s="1"/>
  <c r="Q602" i="22" s="1"/>
  <c r="X601" i="22"/>
  <c r="Q601" i="22" s="1"/>
  <c r="W601" i="22"/>
  <c r="W600" i="22"/>
  <c r="X600" i="22" s="1"/>
  <c r="Q600" i="22" s="1"/>
  <c r="W599" i="22"/>
  <c r="W598" i="22"/>
  <c r="X598" i="22" s="1"/>
  <c r="Q598" i="22"/>
  <c r="W597" i="22"/>
  <c r="X596" i="22"/>
  <c r="W596" i="22"/>
  <c r="W595" i="22"/>
  <c r="X595" i="22" s="1"/>
  <c r="W594" i="22"/>
  <c r="X594" i="22" s="1"/>
  <c r="Q594" i="22" s="1"/>
  <c r="W593" i="22"/>
  <c r="X593" i="22" s="1"/>
  <c r="Q593" i="22" s="1"/>
  <c r="X592" i="22"/>
  <c r="Q592" i="22" s="1"/>
  <c r="W592" i="22"/>
  <c r="W591" i="22"/>
  <c r="W590" i="22"/>
  <c r="W589" i="22"/>
  <c r="W588" i="22"/>
  <c r="W587" i="22"/>
  <c r="X587" i="22" s="1"/>
  <c r="W586" i="22"/>
  <c r="W585" i="22"/>
  <c r="X585" i="22" s="1"/>
  <c r="Q585" i="22" s="1"/>
  <c r="W584" i="22"/>
  <c r="X584" i="22" s="1"/>
  <c r="Q584" i="22"/>
  <c r="W583" i="22"/>
  <c r="W582" i="22"/>
  <c r="W581" i="22"/>
  <c r="X580" i="22"/>
  <c r="W580" i="22"/>
  <c r="W579" i="22"/>
  <c r="X579" i="22" s="1"/>
  <c r="W578" i="22"/>
  <c r="X578" i="22" s="1"/>
  <c r="Q578" i="22" s="1"/>
  <c r="X577" i="22"/>
  <c r="Q577" i="22" s="1"/>
  <c r="W577" i="22"/>
  <c r="W576" i="22"/>
  <c r="X576" i="22" s="1"/>
  <c r="Q576" i="22" s="1"/>
  <c r="W575" i="22"/>
  <c r="W574" i="22"/>
  <c r="W573" i="22"/>
  <c r="W572" i="22"/>
  <c r="X571" i="22"/>
  <c r="W571" i="22"/>
  <c r="W570" i="22"/>
  <c r="X570" i="22" s="1"/>
  <c r="Q570" i="22" s="1"/>
  <c r="W569" i="22"/>
  <c r="X569" i="22" s="1"/>
  <c r="Q569" i="22" s="1"/>
  <c r="W568" i="22"/>
  <c r="X568" i="22" s="1"/>
  <c r="Q568" i="22" s="1"/>
  <c r="W567" i="22"/>
  <c r="W566" i="22"/>
  <c r="X566" i="22" s="1"/>
  <c r="Q566" i="22"/>
  <c r="W565" i="22"/>
  <c r="W564" i="22"/>
  <c r="X564" i="22" s="1"/>
  <c r="W563" i="22"/>
  <c r="X563" i="22" s="1"/>
  <c r="W562" i="22"/>
  <c r="X562" i="22" s="1"/>
  <c r="Q562" i="22" s="1"/>
  <c r="W561" i="22"/>
  <c r="X561" i="22" s="1"/>
  <c r="Q561" i="22" s="1"/>
  <c r="W560" i="22"/>
  <c r="X560" i="22" s="1"/>
  <c r="Q560" i="22" s="1"/>
  <c r="W559" i="22"/>
  <c r="W558" i="22"/>
  <c r="W557" i="22"/>
  <c r="W556" i="22"/>
  <c r="W555" i="22"/>
  <c r="X555" i="22" s="1"/>
  <c r="W554" i="22"/>
  <c r="X554" i="22" s="1"/>
  <c r="Q554" i="22" s="1"/>
  <c r="W553" i="22"/>
  <c r="X553" i="22" s="1"/>
  <c r="Q553" i="22" s="1"/>
  <c r="W552" i="22"/>
  <c r="X552" i="22" s="1"/>
  <c r="Q552" i="22" s="1"/>
  <c r="W551" i="22"/>
  <c r="W550" i="22"/>
  <c r="X550" i="22" s="1"/>
  <c r="Q550" i="22"/>
  <c r="W549" i="22"/>
  <c r="X548" i="22"/>
  <c r="W548" i="22"/>
  <c r="W547" i="22"/>
  <c r="X547" i="22" s="1"/>
  <c r="W546" i="22"/>
  <c r="X546" i="22" s="1"/>
  <c r="Q546" i="22" s="1"/>
  <c r="W545" i="22"/>
  <c r="X545" i="22" s="1"/>
  <c r="Q545" i="22" s="1"/>
  <c r="W544" i="22"/>
  <c r="X544" i="22" s="1"/>
  <c r="Q544" i="22" s="1"/>
  <c r="W543" i="22"/>
  <c r="W542" i="22"/>
  <c r="W541" i="22"/>
  <c r="W540" i="22"/>
  <c r="W539" i="22"/>
  <c r="X539" i="22" s="1"/>
  <c r="W538" i="22"/>
  <c r="X538" i="22" s="1"/>
  <c r="Q538" i="22" s="1"/>
  <c r="W537" i="22"/>
  <c r="X537" i="22" s="1"/>
  <c r="Q537" i="22" s="1"/>
  <c r="X536" i="22"/>
  <c r="W536" i="22"/>
  <c r="Q536" i="22" s="1"/>
  <c r="W535" i="22"/>
  <c r="W534" i="22"/>
  <c r="X534" i="22" s="1"/>
  <c r="Q534" i="22"/>
  <c r="W533" i="22"/>
  <c r="W532" i="22"/>
  <c r="X532" i="22" s="1"/>
  <c r="W531" i="22"/>
  <c r="X531" i="22" s="1"/>
  <c r="W530" i="22"/>
  <c r="X530" i="22" s="1"/>
  <c r="Q530" i="22" s="1"/>
  <c r="X529" i="22"/>
  <c r="Q529" i="22" s="1"/>
  <c r="W529" i="22"/>
  <c r="W528" i="22"/>
  <c r="X528" i="22" s="1"/>
  <c r="Q528" i="22" s="1"/>
  <c r="W527" i="22"/>
  <c r="W526" i="22"/>
  <c r="W525" i="22"/>
  <c r="W524" i="22"/>
  <c r="X523" i="22"/>
  <c r="W523" i="22"/>
  <c r="X522" i="22"/>
  <c r="W522" i="22"/>
  <c r="Q522" i="22"/>
  <c r="W521" i="22"/>
  <c r="X521" i="22" s="1"/>
  <c r="Q521" i="22" s="1"/>
  <c r="W520" i="22"/>
  <c r="X520" i="22" s="1"/>
  <c r="Q520" i="22" s="1"/>
  <c r="W519" i="22"/>
  <c r="W518" i="22"/>
  <c r="X518" i="22" s="1"/>
  <c r="Q518" i="22"/>
  <c r="W517" i="22"/>
  <c r="W516" i="22"/>
  <c r="X516" i="22" s="1"/>
  <c r="W515" i="22"/>
  <c r="X515" i="22" s="1"/>
  <c r="W514" i="22"/>
  <c r="X514" i="22" s="1"/>
  <c r="Q514" i="22" s="1"/>
  <c r="W513" i="22"/>
  <c r="X513" i="22" s="1"/>
  <c r="Q513" i="22" s="1"/>
  <c r="W512" i="22"/>
  <c r="X512" i="22" s="1"/>
  <c r="Q512" i="22" s="1"/>
  <c r="W511" i="22"/>
  <c r="W510" i="22"/>
  <c r="W509" i="22"/>
  <c r="W508" i="22"/>
  <c r="W507" i="22"/>
  <c r="X507" i="22" s="1"/>
  <c r="W506" i="22"/>
  <c r="X506" i="22" s="1"/>
  <c r="Q506" i="22" s="1"/>
  <c r="X505" i="22"/>
  <c r="Q505" i="22" s="1"/>
  <c r="W505" i="22"/>
  <c r="X504" i="22"/>
  <c r="W504" i="22"/>
  <c r="Q504" i="22" s="1"/>
  <c r="W503" i="22"/>
  <c r="W501" i="22"/>
  <c r="X501" i="22" s="1"/>
  <c r="Q501" i="22" s="1"/>
  <c r="W500" i="22"/>
  <c r="X499" i="22"/>
  <c r="W499" i="22"/>
  <c r="X498" i="22"/>
  <c r="W498" i="22"/>
  <c r="W497" i="22"/>
  <c r="X497" i="22" s="1"/>
  <c r="Q497" i="22" s="1"/>
  <c r="W496" i="22"/>
  <c r="X496" i="22" s="1"/>
  <c r="Q496" i="22" s="1"/>
  <c r="W495" i="22"/>
  <c r="X495" i="22" s="1"/>
  <c r="Q495" i="22" s="1"/>
  <c r="W494" i="22"/>
  <c r="W493" i="22"/>
  <c r="W492" i="22"/>
  <c r="W491" i="22"/>
  <c r="W490" i="22"/>
  <c r="X490" i="22" s="1"/>
  <c r="W489" i="22"/>
  <c r="X489" i="22" s="1"/>
  <c r="Q489" i="22" s="1"/>
  <c r="X488" i="22"/>
  <c r="Q488" i="22" s="1"/>
  <c r="W488" i="22"/>
  <c r="X487" i="22"/>
  <c r="Q487" i="22" s="1"/>
  <c r="W487" i="22"/>
  <c r="W486" i="22"/>
  <c r="W485" i="22"/>
  <c r="X485" i="22" s="1"/>
  <c r="Q485" i="22"/>
  <c r="W483" i="22"/>
  <c r="W482" i="22"/>
  <c r="X482" i="22" s="1"/>
  <c r="W481" i="22"/>
  <c r="X481" i="22" s="1"/>
  <c r="W480" i="22"/>
  <c r="X480" i="22" s="1"/>
  <c r="Q480" i="22" s="1"/>
  <c r="W479" i="22"/>
  <c r="X479" i="22" s="1"/>
  <c r="Q479" i="22" s="1"/>
  <c r="X478" i="22"/>
  <c r="Q478" i="22" s="1"/>
  <c r="W478" i="22"/>
  <c r="W477" i="22"/>
  <c r="W476" i="22"/>
  <c r="W475" i="22"/>
  <c r="W474" i="22"/>
  <c r="W473" i="22"/>
  <c r="X473" i="22" s="1"/>
  <c r="X472" i="22"/>
  <c r="Q472" i="22" s="1"/>
  <c r="W472" i="22"/>
  <c r="X471" i="22"/>
  <c r="Q471" i="22" s="1"/>
  <c r="W471" i="22"/>
  <c r="W470" i="22"/>
  <c r="X470" i="22" s="1"/>
  <c r="W469" i="22"/>
  <c r="W468" i="22"/>
  <c r="X468" i="22" s="1"/>
  <c r="W467" i="22"/>
  <c r="X467" i="22" s="1"/>
  <c r="W466" i="22"/>
  <c r="X466" i="22" s="1"/>
  <c r="W465" i="22"/>
  <c r="X465" i="22" s="1"/>
  <c r="W464" i="22"/>
  <c r="X464" i="22" s="1"/>
  <c r="X463" i="22"/>
  <c r="Q463" i="22" s="1"/>
  <c r="W463" i="22"/>
  <c r="W462" i="22"/>
  <c r="X462" i="22" s="1"/>
  <c r="Q462" i="22" s="1"/>
  <c r="W461" i="22"/>
  <c r="X461" i="22" s="1"/>
  <c r="W460" i="22"/>
  <c r="W459" i="22"/>
  <c r="W458" i="22"/>
  <c r="X457" i="22"/>
  <c r="W457" i="22"/>
  <c r="W456" i="22"/>
  <c r="X456" i="22" s="1"/>
  <c r="Q456" i="22" s="1"/>
  <c r="X455" i="22"/>
  <c r="Q455" i="22" s="1"/>
  <c r="W455" i="22"/>
  <c r="X454" i="22"/>
  <c r="Q454" i="22" s="1"/>
  <c r="W454" i="22"/>
  <c r="W453" i="22"/>
  <c r="W452" i="22"/>
  <c r="X452" i="22" s="1"/>
  <c r="W451" i="22"/>
  <c r="X451" i="22" s="1"/>
  <c r="Q451" i="22"/>
  <c r="X450" i="22"/>
  <c r="W450" i="22"/>
  <c r="W449" i="22"/>
  <c r="X449" i="22" s="1"/>
  <c r="W448" i="22"/>
  <c r="X448" i="22" s="1"/>
  <c r="Q448" i="22" s="1"/>
  <c r="W447" i="22"/>
  <c r="X447" i="22" s="1"/>
  <c r="Q447" i="22" s="1"/>
  <c r="X446" i="22"/>
  <c r="Q446" i="22" s="1"/>
  <c r="W446" i="22"/>
  <c r="W444" i="22"/>
  <c r="X444" i="22" s="1"/>
  <c r="W443" i="22"/>
  <c r="W442" i="22"/>
  <c r="W441" i="22"/>
  <c r="W440" i="22"/>
  <c r="X439" i="22"/>
  <c r="W439" i="22"/>
  <c r="W438" i="22"/>
  <c r="X438" i="22" s="1"/>
  <c r="Q438" i="22" s="1"/>
  <c r="X437" i="22"/>
  <c r="W437" i="22"/>
  <c r="Q437" i="22"/>
  <c r="W436" i="22"/>
  <c r="W435" i="22"/>
  <c r="W434" i="22"/>
  <c r="X434" i="22" s="1"/>
  <c r="X433" i="22"/>
  <c r="W433" i="22"/>
  <c r="W432" i="22"/>
  <c r="X432" i="22" s="1"/>
  <c r="W431" i="22"/>
  <c r="X431" i="22" s="1"/>
  <c r="X430" i="22"/>
  <c r="Q430" i="22" s="1"/>
  <c r="W430" i="22"/>
  <c r="X429" i="22"/>
  <c r="Q429" i="22" s="1"/>
  <c r="W429" i="22"/>
  <c r="W428" i="22"/>
  <c r="X428" i="22" s="1"/>
  <c r="Q428" i="22"/>
  <c r="W427" i="22"/>
  <c r="W426" i="22"/>
  <c r="W425" i="22"/>
  <c r="W424" i="22"/>
  <c r="X424" i="22" s="1"/>
  <c r="X423" i="22"/>
  <c r="W423" i="22"/>
  <c r="Q423" i="22"/>
  <c r="W422" i="22"/>
  <c r="X422" i="22" s="1"/>
  <c r="Q422" i="22" s="1"/>
  <c r="X421" i="22"/>
  <c r="Q421" i="22" s="1"/>
  <c r="W421" i="22"/>
  <c r="W420" i="22"/>
  <c r="W419" i="22"/>
  <c r="X419" i="22" s="1"/>
  <c r="W418" i="22"/>
  <c r="X418" i="22" s="1"/>
  <c r="X417" i="22"/>
  <c r="W417" i="22"/>
  <c r="W416" i="22"/>
  <c r="X416" i="22" s="1"/>
  <c r="W415" i="22"/>
  <c r="X415" i="22" s="1"/>
  <c r="W414" i="22"/>
  <c r="X414" i="22" s="1"/>
  <c r="Q414" i="22" s="1"/>
  <c r="X413" i="22"/>
  <c r="Q413" i="22" s="1"/>
  <c r="W413" i="22"/>
  <c r="W412" i="22"/>
  <c r="X412" i="22" s="1"/>
  <c r="W411" i="22"/>
  <c r="W410" i="22"/>
  <c r="W409" i="22"/>
  <c r="W408" i="22"/>
  <c r="X408" i="22" s="1"/>
  <c r="X407" i="22"/>
  <c r="Q407" i="22" s="1"/>
  <c r="W407" i="22"/>
  <c r="W406" i="22"/>
  <c r="X406" i="22" s="1"/>
  <c r="Q406" i="22" s="1"/>
  <c r="X405" i="22"/>
  <c r="W405" i="22"/>
  <c r="Q405" i="22"/>
  <c r="W404" i="22"/>
  <c r="W403" i="22"/>
  <c r="W402" i="22"/>
  <c r="X402" i="22" s="1"/>
  <c r="Q402" i="22"/>
  <c r="X401" i="22"/>
  <c r="W401" i="22"/>
  <c r="W400" i="22"/>
  <c r="X400" i="22" s="1"/>
  <c r="W399" i="22"/>
  <c r="X399" i="22" s="1"/>
  <c r="Q399" i="22" s="1"/>
  <c r="X398" i="22"/>
  <c r="Q398" i="22" s="1"/>
  <c r="W398" i="22"/>
  <c r="X397" i="22"/>
  <c r="Q397" i="22" s="1"/>
  <c r="W397" i="22"/>
  <c r="W395" i="22"/>
  <c r="X395" i="22" s="1"/>
  <c r="W394" i="22"/>
  <c r="W393" i="22"/>
  <c r="W392" i="22"/>
  <c r="X391" i="22"/>
  <c r="W391" i="22"/>
  <c r="X390" i="22"/>
  <c r="Q390" i="22" s="1"/>
  <c r="W390" i="22"/>
  <c r="W389" i="22"/>
  <c r="X389" i="22" s="1"/>
  <c r="Q389" i="22" s="1"/>
  <c r="W388" i="22"/>
  <c r="X388" i="22" s="1"/>
  <c r="Q388" i="22" s="1"/>
  <c r="W387" i="22"/>
  <c r="W385" i="22"/>
  <c r="X385" i="22" s="1"/>
  <c r="Q385" i="22"/>
  <c r="W384" i="22"/>
  <c r="X384" i="22" s="1"/>
  <c r="W383" i="22"/>
  <c r="X383" i="22" s="1"/>
  <c r="X382" i="22"/>
  <c r="W382" i="22"/>
  <c r="W381" i="22"/>
  <c r="X381" i="22" s="1"/>
  <c r="Q381" i="22" s="1"/>
  <c r="W380" i="22"/>
  <c r="X380" i="22" s="1"/>
  <c r="Q380" i="22" s="1"/>
  <c r="X379" i="22"/>
  <c r="Q379" i="22" s="1"/>
  <c r="W379" i="22"/>
  <c r="W378" i="22"/>
  <c r="X378" i="22" s="1"/>
  <c r="Q378" i="22"/>
  <c r="W377" i="22"/>
  <c r="W376" i="22"/>
  <c r="X376" i="22" s="1"/>
  <c r="W375" i="22"/>
  <c r="W374" i="22"/>
  <c r="X374" i="22" s="1"/>
  <c r="X373" i="22"/>
  <c r="W373" i="22"/>
  <c r="Q373" i="22"/>
  <c r="W372" i="22"/>
  <c r="X372" i="22" s="1"/>
  <c r="Q372" i="22" s="1"/>
  <c r="X371" i="22"/>
  <c r="W371" i="22"/>
  <c r="Q371" i="22"/>
  <c r="W370" i="22"/>
  <c r="X370" i="22" s="1"/>
  <c r="W369" i="22"/>
  <c r="X369" i="22" s="1"/>
  <c r="W368" i="22"/>
  <c r="X368" i="22" s="1"/>
  <c r="X367" i="22"/>
  <c r="W367" i="22"/>
  <c r="W366" i="22"/>
  <c r="X366" i="22" s="1"/>
  <c r="W365" i="22"/>
  <c r="X365" i="22" s="1"/>
  <c r="Q365" i="22" s="1"/>
  <c r="W363" i="22"/>
  <c r="X363" i="22" s="1"/>
  <c r="Q363" i="22" s="1"/>
  <c r="X362" i="22"/>
  <c r="Q362" i="22" s="1"/>
  <c r="W362" i="22"/>
  <c r="W361" i="22"/>
  <c r="X361" i="22" s="1"/>
  <c r="W360" i="22"/>
  <c r="W359" i="22"/>
  <c r="X359" i="22" s="1"/>
  <c r="W358" i="22"/>
  <c r="W357" i="22"/>
  <c r="X356" i="22"/>
  <c r="W356" i="22"/>
  <c r="W355" i="22"/>
  <c r="X355" i="22" s="1"/>
  <c r="Q355" i="22" s="1"/>
  <c r="X354" i="22"/>
  <c r="W354" i="22"/>
  <c r="Q354" i="22"/>
  <c r="W353" i="22"/>
  <c r="X353" i="22" s="1"/>
  <c r="Q353" i="22"/>
  <c r="W352" i="22"/>
  <c r="X352" i="22" s="1"/>
  <c r="W351" i="22"/>
  <c r="X351" i="22" s="1"/>
  <c r="X350" i="22"/>
  <c r="W350" i="22"/>
  <c r="W349" i="22"/>
  <c r="X349" i="22" s="1"/>
  <c r="W348" i="22"/>
  <c r="X348" i="22" s="1"/>
  <c r="Q348" i="22" s="1"/>
  <c r="X347" i="22"/>
  <c r="W347" i="22"/>
  <c r="W345" i="22"/>
  <c r="W344" i="22"/>
  <c r="X344" i="22" s="1"/>
  <c r="W343" i="22"/>
  <c r="X343" i="22" s="1"/>
  <c r="Q343" i="22" s="1"/>
  <c r="W342" i="22"/>
  <c r="X342" i="22" s="1"/>
  <c r="Q342" i="22" s="1"/>
  <c r="W341" i="22"/>
  <c r="X341" i="22" s="1"/>
  <c r="Q341" i="22"/>
  <c r="W340" i="22"/>
  <c r="X340" i="22" s="1"/>
  <c r="W339" i="22"/>
  <c r="X339" i="22" s="1"/>
  <c r="Q339" i="22" s="1"/>
  <c r="W338" i="22"/>
  <c r="X338" i="22" s="1"/>
  <c r="W336" i="22"/>
  <c r="X336" i="22" s="1"/>
  <c r="W335" i="22"/>
  <c r="X335" i="22" s="1"/>
  <c r="W334" i="22"/>
  <c r="X334" i="22" s="1"/>
  <c r="Q334" i="22" s="1"/>
  <c r="X333" i="22"/>
  <c r="Q333" i="22" s="1"/>
  <c r="W333" i="22"/>
  <c r="X332" i="22"/>
  <c r="W332" i="22"/>
  <c r="W330" i="22"/>
  <c r="X330" i="22" s="1"/>
  <c r="W329" i="22"/>
  <c r="X329" i="22" s="1"/>
  <c r="W328" i="22"/>
  <c r="X327" i="22"/>
  <c r="W327" i="22"/>
  <c r="W326" i="22"/>
  <c r="X326" i="22" s="1"/>
  <c r="X325" i="22"/>
  <c r="Q325" i="22" s="1"/>
  <c r="W325" i="22"/>
  <c r="X324" i="22"/>
  <c r="Q324" i="22" s="1"/>
  <c r="W324" i="22"/>
  <c r="X323" i="22"/>
  <c r="W323" i="22"/>
  <c r="W321" i="22"/>
  <c r="X321" i="22" s="1"/>
  <c r="Q321" i="22"/>
  <c r="W320" i="22"/>
  <c r="X320" i="22" s="1"/>
  <c r="X319" i="22"/>
  <c r="W319" i="22"/>
  <c r="X318" i="22"/>
  <c r="W318" i="22"/>
  <c r="W316" i="22"/>
  <c r="X316" i="22" s="1"/>
  <c r="Q316" i="22"/>
  <c r="X315" i="22"/>
  <c r="W315" i="22"/>
  <c r="W314" i="22"/>
  <c r="X314" i="22" s="1"/>
  <c r="Q314" i="22" s="1"/>
  <c r="W311" i="22"/>
  <c r="X311" i="22" s="1"/>
  <c r="Q311" i="22" s="1"/>
  <c r="W310" i="22"/>
  <c r="X310" i="22" s="1"/>
  <c r="Q310" i="22"/>
  <c r="W309" i="22"/>
  <c r="X309" i="22" s="1"/>
  <c r="Q309" i="22" s="1"/>
  <c r="X308" i="22"/>
  <c r="W308" i="22"/>
  <c r="W307" i="22"/>
  <c r="W306" i="22"/>
  <c r="W305" i="22"/>
  <c r="X305" i="22" s="1"/>
  <c r="Q305" i="22" s="1"/>
  <c r="X304" i="22"/>
  <c r="Q304" i="22" s="1"/>
  <c r="W304" i="22"/>
  <c r="W303" i="22"/>
  <c r="X303" i="22" s="1"/>
  <c r="Q303" i="22"/>
  <c r="W301" i="22"/>
  <c r="X301" i="22" s="1"/>
  <c r="W300" i="22"/>
  <c r="X300" i="22" s="1"/>
  <c r="AD139" i="22"/>
  <c r="W139" i="22"/>
  <c r="AD138" i="22"/>
  <c r="W138" i="22"/>
  <c r="X138" i="22" s="1"/>
  <c r="AD137" i="22"/>
  <c r="W137" i="22"/>
  <c r="X137" i="22" s="1"/>
  <c r="Q137" i="22" s="1"/>
  <c r="AD136" i="22"/>
  <c r="AD135" i="22"/>
  <c r="W135" i="22"/>
  <c r="AD134" i="22"/>
  <c r="Z134" i="22"/>
  <c r="V134" i="22"/>
  <c r="U134" i="22"/>
  <c r="X134" i="22" s="1"/>
  <c r="AA134" i="22" s="1"/>
  <c r="R134" i="22" s="1"/>
  <c r="Q134" i="22" s="1"/>
  <c r="AD133" i="22"/>
  <c r="W133" i="22"/>
  <c r="X133" i="22" s="1"/>
  <c r="Q133" i="22" s="1"/>
  <c r="AD132" i="22"/>
  <c r="AD131" i="22"/>
  <c r="W131" i="22"/>
  <c r="X131" i="22" s="1"/>
  <c r="Q131" i="22" s="1"/>
  <c r="AD130" i="22"/>
  <c r="W130" i="22"/>
  <c r="X130" i="22" s="1"/>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W99" i="22"/>
  <c r="X99" i="22" s="1"/>
  <c r="W98" i="22"/>
  <c r="W97" i="22"/>
  <c r="X97" i="22" s="1"/>
  <c r="Q97" i="22"/>
  <c r="AD97" i="22" s="1"/>
  <c r="AD96" i="22"/>
  <c r="X96" i="22"/>
  <c r="W96" i="22"/>
  <c r="X95" i="22"/>
  <c r="AD95" i="22" s="1"/>
  <c r="W95" i="22"/>
  <c r="X94" i="22"/>
  <c r="AD94" i="22" s="1"/>
  <c r="W94" i="22"/>
  <c r="AD93" i="22"/>
  <c r="X93" i="22"/>
  <c r="W93" i="22"/>
  <c r="X92" i="22"/>
  <c r="AD92" i="22" s="1"/>
  <c r="W92" i="22"/>
  <c r="X91" i="22"/>
  <c r="AD91" i="22" s="1"/>
  <c r="W91" i="22"/>
  <c r="AD90" i="22"/>
  <c r="X90" i="22"/>
  <c r="W90" i="22"/>
  <c r="AD89" i="22"/>
  <c r="X89" i="22"/>
  <c r="X88" i="22"/>
  <c r="AD88" i="22" s="1"/>
  <c r="AD87" i="22"/>
  <c r="X87" i="22"/>
  <c r="W87" i="22"/>
  <c r="X86" i="22"/>
  <c r="AD86" i="22" s="1"/>
  <c r="AD85" i="22"/>
  <c r="X85" i="22"/>
  <c r="W85" i="22"/>
  <c r="X84" i="22"/>
  <c r="AD84" i="22" s="1"/>
  <c r="W84" i="22"/>
  <c r="Z83" i="22"/>
  <c r="X83" i="22"/>
  <c r="AD83" i="22" s="1"/>
  <c r="V83" i="22"/>
  <c r="U83" i="22"/>
  <c r="Z82" i="22"/>
  <c r="X82" i="22"/>
  <c r="AD82" i="22" s="1"/>
  <c r="V82" i="22"/>
  <c r="U82" i="22"/>
  <c r="X81" i="22"/>
  <c r="AD81" i="22" s="1"/>
  <c r="X80" i="22"/>
  <c r="AD80" i="22" s="1"/>
  <c r="W79" i="22"/>
  <c r="X79" i="22" s="1"/>
  <c r="AD79" i="22" s="1"/>
  <c r="X78" i="22"/>
  <c r="AD78" i="22" s="1"/>
  <c r="W78" i="22"/>
  <c r="X77" i="22"/>
  <c r="AD77" i="22" s="1"/>
  <c r="W77" i="22"/>
  <c r="AD76" i="22"/>
  <c r="X76" i="22"/>
  <c r="W76" i="22"/>
  <c r="X75" i="22"/>
  <c r="AD75" i="22" s="1"/>
  <c r="X74" i="22"/>
  <c r="AD73" i="22"/>
  <c r="X73" i="22"/>
  <c r="W73" i="22"/>
  <c r="W72" i="22"/>
  <c r="X72" i="22" s="1"/>
  <c r="AD72" i="22" s="1"/>
  <c r="X71" i="22"/>
  <c r="AD71" i="22" s="1"/>
  <c r="W71" i="22"/>
  <c r="AD70" i="22"/>
  <c r="X70" i="22"/>
  <c r="W70" i="22"/>
  <c r="X69" i="22"/>
  <c r="AD69" i="22" s="1"/>
  <c r="W69" i="22"/>
  <c r="AD68" i="22"/>
  <c r="X68" i="22"/>
  <c r="W68" i="22"/>
  <c r="AD67" i="22"/>
  <c r="W67" i="22"/>
  <c r="X67" i="22" s="1"/>
  <c r="X66" i="22"/>
  <c r="AD66" i="22" s="1"/>
  <c r="W66" i="22"/>
  <c r="AD65" i="22"/>
  <c r="W65" i="22"/>
  <c r="X65" i="22" s="1"/>
  <c r="Q65" i="22"/>
  <c r="AD64" i="22"/>
  <c r="X64" i="22"/>
  <c r="X63" i="22"/>
  <c r="AD63" i="22" s="1"/>
  <c r="AD62" i="22"/>
  <c r="X62" i="22"/>
  <c r="W62" i="22"/>
  <c r="X61" i="22"/>
  <c r="AD61" i="22" s="1"/>
  <c r="W61" i="22"/>
  <c r="AD60" i="22"/>
  <c r="X60" i="22"/>
  <c r="W60" i="22"/>
  <c r="AD59" i="22"/>
  <c r="X59" i="22"/>
  <c r="W59" i="22"/>
  <c r="X58" i="22"/>
  <c r="AD58" i="22" s="1"/>
  <c r="W58" i="22"/>
  <c r="X57" i="22"/>
  <c r="AD57" i="22" s="1"/>
  <c r="W57" i="22"/>
  <c r="X56" i="22"/>
  <c r="AD56" i="22" s="1"/>
  <c r="W56" i="22"/>
  <c r="X55" i="22"/>
  <c r="AD55" i="22" s="1"/>
  <c r="W55" i="22"/>
  <c r="AD54" i="22"/>
  <c r="X54" i="22"/>
  <c r="W54" i="22"/>
  <c r="X53" i="22"/>
  <c r="AD53" i="22" s="1"/>
  <c r="W53" i="22"/>
  <c r="X52" i="22"/>
  <c r="AD52" i="22" s="1"/>
  <c r="W52" i="22"/>
  <c r="AD51" i="22"/>
  <c r="X51" i="22"/>
  <c r="W51" i="22"/>
  <c r="AD50" i="22"/>
  <c r="X50" i="22"/>
  <c r="W50" i="22"/>
  <c r="AD49" i="22"/>
  <c r="X49" i="22"/>
  <c r="W49" i="22"/>
  <c r="AD48" i="22"/>
  <c r="X48" i="22"/>
  <c r="W48" i="22"/>
  <c r="X47" i="22"/>
  <c r="Q47" i="22" s="1"/>
  <c r="X46" i="22"/>
  <c r="W46" i="22"/>
  <c r="X36" i="22"/>
  <c r="W36" i="22"/>
  <c r="Q36" i="22" s="1"/>
  <c r="AC35" i="22"/>
  <c r="X35" i="22"/>
  <c r="Q35" i="22" s="1"/>
  <c r="W34" i="22"/>
  <c r="X34" i="22" s="1"/>
  <c r="W33" i="22"/>
  <c r="X32" i="22"/>
  <c r="W32" i="22"/>
  <c r="Q32" i="22"/>
  <c r="X31" i="22"/>
  <c r="Q31" i="22" s="1"/>
  <c r="W30" i="22"/>
  <c r="X30" i="22" s="1"/>
  <c r="X29" i="22"/>
  <c r="Q29" i="22"/>
  <c r="W28" i="22"/>
  <c r="X27" i="22"/>
  <c r="AD27" i="22" s="1"/>
  <c r="W27" i="22"/>
  <c r="X26" i="22"/>
  <c r="Q26" i="22"/>
  <c r="M26" i="22"/>
  <c r="W25" i="22"/>
  <c r="X24" i="22"/>
  <c r="Q24" i="22" s="1"/>
  <c r="W24" i="22"/>
  <c r="W23" i="22"/>
  <c r="X23" i="22" s="1"/>
  <c r="Q23" i="22" s="1"/>
  <c r="W22" i="22"/>
  <c r="X21" i="22"/>
  <c r="Q21" i="22"/>
  <c r="X20" i="22"/>
  <c r="W20" i="22"/>
  <c r="Q20" i="22"/>
  <c r="X19" i="22"/>
  <c r="W19" i="22"/>
  <c r="W18" i="22"/>
  <c r="X18" i="22" s="1"/>
  <c r="Q18" i="22"/>
  <c r="X17" i="22"/>
  <c r="W17" i="22"/>
  <c r="Q17" i="22" s="1"/>
  <c r="W16" i="22"/>
  <c r="X16" i="22" s="1"/>
  <c r="W15" i="22"/>
  <c r="X15" i="22" s="1"/>
  <c r="Q15" i="22" s="1"/>
  <c r="W14" i="22"/>
  <c r="W13" i="22"/>
  <c r="X13" i="22" s="1"/>
  <c r="Q13" i="22" s="1"/>
  <c r="W12" i="22"/>
  <c r="X12" i="22" s="1"/>
  <c r="Q12" i="22" s="1"/>
  <c r="W11" i="22"/>
  <c r="W10" i="22"/>
  <c r="W9" i="22"/>
  <c r="X9" i="22" s="1"/>
  <c r="X8" i="22"/>
  <c r="W8" i="22"/>
  <c r="X7" i="22"/>
  <c r="R7" i="22"/>
  <c r="W6" i="22"/>
  <c r="X6" i="22" s="1"/>
  <c r="X5" i="22"/>
  <c r="AD5" i="22" s="1"/>
  <c r="AC2" i="22"/>
  <c r="S1" i="22"/>
  <c r="X435" i="22" l="1"/>
  <c r="Q435" i="22" s="1"/>
  <c r="X10" i="22"/>
  <c r="Q10" i="22" s="1"/>
  <c r="X631" i="22"/>
  <c r="Q631" i="22" s="1"/>
  <c r="X895" i="22"/>
  <c r="Q895" i="22" s="1"/>
  <c r="Q1188" i="22"/>
  <c r="Q920" i="22"/>
  <c r="X1089" i="22"/>
  <c r="Q1089" i="22" s="1"/>
  <c r="X1559" i="22"/>
  <c r="Q1559" i="22"/>
  <c r="X1854" i="22"/>
  <c r="X25" i="22"/>
  <c r="Q25" i="22" s="1"/>
  <c r="Q19" i="22"/>
  <c r="X22" i="22"/>
  <c r="Q22" i="22" s="1"/>
  <c r="Q68" i="22"/>
  <c r="Q382" i="22"/>
  <c r="Q431" i="22"/>
  <c r="X582" i="22"/>
  <c r="Q582" i="22" s="1"/>
  <c r="X686" i="22"/>
  <c r="Q686" i="22" s="1"/>
  <c r="X716" i="22"/>
  <c r="Q716" i="22"/>
  <c r="X789" i="22"/>
  <c r="Q789" i="22"/>
  <c r="X1276" i="22"/>
  <c r="Q1276" i="22"/>
  <c r="X1451" i="22"/>
  <c r="Q1451" i="22"/>
  <c r="X1466" i="22"/>
  <c r="Q1466" i="22"/>
  <c r="X690" i="22"/>
  <c r="Q690" i="22" s="1"/>
  <c r="X781" i="22"/>
  <c r="Q781" i="22" s="1"/>
  <c r="Q833" i="22"/>
  <c r="X980" i="22"/>
  <c r="Q980" i="22"/>
  <c r="X586" i="22"/>
  <c r="Q586" i="22" s="1"/>
  <c r="Y1761" i="22"/>
  <c r="X1767" i="22"/>
  <c r="AA1767" i="22" s="1"/>
  <c r="X673" i="22"/>
  <c r="Q673" i="22" s="1"/>
  <c r="Q720" i="22"/>
  <c r="X14" i="22"/>
  <c r="Q14" i="22" s="1"/>
  <c r="X736" i="22"/>
  <c r="Q736" i="22" s="1"/>
  <c r="X833" i="22"/>
  <c r="X663" i="22"/>
  <c r="Q663" i="22"/>
  <c r="X682" i="22"/>
  <c r="Q682" i="22"/>
  <c r="X740" i="22"/>
  <c r="Q740" i="22"/>
  <c r="X874" i="22"/>
  <c r="Q874" i="22"/>
  <c r="X1380" i="22"/>
  <c r="Q1380" i="22" s="1"/>
  <c r="X1430" i="22"/>
  <c r="Q1430" i="22" s="1"/>
  <c r="Q34" i="22"/>
  <c r="X856" i="22"/>
  <c r="Q856" i="22" s="1"/>
  <c r="Q825" i="22"/>
  <c r="Q842" i="22"/>
  <c r="X1049" i="22"/>
  <c r="Q1049" i="22"/>
  <c r="X139" i="22"/>
  <c r="Q139" i="22" s="1"/>
  <c r="Q8" i="22"/>
  <c r="X306" i="22"/>
  <c r="Q306" i="22" s="1"/>
  <c r="Q369" i="22"/>
  <c r="Q418" i="22"/>
  <c r="Q470" i="22"/>
  <c r="Q683" i="22"/>
  <c r="X724" i="22"/>
  <c r="Q724" i="22"/>
  <c r="Q741" i="22"/>
  <c r="Q756" i="22"/>
  <c r="Q769" i="22"/>
  <c r="X785" i="22"/>
  <c r="Q785" i="22" s="1"/>
  <c r="Q1375" i="22"/>
  <c r="X403" i="22"/>
  <c r="Q403" i="22" s="1"/>
  <c r="R1665" i="22"/>
  <c r="Q1665" i="22" s="1"/>
  <c r="Y1665" i="22"/>
  <c r="Q46" i="22"/>
  <c r="X98" i="22"/>
  <c r="Q98" i="22" s="1"/>
  <c r="AD98" i="22" s="1"/>
  <c r="Q315" i="22"/>
  <c r="Q320" i="22"/>
  <c r="Q332" i="22"/>
  <c r="Q356" i="22"/>
  <c r="Q439" i="22"/>
  <c r="Q617" i="22"/>
  <c r="Q659" i="22"/>
  <c r="Q708" i="22"/>
  <c r="Q868" i="22"/>
  <c r="X1260" i="22"/>
  <c r="Q1260" i="22" s="1"/>
  <c r="X1491" i="22"/>
  <c r="Q1491" i="22" s="1"/>
  <c r="X1675" i="22"/>
  <c r="AA1675" i="22" s="1"/>
  <c r="Q370" i="22"/>
  <c r="Q415" i="22"/>
  <c r="Q419" i="22"/>
  <c r="Q452" i="22"/>
  <c r="X948" i="22"/>
  <c r="Q948" i="22" s="1"/>
  <c r="Q1133" i="22"/>
  <c r="X1486" i="22"/>
  <c r="Q1486" i="22" s="1"/>
  <c r="X1499" i="22"/>
  <c r="Q1499" i="22"/>
  <c r="Y1716" i="22"/>
  <c r="R1759" i="22"/>
  <c r="Q1759" i="22" s="1"/>
  <c r="Y1759" i="22"/>
  <c r="Y1864" i="22"/>
  <c r="Y1978" i="22"/>
  <c r="Q1978" i="22"/>
  <c r="Q2022" i="22"/>
  <c r="Y2022" i="22"/>
  <c r="AA83" i="22"/>
  <c r="R83" i="22" s="1"/>
  <c r="Q323" i="22"/>
  <c r="Q344" i="22"/>
  <c r="Q467" i="22"/>
  <c r="Q614" i="22"/>
  <c r="Q643" i="22"/>
  <c r="Q768" i="22"/>
  <c r="Q792" i="22"/>
  <c r="Q808" i="22"/>
  <c r="Q839" i="22"/>
  <c r="Q864" i="22"/>
  <c r="Q882" i="22"/>
  <c r="Q904" i="22"/>
  <c r="Q954" i="22"/>
  <c r="Q1032" i="22"/>
  <c r="X1064" i="22"/>
  <c r="Q1064" i="22" s="1"/>
  <c r="X1069" i="22"/>
  <c r="Q1069" i="22" s="1"/>
  <c r="Q1123" i="22"/>
  <c r="X1133" i="22"/>
  <c r="X1163" i="22"/>
  <c r="Q1163" i="22" s="1"/>
  <c r="Q1243" i="22"/>
  <c r="Q1334" i="22"/>
  <c r="Q1396" i="22"/>
  <c r="Q1426" i="22"/>
  <c r="Q1461" i="22"/>
  <c r="Q1481" i="22"/>
  <c r="Q1501" i="22"/>
  <c r="Q1521" i="22"/>
  <c r="X1521" i="22"/>
  <c r="X1534" i="22"/>
  <c r="Q1534" i="22" s="1"/>
  <c r="X1820" i="22"/>
  <c r="AA1820" i="22" s="1"/>
  <c r="AA1827" i="22"/>
  <c r="R1827" i="22" s="1"/>
  <c r="Q1827" i="22" s="1"/>
  <c r="X1827" i="22"/>
  <c r="Q1494" i="22"/>
  <c r="Q1554" i="22"/>
  <c r="X1554" i="22"/>
  <c r="X1570" i="22"/>
  <c r="Q1570" i="22" s="1"/>
  <c r="Q1584" i="22"/>
  <c r="Q1590" i="22"/>
  <c r="X1672" i="22"/>
  <c r="AA1672" i="22" s="1"/>
  <c r="R1707" i="22"/>
  <c r="Q1707" i="22" s="1"/>
  <c r="Y1707" i="22"/>
  <c r="X1748" i="22"/>
  <c r="AA1748" i="22" s="1"/>
  <c r="Y1752" i="22"/>
  <c r="R1752" i="22"/>
  <c r="Q1752" i="22" s="1"/>
  <c r="X1813" i="22"/>
  <c r="AA1813" i="22" s="1"/>
  <c r="Q329" i="22"/>
  <c r="Q352" i="22"/>
  <c r="Q361" i="22"/>
  <c r="Q444" i="22"/>
  <c r="Q464" i="22"/>
  <c r="Q468" i="22"/>
  <c r="Q707" i="22"/>
  <c r="Q773" i="22"/>
  <c r="Q832" i="22"/>
  <c r="Q841" i="22"/>
  <c r="Q865" i="22"/>
  <c r="X877" i="22"/>
  <c r="Q877" i="22" s="1"/>
  <c r="Q928" i="22"/>
  <c r="X944" i="22"/>
  <c r="Q944" i="22" s="1"/>
  <c r="X1099" i="22"/>
  <c r="Q1099" i="22" s="1"/>
  <c r="Q1227" i="22"/>
  <c r="Q1367" i="22"/>
  <c r="Q1391" i="22"/>
  <c r="X1475" i="22"/>
  <c r="Q1475" i="22" s="1"/>
  <c r="X1494" i="22"/>
  <c r="Q1509" i="22"/>
  <c r="Q1529" i="22"/>
  <c r="Q1550" i="22"/>
  <c r="Q1572" i="22"/>
  <c r="Y1693" i="22"/>
  <c r="R1693" i="22"/>
  <c r="Q1693" i="22" s="1"/>
  <c r="X1705" i="22"/>
  <c r="AA1705" i="22" s="1"/>
  <c r="Y1745" i="22"/>
  <c r="AA82" i="22"/>
  <c r="R82" i="22" s="1"/>
  <c r="Q96" i="22"/>
  <c r="X135" i="22"/>
  <c r="Q135" i="22" s="1"/>
  <c r="Q798" i="22"/>
  <c r="Q806" i="22"/>
  <c r="Q816" i="22"/>
  <c r="Q962" i="22"/>
  <c r="Q1008" i="22"/>
  <c r="X1048" i="22"/>
  <c r="Q1048" i="22" s="1"/>
  <c r="Q1192" i="22"/>
  <c r="Q1330" i="22"/>
  <c r="X1386" i="22"/>
  <c r="Q1386" i="22" s="1"/>
  <c r="X1490" i="22"/>
  <c r="Q1490" i="22"/>
  <c r="X1668" i="22"/>
  <c r="AA1668" i="22" s="1"/>
  <c r="X1791" i="22"/>
  <c r="AA1791" i="22"/>
  <c r="R1791" i="22" s="1"/>
  <c r="Q1791" i="22" s="1"/>
  <c r="Q891" i="22"/>
  <c r="Q946" i="22"/>
  <c r="X946" i="22"/>
  <c r="Q986" i="22"/>
  <c r="Q1003" i="22"/>
  <c r="X1525" i="22"/>
  <c r="Q1525" i="22"/>
  <c r="X1544" i="22"/>
  <c r="Q1544" i="22" s="1"/>
  <c r="X1564" i="22"/>
  <c r="Q1564" i="22" s="1"/>
  <c r="Y1675" i="22"/>
  <c r="R1675" i="22"/>
  <c r="Q1675" i="22" s="1"/>
  <c r="X1682" i="22"/>
  <c r="AA1682" i="22" s="1"/>
  <c r="AA1723" i="22"/>
  <c r="R1723" i="22" s="1"/>
  <c r="Q1723" i="22" s="1"/>
  <c r="X1734" i="22"/>
  <c r="AA1734" i="22" s="1"/>
  <c r="Q889" i="22"/>
  <c r="Q909" i="22"/>
  <c r="Q913" i="22"/>
  <c r="Q955" i="22"/>
  <c r="Q978" i="22"/>
  <c r="Q1016" i="22"/>
  <c r="Q1056" i="22"/>
  <c r="Q1076" i="22"/>
  <c r="Q1081" i="22"/>
  <c r="Q1215" i="22"/>
  <c r="Q1272" i="22"/>
  <c r="Q1347" i="22"/>
  <c r="Q1362" i="22"/>
  <c r="Q1433" i="22"/>
  <c r="Q1457" i="22"/>
  <c r="Q1473" i="22"/>
  <c r="Q1482" i="22"/>
  <c r="Q1492" i="22"/>
  <c r="Q1507" i="22"/>
  <c r="Q1517" i="22"/>
  <c r="Q1527" i="22"/>
  <c r="Q1542" i="22"/>
  <c r="X1680" i="22"/>
  <c r="X1685" i="22"/>
  <c r="AA1685" i="22" s="1"/>
  <c r="Y1726" i="22"/>
  <c r="R1741" i="22"/>
  <c r="Q1741" i="22" s="1"/>
  <c r="Y1741" i="22"/>
  <c r="R1751" i="22"/>
  <c r="Q1751" i="22" s="1"/>
  <c r="X1758" i="22"/>
  <c r="AA1758" i="22" s="1"/>
  <c r="X1775" i="22"/>
  <c r="AA1775" i="22"/>
  <c r="R1775" i="22" s="1"/>
  <c r="Q1775" i="22" s="1"/>
  <c r="X1818" i="22"/>
  <c r="X1875" i="22"/>
  <c r="AA1875" i="22" s="1"/>
  <c r="Q2008" i="22"/>
  <c r="Y2008" i="22"/>
  <c r="X935" i="22"/>
  <c r="Q935" i="22" s="1"/>
  <c r="Q964" i="22"/>
  <c r="X978" i="22"/>
  <c r="Q992" i="22"/>
  <c r="Q996" i="22"/>
  <c r="Q1040" i="22"/>
  <c r="Q1116" i="22"/>
  <c r="Q1140" i="22"/>
  <c r="Q1145" i="22"/>
  <c r="Q1181" i="22"/>
  <c r="Q1186" i="22"/>
  <c r="Q1477" i="22"/>
  <c r="Y1662" i="22"/>
  <c r="X1667" i="22"/>
  <c r="Y1680" i="22"/>
  <c r="X1683" i="22"/>
  <c r="AA1683" i="22" s="1"/>
  <c r="Y1692" i="22"/>
  <c r="R1768" i="22"/>
  <c r="Q1768" i="22" s="1"/>
  <c r="X1773" i="22"/>
  <c r="AA1773" i="22" s="1"/>
  <c r="R1773" i="22" s="1"/>
  <c r="Q1773" i="22" s="1"/>
  <c r="X1840" i="22"/>
  <c r="Q2005" i="22"/>
  <c r="Y2005" i="22"/>
  <c r="Q910" i="22"/>
  <c r="Q927" i="22"/>
  <c r="Q936" i="22"/>
  <c r="Q960" i="22"/>
  <c r="Q970" i="22"/>
  <c r="Q979" i="22"/>
  <c r="Q988" i="22"/>
  <c r="Q1057" i="22"/>
  <c r="Q1077" i="22"/>
  <c r="Q1082" i="22"/>
  <c r="Q1394" i="22"/>
  <c r="Q1465" i="22"/>
  <c r="Q1474" i="22"/>
  <c r="X1477" i="22"/>
  <c r="Q1498" i="22"/>
  <c r="Q1508" i="22"/>
  <c r="X1511" i="22"/>
  <c r="Q1511" i="22" s="1"/>
  <c r="Q1533" i="22"/>
  <c r="Q1543" i="22"/>
  <c r="X1546" i="22"/>
  <c r="Q1546" i="22" s="1"/>
  <c r="Q1568" i="22"/>
  <c r="Q1587" i="22"/>
  <c r="Y1664" i="22"/>
  <c r="AA1667" i="22"/>
  <c r="R1667" i="22" s="1"/>
  <c r="Q1667" i="22" s="1"/>
  <c r="X1681" i="22"/>
  <c r="X1694" i="22"/>
  <c r="AA1694" i="22" s="1"/>
  <c r="AA1699" i="22"/>
  <c r="X1706" i="22"/>
  <c r="AA1706" i="22" s="1"/>
  <c r="X1713" i="22"/>
  <c r="Y1721" i="22"/>
  <c r="X1735" i="22"/>
  <c r="AA1735" i="22" s="1"/>
  <c r="X1740" i="22"/>
  <c r="AA1740" i="22"/>
  <c r="AA1766" i="22"/>
  <c r="Y1766" i="22" s="1"/>
  <c r="X1781" i="22"/>
  <c r="AA1781" i="22" s="1"/>
  <c r="AA1783" i="22"/>
  <c r="R1783" i="22" s="1"/>
  <c r="Q1783" i="22" s="1"/>
  <c r="X1811" i="22"/>
  <c r="AA1811" i="22" s="1"/>
  <c r="Y1835" i="22"/>
  <c r="Y1868" i="22"/>
  <c r="AA1884" i="22"/>
  <c r="Q1884" i="22" s="1"/>
  <c r="Q1991" i="22"/>
  <c r="Y1991" i="22"/>
  <c r="Q1117" i="22"/>
  <c r="Q1141" i="22"/>
  <c r="Q1182" i="22"/>
  <c r="Q1264" i="22"/>
  <c r="Q1338" i="22"/>
  <c r="Q1370" i="22"/>
  <c r="Q1469" i="22"/>
  <c r="Q1503" i="22"/>
  <c r="Q1538" i="22"/>
  <c r="Q1577" i="22"/>
  <c r="X1669" i="22"/>
  <c r="Y1683" i="22"/>
  <c r="Y1697" i="22"/>
  <c r="X1700" i="22"/>
  <c r="AA1700" i="22" s="1"/>
  <c r="Y1700" i="22" s="1"/>
  <c r="X1776" i="22"/>
  <c r="AA1776" i="22" s="1"/>
  <c r="Y1776" i="22" s="1"/>
  <c r="Y1792" i="22"/>
  <c r="Y1858" i="22"/>
  <c r="Q994" i="22"/>
  <c r="X1074" i="22"/>
  <c r="Q1074" i="22" s="1"/>
  <c r="Q1093" i="22"/>
  <c r="X1117" i="22"/>
  <c r="Q1157" i="22"/>
  <c r="X1673" i="22"/>
  <c r="AA1673" i="22" s="1"/>
  <c r="Y1676" i="22"/>
  <c r="X1698" i="22"/>
  <c r="AA1698" i="22" s="1"/>
  <c r="R1725" i="22"/>
  <c r="Q1725" i="22" s="1"/>
  <c r="Y1725" i="22"/>
  <c r="Y1740" i="22"/>
  <c r="X1750" i="22"/>
  <c r="AA1750" i="22" s="1"/>
  <c r="AA1764" i="22"/>
  <c r="Y1764" i="22" s="1"/>
  <c r="X1779" i="22"/>
  <c r="Y1781" i="22"/>
  <c r="AA1799" i="22"/>
  <c r="X1801" i="22"/>
  <c r="AA1801" i="22"/>
  <c r="R1801" i="22" s="1"/>
  <c r="Q1801" i="22" s="1"/>
  <c r="R1821" i="22"/>
  <c r="Q1821" i="22" s="1"/>
  <c r="Y1821" i="22"/>
  <c r="Y1826" i="22"/>
  <c r="X1859" i="22"/>
  <c r="AA1859" i="22" s="1"/>
  <c r="Y1889" i="22"/>
  <c r="Q1984" i="22"/>
  <c r="Y1984" i="22"/>
  <c r="Q2003" i="22"/>
  <c r="Y2003" i="22"/>
  <c r="Q2010" i="22"/>
  <c r="Y2010" i="22"/>
  <c r="Y1829" i="22"/>
  <c r="Q1941" i="22"/>
  <c r="Y1941" i="22"/>
  <c r="Q1947" i="22"/>
  <c r="Y1947" i="22"/>
  <c r="Q1974" i="22"/>
  <c r="Y1974" i="22"/>
  <c r="Q1977" i="22"/>
  <c r="Q1994" i="22"/>
  <c r="Y1994" i="22"/>
  <c r="Q2020" i="22"/>
  <c r="Y2020" i="22"/>
  <c r="Q2052" i="22"/>
  <c r="Y2052" i="22"/>
  <c r="AA2102" i="22"/>
  <c r="Y2102" i="22" s="1"/>
  <c r="AB2102" i="22" s="1"/>
  <c r="Q2102" i="22" s="1"/>
  <c r="X2105" i="22"/>
  <c r="AA2105" i="22" s="1"/>
  <c r="Y2105" i="22" s="1"/>
  <c r="X1684" i="22"/>
  <c r="AA1684" i="22" s="1"/>
  <c r="X1688" i="22"/>
  <c r="X1701" i="22"/>
  <c r="AA1701" i="22" s="1"/>
  <c r="Y1701" i="22" s="1"/>
  <c r="X1742" i="22"/>
  <c r="AA1742" i="22" s="1"/>
  <c r="R1742" i="22" s="1"/>
  <c r="Q1742" i="22" s="1"/>
  <c r="AA1747" i="22"/>
  <c r="R1747" i="22" s="1"/>
  <c r="Q1747" i="22" s="1"/>
  <c r="X1765" i="22"/>
  <c r="AA1765" i="22" s="1"/>
  <c r="Y1783" i="22"/>
  <c r="X1823" i="22"/>
  <c r="Y1827" i="22"/>
  <c r="X1852" i="22"/>
  <c r="AA1852" i="22" s="1"/>
  <c r="AA1869" i="22"/>
  <c r="AA1889" i="22"/>
  <c r="Q1889" i="22" s="1"/>
  <c r="Q1942" i="22"/>
  <c r="Y1942" i="22"/>
  <c r="Q1958" i="22"/>
  <c r="Y1958" i="22"/>
  <c r="Q1988" i="22"/>
  <c r="Y1988" i="22"/>
  <c r="Q2004" i="22"/>
  <c r="Q2045" i="22"/>
  <c r="Y2045" i="22"/>
  <c r="Q2060" i="22"/>
  <c r="Y2060" i="22"/>
  <c r="Q2074" i="22"/>
  <c r="Y2074" i="22"/>
  <c r="AA2099" i="22"/>
  <c r="AB2099" i="22"/>
  <c r="Q2099" i="22" s="1"/>
  <c r="X2102" i="22"/>
  <c r="X2115" i="22"/>
  <c r="AA2115" i="22" s="1"/>
  <c r="AA2119" i="22"/>
  <c r="X2119" i="22"/>
  <c r="AB2119" i="22" s="1"/>
  <c r="Q2119" i="22" s="1"/>
  <c r="Y2071" i="22"/>
  <c r="Y2048" i="22"/>
  <c r="Y1961" i="22"/>
  <c r="Q2189" i="22"/>
  <c r="Y1790" i="22"/>
  <c r="R1812" i="22"/>
  <c r="Q1812" i="22" s="1"/>
  <c r="X1832" i="22"/>
  <c r="AA1832" i="22" s="1"/>
  <c r="Q1855" i="22"/>
  <c r="X1876" i="22"/>
  <c r="AA1876" i="22" s="1"/>
  <c r="X1878" i="22"/>
  <c r="AA1878" i="22" s="1"/>
  <c r="X1880" i="22"/>
  <c r="AA1880" i="22" s="1"/>
  <c r="X1892" i="22"/>
  <c r="AA1892" i="22" s="1"/>
  <c r="Q1948" i="22"/>
  <c r="Y1948" i="22"/>
  <c r="Q1962" i="22"/>
  <c r="Y1962" i="22"/>
  <c r="Q1995" i="22"/>
  <c r="Y1995" i="22"/>
  <c r="Q1998" i="22"/>
  <c r="Q2027" i="22"/>
  <c r="Y2027" i="22"/>
  <c r="Q2030" i="22"/>
  <c r="Y2030" i="22"/>
  <c r="Q2033" i="22"/>
  <c r="Q2053" i="22"/>
  <c r="Y2053" i="22"/>
  <c r="Q2064" i="22"/>
  <c r="X2093" i="22"/>
  <c r="AA2093" i="22" s="1"/>
  <c r="AB2093" i="22"/>
  <c r="Q2093" i="22" s="1"/>
  <c r="X2096" i="22"/>
  <c r="X2099" i="22"/>
  <c r="Y2115" i="22"/>
  <c r="Y2119" i="22"/>
  <c r="Q2131" i="22"/>
  <c r="Q2134" i="22"/>
  <c r="Y1855" i="22"/>
  <c r="AB2145" i="22"/>
  <c r="Q2145" i="22"/>
  <c r="Y1684" i="22"/>
  <c r="X1697" i="22"/>
  <c r="Y1699" i="22"/>
  <c r="X1718" i="22"/>
  <c r="AA1718" i="22" s="1"/>
  <c r="R1718" i="22" s="1"/>
  <c r="Q1718" i="22" s="1"/>
  <c r="Y1732" i="22"/>
  <c r="Y1742" i="22"/>
  <c r="X1747" i="22"/>
  <c r="X1749" i="22"/>
  <c r="AA1749" i="22" s="1"/>
  <c r="R1749" i="22" s="1"/>
  <c r="Q1749" i="22" s="1"/>
  <c r="X1772" i="22"/>
  <c r="Y1774" i="22"/>
  <c r="Y1782" i="22"/>
  <c r="AA1812" i="22"/>
  <c r="Y1812" i="22" s="1"/>
  <c r="X1837" i="22"/>
  <c r="AA1837" i="22" s="1"/>
  <c r="R1837" i="22" s="1"/>
  <c r="Q1837" i="22" s="1"/>
  <c r="X1839" i="22"/>
  <c r="AA1839" i="22" s="1"/>
  <c r="X1851" i="22"/>
  <c r="AA1851" i="22" s="1"/>
  <c r="Q1851" i="22" s="1"/>
  <c r="Y1869" i="22"/>
  <c r="X1872" i="22"/>
  <c r="AA1872" i="22" s="1"/>
  <c r="Y1872" i="22" s="1"/>
  <c r="X1881" i="22"/>
  <c r="AA1881" i="22" s="1"/>
  <c r="Q1881" i="22" s="1"/>
  <c r="AA1885" i="22"/>
  <c r="Q1885" i="22" s="1"/>
  <c r="Q2002" i="22"/>
  <c r="Q2017" i="22"/>
  <c r="Q2042" i="22"/>
  <c r="Y2042" i="22"/>
  <c r="X2112" i="22"/>
  <c r="AA2112" i="22" s="1"/>
  <c r="Y2118" i="22"/>
  <c r="AB2118" i="22" s="1"/>
  <c r="Q2118" i="22" s="1"/>
  <c r="Y2041" i="22"/>
  <c r="Y2023" i="22"/>
  <c r="AB2185" i="22"/>
  <c r="Q2185" i="22"/>
  <c r="X1888" i="22"/>
  <c r="AA1888" i="22" s="1"/>
  <c r="Q1938" i="22"/>
  <c r="Y1938" i="22"/>
  <c r="Q1963" i="22"/>
  <c r="Y1963" i="22"/>
  <c r="Q1982" i="22"/>
  <c r="Y1982" i="22"/>
  <c r="Q1996" i="22"/>
  <c r="Y1996" i="22"/>
  <c r="Q2018" i="22"/>
  <c r="Y2018" i="22"/>
  <c r="Q2034" i="22"/>
  <c r="X2090" i="22"/>
  <c r="AA2090" i="22" s="1"/>
  <c r="Y2090" i="22" s="1"/>
  <c r="AA2094" i="22"/>
  <c r="Y2094" i="22" s="1"/>
  <c r="X2094" i="22"/>
  <c r="X2109" i="22"/>
  <c r="Y2112" i="22"/>
  <c r="Q2126" i="22"/>
  <c r="AA2132" i="22"/>
  <c r="Y2132" i="22" s="1"/>
  <c r="X2138" i="22"/>
  <c r="AA2138" i="22" s="1"/>
  <c r="AB2138" i="22"/>
  <c r="Q2138" i="22" s="1"/>
  <c r="Y1999" i="22"/>
  <c r="Y1935" i="22"/>
  <c r="Q2194" i="22"/>
  <c r="Y2195" i="22"/>
  <c r="AB2195" i="22" s="1"/>
  <c r="Q2179" i="22"/>
  <c r="Q1939" i="22"/>
  <c r="Y1939" i="22"/>
  <c r="Y1949" i="22"/>
  <c r="Q1956" i="22"/>
  <c r="Y1956" i="22"/>
  <c r="Q1966" i="22"/>
  <c r="Y1966" i="22"/>
  <c r="Q1970" i="22"/>
  <c r="Y1970" i="22"/>
  <c r="Y1979" i="22"/>
  <c r="Y1986" i="22"/>
  <c r="Q2000" i="22"/>
  <c r="Y2028" i="22"/>
  <c r="Q2035" i="22"/>
  <c r="Y2035" i="22"/>
  <c r="Q2079" i="22"/>
  <c r="Q2083" i="22"/>
  <c r="Y2083" i="22"/>
  <c r="X2087" i="22"/>
  <c r="Y2106" i="22"/>
  <c r="AB2106" i="22" s="1"/>
  <c r="Q2106" i="22" s="1"/>
  <c r="Y2123" i="22"/>
  <c r="AB2123" i="22" s="1"/>
  <c r="Q2123" i="22" s="1"/>
  <c r="AA2127" i="22"/>
  <c r="X2132" i="22"/>
  <c r="Y2135" i="22"/>
  <c r="AB2135" i="22" s="1"/>
  <c r="Q2135" i="22" s="1"/>
  <c r="Y2138" i="22"/>
  <c r="Q2142" i="22"/>
  <c r="Y2093" i="22"/>
  <c r="Y2016" i="22"/>
  <c r="Y1952" i="22"/>
  <c r="AB2190" i="22"/>
  <c r="Q2190" i="22"/>
  <c r="Q1933" i="22"/>
  <c r="Y1933" i="22"/>
  <c r="Q1946" i="22"/>
  <c r="Y1946" i="22"/>
  <c r="Q1964" i="22"/>
  <c r="Q1973" i="22"/>
  <c r="Y1973" i="22"/>
  <c r="Y1990" i="22"/>
  <c r="Q1993" i="22"/>
  <c r="Y2006" i="22"/>
  <c r="Q2009" i="22"/>
  <c r="Q2012" i="22"/>
  <c r="Y2012" i="22"/>
  <c r="Q2015" i="22"/>
  <c r="Q2019" i="22"/>
  <c r="Y2019" i="22"/>
  <c r="Q2025" i="22"/>
  <c r="Q2076" i="22"/>
  <c r="Y2076" i="22"/>
  <c r="AB2098" i="22"/>
  <c r="AA2107" i="22"/>
  <c r="Y2107" i="22" s="1"/>
  <c r="AB2107" i="22" s="1"/>
  <c r="Q2107" i="22" s="1"/>
  <c r="X2130" i="22"/>
  <c r="AA2130" i="22" s="1"/>
  <c r="Y2130" i="22" s="1"/>
  <c r="AB2127" i="22"/>
  <c r="Q2127" i="22" s="1"/>
  <c r="Q2098" i="22"/>
  <c r="Y2079" i="22"/>
  <c r="Y2015" i="22"/>
  <c r="Y1969" i="22"/>
  <c r="Y1951" i="22"/>
  <c r="Q2178" i="22"/>
  <c r="AB2168" i="22"/>
  <c r="Q2168" i="22"/>
  <c r="AB2173" i="22"/>
  <c r="Q2173" i="22"/>
  <c r="Y1687" i="22"/>
  <c r="Y1708" i="22"/>
  <c r="X1717" i="22"/>
  <c r="AA1717" i="22" s="1"/>
  <c r="Y1717" i="22" s="1"/>
  <c r="Y1733" i="22"/>
  <c r="X1756" i="22"/>
  <c r="X1760" i="22"/>
  <c r="AA1760" i="22" s="1"/>
  <c r="R1760" i="22" s="1"/>
  <c r="Q1760" i="22" s="1"/>
  <c r="X1797" i="22"/>
  <c r="R1799" i="22"/>
  <c r="Q1799" i="22" s="1"/>
  <c r="Y1803" i="22"/>
  <c r="AA1836" i="22"/>
  <c r="R1836" i="22" s="1"/>
  <c r="Q1836" i="22" s="1"/>
  <c r="Y1861" i="22"/>
  <c r="X1873" i="22"/>
  <c r="X1882" i="22"/>
  <c r="AA1882" i="22" s="1"/>
  <c r="Y1884" i="22"/>
  <c r="Q1934" i="22"/>
  <c r="Y1934" i="22"/>
  <c r="Q1950" i="22"/>
  <c r="Y1950" i="22"/>
  <c r="Q1957" i="22"/>
  <c r="Y1957" i="22"/>
  <c r="Q1967" i="22"/>
  <c r="Q1971" i="22"/>
  <c r="Q1980" i="22"/>
  <c r="Y1980" i="22"/>
  <c r="Q1987" i="22"/>
  <c r="Y1987" i="22"/>
  <c r="Y1997" i="22"/>
  <c r="Q2001" i="22"/>
  <c r="Y2059" i="22"/>
  <c r="Q2063" i="22"/>
  <c r="Q2067" i="22"/>
  <c r="Y2067" i="22"/>
  <c r="Q2070" i="22"/>
  <c r="Y2070" i="22"/>
  <c r="Q2073" i="22"/>
  <c r="X2121" i="22"/>
  <c r="AA2121" i="22" s="1"/>
  <c r="Y2121" i="22" s="1"/>
  <c r="X2124" i="22"/>
  <c r="AA2124" i="22" s="1"/>
  <c r="Y2124" i="22" s="1"/>
  <c r="Y2127" i="22"/>
  <c r="Y2073" i="22"/>
  <c r="Y2055" i="22"/>
  <c r="Y2032" i="22"/>
  <c r="Y2009" i="22"/>
  <c r="Y1968" i="22"/>
  <c r="Y1945" i="22"/>
  <c r="Y1799" i="22"/>
  <c r="AB2161" i="22"/>
  <c r="Q2161" i="22"/>
  <c r="Q2163" i="22"/>
  <c r="Y2163" i="22"/>
  <c r="AB2163" i="22" s="1"/>
  <c r="Y2186" i="22"/>
  <c r="AB2186" i="22" s="1"/>
  <c r="AA2113" i="22"/>
  <c r="Y2113" i="22" s="1"/>
  <c r="Y2099" i="22"/>
  <c r="AB2101" i="22"/>
  <c r="Q2101" i="22" s="1"/>
  <c r="Q2111" i="22"/>
  <c r="Y2078" i="22"/>
  <c r="Y2062" i="22"/>
  <c r="Y2054" i="22"/>
  <c r="Y2154" i="22"/>
  <c r="AB2154" i="22" s="1"/>
  <c r="AB2201" i="22"/>
  <c r="Q2201" i="22"/>
  <c r="Y2192" i="22"/>
  <c r="AB2192" i="22" s="1"/>
  <c r="Q2170" i="22"/>
  <c r="Y2170" i="22"/>
  <c r="AB2170" i="22" s="1"/>
  <c r="X2088" i="22"/>
  <c r="AA2088" i="22" s="1"/>
  <c r="Y2088" i="22" s="1"/>
  <c r="X2091" i="22"/>
  <c r="X2110" i="22"/>
  <c r="AA2110" i="22" s="1"/>
  <c r="Y2110" i="22" s="1"/>
  <c r="X2113" i="22"/>
  <c r="AB2113" i="22" s="1"/>
  <c r="Q2113" i="22" s="1"/>
  <c r="X2116" i="22"/>
  <c r="AA2116" i="22" s="1"/>
  <c r="Y2116" i="22" s="1"/>
  <c r="AA2128" i="22"/>
  <c r="Y2128" i="22" s="1"/>
  <c r="AB2128" i="22" s="1"/>
  <c r="Q2128" i="22" s="1"/>
  <c r="AB2108" i="22"/>
  <c r="Q2108" i="22" s="1"/>
  <c r="Y2069" i="22"/>
  <c r="Y2061" i="22"/>
  <c r="Q2158" i="22"/>
  <c r="Q2187" i="22"/>
  <c r="Y2187" i="22"/>
  <c r="AB2187" i="22" s="1"/>
  <c r="Q2146" i="22"/>
  <c r="Y2146" i="22"/>
  <c r="AB2146" i="22" s="1"/>
  <c r="AB2198" i="22"/>
  <c r="Q2198" i="22"/>
  <c r="Q2026" i="22"/>
  <c r="Q2036" i="22"/>
  <c r="Q2040" i="22"/>
  <c r="Q2047" i="22"/>
  <c r="AA2140" i="22"/>
  <c r="Y2140" i="22" s="1"/>
  <c r="Y2084" i="22"/>
  <c r="Y2036" i="22"/>
  <c r="AB2181" i="22"/>
  <c r="Q2181" i="22"/>
  <c r="Q2197" i="22"/>
  <c r="Y2149" i="22"/>
  <c r="AB2149" i="22" s="1"/>
  <c r="Q2066" i="22"/>
  <c r="Q2072" i="22"/>
  <c r="AA2120" i="22"/>
  <c r="Y2120" i="22" s="1"/>
  <c r="AB2120" i="22" s="1"/>
  <c r="Q2120" i="22" s="1"/>
  <c r="AA2137" i="22"/>
  <c r="Y2137" i="22" s="1"/>
  <c r="AB2137" i="22" s="1"/>
  <c r="Q2137" i="22" s="1"/>
  <c r="X2140" i="22"/>
  <c r="AB2140" i="22" s="1"/>
  <c r="Q2140" i="22" s="1"/>
  <c r="AB2122" i="22"/>
  <c r="Q2122" i="22" s="1"/>
  <c r="Y2043" i="22"/>
  <c r="AB2165" i="22"/>
  <c r="Q2165" i="22"/>
  <c r="Y2148" i="22"/>
  <c r="AB2148" i="22" s="1"/>
  <c r="Q2171" i="22"/>
  <c r="Y2171" i="22"/>
  <c r="AB2171" i="22" s="1"/>
  <c r="Q2174" i="22"/>
  <c r="Y2174" i="22"/>
  <c r="AB2174" i="22" s="1"/>
  <c r="Q2037" i="22"/>
  <c r="Q2044" i="22"/>
  <c r="Q2051" i="22"/>
  <c r="Q2075" i="22"/>
  <c r="Q2082" i="22"/>
  <c r="AA2104" i="22"/>
  <c r="Y2104" i="22" s="1"/>
  <c r="AB2104" i="22" s="1"/>
  <c r="Q2104" i="22" s="1"/>
  <c r="AA2129" i="22"/>
  <c r="Y2129" i="22" s="1"/>
  <c r="AB2129" i="22" s="1"/>
  <c r="Q2129" i="22" s="1"/>
  <c r="AB2097" i="22"/>
  <c r="Q2097" i="22" s="1"/>
  <c r="AB2089" i="22"/>
  <c r="Q2089" i="22" s="1"/>
  <c r="Y2082" i="22"/>
  <c r="Y2066" i="22"/>
  <c r="Y2058" i="22"/>
  <c r="Y2050" i="22"/>
  <c r="Y2026" i="22"/>
  <c r="Q2162" i="22"/>
  <c r="Y2162" i="22"/>
  <c r="AB2162" i="22" s="1"/>
  <c r="Y2182" i="22"/>
  <c r="AB2182" i="22" s="1"/>
  <c r="X387" i="22"/>
  <c r="Q387" i="22" s="1"/>
  <c r="X494" i="22"/>
  <c r="Q494" i="22"/>
  <c r="X527" i="22"/>
  <c r="Q527" i="22" s="1"/>
  <c r="X591" i="22"/>
  <c r="Q591" i="22" s="1"/>
  <c r="X623" i="22"/>
  <c r="Q623" i="22"/>
  <c r="X968" i="22"/>
  <c r="Q968" i="22" s="1"/>
  <c r="X1160" i="22"/>
  <c r="Q1160" i="22" s="1"/>
  <c r="Q1175" i="22"/>
  <c r="X1175" i="22"/>
  <c r="Q9" i="22"/>
  <c r="X11" i="22"/>
  <c r="Q11" i="22" s="1"/>
  <c r="X28" i="22"/>
  <c r="Q28" i="22" s="1"/>
  <c r="Q67" i="22"/>
  <c r="X328" i="22"/>
  <c r="Q328" i="22" s="1"/>
  <c r="Q391" i="22"/>
  <c r="X427" i="22"/>
  <c r="Q427" i="22"/>
  <c r="Q457" i="22"/>
  <c r="X624" i="22"/>
  <c r="Q624" i="22" s="1"/>
  <c r="X646" i="22"/>
  <c r="Q646" i="22"/>
  <c r="X654" i="22"/>
  <c r="Q654" i="22" s="1"/>
  <c r="X665" i="22"/>
  <c r="Q665" i="22" s="1"/>
  <c r="Q336" i="22"/>
  <c r="X426" i="22"/>
  <c r="Q426" i="22" s="1"/>
  <c r="X519" i="22"/>
  <c r="Q519" i="22" s="1"/>
  <c r="X551" i="22"/>
  <c r="Q551" i="22" s="1"/>
  <c r="X605" i="22"/>
  <c r="Q605" i="22" s="1"/>
  <c r="X1046" i="22"/>
  <c r="Q1046" i="22" s="1"/>
  <c r="X1062" i="22"/>
  <c r="Q1062" i="22" s="1"/>
  <c r="X1216" i="22"/>
  <c r="Q1216" i="22" s="1"/>
  <c r="X1220" i="22"/>
  <c r="Q1220" i="22" s="1"/>
  <c r="Q130" i="22"/>
  <c r="X475" i="22"/>
  <c r="Q475" i="22" s="1"/>
  <c r="X509" i="22"/>
  <c r="Q509" i="22" s="1"/>
  <c r="X573" i="22"/>
  <c r="Q573" i="22" s="1"/>
  <c r="X616" i="22"/>
  <c r="Q616" i="22" s="1"/>
  <c r="X655" i="22"/>
  <c r="Q655" i="22" s="1"/>
  <c r="Q1005" i="22"/>
  <c r="X1005" i="22"/>
  <c r="X345" i="22"/>
  <c r="Q345" i="22" s="1"/>
  <c r="X411" i="22"/>
  <c r="Q411" i="22" s="1"/>
  <c r="X476" i="22"/>
  <c r="Q476" i="22" s="1"/>
  <c r="X500" i="22"/>
  <c r="Q500" i="22" s="1"/>
  <c r="X510" i="22"/>
  <c r="Q510" i="22" s="1"/>
  <c r="X533" i="22"/>
  <c r="Q533" i="22" s="1"/>
  <c r="X542" i="22"/>
  <c r="Q542" i="22"/>
  <c r="X565" i="22"/>
  <c r="Q565" i="22" s="1"/>
  <c r="X574" i="22"/>
  <c r="Q574" i="22" s="1"/>
  <c r="X597" i="22"/>
  <c r="Q597" i="22" s="1"/>
  <c r="X606" i="22"/>
  <c r="Q606" i="22" s="1"/>
  <c r="X656" i="22"/>
  <c r="Q656" i="22" s="1"/>
  <c r="X453" i="22"/>
  <c r="Q453" i="22" s="1"/>
  <c r="X559" i="22"/>
  <c r="Q559" i="22" s="1"/>
  <c r="X410" i="22"/>
  <c r="Q410" i="22" s="1"/>
  <c r="X583" i="22"/>
  <c r="Q583" i="22" s="1"/>
  <c r="X901" i="22"/>
  <c r="Q901" i="22" s="1"/>
  <c r="X1017" i="22"/>
  <c r="Q1017" i="22" s="1"/>
  <c r="X307" i="22"/>
  <c r="Q307" i="22" s="1"/>
  <c r="X357" i="22"/>
  <c r="Q357" i="22" s="1"/>
  <c r="Q30" i="22"/>
  <c r="X33" i="22"/>
  <c r="Q33" i="22" s="1"/>
  <c r="Q300" i="22"/>
  <c r="Q308" i="22"/>
  <c r="Q318" i="22"/>
  <c r="Q326" i="22"/>
  <c r="Q330" i="22"/>
  <c r="Q347" i="22"/>
  <c r="Q351" i="22"/>
  <c r="Q368" i="22"/>
  <c r="Q384" i="22"/>
  <c r="X393" i="22"/>
  <c r="Q393" i="22" s="1"/>
  <c r="Q412" i="22"/>
  <c r="X420" i="22"/>
  <c r="Q420" i="22" s="1"/>
  <c r="X440" i="22"/>
  <c r="Q440" i="22" s="1"/>
  <c r="X459" i="22"/>
  <c r="Q459" i="22" s="1"/>
  <c r="X477" i="22"/>
  <c r="Q477" i="22" s="1"/>
  <c r="X511" i="22"/>
  <c r="Q511" i="22" s="1"/>
  <c r="X543" i="22"/>
  <c r="Q543" i="22"/>
  <c r="X575" i="22"/>
  <c r="Q575" i="22" s="1"/>
  <c r="X607" i="22"/>
  <c r="Q607" i="22" s="1"/>
  <c r="X630" i="22"/>
  <c r="Q630" i="22" s="1"/>
  <c r="X638" i="22"/>
  <c r="Q638" i="22" s="1"/>
  <c r="X648" i="22"/>
  <c r="Q648" i="22" s="1"/>
  <c r="X906" i="22"/>
  <c r="Q906" i="22" s="1"/>
  <c r="X984" i="22"/>
  <c r="Q984" i="22" s="1"/>
  <c r="X1030" i="22"/>
  <c r="Q1030" i="22" s="1"/>
  <c r="Q366" i="22"/>
  <c r="Q338" i="22"/>
  <c r="Q374" i="22"/>
  <c r="X436" i="22"/>
  <c r="Q436" i="22"/>
  <c r="X486" i="22"/>
  <c r="Q486" i="22" s="1"/>
  <c r="X541" i="22"/>
  <c r="Q541" i="22" s="1"/>
  <c r="Q138" i="22"/>
  <c r="Q359" i="22"/>
  <c r="Q376" i="22"/>
  <c r="X394" i="22"/>
  <c r="Q394" i="22"/>
  <c r="Q424" i="22"/>
  <c r="X460" i="22"/>
  <c r="Q460" i="22" s="1"/>
  <c r="X639" i="22"/>
  <c r="Q639" i="22" s="1"/>
  <c r="X886" i="22"/>
  <c r="Q886" i="22" s="1"/>
  <c r="Q349" i="22"/>
  <c r="Q16" i="22"/>
  <c r="Q301" i="22"/>
  <c r="Q319" i="22"/>
  <c r="Q327" i="22"/>
  <c r="Q335" i="22"/>
  <c r="Q340" i="22"/>
  <c r="Q395" i="22"/>
  <c r="X404" i="22"/>
  <c r="Q404" i="22" s="1"/>
  <c r="Q434" i="22"/>
  <c r="X442" i="22"/>
  <c r="Q442" i="22" s="1"/>
  <c r="Q461" i="22"/>
  <c r="X469" i="22"/>
  <c r="Q469" i="22" s="1"/>
  <c r="X492" i="22"/>
  <c r="Q492" i="22" s="1"/>
  <c r="X503" i="22"/>
  <c r="Q503" i="22" s="1"/>
  <c r="X525" i="22"/>
  <c r="Q525" i="22" s="1"/>
  <c r="X535" i="22"/>
  <c r="Q535" i="22" s="1"/>
  <c r="X557" i="22"/>
  <c r="Q557" i="22" s="1"/>
  <c r="X567" i="22"/>
  <c r="Q567" i="22" s="1"/>
  <c r="X589" i="22"/>
  <c r="Q589" i="22"/>
  <c r="X599" i="22"/>
  <c r="Q599" i="22" s="1"/>
  <c r="X640" i="22"/>
  <c r="Q640" i="22" s="1"/>
  <c r="X662" i="22"/>
  <c r="Q662" i="22" s="1"/>
  <c r="Q99" i="22"/>
  <c r="AD99" i="22" s="1"/>
  <c r="X360" i="22"/>
  <c r="Q360" i="22" s="1"/>
  <c r="X377" i="22"/>
  <c r="Q377" i="22"/>
  <c r="Q408" i="22"/>
  <c r="X443" i="22"/>
  <c r="Q443" i="22" s="1"/>
  <c r="Q473" i="22"/>
  <c r="X483" i="22"/>
  <c r="Q483" i="22" s="1"/>
  <c r="X493" i="22"/>
  <c r="Q493" i="22" s="1"/>
  <c r="X517" i="22"/>
  <c r="Q517" i="22"/>
  <c r="X526" i="22"/>
  <c r="Q526" i="22" s="1"/>
  <c r="X549" i="22"/>
  <c r="Q549" i="22" s="1"/>
  <c r="X558" i="22"/>
  <c r="Q558" i="22"/>
  <c r="X581" i="22"/>
  <c r="Q581" i="22" s="1"/>
  <c r="X590" i="22"/>
  <c r="Q590" i="22" s="1"/>
  <c r="X613" i="22"/>
  <c r="Q613" i="22" s="1"/>
  <c r="X622" i="22"/>
  <c r="Q622" i="22"/>
  <c r="X632" i="22"/>
  <c r="Q632" i="22" s="1"/>
  <c r="Q490" i="22"/>
  <c r="Q507" i="22"/>
  <c r="Q523" i="22"/>
  <c r="Q539" i="22"/>
  <c r="Q555" i="22"/>
  <c r="Q571" i="22"/>
  <c r="Q587" i="22"/>
  <c r="Q603" i="22"/>
  <c r="Q620" i="22"/>
  <c r="Q636" i="22"/>
  <c r="Q652" i="22"/>
  <c r="Q670" i="22"/>
  <c r="X689" i="22"/>
  <c r="Q689" i="22" s="1"/>
  <c r="Q697" i="22"/>
  <c r="Q704" i="22"/>
  <c r="X723" i="22"/>
  <c r="Q723" i="22" s="1"/>
  <c r="Q730" i="22"/>
  <c r="Q737" i="22"/>
  <c r="X755" i="22"/>
  <c r="Q755" i="22" s="1"/>
  <c r="Q763" i="22"/>
  <c r="Q770" i="22"/>
  <c r="X788" i="22"/>
  <c r="Q788" i="22" s="1"/>
  <c r="Q795" i="22"/>
  <c r="Q802" i="22"/>
  <c r="X822" i="22"/>
  <c r="Q822" i="22" s="1"/>
  <c r="Q829" i="22"/>
  <c r="Q836" i="22"/>
  <c r="X855" i="22"/>
  <c r="Q855" i="22" s="1"/>
  <c r="Q862" i="22"/>
  <c r="Q870" i="22"/>
  <c r="X902" i="22"/>
  <c r="Q902" i="22"/>
  <c r="X1006" i="22"/>
  <c r="Q1006" i="22" s="1"/>
  <c r="X1029" i="22"/>
  <c r="Q1029" i="22" s="1"/>
  <c r="X1041" i="22"/>
  <c r="Q1041" i="22" s="1"/>
  <c r="X1113" i="22"/>
  <c r="Q1113" i="22" s="1"/>
  <c r="X1136" i="22"/>
  <c r="Q1136" i="22" s="1"/>
  <c r="X1161" i="22"/>
  <c r="Q1161" i="22" s="1"/>
  <c r="Q1165" i="22"/>
  <c r="Q358" i="22"/>
  <c r="Q375" i="22"/>
  <c r="Q491" i="22"/>
  <c r="Q637" i="22"/>
  <c r="X698" i="22"/>
  <c r="Q698" i="22" s="1"/>
  <c r="Q712" i="22"/>
  <c r="Q731" i="22"/>
  <c r="X731" i="22"/>
  <c r="X764" i="22"/>
  <c r="Q764" i="22" s="1"/>
  <c r="X796" i="22"/>
  <c r="Q796" i="22" s="1"/>
  <c r="X830" i="22"/>
  <c r="Q830" i="22" s="1"/>
  <c r="Q845" i="22"/>
  <c r="Q863" i="22"/>
  <c r="X863" i="22"/>
  <c r="Q1013" i="22"/>
  <c r="X1013" i="22"/>
  <c r="X1025" i="22"/>
  <c r="Q1025" i="22"/>
  <c r="X1178" i="22"/>
  <c r="Q1178" i="22" s="1"/>
  <c r="X1248" i="22"/>
  <c r="Q1248" i="22" s="1"/>
  <c r="X1408" i="22"/>
  <c r="Q1408" i="22"/>
  <c r="X358" i="22"/>
  <c r="X375" i="22"/>
  <c r="X392" i="22"/>
  <c r="Q392" i="22" s="1"/>
  <c r="X409" i="22"/>
  <c r="Q409" i="22" s="1"/>
  <c r="X425" i="22"/>
  <c r="Q425" i="22" s="1"/>
  <c r="X441" i="22"/>
  <c r="Q441" i="22" s="1"/>
  <c r="X458" i="22"/>
  <c r="Q458" i="22" s="1"/>
  <c r="X474" i="22"/>
  <c r="Q474" i="22" s="1"/>
  <c r="X491" i="22"/>
  <c r="X508" i="22"/>
  <c r="Q508" i="22" s="1"/>
  <c r="X524" i="22"/>
  <c r="Q524" i="22" s="1"/>
  <c r="X540" i="22"/>
  <c r="Q540" i="22" s="1"/>
  <c r="X556" i="22"/>
  <c r="Q556" i="22" s="1"/>
  <c r="X572" i="22"/>
  <c r="Q572" i="22" s="1"/>
  <c r="X588" i="22"/>
  <c r="Q588" i="22" s="1"/>
  <c r="X604" i="22"/>
  <c r="Q604" i="22" s="1"/>
  <c r="X621" i="22"/>
  <c r="Q621" i="22" s="1"/>
  <c r="X637" i="22"/>
  <c r="X653" i="22"/>
  <c r="Q653" i="22" s="1"/>
  <c r="X671" i="22"/>
  <c r="Q671" i="22" s="1"/>
  <c r="X678" i="22"/>
  <c r="Q678" i="22" s="1"/>
  <c r="Q691" i="22"/>
  <c r="Q699" i="22"/>
  <c r="X705" i="22"/>
  <c r="Q705" i="22" s="1"/>
  <c r="X712" i="22"/>
  <c r="Q725" i="22"/>
  <c r="Q732" i="22"/>
  <c r="X738" i="22"/>
  <c r="Q738" i="22" s="1"/>
  <c r="X745" i="22"/>
  <c r="Q745" i="22" s="1"/>
  <c r="Q757" i="22"/>
  <c r="Q765" i="22"/>
  <c r="X771" i="22"/>
  <c r="Q771" i="22" s="1"/>
  <c r="X778" i="22"/>
  <c r="Q778" i="22" s="1"/>
  <c r="Q790" i="22"/>
  <c r="Q797" i="22"/>
  <c r="X803" i="22"/>
  <c r="Q803" i="22" s="1"/>
  <c r="X812" i="22"/>
  <c r="Q812" i="22" s="1"/>
  <c r="Q824" i="22"/>
  <c r="Q831" i="22"/>
  <c r="X837" i="22"/>
  <c r="Q837" i="22" s="1"/>
  <c r="X845" i="22"/>
  <c r="X872" i="22"/>
  <c r="Q872" i="22" s="1"/>
  <c r="X879" i="22"/>
  <c r="Q879" i="22" s="1"/>
  <c r="X888" i="22"/>
  <c r="Q888" i="22" s="1"/>
  <c r="X898" i="22"/>
  <c r="Q898" i="22" s="1"/>
  <c r="X915" i="22"/>
  <c r="Q915" i="22" s="1"/>
  <c r="X1014" i="22"/>
  <c r="Q1014" i="22" s="1"/>
  <c r="X1037" i="22"/>
  <c r="Q1037" i="22" s="1"/>
  <c r="X1054" i="22"/>
  <c r="Q1054" i="22" s="1"/>
  <c r="X1118" i="22"/>
  <c r="Q1118" i="22" s="1"/>
  <c r="X1207" i="22"/>
  <c r="Q1207" i="22" s="1"/>
  <c r="X1212" i="22"/>
  <c r="Q1212" i="22" s="1"/>
  <c r="Q400" i="22"/>
  <c r="Q416" i="22"/>
  <c r="Q432" i="22"/>
  <c r="Q449" i="22"/>
  <c r="Q465" i="22"/>
  <c r="Q481" i="22"/>
  <c r="Q498" i="22"/>
  <c r="Q515" i="22"/>
  <c r="Q531" i="22"/>
  <c r="Q547" i="22"/>
  <c r="Q563" i="22"/>
  <c r="Q579" i="22"/>
  <c r="Q595" i="22"/>
  <c r="Q611" i="22"/>
  <c r="Q628" i="22"/>
  <c r="Q644" i="22"/>
  <c r="Q660" i="22"/>
  <c r="X672" i="22"/>
  <c r="Q672" i="22" s="1"/>
  <c r="Q679" i="22"/>
  <c r="Q687" i="22"/>
  <c r="X706" i="22"/>
  <c r="Q706" i="22" s="1"/>
  <c r="Q714" i="22"/>
  <c r="Q721" i="22"/>
  <c r="Q739" i="22"/>
  <c r="X739" i="22"/>
  <c r="Q746" i="22"/>
  <c r="Q753" i="22"/>
  <c r="X772" i="22"/>
  <c r="Q772" i="22" s="1"/>
  <c r="Q779" i="22"/>
  <c r="Q786" i="22"/>
  <c r="Q804" i="22"/>
  <c r="X804" i="22"/>
  <c r="Q813" i="22"/>
  <c r="Q820" i="22"/>
  <c r="X838" i="22"/>
  <c r="Q838" i="22" s="1"/>
  <c r="Q846" i="22"/>
  <c r="Q853" i="22"/>
  <c r="Q873" i="22"/>
  <c r="X873" i="22"/>
  <c r="Q880" i="22"/>
  <c r="Q933" i="22"/>
  <c r="Q1000" i="22"/>
  <c r="X1009" i="22"/>
  <c r="Q1009" i="22" s="1"/>
  <c r="X1038" i="22"/>
  <c r="Q1038" i="22" s="1"/>
  <c r="X1070" i="22"/>
  <c r="Q1070" i="22" s="1"/>
  <c r="Q1080" i="22"/>
  <c r="X1080" i="22"/>
  <c r="Q1153" i="22"/>
  <c r="Q1183" i="22"/>
  <c r="X1208" i="22"/>
  <c r="Q1208" i="22" s="1"/>
  <c r="X917" i="22"/>
  <c r="Q917" i="22"/>
  <c r="Q1021" i="22"/>
  <c r="X1021" i="22"/>
  <c r="X1033" i="22"/>
  <c r="Q1033" i="22"/>
  <c r="X1096" i="22"/>
  <c r="Q1096" i="22" s="1"/>
  <c r="X1110" i="22"/>
  <c r="Q1110" i="22" s="1"/>
  <c r="Q350" i="22"/>
  <c r="Q367" i="22"/>
  <c r="Q383" i="22"/>
  <c r="Q401" i="22"/>
  <c r="Q417" i="22"/>
  <c r="Q433" i="22"/>
  <c r="Q450" i="22"/>
  <c r="Q466" i="22"/>
  <c r="Q482" i="22"/>
  <c r="Q499" i="22"/>
  <c r="Q516" i="22"/>
  <c r="Q532" i="22"/>
  <c r="Q548" i="22"/>
  <c r="Q564" i="22"/>
  <c r="Q580" i="22"/>
  <c r="Q596" i="22"/>
  <c r="Q612" i="22"/>
  <c r="Q629" i="22"/>
  <c r="Q645" i="22"/>
  <c r="Q661" i="22"/>
  <c r="Q681" i="22"/>
  <c r="X681" i="22"/>
  <c r="Q688" i="22"/>
  <c r="Q696" i="22"/>
  <c r="Q715" i="22"/>
  <c r="X715" i="22"/>
  <c r="Q722" i="22"/>
  <c r="Q729" i="22"/>
  <c r="Q747" i="22"/>
  <c r="X747" i="22"/>
  <c r="Q754" i="22"/>
  <c r="Q762" i="22"/>
  <c r="Q780" i="22"/>
  <c r="X780" i="22"/>
  <c r="Q787" i="22"/>
  <c r="Q794" i="22"/>
  <c r="Q814" i="22"/>
  <c r="X814" i="22"/>
  <c r="Q821" i="22"/>
  <c r="Q828" i="22"/>
  <c r="Q847" i="22"/>
  <c r="X847" i="22"/>
  <c r="Q854" i="22"/>
  <c r="Q861" i="22"/>
  <c r="Q881" i="22"/>
  <c r="X881" i="22"/>
  <c r="Q890" i="22"/>
  <c r="Q893" i="22"/>
  <c r="Q1022" i="22"/>
  <c r="X1022" i="22"/>
  <c r="X1072" i="22"/>
  <c r="Q1072" i="22" s="1"/>
  <c r="X1097" i="22"/>
  <c r="Q1097" i="22" s="1"/>
  <c r="Q1101" i="22"/>
  <c r="X1134" i="22"/>
  <c r="Q1134" i="22" s="1"/>
  <c r="X1144" i="22"/>
  <c r="Q1144" i="22" s="1"/>
  <c r="X1088" i="22"/>
  <c r="Q1088" i="22" s="1"/>
  <c r="Q1109" i="22"/>
  <c r="Q1126" i="22"/>
  <c r="X1152" i="22"/>
  <c r="Q1152" i="22" s="1"/>
  <c r="Q1174" i="22"/>
  <c r="X1195" i="22"/>
  <c r="Q1195" i="22" s="1"/>
  <c r="X1293" i="22"/>
  <c r="Q1293" i="22" s="1"/>
  <c r="X1311" i="22"/>
  <c r="Q1311" i="22"/>
  <c r="X1352" i="22"/>
  <c r="Q1352" i="22" s="1"/>
  <c r="X2141" i="22"/>
  <c r="AA2141" i="22" s="1"/>
  <c r="Y2141" i="22" s="1"/>
  <c r="Q899" i="22"/>
  <c r="Q911" i="22"/>
  <c r="Q914" i="22"/>
  <c r="Q926" i="22"/>
  <c r="Q934" i="22"/>
  <c r="Q945" i="22"/>
  <c r="Q953" i="22"/>
  <c r="Q961" i="22"/>
  <c r="Q969" i="22"/>
  <c r="Q977" i="22"/>
  <c r="Q985" i="22"/>
  <c r="Q993" i="22"/>
  <c r="Q1001" i="22"/>
  <c r="Q1073" i="22"/>
  <c r="Q1085" i="22"/>
  <c r="Q1102" i="22"/>
  <c r="X1128" i="22"/>
  <c r="Q1128" i="22" s="1"/>
  <c r="Q1137" i="22"/>
  <c r="Q1149" i="22"/>
  <c r="Q1166" i="22"/>
  <c r="X1197" i="22"/>
  <c r="Q1197" i="22" s="1"/>
  <c r="X1265" i="22"/>
  <c r="Q1265" i="22" s="1"/>
  <c r="Q907" i="22"/>
  <c r="Q919" i="22"/>
  <c r="Q922" i="22"/>
  <c r="Q930" i="22"/>
  <c r="Q938" i="22"/>
  <c r="Q949" i="22"/>
  <c r="Q957" i="22"/>
  <c r="Q965" i="22"/>
  <c r="Q973" i="22"/>
  <c r="Q981" i="22"/>
  <c r="Q989" i="22"/>
  <c r="Q997" i="22"/>
  <c r="X1120" i="22"/>
  <c r="Q1120" i="22" s="1"/>
  <c r="X1185" i="22"/>
  <c r="Q1185" i="22" s="1"/>
  <c r="X1199" i="22"/>
  <c r="Q1199" i="22" s="1"/>
  <c r="X1228" i="22"/>
  <c r="Q1228" i="22"/>
  <c r="X1244" i="22"/>
  <c r="Q1244" i="22" s="1"/>
  <c r="X1285" i="22"/>
  <c r="Q1285" i="22"/>
  <c r="X1690" i="22"/>
  <c r="AA1690" i="22" s="1"/>
  <c r="R1690" i="22" s="1"/>
  <c r="Q1690" i="22" s="1"/>
  <c r="Q1045" i="22"/>
  <c r="X1094" i="22"/>
  <c r="Q1094" i="22" s="1"/>
  <c r="Q1112" i="22"/>
  <c r="X1112" i="22"/>
  <c r="X1158" i="22"/>
  <c r="Q1158" i="22" s="1"/>
  <c r="X1177" i="22"/>
  <c r="Q1177" i="22" s="1"/>
  <c r="X1200" i="22"/>
  <c r="Q1200" i="22" s="1"/>
  <c r="X1240" i="22"/>
  <c r="Q1240" i="22" s="1"/>
  <c r="X1436" i="22"/>
  <c r="Q1436" i="22" s="1"/>
  <c r="Q894" i="22"/>
  <c r="Q923" i="22"/>
  <c r="Q931" i="22"/>
  <c r="Q940" i="22"/>
  <c r="Q950" i="22"/>
  <c r="Q958" i="22"/>
  <c r="Q966" i="22"/>
  <c r="Q974" i="22"/>
  <c r="Q982" i="22"/>
  <c r="Q990" i="22"/>
  <c r="Q998" i="22"/>
  <c r="Q1010" i="22"/>
  <c r="Q1018" i="22"/>
  <c r="Q1026" i="22"/>
  <c r="Q1034" i="22"/>
  <c r="Q1042" i="22"/>
  <c r="X1045" i="22"/>
  <c r="Q1050" i="22"/>
  <c r="X1053" i="22"/>
  <c r="Q1053" i="22" s="1"/>
  <c r="Q1058" i="22"/>
  <c r="X1061" i="22"/>
  <c r="Q1061" i="22" s="1"/>
  <c r="Q1066" i="22"/>
  <c r="Q1078" i="22"/>
  <c r="X1086" i="22"/>
  <c r="Q1086" i="22" s="1"/>
  <c r="X1104" i="22"/>
  <c r="Q1104" i="22" s="1"/>
  <c r="Q1125" i="22"/>
  <c r="Q1142" i="22"/>
  <c r="X1150" i="22"/>
  <c r="Q1150" i="22" s="1"/>
  <c r="X1169" i="22"/>
  <c r="Q1169" i="22" s="1"/>
  <c r="Q1190" i="22"/>
  <c r="Q1191" i="22"/>
  <c r="X1224" i="22"/>
  <c r="Q1224" i="22" s="1"/>
  <c r="X1269" i="22"/>
  <c r="Q1269" i="22" s="1"/>
  <c r="X1335" i="22"/>
  <c r="Q1335" i="22" s="1"/>
  <c r="Q887" i="22"/>
  <c r="Q900" i="22"/>
  <c r="Q908" i="22"/>
  <c r="Q916" i="22"/>
  <c r="Q924" i="22"/>
  <c r="Q932" i="22"/>
  <c r="Q943" i="22"/>
  <c r="Q951" i="22"/>
  <c r="Q959" i="22"/>
  <c r="Q967" i="22"/>
  <c r="Q975" i="22"/>
  <c r="Q991" i="22"/>
  <c r="Q999" i="22"/>
  <c r="Q1007" i="22"/>
  <c r="Q1023" i="22"/>
  <c r="Q1031" i="22"/>
  <c r="Q1039" i="22"/>
  <c r="Q1047" i="22"/>
  <c r="Q1055" i="22"/>
  <c r="Q1063" i="22"/>
  <c r="Q1071" i="22"/>
  <c r="Q1103" i="22"/>
  <c r="Q1111" i="22"/>
  <c r="Q1119" i="22"/>
  <c r="Q1127" i="22"/>
  <c r="Q1135" i="22"/>
  <c r="Q1143" i="22"/>
  <c r="Q1151" i="22"/>
  <c r="Q1168" i="22"/>
  <c r="Q1176" i="22"/>
  <c r="Q1184" i="22"/>
  <c r="Q1204" i="22"/>
  <c r="X1261" i="22"/>
  <c r="Q1261" i="22" s="1"/>
  <c r="X1281" i="22"/>
  <c r="Q1281" i="22" s="1"/>
  <c r="X1327" i="22"/>
  <c r="Q1327" i="22"/>
  <c r="X1404" i="22"/>
  <c r="Q1404" i="22" s="1"/>
  <c r="X1443" i="22"/>
  <c r="Q1443" i="22" s="1"/>
  <c r="X1456" i="22"/>
  <c r="Q1456" i="22" s="1"/>
  <c r="X1236" i="22"/>
  <c r="Q1236" i="22" s="1"/>
  <c r="X1256" i="22"/>
  <c r="Q1256" i="22"/>
  <c r="X1303" i="22"/>
  <c r="Q1303" i="22" s="1"/>
  <c r="Q1313" i="22"/>
  <c r="X1411" i="22"/>
  <c r="Q1411" i="22" s="1"/>
  <c r="X1422" i="22"/>
  <c r="Q1422" i="22"/>
  <c r="Q1193" i="22"/>
  <c r="X1232" i="22"/>
  <c r="Q1232" i="22"/>
  <c r="X1277" i="22"/>
  <c r="Q1277" i="22" s="1"/>
  <c r="X1343" i="22"/>
  <c r="Q1343" i="22" s="1"/>
  <c r="Q1214" i="22"/>
  <c r="X1252" i="22"/>
  <c r="Q1252" i="22" s="1"/>
  <c r="X1273" i="22"/>
  <c r="Q1273" i="22" s="1"/>
  <c r="X1319" i="22"/>
  <c r="Q1319" i="22"/>
  <c r="X1440" i="22"/>
  <c r="Q1440" i="22" s="1"/>
  <c r="Q1379" i="22"/>
  <c r="X1428" i="22"/>
  <c r="Q1428" i="22" s="1"/>
  <c r="X1206" i="22"/>
  <c r="Q1206" i="22" s="1"/>
  <c r="X1214" i="22"/>
  <c r="X1222" i="22"/>
  <c r="Q1222" i="22" s="1"/>
  <c r="X1230" i="22"/>
  <c r="Q1230" i="22" s="1"/>
  <c r="X1238" i="22"/>
  <c r="Q1238" i="22" s="1"/>
  <c r="X1246" i="22"/>
  <c r="Q1246" i="22" s="1"/>
  <c r="X1254" i="22"/>
  <c r="Q1254" i="22" s="1"/>
  <c r="X1263" i="22"/>
  <c r="Q1263" i="22" s="1"/>
  <c r="X1271" i="22"/>
  <c r="Q1271" i="22" s="1"/>
  <c r="X1279" i="22"/>
  <c r="Q1279" i="22" s="1"/>
  <c r="X1287" i="22"/>
  <c r="Q1287" i="22" s="1"/>
  <c r="X1296" i="22"/>
  <c r="Q1296" i="22" s="1"/>
  <c r="X1305" i="22"/>
  <c r="Q1305" i="22" s="1"/>
  <c r="X1313" i="22"/>
  <c r="X1321" i="22"/>
  <c r="Q1321" i="22" s="1"/>
  <c r="X1329" i="22"/>
  <c r="Q1329" i="22" s="1"/>
  <c r="X1337" i="22"/>
  <c r="Q1337" i="22" s="1"/>
  <c r="X1346" i="22"/>
  <c r="Q1346" i="22" s="1"/>
  <c r="X1354" i="22"/>
  <c r="Q1354" i="22" s="1"/>
  <c r="Q1360" i="22"/>
  <c r="X1363" i="22"/>
  <c r="Q1363" i="22" s="1"/>
  <c r="X1366" i="22"/>
  <c r="Q1366" i="22" s="1"/>
  <c r="X1369" i="22"/>
  <c r="Q1369" i="22" s="1"/>
  <c r="Q1376" i="22"/>
  <c r="X1379" i="22"/>
  <c r="X1382" i="22"/>
  <c r="Q1382" i="22" s="1"/>
  <c r="X1385" i="22"/>
  <c r="Q1385" i="22" s="1"/>
  <c r="X1395" i="22"/>
  <c r="Q1395" i="22" s="1"/>
  <c r="X1398" i="22"/>
  <c r="Q1398" i="22" s="1"/>
  <c r="X1403" i="22"/>
  <c r="Q1403" i="22" s="1"/>
  <c r="Q1418" i="22"/>
  <c r="Q1429" i="22"/>
  <c r="X1432" i="22"/>
  <c r="Q1432" i="22" s="1"/>
  <c r="X1435" i="22"/>
  <c r="Q1435" i="22" s="1"/>
  <c r="X1464" i="22"/>
  <c r="Q1464" i="22" s="1"/>
  <c r="X1472" i="22"/>
  <c r="Q1472" i="22" s="1"/>
  <c r="X1480" i="22"/>
  <c r="Q1480" i="22" s="1"/>
  <c r="X1489" i="22"/>
  <c r="Q1489" i="22" s="1"/>
  <c r="X1497" i="22"/>
  <c r="Q1497" i="22" s="1"/>
  <c r="X1506" i="22"/>
  <c r="Q1506" i="22" s="1"/>
  <c r="X1514" i="22"/>
  <c r="Q1514" i="22" s="1"/>
  <c r="X1524" i="22"/>
  <c r="Q1524" i="22" s="1"/>
  <c r="X1532" i="22"/>
  <c r="Q1532" i="22" s="1"/>
  <c r="X1541" i="22"/>
  <c r="Q1541" i="22" s="1"/>
  <c r="X1549" i="22"/>
  <c r="Q1549" i="22" s="1"/>
  <c r="X1558" i="22"/>
  <c r="Q1558" i="22" s="1"/>
  <c r="X1567" i="22"/>
  <c r="Q1567" i="22" s="1"/>
  <c r="X1602" i="22"/>
  <c r="Q1602" i="22" s="1"/>
  <c r="Q1606" i="22"/>
  <c r="X1611" i="22"/>
  <c r="Q1611" i="22" s="1"/>
  <c r="X1678" i="22"/>
  <c r="AA1678" i="22" s="1"/>
  <c r="R1678" i="22" s="1"/>
  <c r="Q1678" i="22" s="1"/>
  <c r="AA1680" i="22"/>
  <c r="R1680" i="22" s="1"/>
  <c r="Q1680" i="22" s="1"/>
  <c r="AA1669" i="22"/>
  <c r="R1669" i="22" s="1"/>
  <c r="Q1669" i="22" s="1"/>
  <c r="X2092" i="22"/>
  <c r="AA2092" i="22" s="1"/>
  <c r="Y2092" i="22" s="1"/>
  <c r="X1405" i="22"/>
  <c r="Q1405" i="22" s="1"/>
  <c r="X1412" i="22"/>
  <c r="Q1412" i="22" s="1"/>
  <c r="X1437" i="22"/>
  <c r="Q1437" i="22" s="1"/>
  <c r="X1445" i="22"/>
  <c r="Q1445" i="22" s="1"/>
  <c r="X1599" i="22"/>
  <c r="Q1599" i="22" s="1"/>
  <c r="AA1771" i="22"/>
  <c r="R1771" i="22" s="1"/>
  <c r="Q1771" i="22" s="1"/>
  <c r="X1771" i="22"/>
  <c r="Q1289" i="22"/>
  <c r="Q1298" i="22"/>
  <c r="Q1307" i="22"/>
  <c r="Q1315" i="22"/>
  <c r="Q1323" i="22"/>
  <c r="Q1331" i="22"/>
  <c r="Q1339" i="22"/>
  <c r="Q1348" i="22"/>
  <c r="Q1356" i="22"/>
  <c r="Q1368" i="22"/>
  <c r="X1371" i="22"/>
  <c r="Q1371" i="22" s="1"/>
  <c r="Q1384" i="22"/>
  <c r="X1387" i="22"/>
  <c r="Q1387" i="22" s="1"/>
  <c r="Q1406" i="22"/>
  <c r="Q1413" i="22"/>
  <c r="Q1424" i="22"/>
  <c r="Q1427" i="22"/>
  <c r="Q1438" i="22"/>
  <c r="Q1446" i="22"/>
  <c r="Q1458" i="22"/>
  <c r="Q1462" i="22"/>
  <c r="Q1470" i="22"/>
  <c r="Q1478" i="22"/>
  <c r="Q1487" i="22"/>
  <c r="Q1495" i="22"/>
  <c r="Q1504" i="22"/>
  <c r="Q1512" i="22"/>
  <c r="Q1522" i="22"/>
  <c r="Q1530" i="22"/>
  <c r="Q1539" i="22"/>
  <c r="Q1547" i="22"/>
  <c r="Q1555" i="22"/>
  <c r="Q1565" i="22"/>
  <c r="X1579" i="22"/>
  <c r="Q1579" i="22" s="1"/>
  <c r="X1588" i="22"/>
  <c r="Q1588" i="22" s="1"/>
  <c r="R1663" i="22"/>
  <c r="Q1663" i="22" s="1"/>
  <c r="R1781" i="22"/>
  <c r="Q1781" i="22" s="1"/>
  <c r="X1788" i="22"/>
  <c r="AA1788" i="22" s="1"/>
  <c r="R1788" i="22" s="1"/>
  <c r="Q1788" i="22" s="1"/>
  <c r="X1420" i="22"/>
  <c r="Q1420" i="22" s="1"/>
  <c r="X1454" i="22"/>
  <c r="Q1454" i="22" s="1"/>
  <c r="X1609" i="22"/>
  <c r="Q1609" i="22" s="1"/>
  <c r="R1700" i="22"/>
  <c r="Q1700" i="22" s="1"/>
  <c r="X1728" i="22"/>
  <c r="AA1728" i="22" s="1"/>
  <c r="R1728" i="22" s="1"/>
  <c r="Q1728" i="22" s="1"/>
  <c r="Q1410" i="22"/>
  <c r="Q1414" i="22"/>
  <c r="Q1421" i="22"/>
  <c r="Q1442" i="22"/>
  <c r="Q1447" i="22"/>
  <c r="Q1455" i="22"/>
  <c r="X1463" i="22"/>
  <c r="Q1463" i="22" s="1"/>
  <c r="Q1471" i="22"/>
  <c r="X1471" i="22"/>
  <c r="X1479" i="22"/>
  <c r="Q1479" i="22" s="1"/>
  <c r="Q1488" i="22"/>
  <c r="X1488" i="22"/>
  <c r="X1496" i="22"/>
  <c r="Q1496" i="22" s="1"/>
  <c r="X1505" i="22"/>
  <c r="Q1505" i="22" s="1"/>
  <c r="X1513" i="22"/>
  <c r="Q1513" i="22" s="1"/>
  <c r="Q1523" i="22"/>
  <c r="X1523" i="22"/>
  <c r="X1531" i="22"/>
  <c r="Q1531" i="22" s="1"/>
  <c r="X1540" i="22"/>
  <c r="Q1540" i="22" s="1"/>
  <c r="X1548" i="22"/>
  <c r="Q1548" i="22" s="1"/>
  <c r="Q1557" i="22"/>
  <c r="X1557" i="22"/>
  <c r="X1566" i="22"/>
  <c r="Q1566" i="22" s="1"/>
  <c r="X1580" i="22"/>
  <c r="Q1580" i="22" s="1"/>
  <c r="X1589" i="22"/>
  <c r="Q1589" i="22" s="1"/>
  <c r="Q1601" i="22"/>
  <c r="Q1610" i="22"/>
  <c r="X1670" i="22"/>
  <c r="AA1670" i="22" s="1"/>
  <c r="R1670" i="22" s="1"/>
  <c r="Q1670" i="22" s="1"/>
  <c r="R1683" i="22"/>
  <c r="Q1683" i="22" s="1"/>
  <c r="AA1677" i="22"/>
  <c r="R1677" i="22" s="1"/>
  <c r="Q1677" i="22" s="1"/>
  <c r="X1677" i="22"/>
  <c r="AA1681" i="22"/>
  <c r="R1681" i="22" s="1"/>
  <c r="Q1681" i="22" s="1"/>
  <c r="R1684" i="22"/>
  <c r="Q1684" i="22" s="1"/>
  <c r="R1691" i="22"/>
  <c r="Q1691" i="22" s="1"/>
  <c r="X1696" i="22"/>
  <c r="AA1696" i="22" s="1"/>
  <c r="R1696" i="22" s="1"/>
  <c r="Q1696" i="22" s="1"/>
  <c r="AA1703" i="22"/>
  <c r="R1703" i="22" s="1"/>
  <c r="Q1703" i="22" s="1"/>
  <c r="AA1715" i="22"/>
  <c r="R1715" i="22" s="1"/>
  <c r="Q1715" i="22" s="1"/>
  <c r="AA1745" i="22"/>
  <c r="R1745" i="22" s="1"/>
  <c r="Q1745" i="22" s="1"/>
  <c r="X1858" i="22"/>
  <c r="AA1858" i="22" s="1"/>
  <c r="Q1858" i="22" s="1"/>
  <c r="Q1600" i="22"/>
  <c r="X1671" i="22"/>
  <c r="AA1671" i="22" s="1"/>
  <c r="R1671" i="22" s="1"/>
  <c r="Q1671" i="22" s="1"/>
  <c r="X1679" i="22"/>
  <c r="AA1679" i="22" s="1"/>
  <c r="X1686" i="22"/>
  <c r="AA1686" i="22" s="1"/>
  <c r="R1686" i="22" s="1"/>
  <c r="Q1686" i="22" s="1"/>
  <c r="AA1688" i="22"/>
  <c r="R1688" i="22" s="1"/>
  <c r="Q1688" i="22" s="1"/>
  <c r="AA1710" i="22"/>
  <c r="R1710" i="22" s="1"/>
  <c r="Q1710" i="22" s="1"/>
  <c r="X1710" i="22"/>
  <c r="R1717" i="22"/>
  <c r="Q1717" i="22" s="1"/>
  <c r="AA1730" i="22"/>
  <c r="R1730" i="22" s="1"/>
  <c r="Q1730" i="22" s="1"/>
  <c r="X1730" i="22"/>
  <c r="X1695" i="22"/>
  <c r="AA1695" i="22" s="1"/>
  <c r="R1695" i="22" s="1"/>
  <c r="Q1695" i="22" s="1"/>
  <c r="AA1697" i="22"/>
  <c r="R1697" i="22" s="1"/>
  <c r="Q1697" i="22" s="1"/>
  <c r="X1753" i="22"/>
  <c r="AA1753" i="22" s="1"/>
  <c r="R1753" i="22" s="1"/>
  <c r="Q1753" i="22" s="1"/>
  <c r="X1786" i="22"/>
  <c r="AA1786" i="22" s="1"/>
  <c r="R1786" i="22" s="1"/>
  <c r="Q1786" i="22" s="1"/>
  <c r="X1687" i="22"/>
  <c r="AA1687" i="22" s="1"/>
  <c r="R1687" i="22" s="1"/>
  <c r="Q1687" i="22" s="1"/>
  <c r="AA1689" i="22"/>
  <c r="R1689" i="22" s="1"/>
  <c r="Q1689" i="22" s="1"/>
  <c r="R1692" i="22"/>
  <c r="Q1692" i="22" s="1"/>
  <c r="AA1711" i="22"/>
  <c r="R1711" i="22" s="1"/>
  <c r="Q1711" i="22" s="1"/>
  <c r="AA1713" i="22"/>
  <c r="R1713" i="22" s="1"/>
  <c r="Q1713" i="22" s="1"/>
  <c r="X1722" i="22"/>
  <c r="AA1722" i="22" s="1"/>
  <c r="R1722" i="22" s="1"/>
  <c r="Q1722" i="22" s="1"/>
  <c r="R1740" i="22"/>
  <c r="Q1740" i="22" s="1"/>
  <c r="AA1816" i="22"/>
  <c r="R1816" i="22" s="1"/>
  <c r="Q1816" i="22" s="1"/>
  <c r="X1816" i="22"/>
  <c r="X1666" i="22"/>
  <c r="AA1666" i="22" s="1"/>
  <c r="R1666" i="22" s="1"/>
  <c r="Q1666" i="22" s="1"/>
  <c r="X1674" i="22"/>
  <c r="AA1674" i="22" s="1"/>
  <c r="R1674" i="22" s="1"/>
  <c r="Q1674" i="22" s="1"/>
  <c r="R1699" i="22"/>
  <c r="Q1699" i="22" s="1"/>
  <c r="X1762" i="22"/>
  <c r="AA1762" i="22" s="1"/>
  <c r="R1774" i="22"/>
  <c r="Q1774" i="22" s="1"/>
  <c r="Q1954" i="22"/>
  <c r="X1727" i="22"/>
  <c r="AA1727" i="22" s="1"/>
  <c r="X1739" i="22"/>
  <c r="AA1739" i="22" s="1"/>
  <c r="R1739" i="22" s="1"/>
  <c r="Q1739" i="22" s="1"/>
  <c r="X1860" i="22"/>
  <c r="AA1860" i="22"/>
  <c r="Q1860" i="22" s="1"/>
  <c r="X1770" i="22"/>
  <c r="AA1770" i="22" s="1"/>
  <c r="R1770" i="22" s="1"/>
  <c r="Q1770" i="22" s="1"/>
  <c r="AA1779" i="22"/>
  <c r="R1779" i="22" s="1"/>
  <c r="Q1779" i="22" s="1"/>
  <c r="X1795" i="22"/>
  <c r="AA1795" i="22" s="1"/>
  <c r="R1795" i="22" s="1"/>
  <c r="Q1795" i="22" s="1"/>
  <c r="X1841" i="22"/>
  <c r="AA1841" i="22"/>
  <c r="Y1841" i="22" s="1"/>
  <c r="X1864" i="22"/>
  <c r="AA1864" i="22" s="1"/>
  <c r="Q1864" i="22" s="1"/>
  <c r="R1704" i="22"/>
  <c r="Q1704" i="22" s="1"/>
  <c r="R1714" i="22"/>
  <c r="Q1714" i="22" s="1"/>
  <c r="AA1720" i="22"/>
  <c r="R1720" i="22" s="1"/>
  <c r="Q1720" i="22" s="1"/>
  <c r="R1731" i="22"/>
  <c r="Q1731" i="22" s="1"/>
  <c r="AA1737" i="22"/>
  <c r="R1737" i="22" s="1"/>
  <c r="Q1737" i="22" s="1"/>
  <c r="X1743" i="22"/>
  <c r="AA1743" i="22" s="1"/>
  <c r="AA1755" i="22"/>
  <c r="R1755" i="22" s="1"/>
  <c r="Q1755" i="22" s="1"/>
  <c r="X1777" i="22"/>
  <c r="AA1777" i="22" s="1"/>
  <c r="R1777" i="22" s="1"/>
  <c r="Q1777" i="22" s="1"/>
  <c r="X1804" i="22"/>
  <c r="AA1804" i="22" s="1"/>
  <c r="R1804" i="22" s="1"/>
  <c r="Q1804" i="22" s="1"/>
  <c r="AA1806" i="22"/>
  <c r="R1806" i="22" s="1"/>
  <c r="Q1806" i="22" s="1"/>
  <c r="AA1818" i="22"/>
  <c r="R1818" i="22" s="1"/>
  <c r="Q1818" i="22" s="1"/>
  <c r="X1862" i="22"/>
  <c r="AA1862" i="22"/>
  <c r="Y1862" i="22" s="1"/>
  <c r="Q1990" i="22"/>
  <c r="Q2031" i="22"/>
  <c r="Q2038" i="22"/>
  <c r="X2100" i="22"/>
  <c r="AA2100" i="22" s="1"/>
  <c r="Y2100" i="22" s="1"/>
  <c r="AA1702" i="22"/>
  <c r="R1702" i="22" s="1"/>
  <c r="Q1702" i="22" s="1"/>
  <c r="AA1712" i="22"/>
  <c r="R1712" i="22" s="1"/>
  <c r="Q1712" i="22" s="1"/>
  <c r="R1716" i="22"/>
  <c r="Q1716" i="22" s="1"/>
  <c r="X1719" i="22"/>
  <c r="AA1719" i="22" s="1"/>
  <c r="R1719" i="22" s="1"/>
  <c r="Q1719" i="22" s="1"/>
  <c r="R1733" i="22"/>
  <c r="Q1733" i="22" s="1"/>
  <c r="X1736" i="22"/>
  <c r="AA1736" i="22" s="1"/>
  <c r="R1736" i="22" s="1"/>
  <c r="Q1736" i="22" s="1"/>
  <c r="R1757" i="22"/>
  <c r="Q1757" i="22" s="1"/>
  <c r="AA1769" i="22"/>
  <c r="R1769" i="22" s="1"/>
  <c r="Q1769" i="22" s="1"/>
  <c r="X1769" i="22"/>
  <c r="AA1780" i="22"/>
  <c r="R1780" i="22" s="1"/>
  <c r="Q1780" i="22" s="1"/>
  <c r="X1796" i="22"/>
  <c r="AA1796" i="22" s="1"/>
  <c r="AA1805" i="22"/>
  <c r="R1805" i="22" s="1"/>
  <c r="Q1805" i="22" s="1"/>
  <c r="Q1869" i="22"/>
  <c r="X2125" i="22"/>
  <c r="X2133" i="22"/>
  <c r="AA2133" i="22" s="1"/>
  <c r="Y2133" i="22" s="1"/>
  <c r="X1709" i="22"/>
  <c r="AA1709" i="22" s="1"/>
  <c r="R1709" i="22" s="1"/>
  <c r="Q1709" i="22" s="1"/>
  <c r="X1715" i="22"/>
  <c r="X1732" i="22"/>
  <c r="AA1732" i="22" s="1"/>
  <c r="R1732" i="22" s="1"/>
  <c r="Q1732" i="22" s="1"/>
  <c r="AA1744" i="22"/>
  <c r="R1744" i="22" s="1"/>
  <c r="Q1744" i="22" s="1"/>
  <c r="X1744" i="22"/>
  <c r="AA1756" i="22"/>
  <c r="R1756" i="22" s="1"/>
  <c r="Q1756" i="22" s="1"/>
  <c r="R1764" i="22"/>
  <c r="Q1764" i="22" s="1"/>
  <c r="R1766" i="22"/>
  <c r="Q1766" i="22" s="1"/>
  <c r="X1778" i="22"/>
  <c r="AA1778" i="22" s="1"/>
  <c r="R1778" i="22" s="1"/>
  <c r="Q1778" i="22" s="1"/>
  <c r="R1790" i="22"/>
  <c r="Q1790" i="22" s="1"/>
  <c r="X1798" i="22"/>
  <c r="AA1798" i="22" s="1"/>
  <c r="R1798" i="22" s="1"/>
  <c r="Q1798" i="22" s="1"/>
  <c r="X1803" i="22"/>
  <c r="AA1803" i="22" s="1"/>
  <c r="R1803" i="22" s="1"/>
  <c r="Q1803" i="22" s="1"/>
  <c r="AA1823" i="22"/>
  <c r="R1823" i="22" s="1"/>
  <c r="Q1823" i="22" s="1"/>
  <c r="X1847" i="22"/>
  <c r="AA1847" i="22"/>
  <c r="Q1847" i="22" s="1"/>
  <c r="X1856" i="22"/>
  <c r="AA1856" i="22" s="1"/>
  <c r="X2114" i="22"/>
  <c r="AA2114" i="22" s="1"/>
  <c r="Y2114" i="22" s="1"/>
  <c r="AA2117" i="22"/>
  <c r="Y2117" i="22" s="1"/>
  <c r="X2117" i="22"/>
  <c r="AA1721" i="22"/>
  <c r="R1721" i="22" s="1"/>
  <c r="Q1721" i="22" s="1"/>
  <c r="AA1738" i="22"/>
  <c r="R1738" i="22" s="1"/>
  <c r="Q1738" i="22" s="1"/>
  <c r="X1754" i="22"/>
  <c r="AA1754" i="22" s="1"/>
  <c r="R1754" i="22" s="1"/>
  <c r="Q1754" i="22" s="1"/>
  <c r="AA1763" i="22"/>
  <c r="R1763" i="22" s="1"/>
  <c r="Q1763" i="22" s="1"/>
  <c r="X1785" i="22"/>
  <c r="AA1785" i="22" s="1"/>
  <c r="R1785" i="22" s="1"/>
  <c r="Q1785" i="22" s="1"/>
  <c r="R1800" i="22"/>
  <c r="Q1800" i="22" s="1"/>
  <c r="R1829" i="22"/>
  <c r="Q1829" i="22" s="1"/>
  <c r="X1834" i="22"/>
  <c r="AA1834" i="22" s="1"/>
  <c r="R1834" i="22" s="1"/>
  <c r="Q1834" i="22" s="1"/>
  <c r="X1845" i="22"/>
  <c r="AA1845" i="22"/>
  <c r="Q1845" i="22" s="1"/>
  <c r="Q1872" i="22"/>
  <c r="X1729" i="22"/>
  <c r="AA1729" i="22" s="1"/>
  <c r="R1729" i="22" s="1"/>
  <c r="Q1729" i="22" s="1"/>
  <c r="X1746" i="22"/>
  <c r="AA1746" i="22" s="1"/>
  <c r="R1746" i="22" s="1"/>
  <c r="Q1746" i="22" s="1"/>
  <c r="X1761" i="22"/>
  <c r="AA1761" i="22" s="1"/>
  <c r="R1761" i="22" s="1"/>
  <c r="Q1761" i="22" s="1"/>
  <c r="AA1772" i="22"/>
  <c r="R1772" i="22" s="1"/>
  <c r="Q1772" i="22" s="1"/>
  <c r="R1782" i="22"/>
  <c r="Q1782" i="22" s="1"/>
  <c r="X1787" i="22"/>
  <c r="AA1787" i="22" s="1"/>
  <c r="AA1789" i="22"/>
  <c r="R1789" i="22" s="1"/>
  <c r="Q1789" i="22" s="1"/>
  <c r="AA1797" i="22"/>
  <c r="R1797" i="22" s="1"/>
  <c r="Q1797" i="22" s="1"/>
  <c r="X1808" i="22"/>
  <c r="AA1808" i="22" s="1"/>
  <c r="X1830" i="22"/>
  <c r="AA1830" i="22" s="1"/>
  <c r="X1843" i="22"/>
  <c r="AA1843" i="22" s="1"/>
  <c r="Q1843" i="22" s="1"/>
  <c r="AA1873" i="22"/>
  <c r="Q1873" i="22" s="1"/>
  <c r="AA2109" i="22"/>
  <c r="Y2109" i="22" s="1"/>
  <c r="AB2109" i="22" s="1"/>
  <c r="Q2109" i="22" s="1"/>
  <c r="X1825" i="22"/>
  <c r="AA1825" i="22" s="1"/>
  <c r="R1825" i="22" s="1"/>
  <c r="Q1825" i="22" s="1"/>
  <c r="Q1841" i="22"/>
  <c r="X1849" i="22"/>
  <c r="AA1849" i="22" s="1"/>
  <c r="Q1849" i="22" s="1"/>
  <c r="X1866" i="22"/>
  <c r="AA1866" i="22" s="1"/>
  <c r="Q1866" i="22" s="1"/>
  <c r="AA1886" i="22"/>
  <c r="Q1886" i="22" s="1"/>
  <c r="AA1890" i="22"/>
  <c r="Q1890" i="22" s="1"/>
  <c r="Q2080" i="22"/>
  <c r="AA2087" i="22"/>
  <c r="Y2087" i="22" s="1"/>
  <c r="AA2095" i="22"/>
  <c r="Y2095" i="22" s="1"/>
  <c r="AB2095" i="22" s="1"/>
  <c r="Q2095" i="22" s="1"/>
  <c r="AA2103" i="22"/>
  <c r="Y2103" i="22" s="1"/>
  <c r="AB2103" i="22" s="1"/>
  <c r="Q2103" i="22" s="1"/>
  <c r="AA2136" i="22"/>
  <c r="Y2136" i="22" s="1"/>
  <c r="AB2136" i="22" s="1"/>
  <c r="Q2136" i="22" s="1"/>
  <c r="X1853" i="22"/>
  <c r="AA1853" i="22" s="1"/>
  <c r="Q1853" i="22" s="1"/>
  <c r="AA1870" i="22"/>
  <c r="Y1870" i="22" s="1"/>
  <c r="X1870" i="22"/>
  <c r="X1874" i="22"/>
  <c r="AA1874" i="22" s="1"/>
  <c r="Q1874" i="22" s="1"/>
  <c r="X1784" i="22"/>
  <c r="AA1784" i="22" s="1"/>
  <c r="R1784" i="22" s="1"/>
  <c r="Q1784" i="22" s="1"/>
  <c r="X1793" i="22"/>
  <c r="AA1793" i="22" s="1"/>
  <c r="R1793" i="22" s="1"/>
  <c r="Q1793" i="22" s="1"/>
  <c r="X1802" i="22"/>
  <c r="AA1802" i="22" s="1"/>
  <c r="AA1810" i="22"/>
  <c r="R1810" i="22" s="1"/>
  <c r="Q1810" i="22" s="1"/>
  <c r="AA1815" i="22"/>
  <c r="R1815" i="22" s="1"/>
  <c r="Q1815" i="22" s="1"/>
  <c r="X1817" i="22"/>
  <c r="AA1817" i="22" s="1"/>
  <c r="R1817" i="22" s="1"/>
  <c r="Q1817" i="22" s="1"/>
  <c r="AA1831" i="22"/>
  <c r="R1831" i="22" s="1"/>
  <c r="Q1831" i="22" s="1"/>
  <c r="AA1842" i="22"/>
  <c r="Q1842" i="22" s="1"/>
  <c r="AA1857" i="22"/>
  <c r="Q1857" i="22" s="1"/>
  <c r="X1891" i="22"/>
  <c r="AA1891" i="22" s="1"/>
  <c r="Q1891" i="22" s="1"/>
  <c r="Q1975" i="22"/>
  <c r="Q2085" i="22"/>
  <c r="AA2106" i="22"/>
  <c r="X1807" i="22"/>
  <c r="AA1807" i="22" s="1"/>
  <c r="AA1819" i="22"/>
  <c r="R1819" i="22" s="1"/>
  <c r="Q1819" i="22" s="1"/>
  <c r="AA1824" i="22"/>
  <c r="R1824" i="22" s="1"/>
  <c r="Q1824" i="22" s="1"/>
  <c r="AA1835" i="22"/>
  <c r="R1835" i="22" s="1"/>
  <c r="Q1835" i="22" s="1"/>
  <c r="AA1840" i="22"/>
  <c r="Q1840" i="22" s="1"/>
  <c r="AA1844" i="22"/>
  <c r="Q1844" i="22" s="1"/>
  <c r="AA1846" i="22"/>
  <c r="Q1846" i="22" s="1"/>
  <c r="AA1861" i="22"/>
  <c r="Q1861" i="22" s="1"/>
  <c r="AA1863" i="22"/>
  <c r="Y1863" i="22" s="1"/>
  <c r="Q1868" i="22"/>
  <c r="X1887" i="22"/>
  <c r="AA1887" i="22" s="1"/>
  <c r="Q1887" i="22" s="1"/>
  <c r="AA1822" i="22"/>
  <c r="R1822" i="22" s="1"/>
  <c r="Q1822" i="22" s="1"/>
  <c r="AA1828" i="22"/>
  <c r="R1828" i="22" s="1"/>
  <c r="Q1828" i="22" s="1"/>
  <c r="X1833" i="22"/>
  <c r="AA1833" i="22" s="1"/>
  <c r="R1833" i="22" s="1"/>
  <c r="Q1833" i="22" s="1"/>
  <c r="AA1838" i="22"/>
  <c r="R1838" i="22" s="1"/>
  <c r="Q1838" i="22" s="1"/>
  <c r="AA1848" i="22"/>
  <c r="Q1848" i="22" s="1"/>
  <c r="AA1850" i="22"/>
  <c r="Q1850" i="22" s="1"/>
  <c r="AA1854" i="22"/>
  <c r="Q1854" i="22" s="1"/>
  <c r="AA1865" i="22"/>
  <c r="Q1865" i="22" s="1"/>
  <c r="AA1867" i="22"/>
  <c r="Q1867" i="22" s="1"/>
  <c r="AA1871" i="22"/>
  <c r="Q1871" i="22" s="1"/>
  <c r="X1877" i="22"/>
  <c r="AA1877" i="22" s="1"/>
  <c r="X1879" i="22"/>
  <c r="AA1879" i="22" s="1"/>
  <c r="Q1879" i="22" s="1"/>
  <c r="X1883" i="22"/>
  <c r="AA1883" i="22" s="1"/>
  <c r="Q1883" i="22" s="1"/>
  <c r="Q1953" i="22"/>
  <c r="Q1976" i="22"/>
  <c r="Q1989" i="22"/>
  <c r="Q2011" i="22"/>
  <c r="Q2021" i="22"/>
  <c r="X2139" i="22"/>
  <c r="AA2139" i="22" s="1"/>
  <c r="Y2139" i="22" s="1"/>
  <c r="X1814" i="22"/>
  <c r="AA1814" i="22" s="1"/>
  <c r="Y1984" i="2"/>
  <c r="Y1985" i="2"/>
  <c r="Y1986" i="2"/>
  <c r="Y1987" i="2"/>
  <c r="Y184" i="2"/>
  <c r="Y1988" i="2"/>
  <c r="Y1989" i="2"/>
  <c r="Y1990" i="2"/>
  <c r="Y1991" i="2"/>
  <c r="Y1992" i="2"/>
  <c r="Y1993" i="2"/>
  <c r="Y1994" i="2"/>
  <c r="Y1995" i="2"/>
  <c r="Y1996" i="2"/>
  <c r="Y1997" i="2"/>
  <c r="Y1998" i="2"/>
  <c r="Y1999" i="2"/>
  <c r="Y2000" i="2"/>
  <c r="Y2002" i="2"/>
  <c r="Y2003" i="2"/>
  <c r="Y2004" i="2"/>
  <c r="Y2005" i="2"/>
  <c r="Y2006" i="2"/>
  <c r="Y2007" i="2"/>
  <c r="Y2008" i="2"/>
  <c r="Y2009" i="2"/>
  <c r="Y2011" i="2"/>
  <c r="Y2012" i="2"/>
  <c r="Y2013" i="2"/>
  <c r="Y2014" i="2"/>
  <c r="Y2015" i="2"/>
  <c r="Y2016" i="2"/>
  <c r="Y2017" i="2"/>
  <c r="Y2018" i="2"/>
  <c r="Y2019" i="2"/>
  <c r="Y2020" i="2"/>
  <c r="Y2021" i="2"/>
  <c r="Y2022" i="2"/>
  <c r="Y157" i="2"/>
  <c r="Y2023" i="2"/>
  <c r="Y2024" i="2"/>
  <c r="Y2025" i="2"/>
  <c r="Y2026" i="2"/>
  <c r="Y2027" i="2"/>
  <c r="Y2028" i="2"/>
  <c r="Y2029" i="2"/>
  <c r="Y159" i="2"/>
  <c r="Y2030" i="2"/>
  <c r="Y2031" i="2"/>
  <c r="Y2032" i="2"/>
  <c r="Y2033" i="2"/>
  <c r="Y2034" i="2"/>
  <c r="Y2035" i="2"/>
  <c r="W1983" i="2"/>
  <c r="W1984" i="2"/>
  <c r="X1984" i="2" s="1"/>
  <c r="Z1984" i="2" s="1"/>
  <c r="W1985" i="2"/>
  <c r="W1986" i="2"/>
  <c r="W1987" i="2"/>
  <c r="W184" i="2"/>
  <c r="W1988" i="2"/>
  <c r="X1988" i="2" s="1"/>
  <c r="W1989" i="2"/>
  <c r="X1989" i="2" s="1"/>
  <c r="W1990" i="2"/>
  <c r="X1990" i="2" s="1"/>
  <c r="Z1990" i="2" s="1"/>
  <c r="W1991" i="2"/>
  <c r="X1991" i="2" s="1"/>
  <c r="Z1991" i="2" s="1"/>
  <c r="W1992" i="2"/>
  <c r="W1993" i="2"/>
  <c r="X1993" i="2" s="1"/>
  <c r="Z1993" i="2" s="1"/>
  <c r="W1994" i="2"/>
  <c r="W1995" i="2"/>
  <c r="X1995" i="2" s="1"/>
  <c r="Z1995" i="2" s="1"/>
  <c r="W1996" i="2"/>
  <c r="X1996" i="2" s="1"/>
  <c r="Z1996" i="2" s="1"/>
  <c r="W1997" i="2"/>
  <c r="X1997" i="2" s="1"/>
  <c r="W1998" i="2"/>
  <c r="X1998" i="2" s="1"/>
  <c r="Z1998" i="2" s="1"/>
  <c r="W1999" i="2"/>
  <c r="X1999" i="2" s="1"/>
  <c r="Z1999" i="2" s="1"/>
  <c r="W2000" i="2"/>
  <c r="X2000" i="2" s="1"/>
  <c r="W2001" i="2"/>
  <c r="X2001" i="2" s="1"/>
  <c r="Z2001" i="2" s="1"/>
  <c r="W2002" i="2"/>
  <c r="W144" i="2"/>
  <c r="W2003" i="2"/>
  <c r="X2003" i="2" s="1"/>
  <c r="Z2003" i="2" s="1"/>
  <c r="Q2003" i="2" s="1"/>
  <c r="W2004" i="2"/>
  <c r="X2004" i="2" s="1"/>
  <c r="Z2004" i="2" s="1"/>
  <c r="W2005" i="2"/>
  <c r="X2005" i="2" s="1"/>
  <c r="Z2005" i="2" s="1"/>
  <c r="Q2005" i="2" s="1"/>
  <c r="W2006" i="2"/>
  <c r="X2006" i="2" s="1"/>
  <c r="Z2006" i="2" s="1"/>
  <c r="W2007" i="2"/>
  <c r="X2007" i="2" s="1"/>
  <c r="W2008" i="2"/>
  <c r="X2008" i="2" s="1"/>
  <c r="Z2008" i="2" s="1"/>
  <c r="Q2008" i="2" s="1"/>
  <c r="W2009" i="2"/>
  <c r="W2010" i="2"/>
  <c r="W2011" i="2"/>
  <c r="W2012" i="2"/>
  <c r="X2012" i="2" s="1"/>
  <c r="W2013" i="2"/>
  <c r="X2013" i="2" s="1"/>
  <c r="Z2013" i="2" s="1"/>
  <c r="W2014" i="2"/>
  <c r="X2014" i="2" s="1"/>
  <c r="Z2014" i="2" s="1"/>
  <c r="W2015" i="2"/>
  <c r="W2016" i="2"/>
  <c r="X2016" i="2" s="1"/>
  <c r="W2017" i="2"/>
  <c r="W2018" i="2"/>
  <c r="X2018" i="2" s="1"/>
  <c r="Z2018" i="2" s="1"/>
  <c r="W2019" i="2"/>
  <c r="X2019" i="2" s="1"/>
  <c r="W2020" i="2"/>
  <c r="X2020" i="2" s="1"/>
  <c r="W2021" i="2"/>
  <c r="X2021" i="2" s="1"/>
  <c r="Z2021" i="2" s="1"/>
  <c r="W2022" i="2"/>
  <c r="X2022" i="2" s="1"/>
  <c r="Z2022" i="2" s="1"/>
  <c r="W157" i="2"/>
  <c r="X157" i="2" s="1"/>
  <c r="W2023" i="2"/>
  <c r="X2023" i="2" s="1"/>
  <c r="Z2023" i="2" s="1"/>
  <c r="W2024" i="2"/>
  <c r="X2024" i="2" s="1"/>
  <c r="W2025" i="2"/>
  <c r="X2025" i="2" s="1"/>
  <c r="Z2025" i="2" s="1"/>
  <c r="W2026" i="2"/>
  <c r="W2027" i="2"/>
  <c r="X2027" i="2" s="1"/>
  <c r="Z2027" i="2" s="1"/>
  <c r="W2028" i="2"/>
  <c r="X2028" i="2" s="1"/>
  <c r="W2029" i="2"/>
  <c r="X2029" i="2" s="1"/>
  <c r="Z2029" i="2" s="1"/>
  <c r="W159" i="2"/>
  <c r="W2030" i="2"/>
  <c r="X2030" i="2" s="1"/>
  <c r="Z2030" i="2" s="1"/>
  <c r="W2031" i="2"/>
  <c r="X2031" i="2" s="1"/>
  <c r="W2032" i="2"/>
  <c r="W2033" i="2"/>
  <c r="W2034" i="2"/>
  <c r="X2034" i="2" s="1"/>
  <c r="Z2034" i="2" s="1"/>
  <c r="W2035" i="2"/>
  <c r="X2035" i="2" s="1"/>
  <c r="Z2035" i="2" s="1"/>
  <c r="W1982" i="2"/>
  <c r="X1982" i="2" s="1"/>
  <c r="S2010" i="2"/>
  <c r="Y2010" i="2" s="1"/>
  <c r="S144" i="2"/>
  <c r="Y144" i="2" s="1"/>
  <c r="S2001" i="2"/>
  <c r="Y2001" i="2" s="1"/>
  <c r="R1813" i="22" l="1"/>
  <c r="Q1813" i="22" s="1"/>
  <c r="Y1813" i="22"/>
  <c r="AB2132" i="22"/>
  <c r="Q2132" i="22" s="1"/>
  <c r="Q1888" i="22"/>
  <c r="Y1888" i="22"/>
  <c r="Q1839" i="22"/>
  <c r="Y1839" i="22"/>
  <c r="Y1892" i="22"/>
  <c r="Q1892" i="22"/>
  <c r="R1698" i="22"/>
  <c r="Q1698" i="22" s="1"/>
  <c r="Y1698" i="22"/>
  <c r="Y1811" i="22"/>
  <c r="R1811" i="22"/>
  <c r="Q1811" i="22" s="1"/>
  <c r="Y1706" i="22"/>
  <c r="R1706" i="22"/>
  <c r="Q1706" i="22" s="1"/>
  <c r="R1758" i="22"/>
  <c r="Q1758" i="22" s="1"/>
  <c r="Y1758" i="22"/>
  <c r="R1807" i="22"/>
  <c r="Q1807" i="22" s="1"/>
  <c r="Y1807" i="22"/>
  <c r="R1830" i="22"/>
  <c r="Q1830" i="22" s="1"/>
  <c r="Y1830" i="22"/>
  <c r="Q1856" i="22"/>
  <c r="Y1856" i="22"/>
  <c r="Y1880" i="22"/>
  <c r="Q1880" i="22"/>
  <c r="Q1852" i="22"/>
  <c r="Y1852" i="22"/>
  <c r="R1694" i="22"/>
  <c r="Q1694" i="22" s="1"/>
  <c r="Y1694" i="22"/>
  <c r="R1682" i="22"/>
  <c r="Q1682" i="22" s="1"/>
  <c r="Y1682" i="22"/>
  <c r="Y1882" i="22"/>
  <c r="Q1882" i="22"/>
  <c r="Q1878" i="22"/>
  <c r="Y1878" i="22"/>
  <c r="Q1859" i="22"/>
  <c r="Y1859" i="22"/>
  <c r="R1673" i="22"/>
  <c r="Q1673" i="22" s="1"/>
  <c r="Y1673" i="22"/>
  <c r="Y1748" i="22"/>
  <c r="R1748" i="22"/>
  <c r="Q1748" i="22" s="1"/>
  <c r="R1767" i="22"/>
  <c r="Q1767" i="22" s="1"/>
  <c r="Y1767" i="22"/>
  <c r="R1743" i="22"/>
  <c r="Q1743" i="22" s="1"/>
  <c r="Y1743" i="22"/>
  <c r="Y1876" i="22"/>
  <c r="Q1876" i="22"/>
  <c r="Y1875" i="22"/>
  <c r="Q1875" i="22"/>
  <c r="R1820" i="22"/>
  <c r="Q1820" i="22" s="1"/>
  <c r="Y1820" i="22"/>
  <c r="Y1808" i="22"/>
  <c r="R1808" i="22"/>
  <c r="Q1808" i="22" s="1"/>
  <c r="R1814" i="22"/>
  <c r="Q1814" i="22" s="1"/>
  <c r="Y1814" i="22"/>
  <c r="Q1877" i="22"/>
  <c r="Y1877" i="22"/>
  <c r="R1802" i="22"/>
  <c r="Q1802" i="22" s="1"/>
  <c r="Y1802" i="22"/>
  <c r="AB2087" i="22"/>
  <c r="Q2087" i="22" s="1"/>
  <c r="Y1750" i="22"/>
  <c r="R1750" i="22"/>
  <c r="Q1750" i="22" s="1"/>
  <c r="R1735" i="22"/>
  <c r="Q1735" i="22" s="1"/>
  <c r="Y1735" i="22"/>
  <c r="R1685" i="22"/>
  <c r="Q1685" i="22" s="1"/>
  <c r="Y1685" i="22"/>
  <c r="Y1734" i="22"/>
  <c r="R1734" i="22"/>
  <c r="Q1734" i="22" s="1"/>
  <c r="Y1668" i="22"/>
  <c r="R1668" i="22"/>
  <c r="Q1668" i="22" s="1"/>
  <c r="R1705" i="22"/>
  <c r="Q1705" i="22" s="1"/>
  <c r="Y1705" i="22"/>
  <c r="R1727" i="22"/>
  <c r="Q1727" i="22" s="1"/>
  <c r="Y1727" i="22"/>
  <c r="R1787" i="22"/>
  <c r="Q1787" i="22" s="1"/>
  <c r="Y1787" i="22"/>
  <c r="R1796" i="22"/>
  <c r="Q1796" i="22" s="1"/>
  <c r="Y1796" i="22"/>
  <c r="R1762" i="22"/>
  <c r="Q1762" i="22" s="1"/>
  <c r="Y1762" i="22"/>
  <c r="R1679" i="22"/>
  <c r="Q1679" i="22" s="1"/>
  <c r="Y1679" i="22"/>
  <c r="R1832" i="22"/>
  <c r="Q1832" i="22" s="1"/>
  <c r="Y1832" i="22"/>
  <c r="R1765" i="22"/>
  <c r="Q1765" i="22" s="1"/>
  <c r="Y1765" i="22"/>
  <c r="Y1672" i="22"/>
  <c r="R1672" i="22"/>
  <c r="Q1672" i="22" s="1"/>
  <c r="Y1837" i="22"/>
  <c r="Q2149" i="22"/>
  <c r="Q2192" i="22"/>
  <c r="Y1854" i="22"/>
  <c r="Y1723" i="22"/>
  <c r="AB2124" i="22"/>
  <c r="Q2124" i="22" s="1"/>
  <c r="Q2195" i="22"/>
  <c r="Y1850" i="22"/>
  <c r="Y1806" i="22"/>
  <c r="Y1771" i="22"/>
  <c r="Y1690" i="22"/>
  <c r="Y1853" i="22"/>
  <c r="Y1681" i="22"/>
  <c r="Y1773" i="22"/>
  <c r="Y1688" i="22"/>
  <c r="Y1823" i="22"/>
  <c r="Y1760" i="22"/>
  <c r="Y1825" i="22"/>
  <c r="Y1840" i="22"/>
  <c r="Y1689" i="22"/>
  <c r="Y1670" i="22"/>
  <c r="Y1817" i="22"/>
  <c r="Y1669" i="22"/>
  <c r="Y1849" i="22"/>
  <c r="Y1871" i="22"/>
  <c r="Y1720" i="22"/>
  <c r="Y1844" i="22"/>
  <c r="R1701" i="22"/>
  <c r="Q1701" i="22" s="1"/>
  <c r="AA2091" i="22"/>
  <c r="Y2091" i="22" s="1"/>
  <c r="AB2091" i="22" s="1"/>
  <c r="Q2091" i="22" s="1"/>
  <c r="AB2114" i="22"/>
  <c r="Q2114" i="22" s="1"/>
  <c r="Y1874" i="22"/>
  <c r="Y1819" i="22"/>
  <c r="Y1804" i="22"/>
  <c r="AA2096" i="22"/>
  <c r="Y2096" i="22" s="1"/>
  <c r="AB2096" i="22" s="1"/>
  <c r="Q2096" i="22" s="1"/>
  <c r="Y1845" i="22"/>
  <c r="Y1848" i="22"/>
  <c r="AB2112" i="22"/>
  <c r="Q2112" i="22" s="1"/>
  <c r="Y1833" i="22"/>
  <c r="Y1756" i="22"/>
  <c r="Y1753" i="22"/>
  <c r="Y1739" i="22"/>
  <c r="Y1772" i="22"/>
  <c r="Y1677" i="22"/>
  <c r="Y1791" i="22"/>
  <c r="Y1728" i="22"/>
  <c r="Y1831" i="22"/>
  <c r="Y1718" i="22"/>
  <c r="Q1862" i="22"/>
  <c r="AB2117" i="22"/>
  <c r="Q2117" i="22" s="1"/>
  <c r="AA2125" i="22"/>
  <c r="Y2125" i="22" s="1"/>
  <c r="AB2125" i="22" s="1"/>
  <c r="Q2125" i="22" s="1"/>
  <c r="AD2" i="22"/>
  <c r="AB2110" i="22"/>
  <c r="Q2110" i="22" s="1"/>
  <c r="AB2121" i="22"/>
  <c r="Q2121" i="22" s="1"/>
  <c r="Y1709" i="22"/>
  <c r="Y1885" i="22"/>
  <c r="Y1836" i="22"/>
  <c r="Y1795" i="22"/>
  <c r="AB2115" i="22"/>
  <c r="Q2115" i="22" s="1"/>
  <c r="AB2092" i="22"/>
  <c r="Q2092" i="22" s="1"/>
  <c r="Y1838" i="22"/>
  <c r="Y1828" i="22"/>
  <c r="Y1730" i="22"/>
  <c r="Y1816" i="22"/>
  <c r="Y1749" i="22"/>
  <c r="Y1678" i="22"/>
  <c r="Y1729" i="22"/>
  <c r="R1776" i="22"/>
  <c r="Q1776" i="22" s="1"/>
  <c r="Y1722" i="22"/>
  <c r="Y1747" i="22"/>
  <c r="Y1846" i="22"/>
  <c r="Y1851" i="22"/>
  <c r="AB2133" i="22"/>
  <c r="Q2133" i="22" s="1"/>
  <c r="Y1891" i="22"/>
  <c r="Y1822" i="22"/>
  <c r="Y1711" i="22"/>
  <c r="Y1890" i="22"/>
  <c r="Y1810" i="22"/>
  <c r="Y1763" i="22"/>
  <c r="Y1703" i="22"/>
  <c r="Y1843" i="22"/>
  <c r="Y1886" i="22"/>
  <c r="Y1805" i="22"/>
  <c r="Y1674" i="22"/>
  <c r="Y1867" i="22"/>
  <c r="Y1712" i="22"/>
  <c r="Y1815" i="22"/>
  <c r="Y1755" i="22"/>
  <c r="Y1801" i="22"/>
  <c r="Y1666" i="22"/>
  <c r="Q1870" i="22"/>
  <c r="Q2182" i="22"/>
  <c r="AB2088" i="22"/>
  <c r="Q2088" i="22" s="1"/>
  <c r="Q2154" i="22"/>
  <c r="Q2186" i="22"/>
  <c r="AB2139" i="22"/>
  <c r="Q2139" i="22" s="1"/>
  <c r="AB2100" i="22"/>
  <c r="Q2100" i="22" s="1"/>
  <c r="AB2090" i="22"/>
  <c r="Q2090" i="22" s="1"/>
  <c r="Y1883" i="22"/>
  <c r="Y1860" i="22"/>
  <c r="Y1798" i="22"/>
  <c r="AB2141" i="22"/>
  <c r="Q2141" i="22" s="1"/>
  <c r="Y1788" i="22"/>
  <c r="Y1834" i="22"/>
  <c r="Y1738" i="22"/>
  <c r="Y1881" i="22"/>
  <c r="Y1744" i="22"/>
  <c r="Y1775" i="22"/>
  <c r="Y1737" i="22"/>
  <c r="Y1847" i="22"/>
  <c r="Y1789" i="22"/>
  <c r="Y1710" i="22"/>
  <c r="Y1696" i="22"/>
  <c r="Y1736" i="22"/>
  <c r="Y1686" i="22"/>
  <c r="Y1769" i="22"/>
  <c r="Y1779" i="22"/>
  <c r="Y1887" i="22"/>
  <c r="Q1863" i="22"/>
  <c r="Q2148" i="22"/>
  <c r="Y1818" i="22"/>
  <c r="Y1702" i="22"/>
  <c r="AB2094" i="22"/>
  <c r="Q2094" i="22" s="1"/>
  <c r="Y1786" i="22"/>
  <c r="Y1719" i="22"/>
  <c r="AB2105" i="22"/>
  <c r="Q2105" i="22" s="1"/>
  <c r="Y1797" i="22"/>
  <c r="Y1713" i="22"/>
  <c r="Y1873" i="22"/>
  <c r="Y1785" i="22"/>
  <c r="Y1715" i="22"/>
  <c r="Y1667" i="22"/>
  <c r="Y1842" i="22"/>
  <c r="Y1784" i="22"/>
  <c r="Y1695" i="22"/>
  <c r="Y1824" i="22"/>
  <c r="Y1879" i="22"/>
  <c r="AB2116" i="22"/>
  <c r="Q2116" i="22" s="1"/>
  <c r="AB2130" i="22"/>
  <c r="Q2130" i="22" s="1"/>
  <c r="Y1754" i="22"/>
  <c r="Y1866" i="22"/>
  <c r="Y1865" i="22"/>
  <c r="Y1778" i="22"/>
  <c r="Y1770" i="22"/>
  <c r="Y1780" i="22"/>
  <c r="Y1857" i="22"/>
  <c r="Y1777" i="22"/>
  <c r="Y1746" i="22"/>
  <c r="Y1793" i="22"/>
  <c r="Y1671" i="22"/>
  <c r="Q2029" i="2"/>
  <c r="Q2022" i="2"/>
  <c r="Q2014" i="2"/>
  <c r="Q1999" i="2"/>
  <c r="Q1991" i="2"/>
  <c r="Q1984" i="2"/>
  <c r="Q1993" i="2"/>
  <c r="Q1996" i="2"/>
  <c r="Q1998" i="2"/>
  <c r="Q1990" i="2"/>
  <c r="Q2013" i="2"/>
  <c r="Q2023" i="2"/>
  <c r="Z2016" i="2"/>
  <c r="Q2016" i="2" s="1"/>
  <c r="Q2030" i="2"/>
  <c r="Q2006" i="2"/>
  <c r="Q2001" i="2"/>
  <c r="Z2028" i="2"/>
  <c r="Q2028" i="2" s="1"/>
  <c r="Q2034" i="2"/>
  <c r="Q2004" i="2"/>
  <c r="Q2027" i="2"/>
  <c r="Q2021" i="2"/>
  <c r="Z2019" i="2"/>
  <c r="Q2019" i="2" s="1"/>
  <c r="Z1988" i="2"/>
  <c r="Q1988" i="2" s="1"/>
  <c r="X2033" i="2"/>
  <c r="Z2033" i="2" s="1"/>
  <c r="Q2033" i="2" s="1"/>
  <c r="Q2025" i="2"/>
  <c r="Q2018" i="2"/>
  <c r="Q1995" i="2"/>
  <c r="X2011" i="2"/>
  <c r="Z2011" i="2" s="1"/>
  <c r="Q2011" i="2" s="1"/>
  <c r="Q2035" i="2"/>
  <c r="X2026" i="2"/>
  <c r="Z2026" i="2" s="1"/>
  <c r="Q2026" i="2" s="1"/>
  <c r="X1986" i="2"/>
  <c r="Z1986" i="2" s="1"/>
  <c r="Q1986" i="2" s="1"/>
  <c r="X2032" i="2"/>
  <c r="Z2032" i="2" s="1"/>
  <c r="Q2032" i="2" s="1"/>
  <c r="X2010" i="2"/>
  <c r="Z2010" i="2" s="1"/>
  <c r="Q2010" i="2" s="1"/>
  <c r="X144" i="2"/>
  <c r="Z144" i="2" s="1"/>
  <c r="Q144" i="2" s="1"/>
  <c r="X184" i="2"/>
  <c r="Z184" i="2" s="1"/>
  <c r="Q184" i="2" s="1"/>
  <c r="Z2012" i="2"/>
  <c r="Q2012" i="2" s="1"/>
  <c r="Z1989" i="2"/>
  <c r="Q1989" i="2" s="1"/>
  <c r="X2017" i="2"/>
  <c r="Z2017" i="2" s="1"/>
  <c r="Q2017" i="2" s="1"/>
  <c r="X2009" i="2"/>
  <c r="Z2009" i="2" s="1"/>
  <c r="Q2009" i="2" s="1"/>
  <c r="X2002" i="2"/>
  <c r="Z2002" i="2" s="1"/>
  <c r="Q2002" i="2" s="1"/>
  <c r="X1994" i="2"/>
  <c r="Z1994" i="2" s="1"/>
  <c r="Q1994" i="2" s="1"/>
  <c r="X1987" i="2"/>
  <c r="Z1987" i="2" s="1"/>
  <c r="Q1987" i="2" s="1"/>
  <c r="Z2031" i="2"/>
  <c r="Q2031" i="2" s="1"/>
  <c r="X159" i="2"/>
  <c r="Z159" i="2" s="1"/>
  <c r="Q159" i="2" s="1"/>
  <c r="X2015" i="2"/>
  <c r="Z2015" i="2" s="1"/>
  <c r="Q2015" i="2" s="1"/>
  <c r="X1992" i="2"/>
  <c r="Z1992" i="2" s="1"/>
  <c r="Q1992" i="2" s="1"/>
  <c r="Z2024" i="2"/>
  <c r="Q2024" i="2" s="1"/>
  <c r="Z157" i="2"/>
  <c r="Q157" i="2" s="1"/>
  <c r="Z2007" i="2"/>
  <c r="Q2007" i="2" s="1"/>
  <c r="Z2000" i="2"/>
  <c r="Q2000" i="2" s="1"/>
  <c r="Z2020" i="2"/>
  <c r="Q2020" i="2" s="1"/>
  <c r="Z1997" i="2"/>
  <c r="Q1997" i="2" s="1"/>
  <c r="X1985" i="2"/>
  <c r="Z1985" i="2" s="1"/>
  <c r="Q1985" i="2" s="1"/>
  <c r="X1983" i="2"/>
  <c r="Z1983" i="2" s="1"/>
  <c r="Z1982" i="2"/>
  <c r="Y1983" i="2" l="1"/>
  <c r="Q1983" i="2" s="1"/>
  <c r="Y1982" i="2"/>
  <c r="Q1982" i="2" s="1"/>
  <c r="AB139" i="2" l="1"/>
  <c r="AB138" i="2"/>
  <c r="AB137" i="2"/>
  <c r="AB136" i="2"/>
  <c r="AB135" i="2"/>
  <c r="AB134" i="2"/>
  <c r="AB133" i="2"/>
  <c r="AB132" i="2"/>
  <c r="AB131" i="2" l="1"/>
  <c r="AB130" i="2"/>
  <c r="D8" i="21" l="1"/>
  <c r="D7" i="21"/>
  <c r="D6" i="21"/>
  <c r="D9" i="21"/>
  <c r="B9" i="21"/>
  <c r="C8" i="21"/>
  <c r="B8" i="21"/>
  <c r="C7" i="21"/>
  <c r="B7" i="21"/>
  <c r="C6" i="21"/>
  <c r="B6" i="21"/>
  <c r="AB129" i="2"/>
  <c r="AB128" i="2"/>
  <c r="AB127" i="2"/>
  <c r="AB126" i="2"/>
  <c r="AB125" i="2"/>
  <c r="AB124" i="2"/>
  <c r="AB123" i="2"/>
  <c r="AB122" i="2"/>
  <c r="AB121" i="2"/>
  <c r="AB120" i="2"/>
  <c r="AB119" i="2"/>
  <c r="AB118" i="2"/>
  <c r="AB117" i="2"/>
  <c r="AB116" i="2"/>
  <c r="AB115" i="2"/>
  <c r="AB114" i="2"/>
  <c r="AB113" i="2"/>
  <c r="AB107" i="2"/>
  <c r="AB108" i="2"/>
  <c r="AB109" i="2"/>
  <c r="AB110" i="2"/>
  <c r="AB111" i="2"/>
  <c r="AB106" i="2"/>
  <c r="AB105" i="2"/>
  <c r="AB104" i="2"/>
  <c r="AB103" i="2"/>
  <c r="AB102" i="2"/>
  <c r="AB101" i="2"/>
  <c r="AB100" i="2"/>
  <c r="AB96" i="2"/>
  <c r="AB112" i="2"/>
  <c r="M3" i="17" l="1"/>
  <c r="M4" i="17"/>
  <c r="M19" i="17"/>
  <c r="M20" i="17"/>
  <c r="S3" i="17"/>
  <c r="U3" i="17" s="1"/>
  <c r="S4" i="17"/>
  <c r="U4" i="17" s="1"/>
  <c r="S5" i="17"/>
  <c r="U5" i="17" s="1"/>
  <c r="M5" i="17" s="1"/>
  <c r="S6" i="17"/>
  <c r="U6" i="17" s="1"/>
  <c r="M6" i="17" s="1"/>
  <c r="S7" i="17"/>
  <c r="U7" i="17" s="1"/>
  <c r="M7" i="17" s="1"/>
  <c r="S8" i="17"/>
  <c r="U8" i="17" s="1"/>
  <c r="M8" i="17" s="1"/>
  <c r="S9" i="17"/>
  <c r="U9" i="17" s="1"/>
  <c r="M9" i="17" s="1"/>
  <c r="S10" i="17"/>
  <c r="U10" i="17" s="1"/>
  <c r="M10" i="17" s="1"/>
  <c r="S11" i="17"/>
  <c r="S12" i="17"/>
  <c r="S13" i="17"/>
  <c r="S14" i="17"/>
  <c r="S15" i="17"/>
  <c r="U15" i="17" s="1"/>
  <c r="M15" i="17" s="1"/>
  <c r="S16" i="17"/>
  <c r="U16" i="17" s="1"/>
  <c r="M16" i="17" s="1"/>
  <c r="S17" i="17"/>
  <c r="U17" i="17" s="1"/>
  <c r="M17" i="17" s="1"/>
  <c r="S18" i="17"/>
  <c r="U18" i="17" s="1"/>
  <c r="M18" i="17" s="1"/>
  <c r="S19" i="17"/>
  <c r="S20" i="17"/>
  <c r="U20" i="17" s="1"/>
  <c r="S21" i="17"/>
  <c r="U21" i="17" s="1"/>
  <c r="M21" i="17" s="1"/>
  <c r="S2" i="17"/>
  <c r="U2" i="17" s="1"/>
  <c r="M2" i="17" s="1"/>
  <c r="U11" i="17"/>
  <c r="M11" i="17" s="1"/>
  <c r="U12" i="17"/>
  <c r="M12" i="17" s="1"/>
  <c r="U13" i="17"/>
  <c r="M13" i="17" s="1"/>
  <c r="U14" i="17"/>
  <c r="M14" i="17" s="1"/>
  <c r="U19" i="17"/>
  <c r="U15" i="18"/>
  <c r="W15" i="18" s="1"/>
  <c r="Q15" i="18" s="1"/>
  <c r="U14" i="18"/>
  <c r="W14" i="18" s="1"/>
  <c r="Q14" i="18" s="1"/>
  <c r="U13" i="18"/>
  <c r="W13" i="18" s="1"/>
  <c r="Q13" i="18" s="1"/>
  <c r="U12" i="18"/>
  <c r="W12" i="18" s="1"/>
  <c r="Q12" i="18" s="1"/>
  <c r="U9" i="18"/>
  <c r="W9" i="18" s="1"/>
  <c r="Q9" i="18" s="1"/>
  <c r="U8" i="18"/>
  <c r="W8" i="18" s="1"/>
  <c r="Q8" i="18" s="1"/>
  <c r="U7" i="18"/>
  <c r="U3" i="18"/>
  <c r="W3" i="18" s="1"/>
  <c r="Q3" i="18" s="1"/>
  <c r="U4" i="18"/>
  <c r="W4" i="18" s="1"/>
  <c r="Q4" i="18" s="1"/>
  <c r="U5" i="18"/>
  <c r="W5" i="18" s="1"/>
  <c r="Q5" i="18" s="1"/>
  <c r="U6" i="18"/>
  <c r="W6" i="18" s="1"/>
  <c r="Q6" i="18" s="1"/>
  <c r="U10" i="18"/>
  <c r="W10" i="18" s="1"/>
  <c r="Q10" i="18" s="1"/>
  <c r="U11" i="18"/>
  <c r="W11" i="18" s="1"/>
  <c r="Q11" i="18" s="1"/>
  <c r="W16" i="18"/>
  <c r="W17" i="18"/>
  <c r="W7" i="18" l="1"/>
  <c r="Q7" i="18" s="1"/>
  <c r="U2" i="18"/>
  <c r="W2" i="18" s="1"/>
  <c r="Q2" i="18" s="1"/>
  <c r="Y2" i="18" s="1"/>
  <c r="C9" i="21" s="1"/>
  <c r="V14" i="18"/>
  <c r="V12" i="18"/>
  <c r="T20" i="17"/>
  <c r="T18" i="17"/>
  <c r="T9" i="17"/>
  <c r="T6" i="17"/>
  <c r="T5" i="17"/>
  <c r="T4" i="17"/>
  <c r="AA63" i="16"/>
  <c r="AB64" i="16"/>
  <c r="AA65" i="16"/>
  <c r="AA66" i="16"/>
  <c r="Z62" i="16"/>
  <c r="Z63" i="16"/>
  <c r="Z64" i="16"/>
  <c r="Z65" i="16"/>
  <c r="Z66" i="16"/>
  <c r="W62" i="16"/>
  <c r="W63" i="16"/>
  <c r="AB63" i="16" s="1"/>
  <c r="W64" i="16"/>
  <c r="W65" i="16"/>
  <c r="AB65" i="16" s="1"/>
  <c r="W66" i="16"/>
  <c r="AB66" i="16" s="1"/>
  <c r="U64" i="16"/>
  <c r="AA64" i="16" s="1"/>
  <c r="U62" i="16"/>
  <c r="AA62" i="16" s="1"/>
  <c r="Y1848" i="2"/>
  <c r="Y1849" i="2"/>
  <c r="Y1850" i="2"/>
  <c r="Y1852" i="2"/>
  <c r="Y1853" i="2"/>
  <c r="Y1855" i="2"/>
  <c r="Y1856" i="2"/>
  <c r="Y1857" i="2"/>
  <c r="Y1858" i="2"/>
  <c r="Y1859" i="2"/>
  <c r="Y1860" i="2"/>
  <c r="Y151" i="2"/>
  <c r="Y1862" i="2"/>
  <c r="Y1863" i="2"/>
  <c r="Y1865" i="2"/>
  <c r="Y1868" i="2"/>
  <c r="Y1869" i="2"/>
  <c r="Y1870" i="2"/>
  <c r="Y1871" i="2"/>
  <c r="Y1872" i="2"/>
  <c r="Y1875" i="2"/>
  <c r="Y1876" i="2"/>
  <c r="Y1879" i="2"/>
  <c r="Y1882" i="2"/>
  <c r="Y1883" i="2"/>
  <c r="Y1885" i="2"/>
  <c r="Y1886" i="2"/>
  <c r="Y1887" i="2"/>
  <c r="Y1888" i="2"/>
  <c r="Y1890" i="2"/>
  <c r="Y1892" i="2"/>
  <c r="Y1894" i="2"/>
  <c r="Y1895" i="2"/>
  <c r="Y1896" i="2"/>
  <c r="Y1898" i="2"/>
  <c r="Y1899" i="2"/>
  <c r="Y1900" i="2"/>
  <c r="Y154" i="2"/>
  <c r="Y1905" i="2"/>
  <c r="Y1906" i="2"/>
  <c r="Y1908" i="2"/>
  <c r="Y1910" i="2"/>
  <c r="Y1912" i="2"/>
  <c r="Y1913" i="2"/>
  <c r="Y1914" i="2"/>
  <c r="Y1915" i="2"/>
  <c r="Y1916" i="2"/>
  <c r="Y1917" i="2"/>
  <c r="Y1918" i="2"/>
  <c r="Y1920" i="2"/>
  <c r="Y1922" i="2"/>
  <c r="Y1923" i="2"/>
  <c r="Y192" i="2"/>
  <c r="Y1925" i="2"/>
  <c r="Y212" i="2"/>
  <c r="Y1927" i="2"/>
  <c r="Y1928" i="2"/>
  <c r="Y1929" i="2"/>
  <c r="Y1932" i="2"/>
  <c r="Y1933" i="2"/>
  <c r="Y1935" i="2"/>
  <c r="Y1936" i="2"/>
  <c r="Y1937" i="2"/>
  <c r="Y1939" i="2"/>
  <c r="Y1940" i="2"/>
  <c r="Y1941" i="2"/>
  <c r="Y1942" i="2"/>
  <c r="Y1946" i="2"/>
  <c r="Y1947" i="2"/>
  <c r="Y1948" i="2"/>
  <c r="Y1949" i="2"/>
  <c r="Y1950" i="2"/>
  <c r="Y1951" i="2"/>
  <c r="Y1952" i="2"/>
  <c r="Y1953" i="2"/>
  <c r="Y1954" i="2"/>
  <c r="Y1955" i="2"/>
  <c r="Y1956" i="2"/>
  <c r="Y1957" i="2"/>
  <c r="Y1958" i="2"/>
  <c r="Y1960" i="2"/>
  <c r="Y1961" i="2"/>
  <c r="Y1962" i="2"/>
  <c r="Y1963" i="2"/>
  <c r="Y1964" i="2"/>
  <c r="Y1965" i="2"/>
  <c r="Y1966" i="2"/>
  <c r="Y174" i="2"/>
  <c r="Y1968" i="2"/>
  <c r="Y1972" i="2"/>
  <c r="Y1973" i="2"/>
  <c r="Y1974" i="2"/>
  <c r="Y1975" i="2"/>
  <c r="Y1976" i="2"/>
  <c r="Y1977" i="2"/>
  <c r="Y1978" i="2"/>
  <c r="Y1980" i="2"/>
  <c r="Y1981" i="2"/>
  <c r="Y1847" i="2"/>
  <c r="Z1848" i="2"/>
  <c r="Z1849" i="2"/>
  <c r="Z1850" i="2"/>
  <c r="Z1851" i="2"/>
  <c r="Z1852" i="2"/>
  <c r="Z1853" i="2"/>
  <c r="Z1854" i="2"/>
  <c r="Z1855" i="2"/>
  <c r="Z1856" i="2"/>
  <c r="Z1857" i="2"/>
  <c r="Z1858" i="2"/>
  <c r="Z1859" i="2"/>
  <c r="Z1860" i="2"/>
  <c r="Z1861" i="2"/>
  <c r="Z15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204" i="2"/>
  <c r="Z1898" i="2"/>
  <c r="Z1899" i="2"/>
  <c r="Z1900" i="2"/>
  <c r="Z154"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 i="2"/>
  <c r="Z1925" i="2"/>
  <c r="Z212"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74" i="2"/>
  <c r="Z1967" i="2"/>
  <c r="Z1968" i="2"/>
  <c r="Z150" i="2"/>
  <c r="Z1969" i="2"/>
  <c r="Z209" i="2"/>
  <c r="Z1971" i="2"/>
  <c r="Z1972" i="2"/>
  <c r="Z1973" i="2"/>
  <c r="Z1974" i="2"/>
  <c r="Z1975" i="2"/>
  <c r="Z1976" i="2"/>
  <c r="Z1977" i="2"/>
  <c r="Z1978" i="2"/>
  <c r="Z1979" i="2"/>
  <c r="Z1980" i="2"/>
  <c r="Z1981" i="2"/>
  <c r="Z1847" i="2"/>
  <c r="S1979" i="2"/>
  <c r="Y1979" i="2" s="1"/>
  <c r="S1971" i="2"/>
  <c r="Y1971" i="2" s="1"/>
  <c r="S209" i="2"/>
  <c r="Y209" i="2" s="1"/>
  <c r="S1969" i="2"/>
  <c r="Y1969" i="2" s="1"/>
  <c r="S150" i="2"/>
  <c r="Y150" i="2" s="1"/>
  <c r="S1967" i="2"/>
  <c r="Y1967" i="2" s="1"/>
  <c r="S1959" i="2"/>
  <c r="Y1959" i="2" s="1"/>
  <c r="S1934" i="2"/>
  <c r="Y1934" i="2" s="1"/>
  <c r="S1945" i="2"/>
  <c r="Y1945" i="2" s="1"/>
  <c r="S1944" i="2"/>
  <c r="Y1944" i="2" s="1"/>
  <c r="S1943" i="2"/>
  <c r="Y1943" i="2" s="1"/>
  <c r="S1938" i="2"/>
  <c r="Y1938" i="2" s="1"/>
  <c r="S1931" i="2"/>
  <c r="Y1931" i="2" s="1"/>
  <c r="S1930" i="2"/>
  <c r="Y1930" i="2" s="1"/>
  <c r="S1924" i="2"/>
  <c r="Y1924" i="2" s="1"/>
  <c r="S1921" i="2"/>
  <c r="Y1921" i="2" s="1"/>
  <c r="Q1921" i="2" s="1"/>
  <c r="S1919" i="2"/>
  <c r="Y1919" i="2" s="1"/>
  <c r="S1911" i="2"/>
  <c r="Y1911" i="2" s="1"/>
  <c r="S1909" i="2"/>
  <c r="Y1909" i="2" s="1"/>
  <c r="S1907" i="2"/>
  <c r="Y1907" i="2" s="1"/>
  <c r="S1904" i="2"/>
  <c r="Y1904" i="2" s="1"/>
  <c r="S1903" i="2"/>
  <c r="Y1903" i="2" s="1"/>
  <c r="S1902" i="2"/>
  <c r="Y1902" i="2" s="1"/>
  <c r="S1901" i="2"/>
  <c r="Y1901" i="2" s="1"/>
  <c r="S204" i="2"/>
  <c r="Y204" i="2" s="1"/>
  <c r="S1893" i="2"/>
  <c r="Y1893" i="2" s="1"/>
  <c r="S1891" i="2"/>
  <c r="Y1891" i="2" s="1"/>
  <c r="S1889" i="2"/>
  <c r="Y1889" i="2" s="1"/>
  <c r="S1884" i="2"/>
  <c r="Y1884" i="2" s="1"/>
  <c r="S1881" i="2"/>
  <c r="Y1881" i="2" s="1"/>
  <c r="S1880" i="2"/>
  <c r="Y1880" i="2" s="1"/>
  <c r="S1878" i="2"/>
  <c r="Y1878" i="2" s="1"/>
  <c r="S1877" i="2"/>
  <c r="Y1877" i="2" s="1"/>
  <c r="S1874" i="2"/>
  <c r="Y1874" i="2" s="1"/>
  <c r="S1873" i="2"/>
  <c r="Y1873" i="2" s="1"/>
  <c r="S1867" i="2"/>
  <c r="Y1867" i="2" s="1"/>
  <c r="S1866" i="2"/>
  <c r="Y1866" i="2" s="1"/>
  <c r="S1864" i="2"/>
  <c r="Y1864" i="2" s="1"/>
  <c r="S1861" i="2"/>
  <c r="Y1861" i="2" s="1"/>
  <c r="S1854" i="2"/>
  <c r="Y1854" i="2" s="1"/>
  <c r="S1851" i="2"/>
  <c r="Y1851" i="2" s="1"/>
  <c r="AB62" i="16" l="1"/>
  <c r="Q1914" i="2"/>
  <c r="Q1875" i="2"/>
  <c r="Q1865" i="2"/>
  <c r="Q1883" i="2"/>
  <c r="Q1906" i="2"/>
  <c r="Q1899" i="2"/>
  <c r="Q1860" i="2"/>
  <c r="Q1852" i="2"/>
  <c r="Q1882" i="2"/>
  <c r="Q1925" i="2"/>
  <c r="Q1922" i="2"/>
  <c r="Q204" i="2"/>
  <c r="Q1881" i="2"/>
  <c r="Q1866" i="2"/>
  <c r="Q1891" i="2"/>
  <c r="Q1867" i="2"/>
  <c r="Q1979" i="2"/>
  <c r="Q1971" i="2"/>
  <c r="Q1966" i="2"/>
  <c r="Q1958" i="2"/>
  <c r="Q1950" i="2"/>
  <c r="Q1942" i="2"/>
  <c r="Q1934" i="2"/>
  <c r="Q212" i="2"/>
  <c r="Q1919" i="2"/>
  <c r="Q1911" i="2"/>
  <c r="Q1903" i="2"/>
  <c r="Q1896" i="2"/>
  <c r="Q1888" i="2"/>
  <c r="Q1880" i="2"/>
  <c r="Q1872" i="2"/>
  <c r="Q1864" i="2"/>
  <c r="Q1857" i="2"/>
  <c r="Q1978" i="2"/>
  <c r="Q1965" i="2"/>
  <c r="Q1949" i="2"/>
  <c r="Q1933" i="2"/>
  <c r="Q1910" i="2"/>
  <c r="Q1895" i="2"/>
  <c r="Q1957" i="2"/>
  <c r="Q1981" i="2"/>
  <c r="Q1849" i="2"/>
  <c r="Q1969" i="2"/>
  <c r="Q1956" i="2"/>
  <c r="Q1940" i="2"/>
  <c r="Q192" i="2"/>
  <c r="Q1855" i="2"/>
  <c r="Q1879" i="2"/>
  <c r="Q1973" i="2"/>
  <c r="Q1952" i="2"/>
  <c r="Q1944" i="2"/>
  <c r="Q1936" i="2"/>
  <c r="Q1905" i="2"/>
  <c r="Q1898" i="2"/>
  <c r="Q1890" i="2"/>
  <c r="Q174" i="2"/>
  <c r="Q1868" i="2"/>
  <c r="Q1853" i="2"/>
  <c r="Q1912" i="2"/>
  <c r="Q1920" i="2"/>
  <c r="Q1904" i="2"/>
  <c r="Q1889" i="2"/>
  <c r="Q1960" i="2"/>
  <c r="Q1928" i="2"/>
  <c r="Q1913" i="2"/>
  <c r="Q1874" i="2"/>
  <c r="Q1859" i="2"/>
  <c r="Q1851" i="2"/>
  <c r="Q1863" i="2"/>
  <c r="Q1975" i="2"/>
  <c r="Q1968" i="2"/>
  <c r="Q1962" i="2"/>
  <c r="Q1954" i="2"/>
  <c r="Q1946" i="2"/>
  <c r="Q1938" i="2"/>
  <c r="Q1930" i="2"/>
  <c r="Q1923" i="2"/>
  <c r="Q1915" i="2"/>
  <c r="Q1907" i="2"/>
  <c r="Q1900" i="2"/>
  <c r="Q1892" i="2"/>
  <c r="Q1884" i="2"/>
  <c r="Q1876" i="2"/>
  <c r="Q1977" i="2"/>
  <c r="Q1964" i="2"/>
  <c r="Q1948" i="2"/>
  <c r="Q1932" i="2"/>
  <c r="Q1917" i="2"/>
  <c r="Q1909" i="2"/>
  <c r="Q1901" i="2"/>
  <c r="Q1894" i="2"/>
  <c r="Q1886" i="2"/>
  <c r="Q1878" i="2"/>
  <c r="Q1870" i="2"/>
  <c r="Q1862" i="2"/>
  <c r="Q1974" i="2"/>
  <c r="Q1967" i="2"/>
  <c r="Q1961" i="2"/>
  <c r="Q1953" i="2"/>
  <c r="Q1945" i="2"/>
  <c r="Q1937" i="2"/>
  <c r="Q1873" i="2"/>
  <c r="Q1848" i="2"/>
  <c r="Q1887" i="2"/>
  <c r="Q209" i="2"/>
  <c r="Q1941" i="2"/>
  <c r="Q1918" i="2"/>
  <c r="Q1902" i="2"/>
  <c r="Q1871" i="2"/>
  <c r="Q1856" i="2"/>
  <c r="Q1861" i="2"/>
  <c r="Q1929" i="2"/>
  <c r="Q1858" i="2"/>
  <c r="Q1980" i="2"/>
  <c r="Q1972" i="2"/>
  <c r="Q1959" i="2"/>
  <c r="Q1951" i="2"/>
  <c r="Q1943" i="2"/>
  <c r="Q1935" i="2"/>
  <c r="Q1927" i="2"/>
  <c r="Q1850" i="2"/>
  <c r="Q1976" i="2"/>
  <c r="Q150" i="2"/>
  <c r="Q1963" i="2"/>
  <c r="Q1955" i="2"/>
  <c r="Q1947" i="2"/>
  <c r="Q1939" i="2"/>
  <c r="Q1931" i="2"/>
  <c r="Q1924" i="2"/>
  <c r="Q1916" i="2"/>
  <c r="Q1908" i="2"/>
  <c r="Q154" i="2"/>
  <c r="Q1893" i="2"/>
  <c r="Q1885" i="2"/>
  <c r="Q1877" i="2"/>
  <c r="Q1869" i="2"/>
  <c r="Q151" i="2"/>
  <c r="Q1854" i="2"/>
  <c r="Q1847" i="2"/>
  <c r="Y1835" i="2"/>
  <c r="Q1835" i="2" s="1"/>
  <c r="Y1836" i="2"/>
  <c r="Q1836" i="2" s="1"/>
  <c r="Y1837" i="2"/>
  <c r="Q1837" i="2" s="1"/>
  <c r="Y208" i="2"/>
  <c r="Q208" i="2" s="1"/>
  <c r="Y1839" i="2"/>
  <c r="Q1839" i="2" s="1"/>
  <c r="Y1840" i="2"/>
  <c r="Q1840" i="2" s="1"/>
  <c r="Y1841" i="2"/>
  <c r="Q1841" i="2" s="1"/>
  <c r="Y145" i="2"/>
  <c r="Q145" i="2" s="1"/>
  <c r="Y1842" i="2"/>
  <c r="Q1842" i="2" s="1"/>
  <c r="Y1843" i="2"/>
  <c r="Q1843" i="2" s="1"/>
  <c r="Y1844" i="2"/>
  <c r="Q1844" i="2" s="1"/>
  <c r="Y1845" i="2"/>
  <c r="Q1845" i="2" s="1"/>
  <c r="Y141" i="2"/>
  <c r="Q141" i="2" s="1"/>
  <c r="Y1846" i="2"/>
  <c r="Q1846" i="2" s="1"/>
  <c r="X85" i="2" l="1"/>
  <c r="AB85" i="2" s="1"/>
  <c r="X86" i="2"/>
  <c r="AB86" i="2" s="1"/>
  <c r="X87" i="2"/>
  <c r="AB87" i="2" s="1"/>
  <c r="X88" i="2"/>
  <c r="AB88" i="2" s="1"/>
  <c r="X89" i="2"/>
  <c r="AB89" i="2" s="1"/>
  <c r="X90" i="2"/>
  <c r="AB90" i="2" s="1"/>
  <c r="X91" i="2"/>
  <c r="AB91" i="2" s="1"/>
  <c r="X92" i="2"/>
  <c r="AB92" i="2" s="1"/>
  <c r="X93" i="2"/>
  <c r="AB93" i="2" s="1"/>
  <c r="X94" i="2"/>
  <c r="AB94" i="2" s="1"/>
  <c r="X95" i="2"/>
  <c r="AB95" i="2" s="1"/>
  <c r="X84" i="2"/>
  <c r="AB84" i="2" s="1"/>
  <c r="X27" i="2"/>
  <c r="AB27" i="2" s="1"/>
  <c r="X55" i="2"/>
  <c r="AB55" i="2" s="1"/>
  <c r="X56" i="2"/>
  <c r="AB56" i="2" s="1"/>
  <c r="X57" i="2"/>
  <c r="AB57" i="2" s="1"/>
  <c r="X58" i="2"/>
  <c r="AB58" i="2" s="1"/>
  <c r="X59" i="2"/>
  <c r="AB59" i="2" s="1"/>
  <c r="X60" i="2"/>
  <c r="AB60" i="2" s="1"/>
  <c r="X61" i="2"/>
  <c r="AB61" i="2" s="1"/>
  <c r="X62" i="2"/>
  <c r="AB62" i="2" s="1"/>
  <c r="X63" i="2"/>
  <c r="AB63" i="2" s="1"/>
  <c r="W72" i="2"/>
  <c r="X72" i="2" s="1"/>
  <c r="AB72" i="2" s="1"/>
  <c r="X70" i="2"/>
  <c r="AB70" i="2" s="1"/>
  <c r="X80" i="2"/>
  <c r="AB80" i="2" s="1"/>
  <c r="X81" i="2"/>
  <c r="AB81" i="2" s="1"/>
  <c r="X77" i="2"/>
  <c r="AB77" i="2" s="1"/>
  <c r="X78" i="2"/>
  <c r="AB78" i="2" s="1"/>
  <c r="X82" i="2"/>
  <c r="AB82" i="2" s="1"/>
  <c r="X66" i="2"/>
  <c r="AB66" i="2" s="1"/>
  <c r="X69" i="2"/>
  <c r="AB69" i="2" s="1"/>
  <c r="X73" i="2"/>
  <c r="AB73" i="2" s="1"/>
  <c r="X76" i="2"/>
  <c r="AB76" i="2" s="1"/>
  <c r="X71" i="2"/>
  <c r="AB71" i="2" s="1"/>
  <c r="X83" i="2"/>
  <c r="AB83" i="2" s="1"/>
  <c r="X5" i="2"/>
  <c r="AB5" i="2" s="1"/>
  <c r="AB64" i="2"/>
  <c r="AB65" i="2"/>
  <c r="AB67" i="2"/>
  <c r="AB68" i="2"/>
  <c r="AB11" i="16" l="1"/>
  <c r="L11" i="16" s="1"/>
  <c r="AB17" i="16"/>
  <c r="L17" i="16" s="1"/>
  <c r="AB57" i="16"/>
  <c r="L57" i="16" s="1"/>
  <c r="Z3" i="16"/>
  <c r="Z4" i="16"/>
  <c r="AB4" i="16" s="1"/>
  <c r="L4" i="16" s="1"/>
  <c r="Z5" i="16"/>
  <c r="Z6" i="16"/>
  <c r="Z7" i="16"/>
  <c r="Z8" i="16"/>
  <c r="Z9" i="16"/>
  <c r="Z10" i="16"/>
  <c r="Z11" i="16"/>
  <c r="Z12" i="16"/>
  <c r="AB12" i="16" s="1"/>
  <c r="L12" i="16" s="1"/>
  <c r="Z13" i="16"/>
  <c r="AB13" i="16" s="1"/>
  <c r="L13" i="16" s="1"/>
  <c r="Z14" i="16"/>
  <c r="Z15" i="16"/>
  <c r="Z16" i="16"/>
  <c r="Z17" i="16"/>
  <c r="Z18" i="16"/>
  <c r="Z19" i="16"/>
  <c r="Z20" i="16"/>
  <c r="Z21" i="16"/>
  <c r="AB21" i="16" s="1"/>
  <c r="L21" i="16" s="1"/>
  <c r="Z22" i="16"/>
  <c r="Z23" i="16"/>
  <c r="Z24" i="16"/>
  <c r="Z25" i="16"/>
  <c r="Z26" i="16"/>
  <c r="Z27" i="16"/>
  <c r="Z28" i="16"/>
  <c r="AB28" i="16" s="1"/>
  <c r="L28" i="16" s="1"/>
  <c r="Z29" i="16"/>
  <c r="AB29" i="16" s="1"/>
  <c r="L29" i="16" s="1"/>
  <c r="Z30" i="16"/>
  <c r="Z31" i="16"/>
  <c r="Z32" i="16"/>
  <c r="Z33" i="16"/>
  <c r="Z34" i="16"/>
  <c r="Z35" i="16"/>
  <c r="Z36" i="16"/>
  <c r="AB36" i="16" s="1"/>
  <c r="L36" i="16" s="1"/>
  <c r="Z37" i="16"/>
  <c r="AB37" i="16" s="1"/>
  <c r="L37" i="16" s="1"/>
  <c r="Z38" i="16"/>
  <c r="Z39" i="16"/>
  <c r="Z40" i="16"/>
  <c r="Z41" i="16"/>
  <c r="Z42" i="16"/>
  <c r="Z43" i="16"/>
  <c r="Z44" i="16"/>
  <c r="AB44" i="16" s="1"/>
  <c r="L44" i="16" s="1"/>
  <c r="Z45" i="16"/>
  <c r="AB45" i="16" s="1"/>
  <c r="L45" i="16" s="1"/>
  <c r="Z46" i="16"/>
  <c r="Z47" i="16"/>
  <c r="Z48" i="16"/>
  <c r="Z49" i="16"/>
  <c r="Z50" i="16"/>
  <c r="Z51" i="16"/>
  <c r="Z52" i="16"/>
  <c r="AB52" i="16" s="1"/>
  <c r="L52" i="16" s="1"/>
  <c r="Z53" i="16"/>
  <c r="AB53" i="16" s="1"/>
  <c r="L53" i="16" s="1"/>
  <c r="Z54" i="16"/>
  <c r="Z55" i="16"/>
  <c r="Z56" i="16"/>
  <c r="Z57" i="16"/>
  <c r="Z58" i="16"/>
  <c r="Z59" i="16"/>
  <c r="Z60" i="16"/>
  <c r="Z61" i="16"/>
  <c r="Z2" i="16"/>
  <c r="V3" i="14"/>
  <c r="V2" i="14"/>
  <c r="W3" i="16"/>
  <c r="AB3" i="16" s="1"/>
  <c r="L3" i="16" s="1"/>
  <c r="W4" i="16"/>
  <c r="W5" i="16"/>
  <c r="AB5" i="16" s="1"/>
  <c r="L5" i="16" s="1"/>
  <c r="W6" i="16"/>
  <c r="W7" i="16"/>
  <c r="W8" i="16"/>
  <c r="AB8" i="16" s="1"/>
  <c r="L8" i="16" s="1"/>
  <c r="W9" i="16"/>
  <c r="W10" i="16"/>
  <c r="W11" i="16"/>
  <c r="W12" i="16"/>
  <c r="W13" i="16"/>
  <c r="W14" i="16"/>
  <c r="W15" i="16"/>
  <c r="W16" i="16"/>
  <c r="W17" i="16"/>
  <c r="W18" i="16"/>
  <c r="AB18" i="16" s="1"/>
  <c r="L18" i="16" s="1"/>
  <c r="W19" i="16"/>
  <c r="AB19" i="16" s="1"/>
  <c r="L19" i="16" s="1"/>
  <c r="W20" i="16"/>
  <c r="AB20" i="16" s="1"/>
  <c r="L20" i="16" s="1"/>
  <c r="W21" i="16"/>
  <c r="W22" i="16"/>
  <c r="AB22" i="16" s="1"/>
  <c r="L22" i="16" s="1"/>
  <c r="W23" i="16"/>
  <c r="W24" i="16"/>
  <c r="W25" i="16"/>
  <c r="AB25" i="16" s="1"/>
  <c r="L25" i="16" s="1"/>
  <c r="W26" i="16"/>
  <c r="W27" i="16"/>
  <c r="W28" i="16"/>
  <c r="W29" i="16"/>
  <c r="W30" i="16"/>
  <c r="W31" i="16"/>
  <c r="AB31" i="16" s="1"/>
  <c r="L31" i="16" s="1"/>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AB58" i="16" s="1"/>
  <c r="L58" i="16" s="1"/>
  <c r="W59" i="16"/>
  <c r="AB59" i="16" s="1"/>
  <c r="L59" i="16" s="1"/>
  <c r="W60" i="16"/>
  <c r="AB60" i="16" s="1"/>
  <c r="L60" i="16" s="1"/>
  <c r="W61" i="16"/>
  <c r="AB61" i="16" s="1"/>
  <c r="L61" i="16" s="1"/>
  <c r="W2" i="16"/>
  <c r="AB2" i="16" s="1"/>
  <c r="L2" i="16" s="1"/>
  <c r="S2" i="14"/>
  <c r="AA6" i="16"/>
  <c r="AA7" i="16"/>
  <c r="AA9" i="16"/>
  <c r="AA10" i="16"/>
  <c r="AA11" i="16"/>
  <c r="AA13" i="16"/>
  <c r="AA15" i="16"/>
  <c r="AA16" i="16"/>
  <c r="AA17" i="16"/>
  <c r="AA18" i="16"/>
  <c r="AA19" i="16"/>
  <c r="AA20" i="16"/>
  <c r="AA23" i="16"/>
  <c r="AA25" i="16"/>
  <c r="AA26" i="16"/>
  <c r="AA27" i="16"/>
  <c r="AA28" i="16"/>
  <c r="AA33" i="16"/>
  <c r="AA34" i="16"/>
  <c r="AA35" i="16"/>
  <c r="AA37" i="16"/>
  <c r="AA41" i="16"/>
  <c r="AA42" i="16"/>
  <c r="AA49" i="16"/>
  <c r="AA50" i="16"/>
  <c r="AA53" i="16"/>
  <c r="AA54" i="16"/>
  <c r="AA55" i="16"/>
  <c r="AA57" i="16"/>
  <c r="AA58" i="16"/>
  <c r="X8" i="14"/>
  <c r="P8" i="14" s="1"/>
  <c r="W3" i="14"/>
  <c r="W5" i="14"/>
  <c r="W6" i="14"/>
  <c r="W7" i="14"/>
  <c r="W8"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V4" i="14"/>
  <c r="V5" i="14"/>
  <c r="V6" i="14"/>
  <c r="V7" i="14"/>
  <c r="V8" i="14"/>
  <c r="V9" i="14"/>
  <c r="V10" i="14"/>
  <c r="X10" i="14" s="1"/>
  <c r="P10" i="14" s="1"/>
  <c r="V11" i="14"/>
  <c r="V12" i="14"/>
  <c r="V13" i="14"/>
  <c r="V14" i="14"/>
  <c r="V15" i="14"/>
  <c r="V16" i="14"/>
  <c r="V17" i="14"/>
  <c r="X17" i="14" s="1"/>
  <c r="P17" i="14" s="1"/>
  <c r="V18" i="14"/>
  <c r="X18" i="14" s="1"/>
  <c r="P18" i="14" s="1"/>
  <c r="V19" i="14"/>
  <c r="V20" i="14"/>
  <c r="V21" i="14"/>
  <c r="V22" i="14"/>
  <c r="V23" i="14"/>
  <c r="V24" i="14"/>
  <c r="V25" i="14"/>
  <c r="X25" i="14" s="1"/>
  <c r="P25" i="14" s="1"/>
  <c r="V26" i="14"/>
  <c r="X26" i="14" s="1"/>
  <c r="P26" i="14" s="1"/>
  <c r="V27" i="14"/>
  <c r="V28" i="14"/>
  <c r="V29" i="14"/>
  <c r="V30" i="14"/>
  <c r="V31" i="14"/>
  <c r="V32" i="14"/>
  <c r="V33" i="14"/>
  <c r="X33" i="14" s="1"/>
  <c r="P33" i="14" s="1"/>
  <c r="V34" i="14"/>
  <c r="X34" i="14" s="1"/>
  <c r="P34" i="14" s="1"/>
  <c r="V35" i="14"/>
  <c r="V36" i="14"/>
  <c r="V37" i="14"/>
  <c r="V38" i="14"/>
  <c r="S3" i="14"/>
  <c r="X3" i="14" s="1"/>
  <c r="P3" i="14" s="1"/>
  <c r="S4" i="14"/>
  <c r="S5" i="14"/>
  <c r="X5" i="14" s="1"/>
  <c r="P5" i="14" s="1"/>
  <c r="S6" i="14"/>
  <c r="X6" i="14" s="1"/>
  <c r="P6" i="14" s="1"/>
  <c r="S7" i="14"/>
  <c r="X7" i="14" s="1"/>
  <c r="P7" i="14" s="1"/>
  <c r="S8" i="14"/>
  <c r="S9" i="14"/>
  <c r="S10" i="14"/>
  <c r="S11" i="14"/>
  <c r="X11" i="14" s="1"/>
  <c r="P11" i="14" s="1"/>
  <c r="S12" i="14"/>
  <c r="X12" i="14" s="1"/>
  <c r="P12" i="14" s="1"/>
  <c r="S13" i="14"/>
  <c r="X13" i="14" s="1"/>
  <c r="P13" i="14" s="1"/>
  <c r="S14" i="14"/>
  <c r="X14" i="14" s="1"/>
  <c r="P14" i="14" s="1"/>
  <c r="S15" i="14"/>
  <c r="X15" i="14" s="1"/>
  <c r="P15" i="14" s="1"/>
  <c r="S16" i="14"/>
  <c r="X16" i="14" s="1"/>
  <c r="P16" i="14" s="1"/>
  <c r="S17" i="14"/>
  <c r="S18" i="14"/>
  <c r="S19" i="14"/>
  <c r="X19" i="14" s="1"/>
  <c r="P19" i="14" s="1"/>
  <c r="S20" i="14"/>
  <c r="X20" i="14" s="1"/>
  <c r="P20" i="14" s="1"/>
  <c r="S21" i="14"/>
  <c r="X21" i="14" s="1"/>
  <c r="P21" i="14" s="1"/>
  <c r="S22" i="14"/>
  <c r="X22" i="14" s="1"/>
  <c r="P22" i="14" s="1"/>
  <c r="S23" i="14"/>
  <c r="X23" i="14" s="1"/>
  <c r="P23" i="14" s="1"/>
  <c r="S24" i="14"/>
  <c r="X24" i="14" s="1"/>
  <c r="P24" i="14" s="1"/>
  <c r="S25" i="14"/>
  <c r="S26" i="14"/>
  <c r="S27" i="14"/>
  <c r="X27" i="14" s="1"/>
  <c r="P27" i="14" s="1"/>
  <c r="S28" i="14"/>
  <c r="X28" i="14" s="1"/>
  <c r="P28" i="14" s="1"/>
  <c r="S29" i="14"/>
  <c r="X29" i="14" s="1"/>
  <c r="P29" i="14" s="1"/>
  <c r="S30" i="14"/>
  <c r="X30" i="14" s="1"/>
  <c r="P30" i="14" s="1"/>
  <c r="S31" i="14"/>
  <c r="X31" i="14" s="1"/>
  <c r="P31" i="14" s="1"/>
  <c r="S32" i="14"/>
  <c r="X32" i="14" s="1"/>
  <c r="P32" i="14" s="1"/>
  <c r="S33" i="14"/>
  <c r="S34" i="14"/>
  <c r="S35" i="14"/>
  <c r="X35" i="14" s="1"/>
  <c r="P35" i="14" s="1"/>
  <c r="S36" i="14"/>
  <c r="X36" i="14" s="1"/>
  <c r="P36" i="14" s="1"/>
  <c r="S37" i="14"/>
  <c r="X37" i="14" s="1"/>
  <c r="P37" i="14" s="1"/>
  <c r="S38" i="14"/>
  <c r="X38" i="14" s="1"/>
  <c r="P38" i="14" s="1"/>
  <c r="U1746" i="2"/>
  <c r="U61" i="16"/>
  <c r="AA61" i="16" s="1"/>
  <c r="U60" i="16"/>
  <c r="AA60" i="16" s="1"/>
  <c r="U56" i="16"/>
  <c r="AA56" i="16" s="1"/>
  <c r="Q4" i="14"/>
  <c r="W4" i="14" s="1"/>
  <c r="U45" i="16"/>
  <c r="AA45" i="16" s="1"/>
  <c r="U39" i="16"/>
  <c r="AA39" i="16" s="1"/>
  <c r="U36" i="16"/>
  <c r="AA36" i="16" s="1"/>
  <c r="U34" i="16"/>
  <c r="U32" i="16"/>
  <c r="AA32" i="16" s="1"/>
  <c r="U30" i="16"/>
  <c r="AA30" i="16" s="1"/>
  <c r="U18" i="16"/>
  <c r="U14" i="16"/>
  <c r="AA14" i="16" s="1"/>
  <c r="U12" i="16"/>
  <c r="AA12" i="16" s="1"/>
  <c r="U8" i="16"/>
  <c r="AA8" i="16" s="1"/>
  <c r="U3" i="16"/>
  <c r="AA3" i="16" s="1"/>
  <c r="U59" i="16"/>
  <c r="AA59" i="16" s="1"/>
  <c r="U58" i="16"/>
  <c r="U52" i="16"/>
  <c r="AA52" i="16" s="1"/>
  <c r="U51" i="16"/>
  <c r="AA51" i="16" s="1"/>
  <c r="U50" i="16"/>
  <c r="U49" i="16"/>
  <c r="U48" i="16"/>
  <c r="AA48" i="16" s="1"/>
  <c r="U47" i="16"/>
  <c r="AA47" i="16" s="1"/>
  <c r="U46" i="16"/>
  <c r="AA46" i="16" s="1"/>
  <c r="U44" i="16"/>
  <c r="AA44" i="16" s="1"/>
  <c r="U43" i="16"/>
  <c r="AA43" i="16" s="1"/>
  <c r="U42" i="16"/>
  <c r="U41" i="16"/>
  <c r="U40" i="16"/>
  <c r="AA40" i="16" s="1"/>
  <c r="U38" i="16"/>
  <c r="AA38" i="16" s="1"/>
  <c r="U31" i="16"/>
  <c r="AA31" i="16" s="1"/>
  <c r="U29" i="16"/>
  <c r="AA29" i="16" s="1"/>
  <c r="U25" i="16"/>
  <c r="U24" i="16"/>
  <c r="AA24" i="16" s="1"/>
  <c r="U22" i="16"/>
  <c r="AA22" i="16" s="1"/>
  <c r="U21" i="16"/>
  <c r="AA21" i="16" s="1"/>
  <c r="U5" i="16"/>
  <c r="AA5" i="16" s="1"/>
  <c r="U4" i="16"/>
  <c r="AA4" i="16" s="1"/>
  <c r="U2" i="16"/>
  <c r="AA2" i="16" s="1"/>
  <c r="I50" i="16"/>
  <c r="I47" i="16"/>
  <c r="I39" i="16"/>
  <c r="I38" i="16"/>
  <c r="W2" i="14"/>
  <c r="S1746" i="2"/>
  <c r="S1774" i="2"/>
  <c r="S1786" i="2"/>
  <c r="S1781" i="2"/>
  <c r="S1762" i="2"/>
  <c r="S1758" i="2"/>
  <c r="S1745" i="2"/>
  <c r="AB51" i="16" l="1"/>
  <c r="L51" i="16" s="1"/>
  <c r="AB43" i="16"/>
  <c r="L43" i="16" s="1"/>
  <c r="AB35" i="16"/>
  <c r="L35" i="16" s="1"/>
  <c r="AB27" i="16"/>
  <c r="L27" i="16" s="1"/>
  <c r="AB50" i="16"/>
  <c r="L50" i="16" s="1"/>
  <c r="AB42" i="16"/>
  <c r="L42" i="16" s="1"/>
  <c r="AB34" i="16"/>
  <c r="L34" i="16" s="1"/>
  <c r="AB26" i="16"/>
  <c r="L26" i="16" s="1"/>
  <c r="AB10" i="16"/>
  <c r="L10" i="16" s="1"/>
  <c r="AB49" i="16"/>
  <c r="L49" i="16" s="1"/>
  <c r="AB41" i="16"/>
  <c r="L41" i="16" s="1"/>
  <c r="AB33" i="16"/>
  <c r="L33" i="16" s="1"/>
  <c r="AB9" i="16"/>
  <c r="L9" i="16" s="1"/>
  <c r="X9" i="14"/>
  <c r="P9" i="14" s="1"/>
  <c r="AB56" i="16"/>
  <c r="L56" i="16" s="1"/>
  <c r="AB48" i="16"/>
  <c r="L48" i="16" s="1"/>
  <c r="AB40" i="16"/>
  <c r="L40" i="16" s="1"/>
  <c r="AB32" i="16"/>
  <c r="L32" i="16" s="1"/>
  <c r="AB24" i="16"/>
  <c r="L24" i="16" s="1"/>
  <c r="AB16" i="16"/>
  <c r="L16" i="16" s="1"/>
  <c r="X4" i="14"/>
  <c r="P4" i="14" s="1"/>
  <c r="AB55" i="16"/>
  <c r="L55" i="16" s="1"/>
  <c r="AB47" i="16"/>
  <c r="L47" i="16" s="1"/>
  <c r="AB39" i="16"/>
  <c r="L39" i="16" s="1"/>
  <c r="AB23" i="16"/>
  <c r="L23" i="16" s="1"/>
  <c r="AB15" i="16"/>
  <c r="L15" i="16" s="1"/>
  <c r="AB7" i="16"/>
  <c r="L7" i="16" s="1"/>
  <c r="AB54" i="16"/>
  <c r="L54" i="16" s="1"/>
  <c r="AB46" i="16"/>
  <c r="L46" i="16" s="1"/>
  <c r="AB38" i="16"/>
  <c r="L38" i="16" s="1"/>
  <c r="AB30" i="16"/>
  <c r="L30" i="16" s="1"/>
  <c r="AB14" i="16"/>
  <c r="L14" i="16" s="1"/>
  <c r="AB6" i="16"/>
  <c r="L6" i="16" s="1"/>
  <c r="X2" i="14"/>
  <c r="P2" i="14" s="1"/>
  <c r="I47" i="4"/>
  <c r="I50" i="4"/>
  <c r="I38" i="4"/>
  <c r="I39" i="4"/>
  <c r="U1579" i="2" l="1"/>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53" i="2"/>
  <c r="U1608" i="2"/>
  <c r="U1609" i="2"/>
  <c r="U1610" i="2"/>
  <c r="U181"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94" i="2"/>
  <c r="U1634" i="2"/>
  <c r="U148" i="2"/>
  <c r="U1635" i="2"/>
  <c r="U82" i="2"/>
  <c r="U1636" i="2"/>
  <c r="U1637" i="2"/>
  <c r="U1638" i="2"/>
  <c r="U1639" i="2"/>
  <c r="U1640" i="2"/>
  <c r="U1641" i="2"/>
  <c r="U1642" i="2"/>
  <c r="U1643" i="2"/>
  <c r="U1644" i="2"/>
  <c r="U1645" i="2"/>
  <c r="U1646" i="2"/>
  <c r="U143" i="2"/>
  <c r="U1647" i="2"/>
  <c r="U1648" i="2"/>
  <c r="U1649" i="2"/>
  <c r="U1650" i="2"/>
  <c r="U1651" i="2"/>
  <c r="U1652" i="2"/>
  <c r="U1653" i="2"/>
  <c r="U1654" i="2"/>
  <c r="U1655" i="2"/>
  <c r="U1656" i="2"/>
  <c r="U1657" i="2"/>
  <c r="U203" i="2"/>
  <c r="U1659" i="2"/>
  <c r="U1660" i="2"/>
  <c r="U1661" i="2"/>
  <c r="U1662" i="2"/>
  <c r="U1663" i="2"/>
  <c r="U1664" i="2"/>
  <c r="U1665" i="2"/>
  <c r="U1666" i="2"/>
  <c r="U1667" i="2"/>
  <c r="U1668" i="2"/>
  <c r="U1669" i="2"/>
  <c r="U1670" i="2"/>
  <c r="U1671" i="2"/>
  <c r="U1672" i="2"/>
  <c r="U1673" i="2"/>
  <c r="U1674" i="2"/>
  <c r="U1675" i="2"/>
  <c r="U1676" i="2"/>
  <c r="U1677" i="2"/>
  <c r="U1678" i="2"/>
  <c r="U140" i="2"/>
  <c r="U1679" i="2"/>
  <c r="U1680" i="2"/>
  <c r="U199" i="2"/>
  <c r="U1681" i="2"/>
  <c r="U1682" i="2"/>
  <c r="U1683" i="2"/>
  <c r="U1684" i="2"/>
  <c r="U1685" i="2"/>
  <c r="U1686" i="2"/>
  <c r="U1687" i="2"/>
  <c r="U1688" i="2"/>
  <c r="U1689" i="2"/>
  <c r="U1690" i="2"/>
  <c r="U1691" i="2"/>
  <c r="U1692" i="2"/>
  <c r="U1693" i="2"/>
  <c r="U1694" i="2"/>
  <c r="U1695" i="2"/>
  <c r="U1696" i="2"/>
  <c r="U1697" i="2"/>
  <c r="U1698" i="2"/>
  <c r="U1699" i="2"/>
  <c r="U1700" i="2"/>
  <c r="U1701" i="2"/>
  <c r="U83" i="2"/>
  <c r="U1702" i="2"/>
  <c r="U1703" i="2"/>
  <c r="U1704" i="2"/>
  <c r="U1705" i="2"/>
  <c r="U1706" i="2"/>
  <c r="U1707" i="2"/>
  <c r="U1708" i="2"/>
  <c r="U1709" i="2"/>
  <c r="U1710" i="2"/>
  <c r="U1711" i="2"/>
  <c r="U1712" i="2"/>
  <c r="U1713" i="2"/>
  <c r="U1714" i="2"/>
  <c r="U1715" i="2"/>
  <c r="U134"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578" i="2"/>
  <c r="W1581" i="2"/>
  <c r="V1579" i="2"/>
  <c r="V1580" i="2"/>
  <c r="V1581" i="2"/>
  <c r="V1582" i="2"/>
  <c r="V1583" i="2"/>
  <c r="V1584" i="2"/>
  <c r="V1585" i="2"/>
  <c r="V1586" i="2"/>
  <c r="V1587" i="2"/>
  <c r="V1588" i="2"/>
  <c r="V1589" i="2"/>
  <c r="V1590" i="2"/>
  <c r="V1591" i="2"/>
  <c r="V1592" i="2"/>
  <c r="V1593" i="2"/>
  <c r="V1594" i="2"/>
  <c r="V1595" i="2"/>
  <c r="V1596" i="2"/>
  <c r="V1597" i="2"/>
  <c r="V1598" i="2"/>
  <c r="V1599" i="2"/>
  <c r="V1600" i="2"/>
  <c r="V1601" i="2"/>
  <c r="V1602" i="2"/>
  <c r="V1603" i="2"/>
  <c r="V1604" i="2"/>
  <c r="V1605" i="2"/>
  <c r="V1606" i="2"/>
  <c r="V1607" i="2"/>
  <c r="V153" i="2"/>
  <c r="V1608" i="2"/>
  <c r="V1609" i="2"/>
  <c r="V1610" i="2"/>
  <c r="V181"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94" i="2"/>
  <c r="V1634" i="2"/>
  <c r="V148" i="2"/>
  <c r="V1635" i="2"/>
  <c r="V82" i="2"/>
  <c r="V1636" i="2"/>
  <c r="V1637" i="2"/>
  <c r="V1638" i="2"/>
  <c r="V1639" i="2"/>
  <c r="V1640" i="2"/>
  <c r="V1641" i="2"/>
  <c r="V1642" i="2"/>
  <c r="V1643" i="2"/>
  <c r="V1644" i="2"/>
  <c r="V1645" i="2"/>
  <c r="V1646" i="2"/>
  <c r="V143" i="2"/>
  <c r="V1647" i="2"/>
  <c r="V1648" i="2"/>
  <c r="V1649" i="2"/>
  <c r="V1650" i="2"/>
  <c r="V1651" i="2"/>
  <c r="V1652" i="2"/>
  <c r="V1653" i="2"/>
  <c r="V1654" i="2"/>
  <c r="V1655" i="2"/>
  <c r="V1656" i="2"/>
  <c r="V1657" i="2"/>
  <c r="V203" i="2"/>
  <c r="V1659" i="2"/>
  <c r="V1660" i="2"/>
  <c r="V1661" i="2"/>
  <c r="V1662" i="2"/>
  <c r="V1663" i="2"/>
  <c r="V1664" i="2"/>
  <c r="V1665" i="2"/>
  <c r="V1666" i="2"/>
  <c r="V1667" i="2"/>
  <c r="V1668" i="2"/>
  <c r="V1669" i="2"/>
  <c r="V1670" i="2"/>
  <c r="V1671" i="2"/>
  <c r="V1672" i="2"/>
  <c r="V1673" i="2"/>
  <c r="V1674" i="2"/>
  <c r="V1675" i="2"/>
  <c r="V1676" i="2"/>
  <c r="V1677" i="2"/>
  <c r="V1678" i="2"/>
  <c r="V140" i="2"/>
  <c r="V1679" i="2"/>
  <c r="V1680" i="2"/>
  <c r="V199" i="2"/>
  <c r="V1681" i="2"/>
  <c r="V1682" i="2"/>
  <c r="V1683" i="2"/>
  <c r="V1684" i="2"/>
  <c r="V1685" i="2"/>
  <c r="V1686" i="2"/>
  <c r="V1687" i="2"/>
  <c r="V1688" i="2"/>
  <c r="V1689" i="2"/>
  <c r="V1690" i="2"/>
  <c r="V1691" i="2"/>
  <c r="V1692" i="2"/>
  <c r="V1693" i="2"/>
  <c r="V1694" i="2"/>
  <c r="V1695" i="2"/>
  <c r="V1696" i="2"/>
  <c r="V1697" i="2"/>
  <c r="V1698" i="2"/>
  <c r="V1699" i="2"/>
  <c r="V1700" i="2"/>
  <c r="V1701" i="2"/>
  <c r="V83" i="2"/>
  <c r="V1702" i="2"/>
  <c r="V1703" i="2"/>
  <c r="V1704" i="2"/>
  <c r="V1705" i="2"/>
  <c r="V1706" i="2"/>
  <c r="V1707" i="2"/>
  <c r="V1708" i="2"/>
  <c r="V1709" i="2"/>
  <c r="V1710" i="2"/>
  <c r="V1711" i="2"/>
  <c r="V1712" i="2"/>
  <c r="V1713" i="2"/>
  <c r="V1714" i="2"/>
  <c r="V1715" i="2"/>
  <c r="V134"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X1746" i="2" s="1"/>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578" i="2"/>
  <c r="S1" i="2"/>
  <c r="S1625" i="2"/>
  <c r="Y1625" i="2" s="1"/>
  <c r="S1661" i="2"/>
  <c r="Y1661" i="2" s="1"/>
  <c r="S1727" i="2"/>
  <c r="Y1727" i="2" s="1"/>
  <c r="S1696" i="2"/>
  <c r="Y1696" i="2" s="1"/>
  <c r="S1656" i="2"/>
  <c r="Y1656" i="2" s="1"/>
  <c r="S1628" i="2"/>
  <c r="Y1628" i="2" s="1"/>
  <c r="S1609" i="2"/>
  <c r="Y1609" i="2" s="1"/>
  <c r="S1595" i="2"/>
  <c r="Y1595" i="2" s="1"/>
  <c r="S1591" i="2"/>
  <c r="Y1591" i="2" s="1"/>
  <c r="S1590" i="2"/>
  <c r="Y1590" i="2" s="1"/>
  <c r="S1589" i="2"/>
  <c r="Y1589" i="2" s="1"/>
  <c r="S1588" i="2"/>
  <c r="Y1588" i="2" s="1"/>
  <c r="S1587" i="2"/>
  <c r="Y1587" i="2" s="1"/>
  <c r="S1586" i="2"/>
  <c r="Y1586" i="2" s="1"/>
  <c r="S1585" i="2"/>
  <c r="Y1585" i="2" s="1"/>
  <c r="S1584" i="2"/>
  <c r="Y1584" i="2" s="1"/>
  <c r="S1583" i="2"/>
  <c r="Y1583" i="2" s="1"/>
  <c r="S1582" i="2"/>
  <c r="Y1582" i="2" s="1"/>
  <c r="S1581" i="2"/>
  <c r="Y1581" i="2" s="1"/>
  <c r="S1580" i="2"/>
  <c r="Y1580" i="2" s="1"/>
  <c r="S1579" i="2"/>
  <c r="Y1579" i="2" s="1"/>
  <c r="S1578" i="2"/>
  <c r="Y1578" i="2" s="1"/>
  <c r="U1745"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Y1592" i="2"/>
  <c r="Y1593" i="2"/>
  <c r="Y1594" i="2"/>
  <c r="Y1596" i="2"/>
  <c r="Y1597" i="2"/>
  <c r="Y1598" i="2"/>
  <c r="Y1599" i="2"/>
  <c r="Y1600" i="2"/>
  <c r="Y1601" i="2"/>
  <c r="Y1602" i="2"/>
  <c r="Y1603" i="2"/>
  <c r="Y1604" i="2"/>
  <c r="Y1605" i="2"/>
  <c r="Y1606" i="2"/>
  <c r="Y1607" i="2"/>
  <c r="Y153" i="2"/>
  <c r="Y1608" i="2"/>
  <c r="Y1610" i="2"/>
  <c r="Y181" i="2"/>
  <c r="Y1611" i="2"/>
  <c r="Y1612" i="2"/>
  <c r="Y1613" i="2"/>
  <c r="Y1614" i="2"/>
  <c r="Y1615" i="2"/>
  <c r="Y1616" i="2"/>
  <c r="Y1617" i="2"/>
  <c r="Y1618" i="2"/>
  <c r="Y1619" i="2"/>
  <c r="Y1620" i="2"/>
  <c r="Y1621" i="2"/>
  <c r="Y1622" i="2"/>
  <c r="Y1623" i="2"/>
  <c r="Y1624" i="2"/>
  <c r="Y1626" i="2"/>
  <c r="Y1627" i="2"/>
  <c r="Y1629" i="2"/>
  <c r="Y1630" i="2"/>
  <c r="Y1631" i="2"/>
  <c r="Y1632" i="2"/>
  <c r="Y1633" i="2"/>
  <c r="Y194" i="2"/>
  <c r="Y1634" i="2"/>
  <c r="Y148" i="2"/>
  <c r="Y1635" i="2"/>
  <c r="Y82" i="2"/>
  <c r="Y1636" i="2"/>
  <c r="Y1637" i="2"/>
  <c r="Y1638" i="2"/>
  <c r="Y1639" i="2"/>
  <c r="Y1640" i="2"/>
  <c r="Y1641" i="2"/>
  <c r="Y1642" i="2"/>
  <c r="Y1643" i="2"/>
  <c r="Y1644" i="2"/>
  <c r="Y1645" i="2"/>
  <c r="Y1646" i="2"/>
  <c r="Y143" i="2"/>
  <c r="Y1647" i="2"/>
  <c r="Y1648" i="2"/>
  <c r="Y1649" i="2"/>
  <c r="Y1650" i="2"/>
  <c r="Y1651" i="2"/>
  <c r="Y1652" i="2"/>
  <c r="Y1653" i="2"/>
  <c r="Y1654" i="2"/>
  <c r="Y1655" i="2"/>
  <c r="Y1657" i="2"/>
  <c r="Y203" i="2"/>
  <c r="Y1659" i="2"/>
  <c r="Y1660" i="2"/>
  <c r="Y1662" i="2"/>
  <c r="Y1663" i="2"/>
  <c r="Y1664" i="2"/>
  <c r="Y1665" i="2"/>
  <c r="Y1666" i="2"/>
  <c r="Y1667" i="2"/>
  <c r="Y1668" i="2"/>
  <c r="Y1669" i="2"/>
  <c r="Y1670" i="2"/>
  <c r="Y1671" i="2"/>
  <c r="Y1672" i="2"/>
  <c r="Y1673" i="2"/>
  <c r="Y1674" i="2"/>
  <c r="Y1675" i="2"/>
  <c r="Y1676" i="2"/>
  <c r="Y1677" i="2"/>
  <c r="Y1678" i="2"/>
  <c r="Y140" i="2"/>
  <c r="Y1679" i="2"/>
  <c r="Y1680" i="2"/>
  <c r="Y199" i="2"/>
  <c r="Y1681" i="2"/>
  <c r="Y1682" i="2"/>
  <c r="Y1683" i="2"/>
  <c r="Y1684" i="2"/>
  <c r="Y1685" i="2"/>
  <c r="Y1686" i="2"/>
  <c r="Y1687" i="2"/>
  <c r="Y1688" i="2"/>
  <c r="Y1689" i="2"/>
  <c r="Y1690" i="2"/>
  <c r="Y1691" i="2"/>
  <c r="Y1692" i="2"/>
  <c r="Y1693" i="2"/>
  <c r="Y1694" i="2"/>
  <c r="Y1695" i="2"/>
  <c r="Y1697" i="2"/>
  <c r="Y1698" i="2"/>
  <c r="Y1699" i="2"/>
  <c r="Y1700" i="2"/>
  <c r="Y1701" i="2"/>
  <c r="Y83" i="2"/>
  <c r="Y1702" i="2"/>
  <c r="Y1703" i="2"/>
  <c r="Y1704" i="2"/>
  <c r="Y1705" i="2"/>
  <c r="Y1706" i="2"/>
  <c r="Y1707" i="2"/>
  <c r="Y1708" i="2"/>
  <c r="Y1709" i="2"/>
  <c r="Y1710" i="2"/>
  <c r="Y1711" i="2"/>
  <c r="Y1712" i="2"/>
  <c r="Y1713" i="2"/>
  <c r="Y1714" i="2"/>
  <c r="Y1715" i="2"/>
  <c r="Y134" i="2"/>
  <c r="Y1716" i="2"/>
  <c r="Y1717" i="2"/>
  <c r="Y1718" i="2"/>
  <c r="Y1719" i="2"/>
  <c r="Y1720" i="2"/>
  <c r="Y1721" i="2"/>
  <c r="Y1722" i="2"/>
  <c r="Y1723" i="2"/>
  <c r="Y1724" i="2"/>
  <c r="Y1725" i="2"/>
  <c r="Y1726"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X1798" i="2" l="1"/>
  <c r="X1790" i="2"/>
  <c r="X1782" i="2"/>
  <c r="X1774" i="2"/>
  <c r="X1766" i="2"/>
  <c r="X1758" i="2"/>
  <c r="X1750" i="2"/>
  <c r="X1795" i="2"/>
  <c r="X1787" i="2"/>
  <c r="X1779" i="2"/>
  <c r="X1771" i="2"/>
  <c r="X1763" i="2"/>
  <c r="X1755" i="2"/>
  <c r="X1747" i="2"/>
  <c r="X1794" i="2"/>
  <c r="X1739" i="2"/>
  <c r="X1695" i="2"/>
  <c r="X1732" i="2"/>
  <c r="X1724" i="2"/>
  <c r="X1716" i="2"/>
  <c r="X1709" i="2"/>
  <c r="X1669" i="2"/>
  <c r="X1661" i="2"/>
  <c r="X1653" i="2"/>
  <c r="X1638" i="2"/>
  <c r="X1741" i="2"/>
  <c r="X1726" i="2"/>
  <c r="X1718" i="2"/>
  <c r="X1711" i="2"/>
  <c r="X1697" i="2"/>
  <c r="X1703" i="2"/>
  <c r="X1667" i="2"/>
  <c r="X1659" i="2"/>
  <c r="X1651" i="2"/>
  <c r="X1644" i="2"/>
  <c r="X1636" i="2"/>
  <c r="X1631" i="2"/>
  <c r="X1623" i="2"/>
  <c r="X1615" i="2"/>
  <c r="X1608" i="2"/>
  <c r="X1601" i="2"/>
  <c r="X1593" i="2"/>
  <c r="X1585" i="2"/>
  <c r="Z1585" i="2" s="1"/>
  <c r="R1585" i="2" s="1"/>
  <c r="Q1585" i="2" s="1"/>
  <c r="X1688" i="2"/>
  <c r="X199" i="2"/>
  <c r="X1674" i="2"/>
  <c r="X1690" i="2"/>
  <c r="X1676" i="2"/>
  <c r="X1791" i="2"/>
  <c r="X1783" i="2"/>
  <c r="X1775" i="2"/>
  <c r="X1767" i="2"/>
  <c r="X1759" i="2"/>
  <c r="X1751" i="2"/>
  <c r="X1639" i="2"/>
  <c r="X1730" i="2"/>
  <c r="X1722" i="2"/>
  <c r="X1715" i="2"/>
  <c r="X1707" i="2"/>
  <c r="X1701" i="2"/>
  <c r="X1694" i="2"/>
  <c r="X1679" i="2"/>
  <c r="X1665" i="2"/>
  <c r="X1649" i="2"/>
  <c r="X1642" i="2"/>
  <c r="X1635" i="2"/>
  <c r="X1629" i="2"/>
  <c r="X1621" i="2"/>
  <c r="X1613" i="2"/>
  <c r="X1591" i="2"/>
  <c r="X1744" i="2"/>
  <c r="X1736" i="2"/>
  <c r="X1729" i="2"/>
  <c r="X1721" i="2"/>
  <c r="X1714" i="2"/>
  <c r="X1706" i="2"/>
  <c r="X1693" i="2"/>
  <c r="X1685" i="2"/>
  <c r="X140" i="2"/>
  <c r="X1648" i="2"/>
  <c r="X148" i="2"/>
  <c r="X1628" i="2"/>
  <c r="X1620" i="2"/>
  <c r="X1612" i="2"/>
  <c r="X1606" i="2"/>
  <c r="X1598" i="2"/>
  <c r="X1590" i="2"/>
  <c r="X1582" i="2"/>
  <c r="Z1582" i="2" s="1"/>
  <c r="R1582" i="2" s="1"/>
  <c r="Q1582" i="2" s="1"/>
  <c r="X1788" i="2"/>
  <c r="X1745" i="2"/>
  <c r="Z1745" i="2" s="1"/>
  <c r="Q1745" i="2" s="1"/>
  <c r="X1793" i="2"/>
  <c r="X1785" i="2"/>
  <c r="X1777" i="2"/>
  <c r="X1769" i="2"/>
  <c r="X1761" i="2"/>
  <c r="X1753" i="2"/>
  <c r="X1728" i="2"/>
  <c r="X1713" i="2"/>
  <c r="X1692" i="2"/>
  <c r="X1619" i="2"/>
  <c r="X1742" i="2"/>
  <c r="X1712" i="2"/>
  <c r="X1691" i="2"/>
  <c r="X143" i="2"/>
  <c r="X1797" i="2"/>
  <c r="X1789" i="2"/>
  <c r="X1781" i="2"/>
  <c r="X1773" i="2"/>
  <c r="X1765" i="2"/>
  <c r="X1757" i="2"/>
  <c r="X1749" i="2"/>
  <c r="X1737" i="2"/>
  <c r="X1686" i="2"/>
  <c r="X1657" i="2"/>
  <c r="X1607" i="2"/>
  <c r="X1599" i="2"/>
  <c r="X1583" i="2"/>
  <c r="Z1583" i="2" s="1"/>
  <c r="R1583" i="2" s="1"/>
  <c r="Q1583" i="2" s="1"/>
  <c r="X1780" i="2"/>
  <c r="X1733" i="2"/>
  <c r="X1743" i="2"/>
  <c r="X1720" i="2"/>
  <c r="X1705" i="2"/>
  <c r="X1699" i="2"/>
  <c r="X1684" i="2"/>
  <c r="X1678" i="2"/>
  <c r="X1671" i="2"/>
  <c r="X1663" i="2"/>
  <c r="X1655" i="2"/>
  <c r="X1647" i="2"/>
  <c r="X1640" i="2"/>
  <c r="X1597" i="2"/>
  <c r="X1589" i="2"/>
  <c r="X1735" i="2"/>
  <c r="X1727" i="2"/>
  <c r="X1719" i="2"/>
  <c r="X1704" i="2"/>
  <c r="X1698" i="2"/>
  <c r="X1683" i="2"/>
  <c r="X1677" i="2"/>
  <c r="X1670" i="2"/>
  <c r="X1662" i="2"/>
  <c r="X1654" i="2"/>
  <c r="X1734" i="2"/>
  <c r="X1682" i="2"/>
  <c r="X1646" i="2"/>
  <c r="X1633" i="2"/>
  <c r="X1625" i="2"/>
  <c r="X1796" i="2"/>
  <c r="X1772" i="2"/>
  <c r="X1764" i="2"/>
  <c r="X1756" i="2"/>
  <c r="X1748" i="2"/>
  <c r="X1740" i="2"/>
  <c r="X1725" i="2"/>
  <c r="X1717" i="2"/>
  <c r="X1710" i="2"/>
  <c r="X1702" i="2"/>
  <c r="X1696" i="2"/>
  <c r="X1689" i="2"/>
  <c r="X1681" i="2"/>
  <c r="X1675" i="2"/>
  <c r="X1668" i="2"/>
  <c r="X1660" i="2"/>
  <c r="X1652" i="2"/>
  <c r="X1645" i="2"/>
  <c r="X1637" i="2"/>
  <c r="X1632" i="2"/>
  <c r="X1624" i="2"/>
  <c r="X1616" i="2"/>
  <c r="X1609" i="2"/>
  <c r="X1602" i="2"/>
  <c r="X1594" i="2"/>
  <c r="X1586" i="2"/>
  <c r="X1786" i="2"/>
  <c r="X1778" i="2"/>
  <c r="X1770" i="2"/>
  <c r="X1762" i="2"/>
  <c r="X1754" i="2"/>
  <c r="X1738" i="2"/>
  <c r="X1731" i="2"/>
  <c r="X1723" i="2"/>
  <c r="X134" i="2"/>
  <c r="X1708" i="2"/>
  <c r="X1687" i="2"/>
  <c r="X1680" i="2"/>
  <c r="X1673" i="2"/>
  <c r="X1666" i="2"/>
  <c r="X203" i="2"/>
  <c r="X1650" i="2"/>
  <c r="X1643" i="2"/>
  <c r="X1630" i="2"/>
  <c r="X1622" i="2"/>
  <c r="X1614" i="2"/>
  <c r="X153" i="2"/>
  <c r="X1600" i="2"/>
  <c r="X1592" i="2"/>
  <c r="X1584" i="2"/>
  <c r="Z1584" i="2" s="1"/>
  <c r="R1584" i="2" s="1"/>
  <c r="Q1584" i="2" s="1"/>
  <c r="X1578" i="2"/>
  <c r="Z1578" i="2" s="1"/>
  <c r="R1578" i="2" s="1"/>
  <c r="Q1578" i="2" s="1"/>
  <c r="X1792" i="2"/>
  <c r="X1784" i="2"/>
  <c r="X1776" i="2"/>
  <c r="X1768" i="2"/>
  <c r="X1760" i="2"/>
  <c r="X1752" i="2"/>
  <c r="X1700" i="2"/>
  <c r="X1672" i="2"/>
  <c r="X1664" i="2"/>
  <c r="X1656" i="2"/>
  <c r="X1641" i="2"/>
  <c r="X1634" i="2"/>
  <c r="X1627" i="2"/>
  <c r="X1611" i="2"/>
  <c r="X1605" i="2"/>
  <c r="X194" i="2"/>
  <c r="X1626" i="2"/>
  <c r="X1618" i="2"/>
  <c r="X181" i="2"/>
  <c r="X1604" i="2"/>
  <c r="X1596" i="2"/>
  <c r="X1588" i="2"/>
  <c r="X1580" i="2"/>
  <c r="Z1580" i="2" s="1"/>
  <c r="R1580" i="2" s="1"/>
  <c r="Q1580" i="2" s="1"/>
  <c r="X1617" i="2"/>
  <c r="X1610" i="2"/>
  <c r="X1603" i="2"/>
  <c r="X1595" i="2"/>
  <c r="X1587" i="2"/>
  <c r="X1579" i="2"/>
  <c r="Z1579" i="2" s="1"/>
  <c r="R1579" i="2" s="1"/>
  <c r="Q1579" i="2" s="1"/>
  <c r="X1581" i="2"/>
  <c r="Z1581" i="2" s="1"/>
  <c r="R1581" i="2" s="1"/>
  <c r="Q1581" i="2" s="1"/>
  <c r="X1533" i="2"/>
  <c r="X1534" i="2"/>
  <c r="Q1534" i="2" s="1"/>
  <c r="X1535" i="2"/>
  <c r="Q1535" i="2" s="1"/>
  <c r="X1536" i="2"/>
  <c r="Q1536" i="2" s="1"/>
  <c r="X1537" i="2"/>
  <c r="Q1537" i="2" s="1"/>
  <c r="X1538" i="2"/>
  <c r="Q1538" i="2" s="1"/>
  <c r="X1539" i="2"/>
  <c r="Q1539" i="2" s="1"/>
  <c r="X1540" i="2"/>
  <c r="Q1540" i="2" s="1"/>
  <c r="X1541" i="2"/>
  <c r="Q1541" i="2" s="1"/>
  <c r="X1542" i="2"/>
  <c r="Q1542" i="2" s="1"/>
  <c r="X1543" i="2"/>
  <c r="Q1543" i="2" s="1"/>
  <c r="X1544" i="2"/>
  <c r="Q1544" i="2" s="1"/>
  <c r="X1545" i="2"/>
  <c r="Q1545" i="2" s="1"/>
  <c r="X1546" i="2"/>
  <c r="Q1546" i="2" s="1"/>
  <c r="X1547" i="2"/>
  <c r="Q1547" i="2" s="1"/>
  <c r="X1548" i="2"/>
  <c r="Q1548" i="2" s="1"/>
  <c r="X1549" i="2"/>
  <c r="Q1549" i="2" s="1"/>
  <c r="X1550" i="2"/>
  <c r="Q1550" i="2" s="1"/>
  <c r="X1551" i="2"/>
  <c r="Q1551" i="2" s="1"/>
  <c r="X1552" i="2"/>
  <c r="Q1552" i="2" s="1"/>
  <c r="X1553" i="2"/>
  <c r="Q1553" i="2" s="1"/>
  <c r="X149" i="2"/>
  <c r="Q149" i="2" s="1"/>
  <c r="X1554" i="2"/>
  <c r="Q1554" i="2" s="1"/>
  <c r="X1555" i="2"/>
  <c r="Q1555" i="2" s="1"/>
  <c r="X1556" i="2"/>
  <c r="Q1556" i="2" s="1"/>
  <c r="X1557" i="2"/>
  <c r="Q1557" i="2" s="1"/>
  <c r="X1558" i="2"/>
  <c r="Q1558" i="2" s="1"/>
  <c r="X1559" i="2"/>
  <c r="Q1559" i="2" s="1"/>
  <c r="X1560" i="2"/>
  <c r="Q1560" i="2" s="1"/>
  <c r="X1561" i="2"/>
  <c r="Q1561" i="2" s="1"/>
  <c r="X1562" i="2"/>
  <c r="Q1562" i="2" s="1"/>
  <c r="X1563" i="2"/>
  <c r="Q1563" i="2" s="1"/>
  <c r="X1564" i="2"/>
  <c r="Q1564" i="2" s="1"/>
  <c r="X1565" i="2"/>
  <c r="Q1565" i="2" s="1"/>
  <c r="X1566" i="2"/>
  <c r="Q1566" i="2" s="1"/>
  <c r="X1567" i="2"/>
  <c r="Q1567" i="2" s="1"/>
  <c r="X1568" i="2"/>
  <c r="Q1568" i="2" s="1"/>
  <c r="X1569" i="2"/>
  <c r="Q1569" i="2" s="1"/>
  <c r="X1570" i="2"/>
  <c r="Q1570" i="2" s="1"/>
  <c r="X1571" i="2"/>
  <c r="Q1571" i="2" s="1"/>
  <c r="X1572" i="2"/>
  <c r="Q1572" i="2" s="1"/>
  <c r="X1573" i="2"/>
  <c r="Q1573" i="2" s="1"/>
  <c r="X1574" i="2"/>
  <c r="Q1574" i="2" s="1"/>
  <c r="X1575" i="2"/>
  <c r="Q1575" i="2" s="1"/>
  <c r="X1576" i="2"/>
  <c r="Q1576" i="2" s="1"/>
  <c r="X1577" i="2"/>
  <c r="Q1577" i="2" s="1"/>
  <c r="P1497" i="2" l="1"/>
  <c r="M1497" i="2"/>
  <c r="W23" i="2" l="1"/>
  <c r="W8" i="2"/>
  <c r="W48" i="2"/>
  <c r="W27" i="2"/>
  <c r="R7" i="2" l="1"/>
  <c r="AA35" i="2"/>
  <c r="X7" i="2"/>
  <c r="W6" i="2"/>
  <c r="X6" i="2" s="1"/>
  <c r="X35" i="2"/>
  <c r="X47" i="2"/>
  <c r="X21" i="2"/>
  <c r="X26" i="2"/>
  <c r="X31" i="2"/>
  <c r="W298" i="2"/>
  <c r="X298" i="2" s="1"/>
  <c r="W299" i="2"/>
  <c r="X299" i="2" s="1"/>
  <c r="W300" i="2"/>
  <c r="X300" i="2" s="1"/>
  <c r="W87" i="2"/>
  <c r="X64" i="2"/>
  <c r="W301" i="2"/>
  <c r="X301" i="2" s="1"/>
  <c r="W302" i="2"/>
  <c r="X302" i="2" s="1"/>
  <c r="W303" i="2"/>
  <c r="X303" i="2" s="1"/>
  <c r="W65" i="2"/>
  <c r="X65" i="2" s="1"/>
  <c r="W304" i="2"/>
  <c r="X304" i="2" s="1"/>
  <c r="W305" i="2"/>
  <c r="X305" i="2" s="1"/>
  <c r="W9" i="2"/>
  <c r="X9" i="2" s="1"/>
  <c r="W306" i="2"/>
  <c r="X306" i="2" s="1"/>
  <c r="W307" i="2"/>
  <c r="X307" i="2" s="1"/>
  <c r="W66" i="2"/>
  <c r="W308" i="2"/>
  <c r="X308" i="2" s="1"/>
  <c r="W309" i="2"/>
  <c r="X309" i="2" s="1"/>
  <c r="W310" i="2"/>
  <c r="X310" i="2" s="1"/>
  <c r="W311" i="2"/>
  <c r="X311" i="2" s="1"/>
  <c r="W312" i="2"/>
  <c r="X312" i="2" s="1"/>
  <c r="W313" i="2"/>
  <c r="X313" i="2" s="1"/>
  <c r="W182" i="2"/>
  <c r="X182" i="2" s="1"/>
  <c r="W314" i="2"/>
  <c r="X314" i="2" s="1"/>
  <c r="W95" i="2"/>
  <c r="W315" i="2"/>
  <c r="X315" i="2" s="1"/>
  <c r="W316" i="2"/>
  <c r="X316" i="2" s="1"/>
  <c r="W317" i="2"/>
  <c r="X317" i="2" s="1"/>
  <c r="W318" i="2"/>
  <c r="X318" i="2" s="1"/>
  <c r="W319" i="2"/>
  <c r="X319" i="2" s="1"/>
  <c r="W67" i="2"/>
  <c r="X67" i="2" s="1"/>
  <c r="W320" i="2"/>
  <c r="X320" i="2" s="1"/>
  <c r="W321" i="2"/>
  <c r="X321" i="2" s="1"/>
  <c r="W322" i="2"/>
  <c r="X322" i="2" s="1"/>
  <c r="W323" i="2"/>
  <c r="X323" i="2" s="1"/>
  <c r="W324" i="2"/>
  <c r="X324" i="2" s="1"/>
  <c r="W325" i="2"/>
  <c r="X325" i="2" s="1"/>
  <c r="W326" i="2"/>
  <c r="X326" i="2" s="1"/>
  <c r="W327" i="2"/>
  <c r="X327" i="2" s="1"/>
  <c r="W92" i="2"/>
  <c r="W328" i="2"/>
  <c r="X328" i="2" s="1"/>
  <c r="W329" i="2"/>
  <c r="X329" i="2" s="1"/>
  <c r="W330" i="2"/>
  <c r="X330" i="2" s="1"/>
  <c r="W331" i="2"/>
  <c r="X331" i="2" s="1"/>
  <c r="W332" i="2"/>
  <c r="X332" i="2" s="1"/>
  <c r="W333" i="2"/>
  <c r="X333" i="2" s="1"/>
  <c r="W334" i="2"/>
  <c r="X334" i="2" s="1"/>
  <c r="W335" i="2"/>
  <c r="X335" i="2" s="1"/>
  <c r="W10" i="2"/>
  <c r="X10" i="2" s="1"/>
  <c r="W336" i="2"/>
  <c r="X336" i="2" s="1"/>
  <c r="W337" i="2"/>
  <c r="X337" i="2" s="1"/>
  <c r="W338" i="2"/>
  <c r="X338" i="2" s="1"/>
  <c r="W339" i="2"/>
  <c r="X339" i="2" s="1"/>
  <c r="W340" i="2"/>
  <c r="X340" i="2" s="1"/>
  <c r="W341" i="2"/>
  <c r="X341" i="2" s="1"/>
  <c r="W342" i="2"/>
  <c r="X342" i="2" s="1"/>
  <c r="W343" i="2"/>
  <c r="X343" i="2" s="1"/>
  <c r="W344" i="2"/>
  <c r="X344" i="2" s="1"/>
  <c r="W50" i="2"/>
  <c r="W345" i="2"/>
  <c r="X345" i="2" s="1"/>
  <c r="W346" i="2"/>
  <c r="X346" i="2" s="1"/>
  <c r="W347" i="2"/>
  <c r="X347" i="2" s="1"/>
  <c r="W348" i="2"/>
  <c r="X348" i="2" s="1"/>
  <c r="W11" i="2"/>
  <c r="X11" i="2" s="1"/>
  <c r="W349" i="2"/>
  <c r="X349" i="2" s="1"/>
  <c r="W350" i="2"/>
  <c r="X350" i="2" s="1"/>
  <c r="W351" i="2"/>
  <c r="X351" i="2" s="1"/>
  <c r="W352" i="2"/>
  <c r="X352" i="2" s="1"/>
  <c r="W353" i="2"/>
  <c r="X353" i="2" s="1"/>
  <c r="W354" i="2"/>
  <c r="X354" i="2" s="1"/>
  <c r="W355" i="2"/>
  <c r="X355" i="2" s="1"/>
  <c r="W356" i="2"/>
  <c r="X356" i="2" s="1"/>
  <c r="W357" i="2"/>
  <c r="X357" i="2" s="1"/>
  <c r="W358" i="2"/>
  <c r="X358" i="2" s="1"/>
  <c r="W359" i="2"/>
  <c r="X359" i="2" s="1"/>
  <c r="W360" i="2"/>
  <c r="X360" i="2" s="1"/>
  <c r="W361" i="2"/>
  <c r="X361" i="2" s="1"/>
  <c r="W12" i="2"/>
  <c r="X12" i="2" s="1"/>
  <c r="W176" i="2"/>
  <c r="X176" i="2" s="1"/>
  <c r="W362" i="2"/>
  <c r="X362" i="2" s="1"/>
  <c r="W363" i="2"/>
  <c r="X363" i="2" s="1"/>
  <c r="W364" i="2"/>
  <c r="X364" i="2" s="1"/>
  <c r="W68" i="2"/>
  <c r="X68" i="2" s="1"/>
  <c r="W365" i="2"/>
  <c r="X365" i="2" s="1"/>
  <c r="W366" i="2"/>
  <c r="X366" i="2" s="1"/>
  <c r="W367" i="2"/>
  <c r="X367" i="2" s="1"/>
  <c r="W368" i="2"/>
  <c r="X368" i="2" s="1"/>
  <c r="W369" i="2"/>
  <c r="X369" i="2" s="1"/>
  <c r="W370" i="2"/>
  <c r="X370" i="2" s="1"/>
  <c r="W371" i="2"/>
  <c r="X371" i="2" s="1"/>
  <c r="W372" i="2"/>
  <c r="X372" i="2" s="1"/>
  <c r="W373" i="2"/>
  <c r="X373" i="2" s="1"/>
  <c r="W55" i="2"/>
  <c r="W374" i="2"/>
  <c r="X374" i="2" s="1"/>
  <c r="W375" i="2"/>
  <c r="X375" i="2" s="1"/>
  <c r="W376" i="2"/>
  <c r="X376" i="2" s="1"/>
  <c r="W377" i="2"/>
  <c r="X377" i="2" s="1"/>
  <c r="W378" i="2"/>
  <c r="X378" i="2" s="1"/>
  <c r="W379" i="2"/>
  <c r="X379" i="2" s="1"/>
  <c r="W380" i="2"/>
  <c r="X380" i="2" s="1"/>
  <c r="W381" i="2"/>
  <c r="X381" i="2" s="1"/>
  <c r="W382" i="2"/>
  <c r="X382" i="2" s="1"/>
  <c r="W383" i="2"/>
  <c r="X383" i="2" s="1"/>
  <c r="W384" i="2"/>
  <c r="X384" i="2" s="1"/>
  <c r="W385" i="2"/>
  <c r="X385" i="2" s="1"/>
  <c r="W386" i="2"/>
  <c r="X386" i="2" s="1"/>
  <c r="W387" i="2"/>
  <c r="X387" i="2" s="1"/>
  <c r="W164" i="2"/>
  <c r="X164" i="2" s="1"/>
  <c r="W389" i="2"/>
  <c r="X389" i="2" s="1"/>
  <c r="W390" i="2"/>
  <c r="X390" i="2" s="1"/>
  <c r="W391" i="2"/>
  <c r="X391" i="2" s="1"/>
  <c r="W392" i="2"/>
  <c r="X392" i="2" s="1"/>
  <c r="W393" i="2"/>
  <c r="X393" i="2" s="1"/>
  <c r="W394" i="2"/>
  <c r="X394" i="2" s="1"/>
  <c r="W395" i="2"/>
  <c r="X395" i="2" s="1"/>
  <c r="W396" i="2"/>
  <c r="X396" i="2" s="1"/>
  <c r="W397" i="2"/>
  <c r="X397" i="2" s="1"/>
  <c r="W398" i="2"/>
  <c r="X398" i="2" s="1"/>
  <c r="W399" i="2"/>
  <c r="X399" i="2" s="1"/>
  <c r="W400" i="2"/>
  <c r="X400" i="2" s="1"/>
  <c r="W401" i="2"/>
  <c r="X401" i="2" s="1"/>
  <c r="W402" i="2"/>
  <c r="X402" i="2" s="1"/>
  <c r="W403" i="2"/>
  <c r="X403" i="2" s="1"/>
  <c r="W404" i="2"/>
  <c r="X404" i="2" s="1"/>
  <c r="W405" i="2"/>
  <c r="X405" i="2" s="1"/>
  <c r="W406" i="2"/>
  <c r="X406" i="2" s="1"/>
  <c r="W407" i="2"/>
  <c r="X407" i="2" s="1"/>
  <c r="W408" i="2"/>
  <c r="X408" i="2" s="1"/>
  <c r="W409" i="2"/>
  <c r="X409" i="2" s="1"/>
  <c r="W410" i="2"/>
  <c r="X410" i="2" s="1"/>
  <c r="W411" i="2"/>
  <c r="X411" i="2" s="1"/>
  <c r="W412" i="2"/>
  <c r="X412" i="2" s="1"/>
  <c r="W13" i="2"/>
  <c r="X13" i="2" s="1"/>
  <c r="W165" i="2"/>
  <c r="X165" i="2" s="1"/>
  <c r="W414" i="2"/>
  <c r="X414" i="2" s="1"/>
  <c r="W415" i="2"/>
  <c r="X415" i="2" s="1"/>
  <c r="W416" i="2"/>
  <c r="X416" i="2" s="1"/>
  <c r="W417" i="2"/>
  <c r="X417" i="2" s="1"/>
  <c r="W418" i="2"/>
  <c r="X418" i="2" s="1"/>
  <c r="W419" i="2"/>
  <c r="X419" i="2" s="1"/>
  <c r="W420" i="2"/>
  <c r="X420" i="2" s="1"/>
  <c r="W421" i="2"/>
  <c r="X421" i="2" s="1"/>
  <c r="W85" i="2"/>
  <c r="W422" i="2"/>
  <c r="X422" i="2" s="1"/>
  <c r="W423" i="2"/>
  <c r="X423" i="2" s="1"/>
  <c r="W424" i="2"/>
  <c r="X424" i="2" s="1"/>
  <c r="W425" i="2"/>
  <c r="X425" i="2" s="1"/>
  <c r="W426" i="2"/>
  <c r="X426" i="2" s="1"/>
  <c r="W427" i="2"/>
  <c r="X427" i="2" s="1"/>
  <c r="W428" i="2"/>
  <c r="X428" i="2" s="1"/>
  <c r="W429" i="2"/>
  <c r="X429" i="2" s="1"/>
  <c r="W430" i="2"/>
  <c r="X430" i="2" s="1"/>
  <c r="W431" i="2"/>
  <c r="X431" i="2" s="1"/>
  <c r="W432" i="2"/>
  <c r="X432" i="2" s="1"/>
  <c r="W433" i="2"/>
  <c r="X433" i="2" s="1"/>
  <c r="W434" i="2"/>
  <c r="X434" i="2" s="1"/>
  <c r="W435" i="2"/>
  <c r="X435" i="2" s="1"/>
  <c r="W436" i="2"/>
  <c r="X436" i="2" s="1"/>
  <c r="W437" i="2"/>
  <c r="X437" i="2" s="1"/>
  <c r="W438" i="2"/>
  <c r="X438" i="2" s="1"/>
  <c r="W439" i="2"/>
  <c r="X439" i="2" s="1"/>
  <c r="W440" i="2"/>
  <c r="X440" i="2" s="1"/>
  <c r="W441" i="2"/>
  <c r="X441" i="2" s="1"/>
  <c r="W442" i="2"/>
  <c r="X442" i="2" s="1"/>
  <c r="W443" i="2"/>
  <c r="X443" i="2" s="1"/>
  <c r="W444" i="2"/>
  <c r="X444" i="2" s="1"/>
  <c r="W445" i="2"/>
  <c r="X445" i="2" s="1"/>
  <c r="W446" i="2"/>
  <c r="X446" i="2" s="1"/>
  <c r="W447" i="2"/>
  <c r="X447" i="2" s="1"/>
  <c r="W448" i="2"/>
  <c r="X448" i="2" s="1"/>
  <c r="W449" i="2"/>
  <c r="X449" i="2" s="1"/>
  <c r="W450" i="2"/>
  <c r="X450" i="2" s="1"/>
  <c r="W451" i="2"/>
  <c r="X451" i="2" s="1"/>
  <c r="W452" i="2"/>
  <c r="X452" i="2" s="1"/>
  <c r="W453" i="2"/>
  <c r="X453" i="2" s="1"/>
  <c r="W454" i="2"/>
  <c r="X454" i="2" s="1"/>
  <c r="W455" i="2"/>
  <c r="X455" i="2" s="1"/>
  <c r="W456" i="2"/>
  <c r="X456" i="2" s="1"/>
  <c r="W457" i="2"/>
  <c r="X457" i="2" s="1"/>
  <c r="W458" i="2"/>
  <c r="X458" i="2" s="1"/>
  <c r="W459" i="2"/>
  <c r="X459" i="2" s="1"/>
  <c r="W52" i="2"/>
  <c r="W460" i="2"/>
  <c r="X460" i="2" s="1"/>
  <c r="W461" i="2"/>
  <c r="X461" i="2" s="1"/>
  <c r="W462" i="2"/>
  <c r="X462" i="2" s="1"/>
  <c r="W463" i="2"/>
  <c r="X463" i="2" s="1"/>
  <c r="W464" i="2"/>
  <c r="X464" i="2" s="1"/>
  <c r="W465" i="2"/>
  <c r="X465" i="2" s="1"/>
  <c r="W466" i="2"/>
  <c r="X466" i="2" s="1"/>
  <c r="W467" i="2"/>
  <c r="X467" i="2" s="1"/>
  <c r="W468" i="2"/>
  <c r="X468" i="2" s="1"/>
  <c r="W469" i="2"/>
  <c r="X469" i="2" s="1"/>
  <c r="W470" i="2"/>
  <c r="X470" i="2" s="1"/>
  <c r="W471" i="2"/>
  <c r="X471" i="2" s="1"/>
  <c r="W472" i="2"/>
  <c r="X472" i="2" s="1"/>
  <c r="W473" i="2"/>
  <c r="X473" i="2" s="1"/>
  <c r="W474" i="2"/>
  <c r="X474" i="2" s="1"/>
  <c r="W475" i="2"/>
  <c r="X475" i="2" s="1"/>
  <c r="W476" i="2"/>
  <c r="X476" i="2" s="1"/>
  <c r="W56" i="2"/>
  <c r="W477" i="2"/>
  <c r="X477" i="2" s="1"/>
  <c r="W478" i="2"/>
  <c r="X478" i="2" s="1"/>
  <c r="W14" i="2"/>
  <c r="X14" i="2" s="1"/>
  <c r="W479" i="2"/>
  <c r="X479" i="2" s="1"/>
  <c r="W480" i="2"/>
  <c r="X480" i="2" s="1"/>
  <c r="W481" i="2"/>
  <c r="X481" i="2" s="1"/>
  <c r="W482" i="2"/>
  <c r="X482" i="2" s="1"/>
  <c r="W483" i="2"/>
  <c r="X483" i="2" s="1"/>
  <c r="W484" i="2"/>
  <c r="X484" i="2" s="1"/>
  <c r="W485" i="2"/>
  <c r="X485" i="2" s="1"/>
  <c r="W187" i="2"/>
  <c r="X187" i="2" s="1"/>
  <c r="W487" i="2"/>
  <c r="X487" i="2" s="1"/>
  <c r="W15" i="2"/>
  <c r="X15" i="2" s="1"/>
  <c r="W16" i="2"/>
  <c r="X16" i="2" s="1"/>
  <c r="W488" i="2"/>
  <c r="X488" i="2" s="1"/>
  <c r="W489" i="2"/>
  <c r="X489" i="2" s="1"/>
  <c r="W490" i="2"/>
  <c r="X490" i="2" s="1"/>
  <c r="W491" i="2"/>
  <c r="X491" i="2" s="1"/>
  <c r="W492" i="2"/>
  <c r="X492" i="2" s="1"/>
  <c r="W493" i="2"/>
  <c r="X493" i="2" s="1"/>
  <c r="W494" i="2"/>
  <c r="X494" i="2" s="1"/>
  <c r="W495" i="2"/>
  <c r="X495" i="2" s="1"/>
  <c r="W496" i="2"/>
  <c r="X496" i="2" s="1"/>
  <c r="W17" i="2"/>
  <c r="X17" i="2" s="1"/>
  <c r="W497" i="2"/>
  <c r="X497" i="2" s="1"/>
  <c r="W498" i="2"/>
  <c r="X498" i="2" s="1"/>
  <c r="W18" i="2"/>
  <c r="X18" i="2" s="1"/>
  <c r="W499" i="2"/>
  <c r="X499" i="2" s="1"/>
  <c r="W500" i="2"/>
  <c r="X500" i="2" s="1"/>
  <c r="W501" i="2"/>
  <c r="X501" i="2" s="1"/>
  <c r="W502" i="2"/>
  <c r="X502" i="2" s="1"/>
  <c r="W503" i="2"/>
  <c r="X503" i="2" s="1"/>
  <c r="W504" i="2"/>
  <c r="X504" i="2" s="1"/>
  <c r="W505" i="2"/>
  <c r="X505" i="2" s="1"/>
  <c r="W506" i="2"/>
  <c r="X506" i="2" s="1"/>
  <c r="W507" i="2"/>
  <c r="X507" i="2" s="1"/>
  <c r="W508" i="2"/>
  <c r="X508" i="2" s="1"/>
  <c r="W509" i="2"/>
  <c r="X509" i="2" s="1"/>
  <c r="W510" i="2"/>
  <c r="X510" i="2" s="1"/>
  <c r="W511" i="2"/>
  <c r="X511" i="2" s="1"/>
  <c r="W512" i="2"/>
  <c r="X512" i="2" s="1"/>
  <c r="W513" i="2"/>
  <c r="X513" i="2" s="1"/>
  <c r="W514" i="2"/>
  <c r="X514" i="2" s="1"/>
  <c r="W515" i="2"/>
  <c r="X515" i="2" s="1"/>
  <c r="W516" i="2"/>
  <c r="X516" i="2" s="1"/>
  <c r="W517" i="2"/>
  <c r="X517" i="2" s="1"/>
  <c r="W518" i="2"/>
  <c r="X518" i="2" s="1"/>
  <c r="W519" i="2"/>
  <c r="X519" i="2" s="1"/>
  <c r="W520" i="2"/>
  <c r="X520" i="2" s="1"/>
  <c r="W521" i="2"/>
  <c r="X521" i="2" s="1"/>
  <c r="W522" i="2"/>
  <c r="X522" i="2" s="1"/>
  <c r="W523" i="2"/>
  <c r="X523" i="2" s="1"/>
  <c r="W524" i="2"/>
  <c r="X524" i="2" s="1"/>
  <c r="W525" i="2"/>
  <c r="X525" i="2" s="1"/>
  <c r="W526" i="2"/>
  <c r="X526" i="2" s="1"/>
  <c r="W527" i="2"/>
  <c r="X527" i="2" s="1"/>
  <c r="W528" i="2"/>
  <c r="X528" i="2" s="1"/>
  <c r="W529" i="2"/>
  <c r="X529" i="2" s="1"/>
  <c r="W530" i="2"/>
  <c r="X530" i="2" s="1"/>
  <c r="W19" i="2"/>
  <c r="X19" i="2" s="1"/>
  <c r="W531" i="2"/>
  <c r="X531" i="2" s="1"/>
  <c r="W532" i="2"/>
  <c r="X532" i="2" s="1"/>
  <c r="W533" i="2"/>
  <c r="X533" i="2" s="1"/>
  <c r="W534" i="2"/>
  <c r="X534" i="2" s="1"/>
  <c r="W535" i="2"/>
  <c r="X535" i="2" s="1"/>
  <c r="W536" i="2"/>
  <c r="X536" i="2" s="1"/>
  <c r="W537" i="2"/>
  <c r="X537" i="2" s="1"/>
  <c r="W538" i="2"/>
  <c r="X538" i="2" s="1"/>
  <c r="W539" i="2"/>
  <c r="X539" i="2" s="1"/>
  <c r="W540" i="2"/>
  <c r="X540" i="2" s="1"/>
  <c r="W541" i="2"/>
  <c r="X541" i="2" s="1"/>
  <c r="W542" i="2"/>
  <c r="X542" i="2" s="1"/>
  <c r="W543" i="2"/>
  <c r="X543" i="2" s="1"/>
  <c r="W544" i="2"/>
  <c r="X544" i="2" s="1"/>
  <c r="W20" i="2"/>
  <c r="X20" i="2" s="1"/>
  <c r="W545" i="2"/>
  <c r="X545" i="2" s="1"/>
  <c r="W546" i="2"/>
  <c r="X546" i="2" s="1"/>
  <c r="W547" i="2"/>
  <c r="X547" i="2" s="1"/>
  <c r="W548" i="2"/>
  <c r="X548" i="2" s="1"/>
  <c r="W549" i="2"/>
  <c r="X549" i="2" s="1"/>
  <c r="W22" i="2"/>
  <c r="X22" i="2" s="1"/>
  <c r="W550" i="2"/>
  <c r="X550" i="2" s="1"/>
  <c r="W551" i="2"/>
  <c r="X551" i="2" s="1"/>
  <c r="W552" i="2"/>
  <c r="X552" i="2" s="1"/>
  <c r="W553" i="2"/>
  <c r="X553" i="2" s="1"/>
  <c r="W554" i="2"/>
  <c r="X554" i="2" s="1"/>
  <c r="W555" i="2"/>
  <c r="X555" i="2" s="1"/>
  <c r="W556" i="2"/>
  <c r="X556" i="2" s="1"/>
  <c r="W557" i="2"/>
  <c r="X557" i="2" s="1"/>
  <c r="W558" i="2"/>
  <c r="X558" i="2" s="1"/>
  <c r="W559" i="2"/>
  <c r="X559" i="2" s="1"/>
  <c r="W560" i="2"/>
  <c r="X560" i="2" s="1"/>
  <c r="W561" i="2"/>
  <c r="X561" i="2" s="1"/>
  <c r="W562" i="2"/>
  <c r="X562" i="2" s="1"/>
  <c r="W563" i="2"/>
  <c r="X563" i="2" s="1"/>
  <c r="W564" i="2"/>
  <c r="X564" i="2" s="1"/>
  <c r="W565" i="2"/>
  <c r="X565" i="2" s="1"/>
  <c r="W566" i="2"/>
  <c r="X566" i="2" s="1"/>
  <c r="W567" i="2"/>
  <c r="X567" i="2" s="1"/>
  <c r="W568" i="2"/>
  <c r="X568" i="2" s="1"/>
  <c r="W569" i="2"/>
  <c r="X569" i="2" s="1"/>
  <c r="W570" i="2"/>
  <c r="X570" i="2" s="1"/>
  <c r="W571" i="2"/>
  <c r="X571" i="2" s="1"/>
  <c r="W572" i="2"/>
  <c r="X572" i="2" s="1"/>
  <c r="W166" i="2"/>
  <c r="X166" i="2" s="1"/>
  <c r="W573" i="2"/>
  <c r="X573" i="2" s="1"/>
  <c r="W574" i="2"/>
  <c r="X574" i="2" s="1"/>
  <c r="W575" i="2"/>
  <c r="X575" i="2" s="1"/>
  <c r="W167" i="2"/>
  <c r="X167" i="2" s="1"/>
  <c r="W576" i="2"/>
  <c r="X576" i="2" s="1"/>
  <c r="W577" i="2"/>
  <c r="X577" i="2" s="1"/>
  <c r="W578" i="2"/>
  <c r="X578" i="2" s="1"/>
  <c r="X23" i="2"/>
  <c r="W579" i="2"/>
  <c r="X579" i="2" s="1"/>
  <c r="W24" i="2"/>
  <c r="X24" i="2" s="1"/>
  <c r="W580" i="2"/>
  <c r="X580" i="2" s="1"/>
  <c r="W581" i="2"/>
  <c r="X581" i="2" s="1"/>
  <c r="W582" i="2"/>
  <c r="X582" i="2" s="1"/>
  <c r="W583" i="2"/>
  <c r="X583" i="2" s="1"/>
  <c r="W584" i="2"/>
  <c r="X584" i="2" s="1"/>
  <c r="W585" i="2"/>
  <c r="X585" i="2" s="1"/>
  <c r="W586" i="2"/>
  <c r="X586" i="2" s="1"/>
  <c r="W84" i="2"/>
  <c r="W587" i="2"/>
  <c r="X587" i="2" s="1"/>
  <c r="W588" i="2"/>
  <c r="X588" i="2" s="1"/>
  <c r="W589" i="2"/>
  <c r="X589" i="2" s="1"/>
  <c r="W590" i="2"/>
  <c r="X590" i="2" s="1"/>
  <c r="W591" i="2"/>
  <c r="X591" i="2" s="1"/>
  <c r="W592" i="2"/>
  <c r="X592" i="2" s="1"/>
  <c r="W593" i="2"/>
  <c r="X593" i="2" s="1"/>
  <c r="W594" i="2"/>
  <c r="X594" i="2" s="1"/>
  <c r="W595" i="2"/>
  <c r="X595" i="2" s="1"/>
  <c r="W596" i="2"/>
  <c r="X596" i="2" s="1"/>
  <c r="W597" i="2"/>
  <c r="X597" i="2" s="1"/>
  <c r="W598" i="2"/>
  <c r="X598" i="2" s="1"/>
  <c r="W599" i="2"/>
  <c r="X599" i="2" s="1"/>
  <c r="W600" i="2"/>
  <c r="X600" i="2" s="1"/>
  <c r="W601" i="2"/>
  <c r="X601" i="2" s="1"/>
  <c r="W602" i="2"/>
  <c r="X602" i="2" s="1"/>
  <c r="W603" i="2"/>
  <c r="X603" i="2" s="1"/>
  <c r="W604" i="2"/>
  <c r="X604" i="2" s="1"/>
  <c r="W605" i="2"/>
  <c r="X605" i="2" s="1"/>
  <c r="W606" i="2"/>
  <c r="X606" i="2" s="1"/>
  <c r="W607" i="2"/>
  <c r="X607" i="2" s="1"/>
  <c r="W608" i="2"/>
  <c r="X608" i="2" s="1"/>
  <c r="W609" i="2"/>
  <c r="X609" i="2" s="1"/>
  <c r="W610" i="2"/>
  <c r="X610" i="2" s="1"/>
  <c r="W611" i="2"/>
  <c r="X611" i="2" s="1"/>
  <c r="W612" i="2"/>
  <c r="X612" i="2" s="1"/>
  <c r="W613" i="2"/>
  <c r="X613" i="2" s="1"/>
  <c r="W25" i="2"/>
  <c r="X25" i="2" s="1"/>
  <c r="W614" i="2"/>
  <c r="X614" i="2" s="1"/>
  <c r="W615" i="2"/>
  <c r="X615" i="2" s="1"/>
  <c r="W616" i="2"/>
  <c r="X616" i="2" s="1"/>
  <c r="W617" i="2"/>
  <c r="X617" i="2" s="1"/>
  <c r="W618" i="2"/>
  <c r="X618" i="2" s="1"/>
  <c r="W619" i="2"/>
  <c r="X619" i="2" s="1"/>
  <c r="W620" i="2"/>
  <c r="X620" i="2" s="1"/>
  <c r="W621" i="2"/>
  <c r="X621" i="2" s="1"/>
  <c r="W622" i="2"/>
  <c r="X622" i="2" s="1"/>
  <c r="W623" i="2"/>
  <c r="X623" i="2" s="1"/>
  <c r="W624" i="2"/>
  <c r="X624" i="2" s="1"/>
  <c r="W625" i="2"/>
  <c r="X625" i="2" s="1"/>
  <c r="W626" i="2"/>
  <c r="X626" i="2" s="1"/>
  <c r="W627" i="2"/>
  <c r="X627" i="2" s="1"/>
  <c r="W628" i="2"/>
  <c r="X628" i="2" s="1"/>
  <c r="W629" i="2"/>
  <c r="X629" i="2" s="1"/>
  <c r="W630" i="2"/>
  <c r="X630" i="2" s="1"/>
  <c r="W631" i="2"/>
  <c r="X631" i="2" s="1"/>
  <c r="W632" i="2"/>
  <c r="X632" i="2" s="1"/>
  <c r="W633" i="2"/>
  <c r="X633" i="2" s="1"/>
  <c r="W634" i="2"/>
  <c r="X634" i="2" s="1"/>
  <c r="W69" i="2"/>
  <c r="W635" i="2"/>
  <c r="X635" i="2" s="1"/>
  <c r="W636" i="2"/>
  <c r="X636" i="2" s="1"/>
  <c r="W54" i="2"/>
  <c r="W637" i="2"/>
  <c r="X637" i="2" s="1"/>
  <c r="W638" i="2"/>
  <c r="X638" i="2" s="1"/>
  <c r="W639" i="2"/>
  <c r="X639" i="2" s="1"/>
  <c r="W640" i="2"/>
  <c r="X640" i="2" s="1"/>
  <c r="W641" i="2"/>
  <c r="X641" i="2" s="1"/>
  <c r="Q641" i="2" s="1"/>
  <c r="W642" i="2"/>
  <c r="X642" i="2" s="1"/>
  <c r="W155" i="2"/>
  <c r="X155" i="2" s="1"/>
  <c r="W643" i="2"/>
  <c r="X643" i="2" s="1"/>
  <c r="W644" i="2"/>
  <c r="X644" i="2" s="1"/>
  <c r="W645" i="2"/>
  <c r="X645" i="2" s="1"/>
  <c r="W646" i="2"/>
  <c r="X646" i="2" s="1"/>
  <c r="W647" i="2"/>
  <c r="X647" i="2" s="1"/>
  <c r="W138" i="2"/>
  <c r="X138" i="2" s="1"/>
  <c r="W28" i="2"/>
  <c r="X28" i="2" s="1"/>
  <c r="W648" i="2"/>
  <c r="X648" i="2" s="1"/>
  <c r="W649" i="2"/>
  <c r="X649" i="2" s="1"/>
  <c r="W650" i="2"/>
  <c r="X650" i="2" s="1"/>
  <c r="W651" i="2"/>
  <c r="X651" i="2" s="1"/>
  <c r="X29" i="2"/>
  <c r="W652" i="2"/>
  <c r="X652" i="2" s="1"/>
  <c r="W653" i="2"/>
  <c r="X653" i="2" s="1"/>
  <c r="W654" i="2"/>
  <c r="X654" i="2" s="1"/>
  <c r="W655" i="2"/>
  <c r="X655" i="2" s="1"/>
  <c r="W656" i="2"/>
  <c r="X656" i="2" s="1"/>
  <c r="W657" i="2"/>
  <c r="X657" i="2" s="1"/>
  <c r="W30" i="2"/>
  <c r="X30" i="2" s="1"/>
  <c r="W658" i="2"/>
  <c r="X658" i="2" s="1"/>
  <c r="W70" i="2"/>
  <c r="W659" i="2"/>
  <c r="X659" i="2" s="1"/>
  <c r="W660" i="2"/>
  <c r="X660" i="2" s="1"/>
  <c r="W661" i="2"/>
  <c r="X661" i="2" s="1"/>
  <c r="W662" i="2"/>
  <c r="X662" i="2" s="1"/>
  <c r="W663" i="2"/>
  <c r="X663" i="2" s="1"/>
  <c r="W664" i="2"/>
  <c r="X664" i="2" s="1"/>
  <c r="W665" i="2"/>
  <c r="X665" i="2" s="1"/>
  <c r="W666" i="2"/>
  <c r="X666" i="2" s="1"/>
  <c r="W667" i="2"/>
  <c r="X667" i="2" s="1"/>
  <c r="W668" i="2"/>
  <c r="X668" i="2" s="1"/>
  <c r="W669" i="2"/>
  <c r="X669" i="2" s="1"/>
  <c r="W670" i="2"/>
  <c r="X670" i="2" s="1"/>
  <c r="W671" i="2"/>
  <c r="X671" i="2" s="1"/>
  <c r="W672" i="2"/>
  <c r="X672" i="2" s="1"/>
  <c r="W175" i="2"/>
  <c r="X175" i="2" s="1"/>
  <c r="W674" i="2"/>
  <c r="X674" i="2" s="1"/>
  <c r="W675" i="2"/>
  <c r="X675" i="2" s="1"/>
  <c r="W676" i="2"/>
  <c r="X676" i="2" s="1"/>
  <c r="W677" i="2"/>
  <c r="X677" i="2" s="1"/>
  <c r="W678" i="2"/>
  <c r="X678" i="2" s="1"/>
  <c r="W57" i="2"/>
  <c r="W679" i="2"/>
  <c r="X679" i="2" s="1"/>
  <c r="W680" i="2"/>
  <c r="X680" i="2" s="1"/>
  <c r="W681" i="2"/>
  <c r="X681" i="2" s="1"/>
  <c r="W682" i="2"/>
  <c r="X682" i="2" s="1"/>
  <c r="W683" i="2"/>
  <c r="X683" i="2" s="1"/>
  <c r="W32" i="2"/>
  <c r="X32" i="2" s="1"/>
  <c r="W684" i="2"/>
  <c r="X684" i="2" s="1"/>
  <c r="W685" i="2"/>
  <c r="X685" i="2" s="1"/>
  <c r="W686" i="2"/>
  <c r="X686" i="2" s="1"/>
  <c r="W687" i="2"/>
  <c r="X687" i="2" s="1"/>
  <c r="W688" i="2"/>
  <c r="X688" i="2" s="1"/>
  <c r="W689" i="2"/>
  <c r="X689" i="2" s="1"/>
  <c r="W690" i="2"/>
  <c r="X690" i="2" s="1"/>
  <c r="W691" i="2"/>
  <c r="X691" i="2" s="1"/>
  <c r="W692" i="2"/>
  <c r="X692" i="2" s="1"/>
  <c r="W693" i="2"/>
  <c r="X693" i="2" s="1"/>
  <c r="W694" i="2"/>
  <c r="X694" i="2" s="1"/>
  <c r="W33" i="2"/>
  <c r="X33" i="2" s="1"/>
  <c r="W695" i="2"/>
  <c r="X695" i="2" s="1"/>
  <c r="W696" i="2"/>
  <c r="X696" i="2" s="1"/>
  <c r="W697" i="2"/>
  <c r="X697" i="2" s="1"/>
  <c r="W698" i="2"/>
  <c r="X698" i="2" s="1"/>
  <c r="W699" i="2"/>
  <c r="X699" i="2" s="1"/>
  <c r="W700" i="2"/>
  <c r="X700" i="2" s="1"/>
  <c r="W701" i="2"/>
  <c r="X701" i="2" s="1"/>
  <c r="W702" i="2"/>
  <c r="X702" i="2" s="1"/>
  <c r="W703" i="2"/>
  <c r="X703" i="2" s="1"/>
  <c r="W704" i="2"/>
  <c r="X704" i="2" s="1"/>
  <c r="W705" i="2"/>
  <c r="X705" i="2" s="1"/>
  <c r="W706" i="2"/>
  <c r="X706" i="2" s="1"/>
  <c r="W707" i="2"/>
  <c r="X707" i="2" s="1"/>
  <c r="W708" i="2"/>
  <c r="X708" i="2" s="1"/>
  <c r="W709" i="2"/>
  <c r="X709" i="2" s="1"/>
  <c r="W710" i="2"/>
  <c r="X710" i="2" s="1"/>
  <c r="W711" i="2"/>
  <c r="X711" i="2" s="1"/>
  <c r="W712" i="2"/>
  <c r="X712" i="2" s="1"/>
  <c r="W713" i="2"/>
  <c r="X713" i="2" s="1"/>
  <c r="W34" i="2"/>
  <c r="X34" i="2" s="1"/>
  <c r="W714" i="2"/>
  <c r="X714" i="2" s="1"/>
  <c r="W715" i="2"/>
  <c r="X715" i="2" s="1"/>
  <c r="W716" i="2"/>
  <c r="X716" i="2" s="1"/>
  <c r="W717" i="2"/>
  <c r="X717" i="2" s="1"/>
  <c r="W718" i="2"/>
  <c r="X718" i="2" s="1"/>
  <c r="W719" i="2"/>
  <c r="X719" i="2" s="1"/>
  <c r="W720" i="2"/>
  <c r="X720" i="2" s="1"/>
  <c r="W721" i="2"/>
  <c r="X721" i="2" s="1"/>
  <c r="W722" i="2"/>
  <c r="X722" i="2" s="1"/>
  <c r="W723" i="2"/>
  <c r="X723" i="2" s="1"/>
  <c r="W724" i="2"/>
  <c r="X724" i="2" s="1"/>
  <c r="W71" i="2"/>
  <c r="W725" i="2"/>
  <c r="X725" i="2" s="1"/>
  <c r="W726" i="2"/>
  <c r="X726" i="2" s="1"/>
  <c r="W727" i="2"/>
  <c r="X727" i="2" s="1"/>
  <c r="W728" i="2"/>
  <c r="X728" i="2" s="1"/>
  <c r="W729" i="2"/>
  <c r="X729" i="2" s="1"/>
  <c r="W730" i="2"/>
  <c r="X730" i="2" s="1"/>
  <c r="W731" i="2"/>
  <c r="X731" i="2" s="1"/>
  <c r="W732" i="2"/>
  <c r="X732" i="2" s="1"/>
  <c r="W733" i="2"/>
  <c r="X733" i="2" s="1"/>
  <c r="W734" i="2"/>
  <c r="X734" i="2" s="1"/>
  <c r="W735" i="2"/>
  <c r="X735" i="2" s="1"/>
  <c r="W736" i="2"/>
  <c r="X736" i="2" s="1"/>
  <c r="W737" i="2"/>
  <c r="X737" i="2" s="1"/>
  <c r="W738" i="2"/>
  <c r="X738" i="2" s="1"/>
  <c r="W739" i="2"/>
  <c r="X739" i="2" s="1"/>
  <c r="W740" i="2"/>
  <c r="X740" i="2" s="1"/>
  <c r="W741" i="2"/>
  <c r="X741" i="2" s="1"/>
  <c r="W742" i="2"/>
  <c r="X742" i="2" s="1"/>
  <c r="W743" i="2"/>
  <c r="X743" i="2" s="1"/>
  <c r="W744" i="2"/>
  <c r="X744" i="2" s="1"/>
  <c r="W745" i="2"/>
  <c r="X745" i="2" s="1"/>
  <c r="W746" i="2"/>
  <c r="X746" i="2" s="1"/>
  <c r="W747" i="2"/>
  <c r="X747" i="2" s="1"/>
  <c r="W748" i="2"/>
  <c r="X748" i="2" s="1"/>
  <c r="W749" i="2"/>
  <c r="X749" i="2" s="1"/>
  <c r="W750" i="2"/>
  <c r="X750" i="2" s="1"/>
  <c r="W751" i="2"/>
  <c r="X751" i="2" s="1"/>
  <c r="W752" i="2"/>
  <c r="X752" i="2" s="1"/>
  <c r="W753" i="2"/>
  <c r="X753" i="2" s="1"/>
  <c r="W754" i="2"/>
  <c r="X754" i="2" s="1"/>
  <c r="W755" i="2"/>
  <c r="X755" i="2" s="1"/>
  <c r="W756" i="2"/>
  <c r="X756" i="2" s="1"/>
  <c r="W757" i="2"/>
  <c r="X757" i="2" s="1"/>
  <c r="W758" i="2"/>
  <c r="X758" i="2" s="1"/>
  <c r="W759" i="2"/>
  <c r="X759" i="2" s="1"/>
  <c r="W760" i="2"/>
  <c r="X760" i="2" s="1"/>
  <c r="W761" i="2"/>
  <c r="X761" i="2" s="1"/>
  <c r="W762" i="2"/>
  <c r="X762" i="2" s="1"/>
  <c r="W763" i="2"/>
  <c r="X763" i="2" s="1"/>
  <c r="W764" i="2"/>
  <c r="X764" i="2" s="1"/>
  <c r="W765" i="2"/>
  <c r="X765" i="2" s="1"/>
  <c r="W766" i="2"/>
  <c r="X766" i="2" s="1"/>
  <c r="W767" i="2"/>
  <c r="X767" i="2" s="1"/>
  <c r="W768" i="2"/>
  <c r="X768" i="2" s="1"/>
  <c r="W769" i="2"/>
  <c r="X769" i="2" s="1"/>
  <c r="W770" i="2"/>
  <c r="X770" i="2" s="1"/>
  <c r="W771" i="2"/>
  <c r="X771" i="2" s="1"/>
  <c r="W772" i="2"/>
  <c r="X772" i="2" s="1"/>
  <c r="W99" i="2"/>
  <c r="X99" i="2" s="1"/>
  <c r="W773" i="2"/>
  <c r="X773" i="2" s="1"/>
  <c r="W774" i="2"/>
  <c r="X774" i="2" s="1"/>
  <c r="W775" i="2"/>
  <c r="X775" i="2" s="1"/>
  <c r="W776" i="2"/>
  <c r="X776" i="2" s="1"/>
  <c r="W777" i="2"/>
  <c r="X777" i="2" s="1"/>
  <c r="W778" i="2"/>
  <c r="X778" i="2" s="1"/>
  <c r="W779" i="2"/>
  <c r="X779" i="2" s="1"/>
  <c r="W780" i="2"/>
  <c r="X780" i="2" s="1"/>
  <c r="W781" i="2"/>
  <c r="X781" i="2" s="1"/>
  <c r="W782" i="2"/>
  <c r="X782" i="2" s="1"/>
  <c r="W783" i="2"/>
  <c r="X783" i="2" s="1"/>
  <c r="W784" i="2"/>
  <c r="X784" i="2" s="1"/>
  <c r="W785" i="2"/>
  <c r="X785" i="2" s="1"/>
  <c r="W786" i="2"/>
  <c r="X786" i="2" s="1"/>
  <c r="W787" i="2"/>
  <c r="X787" i="2" s="1"/>
  <c r="W788" i="2"/>
  <c r="X788" i="2" s="1"/>
  <c r="W789" i="2"/>
  <c r="X789" i="2" s="1"/>
  <c r="W790" i="2"/>
  <c r="X790" i="2" s="1"/>
  <c r="W791" i="2"/>
  <c r="X791" i="2" s="1"/>
  <c r="W792" i="2"/>
  <c r="X792" i="2" s="1"/>
  <c r="W793" i="2"/>
  <c r="X793" i="2" s="1"/>
  <c r="W794" i="2"/>
  <c r="X794" i="2" s="1"/>
  <c r="W795" i="2"/>
  <c r="X795" i="2" s="1"/>
  <c r="W796" i="2"/>
  <c r="X796" i="2" s="1"/>
  <c r="W168" i="2"/>
  <c r="X168" i="2" s="1"/>
  <c r="W797" i="2"/>
  <c r="X797" i="2" s="1"/>
  <c r="W798" i="2"/>
  <c r="X798" i="2" s="1"/>
  <c r="W799" i="2"/>
  <c r="X799" i="2" s="1"/>
  <c r="W800" i="2"/>
  <c r="X800" i="2" s="1"/>
  <c r="W135" i="2"/>
  <c r="X135" i="2" s="1"/>
  <c r="W801" i="2"/>
  <c r="X801" i="2" s="1"/>
  <c r="W160" i="2"/>
  <c r="X160" i="2" s="1"/>
  <c r="W802" i="2"/>
  <c r="X802" i="2" s="1"/>
  <c r="W803" i="2"/>
  <c r="X803" i="2" s="1"/>
  <c r="W804" i="2"/>
  <c r="X804" i="2" s="1"/>
  <c r="W805" i="2"/>
  <c r="X805" i="2" s="1"/>
  <c r="W806" i="2"/>
  <c r="X806" i="2" s="1"/>
  <c r="W807" i="2"/>
  <c r="X807" i="2" s="1"/>
  <c r="W808" i="2"/>
  <c r="X808" i="2" s="1"/>
  <c r="W809" i="2"/>
  <c r="X809" i="2" s="1"/>
  <c r="W810" i="2"/>
  <c r="X810" i="2" s="1"/>
  <c r="W811" i="2"/>
  <c r="X811" i="2" s="1"/>
  <c r="W812" i="2"/>
  <c r="X812" i="2" s="1"/>
  <c r="W813" i="2"/>
  <c r="X813" i="2" s="1"/>
  <c r="W814" i="2"/>
  <c r="X814" i="2" s="1"/>
  <c r="W815" i="2"/>
  <c r="X815" i="2" s="1"/>
  <c r="W816" i="2"/>
  <c r="X816" i="2" s="1"/>
  <c r="W817" i="2"/>
  <c r="X817" i="2" s="1"/>
  <c r="W818" i="2"/>
  <c r="X818" i="2" s="1"/>
  <c r="W819" i="2"/>
  <c r="X819" i="2" s="1"/>
  <c r="W142" i="2"/>
  <c r="X142" i="2" s="1"/>
  <c r="W820" i="2"/>
  <c r="X820" i="2" s="1"/>
  <c r="W46" i="2"/>
  <c r="X46" i="2" s="1"/>
  <c r="W821" i="2"/>
  <c r="X821" i="2" s="1"/>
  <c r="W822" i="2"/>
  <c r="X822" i="2" s="1"/>
  <c r="W823" i="2"/>
  <c r="X823" i="2" s="1"/>
  <c r="W96" i="2"/>
  <c r="X96" i="2" s="1"/>
  <c r="W824" i="2"/>
  <c r="X824" i="2" s="1"/>
  <c r="W825" i="2"/>
  <c r="X825" i="2" s="1"/>
  <c r="W826" i="2"/>
  <c r="X826" i="2" s="1"/>
  <c r="W827" i="2"/>
  <c r="X827" i="2" s="1"/>
  <c r="W828" i="2"/>
  <c r="X828" i="2" s="1"/>
  <c r="W829" i="2"/>
  <c r="X829" i="2" s="1"/>
  <c r="W830" i="2"/>
  <c r="X830" i="2" s="1"/>
  <c r="W831" i="2"/>
  <c r="X831" i="2" s="1"/>
  <c r="W832" i="2"/>
  <c r="X832" i="2" s="1"/>
  <c r="W833" i="2"/>
  <c r="X833" i="2" s="1"/>
  <c r="W834" i="2"/>
  <c r="X834" i="2" s="1"/>
  <c r="W835" i="2"/>
  <c r="X835" i="2" s="1"/>
  <c r="W836" i="2"/>
  <c r="X836" i="2" s="1"/>
  <c r="W837" i="2"/>
  <c r="X837" i="2" s="1"/>
  <c r="W838" i="2"/>
  <c r="X838" i="2" s="1"/>
  <c r="W839" i="2"/>
  <c r="X839" i="2" s="1"/>
  <c r="W840" i="2"/>
  <c r="X840" i="2" s="1"/>
  <c r="W841" i="2"/>
  <c r="X841" i="2" s="1"/>
  <c r="W842" i="2"/>
  <c r="X842" i="2" s="1"/>
  <c r="W843" i="2"/>
  <c r="X843" i="2" s="1"/>
  <c r="W844" i="2"/>
  <c r="X844" i="2" s="1"/>
  <c r="W845" i="2"/>
  <c r="X845" i="2" s="1"/>
  <c r="W846" i="2"/>
  <c r="X846" i="2" s="1"/>
  <c r="W847" i="2"/>
  <c r="X847" i="2" s="1"/>
  <c r="W848" i="2"/>
  <c r="X848" i="2" s="1"/>
  <c r="W849" i="2"/>
  <c r="X849" i="2" s="1"/>
  <c r="W850" i="2"/>
  <c r="X850" i="2" s="1"/>
  <c r="W851" i="2"/>
  <c r="X851" i="2" s="1"/>
  <c r="W852" i="2"/>
  <c r="X852" i="2" s="1"/>
  <c r="W853" i="2"/>
  <c r="X853" i="2" s="1"/>
  <c r="W854" i="2"/>
  <c r="X854" i="2" s="1"/>
  <c r="W855" i="2"/>
  <c r="X855" i="2" s="1"/>
  <c r="W856" i="2"/>
  <c r="X856" i="2" s="1"/>
  <c r="W857" i="2"/>
  <c r="X857" i="2" s="1"/>
  <c r="W858" i="2"/>
  <c r="X858" i="2" s="1"/>
  <c r="W859" i="2"/>
  <c r="X859" i="2" s="1"/>
  <c r="W860" i="2"/>
  <c r="X860" i="2" s="1"/>
  <c r="W861" i="2"/>
  <c r="X861" i="2" s="1"/>
  <c r="W862" i="2"/>
  <c r="X862" i="2" s="1"/>
  <c r="W863" i="2"/>
  <c r="X863" i="2" s="1"/>
  <c r="W864" i="2"/>
  <c r="X864" i="2" s="1"/>
  <c r="W865" i="2"/>
  <c r="X865" i="2" s="1"/>
  <c r="W866" i="2"/>
  <c r="X866" i="2" s="1"/>
  <c r="W867" i="2"/>
  <c r="X867" i="2" s="1"/>
  <c r="W868" i="2"/>
  <c r="X868" i="2" s="1"/>
  <c r="W869" i="2"/>
  <c r="X869" i="2" s="1"/>
  <c r="W870" i="2"/>
  <c r="X870" i="2" s="1"/>
  <c r="W871" i="2"/>
  <c r="X871" i="2" s="1"/>
  <c r="W872" i="2"/>
  <c r="X872" i="2" s="1"/>
  <c r="W873" i="2"/>
  <c r="X873" i="2" s="1"/>
  <c r="W874" i="2"/>
  <c r="X874" i="2" s="1"/>
  <c r="W875" i="2"/>
  <c r="X875" i="2" s="1"/>
  <c r="W876" i="2"/>
  <c r="X876" i="2" s="1"/>
  <c r="W877" i="2"/>
  <c r="X877" i="2" s="1"/>
  <c r="W878" i="2"/>
  <c r="X878" i="2" s="1"/>
  <c r="W879" i="2"/>
  <c r="X879" i="2" s="1"/>
  <c r="W880" i="2"/>
  <c r="X880" i="2" s="1"/>
  <c r="W881" i="2"/>
  <c r="X881" i="2" s="1"/>
  <c r="W882" i="2"/>
  <c r="X882" i="2" s="1"/>
  <c r="W883" i="2"/>
  <c r="X883" i="2" s="1"/>
  <c r="W884" i="2"/>
  <c r="X884" i="2" s="1"/>
  <c r="W885" i="2"/>
  <c r="X885" i="2" s="1"/>
  <c r="W886" i="2"/>
  <c r="X886" i="2" s="1"/>
  <c r="W887" i="2"/>
  <c r="X887" i="2" s="1"/>
  <c r="W888" i="2"/>
  <c r="X888" i="2" s="1"/>
  <c r="W889" i="2"/>
  <c r="X889" i="2" s="1"/>
  <c r="W890" i="2"/>
  <c r="X890" i="2" s="1"/>
  <c r="W891" i="2"/>
  <c r="X891" i="2" s="1"/>
  <c r="W892" i="2"/>
  <c r="X892" i="2" s="1"/>
  <c r="W893" i="2"/>
  <c r="X893" i="2" s="1"/>
  <c r="W894" i="2"/>
  <c r="X894" i="2" s="1"/>
  <c r="W58" i="2"/>
  <c r="W895" i="2"/>
  <c r="X895" i="2" s="1"/>
  <c r="W59" i="2"/>
  <c r="W60" i="2"/>
  <c r="W896" i="2"/>
  <c r="X896" i="2" s="1"/>
  <c r="W897" i="2"/>
  <c r="X897" i="2" s="1"/>
  <c r="W898" i="2"/>
  <c r="X898" i="2" s="1"/>
  <c r="W899" i="2"/>
  <c r="X899" i="2" s="1"/>
  <c r="W900" i="2"/>
  <c r="X900" i="2" s="1"/>
  <c r="W901" i="2"/>
  <c r="X901" i="2" s="1"/>
  <c r="W902" i="2"/>
  <c r="X902" i="2" s="1"/>
  <c r="W903" i="2"/>
  <c r="X903" i="2" s="1"/>
  <c r="W904" i="2"/>
  <c r="X904" i="2" s="1"/>
  <c r="W905" i="2"/>
  <c r="X905" i="2" s="1"/>
  <c r="W190" i="2"/>
  <c r="X190" i="2" s="1"/>
  <c r="W906" i="2"/>
  <c r="X906" i="2" s="1"/>
  <c r="W907" i="2"/>
  <c r="X907" i="2" s="1"/>
  <c r="W908" i="2"/>
  <c r="X908" i="2" s="1"/>
  <c r="W909" i="2"/>
  <c r="X909" i="2" s="1"/>
  <c r="W910" i="2"/>
  <c r="X910" i="2" s="1"/>
  <c r="W911" i="2"/>
  <c r="X911" i="2" s="1"/>
  <c r="W912" i="2"/>
  <c r="X912" i="2" s="1"/>
  <c r="W913" i="2"/>
  <c r="X913" i="2" s="1"/>
  <c r="W914" i="2"/>
  <c r="X914" i="2" s="1"/>
  <c r="W915" i="2"/>
  <c r="X915" i="2" s="1"/>
  <c r="W916" i="2"/>
  <c r="X916" i="2" s="1"/>
  <c r="W917" i="2"/>
  <c r="X917" i="2" s="1"/>
  <c r="W918" i="2"/>
  <c r="X918" i="2" s="1"/>
  <c r="W919" i="2"/>
  <c r="X919" i="2" s="1"/>
  <c r="W920" i="2"/>
  <c r="X920" i="2" s="1"/>
  <c r="W921" i="2"/>
  <c r="X921" i="2" s="1"/>
  <c r="W922" i="2"/>
  <c r="W923" i="2"/>
  <c r="X923" i="2" s="1"/>
  <c r="W924" i="2"/>
  <c r="X924" i="2" s="1"/>
  <c r="W925" i="2"/>
  <c r="X925" i="2" s="1"/>
  <c r="W926" i="2"/>
  <c r="X926" i="2" s="1"/>
  <c r="W927" i="2"/>
  <c r="X927" i="2" s="1"/>
  <c r="W928" i="2"/>
  <c r="X928" i="2" s="1"/>
  <c r="W929" i="2"/>
  <c r="X929" i="2" s="1"/>
  <c r="W930" i="2"/>
  <c r="X930" i="2" s="1"/>
  <c r="W931" i="2"/>
  <c r="X931" i="2" s="1"/>
  <c r="W932" i="2"/>
  <c r="X932" i="2" s="1"/>
  <c r="W933" i="2"/>
  <c r="X933" i="2" s="1"/>
  <c r="W934" i="2"/>
  <c r="X934" i="2" s="1"/>
  <c r="W935" i="2"/>
  <c r="X935" i="2" s="1"/>
  <c r="W936" i="2"/>
  <c r="X936" i="2" s="1"/>
  <c r="W937" i="2"/>
  <c r="X937" i="2" s="1"/>
  <c r="W938" i="2"/>
  <c r="X938" i="2" s="1"/>
  <c r="W939" i="2"/>
  <c r="X939" i="2" s="1"/>
  <c r="W36" i="2"/>
  <c r="X36" i="2" s="1"/>
  <c r="W940" i="2"/>
  <c r="X940" i="2" s="1"/>
  <c r="W941" i="2"/>
  <c r="X941" i="2" s="1"/>
  <c r="W942" i="2"/>
  <c r="X942" i="2" s="1"/>
  <c r="W943" i="2"/>
  <c r="X943" i="2" s="1"/>
  <c r="W944" i="2"/>
  <c r="X944" i="2" s="1"/>
  <c r="W945" i="2"/>
  <c r="X945" i="2" s="1"/>
  <c r="W946" i="2"/>
  <c r="X946" i="2" s="1"/>
  <c r="W947" i="2"/>
  <c r="X947" i="2" s="1"/>
  <c r="W948" i="2"/>
  <c r="X948" i="2" s="1"/>
  <c r="W949" i="2"/>
  <c r="X949" i="2" s="1"/>
  <c r="W950" i="2"/>
  <c r="X950" i="2" s="1"/>
  <c r="W951" i="2"/>
  <c r="X951" i="2" s="1"/>
  <c r="W952" i="2"/>
  <c r="X952" i="2" s="1"/>
  <c r="W953" i="2"/>
  <c r="X953" i="2" s="1"/>
  <c r="W954" i="2"/>
  <c r="X954" i="2" s="1"/>
  <c r="W955" i="2"/>
  <c r="X955" i="2" s="1"/>
  <c r="W956" i="2"/>
  <c r="X956" i="2" s="1"/>
  <c r="W957" i="2"/>
  <c r="X957" i="2" s="1"/>
  <c r="W958" i="2"/>
  <c r="X958" i="2" s="1"/>
  <c r="W959" i="2"/>
  <c r="X959" i="2" s="1"/>
  <c r="W960" i="2"/>
  <c r="X960" i="2" s="1"/>
  <c r="Q960" i="2" s="1"/>
  <c r="W961" i="2"/>
  <c r="X961" i="2" s="1"/>
  <c r="W962" i="2"/>
  <c r="X962" i="2" s="1"/>
  <c r="W963" i="2"/>
  <c r="X963" i="2" s="1"/>
  <c r="W964" i="2"/>
  <c r="X964" i="2" s="1"/>
  <c r="W965" i="2"/>
  <c r="X965" i="2" s="1"/>
  <c r="W966" i="2"/>
  <c r="X966" i="2" s="1"/>
  <c r="W967" i="2"/>
  <c r="X967" i="2" s="1"/>
  <c r="W968" i="2"/>
  <c r="X968" i="2" s="1"/>
  <c r="W969" i="2"/>
  <c r="X969" i="2" s="1"/>
  <c r="W970" i="2"/>
  <c r="X970" i="2" s="1"/>
  <c r="W971" i="2"/>
  <c r="X971" i="2" s="1"/>
  <c r="W972" i="2"/>
  <c r="X972" i="2" s="1"/>
  <c r="W973" i="2"/>
  <c r="X973" i="2" s="1"/>
  <c r="W974" i="2"/>
  <c r="X974" i="2" s="1"/>
  <c r="W975" i="2"/>
  <c r="X975" i="2" s="1"/>
  <c r="W976" i="2"/>
  <c r="X976" i="2" s="1"/>
  <c r="W977" i="2"/>
  <c r="W978" i="2"/>
  <c r="X978" i="2" s="1"/>
  <c r="W979" i="2"/>
  <c r="X979" i="2" s="1"/>
  <c r="W980" i="2"/>
  <c r="X980" i="2" s="1"/>
  <c r="W981" i="2"/>
  <c r="X981" i="2" s="1"/>
  <c r="W982" i="2"/>
  <c r="X982" i="2" s="1"/>
  <c r="W983" i="2"/>
  <c r="X983" i="2" s="1"/>
  <c r="W984" i="2"/>
  <c r="X984" i="2" s="1"/>
  <c r="W985" i="2"/>
  <c r="X985" i="2" s="1"/>
  <c r="W986" i="2"/>
  <c r="X986" i="2" s="1"/>
  <c r="W987" i="2"/>
  <c r="X987" i="2" s="1"/>
  <c r="W988" i="2"/>
  <c r="X988" i="2" s="1"/>
  <c r="W989" i="2"/>
  <c r="X989" i="2" s="1"/>
  <c r="W990" i="2"/>
  <c r="X990" i="2" s="1"/>
  <c r="W991" i="2"/>
  <c r="X991" i="2" s="1"/>
  <c r="W992" i="2"/>
  <c r="X992" i="2" s="1"/>
  <c r="W993" i="2"/>
  <c r="X993" i="2" s="1"/>
  <c r="W994" i="2"/>
  <c r="X994" i="2" s="1"/>
  <c r="W995" i="2"/>
  <c r="X995" i="2" s="1"/>
  <c r="W996" i="2"/>
  <c r="X996" i="2" s="1"/>
  <c r="W997" i="2"/>
  <c r="X997" i="2" s="1"/>
  <c r="W998" i="2"/>
  <c r="X998" i="2" s="1"/>
  <c r="W999" i="2"/>
  <c r="X999" i="2" s="1"/>
  <c r="W1000" i="2"/>
  <c r="X1000" i="2" s="1"/>
  <c r="W1001" i="2"/>
  <c r="X1001" i="2" s="1"/>
  <c r="W1002" i="2"/>
  <c r="X1002" i="2" s="1"/>
  <c r="W1003" i="2"/>
  <c r="X1003" i="2" s="1"/>
  <c r="W1004" i="2"/>
  <c r="X1004" i="2" s="1"/>
  <c r="W1005" i="2"/>
  <c r="X1005" i="2" s="1"/>
  <c r="W1006" i="2"/>
  <c r="X1006" i="2" s="1"/>
  <c r="W1007" i="2"/>
  <c r="X1007" i="2" s="1"/>
  <c r="W1008" i="2"/>
  <c r="X1008" i="2" s="1"/>
  <c r="W1009" i="2"/>
  <c r="X1009" i="2" s="1"/>
  <c r="W1010" i="2"/>
  <c r="X1010" i="2" s="1"/>
  <c r="W1011" i="2"/>
  <c r="X1011" i="2" s="1"/>
  <c r="W1012" i="2"/>
  <c r="X1012" i="2" s="1"/>
  <c r="W1013" i="2"/>
  <c r="X1013" i="2" s="1"/>
  <c r="W1014" i="2"/>
  <c r="X1014" i="2" s="1"/>
  <c r="W1015" i="2"/>
  <c r="X1015" i="2" s="1"/>
  <c r="W1016" i="2"/>
  <c r="X1016" i="2" s="1"/>
  <c r="W1017" i="2"/>
  <c r="X1017" i="2" s="1"/>
  <c r="W1018" i="2"/>
  <c r="X1018" i="2" s="1"/>
  <c r="W1019" i="2"/>
  <c r="X1019" i="2" s="1"/>
  <c r="W1020" i="2"/>
  <c r="X1020" i="2" s="1"/>
  <c r="W1021" i="2"/>
  <c r="X1021" i="2" s="1"/>
  <c r="W1022" i="2"/>
  <c r="X1022" i="2" s="1"/>
  <c r="W1023" i="2"/>
  <c r="X1023" i="2" s="1"/>
  <c r="W1024" i="2"/>
  <c r="X1024" i="2" s="1"/>
  <c r="W1025" i="2"/>
  <c r="X1025" i="2" s="1"/>
  <c r="W1026" i="2"/>
  <c r="X1026" i="2" s="1"/>
  <c r="W1027" i="2"/>
  <c r="X1027" i="2" s="1"/>
  <c r="W1028" i="2"/>
  <c r="X1028" i="2" s="1"/>
  <c r="W1029" i="2"/>
  <c r="X1029" i="2" s="1"/>
  <c r="W1030" i="2"/>
  <c r="X1030" i="2" s="1"/>
  <c r="W1031" i="2"/>
  <c r="X1031" i="2" s="1"/>
  <c r="Q1031" i="2" s="1"/>
  <c r="W1032" i="2"/>
  <c r="X1032" i="2" s="1"/>
  <c r="W1033" i="2"/>
  <c r="X1033" i="2" s="1"/>
  <c r="W1034" i="2"/>
  <c r="X1034" i="2" s="1"/>
  <c r="W1035" i="2"/>
  <c r="X1035" i="2" s="1"/>
  <c r="W1036" i="2"/>
  <c r="X1036" i="2" s="1"/>
  <c r="W1037" i="2"/>
  <c r="X1037" i="2" s="1"/>
  <c r="W1038" i="2"/>
  <c r="X1038" i="2" s="1"/>
  <c r="W1039" i="2"/>
  <c r="X1039" i="2" s="1"/>
  <c r="W1040" i="2"/>
  <c r="X1040" i="2" s="1"/>
  <c r="W1041" i="2"/>
  <c r="X1041" i="2" s="1"/>
  <c r="W1042" i="2"/>
  <c r="X1042" i="2" s="1"/>
  <c r="W1043" i="2"/>
  <c r="X1043" i="2" s="1"/>
  <c r="W1044" i="2"/>
  <c r="X1044" i="2" s="1"/>
  <c r="W1045" i="2"/>
  <c r="X1045" i="2" s="1"/>
  <c r="W1046" i="2"/>
  <c r="X1046" i="2" s="1"/>
  <c r="W1047" i="2"/>
  <c r="X1047" i="2" s="1"/>
  <c r="W1048" i="2"/>
  <c r="X1048" i="2" s="1"/>
  <c r="W1049" i="2"/>
  <c r="X1049" i="2" s="1"/>
  <c r="W1050" i="2"/>
  <c r="X1050" i="2" s="1"/>
  <c r="W1051" i="2"/>
  <c r="X1051" i="2" s="1"/>
  <c r="W1052" i="2"/>
  <c r="X1052" i="2" s="1"/>
  <c r="W1053" i="2"/>
  <c r="X1053" i="2" s="1"/>
  <c r="W1054" i="2"/>
  <c r="X1054" i="2" s="1"/>
  <c r="W1055" i="2"/>
  <c r="X1055" i="2" s="1"/>
  <c r="W1056" i="2"/>
  <c r="X1056" i="2" s="1"/>
  <c r="W1057" i="2"/>
  <c r="X1057" i="2" s="1"/>
  <c r="W1058" i="2"/>
  <c r="X1058" i="2" s="1"/>
  <c r="W1059" i="2"/>
  <c r="X1059" i="2" s="1"/>
  <c r="W1060" i="2"/>
  <c r="X1060" i="2" s="1"/>
  <c r="W1061" i="2"/>
  <c r="X1061" i="2" s="1"/>
  <c r="W1062" i="2"/>
  <c r="X1062" i="2" s="1"/>
  <c r="W1063" i="2"/>
  <c r="X1063" i="2" s="1"/>
  <c r="W1064" i="2"/>
  <c r="X1064" i="2" s="1"/>
  <c r="W1065" i="2"/>
  <c r="X1065" i="2" s="1"/>
  <c r="W1066" i="2"/>
  <c r="X1066" i="2" s="1"/>
  <c r="W1067" i="2"/>
  <c r="X1067" i="2" s="1"/>
  <c r="W1068" i="2"/>
  <c r="X1068" i="2" s="1"/>
  <c r="W1069" i="2"/>
  <c r="X1069" i="2" s="1"/>
  <c r="W1070" i="2"/>
  <c r="X1070" i="2" s="1"/>
  <c r="W1071" i="2"/>
  <c r="X1071" i="2" s="1"/>
  <c r="W1072" i="2"/>
  <c r="W1073" i="2"/>
  <c r="X1073" i="2" s="1"/>
  <c r="W1074" i="2"/>
  <c r="X1074" i="2" s="1"/>
  <c r="W1075" i="2"/>
  <c r="X1075" i="2" s="1"/>
  <c r="W1076" i="2"/>
  <c r="X1076" i="2" s="1"/>
  <c r="W1077" i="2"/>
  <c r="X1077" i="2" s="1"/>
  <c r="W1078" i="2"/>
  <c r="X1078" i="2" s="1"/>
  <c r="W1079" i="2"/>
  <c r="X1079" i="2" s="1"/>
  <c r="W1080" i="2"/>
  <c r="X1080" i="2" s="1"/>
  <c r="W1081" i="2"/>
  <c r="X1081" i="2" s="1"/>
  <c r="W1082" i="2"/>
  <c r="X1082" i="2" s="1"/>
  <c r="W1083" i="2"/>
  <c r="X1083" i="2" s="1"/>
  <c r="W1084" i="2"/>
  <c r="X1084" i="2" s="1"/>
  <c r="W1085" i="2"/>
  <c r="X1085" i="2" s="1"/>
  <c r="W1086" i="2"/>
  <c r="X1086" i="2" s="1"/>
  <c r="W1087" i="2"/>
  <c r="X1087" i="2" s="1"/>
  <c r="W1088" i="2"/>
  <c r="X1088" i="2" s="1"/>
  <c r="W1089" i="2"/>
  <c r="X1089" i="2" s="1"/>
  <c r="W1090" i="2"/>
  <c r="X1090" i="2" s="1"/>
  <c r="W1091" i="2"/>
  <c r="X1091" i="2" s="1"/>
  <c r="X8" i="2"/>
  <c r="W1092" i="2"/>
  <c r="X1092" i="2" s="1"/>
  <c r="W1093" i="2"/>
  <c r="X1093" i="2" s="1"/>
  <c r="W1094" i="2"/>
  <c r="X1094" i="2" s="1"/>
  <c r="W1095" i="2"/>
  <c r="X1095" i="2" s="1"/>
  <c r="W1096" i="2"/>
  <c r="X1096" i="2" s="1"/>
  <c r="W1097" i="2"/>
  <c r="X1097" i="2" s="1"/>
  <c r="W1098" i="2"/>
  <c r="X1098" i="2" s="1"/>
  <c r="W1099" i="2"/>
  <c r="X1099" i="2" s="1"/>
  <c r="W1100" i="2"/>
  <c r="X1100" i="2" s="1"/>
  <c r="W1101" i="2"/>
  <c r="X1101" i="2" s="1"/>
  <c r="W1102" i="2"/>
  <c r="X1102" i="2" s="1"/>
  <c r="W1103" i="2"/>
  <c r="X1103" i="2" s="1"/>
  <c r="W1104" i="2"/>
  <c r="X1104" i="2" s="1"/>
  <c r="W1105" i="2"/>
  <c r="X1105" i="2" s="1"/>
  <c r="W1106" i="2"/>
  <c r="X1106" i="2" s="1"/>
  <c r="W1107" i="2"/>
  <c r="X1107" i="2" s="1"/>
  <c r="W1108" i="2"/>
  <c r="X1108" i="2" s="1"/>
  <c r="W1109" i="2"/>
  <c r="X1109" i="2" s="1"/>
  <c r="W1110" i="2"/>
  <c r="X1110" i="2" s="1"/>
  <c r="W1111" i="2"/>
  <c r="X1111" i="2" s="1"/>
  <c r="W1112" i="2"/>
  <c r="X1112" i="2" s="1"/>
  <c r="W1113" i="2"/>
  <c r="X1113" i="2" s="1"/>
  <c r="W1114" i="2"/>
  <c r="X1114" i="2" s="1"/>
  <c r="W1115" i="2"/>
  <c r="X1115" i="2" s="1"/>
  <c r="W1116" i="2"/>
  <c r="X1116" i="2" s="1"/>
  <c r="W1117" i="2"/>
  <c r="X1117" i="2" s="1"/>
  <c r="W1118" i="2"/>
  <c r="X1118" i="2" s="1"/>
  <c r="W94" i="2"/>
  <c r="W1119" i="2"/>
  <c r="X1119" i="2" s="1"/>
  <c r="W1120" i="2"/>
  <c r="X1120" i="2" s="1"/>
  <c r="W1121" i="2"/>
  <c r="X1121" i="2" s="1"/>
  <c r="W1122" i="2"/>
  <c r="X1122" i="2" s="1"/>
  <c r="W1123" i="2"/>
  <c r="X1123" i="2" s="1"/>
  <c r="W1124" i="2"/>
  <c r="X1124" i="2" s="1"/>
  <c r="W1125" i="2"/>
  <c r="X1125" i="2" s="1"/>
  <c r="W1126" i="2"/>
  <c r="X1126" i="2" s="1"/>
  <c r="W1127" i="2"/>
  <c r="X1127" i="2" s="1"/>
  <c r="W1128" i="2"/>
  <c r="X1128" i="2" s="1"/>
  <c r="W1129" i="2"/>
  <c r="X1129" i="2" s="1"/>
  <c r="W1130" i="2"/>
  <c r="X1130" i="2" s="1"/>
  <c r="W1131" i="2"/>
  <c r="X1131" i="2" s="1"/>
  <c r="Q1131" i="2" s="1"/>
  <c r="W169" i="2"/>
  <c r="X169" i="2" s="1"/>
  <c r="W1132" i="2"/>
  <c r="X1132" i="2" s="1"/>
  <c r="W1133" i="2"/>
  <c r="X1133" i="2" s="1"/>
  <c r="W1134" i="2"/>
  <c r="X1134" i="2" s="1"/>
  <c r="W1135" i="2"/>
  <c r="X1135" i="2" s="1"/>
  <c r="W1136" i="2"/>
  <c r="X1136" i="2" s="1"/>
  <c r="W1137" i="2"/>
  <c r="X1137" i="2" s="1"/>
  <c r="W1138" i="2"/>
  <c r="X1138" i="2" s="1"/>
  <c r="W1139" i="2"/>
  <c r="X1139" i="2" s="1"/>
  <c r="W1140" i="2"/>
  <c r="X1140" i="2" s="1"/>
  <c r="W1141" i="2"/>
  <c r="X1141" i="2" s="1"/>
  <c r="W1142" i="2"/>
  <c r="X1142" i="2" s="1"/>
  <c r="W1143" i="2"/>
  <c r="X1143" i="2" s="1"/>
  <c r="W1144" i="2"/>
  <c r="X1144" i="2" s="1"/>
  <c r="W1145" i="2"/>
  <c r="X1145" i="2" s="1"/>
  <c r="W1146" i="2"/>
  <c r="X1146" i="2" s="1"/>
  <c r="W1147" i="2"/>
  <c r="X1147" i="2" s="1"/>
  <c r="W130" i="2"/>
  <c r="X130" i="2" s="1"/>
  <c r="W1148" i="2"/>
  <c r="X1148" i="2" s="1"/>
  <c r="W1149" i="2"/>
  <c r="X1149" i="2" s="1"/>
  <c r="W1150" i="2"/>
  <c r="X1150" i="2" s="1"/>
  <c r="W1152" i="2"/>
  <c r="X1152" i="2" s="1"/>
  <c r="W1153" i="2"/>
  <c r="X1153" i="2" s="1"/>
  <c r="W1154" i="2"/>
  <c r="X1154" i="2" s="1"/>
  <c r="Q1154" i="2" s="1"/>
  <c r="W1155" i="2"/>
  <c r="X1155" i="2" s="1"/>
  <c r="W1156" i="2"/>
  <c r="X1156" i="2" s="1"/>
  <c r="W1157" i="2"/>
  <c r="X1157" i="2" s="1"/>
  <c r="W1158" i="2"/>
  <c r="X1158" i="2" s="1"/>
  <c r="W1159" i="2"/>
  <c r="X1159" i="2" s="1"/>
  <c r="W1160" i="2"/>
  <c r="X1160" i="2" s="1"/>
  <c r="W1161" i="2"/>
  <c r="X1161" i="2" s="1"/>
  <c r="W1162" i="2"/>
  <c r="X1162" i="2" s="1"/>
  <c r="W1163" i="2"/>
  <c r="X1163" i="2" s="1"/>
  <c r="W1164" i="2"/>
  <c r="X1164" i="2" s="1"/>
  <c r="W1165" i="2"/>
  <c r="X1165" i="2" s="1"/>
  <c r="W1166" i="2"/>
  <c r="X1166" i="2" s="1"/>
  <c r="W1167" i="2"/>
  <c r="X1167" i="2" s="1"/>
  <c r="W1168" i="2"/>
  <c r="X1168" i="2" s="1"/>
  <c r="W1169" i="2"/>
  <c r="X1169" i="2" s="1"/>
  <c r="W1170" i="2"/>
  <c r="X1170" i="2" s="1"/>
  <c r="W1171" i="2"/>
  <c r="X1171" i="2" s="1"/>
  <c r="W1172" i="2"/>
  <c r="X1172" i="2" s="1"/>
  <c r="W1173" i="2"/>
  <c r="X1173" i="2" s="1"/>
  <c r="W1174" i="2"/>
  <c r="X1174" i="2" s="1"/>
  <c r="W1175" i="2"/>
  <c r="X1175" i="2" s="1"/>
  <c r="W1176" i="2"/>
  <c r="X1176" i="2" s="1"/>
  <c r="W1177" i="2"/>
  <c r="X1177" i="2" s="1"/>
  <c r="W1178" i="2"/>
  <c r="X1178" i="2" s="1"/>
  <c r="W1179" i="2"/>
  <c r="X1179" i="2" s="1"/>
  <c r="W1180" i="2"/>
  <c r="X1180" i="2" s="1"/>
  <c r="W1181" i="2"/>
  <c r="X1181" i="2" s="1"/>
  <c r="W1182" i="2"/>
  <c r="X1182" i="2" s="1"/>
  <c r="W1183" i="2"/>
  <c r="X1183" i="2" s="1"/>
  <c r="W1184" i="2"/>
  <c r="X1184" i="2" s="1"/>
  <c r="W1185" i="2"/>
  <c r="X1185" i="2" s="1"/>
  <c r="W1186" i="2"/>
  <c r="X1186" i="2" s="1"/>
  <c r="W1187" i="2"/>
  <c r="X1187" i="2" s="1"/>
  <c r="W1188" i="2"/>
  <c r="X1188" i="2" s="1"/>
  <c r="W1189" i="2"/>
  <c r="X1189" i="2" s="1"/>
  <c r="W1190" i="2"/>
  <c r="X1190" i="2" s="1"/>
  <c r="W1191" i="2"/>
  <c r="X1191" i="2" s="1"/>
  <c r="W1192" i="2"/>
  <c r="X1192" i="2" s="1"/>
  <c r="W1193" i="2"/>
  <c r="X1193" i="2" s="1"/>
  <c r="W1194" i="2"/>
  <c r="X1194" i="2" s="1"/>
  <c r="W1195" i="2"/>
  <c r="X1195" i="2" s="1"/>
  <c r="W1196" i="2"/>
  <c r="X1196" i="2" s="1"/>
  <c r="W1197" i="2"/>
  <c r="X1197" i="2" s="1"/>
  <c r="W1198" i="2"/>
  <c r="X1198" i="2" s="1"/>
  <c r="W1199" i="2"/>
  <c r="X1199" i="2" s="1"/>
  <c r="W1200" i="2"/>
  <c r="X1200" i="2" s="1"/>
  <c r="W1201" i="2"/>
  <c r="X1201" i="2" s="1"/>
  <c r="W1202" i="2"/>
  <c r="X1202" i="2" s="1"/>
  <c r="W1203" i="2"/>
  <c r="X1203" i="2" s="1"/>
  <c r="W206" i="2"/>
  <c r="X206" i="2" s="1"/>
  <c r="W1205" i="2"/>
  <c r="X1205" i="2" s="1"/>
  <c r="W131" i="2"/>
  <c r="X131" i="2" s="1"/>
  <c r="W1206" i="2"/>
  <c r="X1206" i="2" s="1"/>
  <c r="W1207" i="2"/>
  <c r="X1207" i="2" s="1"/>
  <c r="W1208" i="2"/>
  <c r="X1208" i="2" s="1"/>
  <c r="W1209" i="2"/>
  <c r="X1209" i="2" s="1"/>
  <c r="W1210" i="2"/>
  <c r="X1210" i="2" s="1"/>
  <c r="W1211" i="2"/>
  <c r="X1211" i="2" s="1"/>
  <c r="W1212" i="2"/>
  <c r="X1212" i="2" s="1"/>
  <c r="W1213" i="2"/>
  <c r="X1213" i="2" s="1"/>
  <c r="W1214" i="2"/>
  <c r="X1214" i="2" s="1"/>
  <c r="W1215" i="2"/>
  <c r="X1215" i="2" s="1"/>
  <c r="W1216" i="2"/>
  <c r="X1216" i="2" s="1"/>
  <c r="W1217" i="2"/>
  <c r="X1217" i="2" s="1"/>
  <c r="W1218" i="2"/>
  <c r="X1218" i="2" s="1"/>
  <c r="W1219" i="2"/>
  <c r="X1219" i="2" s="1"/>
  <c r="W1220" i="2"/>
  <c r="X1220" i="2" s="1"/>
  <c r="W1221" i="2"/>
  <c r="X1221" i="2" s="1"/>
  <c r="W1222" i="2"/>
  <c r="X1222" i="2" s="1"/>
  <c r="W1223" i="2"/>
  <c r="X1223" i="2" s="1"/>
  <c r="W1224" i="2"/>
  <c r="X1224" i="2" s="1"/>
  <c r="W1225" i="2"/>
  <c r="X1225" i="2" s="1"/>
  <c r="W1226" i="2"/>
  <c r="X1226" i="2" s="1"/>
  <c r="W1227" i="2"/>
  <c r="X1227" i="2" s="1"/>
  <c r="W1228" i="2"/>
  <c r="X1228" i="2" s="1"/>
  <c r="W1229" i="2"/>
  <c r="X1229" i="2" s="1"/>
  <c r="W1230" i="2"/>
  <c r="X1230" i="2" s="1"/>
  <c r="W1231" i="2"/>
  <c r="X1231" i="2" s="1"/>
  <c r="W1232" i="2"/>
  <c r="X1232" i="2" s="1"/>
  <c r="W1233" i="2"/>
  <c r="X1233" i="2" s="1"/>
  <c r="W1234" i="2"/>
  <c r="X1234" i="2" s="1"/>
  <c r="W1235" i="2"/>
  <c r="X1235" i="2" s="1"/>
  <c r="W1236" i="2"/>
  <c r="X1236" i="2" s="1"/>
  <c r="W1237" i="2"/>
  <c r="X1237" i="2" s="1"/>
  <c r="W1238" i="2"/>
  <c r="X1238" i="2" s="1"/>
  <c r="W1239" i="2"/>
  <c r="X1239" i="2" s="1"/>
  <c r="W1240" i="2"/>
  <c r="X1240" i="2" s="1"/>
  <c r="W1241" i="2"/>
  <c r="X1241" i="2" s="1"/>
  <c r="W73" i="2"/>
  <c r="W1242" i="2"/>
  <c r="X1242" i="2" s="1"/>
  <c r="W1243" i="2"/>
  <c r="X1243" i="2" s="1"/>
  <c r="W1244" i="2"/>
  <c r="X1244" i="2" s="1"/>
  <c r="W1245" i="2"/>
  <c r="X1245" i="2" s="1"/>
  <c r="W1246" i="2"/>
  <c r="X1246" i="2" s="1"/>
  <c r="W97" i="2"/>
  <c r="X97" i="2" s="1"/>
  <c r="W1247" i="2"/>
  <c r="X1247" i="2" s="1"/>
  <c r="W1248" i="2"/>
  <c r="X1248" i="2" s="1"/>
  <c r="W1249" i="2"/>
  <c r="X1249" i="2" s="1"/>
  <c r="W1250" i="2"/>
  <c r="X1250" i="2" s="1"/>
  <c r="W1251" i="2"/>
  <c r="X1251" i="2" s="1"/>
  <c r="W1252" i="2"/>
  <c r="X1252" i="2" s="1"/>
  <c r="W1253" i="2"/>
  <c r="X1253" i="2" s="1"/>
  <c r="W1254" i="2"/>
  <c r="X1254" i="2" s="1"/>
  <c r="W1255" i="2"/>
  <c r="X1255" i="2" s="1"/>
  <c r="W1256" i="2"/>
  <c r="X1256" i="2" s="1"/>
  <c r="W1257" i="2"/>
  <c r="X1257" i="2" s="1"/>
  <c r="W1258" i="2"/>
  <c r="X1258" i="2" s="1"/>
  <c r="W1259" i="2"/>
  <c r="X1259" i="2" s="1"/>
  <c r="W1260" i="2"/>
  <c r="X1260" i="2" s="1"/>
  <c r="W1261" i="2"/>
  <c r="X1261" i="2" s="1"/>
  <c r="W1262" i="2"/>
  <c r="X1262" i="2" s="1"/>
  <c r="W1263" i="2"/>
  <c r="X1263" i="2" s="1"/>
  <c r="W1264" i="2"/>
  <c r="X1264" i="2" s="1"/>
  <c r="W1265" i="2"/>
  <c r="X1265" i="2" s="1"/>
  <c r="W1266" i="2"/>
  <c r="X1266" i="2" s="1"/>
  <c r="W1267" i="2"/>
  <c r="X1267" i="2" s="1"/>
  <c r="W1268" i="2"/>
  <c r="X1268" i="2" s="1"/>
  <c r="W1269" i="2"/>
  <c r="X1269" i="2" s="1"/>
  <c r="W1270" i="2"/>
  <c r="X1270" i="2" s="1"/>
  <c r="W1271" i="2"/>
  <c r="X1271" i="2" s="1"/>
  <c r="W1272" i="2"/>
  <c r="X1272" i="2" s="1"/>
  <c r="W1273" i="2"/>
  <c r="X1273" i="2" s="1"/>
  <c r="W1274" i="2"/>
  <c r="X1274" i="2" s="1"/>
  <c r="W1275" i="2"/>
  <c r="X1275" i="2" s="1"/>
  <c r="W1276" i="2"/>
  <c r="X1276" i="2" s="1"/>
  <c r="W1277" i="2"/>
  <c r="X1277" i="2" s="1"/>
  <c r="W1278" i="2"/>
  <c r="X1278" i="2" s="1"/>
  <c r="W1279" i="2"/>
  <c r="X1279" i="2" s="1"/>
  <c r="W1280" i="2"/>
  <c r="X1280" i="2" s="1"/>
  <c r="W1281" i="2"/>
  <c r="X1281" i="2" s="1"/>
  <c r="W1282" i="2"/>
  <c r="X1282" i="2" s="1"/>
  <c r="W170" i="2"/>
  <c r="X170" i="2" s="1"/>
  <c r="W1283" i="2"/>
  <c r="X1283" i="2" s="1"/>
  <c r="W1284" i="2"/>
  <c r="X1284" i="2" s="1"/>
  <c r="W1285" i="2"/>
  <c r="W1286" i="2"/>
  <c r="W191" i="2"/>
  <c r="W1287" i="2"/>
  <c r="W1288" i="2"/>
  <c r="W133"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52" i="2"/>
  <c r="W1326" i="2"/>
  <c r="W1327" i="2"/>
  <c r="W1328" i="2"/>
  <c r="W1329" i="2"/>
  <c r="W1330" i="2"/>
  <c r="W1331" i="2"/>
  <c r="W1332" i="2"/>
  <c r="W1333" i="2"/>
  <c r="W1334" i="2"/>
  <c r="W211" i="2"/>
  <c r="W1336" i="2"/>
  <c r="W1337" i="2"/>
  <c r="W1338" i="2"/>
  <c r="W1339" i="2"/>
  <c r="W1340" i="2"/>
  <c r="W1341" i="2"/>
  <c r="W61" i="2"/>
  <c r="W1342" i="2"/>
  <c r="W1343" i="2"/>
  <c r="W1344" i="2"/>
  <c r="W1345" i="2"/>
  <c r="W1346" i="2"/>
  <c r="W1347" i="2"/>
  <c r="W1348" i="2"/>
  <c r="W1349" i="2"/>
  <c r="W1350" i="2"/>
  <c r="W1351" i="2"/>
  <c r="X1351" i="2" s="1"/>
  <c r="W1352" i="2"/>
  <c r="W189"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80" i="2"/>
  <c r="W1383" i="2"/>
  <c r="W1384" i="2"/>
  <c r="W62"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7" i="2"/>
  <c r="W1411" i="2"/>
  <c r="W1412" i="2"/>
  <c r="W1413" i="2"/>
  <c r="W1414" i="2"/>
  <c r="W1415" i="2"/>
  <c r="W1416" i="2"/>
  <c r="W1417" i="2"/>
  <c r="W137" i="2"/>
  <c r="W1418" i="2"/>
  <c r="W1419" i="2"/>
  <c r="W1420" i="2"/>
  <c r="W178" i="2"/>
  <c r="W1421" i="2"/>
  <c r="W1422" i="2"/>
  <c r="W1423" i="2"/>
  <c r="W1424" i="2"/>
  <c r="W1425" i="2"/>
  <c r="W1426" i="2"/>
  <c r="W1427" i="2"/>
  <c r="W1428" i="2"/>
  <c r="W1429" i="2"/>
  <c r="W1430" i="2"/>
  <c r="W1431" i="2"/>
  <c r="W53" i="2"/>
  <c r="W1432" i="2"/>
  <c r="W1433" i="2"/>
  <c r="W1434" i="2"/>
  <c r="W1435" i="2"/>
  <c r="W1436" i="2"/>
  <c r="W1437" i="2"/>
  <c r="W1438" i="2"/>
  <c r="W1439" i="2"/>
  <c r="W1440" i="2"/>
  <c r="W1441" i="2"/>
  <c r="W1442" i="2"/>
  <c r="W1443" i="2"/>
  <c r="W1444" i="2"/>
  <c r="W1445" i="2"/>
  <c r="W1446" i="2"/>
  <c r="W51" i="2"/>
  <c r="W1447" i="2"/>
  <c r="W1448" i="2"/>
  <c r="W1449" i="2"/>
  <c r="W90" i="2"/>
  <c r="W1450" i="2"/>
  <c r="W1451" i="2"/>
  <c r="W1452" i="2"/>
  <c r="W1453" i="2"/>
  <c r="W1454" i="2"/>
  <c r="W1455" i="2"/>
  <c r="W1456" i="2"/>
  <c r="W1457" i="2"/>
  <c r="W1458" i="2"/>
  <c r="W1459" i="2"/>
  <c r="W1460" i="2"/>
  <c r="W1461" i="2"/>
  <c r="W1462" i="2"/>
  <c r="W1463" i="2"/>
  <c r="W1464" i="2"/>
  <c r="W1465" i="2"/>
  <c r="W76" i="2"/>
  <c r="W1466" i="2"/>
  <c r="W1467" i="2"/>
  <c r="W171" i="2"/>
  <c r="W1468" i="2"/>
  <c r="W1469" i="2"/>
  <c r="W1470" i="2"/>
  <c r="W1471" i="2"/>
  <c r="W1472" i="2"/>
  <c r="W1473" i="2"/>
  <c r="W1474" i="2"/>
  <c r="W1475" i="2"/>
  <c r="W1476" i="2"/>
  <c r="W1477" i="2"/>
  <c r="W1478" i="2"/>
  <c r="W1479" i="2"/>
  <c r="W1480" i="2"/>
  <c r="W1481" i="2"/>
  <c r="W1482" i="2"/>
  <c r="W77" i="2"/>
  <c r="W1483" i="2"/>
  <c r="W1484" i="2"/>
  <c r="W1485" i="2"/>
  <c r="W139" i="2"/>
  <c r="W173" i="2"/>
  <c r="W1486" i="2"/>
  <c r="W1487" i="2"/>
  <c r="W1488" i="2"/>
  <c r="W1489" i="2"/>
  <c r="W1490" i="2"/>
  <c r="W1491" i="2"/>
  <c r="W1492" i="2"/>
  <c r="W98" i="2"/>
  <c r="W1493" i="2"/>
  <c r="W93" i="2"/>
  <c r="W1494" i="2"/>
  <c r="W1495" i="2"/>
  <c r="W1496" i="2"/>
  <c r="W1497" i="2"/>
  <c r="W1498" i="2"/>
  <c r="W1499" i="2"/>
  <c r="W78" i="2"/>
  <c r="W1500" i="2"/>
  <c r="W1501" i="2"/>
  <c r="W1502" i="2"/>
  <c r="W79"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91" i="2"/>
  <c r="W1527" i="2"/>
  <c r="W1528" i="2"/>
  <c r="W1529" i="2"/>
  <c r="W1530" i="2"/>
  <c r="W1531" i="2"/>
  <c r="W1532" i="2"/>
  <c r="W1151" i="2"/>
  <c r="X1151" i="2" s="1"/>
  <c r="W291" i="2"/>
  <c r="W49" i="2"/>
  <c r="W292" i="2"/>
  <c r="X292" i="2" s="1"/>
  <c r="Q292" i="2" s="1"/>
  <c r="W293" i="2"/>
  <c r="W294" i="2"/>
  <c r="W295" i="2"/>
  <c r="X295" i="2" s="1"/>
  <c r="Q295" i="2" s="1"/>
  <c r="W296" i="2"/>
  <c r="X296" i="2" s="1"/>
  <c r="Q296" i="2" s="1"/>
  <c r="W297" i="2"/>
  <c r="W290" i="2"/>
  <c r="AA2" i="2" l="1"/>
  <c r="Z1781" i="2"/>
  <c r="Q1781" i="2" s="1"/>
  <c r="Z1780" i="2"/>
  <c r="Q1780" i="2" s="1"/>
  <c r="Z1716" i="2"/>
  <c r="R1716" i="2" s="1"/>
  <c r="Q1716" i="2" s="1"/>
  <c r="Z1680" i="2"/>
  <c r="R1680" i="2" s="1"/>
  <c r="Q1680" i="2" s="1"/>
  <c r="Z1665" i="2"/>
  <c r="R1665" i="2" s="1"/>
  <c r="Q1665" i="2" s="1"/>
  <c r="Q1237" i="2"/>
  <c r="Q1101" i="2"/>
  <c r="Q735" i="2"/>
  <c r="X1295" i="2"/>
  <c r="Q1295" i="2" s="1"/>
  <c r="X1288" i="2"/>
  <c r="Q1288" i="2" s="1"/>
  <c r="X1294" i="2"/>
  <c r="Q1294" i="2" s="1"/>
  <c r="X1287" i="2"/>
  <c r="Q1287" i="2" s="1"/>
  <c r="Q943" i="2"/>
  <c r="Q912" i="2"/>
  <c r="X191" i="2"/>
  <c r="Q191" i="2" s="1"/>
  <c r="X1292" i="2"/>
  <c r="Q1292" i="2" s="1"/>
  <c r="X1286" i="2"/>
  <c r="Q1286" i="2" s="1"/>
  <c r="X1291" i="2"/>
  <c r="Q1291" i="2" s="1"/>
  <c r="X1285" i="2"/>
  <c r="Q1285" i="2" s="1"/>
  <c r="X1290" i="2"/>
  <c r="Q1290" i="2" s="1"/>
  <c r="X1289" i="2"/>
  <c r="Q1289" i="2" s="1"/>
  <c r="X1296" i="2"/>
  <c r="Q1296" i="2" s="1"/>
  <c r="X133" i="2"/>
  <c r="Q133" i="2" s="1"/>
  <c r="Z1776" i="2"/>
  <c r="Q1776" i="2" s="1"/>
  <c r="Z1714" i="2"/>
  <c r="R1714" i="2" s="1"/>
  <c r="Q1714" i="2" s="1"/>
  <c r="Z1664" i="2"/>
  <c r="R1664" i="2" s="1"/>
  <c r="Q1664" i="2" s="1"/>
  <c r="Z1606" i="2"/>
  <c r="R1606" i="2" s="1"/>
  <c r="Q1606" i="2" s="1"/>
  <c r="X1488" i="2"/>
  <c r="Q1488" i="2" s="1"/>
  <c r="X1405" i="2"/>
  <c r="Q1405" i="2" s="1"/>
  <c r="Z1793" i="2"/>
  <c r="Q1793" i="2" s="1"/>
  <c r="Z1785" i="2"/>
  <c r="Q1785" i="2" s="1"/>
  <c r="Z1777" i="2"/>
  <c r="Q1777" i="2" s="1"/>
  <c r="Z1769" i="2"/>
  <c r="Q1769" i="2" s="1"/>
  <c r="Z1761" i="2"/>
  <c r="Q1761" i="2" s="1"/>
  <c r="Z1753" i="2"/>
  <c r="Q1753" i="2" s="1"/>
  <c r="Z1737" i="2"/>
  <c r="R1737" i="2" s="1"/>
  <c r="Q1737" i="2" s="1"/>
  <c r="Z1730" i="2"/>
  <c r="R1730" i="2" s="1"/>
  <c r="Q1730" i="2" s="1"/>
  <c r="Z1722" i="2"/>
  <c r="R1722" i="2" s="1"/>
  <c r="Q1722" i="2" s="1"/>
  <c r="Z1715" i="2"/>
  <c r="R1715" i="2" s="1"/>
  <c r="Q1715" i="2" s="1"/>
  <c r="Z1707" i="2"/>
  <c r="R1707" i="2" s="1"/>
  <c r="Q1707" i="2" s="1"/>
  <c r="Z1701" i="2"/>
  <c r="R1701" i="2" s="1"/>
  <c r="Q1701" i="2" s="1"/>
  <c r="Z1694" i="2"/>
  <c r="R1694" i="2" s="1"/>
  <c r="Q1694" i="2" s="1"/>
  <c r="Z1686" i="2"/>
  <c r="R1686" i="2" s="1"/>
  <c r="Q1686" i="2" s="1"/>
  <c r="Z1679" i="2"/>
  <c r="R1679" i="2" s="1"/>
  <c r="Q1679" i="2" s="1"/>
  <c r="Z1657" i="2"/>
  <c r="R1657" i="2" s="1"/>
  <c r="Q1657" i="2" s="1"/>
  <c r="Z1649" i="2"/>
  <c r="R1649" i="2" s="1"/>
  <c r="Q1649" i="2" s="1"/>
  <c r="Z1642" i="2"/>
  <c r="R1642" i="2" s="1"/>
  <c r="Q1642" i="2" s="1"/>
  <c r="Z1635" i="2"/>
  <c r="R1635" i="2" s="1"/>
  <c r="Q1635" i="2" s="1"/>
  <c r="Z1629" i="2"/>
  <c r="R1629" i="2" s="1"/>
  <c r="Q1629" i="2" s="1"/>
  <c r="Z1621" i="2"/>
  <c r="R1621" i="2" s="1"/>
  <c r="Q1621" i="2" s="1"/>
  <c r="Z1613" i="2"/>
  <c r="R1613" i="2" s="1"/>
  <c r="Q1613" i="2" s="1"/>
  <c r="Z1607" i="2"/>
  <c r="R1607" i="2" s="1"/>
  <c r="Q1607" i="2" s="1"/>
  <c r="Z1599" i="2"/>
  <c r="R1599" i="2" s="1"/>
  <c r="Q1599" i="2" s="1"/>
  <c r="Z1591" i="2"/>
  <c r="R1591" i="2" s="1"/>
  <c r="Q1591" i="2" s="1"/>
  <c r="X1532" i="2"/>
  <c r="Q1532" i="2" s="1"/>
  <c r="X1525" i="2"/>
  <c r="Q1525" i="2" s="1"/>
  <c r="X1517" i="2"/>
  <c r="Q1517" i="2" s="1"/>
  <c r="X1502" i="2"/>
  <c r="Q1502" i="2" s="1"/>
  <c r="X1495" i="2"/>
  <c r="Q1495" i="2" s="1"/>
  <c r="X1489" i="2"/>
  <c r="Q1489" i="2" s="1"/>
  <c r="X1483" i="2"/>
  <c r="Q1483" i="2" s="1"/>
  <c r="X1476" i="2"/>
  <c r="Q1476" i="2" s="1"/>
  <c r="X1468" i="2"/>
  <c r="Q1468" i="2" s="1"/>
  <c r="X1462" i="2"/>
  <c r="Q1462" i="2" s="1"/>
  <c r="X1454" i="2"/>
  <c r="Q1454" i="2" s="1"/>
  <c r="X1447" i="2"/>
  <c r="Q1447" i="2" s="1"/>
  <c r="X1440" i="2"/>
  <c r="Q1440" i="2" s="1"/>
  <c r="X1433" i="2"/>
  <c r="Q1433" i="2" s="1"/>
  <c r="X1426" i="2"/>
  <c r="Q1426" i="2" s="1"/>
  <c r="X1420" i="2"/>
  <c r="Q1420" i="2" s="1"/>
  <c r="X1413" i="2"/>
  <c r="Q1413" i="2" s="1"/>
  <c r="X1406" i="2"/>
  <c r="Q1406" i="2" s="1"/>
  <c r="X1399" i="2"/>
  <c r="Q1399" i="2" s="1"/>
  <c r="X1392" i="2"/>
  <c r="Q1392" i="2" s="1"/>
  <c r="X1385" i="2"/>
  <c r="Q1385" i="2" s="1"/>
  <c r="X1380" i="2"/>
  <c r="Q1380" i="2" s="1"/>
  <c r="X1373" i="2"/>
  <c r="Q1373" i="2" s="1"/>
  <c r="X1365" i="2"/>
  <c r="Q1365" i="2" s="1"/>
  <c r="X1357" i="2"/>
  <c r="Q1357" i="2" s="1"/>
  <c r="X1350" i="2"/>
  <c r="Q1350" i="2" s="1"/>
  <c r="X1342" i="2"/>
  <c r="Q1342" i="2" s="1"/>
  <c r="X1336" i="2"/>
  <c r="Q1336" i="2" s="1"/>
  <c r="Z1760" i="2"/>
  <c r="Q1760" i="2" s="1"/>
  <c r="Z1706" i="2"/>
  <c r="R1706" i="2" s="1"/>
  <c r="Q1706" i="2" s="1"/>
  <c r="Z1648" i="2"/>
  <c r="R1648" i="2" s="1"/>
  <c r="Q1648" i="2" s="1"/>
  <c r="Z1598" i="2"/>
  <c r="R1598" i="2" s="1"/>
  <c r="Q1598" i="2" s="1"/>
  <c r="X1494" i="2"/>
  <c r="Q1494" i="2" s="1"/>
  <c r="X1391" i="2"/>
  <c r="Q1391" i="2" s="1"/>
  <c r="X1364" i="2"/>
  <c r="Q1364" i="2" s="1"/>
  <c r="X211" i="2"/>
  <c r="Q211" i="2" s="1"/>
  <c r="Z1791" i="2"/>
  <c r="Q1791" i="2" s="1"/>
  <c r="Z1783" i="2"/>
  <c r="Q1783" i="2" s="1"/>
  <c r="Z1775" i="2"/>
  <c r="Q1775" i="2" s="1"/>
  <c r="Z1767" i="2"/>
  <c r="Q1767" i="2" s="1"/>
  <c r="Z1759" i="2"/>
  <c r="Q1759" i="2" s="1"/>
  <c r="Z1743" i="2"/>
  <c r="R1743" i="2" s="1"/>
  <c r="Q1743" i="2" s="1"/>
  <c r="Z1728" i="2"/>
  <c r="R1728" i="2" s="1"/>
  <c r="Q1728" i="2" s="1"/>
  <c r="Z1720" i="2"/>
  <c r="R1720" i="2" s="1"/>
  <c r="Q1720" i="2" s="1"/>
  <c r="Z1713" i="2"/>
  <c r="R1713" i="2" s="1"/>
  <c r="Q1713" i="2" s="1"/>
  <c r="Z1705" i="2"/>
  <c r="R1705" i="2" s="1"/>
  <c r="Q1705" i="2" s="1"/>
  <c r="Z1699" i="2"/>
  <c r="R1699" i="2" s="1"/>
  <c r="Q1699" i="2" s="1"/>
  <c r="Z1692" i="2"/>
  <c r="R1692" i="2" s="1"/>
  <c r="Q1692" i="2" s="1"/>
  <c r="Z1684" i="2"/>
  <c r="R1684" i="2" s="1"/>
  <c r="Q1684" i="2" s="1"/>
  <c r="Z1678" i="2"/>
  <c r="R1678" i="2" s="1"/>
  <c r="Q1678" i="2" s="1"/>
  <c r="Z1671" i="2"/>
  <c r="R1671" i="2" s="1"/>
  <c r="Q1671" i="2" s="1"/>
  <c r="Z1655" i="2"/>
  <c r="R1655" i="2" s="1"/>
  <c r="Q1655" i="2" s="1"/>
  <c r="Z1647" i="2"/>
  <c r="R1647" i="2" s="1"/>
  <c r="Q1647" i="2" s="1"/>
  <c r="Z1640" i="2"/>
  <c r="R1640" i="2" s="1"/>
  <c r="Q1640" i="2" s="1"/>
  <c r="Z1634" i="2"/>
  <c r="R1634" i="2" s="1"/>
  <c r="Q1634" i="2" s="1"/>
  <c r="Z1627" i="2"/>
  <c r="R1627" i="2" s="1"/>
  <c r="Q1627" i="2" s="1"/>
  <c r="Z1619" i="2"/>
  <c r="R1619" i="2" s="1"/>
  <c r="Q1619" i="2" s="1"/>
  <c r="Z1611" i="2"/>
  <c r="R1611" i="2" s="1"/>
  <c r="Q1611" i="2" s="1"/>
  <c r="Z1605" i="2"/>
  <c r="R1605" i="2" s="1"/>
  <c r="Q1605" i="2" s="1"/>
  <c r="Z1597" i="2"/>
  <c r="R1597" i="2" s="1"/>
  <c r="Q1597" i="2" s="1"/>
  <c r="Z1589" i="2"/>
  <c r="R1589" i="2" s="1"/>
  <c r="Q1589" i="2" s="1"/>
  <c r="X1530" i="2"/>
  <c r="Q1530" i="2" s="1"/>
  <c r="X1523" i="2"/>
  <c r="Q1523" i="2" s="1"/>
  <c r="X1515" i="2"/>
  <c r="Q1515" i="2" s="1"/>
  <c r="X1507" i="2"/>
  <c r="Q1507" i="2" s="1"/>
  <c r="X1500" i="2"/>
  <c r="Q1500" i="2" s="1"/>
  <c r="X1487" i="2"/>
  <c r="Q1487" i="2" s="1"/>
  <c r="X1482" i="2"/>
  <c r="Q1482" i="2" s="1"/>
  <c r="X1474" i="2"/>
  <c r="Q1474" i="2" s="1"/>
  <c r="X1467" i="2"/>
  <c r="Q1467" i="2" s="1"/>
  <c r="X1460" i="2"/>
  <c r="Q1460" i="2" s="1"/>
  <c r="X1452" i="2"/>
  <c r="Q1452" i="2" s="1"/>
  <c r="X1446" i="2"/>
  <c r="Q1446" i="2" s="1"/>
  <c r="X1438" i="2"/>
  <c r="Q1438" i="2" s="1"/>
  <c r="X1425" i="2"/>
  <c r="Q1425" i="2" s="1"/>
  <c r="X1418" i="2"/>
  <c r="Q1418" i="2" s="1"/>
  <c r="X1411" i="2"/>
  <c r="Q1411" i="2" s="1"/>
  <c r="X1404" i="2"/>
  <c r="Q1404" i="2" s="1"/>
  <c r="X1397" i="2"/>
  <c r="Q1397" i="2" s="1"/>
  <c r="X1384" i="2"/>
  <c r="Q1384" i="2" s="1"/>
  <c r="X1379" i="2"/>
  <c r="Q1379" i="2" s="1"/>
  <c r="X1371" i="2"/>
  <c r="Q1371" i="2" s="1"/>
  <c r="X1363" i="2"/>
  <c r="Q1363" i="2" s="1"/>
  <c r="X1355" i="2"/>
  <c r="Q1355" i="2" s="1"/>
  <c r="X1348" i="2"/>
  <c r="Q1348" i="2" s="1"/>
  <c r="X74" i="2"/>
  <c r="X1334" i="2"/>
  <c r="Q1334" i="2" s="1"/>
  <c r="Z1768" i="2"/>
  <c r="Q1768" i="2" s="1"/>
  <c r="Z1721" i="2"/>
  <c r="R1721" i="2" s="1"/>
  <c r="Q1721" i="2" s="1"/>
  <c r="Z1693" i="2"/>
  <c r="R1693" i="2" s="1"/>
  <c r="Q1693" i="2" s="1"/>
  <c r="Z1656" i="2"/>
  <c r="R1656" i="2" s="1"/>
  <c r="Q1656" i="2" s="1"/>
  <c r="Z1620" i="2"/>
  <c r="R1620" i="2" s="1"/>
  <c r="Q1620" i="2" s="1"/>
  <c r="X1508" i="2"/>
  <c r="Q1508" i="2" s="1"/>
  <c r="X1475" i="2"/>
  <c r="Q1475" i="2" s="1"/>
  <c r="X1453" i="2"/>
  <c r="Q1453" i="2" s="1"/>
  <c r="X1432" i="2"/>
  <c r="Q1432" i="2" s="1"/>
  <c r="X1419" i="2"/>
  <c r="Q1419" i="2" s="1"/>
  <c r="X1349" i="2"/>
  <c r="Q1349" i="2" s="1"/>
  <c r="Z1790" i="2"/>
  <c r="Q1790" i="2" s="1"/>
  <c r="Z1782" i="2"/>
  <c r="Q1782" i="2" s="1"/>
  <c r="Z1774" i="2"/>
  <c r="Q1774" i="2" s="1"/>
  <c r="Z1766" i="2"/>
  <c r="Q1766" i="2" s="1"/>
  <c r="Z1758" i="2"/>
  <c r="Q1758" i="2" s="1"/>
  <c r="Z1750" i="2"/>
  <c r="Q1750" i="2" s="1"/>
  <c r="Z1742" i="2"/>
  <c r="R1742" i="2" s="1"/>
  <c r="Q1742" i="2" s="1"/>
  <c r="Z1735" i="2"/>
  <c r="R1735" i="2" s="1"/>
  <c r="Q1735" i="2" s="1"/>
  <c r="Z1727" i="2"/>
  <c r="R1727" i="2" s="1"/>
  <c r="Q1727" i="2" s="1"/>
  <c r="Z1719" i="2"/>
  <c r="R1719" i="2" s="1"/>
  <c r="Q1719" i="2" s="1"/>
  <c r="Z1712" i="2"/>
  <c r="R1712" i="2" s="1"/>
  <c r="Q1712" i="2" s="1"/>
  <c r="Z1704" i="2"/>
  <c r="R1704" i="2" s="1"/>
  <c r="Q1704" i="2" s="1"/>
  <c r="Z1698" i="2"/>
  <c r="R1698" i="2" s="1"/>
  <c r="Q1698" i="2" s="1"/>
  <c r="Z1691" i="2"/>
  <c r="R1691" i="2" s="1"/>
  <c r="Q1691" i="2" s="1"/>
  <c r="Z1683" i="2"/>
  <c r="R1683" i="2" s="1"/>
  <c r="Q1683" i="2" s="1"/>
  <c r="Z1677" i="2"/>
  <c r="R1677" i="2" s="1"/>
  <c r="Q1677" i="2" s="1"/>
  <c r="Z1670" i="2"/>
  <c r="R1670" i="2" s="1"/>
  <c r="Q1670" i="2" s="1"/>
  <c r="Z1662" i="2"/>
  <c r="R1662" i="2" s="1"/>
  <c r="Q1662" i="2" s="1"/>
  <c r="Z1654" i="2"/>
  <c r="R1654" i="2" s="1"/>
  <c r="Q1654" i="2" s="1"/>
  <c r="Z143" i="2"/>
  <c r="R143" i="2" s="1"/>
  <c r="Q143" i="2" s="1"/>
  <c r="Z1639" i="2"/>
  <c r="R1639" i="2" s="1"/>
  <c r="Q1639" i="2" s="1"/>
  <c r="Z194" i="2"/>
  <c r="R194" i="2" s="1"/>
  <c r="Q194" i="2" s="1"/>
  <c r="Z1618" i="2"/>
  <c r="R1618" i="2" s="1"/>
  <c r="Q1618" i="2" s="1"/>
  <c r="Z181" i="2"/>
  <c r="R181" i="2" s="1"/>
  <c r="Q181" i="2" s="1"/>
  <c r="Z1604" i="2"/>
  <c r="R1604" i="2" s="1"/>
  <c r="Q1604" i="2" s="1"/>
  <c r="Z1596" i="2"/>
  <c r="R1596" i="2" s="1"/>
  <c r="Q1596" i="2" s="1"/>
  <c r="Z1588" i="2"/>
  <c r="R1588" i="2" s="1"/>
  <c r="Q1588" i="2" s="1"/>
  <c r="X1529" i="2"/>
  <c r="Q1529" i="2" s="1"/>
  <c r="X1522" i="2"/>
  <c r="Q1522" i="2" s="1"/>
  <c r="X1514" i="2"/>
  <c r="Q1514" i="2" s="1"/>
  <c r="X1506" i="2"/>
  <c r="Q1506" i="2" s="1"/>
  <c r="X1493" i="2"/>
  <c r="Q1493" i="2" s="1"/>
  <c r="X1486" i="2"/>
  <c r="Q1486" i="2" s="1"/>
  <c r="X1481" i="2"/>
  <c r="Q1481" i="2" s="1"/>
  <c r="X1473" i="2"/>
  <c r="Q1473" i="2" s="1"/>
  <c r="X1466" i="2"/>
  <c r="Q1466" i="2" s="1"/>
  <c r="X1459" i="2"/>
  <c r="Q1459" i="2" s="1"/>
  <c r="X1451" i="2"/>
  <c r="Q1451" i="2" s="1"/>
  <c r="X1445" i="2"/>
  <c r="Q1445" i="2" s="1"/>
  <c r="X1431" i="2"/>
  <c r="Q1431" i="2" s="1"/>
  <c r="X1424" i="2"/>
  <c r="Q1424" i="2" s="1"/>
  <c r="X137" i="2"/>
  <c r="Q137" i="2" s="1"/>
  <c r="X147" i="2"/>
  <c r="Q147" i="2" s="1"/>
  <c r="X1403" i="2"/>
  <c r="Q1403" i="2" s="1"/>
  <c r="X1396" i="2"/>
  <c r="Q1396" i="2" s="1"/>
  <c r="X1390" i="2"/>
  <c r="Q1390" i="2" s="1"/>
  <c r="X1383" i="2"/>
  <c r="Q1383" i="2" s="1"/>
  <c r="X1378" i="2"/>
  <c r="Q1378" i="2" s="1"/>
  <c r="X1370" i="2"/>
  <c r="Q1370" i="2" s="1"/>
  <c r="X1362" i="2"/>
  <c r="Q1362" i="2" s="1"/>
  <c r="X1354" i="2"/>
  <c r="Q1354" i="2" s="1"/>
  <c r="X1347" i="2"/>
  <c r="Q1347" i="2" s="1"/>
  <c r="X1341" i="2"/>
  <c r="Q1341" i="2" s="1"/>
  <c r="Z1752" i="2"/>
  <c r="Q1752" i="2" s="1"/>
  <c r="Z1700" i="2"/>
  <c r="R1700" i="2" s="1"/>
  <c r="Q1700" i="2" s="1"/>
  <c r="Z1641" i="2"/>
  <c r="R1641" i="2" s="1"/>
  <c r="Q1641" i="2" s="1"/>
  <c r="Z1590" i="2"/>
  <c r="R1590" i="2" s="1"/>
  <c r="Q1590" i="2" s="1"/>
  <c r="X1531" i="2"/>
  <c r="Q1531" i="2" s="1"/>
  <c r="X1439" i="2"/>
  <c r="Q1439" i="2" s="1"/>
  <c r="X1398" i="2"/>
  <c r="Q1398" i="2" s="1"/>
  <c r="X1372" i="2"/>
  <c r="Q1372" i="2" s="1"/>
  <c r="X1356" i="2"/>
  <c r="Q1356" i="2" s="1"/>
  <c r="Z1797" i="2"/>
  <c r="Q1797" i="2" s="1"/>
  <c r="Z1789" i="2"/>
  <c r="Q1789" i="2" s="1"/>
  <c r="Z1773" i="2"/>
  <c r="Q1773" i="2" s="1"/>
  <c r="Z1765" i="2"/>
  <c r="Q1765" i="2" s="1"/>
  <c r="Z1757" i="2"/>
  <c r="Q1757" i="2" s="1"/>
  <c r="Z1749" i="2"/>
  <c r="Q1749" i="2" s="1"/>
  <c r="Z1741" i="2"/>
  <c r="R1741" i="2" s="1"/>
  <c r="Q1741" i="2" s="1"/>
  <c r="Z1734" i="2"/>
  <c r="R1734" i="2" s="1"/>
  <c r="Q1734" i="2" s="1"/>
  <c r="Z1726" i="2"/>
  <c r="R1726" i="2" s="1"/>
  <c r="Q1726" i="2" s="1"/>
  <c r="Z1718" i="2"/>
  <c r="R1718" i="2" s="1"/>
  <c r="Q1718" i="2" s="1"/>
  <c r="Z1711" i="2"/>
  <c r="R1711" i="2" s="1"/>
  <c r="Q1711" i="2" s="1"/>
  <c r="Z1703" i="2"/>
  <c r="R1703" i="2" s="1"/>
  <c r="Q1703" i="2" s="1"/>
  <c r="Z1697" i="2"/>
  <c r="R1697" i="2" s="1"/>
  <c r="Q1697" i="2" s="1"/>
  <c r="Z1690" i="2"/>
  <c r="R1690" i="2" s="1"/>
  <c r="Q1690" i="2" s="1"/>
  <c r="Z1682" i="2"/>
  <c r="R1682" i="2" s="1"/>
  <c r="Q1682" i="2" s="1"/>
  <c r="Z1676" i="2"/>
  <c r="R1676" i="2" s="1"/>
  <c r="Q1676" i="2" s="1"/>
  <c r="Z1669" i="2"/>
  <c r="R1669" i="2" s="1"/>
  <c r="Q1669" i="2" s="1"/>
  <c r="Z1661" i="2"/>
  <c r="R1661" i="2" s="1"/>
  <c r="Q1661" i="2" s="1"/>
  <c r="Z1653" i="2"/>
  <c r="R1653" i="2" s="1"/>
  <c r="Q1653" i="2" s="1"/>
  <c r="Z1646" i="2"/>
  <c r="R1646" i="2" s="1"/>
  <c r="Q1646" i="2" s="1"/>
  <c r="Z1638" i="2"/>
  <c r="R1638" i="2" s="1"/>
  <c r="Q1638" i="2" s="1"/>
  <c r="Z1633" i="2"/>
  <c r="R1633" i="2" s="1"/>
  <c r="Q1633" i="2" s="1"/>
  <c r="Z1625" i="2"/>
  <c r="R1625" i="2" s="1"/>
  <c r="Q1625" i="2" s="1"/>
  <c r="Z1617" i="2"/>
  <c r="R1617" i="2" s="1"/>
  <c r="Q1617" i="2" s="1"/>
  <c r="Z1610" i="2"/>
  <c r="R1610" i="2" s="1"/>
  <c r="Q1610" i="2" s="1"/>
  <c r="Z1603" i="2"/>
  <c r="R1603" i="2" s="1"/>
  <c r="Q1603" i="2" s="1"/>
  <c r="Z1595" i="2"/>
  <c r="R1595" i="2" s="1"/>
  <c r="Q1595" i="2" s="1"/>
  <c r="Z1587" i="2"/>
  <c r="R1587" i="2" s="1"/>
  <c r="Q1587" i="2" s="1"/>
  <c r="X1528" i="2"/>
  <c r="Q1528" i="2" s="1"/>
  <c r="X1521" i="2"/>
  <c r="Q1521" i="2" s="1"/>
  <c r="X1513" i="2"/>
  <c r="Q1513" i="2" s="1"/>
  <c r="X1505" i="2"/>
  <c r="Q1505" i="2" s="1"/>
  <c r="X1499" i="2"/>
  <c r="Q1499" i="2" s="1"/>
  <c r="X98" i="2"/>
  <c r="Q98" i="2" s="1"/>
  <c r="AB98" i="2" s="1"/>
  <c r="X173" i="2"/>
  <c r="Q173" i="2" s="1"/>
  <c r="X1480" i="2"/>
  <c r="Q1480" i="2" s="1"/>
  <c r="X1472" i="2"/>
  <c r="Q1472" i="2" s="1"/>
  <c r="X1458" i="2"/>
  <c r="Q1458" i="2" s="1"/>
  <c r="X1450" i="2"/>
  <c r="Q1450" i="2" s="1"/>
  <c r="X1444" i="2"/>
  <c r="Q1444" i="2" s="1"/>
  <c r="X1437" i="2"/>
  <c r="Q1437" i="2" s="1"/>
  <c r="X1430" i="2"/>
  <c r="Q1430" i="2" s="1"/>
  <c r="X1423" i="2"/>
  <c r="Q1423" i="2" s="1"/>
  <c r="X1417" i="2"/>
  <c r="Q1417" i="2" s="1"/>
  <c r="X1410" i="2"/>
  <c r="Q1410" i="2" s="1"/>
  <c r="X75" i="2"/>
  <c r="AB75" i="2" s="1"/>
  <c r="X1389" i="2"/>
  <c r="Q1389" i="2" s="1"/>
  <c r="X180" i="2"/>
  <c r="Q180" i="2" s="1"/>
  <c r="X1377" i="2"/>
  <c r="Q1377" i="2" s="1"/>
  <c r="X1369" i="2"/>
  <c r="Q1369" i="2" s="1"/>
  <c r="X1361" i="2"/>
  <c r="Q1361" i="2" s="1"/>
  <c r="X1353" i="2"/>
  <c r="Q1353" i="2" s="1"/>
  <c r="X1346" i="2"/>
  <c r="Q1346" i="2" s="1"/>
  <c r="X1340" i="2"/>
  <c r="Q1340" i="2" s="1"/>
  <c r="Z1798" i="2"/>
  <c r="Q1798" i="2" s="1"/>
  <c r="Z1744" i="2"/>
  <c r="R1744" i="2" s="1"/>
  <c r="Q1744" i="2" s="1"/>
  <c r="Z1685" i="2"/>
  <c r="R1685" i="2" s="1"/>
  <c r="Q1685" i="2" s="1"/>
  <c r="Z1628" i="2"/>
  <c r="R1628" i="2" s="1"/>
  <c r="Q1628" i="2" s="1"/>
  <c r="X1516" i="2"/>
  <c r="Q1516" i="2" s="1"/>
  <c r="X171" i="2"/>
  <c r="Q171" i="2" s="1"/>
  <c r="X1412" i="2"/>
  <c r="Q1412" i="2" s="1"/>
  <c r="Z1796" i="2"/>
  <c r="Q1796" i="2" s="1"/>
  <c r="Z1788" i="2"/>
  <c r="Q1788" i="2" s="1"/>
  <c r="Z1772" i="2"/>
  <c r="Q1772" i="2" s="1"/>
  <c r="Z1764" i="2"/>
  <c r="Q1764" i="2" s="1"/>
  <c r="Z1756" i="2"/>
  <c r="Q1756" i="2" s="1"/>
  <c r="Z1748" i="2"/>
  <c r="Q1748" i="2" s="1"/>
  <c r="Z1740" i="2"/>
  <c r="R1740" i="2" s="1"/>
  <c r="Q1740" i="2" s="1"/>
  <c r="Z1733" i="2"/>
  <c r="R1733" i="2" s="1"/>
  <c r="Q1733" i="2" s="1"/>
  <c r="Z1725" i="2"/>
  <c r="R1725" i="2" s="1"/>
  <c r="Q1725" i="2" s="1"/>
  <c r="Z1717" i="2"/>
  <c r="R1717" i="2" s="1"/>
  <c r="Q1717" i="2" s="1"/>
  <c r="Z1710" i="2"/>
  <c r="R1710" i="2" s="1"/>
  <c r="Q1710" i="2" s="1"/>
  <c r="Z1702" i="2"/>
  <c r="R1702" i="2" s="1"/>
  <c r="Q1702" i="2" s="1"/>
  <c r="Z1696" i="2"/>
  <c r="R1696" i="2" s="1"/>
  <c r="Q1696" i="2" s="1"/>
  <c r="Z1689" i="2"/>
  <c r="R1689" i="2" s="1"/>
  <c r="Q1689" i="2" s="1"/>
  <c r="Z1681" i="2"/>
  <c r="R1681" i="2" s="1"/>
  <c r="Q1681" i="2" s="1"/>
  <c r="Z1675" i="2"/>
  <c r="R1675" i="2" s="1"/>
  <c r="Q1675" i="2" s="1"/>
  <c r="Z1668" i="2"/>
  <c r="R1668" i="2" s="1"/>
  <c r="Q1668" i="2" s="1"/>
  <c r="Z1660" i="2"/>
  <c r="R1660" i="2" s="1"/>
  <c r="Q1660" i="2" s="1"/>
  <c r="Z1652" i="2"/>
  <c r="R1652" i="2" s="1"/>
  <c r="Q1652" i="2" s="1"/>
  <c r="Z1645" i="2"/>
  <c r="R1645" i="2" s="1"/>
  <c r="Q1645" i="2" s="1"/>
  <c r="Z1637" i="2"/>
  <c r="R1637" i="2" s="1"/>
  <c r="Q1637" i="2" s="1"/>
  <c r="Z1632" i="2"/>
  <c r="R1632" i="2" s="1"/>
  <c r="Q1632" i="2" s="1"/>
  <c r="Z1624" i="2"/>
  <c r="R1624" i="2" s="1"/>
  <c r="Q1624" i="2" s="1"/>
  <c r="Z1616" i="2"/>
  <c r="R1616" i="2" s="1"/>
  <c r="Q1616" i="2" s="1"/>
  <c r="Z1609" i="2"/>
  <c r="R1609" i="2" s="1"/>
  <c r="Q1609" i="2" s="1"/>
  <c r="Z1602" i="2"/>
  <c r="R1602" i="2" s="1"/>
  <c r="Q1602" i="2" s="1"/>
  <c r="Z1594" i="2"/>
  <c r="R1594" i="2" s="1"/>
  <c r="Q1594" i="2" s="1"/>
  <c r="Z1586" i="2"/>
  <c r="R1586" i="2" s="1"/>
  <c r="Q1586" i="2" s="1"/>
  <c r="X1527" i="2"/>
  <c r="Q1527" i="2" s="1"/>
  <c r="X1520" i="2"/>
  <c r="Q1520" i="2" s="1"/>
  <c r="X1512" i="2"/>
  <c r="Q1512" i="2" s="1"/>
  <c r="X1504" i="2"/>
  <c r="Q1504" i="2" s="1"/>
  <c r="X1498" i="2"/>
  <c r="Q1498" i="2" s="1"/>
  <c r="X1492" i="2"/>
  <c r="Q1492" i="2" s="1"/>
  <c r="X139" i="2"/>
  <c r="Q139" i="2" s="1"/>
  <c r="X1479" i="2"/>
  <c r="Q1479" i="2" s="1"/>
  <c r="X1471" i="2"/>
  <c r="Q1471" i="2" s="1"/>
  <c r="X1465" i="2"/>
  <c r="Q1465" i="2" s="1"/>
  <c r="X1457" i="2"/>
  <c r="Q1457" i="2" s="1"/>
  <c r="X1443" i="2"/>
  <c r="Q1443" i="2" s="1"/>
  <c r="X1436" i="2"/>
  <c r="Q1436" i="2" s="1"/>
  <c r="X1429" i="2"/>
  <c r="Q1429" i="2" s="1"/>
  <c r="X1422" i="2"/>
  <c r="Q1422" i="2" s="1"/>
  <c r="X1416" i="2"/>
  <c r="Q1416" i="2" s="1"/>
  <c r="X1409" i="2"/>
  <c r="Q1409" i="2" s="1"/>
  <c r="X1402" i="2"/>
  <c r="Q1402" i="2" s="1"/>
  <c r="X1395" i="2"/>
  <c r="Q1395" i="2" s="1"/>
  <c r="X1388" i="2"/>
  <c r="Q1388" i="2" s="1"/>
  <c r="X1376" i="2"/>
  <c r="Q1376" i="2" s="1"/>
  <c r="X1368" i="2"/>
  <c r="Q1368" i="2" s="1"/>
  <c r="X1360" i="2"/>
  <c r="Q1360" i="2" s="1"/>
  <c r="X189" i="2"/>
  <c r="Q189" i="2" s="1"/>
  <c r="X1345" i="2"/>
  <c r="Q1345" i="2" s="1"/>
  <c r="X1339" i="2"/>
  <c r="Q1339" i="2" s="1"/>
  <c r="Z1663" i="2"/>
  <c r="R1663" i="2" s="1"/>
  <c r="Q1663" i="2" s="1"/>
  <c r="Z1784" i="2"/>
  <c r="Q1784" i="2" s="1"/>
  <c r="Z1729" i="2"/>
  <c r="R1729" i="2" s="1"/>
  <c r="Q1729" i="2" s="1"/>
  <c r="Z1672" i="2"/>
  <c r="R1672" i="2" s="1"/>
  <c r="Q1672" i="2" s="1"/>
  <c r="Z1612" i="2"/>
  <c r="R1612" i="2" s="1"/>
  <c r="Q1612" i="2" s="1"/>
  <c r="X1501" i="2"/>
  <c r="Q1501" i="2" s="1"/>
  <c r="Z1795" i="2"/>
  <c r="Q1795" i="2" s="1"/>
  <c r="Z1779" i="2"/>
  <c r="Q1779" i="2" s="1"/>
  <c r="Z1771" i="2"/>
  <c r="Q1771" i="2" s="1"/>
  <c r="Z1763" i="2"/>
  <c r="Q1763" i="2" s="1"/>
  <c r="Z1732" i="2"/>
  <c r="R1732" i="2" s="1"/>
  <c r="Q1732" i="2" s="1"/>
  <c r="Z1724" i="2"/>
  <c r="R1724" i="2" s="1"/>
  <c r="Q1724" i="2" s="1"/>
  <c r="Z1709" i="2"/>
  <c r="R1709" i="2" s="1"/>
  <c r="Q1709" i="2" s="1"/>
  <c r="Z1695" i="2"/>
  <c r="R1695" i="2" s="1"/>
  <c r="Q1695" i="2" s="1"/>
  <c r="Z1688" i="2"/>
  <c r="R1688" i="2" s="1"/>
  <c r="Q1688" i="2" s="1"/>
  <c r="Z199" i="2"/>
  <c r="R199" i="2" s="1"/>
  <c r="Q199" i="2" s="1"/>
  <c r="Z1674" i="2"/>
  <c r="R1674" i="2" s="1"/>
  <c r="Q1674" i="2" s="1"/>
  <c r="Z1667" i="2"/>
  <c r="R1667" i="2" s="1"/>
  <c r="Q1667" i="2" s="1"/>
  <c r="Z1659" i="2"/>
  <c r="R1659" i="2" s="1"/>
  <c r="Q1659" i="2" s="1"/>
  <c r="Z1651" i="2"/>
  <c r="R1651" i="2" s="1"/>
  <c r="Q1651" i="2" s="1"/>
  <c r="Z1644" i="2"/>
  <c r="R1644" i="2" s="1"/>
  <c r="Q1644" i="2" s="1"/>
  <c r="Z1636" i="2"/>
  <c r="R1636" i="2" s="1"/>
  <c r="Q1636" i="2" s="1"/>
  <c r="Z1631" i="2"/>
  <c r="R1631" i="2" s="1"/>
  <c r="Q1631" i="2" s="1"/>
  <c r="Z1623" i="2"/>
  <c r="R1623" i="2" s="1"/>
  <c r="Q1623" i="2" s="1"/>
  <c r="Z1615" i="2"/>
  <c r="R1615" i="2" s="1"/>
  <c r="Q1615" i="2" s="1"/>
  <c r="Z1608" i="2"/>
  <c r="R1608" i="2" s="1"/>
  <c r="Q1608" i="2" s="1"/>
  <c r="Z1601" i="2"/>
  <c r="R1601" i="2" s="1"/>
  <c r="Q1601" i="2" s="1"/>
  <c r="Z1593" i="2"/>
  <c r="R1593" i="2" s="1"/>
  <c r="Q1593" i="2" s="1"/>
  <c r="X1519" i="2"/>
  <c r="Q1519" i="2" s="1"/>
  <c r="X1503" i="2"/>
  <c r="Q1503" i="2" s="1"/>
  <c r="X1497" i="2"/>
  <c r="Q1497" i="2" s="1"/>
  <c r="X1491" i="2"/>
  <c r="Q1491" i="2" s="1"/>
  <c r="X1478" i="2"/>
  <c r="Q1478" i="2" s="1"/>
  <c r="X1464" i="2"/>
  <c r="Q1464" i="2" s="1"/>
  <c r="X1449" i="2"/>
  <c r="Q1449" i="2" s="1"/>
  <c r="X1435" i="2"/>
  <c r="Q1435" i="2" s="1"/>
  <c r="X1428" i="2"/>
  <c r="Q1428" i="2" s="1"/>
  <c r="X1421" i="2"/>
  <c r="Q1421" i="2" s="1"/>
  <c r="X1415" i="2"/>
  <c r="Q1415" i="2" s="1"/>
  <c r="X1408" i="2"/>
  <c r="Q1408" i="2" s="1"/>
  <c r="X1401" i="2"/>
  <c r="Q1401" i="2" s="1"/>
  <c r="X1394" i="2"/>
  <c r="Q1394" i="2" s="1"/>
  <c r="X1387" i="2"/>
  <c r="Q1387" i="2" s="1"/>
  <c r="X1382" i="2"/>
  <c r="Q1382" i="2" s="1"/>
  <c r="X1375" i="2"/>
  <c r="Q1375" i="2" s="1"/>
  <c r="X1367" i="2"/>
  <c r="Q1367" i="2" s="1"/>
  <c r="X1359" i="2"/>
  <c r="Q1359" i="2" s="1"/>
  <c r="X1352" i="2"/>
  <c r="Q1352" i="2" s="1"/>
  <c r="X1344" i="2"/>
  <c r="Q1344" i="2" s="1"/>
  <c r="X1338" i="2"/>
  <c r="Q1338" i="2" s="1"/>
  <c r="Z1626" i="2"/>
  <c r="R1626" i="2" s="1"/>
  <c r="Q1626" i="2" s="1"/>
  <c r="Z1792" i="2"/>
  <c r="Q1792" i="2" s="1"/>
  <c r="Z1736" i="2"/>
  <c r="R1736" i="2" s="1"/>
  <c r="Q1736" i="2" s="1"/>
  <c r="Z140" i="2"/>
  <c r="R140" i="2" s="1"/>
  <c r="Q140" i="2" s="1"/>
  <c r="Z148" i="2"/>
  <c r="R148" i="2" s="1"/>
  <c r="Q148" i="2" s="1"/>
  <c r="X1524" i="2"/>
  <c r="Q1524" i="2" s="1"/>
  <c r="X1461" i="2"/>
  <c r="Q1461" i="2" s="1"/>
  <c r="Z1794" i="2"/>
  <c r="Q1794" i="2" s="1"/>
  <c r="Z1786" i="2"/>
  <c r="Q1786" i="2" s="1"/>
  <c r="Z1778" i="2"/>
  <c r="Q1778" i="2" s="1"/>
  <c r="Z1770" i="2"/>
  <c r="Q1770" i="2" s="1"/>
  <c r="Z1762" i="2"/>
  <c r="Q1762" i="2" s="1"/>
  <c r="Z1754" i="2"/>
  <c r="Q1754" i="2" s="1"/>
  <c r="Z1746" i="2"/>
  <c r="Q1746" i="2" s="1"/>
  <c r="Z1738" i="2"/>
  <c r="R1738" i="2" s="1"/>
  <c r="Q1738" i="2" s="1"/>
  <c r="Z1731" i="2"/>
  <c r="R1731" i="2" s="1"/>
  <c r="Q1731" i="2" s="1"/>
  <c r="Z1723" i="2"/>
  <c r="R1723" i="2" s="1"/>
  <c r="Q1723" i="2" s="1"/>
  <c r="Z134" i="2"/>
  <c r="R134" i="2" s="1"/>
  <c r="Q134" i="2" s="1"/>
  <c r="Z1708" i="2"/>
  <c r="R1708" i="2" s="1"/>
  <c r="Q1708" i="2" s="1"/>
  <c r="Z1687" i="2"/>
  <c r="R1687" i="2" s="1"/>
  <c r="Q1687" i="2" s="1"/>
  <c r="Z1673" i="2"/>
  <c r="R1673" i="2" s="1"/>
  <c r="Q1673" i="2" s="1"/>
  <c r="Z1666" i="2"/>
  <c r="R1666" i="2" s="1"/>
  <c r="Q1666" i="2" s="1"/>
  <c r="Z203" i="2"/>
  <c r="R203" i="2" s="1"/>
  <c r="Q203" i="2" s="1"/>
  <c r="Z1650" i="2"/>
  <c r="R1650" i="2" s="1"/>
  <c r="Q1650" i="2" s="1"/>
  <c r="Z1643" i="2"/>
  <c r="R1643" i="2" s="1"/>
  <c r="Q1643" i="2" s="1"/>
  <c r="Z82" i="2"/>
  <c r="R82" i="2" s="1"/>
  <c r="Z1630" i="2"/>
  <c r="R1630" i="2" s="1"/>
  <c r="Q1630" i="2" s="1"/>
  <c r="Z1622" i="2"/>
  <c r="R1622" i="2" s="1"/>
  <c r="Q1622" i="2" s="1"/>
  <c r="Z1614" i="2"/>
  <c r="R1614" i="2" s="1"/>
  <c r="Q1614" i="2" s="1"/>
  <c r="Z153" i="2"/>
  <c r="R153" i="2" s="1"/>
  <c r="Q153" i="2" s="1"/>
  <c r="Z1600" i="2"/>
  <c r="R1600" i="2" s="1"/>
  <c r="Q1600" i="2" s="1"/>
  <c r="Z1592" i="2"/>
  <c r="R1592" i="2" s="1"/>
  <c r="Q1592" i="2" s="1"/>
  <c r="X1526" i="2"/>
  <c r="Q1526" i="2" s="1"/>
  <c r="X1518" i="2"/>
  <c r="Q1518" i="2" s="1"/>
  <c r="X1510" i="2"/>
  <c r="Q1510" i="2" s="1"/>
  <c r="X79" i="2"/>
  <c r="AB79" i="2" s="1"/>
  <c r="X1496" i="2"/>
  <c r="Q1496" i="2" s="1"/>
  <c r="X1490" i="2"/>
  <c r="Q1490" i="2" s="1"/>
  <c r="X1484" i="2"/>
  <c r="Q1484" i="2" s="1"/>
  <c r="X1477" i="2"/>
  <c r="Q1477" i="2" s="1"/>
  <c r="X1469" i="2"/>
  <c r="Q1469" i="2" s="1"/>
  <c r="X1463" i="2"/>
  <c r="Q1463" i="2" s="1"/>
  <c r="X1455" i="2"/>
  <c r="Q1455" i="2" s="1"/>
  <c r="X1448" i="2"/>
  <c r="Q1448" i="2" s="1"/>
  <c r="X1441" i="2"/>
  <c r="Q1441" i="2" s="1"/>
  <c r="X1434" i="2"/>
  <c r="Q1434" i="2" s="1"/>
  <c r="X1427" i="2"/>
  <c r="Q1427" i="2" s="1"/>
  <c r="X178" i="2"/>
  <c r="Q178" i="2" s="1"/>
  <c r="X1414" i="2"/>
  <c r="Q1414" i="2" s="1"/>
  <c r="X1407" i="2"/>
  <c r="Q1407" i="2" s="1"/>
  <c r="X1400" i="2"/>
  <c r="Q1400" i="2" s="1"/>
  <c r="X1393" i="2"/>
  <c r="Q1393" i="2" s="1"/>
  <c r="X1386" i="2"/>
  <c r="Q1386" i="2" s="1"/>
  <c r="X1381" i="2"/>
  <c r="Q1381" i="2" s="1"/>
  <c r="X1374" i="2"/>
  <c r="Q1374" i="2" s="1"/>
  <c r="X1366" i="2"/>
  <c r="Q1366" i="2" s="1"/>
  <c r="X1358" i="2"/>
  <c r="Q1358" i="2" s="1"/>
  <c r="Q1351" i="2"/>
  <c r="X1343" i="2"/>
  <c r="Q1343" i="2" s="1"/>
  <c r="X1337" i="2"/>
  <c r="Q1337" i="2" s="1"/>
  <c r="X1509" i="2"/>
  <c r="Q1509" i="2" s="1"/>
  <c r="X1333" i="2"/>
  <c r="Q1333" i="2" s="1"/>
  <c r="X1332" i="2"/>
  <c r="Q1332" i="2" s="1"/>
  <c r="X1330" i="2"/>
  <c r="Q1330" i="2" s="1"/>
  <c r="X1329" i="2"/>
  <c r="Q1329" i="2" s="1"/>
  <c r="X1315" i="2"/>
  <c r="Q1315" i="2" s="1"/>
  <c r="X1303" i="2"/>
  <c r="Q1303" i="2" s="1"/>
  <c r="X1298" i="2"/>
  <c r="Q1298" i="2" s="1"/>
  <c r="X1293" i="2"/>
  <c r="Q1293" i="2" s="1"/>
  <c r="X1331" i="2"/>
  <c r="Q1331" i="2" s="1"/>
  <c r="X1328" i="2"/>
  <c r="Q1328" i="2" s="1"/>
  <c r="X1327" i="2"/>
  <c r="Q1327" i="2" s="1"/>
  <c r="X1326" i="2"/>
  <c r="Q1326" i="2" s="1"/>
  <c r="X152" i="2"/>
  <c r="Q152" i="2" s="1"/>
  <c r="X1325" i="2"/>
  <c r="Q1325" i="2" s="1"/>
  <c r="X1324" i="2"/>
  <c r="Q1324" i="2" s="1"/>
  <c r="X1323" i="2"/>
  <c r="Q1323" i="2" s="1"/>
  <c r="X1322" i="2"/>
  <c r="Q1322" i="2" s="1"/>
  <c r="X1321" i="2"/>
  <c r="Q1321" i="2" s="1"/>
  <c r="X1320" i="2"/>
  <c r="Q1320" i="2" s="1"/>
  <c r="X1319" i="2"/>
  <c r="Q1319" i="2" s="1"/>
  <c r="X1318" i="2"/>
  <c r="Q1318" i="2" s="1"/>
  <c r="X1317" i="2"/>
  <c r="Q1317" i="2" s="1"/>
  <c r="X1316" i="2"/>
  <c r="Q1316" i="2" s="1"/>
  <c r="X1314" i="2"/>
  <c r="Q1314" i="2" s="1"/>
  <c r="X1313" i="2"/>
  <c r="Q1313" i="2" s="1"/>
  <c r="X1312" i="2"/>
  <c r="Q1312" i="2" s="1"/>
  <c r="X1311" i="2"/>
  <c r="Q1311" i="2" s="1"/>
  <c r="X1310" i="2"/>
  <c r="Q1310" i="2" s="1"/>
  <c r="X1309" i="2"/>
  <c r="Q1309" i="2" s="1"/>
  <c r="X1308" i="2"/>
  <c r="Q1308" i="2" s="1"/>
  <c r="X1307" i="2"/>
  <c r="Q1307" i="2" s="1"/>
  <c r="X1306" i="2"/>
  <c r="Q1306" i="2" s="1"/>
  <c r="X1305" i="2"/>
  <c r="Q1305" i="2" s="1"/>
  <c r="X1304" i="2"/>
  <c r="Q1304" i="2" s="1"/>
  <c r="X1302" i="2"/>
  <c r="Q1302" i="2" s="1"/>
  <c r="X1301" i="2"/>
  <c r="Q1301" i="2" s="1"/>
  <c r="X1300" i="2"/>
  <c r="Q1300" i="2" s="1"/>
  <c r="X1299" i="2"/>
  <c r="Q1299" i="2" s="1"/>
  <c r="X1297" i="2"/>
  <c r="Q1297" i="2" s="1"/>
  <c r="Q1251" i="2"/>
  <c r="Q1077" i="2"/>
  <c r="Q1206" i="2"/>
  <c r="Q1175" i="2"/>
  <c r="Q1059" i="2"/>
  <c r="Q933" i="2"/>
  <c r="Q1282" i="2"/>
  <c r="Q1151" i="2"/>
  <c r="Q1224" i="2"/>
  <c r="Q1198" i="2"/>
  <c r="Z1755" i="2"/>
  <c r="Q1755" i="2" s="1"/>
  <c r="Z83" i="2"/>
  <c r="R83" i="2" s="1"/>
  <c r="X1511" i="2"/>
  <c r="Q1511" i="2" s="1"/>
  <c r="X290" i="2"/>
  <c r="Q290" i="2" s="1"/>
  <c r="X977" i="2"/>
  <c r="Q977" i="2" s="1"/>
  <c r="X922" i="2"/>
  <c r="Q922" i="2" s="1"/>
  <c r="Z1787" i="2"/>
  <c r="Q1787" i="2" s="1"/>
  <c r="X297" i="2"/>
  <c r="Q297" i="2" s="1"/>
  <c r="Q1125" i="2"/>
  <c r="Z1747" i="2"/>
  <c r="Q1747" i="2" s="1"/>
  <c r="Z1739" i="2"/>
  <c r="R1739" i="2" s="1"/>
  <c r="Q1739" i="2" s="1"/>
  <c r="X1485" i="2"/>
  <c r="Q1485" i="2" s="1"/>
  <c r="X1442" i="2"/>
  <c r="Q1442" i="2" s="1"/>
  <c r="X1072" i="2"/>
  <c r="Q1072" i="2" s="1"/>
  <c r="Z1751" i="2"/>
  <c r="Q1751" i="2" s="1"/>
  <c r="X1470" i="2"/>
  <c r="Q1470" i="2" s="1"/>
  <c r="X1456" i="2"/>
  <c r="Q1456" i="2" s="1"/>
  <c r="X291" i="2"/>
  <c r="Q291" i="2" s="1"/>
  <c r="X294" i="2"/>
  <c r="Q294" i="2" s="1"/>
  <c r="X293" i="2"/>
  <c r="Q293" i="2" s="1"/>
  <c r="Q1048" i="2"/>
  <c r="Q993" i="2"/>
  <c r="Q1258" i="2"/>
  <c r="Q1190" i="2"/>
  <c r="Q554" i="2"/>
  <c r="Q335" i="2"/>
  <c r="Q612" i="2"/>
  <c r="Q755" i="2"/>
  <c r="Q715" i="2"/>
  <c r="Q483" i="2"/>
  <c r="Q11" i="2"/>
  <c r="Q1046" i="2"/>
  <c r="Q830" i="2"/>
  <c r="Q8" i="2"/>
  <c r="Q168" i="2"/>
  <c r="Q542" i="2"/>
  <c r="Q318" i="2"/>
  <c r="Q1209" i="2"/>
  <c r="Q1022" i="2"/>
  <c r="Q437" i="2"/>
  <c r="Q1222" i="2"/>
  <c r="Q1196" i="2"/>
  <c r="Q996" i="2"/>
  <c r="Q704" i="2"/>
  <c r="Q422" i="2"/>
  <c r="Q1181" i="2"/>
  <c r="Q974" i="2"/>
  <c r="Q651" i="2"/>
  <c r="Q374" i="2"/>
  <c r="Q305" i="2"/>
  <c r="Q1275" i="2"/>
  <c r="Q1153" i="2"/>
  <c r="Q36" i="2"/>
  <c r="Q176" i="2"/>
  <c r="Q1262" i="2"/>
  <c r="Q1133" i="2"/>
  <c r="Q900" i="2"/>
  <c r="Q598" i="2"/>
  <c r="Q1248" i="2"/>
  <c r="Q1114" i="2"/>
  <c r="Q980" i="2"/>
  <c r="Q1277" i="2"/>
  <c r="Q1264" i="2"/>
  <c r="Q1249" i="2"/>
  <c r="Q1238" i="2"/>
  <c r="Q1225" i="2"/>
  <c r="Q1210" i="2"/>
  <c r="Q1197" i="2"/>
  <c r="Q1182" i="2"/>
  <c r="Q1169" i="2"/>
  <c r="Q1156" i="2"/>
  <c r="Q1138" i="2"/>
  <c r="Q1116" i="2"/>
  <c r="Q1092" i="2"/>
  <c r="Q1073" i="2"/>
  <c r="Q1049" i="2"/>
  <c r="Q1023" i="2"/>
  <c r="Q1002" i="2"/>
  <c r="Q976" i="2"/>
  <c r="Q948" i="2"/>
  <c r="Q907" i="2"/>
  <c r="Q873" i="2"/>
  <c r="Q838" i="2"/>
  <c r="Q803" i="2"/>
  <c r="Q766" i="2"/>
  <c r="Q662" i="2"/>
  <c r="Q496" i="2"/>
  <c r="Q1166" i="2"/>
  <c r="Q1067" i="2"/>
  <c r="Q865" i="2"/>
  <c r="Q1026" i="2"/>
  <c r="Q1274" i="2"/>
  <c r="Q1260" i="2"/>
  <c r="Q97" i="2"/>
  <c r="AB97" i="2" s="1"/>
  <c r="Q1234" i="2"/>
  <c r="Q1221" i="2"/>
  <c r="Q1208" i="2"/>
  <c r="Q1193" i="2"/>
  <c r="Q1179" i="2"/>
  <c r="Q1165" i="2"/>
  <c r="Q1149" i="2"/>
  <c r="Q1132" i="2"/>
  <c r="Q1109" i="2"/>
  <c r="Q1090" i="2"/>
  <c r="Q1066" i="2"/>
  <c r="Q1040" i="2"/>
  <c r="Q1019" i="2"/>
  <c r="Q995" i="2"/>
  <c r="Q968" i="2"/>
  <c r="Q938" i="2"/>
  <c r="Q899" i="2"/>
  <c r="Q864" i="2"/>
  <c r="Q829" i="2"/>
  <c r="Q794" i="2"/>
  <c r="Q752" i="2"/>
  <c r="Q703" i="2"/>
  <c r="Q650" i="2"/>
  <c r="Q597" i="2"/>
  <c r="Q541" i="2"/>
  <c r="Q482" i="2"/>
  <c r="Q12" i="2"/>
  <c r="Q304" i="2"/>
  <c r="Q409" i="2"/>
  <c r="Q1272" i="2"/>
  <c r="Q1259" i="2"/>
  <c r="Q1245" i="2"/>
  <c r="Q1233" i="2"/>
  <c r="Q1218" i="2"/>
  <c r="Q131" i="2"/>
  <c r="Q1192" i="2"/>
  <c r="Q1178" i="2"/>
  <c r="Q1164" i="2"/>
  <c r="Q1148" i="2"/>
  <c r="Q1130" i="2"/>
  <c r="Q1108" i="2"/>
  <c r="Q1085" i="2"/>
  <c r="Q1064" i="2"/>
  <c r="Q1039" i="2"/>
  <c r="Q1014" i="2"/>
  <c r="Q47" i="2"/>
  <c r="Q967" i="2"/>
  <c r="Q929" i="2"/>
  <c r="Q894" i="2"/>
  <c r="Q856" i="2"/>
  <c r="Q823" i="2"/>
  <c r="Q787" i="2"/>
  <c r="Q742" i="2"/>
  <c r="Q691" i="2"/>
  <c r="Q640" i="2"/>
  <c r="Q583" i="2"/>
  <c r="Q528" i="2"/>
  <c r="Q469" i="2"/>
  <c r="Q408" i="2"/>
  <c r="Q834" i="2"/>
  <c r="Q379" i="2"/>
  <c r="Q805" i="2"/>
  <c r="Q1024" i="2"/>
  <c r="Q31" i="2"/>
  <c r="Q1284" i="2"/>
  <c r="Q1271" i="2"/>
  <c r="Q1257" i="2"/>
  <c r="Q1242" i="2"/>
  <c r="Q1231" i="2"/>
  <c r="Q1217" i="2"/>
  <c r="Q1205" i="2"/>
  <c r="Q1191" i="2"/>
  <c r="Q1174" i="2"/>
  <c r="Q1162" i="2"/>
  <c r="Q130" i="2"/>
  <c r="Q1124" i="2"/>
  <c r="Q1106" i="2"/>
  <c r="Q1084" i="2"/>
  <c r="Q1058" i="2"/>
  <c r="Q1037" i="2"/>
  <c r="Q1013" i="2"/>
  <c r="Q987" i="2"/>
  <c r="Q965" i="2"/>
  <c r="Q928" i="2"/>
  <c r="Q893" i="2"/>
  <c r="Q855" i="2"/>
  <c r="Q46" i="2"/>
  <c r="Q786" i="2"/>
  <c r="Q740" i="2"/>
  <c r="Q690" i="2"/>
  <c r="Q639" i="2"/>
  <c r="Q582" i="2"/>
  <c r="Q527" i="2"/>
  <c r="Q468" i="2"/>
  <c r="Q407" i="2"/>
  <c r="Q348" i="2"/>
  <c r="Q1283" i="2"/>
  <c r="Q1268" i="2"/>
  <c r="Q1255" i="2"/>
  <c r="Q1230" i="2"/>
  <c r="Q1216" i="2"/>
  <c r="Q1202" i="2"/>
  <c r="Q1188" i="2"/>
  <c r="Q1173" i="2"/>
  <c r="Q1161" i="2"/>
  <c r="Q1146" i="2"/>
  <c r="Q1123" i="2"/>
  <c r="Q1100" i="2"/>
  <c r="Q1081" i="2"/>
  <c r="Q1057" i="2"/>
  <c r="Q1032" i="2"/>
  <c r="Q1011" i="2"/>
  <c r="Q986" i="2"/>
  <c r="Q958" i="2"/>
  <c r="Q919" i="2"/>
  <c r="Q884" i="2"/>
  <c r="Q813" i="2"/>
  <c r="Q776" i="2"/>
  <c r="Q727" i="2"/>
  <c r="Q677" i="2"/>
  <c r="Q628" i="2"/>
  <c r="Q571" i="2"/>
  <c r="Q511" i="2"/>
  <c r="Q454" i="2"/>
  <c r="Q391" i="2"/>
  <c r="Q1113" i="2"/>
  <c r="Q1281" i="2"/>
  <c r="Q1267" i="2"/>
  <c r="Q1254" i="2"/>
  <c r="Q1241" i="2"/>
  <c r="Q1227" i="2"/>
  <c r="Q1214" i="2"/>
  <c r="Q1201" i="2"/>
  <c r="Q1187" i="2"/>
  <c r="Q1172" i="2"/>
  <c r="Q1158" i="2"/>
  <c r="Q1141" i="2"/>
  <c r="Q1121" i="2"/>
  <c r="Q1099" i="2"/>
  <c r="Q1075" i="2"/>
  <c r="Q1055" i="2"/>
  <c r="Q1030" i="2"/>
  <c r="Q1006" i="2"/>
  <c r="Q984" i="2"/>
  <c r="Q957" i="2"/>
  <c r="Q918" i="2"/>
  <c r="Q883" i="2"/>
  <c r="Q847" i="2"/>
  <c r="Q812" i="2"/>
  <c r="Q775" i="2"/>
  <c r="Q726" i="2"/>
  <c r="Q676" i="2"/>
  <c r="Q627" i="2"/>
  <c r="Q570" i="2"/>
  <c r="Q510" i="2"/>
  <c r="Q453" i="2"/>
  <c r="Q390" i="2"/>
  <c r="Q334" i="2"/>
  <c r="Q1223" i="2"/>
  <c r="Q1280" i="2"/>
  <c r="Q1266" i="2"/>
  <c r="Q1250" i="2"/>
  <c r="Q1239" i="2"/>
  <c r="Q1226" i="2"/>
  <c r="Q1213" i="2"/>
  <c r="Q1200" i="2"/>
  <c r="Q1183" i="2"/>
  <c r="Q1170" i="2"/>
  <c r="Q1157" i="2"/>
  <c r="Q1140" i="2"/>
  <c r="Q1117" i="2"/>
  <c r="Q1097" i="2"/>
  <c r="Q1050" i="2"/>
  <c r="Q1028" i="2"/>
  <c r="Q1004" i="2"/>
  <c r="Q978" i="2"/>
  <c r="Q949" i="2"/>
  <c r="Q908" i="2"/>
  <c r="Q875" i="2"/>
  <c r="Q839" i="2"/>
  <c r="Q804" i="2"/>
  <c r="Q767" i="2"/>
  <c r="Q716" i="2"/>
  <c r="Q663" i="2"/>
  <c r="Q613" i="2"/>
  <c r="Q555" i="2"/>
  <c r="Q17" i="2"/>
  <c r="Q438" i="2"/>
  <c r="Q375" i="2"/>
  <c r="Q319" i="2"/>
  <c r="Q419" i="2"/>
  <c r="Q404" i="2"/>
  <c r="Q372" i="2"/>
  <c r="Q359" i="2"/>
  <c r="Q345" i="2"/>
  <c r="Q331" i="2"/>
  <c r="Q314" i="2"/>
  <c r="Q368" i="2"/>
  <c r="Q356" i="2"/>
  <c r="Q342" i="2"/>
  <c r="Q312" i="2"/>
  <c r="Q311" i="2"/>
  <c r="Q412" i="2"/>
  <c r="Q396" i="2"/>
  <c r="Q68" i="2"/>
  <c r="Q352" i="2"/>
  <c r="Q338" i="2"/>
  <c r="Q1043" i="2"/>
  <c r="Q917" i="2"/>
  <c r="Q513" i="2"/>
  <c r="Q394" i="2"/>
  <c r="Q1263" i="2"/>
  <c r="Q886" i="2"/>
  <c r="Q1276" i="2"/>
  <c r="Q1246" i="2"/>
  <c r="Q1184" i="2"/>
  <c r="Q1083" i="2"/>
  <c r="Q1020" i="2"/>
  <c r="M851" i="2"/>
  <c r="Q756" i="2" l="1"/>
  <c r="Q954" i="2"/>
  <c r="Q826" i="2"/>
  <c r="Q1086" i="2"/>
  <c r="Q722" i="2"/>
  <c r="Q780" i="2"/>
  <c r="Q1143" i="2"/>
  <c r="Q712" i="2"/>
  <c r="Q1119" i="2"/>
  <c r="Q989" i="2"/>
  <c r="Q360" i="2"/>
  <c r="Q414" i="2"/>
  <c r="Q1041" i="2"/>
  <c r="Q536" i="2"/>
  <c r="Q586" i="2"/>
  <c r="Q1098" i="2"/>
  <c r="Q557" i="2"/>
  <c r="Q934" i="2"/>
  <c r="Q164" i="2"/>
  <c r="Q925" i="2"/>
  <c r="Q831" i="2"/>
  <c r="Q1163" i="2"/>
  <c r="Q1278" i="2"/>
  <c r="Q1126" i="2"/>
  <c r="Q316" i="2"/>
  <c r="Q872" i="2"/>
  <c r="Q1189" i="2"/>
  <c r="Q615" i="2"/>
  <c r="Q808" i="2"/>
  <c r="Q170" i="2"/>
  <c r="Q596" i="2"/>
  <c r="Q1016" i="2"/>
  <c r="Q1094" i="2"/>
  <c r="Q322" i="2"/>
  <c r="Q657" i="2"/>
  <c r="Q473" i="2"/>
  <c r="Q665" i="2"/>
  <c r="Q702" i="2"/>
  <c r="Q1015" i="2"/>
  <c r="Q514" i="2"/>
  <c r="Q898" i="2"/>
  <c r="Q585" i="2"/>
  <c r="Q972" i="2"/>
  <c r="Q357" i="2"/>
  <c r="Q791" i="2"/>
  <c r="Q734" i="2"/>
  <c r="Q441" i="2"/>
  <c r="Q377" i="2"/>
  <c r="Q923" i="2"/>
  <c r="Q498" i="2"/>
  <c r="Q547" i="2"/>
  <c r="Q818" i="2"/>
  <c r="Q321" i="2"/>
  <c r="Q548" i="2"/>
  <c r="Q969" i="2"/>
  <c r="Q863" i="2"/>
  <c r="Q664" i="2"/>
  <c r="Q497" i="2"/>
  <c r="Q564" i="2"/>
  <c r="Q1235" i="2"/>
  <c r="Q442" i="2"/>
  <c r="Q944" i="2"/>
  <c r="Q403" i="2"/>
  <c r="Q1236" i="2"/>
  <c r="Q30" i="2"/>
  <c r="Q399" i="2"/>
  <c r="Q1056" i="2"/>
  <c r="Q1247" i="2"/>
  <c r="Q590" i="2"/>
  <c r="Q410" i="2"/>
  <c r="Q979" i="2"/>
  <c r="Q472" i="2"/>
  <c r="Q835" i="2"/>
  <c r="Q1052" i="2"/>
  <c r="Q711" i="2"/>
  <c r="Q1155" i="2"/>
  <c r="Q1001" i="2"/>
  <c r="Q881" i="2"/>
  <c r="Q793" i="2"/>
  <c r="Q814" i="2"/>
  <c r="Q499" i="2"/>
  <c r="Q693" i="2"/>
  <c r="Q373" i="2"/>
  <c r="Q354" i="2"/>
  <c r="Q389" i="2"/>
  <c r="Q474" i="2"/>
  <c r="Q508" i="2"/>
  <c r="Q624" i="2"/>
  <c r="Q694" i="2"/>
  <c r="Q738" i="2"/>
  <c r="Q816" i="2"/>
  <c r="Q851" i="2"/>
  <c r="Q966" i="2"/>
  <c r="Q1021" i="2"/>
  <c r="Q1145" i="2"/>
  <c r="Q1207" i="2"/>
  <c r="Q488" i="2"/>
  <c r="Q732" i="2"/>
  <c r="Q992" i="2"/>
  <c r="Q406" i="2"/>
  <c r="Q444" i="2"/>
  <c r="Q525" i="2"/>
  <c r="Q560" i="2"/>
  <c r="Q637" i="2"/>
  <c r="Q667" i="2"/>
  <c r="Q763" i="2"/>
  <c r="Q809" i="2"/>
  <c r="Q920" i="2"/>
  <c r="Q983" i="2"/>
  <c r="Q1261" i="2"/>
  <c r="Q502" i="2"/>
  <c r="Q654" i="2"/>
  <c r="Q1269" i="2"/>
  <c r="Q34" i="2"/>
  <c r="Q349" i="2"/>
  <c r="Q384" i="2"/>
  <c r="Q534" i="2"/>
  <c r="Q605" i="2"/>
  <c r="Q696" i="2"/>
  <c r="Q741" i="2"/>
  <c r="Q824" i="2"/>
  <c r="Q878" i="2"/>
  <c r="Q1087" i="2"/>
  <c r="Q1203" i="2"/>
  <c r="Q772" i="2"/>
  <c r="Q1025" i="2"/>
  <c r="Q18" i="2"/>
  <c r="Q1105" i="2"/>
  <c r="Q350" i="2"/>
  <c r="Q668" i="2"/>
  <c r="Q591" i="2"/>
  <c r="Q901" i="2"/>
  <c r="Q1220" i="2"/>
  <c r="Q19" i="2"/>
  <c r="Q753" i="2"/>
  <c r="Q882" i="2"/>
  <c r="Q1244" i="2"/>
  <c r="Q600" i="2"/>
  <c r="Q346" i="2"/>
  <c r="Q320" i="2"/>
  <c r="Q326" i="2"/>
  <c r="Q361" i="2"/>
  <c r="Q443" i="2"/>
  <c r="Q480" i="2"/>
  <c r="Q559" i="2"/>
  <c r="Q594" i="2"/>
  <c r="Q666" i="2"/>
  <c r="Q701" i="2"/>
  <c r="Q822" i="2"/>
  <c r="Q927" i="2"/>
  <c r="Q982" i="2"/>
  <c r="Q1107" i="2"/>
  <c r="Q1152" i="2"/>
  <c r="Q681" i="2"/>
  <c r="Q921" i="2"/>
  <c r="Q1194" i="2"/>
  <c r="Q706" i="2"/>
  <c r="Q355" i="2"/>
  <c r="Q165" i="2"/>
  <c r="Q495" i="2"/>
  <c r="Q532" i="2"/>
  <c r="Q610" i="2"/>
  <c r="Q643" i="2"/>
  <c r="Q724" i="2"/>
  <c r="Q876" i="2"/>
  <c r="Q936" i="2"/>
  <c r="Q1177" i="2"/>
  <c r="Q604" i="2"/>
  <c r="Q660" i="2"/>
  <c r="Q9" i="2"/>
  <c r="Q333" i="2"/>
  <c r="Q13" i="2"/>
  <c r="Q451" i="2"/>
  <c r="Q531" i="2"/>
  <c r="Q567" i="2"/>
  <c r="Q155" i="2"/>
  <c r="Q672" i="2"/>
  <c r="Q762" i="2"/>
  <c r="Q796" i="2"/>
  <c r="Q891" i="2"/>
  <c r="Q935" i="2"/>
  <c r="Q1053" i="2"/>
  <c r="Q1115" i="2"/>
  <c r="Q626" i="2"/>
  <c r="Q846" i="2"/>
  <c r="Q169" i="2"/>
  <c r="Q23" i="2"/>
  <c r="Q182" i="2"/>
  <c r="Q367" i="2"/>
  <c r="Q467" i="2"/>
  <c r="Q501" i="2"/>
  <c r="Q580" i="2"/>
  <c r="Q617" i="2"/>
  <c r="Q687" i="2"/>
  <c r="Q731" i="2"/>
  <c r="Q845" i="2"/>
  <c r="Q892" i="2"/>
  <c r="Q1038" i="2"/>
  <c r="Q1185" i="2"/>
  <c r="Q540" i="2"/>
  <c r="Q618" i="2"/>
  <c r="Q790" i="2"/>
  <c r="Q913" i="2"/>
  <c r="Q457" i="2"/>
  <c r="Q1243" i="2"/>
  <c r="Q328" i="2"/>
  <c r="Q415" i="2"/>
  <c r="Q489" i="2"/>
  <c r="Q645" i="2"/>
  <c r="Q675" i="2"/>
  <c r="Q765" i="2"/>
  <c r="Q798" i="2"/>
  <c r="Q930" i="2"/>
  <c r="Q985" i="2"/>
  <c r="Q1102" i="2"/>
  <c r="Q887" i="2"/>
  <c r="Q1219" i="2"/>
  <c r="Q736" i="2"/>
  <c r="Q470" i="2"/>
  <c r="Q1180" i="2"/>
  <c r="Q471" i="2"/>
  <c r="Q751" i="2"/>
  <c r="Q1089" i="2"/>
  <c r="Q29" i="2"/>
  <c r="Q642" i="2"/>
  <c r="Q866" i="2"/>
  <c r="Q799" i="2"/>
  <c r="Q371" i="2"/>
  <c r="Q621" i="2"/>
  <c r="Q947" i="2"/>
  <c r="Q558" i="2"/>
  <c r="Q781" i="2"/>
  <c r="Q768" i="2"/>
  <c r="Q317" i="2"/>
  <c r="Q381" i="2"/>
  <c r="Q420" i="2"/>
  <c r="Q500" i="2"/>
  <c r="Q538" i="2"/>
  <c r="Q616" i="2"/>
  <c r="Q648" i="2"/>
  <c r="Q730" i="2"/>
  <c r="Q770" i="2"/>
  <c r="Q844" i="2"/>
  <c r="Q896" i="2"/>
  <c r="Q1005" i="2"/>
  <c r="Q1061" i="2"/>
  <c r="Q1176" i="2"/>
  <c r="Q167" i="2"/>
  <c r="Q797" i="2"/>
  <c r="Q1063" i="2"/>
  <c r="Q464" i="2"/>
  <c r="Q1150" i="2"/>
  <c r="Q67" i="2"/>
  <c r="Q436" i="2"/>
  <c r="Q475" i="2"/>
  <c r="Q552" i="2"/>
  <c r="Q587" i="2"/>
  <c r="Q659" i="2"/>
  <c r="Q33" i="2"/>
  <c r="Q802" i="2"/>
  <c r="Q852" i="2"/>
  <c r="Q975" i="2"/>
  <c r="Q1054" i="2"/>
  <c r="Q553" i="2"/>
  <c r="Q710" i="2"/>
  <c r="Q853" i="2"/>
  <c r="Q1035" i="2"/>
  <c r="Q303" i="2"/>
  <c r="Q376" i="2"/>
  <c r="Q430" i="2"/>
  <c r="Q589" i="2"/>
  <c r="Q733" i="2"/>
  <c r="Q870" i="2"/>
  <c r="Q945" i="2"/>
  <c r="Q1000" i="2"/>
  <c r="Q1195" i="2"/>
  <c r="Q825" i="2"/>
  <c r="Q1111" i="2"/>
  <c r="Q622" i="2"/>
  <c r="Q298" i="2"/>
  <c r="Q535" i="2"/>
  <c r="Q988" i="2"/>
  <c r="Q332" i="2"/>
  <c r="Q877" i="2"/>
  <c r="Q1147" i="2"/>
  <c r="Q506" i="2"/>
  <c r="Q460" i="2"/>
  <c r="Q1118" i="2"/>
  <c r="Q656" i="2"/>
  <c r="Q931" i="2"/>
  <c r="Q788" i="2"/>
  <c r="Q439" i="2"/>
  <c r="Q1065" i="2"/>
  <c r="Q440" i="2"/>
  <c r="Q705" i="2"/>
  <c r="Q300" i="2"/>
  <c r="Q339" i="2"/>
  <c r="Q365" i="2"/>
  <c r="Q1252" i="2"/>
  <c r="Q533" i="2"/>
  <c r="Q588" i="2"/>
  <c r="Q638" i="2"/>
  <c r="Q695" i="2"/>
  <c r="Q748" i="2"/>
  <c r="Q810" i="2"/>
  <c r="Q861" i="2"/>
  <c r="Q937" i="2"/>
  <c r="Q999" i="2"/>
  <c r="Q1078" i="2"/>
  <c r="Q1139" i="2"/>
  <c r="Q1240" i="2"/>
  <c r="Q395" i="2"/>
  <c r="Q492" i="2"/>
  <c r="Q608" i="2"/>
  <c r="Q744" i="2"/>
  <c r="Q909" i="2"/>
  <c r="Q1229" i="2"/>
  <c r="Q411" i="2"/>
  <c r="Q544" i="2"/>
  <c r="Q684" i="2"/>
  <c r="Q1003" i="2"/>
  <c r="Q1135" i="2"/>
  <c r="Q683" i="2"/>
  <c r="Q758" i="2"/>
  <c r="Q142" i="2"/>
  <c r="Q879" i="2"/>
  <c r="Q946" i="2"/>
  <c r="Q1017" i="2"/>
  <c r="Q1095" i="2"/>
  <c r="Q1211" i="2"/>
  <c r="Q14" i="2"/>
  <c r="Q592" i="2"/>
  <c r="Q699" i="2"/>
  <c r="Q807" i="2"/>
  <c r="Q902" i="2"/>
  <c r="Q315" i="2"/>
  <c r="Q344" i="2"/>
  <c r="Q370" i="2"/>
  <c r="Q401" i="2"/>
  <c r="Q431" i="2"/>
  <c r="Q462" i="2"/>
  <c r="Q490" i="2"/>
  <c r="Q520" i="2"/>
  <c r="Q577" i="2"/>
  <c r="Q646" i="2"/>
  <c r="Q792" i="2"/>
  <c r="Q1009" i="2"/>
  <c r="Q1103" i="2"/>
  <c r="Q310" i="2"/>
  <c r="Q337" i="2"/>
  <c r="Q364" i="2"/>
  <c r="Q402" i="2"/>
  <c r="Q432" i="2"/>
  <c r="Q463" i="2"/>
  <c r="Q491" i="2"/>
  <c r="Q529" i="2"/>
  <c r="Q556" i="2"/>
  <c r="Q584" i="2"/>
  <c r="Q25" i="2"/>
  <c r="Q647" i="2"/>
  <c r="Q698" i="2"/>
  <c r="Q743" i="2"/>
  <c r="Q779" i="2"/>
  <c r="Q820" i="2"/>
  <c r="Q848" i="2"/>
  <c r="Q895" i="2"/>
  <c r="Q932" i="2"/>
  <c r="Q971" i="2"/>
  <c r="Q1018" i="2"/>
  <c r="Q1074" i="2"/>
  <c r="Q1112" i="2"/>
  <c r="Q1142" i="2"/>
  <c r="Q433" i="2"/>
  <c r="Q614" i="2"/>
  <c r="Q99" i="2"/>
  <c r="AB99" i="2" s="1"/>
  <c r="Q964" i="2"/>
  <c r="Q434" i="2"/>
  <c r="Q465" i="2"/>
  <c r="Q493" i="2"/>
  <c r="Q523" i="2"/>
  <c r="Q550" i="2"/>
  <c r="Q579" i="2"/>
  <c r="Q609" i="2"/>
  <c r="Q636" i="2"/>
  <c r="Q658" i="2"/>
  <c r="Q685" i="2"/>
  <c r="Q714" i="2"/>
  <c r="Q745" i="2"/>
  <c r="Q773" i="2"/>
  <c r="Q801" i="2"/>
  <c r="Q858" i="2"/>
  <c r="Q890" i="2"/>
  <c r="Q926" i="2"/>
  <c r="Q981" i="2"/>
  <c r="Q1044" i="2"/>
  <c r="Q1091" i="2"/>
  <c r="Q1144" i="2"/>
  <c r="Q1199" i="2"/>
  <c r="Q565" i="2"/>
  <c r="Q728" i="2"/>
  <c r="Q956" i="2"/>
  <c r="Q324" i="2"/>
  <c r="Q325" i="2"/>
  <c r="Q353" i="2"/>
  <c r="Q380" i="2"/>
  <c r="Q302" i="2"/>
  <c r="Q476" i="2"/>
  <c r="Q561" i="2"/>
  <c r="Q611" i="2"/>
  <c r="Q717" i="2"/>
  <c r="Q764" i="2"/>
  <c r="Q96" i="2"/>
  <c r="Q190" i="2"/>
  <c r="Q952" i="2"/>
  <c r="Q1047" i="2"/>
  <c r="Q1093" i="2"/>
  <c r="Q1186" i="2"/>
  <c r="Q425" i="2"/>
  <c r="Q22" i="2"/>
  <c r="Q670" i="2"/>
  <c r="Q849" i="2"/>
  <c r="Q1120" i="2"/>
  <c r="Q187" i="2"/>
  <c r="Q630" i="2"/>
  <c r="Q889" i="2"/>
  <c r="Q1051" i="2"/>
  <c r="Q719" i="2"/>
  <c r="Q778" i="2"/>
  <c r="Q832" i="2"/>
  <c r="Q915" i="2"/>
  <c r="Q970" i="2"/>
  <c r="Q1033" i="2"/>
  <c r="Q1279" i="2"/>
  <c r="Q418" i="2"/>
  <c r="Q530" i="2"/>
  <c r="Q138" i="2"/>
  <c r="Q760" i="2"/>
  <c r="Q857" i="2"/>
  <c r="Q1128" i="2"/>
  <c r="Q65" i="2"/>
  <c r="Q329" i="2"/>
  <c r="Q358" i="2"/>
  <c r="Q385" i="2"/>
  <c r="Q416" i="2"/>
  <c r="Q447" i="2"/>
  <c r="Q477" i="2"/>
  <c r="Q504" i="2"/>
  <c r="Q549" i="2"/>
  <c r="Q606" i="2"/>
  <c r="Q697" i="2"/>
  <c r="Q840" i="2"/>
  <c r="Q939" i="2"/>
  <c r="Q1080" i="2"/>
  <c r="Q206" i="2"/>
  <c r="Q323" i="2"/>
  <c r="Q351" i="2"/>
  <c r="Q378" i="2"/>
  <c r="Q417" i="2"/>
  <c r="Q448" i="2"/>
  <c r="Q478" i="2"/>
  <c r="Q505" i="2"/>
  <c r="Q543" i="2"/>
  <c r="Q572" i="2"/>
  <c r="Q599" i="2"/>
  <c r="Q629" i="2"/>
  <c r="Q669" i="2"/>
  <c r="Q713" i="2"/>
  <c r="Q759" i="2"/>
  <c r="Q800" i="2"/>
  <c r="Q833" i="2"/>
  <c r="Q880" i="2"/>
  <c r="Q916" i="2"/>
  <c r="Q955" i="2"/>
  <c r="Q994" i="2"/>
  <c r="Q1034" i="2"/>
  <c r="Q1096" i="2"/>
  <c r="Q1127" i="2"/>
  <c r="Q1212" i="2"/>
  <c r="Q537" i="2"/>
  <c r="Q692" i="2"/>
  <c r="Q842" i="2"/>
  <c r="Q1082" i="2"/>
  <c r="Q450" i="2"/>
  <c r="Q479" i="2"/>
  <c r="Q507" i="2"/>
  <c r="Q566" i="2"/>
  <c r="Q593" i="2"/>
  <c r="Q623" i="2"/>
  <c r="Q28" i="2"/>
  <c r="Q671" i="2"/>
  <c r="Q700" i="2"/>
  <c r="Q729" i="2"/>
  <c r="Q761" i="2"/>
  <c r="Q815" i="2"/>
  <c r="Q843" i="2"/>
  <c r="Q874" i="2"/>
  <c r="Q903" i="2"/>
  <c r="Q941" i="2"/>
  <c r="Q1012" i="2"/>
  <c r="Q1060" i="2"/>
  <c r="Q1129" i="2"/>
  <c r="Q1159" i="2"/>
  <c r="Q449" i="2"/>
  <c r="Q135" i="2"/>
  <c r="Q1027" i="2"/>
  <c r="Q306" i="2"/>
  <c r="Q340" i="2"/>
  <c r="Q366" i="2"/>
  <c r="Q397" i="2"/>
  <c r="Q427" i="2"/>
  <c r="Q459" i="2"/>
  <c r="Q15" i="2"/>
  <c r="Q516" i="2"/>
  <c r="Q545" i="2"/>
  <c r="Q574" i="2"/>
  <c r="Q602" i="2"/>
  <c r="Q631" i="2"/>
  <c r="Q652" i="2"/>
  <c r="Q679" i="2"/>
  <c r="Q708" i="2"/>
  <c r="Q746" i="2"/>
  <c r="Q774" i="2"/>
  <c r="Q160" i="2"/>
  <c r="Q828" i="2"/>
  <c r="Q859" i="2"/>
  <c r="Q904" i="2"/>
  <c r="Q942" i="2"/>
  <c r="Q990" i="2"/>
  <c r="Q1029" i="2"/>
  <c r="Q1069" i="2"/>
  <c r="Q1122" i="2"/>
  <c r="Q1160" i="2"/>
  <c r="Q1215" i="2"/>
  <c r="Q301" i="2"/>
  <c r="Q327" i="2"/>
  <c r="Q382" i="2"/>
  <c r="Q421" i="2"/>
  <c r="Q452" i="2"/>
  <c r="Q481" i="2"/>
  <c r="Q509" i="2"/>
  <c r="Q539" i="2"/>
  <c r="Q568" i="2"/>
  <c r="Q595" i="2"/>
  <c r="Q625" i="2"/>
  <c r="Q649" i="2"/>
  <c r="Q175" i="2"/>
  <c r="Q739" i="2"/>
  <c r="Q783" i="2"/>
  <c r="Q817" i="2"/>
  <c r="Q860" i="2"/>
  <c r="Q897" i="2"/>
  <c r="Q951" i="2"/>
  <c r="Q991" i="2"/>
  <c r="Q1062" i="2"/>
  <c r="Q1232" i="2"/>
  <c r="Q518" i="2"/>
  <c r="Q569" i="2"/>
  <c r="Q633" i="2"/>
  <c r="Q674" i="2"/>
  <c r="Q771" i="2"/>
  <c r="Q869" i="2"/>
  <c r="Q1007" i="2"/>
  <c r="Q429" i="2"/>
  <c r="Q308" i="2"/>
  <c r="Q10" i="2"/>
  <c r="Q362" i="2"/>
  <c r="Q392" i="2"/>
  <c r="Q446" i="2"/>
  <c r="Q503" i="2"/>
  <c r="Q562" i="2"/>
  <c r="Q619" i="2"/>
  <c r="Q655" i="2"/>
  <c r="Q682" i="2"/>
  <c r="Q718" i="2"/>
  <c r="Q749" i="2"/>
  <c r="Q777" i="2"/>
  <c r="Q811" i="2"/>
  <c r="Q854" i="2"/>
  <c r="Q906" i="2"/>
  <c r="Q953" i="2"/>
  <c r="Q309" i="2"/>
  <c r="Q336" i="2"/>
  <c r="Q363" i="2"/>
  <c r="Q393" i="2"/>
  <c r="Q423" i="2"/>
  <c r="Q455" i="2"/>
  <c r="Q484" i="2"/>
  <c r="Q512" i="2"/>
  <c r="Q563" i="2"/>
  <c r="Q620" i="2"/>
  <c r="Q750" i="2"/>
  <c r="Q871" i="2"/>
  <c r="Q962" i="2"/>
  <c r="Q1088" i="2"/>
  <c r="Q1256" i="2"/>
  <c r="Q299" i="2"/>
  <c r="Q330" i="2"/>
  <c r="Q386" i="2"/>
  <c r="Q424" i="2"/>
  <c r="Q456" i="2"/>
  <c r="Q485" i="2"/>
  <c r="Q521" i="2"/>
  <c r="Q21" i="2"/>
  <c r="Q578" i="2"/>
  <c r="Q607" i="2"/>
  <c r="Q635" i="2"/>
  <c r="Q32" i="2"/>
  <c r="Q720" i="2"/>
  <c r="Q806" i="2"/>
  <c r="Q841" i="2"/>
  <c r="Q888" i="2"/>
  <c r="Q924" i="2"/>
  <c r="Q963" i="2"/>
  <c r="Q1010" i="2"/>
  <c r="Q1042" i="2"/>
  <c r="Q1104" i="2"/>
  <c r="Q1134" i="2"/>
  <c r="Q387" i="2"/>
  <c r="Q166" i="2"/>
  <c r="Q721" i="2"/>
  <c r="Q940" i="2"/>
  <c r="Q1273" i="2"/>
  <c r="Q426" i="2"/>
  <c r="Q458" i="2"/>
  <c r="Q487" i="2"/>
  <c r="Q515" i="2"/>
  <c r="Q20" i="2"/>
  <c r="Q573" i="2"/>
  <c r="Q601" i="2"/>
  <c r="Q26" i="2"/>
  <c r="Q707" i="2"/>
  <c r="Q737" i="2"/>
  <c r="Q769" i="2"/>
  <c r="Q795" i="2"/>
  <c r="Q821" i="2"/>
  <c r="Q850" i="2"/>
  <c r="Q910" i="2"/>
  <c r="Q973" i="2"/>
  <c r="Q1036" i="2"/>
  <c r="Q1068" i="2"/>
  <c r="Q1136" i="2"/>
  <c r="Q1167" i="2"/>
  <c r="Q522" i="2"/>
  <c r="Q678" i="2"/>
  <c r="Q827" i="2"/>
  <c r="Q1265" i="2"/>
  <c r="Q313" i="2"/>
  <c r="Q347" i="2"/>
  <c r="Q405" i="2"/>
  <c r="Q435" i="2"/>
  <c r="Q466" i="2"/>
  <c r="Q494" i="2"/>
  <c r="Q524" i="2"/>
  <c r="Q551" i="2"/>
  <c r="Q24" i="2"/>
  <c r="Q686" i="2"/>
  <c r="Q723" i="2"/>
  <c r="Q754" i="2"/>
  <c r="Q782" i="2"/>
  <c r="Q35" i="2"/>
  <c r="Q836" i="2"/>
  <c r="Q867" i="2"/>
  <c r="Q911" i="2"/>
  <c r="Q950" i="2"/>
  <c r="Q997" i="2"/>
  <c r="Q1045" i="2"/>
  <c r="Q1076" i="2"/>
  <c r="Q1137" i="2"/>
  <c r="Q1168" i="2"/>
  <c r="Q307" i="2"/>
  <c r="Q341" i="2"/>
  <c r="Q398" i="2"/>
  <c r="Q428" i="2"/>
  <c r="Q16" i="2"/>
  <c r="Q517" i="2"/>
  <c r="Q546" i="2"/>
  <c r="Q575" i="2"/>
  <c r="Q603" i="2"/>
  <c r="Q632" i="2"/>
  <c r="Q653" i="2"/>
  <c r="Q680" i="2"/>
  <c r="Q709" i="2"/>
  <c r="Q747" i="2"/>
  <c r="Q789" i="2"/>
  <c r="Q837" i="2"/>
  <c r="Q868" i="2"/>
  <c r="Q905" i="2"/>
  <c r="Q959" i="2"/>
  <c r="Q998" i="2"/>
  <c r="Q1070" i="2"/>
  <c r="Q1253" i="2"/>
  <c r="Q526" i="2"/>
  <c r="Q581" i="2"/>
  <c r="Q644" i="2"/>
  <c r="Q688" i="2"/>
  <c r="Q784" i="2"/>
  <c r="Q885" i="2"/>
  <c r="Q1071" i="2"/>
  <c r="Q383" i="2"/>
  <c r="Q445" i="2"/>
  <c r="Q343" i="2"/>
  <c r="Q369" i="2"/>
  <c r="Q400" i="2"/>
  <c r="Q461" i="2"/>
  <c r="Q519" i="2"/>
  <c r="Q576" i="2"/>
  <c r="Q634" i="2"/>
  <c r="Q661" i="2"/>
  <c r="Q689" i="2"/>
  <c r="Q725" i="2"/>
  <c r="Q757" i="2"/>
  <c r="Q785" i="2"/>
  <c r="Q819" i="2"/>
  <c r="Q862" i="2"/>
  <c r="Q914" i="2"/>
  <c r="Q961" i="2"/>
  <c r="Q1008" i="2"/>
  <c r="Q1079" i="2"/>
  <c r="Q1110" i="2"/>
  <c r="Q1171" i="2"/>
  <c r="Q1270" i="2"/>
  <c r="Q1228" i="2"/>
  <c r="M26" i="2"/>
  <c r="X51" i="2" l="1"/>
  <c r="AB51" i="2" s="1"/>
  <c r="X54" i="2"/>
  <c r="AB54" i="2" s="1"/>
  <c r="X52" i="2"/>
  <c r="AB52" i="2" s="1"/>
  <c r="X48" i="2"/>
  <c r="AB48" i="2" s="1"/>
  <c r="X50" i="2"/>
  <c r="AB50" i="2" s="1"/>
  <c r="X53" i="2"/>
  <c r="AB53" i="2" s="1"/>
  <c r="X49" i="2"/>
  <c r="AB49" i="2" s="1"/>
  <c r="AB2" i="2" l="1"/>
  <c r="W2086" i="22"/>
  <c r="X2086" i="22" l="1"/>
  <c r="AA2086" i="22" l="1"/>
  <c r="Y2086" i="22" s="1"/>
  <c r="AB2086" i="22" s="1"/>
  <c r="Q2086"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 authorId="0" shapeId="0" xr:uid="{00000000-0006-0000-0200-000001000000}">
      <text>
        <r>
          <rPr>
            <sz val="10"/>
            <rFont val="Arial"/>
            <family val="2"/>
          </rPr>
          <t>Hörbuch oder Hörspiel?</t>
        </r>
      </text>
    </comment>
    <comment ref="G1" authorId="0" shapeId="0" xr:uid="{00000000-0006-0000-0200-000002000000}">
      <text>
        <r>
          <rPr>
            <sz val="10"/>
            <rFont val="Arial"/>
            <family val="2"/>
          </rPr>
          <t>CD/DVD/CD-ROM/Kassette/LP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 authorId="0" shapeId="0" xr:uid="{0B26009F-C6E9-47DB-9EBA-F9EBD30DAFCE}">
      <text>
        <r>
          <rPr>
            <sz val="10"/>
            <rFont val="Arial"/>
            <family val="2"/>
          </rPr>
          <t>Hörbuch oder Hörspiel?</t>
        </r>
      </text>
    </comment>
    <comment ref="G1" authorId="0" shapeId="0" xr:uid="{155D2A7C-B58F-4680-A385-D16DBD366E70}">
      <text>
        <r>
          <rPr>
            <sz val="10"/>
            <rFont val="Arial"/>
            <family val="2"/>
          </rPr>
          <t>CD/DVD/CD-ROM/Kassette/LP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<sst xmlns="http://schemas.openxmlformats.org/spreadsheetml/2006/main" count="69023" uniqueCount="14585">
  <si>
    <t>Informationen zum Gebrauch der Vorlage</t>
  </si>
  <si>
    <t>Eigentlich alles ganz einfach - wenn Sie die folgenden Hinweise beachten:</t>
  </si>
  <si>
    <r>
      <rPr>
        <b/>
        <sz val="10"/>
        <rFont val="Arial"/>
        <family val="2"/>
      </rPr>
      <t>1</t>
    </r>
    <r>
      <rPr>
        <sz val="10"/>
        <rFont val="Arial"/>
        <family val="2"/>
      </rPr>
      <t xml:space="preserve">. Unten links finden Sie Felder mit der Bezeichnung "Bitte lesen", "Bücher", "Hörbücher", "Filme, "Musik", </t>
    </r>
  </si>
  <si>
    <r>
      <rPr>
        <b/>
        <sz val="10"/>
        <rFont val="Arial"/>
        <family val="2"/>
      </rPr>
      <t xml:space="preserve">    </t>
    </r>
    <r>
      <rPr>
        <sz val="10"/>
        <rFont val="Arial"/>
        <family val="2"/>
      </rPr>
      <t>und Spiele" sowie die jeweils dazugehörigen Sparten-Nummern.</t>
    </r>
  </si>
  <si>
    <t xml:space="preserve">   "Bitte lesen" ist der Teil, auf dem Sie sich gerade befinden. Hier wird lediglich der Umgang mit dieser</t>
  </si>
  <si>
    <t xml:space="preserve">   Eingabemaske erklärt. </t>
  </si>
  <si>
    <r>
      <rPr>
        <b/>
        <sz val="10"/>
        <rFont val="Arial"/>
        <family val="2"/>
      </rPr>
      <t>2</t>
    </r>
    <r>
      <rPr>
        <sz val="10"/>
        <rFont val="Arial"/>
        <family val="2"/>
      </rPr>
      <t xml:space="preserve">. Klicken auf "Bücher", "Hörbücher", "Filme", "Musik" oder "Spiele" bringt die </t>
    </r>
    <r>
      <rPr>
        <b/>
        <sz val="10"/>
        <rFont val="Arial"/>
        <family val="2"/>
      </rPr>
      <t>Eingabemaske</t>
    </r>
    <r>
      <rPr>
        <sz val="10"/>
        <rFont val="Arial"/>
        <family val="2"/>
      </rPr>
      <t xml:space="preserve"> zum Vorschein. </t>
    </r>
  </si>
  <si>
    <t xml:space="preserve">   Hier können Sie alle Ihre Angebote der Reihe nach eingeben. Beginnen Sie in Zeile 2, die erste Zeile beinhaltet </t>
  </si>
  <si>
    <t xml:space="preserve">   die Namen der Felder. Die Felder sind identisch mit denen auf der booklooker-Website. Pflichtfelder sind rot </t>
  </si>
  <si>
    <t xml:space="preserve">   gekennzeichnet, hier muss eine Eingabe erfolgen. Je genauer die Angaben, desto besser die Verkaufschancen. </t>
  </si>
  <si>
    <t xml:space="preserve">   Durch Doppelklick auf  ein bestimmtes Feld können Sie mit der Texteingabe beginnen. Die sichtbare Größe des </t>
  </si>
  <si>
    <t xml:space="preserve">   Eingabefeldes bleibt immer gleich, Sie können aber in jedem Feld bis zu 256 Zeichen eingeben. Einzige Ausnahme</t>
  </si>
  <si>
    <t xml:space="preserve">    ist das Feld "Beschreibung": Hier können Sie so viel Text eingeben wie Sie möchten (z.B. Inhaltsangabe).</t>
  </si>
  <si>
    <r>
      <rPr>
        <b/>
        <sz val="10"/>
        <rFont val="Arial"/>
        <family val="2"/>
      </rPr>
      <t>3</t>
    </r>
    <r>
      <rPr>
        <sz val="10"/>
        <rFont val="Arial"/>
        <family val="2"/>
      </rPr>
      <t xml:space="preserve">. </t>
    </r>
    <r>
      <rPr>
        <b/>
        <sz val="10"/>
        <rFont val="Arial"/>
        <family val="2"/>
      </rPr>
      <t>Zustand</t>
    </r>
    <r>
      <rPr>
        <sz val="10"/>
        <rFont val="Arial"/>
        <family val="2"/>
      </rPr>
      <t>: Bitte vergeben Sie einen Wert zwischen 1(wie neu) bis 4 (stark abgenutzt) ein.</t>
    </r>
  </si>
  <si>
    <t xml:space="preserve">   Im Feld "Beschreibung" können sie beliebige Angaben zum Inhalt oder Zustand des Artikels machen.</t>
  </si>
  <si>
    <r>
      <rPr>
        <b/>
        <sz val="10"/>
        <rFont val="Arial"/>
        <family val="2"/>
      </rPr>
      <t>4</t>
    </r>
    <r>
      <rPr>
        <sz val="10"/>
        <rFont val="Arial"/>
        <family val="2"/>
      </rPr>
      <t xml:space="preserve">. Die richtige </t>
    </r>
    <r>
      <rPr>
        <b/>
        <sz val="10"/>
        <rFont val="Arial"/>
        <family val="2"/>
      </rPr>
      <t>Sparten-Nr</t>
    </r>
    <r>
      <rPr>
        <sz val="10"/>
        <rFont val="Arial"/>
        <family val="2"/>
      </rPr>
      <t>. für Ihre Angebote finden Sie, wenn Sie auf das entsprechende Feld mit dem Titel</t>
    </r>
  </si>
  <si>
    <t xml:space="preserve">  "Sparten" klicken. Wählen Sie die passende Nummer, und tragen Sie sie in die Vorlage ein. Eine Sparte </t>
  </si>
  <si>
    <t xml:space="preserve">   muss nicht angegeben werden, aber die richtige Einordnung erhöht die Verkaufschancen.</t>
  </si>
  <si>
    <r>
      <rPr>
        <b/>
        <sz val="10"/>
        <rFont val="Arial"/>
        <family val="2"/>
      </rPr>
      <t>5</t>
    </r>
    <r>
      <rPr>
        <sz val="10"/>
        <rFont val="Arial"/>
        <family val="2"/>
      </rPr>
      <t>. Zum Speichern Ihrer Excel-Datei als Textdatei gehen Sie wie folgt vor:</t>
    </r>
  </si>
  <si>
    <t xml:space="preserve">    1. Achten Sie darauf, daß Sie sich auf dem Tabellenblatt mit den Angeboten befinden. </t>
  </si>
  <si>
    <r>
      <rPr>
        <sz val="10"/>
        <rFont val="Arial"/>
        <family val="2"/>
      </rPr>
      <t xml:space="preserve">       Für jede der drei Artikelgruppen Bücher, Musik &amp; Filme muss eine </t>
    </r>
    <r>
      <rPr>
        <b/>
        <sz val="10"/>
        <rFont val="Arial"/>
        <family val="2"/>
      </rPr>
      <t>seperate Datei</t>
    </r>
    <r>
      <rPr>
        <sz val="10"/>
        <rFont val="Arial"/>
        <family val="2"/>
      </rPr>
      <t xml:space="preserve"> gespeichert werden.</t>
    </r>
  </si>
  <si>
    <t xml:space="preserve">    2. Wählen Sie den Menüpunkt "Datei: Speichern unter".</t>
  </si>
  <si>
    <t xml:space="preserve">    3. In dem Auswahlfeld "Dateityp" wählen Sie den Punkt "Text (Tabstopp-getrennt) (*.txt)" und drücken Sie auf Speichern.</t>
  </si>
  <si>
    <t xml:space="preserve">    4. Die darauf erscheinenden Mitteilungen quittieren Sie mit "OK" bzw. "Ja".</t>
  </si>
  <si>
    <t xml:space="preserve">    Anschließend laden Sie die Datei(en) über unsere Website hoch (Menüpunkt "Datei-Upload")</t>
  </si>
  <si>
    <t>Copyright 2004-2019 cBooks Germany GmbH</t>
  </si>
  <si>
    <t>Sparten-Nr.</t>
  </si>
  <si>
    <t>Autor</t>
  </si>
  <si>
    <t>Titel</t>
  </si>
  <si>
    <t>Verlag</t>
  </si>
  <si>
    <t>Auflage</t>
  </si>
  <si>
    <t>Jahr</t>
  </si>
  <si>
    <t>Ort</t>
  </si>
  <si>
    <t>Einband</t>
  </si>
  <si>
    <t>Zustand (1-4)</t>
  </si>
  <si>
    <t>Beschreibung</t>
  </si>
  <si>
    <t>Sprache</t>
  </si>
  <si>
    <t>ISBN</t>
  </si>
  <si>
    <t>Seiten</t>
  </si>
  <si>
    <t>Format</t>
  </si>
  <si>
    <t>Bestell-Nr</t>
  </si>
  <si>
    <t>Gewicht in g</t>
  </si>
  <si>
    <t>Ihr Preis in €</t>
  </si>
  <si>
    <t>unbenutzt</t>
  </si>
  <si>
    <t>Cover-URL</t>
  </si>
  <si>
    <t>Stichwort</t>
  </si>
  <si>
    <t>unbegrenzte Stückzahl?</t>
  </si>
  <si>
    <t>Neuware?</t>
  </si>
  <si>
    <t>Erstausgabe?</t>
  </si>
  <si>
    <t>Signiert?</t>
  </si>
  <si>
    <t>Separate Versandkosten nach Deutschland</t>
  </si>
  <si>
    <t>nein</t>
  </si>
  <si>
    <t>Typ</t>
  </si>
  <si>
    <t>Medium</t>
  </si>
  <si>
    <t>Sprecher</t>
  </si>
  <si>
    <t>Spieldauer</t>
  </si>
  <si>
    <t>bitte auswählen</t>
  </si>
  <si>
    <t>Regisseur</t>
  </si>
  <si>
    <t>Darsteller</t>
  </si>
  <si>
    <t>Land</t>
  </si>
  <si>
    <t>Reg.Code</t>
  </si>
  <si>
    <t>Länge  (min.)</t>
  </si>
  <si>
    <t>Sprache/n</t>
  </si>
  <si>
    <t>Untertitel</t>
  </si>
  <si>
    <t>EAN</t>
  </si>
  <si>
    <t>Audioformat</t>
  </si>
  <si>
    <t>Altersfreigabe</t>
  </si>
  <si>
    <t>Interpret</t>
  </si>
  <si>
    <t>Medium (CD,LP usw.)</t>
  </si>
  <si>
    <t>Label</t>
  </si>
  <si>
    <t>Vertrieb</t>
  </si>
  <si>
    <t>Spieltyp (Obersparte)</t>
  </si>
  <si>
    <t>Spieleranzahl ab</t>
  </si>
  <si>
    <t>Spieleranzahl bis</t>
  </si>
  <si>
    <t>Alter (frei ab)</t>
  </si>
  <si>
    <t>Spieldauer in Min.</t>
  </si>
  <si>
    <t>Obersparte</t>
  </si>
  <si>
    <t>Untersparte</t>
  </si>
  <si>
    <t>Schulbücher</t>
  </si>
  <si>
    <t>Abiturwissen</t>
  </si>
  <si>
    <t>Alte Schulbücher</t>
  </si>
  <si>
    <t>Bücher für Lehrer</t>
  </si>
  <si>
    <t>DDR-Schulbücher</t>
  </si>
  <si>
    <t>Deutsch als Fremdsprache</t>
  </si>
  <si>
    <t>Erwachsenenbildung</t>
  </si>
  <si>
    <t>Lektürehilfen</t>
  </si>
  <si>
    <t>Gesamtschule, Sonstiges</t>
  </si>
  <si>
    <t>Grundschule, Sonstiges</t>
  </si>
  <si>
    <t>Hauptschule, Sonstiges</t>
  </si>
  <si>
    <t>Realschule, Sonstiges</t>
  </si>
  <si>
    <t>Gymnasium, Sonstiges</t>
  </si>
  <si>
    <t>Sonderschule/Förderschule</t>
  </si>
  <si>
    <t>Handelsschule</t>
  </si>
  <si>
    <t>Berufsschule</t>
  </si>
  <si>
    <t>Meisterschule</t>
  </si>
  <si>
    <t>Telekolleg</t>
  </si>
  <si>
    <t>Deutsch (Schulbuch)</t>
  </si>
  <si>
    <t>Englisch (Schulbuch)</t>
  </si>
  <si>
    <t>Französisch (Schulbuch)</t>
  </si>
  <si>
    <t>Griechisch (Schulbuch)</t>
  </si>
  <si>
    <t>Italienisch (Schulbuch)</t>
  </si>
  <si>
    <t>Latein (Schulbuch)</t>
  </si>
  <si>
    <t>Russisch (Schulbuch)</t>
  </si>
  <si>
    <t>Spanisch (Schulbuch)</t>
  </si>
  <si>
    <t>Mathematik (Schulbuch)</t>
  </si>
  <si>
    <t>Physik (Schulbuch)</t>
  </si>
  <si>
    <t>Chemie (Schulbuch)</t>
  </si>
  <si>
    <t>Biologie (Schulbuch)</t>
  </si>
  <si>
    <t>Erdkunde (Schulbuch)</t>
  </si>
  <si>
    <t>Geschichte/Politik (Schulbuch)</t>
  </si>
  <si>
    <t>Philosophie (Schulbuch)</t>
  </si>
  <si>
    <t>Religion/Ethik (Schulbuch)</t>
  </si>
  <si>
    <t>Sozialkunde (Schulbuch)</t>
  </si>
  <si>
    <t>Kunst (Schulbuch)</t>
  </si>
  <si>
    <t>Musik (Schulbuch)</t>
  </si>
  <si>
    <t>Sachkunde/Sachunterricht</t>
  </si>
  <si>
    <t>Sport (Schulbuch)</t>
  </si>
  <si>
    <t>Wirtschaftskunde</t>
  </si>
  <si>
    <t>Sonstiges - Schulbücher</t>
  </si>
  <si>
    <t>Design/Künste/Film</t>
  </si>
  <si>
    <t>Architektur/Städte (Bildband)</t>
  </si>
  <si>
    <t>Auktionskataloge</t>
  </si>
  <si>
    <t>Ausstellungskataloge</t>
  </si>
  <si>
    <t>Audiovisuelle Medien</t>
  </si>
  <si>
    <t>Berühmte Künstler (Bildband)</t>
  </si>
  <si>
    <t>Bildende Kunst</t>
  </si>
  <si>
    <t>Bildhauerei / Plastik</t>
  </si>
  <si>
    <t>Buchgestaltung</t>
  </si>
  <si>
    <t>Bühnenbild</t>
  </si>
  <si>
    <t>Design allgemein</t>
  </si>
  <si>
    <t>Drehbücher</t>
  </si>
  <si>
    <t>Film</t>
  </si>
  <si>
    <t>Filmwissenschaft</t>
  </si>
  <si>
    <t>Film-Zeitschriften</t>
  </si>
  <si>
    <t>Firmenkataloge</t>
  </si>
  <si>
    <t>Fotografie</t>
  </si>
  <si>
    <t>Gartenkunst</t>
  </si>
  <si>
    <t>Glasgestaltung</t>
  </si>
  <si>
    <t>Goldschmiedekunst</t>
  </si>
  <si>
    <t>Grafik-Design</t>
  </si>
  <si>
    <t>Holzgestaltung</t>
  </si>
  <si>
    <t>Innenarchitektur/Wohndesign</t>
  </si>
  <si>
    <t>Kalligraphie/Schriftkunst</t>
  </si>
  <si>
    <t>Keramik/Porzellan</t>
  </si>
  <si>
    <t>Kommunikationsdesign</t>
  </si>
  <si>
    <t>Künstler/innen (biographisch)</t>
  </si>
  <si>
    <t>Kunst allgemein</t>
  </si>
  <si>
    <t>Kunst (Bildband)</t>
  </si>
  <si>
    <t>Kunstgeschichte</t>
  </si>
  <si>
    <t>Kunsthandwerk</t>
  </si>
  <si>
    <t>Kunsttherapie</t>
  </si>
  <si>
    <t>Kunstwissenschaft</t>
  </si>
  <si>
    <t>Kunstzeitschriften</t>
  </si>
  <si>
    <t>Malerei</t>
  </si>
  <si>
    <t>Mediengestaltung</t>
  </si>
  <si>
    <t>Medienwissenschaft</t>
  </si>
  <si>
    <t>Mode/Textil</t>
  </si>
  <si>
    <t>Mode (Bildband)</t>
  </si>
  <si>
    <t>Moderne Kunst</t>
  </si>
  <si>
    <t>Produkt-Design</t>
  </si>
  <si>
    <t>Religiöse Kunst</t>
  </si>
  <si>
    <t>Schmuck</t>
  </si>
  <si>
    <t>Tanz/Theater</t>
  </si>
  <si>
    <t>Theaterwissenschaft</t>
  </si>
  <si>
    <t>Typografie</t>
  </si>
  <si>
    <t>Werkverzeichnisse</t>
  </si>
  <si>
    <t>Zeichnen</t>
  </si>
  <si>
    <t>Sonstiges - Design/Kunst</t>
  </si>
  <si>
    <t>Geowissenschaften</t>
  </si>
  <si>
    <t>Baugeologie</t>
  </si>
  <si>
    <t>Geologie</t>
  </si>
  <si>
    <t>Geo-Botanik</t>
  </si>
  <si>
    <t>Geoinformatik</t>
  </si>
  <si>
    <t>Geo-Ökologie</t>
  </si>
  <si>
    <t>Geophysik</t>
  </si>
  <si>
    <t>Geographie/Erdkunde</t>
  </si>
  <si>
    <t>Gewässerkunde</t>
  </si>
  <si>
    <t>Kartographie</t>
  </si>
  <si>
    <t>Klimaforschung</t>
  </si>
  <si>
    <t>Meteorologie</t>
  </si>
  <si>
    <t>Mineralogie</t>
  </si>
  <si>
    <t>Paläontologie</t>
  </si>
  <si>
    <t>Physische Geographie</t>
  </si>
  <si>
    <t>Seismologie</t>
  </si>
  <si>
    <t>Geo-Statistik</t>
  </si>
  <si>
    <t>Vulkanismus</t>
  </si>
  <si>
    <t>Sonstiges - Geowissenschaften</t>
  </si>
  <si>
    <t>Geschichte/Politik</t>
  </si>
  <si>
    <t>Ur- und Frühgeschichte</t>
  </si>
  <si>
    <t>Antike</t>
  </si>
  <si>
    <t>Mittelalter</t>
  </si>
  <si>
    <t>Renaissance</t>
  </si>
  <si>
    <t>Barock</t>
  </si>
  <si>
    <t>Aufklärung (Epoche)</t>
  </si>
  <si>
    <t>Neuzeit</t>
  </si>
  <si>
    <t>19. Jhdt.</t>
  </si>
  <si>
    <t>20. Jhdt.</t>
  </si>
  <si>
    <t>Aktuelles Zeitgeschehen</t>
  </si>
  <si>
    <t>Deutsches Kaiserreich</t>
  </si>
  <si>
    <t>Weimarer Republik</t>
  </si>
  <si>
    <t>Nationalsozialismus</t>
  </si>
  <si>
    <t>BRD 1945-89</t>
  </si>
  <si>
    <t>DDR 1945-89</t>
  </si>
  <si>
    <t>Deutschl. nach 1990</t>
  </si>
  <si>
    <t>Deutsche Geschichte</t>
  </si>
  <si>
    <t>Europäische Geschichte</t>
  </si>
  <si>
    <t>Weltgeschichte</t>
  </si>
  <si>
    <t>Geschichte allgemein</t>
  </si>
  <si>
    <t>Kolonialgeschichte</t>
  </si>
  <si>
    <t>Luftfahrt</t>
  </si>
  <si>
    <t>Militärgeschichte</t>
  </si>
  <si>
    <t>Seefahrt/Marine</t>
  </si>
  <si>
    <t>Stadtgeschichte/Ortsgeschichte</t>
  </si>
  <si>
    <t>Weltkriege</t>
  </si>
  <si>
    <t>Politik allgemein</t>
  </si>
  <si>
    <t>Anarchismus/libertäre Theorien</t>
  </si>
  <si>
    <t>Außenpolitik</t>
  </si>
  <si>
    <t>Bildungspolitik</t>
  </si>
  <si>
    <t>Energiepolitik</t>
  </si>
  <si>
    <t>Entwicklungshilfe</t>
  </si>
  <si>
    <t>Europäische Union (EU)</t>
  </si>
  <si>
    <t>Föderalismus</t>
  </si>
  <si>
    <t>Frauenpolitik/Feminismus</t>
  </si>
  <si>
    <t>Freimaurer/Logen</t>
  </si>
  <si>
    <t>Friedensforschung</t>
  </si>
  <si>
    <t>Gesundheitspolitk</t>
  </si>
  <si>
    <t>Gewerkschaften</t>
  </si>
  <si>
    <t>Globalisierung</t>
  </si>
  <si>
    <t>Innenpolitik</t>
  </si>
  <si>
    <t>Konservatismus</t>
  </si>
  <si>
    <t>Liberalismus</t>
  </si>
  <si>
    <t>Menschenrechte</t>
  </si>
  <si>
    <t>Monarchien</t>
  </si>
  <si>
    <t>Naher Osten</t>
  </si>
  <si>
    <t>NGO's</t>
  </si>
  <si>
    <t>Öffentliche Verwaltung</t>
  </si>
  <si>
    <t>Parlamentarismus</t>
  </si>
  <si>
    <t>Parteien</t>
  </si>
  <si>
    <t>Politikwissenschaft</t>
  </si>
  <si>
    <t>Politische Karikaturen</t>
  </si>
  <si>
    <t>Sozialismus/Kommunismus</t>
  </si>
  <si>
    <t>Sozialpolitik</t>
  </si>
  <si>
    <t>Staatssysteme</t>
  </si>
  <si>
    <t>Terrorismus</t>
  </si>
  <si>
    <t>Umweltpolitik/Umweltschutz</t>
  </si>
  <si>
    <t>Verteidigungspolitik/Krieg</t>
  </si>
  <si>
    <t>Wahlen</t>
  </si>
  <si>
    <t>Widerstand</t>
  </si>
  <si>
    <t>Sonstiges - Geschichte/Politik</t>
  </si>
  <si>
    <t>Ingenieurwissenschaften/Technik</t>
  </si>
  <si>
    <t>Autos allgemein</t>
  </si>
  <si>
    <t>Agrarwissenschaften</t>
  </si>
  <si>
    <t>Architektur/Bauwesen</t>
  </si>
  <si>
    <t>Atom-/Nukleartechnologie</t>
  </si>
  <si>
    <t>Bergbau</t>
  </si>
  <si>
    <t>CAD</t>
  </si>
  <si>
    <t>Drucktechnik</t>
  </si>
  <si>
    <t>Informatik</t>
  </si>
  <si>
    <t>Eisenbahn</t>
  </si>
  <si>
    <t>Energie- und Umweltschutztechnik</t>
  </si>
  <si>
    <t>Elektrotechnik</t>
  </si>
  <si>
    <t>Fahrzeugtechnik</t>
  </si>
  <si>
    <t>Funktechnik</t>
  </si>
  <si>
    <t>Gartenbau</t>
  </si>
  <si>
    <t>Handwerk</t>
  </si>
  <si>
    <t>Holz- und Kunststofftechnik</t>
  </si>
  <si>
    <t>Landschaftsplanung</t>
  </si>
  <si>
    <t>Landwirtschaft</t>
  </si>
  <si>
    <t>Luft- und Raumfahrttechnik</t>
  </si>
  <si>
    <t>Maschinenbau</t>
  </si>
  <si>
    <t>Motorräder</t>
  </si>
  <si>
    <t>Reparaturanleitungen</t>
  </si>
  <si>
    <t>Schifffahrt/Schiffbau</t>
  </si>
  <si>
    <t>Straßenbahn/U-Bahn</t>
  </si>
  <si>
    <t>Textiltechnik</t>
  </si>
  <si>
    <t>Uhren</t>
  </si>
  <si>
    <t>Verfahrenstechnik</t>
  </si>
  <si>
    <t>Verkehrstechnik</t>
  </si>
  <si>
    <t>Vermessungswesen</t>
  </si>
  <si>
    <t>Versorgungstechnik</t>
  </si>
  <si>
    <t>Wasser-/Abfallwirtschaft</t>
  </si>
  <si>
    <t>Werkstofftechnik</t>
  </si>
  <si>
    <t>Sonstiges - Ingenieurwissenschaften</t>
  </si>
  <si>
    <t>Jura/Recht</t>
  </si>
  <si>
    <t>Arbeitsrecht</t>
  </si>
  <si>
    <t>Ausländisches Recht</t>
  </si>
  <si>
    <t>Bürgerliches Recht</t>
  </si>
  <si>
    <t>DDR-Recht</t>
  </si>
  <si>
    <t>Europäisches Recht</t>
  </si>
  <si>
    <t>Familienrecht</t>
  </si>
  <si>
    <t>Gefängnis/Strafvollzug</t>
  </si>
  <si>
    <t>Gesetzestexte/Kommentare</t>
  </si>
  <si>
    <t>Gutachterwesen</t>
  </si>
  <si>
    <t>Handelsrecht</t>
  </si>
  <si>
    <t>Internationales Recht</t>
  </si>
  <si>
    <t>Jura-Zeitschriften</t>
  </si>
  <si>
    <t>Juristisches vor 1945</t>
  </si>
  <si>
    <t>Kanzleiführung</t>
  </si>
  <si>
    <t>Kirchenrecht</t>
  </si>
  <si>
    <t>Kriminalistik/Polizei</t>
  </si>
  <si>
    <t>Öffentliches Recht</t>
  </si>
  <si>
    <t>Rechtspflege</t>
  </si>
  <si>
    <t>Rechtsgeschichte</t>
  </si>
  <si>
    <t>Sozialrecht</t>
  </si>
  <si>
    <t>Steuerrecht</t>
  </si>
  <si>
    <t>Strafrecht</t>
  </si>
  <si>
    <t>Umweltrecht</t>
  </si>
  <si>
    <t>Urteile/Entscheidungen</t>
  </si>
  <si>
    <t>Verbraucherschutz</t>
  </si>
  <si>
    <t>Verfassung/Grundrechte</t>
  </si>
  <si>
    <t>Völkerrecht</t>
  </si>
  <si>
    <t>Wettbewerbsrecht</t>
  </si>
  <si>
    <t>Wirtschaftsrecht</t>
  </si>
  <si>
    <t>Zivilrecht</t>
  </si>
  <si>
    <t>Sonstiges - Jura</t>
  </si>
  <si>
    <t>Kulturwissenschaften</t>
  </si>
  <si>
    <t>Ägyptologie</t>
  </si>
  <si>
    <t>Anthropologie</t>
  </si>
  <si>
    <t>Archäologie</t>
  </si>
  <si>
    <t>Asienwissenschaft</t>
  </si>
  <si>
    <t>Indologie</t>
  </si>
  <si>
    <t>Japanologie</t>
  </si>
  <si>
    <t>Kulturgeschichte</t>
  </si>
  <si>
    <t>Orientalistik</t>
  </si>
  <si>
    <t>Sinologie</t>
  </si>
  <si>
    <t>Sittengeschichte/Sexualwissenschaft</t>
  </si>
  <si>
    <t>Tourismuswissenschaft</t>
  </si>
  <si>
    <t>Völkerkunde/Ethnologie</t>
  </si>
  <si>
    <t>Volkskunde/Vergleichende Kulturwissenschaft</t>
  </si>
  <si>
    <t>Sonstiges - Kulturwissenschaften</t>
  </si>
  <si>
    <t>Lexika/Nachschlagewerke</t>
  </si>
  <si>
    <t>Allgemeines Lexikon</t>
  </si>
  <si>
    <t>Fachlexikon</t>
  </si>
  <si>
    <t>Fremdsprachen/Sprachführer</t>
  </si>
  <si>
    <t>Wörterbücher</t>
  </si>
  <si>
    <t>Sonstiges - Nachschlagewerke</t>
  </si>
  <si>
    <t>Medizin/Pharmazie</t>
  </si>
  <si>
    <t>Alte Medizinbücher</t>
  </si>
  <si>
    <t>Alternative Medizin</t>
  </si>
  <si>
    <t>Akupunktur/-pressur</t>
  </si>
  <si>
    <t>Allgemeinmedizin</t>
  </si>
  <si>
    <t>Anatomie</t>
  </si>
  <si>
    <t>Anästhesie</t>
  </si>
  <si>
    <t>Andrologie</t>
  </si>
  <si>
    <t>Arbeitsmedizin</t>
  </si>
  <si>
    <t>Augenheilkunde</t>
  </si>
  <si>
    <t>Chirurgie</t>
  </si>
  <si>
    <t>Demenz</t>
  </si>
  <si>
    <t>Dermatologie</t>
  </si>
  <si>
    <t>Diabetes</t>
  </si>
  <si>
    <t>Diätetik</t>
  </si>
  <si>
    <t>Ergotherapie</t>
  </si>
  <si>
    <t>Endokrinologie/Hormone</t>
  </si>
  <si>
    <t>Gastroenterologie</t>
  </si>
  <si>
    <t>Gefäßkrankheiten/Angiologie</t>
  </si>
  <si>
    <t>Genetik</t>
  </si>
  <si>
    <t>Geschichte der Medizin</t>
  </si>
  <si>
    <t>Gynäkologie/Geburtshilfe</t>
  </si>
  <si>
    <t>Heilpädagogik</t>
  </si>
  <si>
    <t>Heilpflanzen/Phytotherapie</t>
  </si>
  <si>
    <t>Histologie</t>
  </si>
  <si>
    <t>HNO</t>
  </si>
  <si>
    <t>Homöopathie</t>
  </si>
  <si>
    <t>Immunologie</t>
  </si>
  <si>
    <t>Innere Medizin</t>
  </si>
  <si>
    <t>Kinderheilkunde</t>
  </si>
  <si>
    <t>Logopädie</t>
  </si>
  <si>
    <t>Manuelle Medizin/Chirotherapie</t>
  </si>
  <si>
    <t>Med. Nachschlagewerke</t>
  </si>
  <si>
    <t>Medizintechnik</t>
  </si>
  <si>
    <t>Naturheilkunde</t>
  </si>
  <si>
    <t>Neurochirurgie</t>
  </si>
  <si>
    <t>Neurologie</t>
  </si>
  <si>
    <t>Notfallmedizin</t>
  </si>
  <si>
    <t>Onkologie/Krebs</t>
  </si>
  <si>
    <t>Orthopädie</t>
  </si>
  <si>
    <t>Osteologie</t>
  </si>
  <si>
    <t>Osteopathie</t>
  </si>
  <si>
    <t>Palliativmedizin</t>
  </si>
  <si>
    <t>Pathologie/Rechtsmedizin</t>
  </si>
  <si>
    <t>Pflege - Altenpflege</t>
  </si>
  <si>
    <t>Pflege - ambulante Pflege</t>
  </si>
  <si>
    <t>Pflege - Ausbildung</t>
  </si>
  <si>
    <t>Pflege - Krankenpflege</t>
  </si>
  <si>
    <t>Pflege - Palliativpflege</t>
  </si>
  <si>
    <t>Pflege - Pflegewissenschaft</t>
  </si>
  <si>
    <t>Pflege - Ratgeber</t>
  </si>
  <si>
    <t>Pharmazie/Pharmakologie</t>
  </si>
  <si>
    <t>Physiologie</t>
  </si>
  <si>
    <t>Physiotherapie</t>
  </si>
  <si>
    <t>Präventivmedizin</t>
  </si>
  <si>
    <t>Psychiatrie</t>
  </si>
  <si>
    <t>Psychosomatik</t>
  </si>
  <si>
    <t>Radiologie,Ultraschall etc.</t>
  </si>
  <si>
    <t>Rehabilitationsmedizin</t>
  </si>
  <si>
    <t>Rheumatologie</t>
  </si>
  <si>
    <t>Schmerztherapie/Algesiologie</t>
  </si>
  <si>
    <t>Sportmedizin</t>
  </si>
  <si>
    <t>Staatsexamen Medizin</t>
  </si>
  <si>
    <t>TCM</t>
  </si>
  <si>
    <t>Tiermedizin/Veterinärmedizin</t>
  </si>
  <si>
    <t>Umweltmedizin</t>
  </si>
  <si>
    <t>Unfallchirurgie</t>
  </si>
  <si>
    <t>Urologie</t>
  </si>
  <si>
    <t>Viren/Bakterien</t>
  </si>
  <si>
    <t>Vorklinik/Physikum</t>
  </si>
  <si>
    <t>Zahnmedizin</t>
  </si>
  <si>
    <t>Medizin-Zeitschriften</t>
  </si>
  <si>
    <t>Sonstiges - Medizin</t>
  </si>
  <si>
    <t>Musik (Bücher/Noten)</t>
  </si>
  <si>
    <t>über Beatles</t>
  </si>
  <si>
    <t>über berühmte Musiker/Bands</t>
  </si>
  <si>
    <t>über elektronische Musik</t>
  </si>
  <si>
    <t>über Folklore</t>
  </si>
  <si>
    <t>über HipHop/Rap</t>
  </si>
  <si>
    <t>über Gesang/Chöre</t>
  </si>
  <si>
    <t>über Jazz</t>
  </si>
  <si>
    <t>über Klassik</t>
  </si>
  <si>
    <t>über Musicals</t>
  </si>
  <si>
    <t>über Oper/Operette</t>
  </si>
  <si>
    <t>über Rock/Pop</t>
  </si>
  <si>
    <t>über deutschen Rock/Pop</t>
  </si>
  <si>
    <t>über Rolling Stones</t>
  </si>
  <si>
    <t>über Schlager/Volksmusik</t>
  </si>
  <si>
    <t>Kirchenmusik</t>
  </si>
  <si>
    <t>über Bass</t>
  </si>
  <si>
    <t>über Blasinstrumente</t>
  </si>
  <si>
    <t>über Geige</t>
  </si>
  <si>
    <t>über Gitarre</t>
  </si>
  <si>
    <t>über Klavier</t>
  </si>
  <si>
    <t>über Saiteninstrumente</t>
  </si>
  <si>
    <t>über Schlagzeug/Percussion</t>
  </si>
  <si>
    <t>über Tasteninstrumente</t>
  </si>
  <si>
    <t>Lehrbücher</t>
  </si>
  <si>
    <t>Liederbücher</t>
  </si>
  <si>
    <t>Musikinstrumentenbau</t>
  </si>
  <si>
    <t>Musikerziehung</t>
  </si>
  <si>
    <t>Musiktherapie</t>
  </si>
  <si>
    <t>Musikwissenschaft</t>
  </si>
  <si>
    <t>Klavierauszüge</t>
  </si>
  <si>
    <t>Noten - Blasinstrumente</t>
  </si>
  <si>
    <t>Noten - Gesang</t>
  </si>
  <si>
    <t>Noten - Schlaginstrumente</t>
  </si>
  <si>
    <t>Noten - Streichinstrumente</t>
  </si>
  <si>
    <t>Noten - Tasteninstrumente</t>
  </si>
  <si>
    <t>Noten - Zupfinstrumente</t>
  </si>
  <si>
    <t>Notensätze (Orchester)</t>
  </si>
  <si>
    <t>Noten/Partituren</t>
  </si>
  <si>
    <t>Autogramme/Kalender (Musik)</t>
  </si>
  <si>
    <t>Musik-Zeitschriften</t>
  </si>
  <si>
    <t>Operntexte/Libretti</t>
  </si>
  <si>
    <t>Sonstiges - Musik</t>
  </si>
  <si>
    <t>Naturwissenschaft/Mathematik</t>
  </si>
  <si>
    <t>Astronomie</t>
  </si>
  <si>
    <t>Biologie allgemein</t>
  </si>
  <si>
    <t>Botanik</t>
  </si>
  <si>
    <t>Evolution</t>
  </si>
  <si>
    <t>Mikrobiologie</t>
  </si>
  <si>
    <t>Molekularbiologie</t>
  </si>
  <si>
    <t>Neurobiologie</t>
  </si>
  <si>
    <t>Ökologie/Umweltschutz</t>
  </si>
  <si>
    <t>Zellbiologie</t>
  </si>
  <si>
    <t>Zoologie</t>
  </si>
  <si>
    <t>Sonstiges - Biologie</t>
  </si>
  <si>
    <t>Biochemie</t>
  </si>
  <si>
    <t>Chemie allgemein</t>
  </si>
  <si>
    <t>Anorganische Chemie</t>
  </si>
  <si>
    <t>Organische Chemie</t>
  </si>
  <si>
    <t>Physikalische Chemie</t>
  </si>
  <si>
    <t>Umweltchemie</t>
  </si>
  <si>
    <t>Sonstiges - Chemie</t>
  </si>
  <si>
    <t>Mathematik allgemein</t>
  </si>
  <si>
    <t>Algebra</t>
  </si>
  <si>
    <t>Analysis</t>
  </si>
  <si>
    <t>Differentialgleichungen</t>
  </si>
  <si>
    <t>Experimentelle Mathematik</t>
  </si>
  <si>
    <t>Geometrie</t>
  </si>
  <si>
    <t>Numerische Mathematik</t>
  </si>
  <si>
    <t>Statistik</t>
  </si>
  <si>
    <t>Stochastik</t>
  </si>
  <si>
    <t>Wirtschaftsmathematik</t>
  </si>
  <si>
    <t>Zahlentheorie</t>
  </si>
  <si>
    <t>Sonstiges - Mathematik</t>
  </si>
  <si>
    <t>Physik allgemein</t>
  </si>
  <si>
    <t>Akustik</t>
  </si>
  <si>
    <t>Angewandte Physik</t>
  </si>
  <si>
    <t>Astrophysik</t>
  </si>
  <si>
    <t>Elektrizität/Magnetismus</t>
  </si>
  <si>
    <t>Mechanik</t>
  </si>
  <si>
    <t>Optik</t>
  </si>
  <si>
    <t>Quantenphysik</t>
  </si>
  <si>
    <t>Theoretische Physik</t>
  </si>
  <si>
    <t>Wärmephysik</t>
  </si>
  <si>
    <t>Sonstiges - Physik</t>
  </si>
  <si>
    <t>Sonstiges - Naturwissenschaften</t>
  </si>
  <si>
    <t>Religion/Philosophie</t>
  </si>
  <si>
    <t>Philosophie allgemein</t>
  </si>
  <si>
    <t>Antike Philosophen</t>
  </si>
  <si>
    <t>Ästhetik</t>
  </si>
  <si>
    <t>Aufklärung</t>
  </si>
  <si>
    <t>Erkenntnistheorie</t>
  </si>
  <si>
    <t>Ethik</t>
  </si>
  <si>
    <t>Geschichte der Philosophie</t>
  </si>
  <si>
    <t>Geschichtsphilosophie</t>
  </si>
  <si>
    <t>Idealismus</t>
  </si>
  <si>
    <t>Kommunikationswissenschaft</t>
  </si>
  <si>
    <t>Konfuzianismus</t>
  </si>
  <si>
    <t>Logik</t>
  </si>
  <si>
    <t>Ontologie</t>
  </si>
  <si>
    <t>Philosophie-Zeitschriften</t>
  </si>
  <si>
    <t>Politische Philosophie</t>
  </si>
  <si>
    <t>Rechtsphilosophie</t>
  </si>
  <si>
    <t>Sprachphilosophie</t>
  </si>
  <si>
    <t>Sonstiges - Philosophie</t>
  </si>
  <si>
    <t>Religion allgemein</t>
  </si>
  <si>
    <t>Andachtsbücher/Stundenbücher</t>
  </si>
  <si>
    <t>Apologetik</t>
  </si>
  <si>
    <t>Bibel-Ausgaben</t>
  </si>
  <si>
    <t>Bibelauslegungen/Kommentare</t>
  </si>
  <si>
    <t>Bibelwissenschaft</t>
  </si>
  <si>
    <t>Brauchtum</t>
  </si>
  <si>
    <t>Buddhismus</t>
  </si>
  <si>
    <t>Caritas/Diakonie</t>
  </si>
  <si>
    <t>Christentum</t>
  </si>
  <si>
    <t>Daoismus/Taoismus</t>
  </si>
  <si>
    <t>Dogmatik</t>
  </si>
  <si>
    <t>Gebete/Gesangbücher</t>
  </si>
  <si>
    <t>Gemeindearbeit</t>
  </si>
  <si>
    <t>Heilige/Hagiographie</t>
  </si>
  <si>
    <t>Hinduismus</t>
  </si>
  <si>
    <t>Ev. Theologie</t>
  </si>
  <si>
    <t>Kath. Theologie</t>
  </si>
  <si>
    <t>Islam</t>
  </si>
  <si>
    <t>Jesus</t>
  </si>
  <si>
    <t>Judentum</t>
  </si>
  <si>
    <t>Kirchengeschichte</t>
  </si>
  <si>
    <t>Kirchen/Klöster</t>
  </si>
  <si>
    <t>Liturgie</t>
  </si>
  <si>
    <t>Mission</t>
  </si>
  <si>
    <t>Mythologie</t>
  </si>
  <si>
    <t>Naturreligionen</t>
  </si>
  <si>
    <t>Ökumene</t>
  </si>
  <si>
    <t>Orthodoxie</t>
  </si>
  <si>
    <t>Ostern</t>
  </si>
  <si>
    <t>Praktische Theologie</t>
  </si>
  <si>
    <t>Predigten/Homiletik</t>
  </si>
  <si>
    <t>Religiöse Jugendbücher</t>
  </si>
  <si>
    <t>Religiöse Kinderbücher</t>
  </si>
  <si>
    <t>Religiöse Zeitschriften</t>
  </si>
  <si>
    <t>Religionskritik</t>
  </si>
  <si>
    <t>Religionspädagogik</t>
  </si>
  <si>
    <t>Religionswissenschaft</t>
  </si>
  <si>
    <t>Sakramente</t>
  </si>
  <si>
    <t>Seelsorge</t>
  </si>
  <si>
    <t>Sekten</t>
  </si>
  <si>
    <t>Spiritualität</t>
  </si>
  <si>
    <t>Theologen</t>
  </si>
  <si>
    <t>Weihnachten</t>
  </si>
  <si>
    <t>Weltreligionen</t>
  </si>
  <si>
    <t>Sonstiges - Religion</t>
  </si>
  <si>
    <t>Psychologie/Pädagogik</t>
  </si>
  <si>
    <t>Allgemeine Psychologie</t>
  </si>
  <si>
    <t>Alkohol-/Drogenmissbrauch</t>
  </si>
  <si>
    <t>Arbeits- und Organisationspsychologie</t>
  </si>
  <si>
    <t>Autismus</t>
  </si>
  <si>
    <t>Depression</t>
  </si>
  <si>
    <t>Diagnostik/Tests</t>
  </si>
  <si>
    <t>Entwicklung/Persönlichkeit</t>
  </si>
  <si>
    <t>Ess-Störungen</t>
  </si>
  <si>
    <t>Familientherapie</t>
  </si>
  <si>
    <t>Forensische Psychologie</t>
  </si>
  <si>
    <t>Geschichte der Psychologie</t>
  </si>
  <si>
    <t>Gesprächstherapie</t>
  </si>
  <si>
    <t>Kinder- und Jugendtherapie</t>
  </si>
  <si>
    <t>Kindesmisshandlung</t>
  </si>
  <si>
    <t>Klinische Psychologie</t>
  </si>
  <si>
    <t>Körpertherapie</t>
  </si>
  <si>
    <t>Kritische Ereignisse/Phasen</t>
  </si>
  <si>
    <t>Lernen und Gedächtnis</t>
  </si>
  <si>
    <t>Neuropsychologie</t>
  </si>
  <si>
    <t>Partnerschaft/Sexualität</t>
  </si>
  <si>
    <t>Psychoanalyse</t>
  </si>
  <si>
    <t>Psychotherapie</t>
  </si>
  <si>
    <t>Ratgeber - Partnerschaft</t>
  </si>
  <si>
    <t>Ratgeber - Psyche/Lebenshilfe</t>
  </si>
  <si>
    <t>Sozialpsychologie</t>
  </si>
  <si>
    <t>Sucht/Suchtprävention</t>
  </si>
  <si>
    <t>Verhaltenstherapie</t>
  </si>
  <si>
    <t>Wahrnehmung und Denken</t>
  </si>
  <si>
    <t>Psychologie-Zeitschriften</t>
  </si>
  <si>
    <t>Pädagogik allgemein</t>
  </si>
  <si>
    <t>Behindertenpädagogik</t>
  </si>
  <si>
    <t>Berufs-/Wirtschaftspädagogik</t>
  </si>
  <si>
    <t>Didaktik</t>
  </si>
  <si>
    <t>Erziehungswissenschaft</t>
  </si>
  <si>
    <t>Geschichte der Pädagogik</t>
  </si>
  <si>
    <t>Grundschulpädagogik</t>
  </si>
  <si>
    <t>Heimpädagogik</t>
  </si>
  <si>
    <t>Integrative Pädagogik</t>
  </si>
  <si>
    <t>Medienpädagogik</t>
  </si>
  <si>
    <t>Montessori</t>
  </si>
  <si>
    <t>Museumspädagogik</t>
  </si>
  <si>
    <t>Musikpädagogik</t>
  </si>
  <si>
    <t>Reformpädagogik</t>
  </si>
  <si>
    <t>Schulentwicklung</t>
  </si>
  <si>
    <t>Schulpädagogik</t>
  </si>
  <si>
    <t>Sexualpädagogik</t>
  </si>
  <si>
    <t>Sonderpädagogik</t>
  </si>
  <si>
    <t>Sozialpädagogik/Sozialarbeit</t>
  </si>
  <si>
    <t>Spielpädagogik</t>
  </si>
  <si>
    <t>Vorschulpädagogik</t>
  </si>
  <si>
    <t>Waldorfpädagogik</t>
  </si>
  <si>
    <t>Physiologische Psychologie</t>
  </si>
  <si>
    <t>Sonstiges - Psyche/Pädagogik</t>
  </si>
  <si>
    <t>Soziologie</t>
  </si>
  <si>
    <t>Empirische Sozialforschung</t>
  </si>
  <si>
    <t>Geschichte der Soziologie</t>
  </si>
  <si>
    <t>Geschlechter/Gender Studies</t>
  </si>
  <si>
    <t>Informationsgesellschaft</t>
  </si>
  <si>
    <t>Klassische Theorien</t>
  </si>
  <si>
    <t>Kriminalwissenschaften</t>
  </si>
  <si>
    <t>Kulturen und Alltag</t>
  </si>
  <si>
    <t>Sozialer Wandel</t>
  </si>
  <si>
    <t>Sonstiges - Soziologie</t>
  </si>
  <si>
    <t>Sprach-/Literaturwissenschaft</t>
  </si>
  <si>
    <t>Afrikanistik</t>
  </si>
  <si>
    <t>Albanologie</t>
  </si>
  <si>
    <t>Anglistik</t>
  </si>
  <si>
    <t>Amerikanistik</t>
  </si>
  <si>
    <t>Arabistik</t>
  </si>
  <si>
    <t>Baltistik</t>
  </si>
  <si>
    <t>Bibliographie</t>
  </si>
  <si>
    <t>Bohemistik</t>
  </si>
  <si>
    <t>Buch- und Bibliothekswesen</t>
  </si>
  <si>
    <t>Bulgaristik</t>
  </si>
  <si>
    <t>Dialekte</t>
  </si>
  <si>
    <t>Dänisch</t>
  </si>
  <si>
    <t>Finno-Ugristik</t>
  </si>
  <si>
    <t>Französisch</t>
  </si>
  <si>
    <t>Germanistik</t>
  </si>
  <si>
    <t>Griechisch</t>
  </si>
  <si>
    <t>Indoeuropäisch</t>
  </si>
  <si>
    <t>Italienisch</t>
  </si>
  <si>
    <t>Jiddistik</t>
  </si>
  <si>
    <t>Journalistik</t>
  </si>
  <si>
    <t>Judaistik / JüdischeStudien</t>
  </si>
  <si>
    <t>Kaschubologie/Pomoranistik</t>
  </si>
  <si>
    <t>Klassische Philologie</t>
  </si>
  <si>
    <t>Latein</t>
  </si>
  <si>
    <t>Linguistik</t>
  </si>
  <si>
    <t>Literaturgeschichte</t>
  </si>
  <si>
    <t>Literaturwissenschaft</t>
  </si>
  <si>
    <t>Mediävistik</t>
  </si>
  <si>
    <t>Niederländisch</t>
  </si>
  <si>
    <t>Polonistik</t>
  </si>
  <si>
    <t>Publizistik / Zeitungswissenschaften</t>
  </si>
  <si>
    <t>Romanistik</t>
  </si>
  <si>
    <t>Russisch</t>
  </si>
  <si>
    <t>Semitistik</t>
  </si>
  <si>
    <t>Serbokroatistik</t>
  </si>
  <si>
    <t>Skandinavistik / Nordistik</t>
  </si>
  <si>
    <t>Slawistik</t>
  </si>
  <si>
    <t>Slowakistik</t>
  </si>
  <si>
    <t>Slowenistik</t>
  </si>
  <si>
    <t>Spanisch</t>
  </si>
  <si>
    <t>Sprachkurse</t>
  </si>
  <si>
    <t>Turkologie</t>
  </si>
  <si>
    <t>Ukrainistik</t>
  </si>
  <si>
    <t>Vergleichende Sprachwissenschaft</t>
  </si>
  <si>
    <t>Interpretationen</t>
  </si>
  <si>
    <t>Literatur-Zeitschriften</t>
  </si>
  <si>
    <t>Sonstiges - Sprachwissenschaften</t>
  </si>
  <si>
    <t>Wirtschaft/Marketing</t>
  </si>
  <si>
    <t>Außenhandel (Import/Export)</t>
  </si>
  <si>
    <t>Betriebliche Bildung</t>
  </si>
  <si>
    <t>Betriebswirtschaftslehre</t>
  </si>
  <si>
    <t>Börse</t>
  </si>
  <si>
    <t>Controlling</t>
  </si>
  <si>
    <t>Corporate Finance</t>
  </si>
  <si>
    <t>Europäische Wirtschaft</t>
  </si>
  <si>
    <t>Existenzgründung</t>
  </si>
  <si>
    <t>Firmengeschichte</t>
  </si>
  <si>
    <t>Immobilienwirtschaft</t>
  </si>
  <si>
    <t>Institutionenökonomik</t>
  </si>
  <si>
    <t>Logistik / Supply Chain</t>
  </si>
  <si>
    <t>Marketing/Werbung</t>
  </si>
  <si>
    <t>Makroökonomie</t>
  </si>
  <si>
    <t>Mikroökonomie</t>
  </si>
  <si>
    <t>Management</t>
  </si>
  <si>
    <t>Operations Research</t>
  </si>
  <si>
    <t>Personal</t>
  </si>
  <si>
    <t>Produktion</t>
  </si>
  <si>
    <t>Ratgeber - Finanzen</t>
  </si>
  <si>
    <t>Ratgeber - Unternehmen</t>
  </si>
  <si>
    <t>Rechnungswesen</t>
  </si>
  <si>
    <t>Risikomanagement</t>
  </si>
  <si>
    <t>Steuern</t>
  </si>
  <si>
    <t>Versicherungen</t>
  </si>
  <si>
    <t>Volkswirtschaftslehre</t>
  </si>
  <si>
    <t>Wirtschaftsgeschichte</t>
  </si>
  <si>
    <t>Wirtschaftsinformatik</t>
  </si>
  <si>
    <t>Wirtschaftskommunikation</t>
  </si>
  <si>
    <t>Wirtschafts-Zeitschriften</t>
  </si>
  <si>
    <t>Sonstiges - Wirtschaft/Marketing</t>
  </si>
  <si>
    <t>Englischsprachige Bücher</t>
  </si>
  <si>
    <t>Romane (englisch)</t>
  </si>
  <si>
    <t>Computer (englisch)</t>
  </si>
  <si>
    <t>Fantasy (englisch)</t>
  </si>
  <si>
    <t>Geschichte/Politik (englisch)</t>
  </si>
  <si>
    <t>Englische Jugendbücher</t>
  </si>
  <si>
    <t>Englische Kinderbücher</t>
  </si>
  <si>
    <t>Horror (englisch)</t>
  </si>
  <si>
    <t>Humor/Satire (englisch)</t>
  </si>
  <si>
    <t>Krimi/Thriller (englisch)</t>
  </si>
  <si>
    <t>Länder/Reisen (englisch)</t>
  </si>
  <si>
    <t>Liebesromane (englisch)</t>
  </si>
  <si>
    <t>Lyrik (englisch)</t>
  </si>
  <si>
    <t>Religiöse Bücher (englisch)</t>
  </si>
  <si>
    <t>Sachbücher (englisch)</t>
  </si>
  <si>
    <t>Science Fiction (englisch)</t>
  </si>
  <si>
    <t>Theater/Drama (englisch)</t>
  </si>
  <si>
    <t>Wirtschaft/Werbung (englisch)</t>
  </si>
  <si>
    <t>über Musik/Film (englisch)</t>
  </si>
  <si>
    <t>Sonstiges - Englisch</t>
  </si>
  <si>
    <t>Fremdsprachige Bücher</t>
  </si>
  <si>
    <t>Arabisch</t>
  </si>
  <si>
    <t>Chinesisch</t>
  </si>
  <si>
    <t>Esperanto</t>
  </si>
  <si>
    <t>Estnisch</t>
  </si>
  <si>
    <t>Finnisch</t>
  </si>
  <si>
    <t>Kinder-/Jugendbücher (französisch)</t>
  </si>
  <si>
    <t>Krimi/Thriller (französisch)</t>
  </si>
  <si>
    <t>Liebesromane (französisch)</t>
  </si>
  <si>
    <t>Romane (französisch)</t>
  </si>
  <si>
    <t>Sachbücher (französisch)</t>
  </si>
  <si>
    <t>Science Fiction/Fantasy (französisch)</t>
  </si>
  <si>
    <t>Sonstiges - französisch</t>
  </si>
  <si>
    <t>Japanisch</t>
  </si>
  <si>
    <t>Lettisch</t>
  </si>
  <si>
    <t>Litauisch</t>
  </si>
  <si>
    <t>Norwegisch</t>
  </si>
  <si>
    <t>Polnisch</t>
  </si>
  <si>
    <t>Portugiesisch</t>
  </si>
  <si>
    <t>Rumänisch</t>
  </si>
  <si>
    <t>Schwedisch</t>
  </si>
  <si>
    <t>Skandinavische Sprachen</t>
  </si>
  <si>
    <t>Slowenisch</t>
  </si>
  <si>
    <t>Kinder-/Jugendbücher (spanisch)</t>
  </si>
  <si>
    <t>Krimi/Thriller (spanisch)</t>
  </si>
  <si>
    <t>Liebesromane (spanisch)</t>
  </si>
  <si>
    <t>Romane (spanisch)</t>
  </si>
  <si>
    <t>Sachbücher (spanisch)</t>
  </si>
  <si>
    <t>Science Fiction/Fantasy (spanisch)</t>
  </si>
  <si>
    <t>Sonstiges - spanisch</t>
  </si>
  <si>
    <t>Tschechisch</t>
  </si>
  <si>
    <t>Türkisch</t>
  </si>
  <si>
    <t>Ungarisch</t>
  </si>
  <si>
    <t>Sonstiges</t>
  </si>
  <si>
    <t>Ratgeber</t>
  </si>
  <si>
    <t>Ratgeber - Alter</t>
  </si>
  <si>
    <t>Ratgeber - Altersvorsorge/Rente</t>
  </si>
  <si>
    <t>Ratgeber - Baby/Kleinkind</t>
  </si>
  <si>
    <t>Ratgeber - Bauen/Immobilien</t>
  </si>
  <si>
    <t>Ratgeber - Benehmen</t>
  </si>
  <si>
    <t>Ratgeber - Bewerbung</t>
  </si>
  <si>
    <t>Ratgeber - Erfolg</t>
  </si>
  <si>
    <t>Ratgeber - Ernährung</t>
  </si>
  <si>
    <t>Ratgeber - Erziehung</t>
  </si>
  <si>
    <t>Ratgeber - Familie</t>
  </si>
  <si>
    <t>Ratgeber - Feste &amp; Feiern</t>
  </si>
  <si>
    <t>Ratgeber - für Frauen</t>
  </si>
  <si>
    <t>Ratgeber - Gesundheit</t>
  </si>
  <si>
    <t>Heim und Garten</t>
  </si>
  <si>
    <t>Ratgeber - Karriere</t>
  </si>
  <si>
    <t>Ratgeber - Kindergarten</t>
  </si>
  <si>
    <t>Ratgeber - für Männer</t>
  </si>
  <si>
    <t>Ratgeber - Kosmetik/Beauty</t>
  </si>
  <si>
    <t>Ratgeber - Recht</t>
  </si>
  <si>
    <t>Ratgeber - Rhetorik</t>
  </si>
  <si>
    <t>Ratgeber - Schreiben</t>
  </si>
  <si>
    <t>Ratgeber - Schule/Lernhilfen</t>
  </si>
  <si>
    <t>Schwangerschaft/Geburt</t>
  </si>
  <si>
    <t>Ratgeber - Sexualität</t>
  </si>
  <si>
    <t>Ratgeber - Studieren</t>
  </si>
  <si>
    <t>Ratgeber - Tod/Sterben</t>
  </si>
  <si>
    <t>Ratgeber - Umweltschutz</t>
  </si>
  <si>
    <t>Ratgeber - Verbraucherschutz</t>
  </si>
  <si>
    <t>Ratgeber - Wohnen/Einrichten</t>
  </si>
  <si>
    <t>Sonstiges - Ratgeber</t>
  </si>
  <si>
    <t>(Auto-)Biographie/Briefe</t>
  </si>
  <si>
    <t>Adel (biographisch)</t>
  </si>
  <si>
    <t>Briefe</t>
  </si>
  <si>
    <t>Tagebücher</t>
  </si>
  <si>
    <t>Schicksale (biographisch)</t>
  </si>
  <si>
    <t>Frauen (biographisch)</t>
  </si>
  <si>
    <t>Militärs (biographisch)</t>
  </si>
  <si>
    <t>Musiker/innen (biographisch)</t>
  </si>
  <si>
    <t>Philosophen/Theologen (biographisch)</t>
  </si>
  <si>
    <t>Politiker/innen (biographisch)</t>
  </si>
  <si>
    <t>Religiöse Personen (biographisch)</t>
  </si>
  <si>
    <t>Schauspieler/innen (biographisch)</t>
  </si>
  <si>
    <t>Schriftsteller/innen (biographisch)</t>
  </si>
  <si>
    <t>Sportler/innen (biographisch)</t>
  </si>
  <si>
    <t>Wissenschaftler/innen (biographisch)</t>
  </si>
  <si>
    <t>Sonstiges - Biographien</t>
  </si>
  <si>
    <t>Comics/Sci-Fi/Fantasy</t>
  </si>
  <si>
    <t>Comics</t>
  </si>
  <si>
    <t>Carlsen</t>
  </si>
  <si>
    <t>DC-Comics</t>
  </si>
  <si>
    <t>Deutsche Comics</t>
  </si>
  <si>
    <t>Disney</t>
  </si>
  <si>
    <t>Englische Comics</t>
  </si>
  <si>
    <t>Fantasy</t>
  </si>
  <si>
    <t>Formwandler/Gestaltwandler</t>
  </si>
  <si>
    <t>Franco-Belgisch</t>
  </si>
  <si>
    <t>Graphic Novel</t>
  </si>
  <si>
    <t>Horror</t>
  </si>
  <si>
    <t>Independent</t>
  </si>
  <si>
    <t>Karikaturen/Cartoons</t>
  </si>
  <si>
    <t>Manga</t>
  </si>
  <si>
    <t>Marvel</t>
  </si>
  <si>
    <t>Military-SF</t>
  </si>
  <si>
    <t>Perry Rhodan</t>
  </si>
  <si>
    <t>Piccolo's</t>
  </si>
  <si>
    <t>Rollenspiele</t>
  </si>
  <si>
    <t>Science Fiction</t>
  </si>
  <si>
    <t>Vampir-Romane</t>
  </si>
  <si>
    <t>Comics/SF-Sekundärliteratur</t>
  </si>
  <si>
    <t>Sonstiges - Comics/SF</t>
  </si>
  <si>
    <t>Computer/Multimedia</t>
  </si>
  <si>
    <t>Betriebssysteme</t>
  </si>
  <si>
    <t>Datenbanken</t>
  </si>
  <si>
    <t>Hardware</t>
  </si>
  <si>
    <t>HTML/Webdesign</t>
  </si>
  <si>
    <t>Internet</t>
  </si>
  <si>
    <t>Java</t>
  </si>
  <si>
    <t>Linux</t>
  </si>
  <si>
    <t>Mac</t>
  </si>
  <si>
    <t>Netzwerktechnik</t>
  </si>
  <si>
    <t>PHP</t>
  </si>
  <si>
    <t>Programmierung</t>
  </si>
  <si>
    <t>Sicherheit</t>
  </si>
  <si>
    <t>über Software-Authoring</t>
  </si>
  <si>
    <t>über Audio-Software</t>
  </si>
  <si>
    <t>über Kinder-Software</t>
  </si>
  <si>
    <t>über Lernsoftware</t>
  </si>
  <si>
    <t>Über Office-Software</t>
  </si>
  <si>
    <t>über Grafik-Software</t>
  </si>
  <si>
    <t>über Microsoft-Software</t>
  </si>
  <si>
    <t>über SAP-Software</t>
  </si>
  <si>
    <t>über Spiele/Lösungsbücher</t>
  </si>
  <si>
    <t>Computer-Zeitschriften</t>
  </si>
  <si>
    <t>Multimedia allgemein</t>
  </si>
  <si>
    <t>Computer allgemein</t>
  </si>
  <si>
    <t>Sonstiges - Computer/Multimedia</t>
  </si>
  <si>
    <t>Kochbücher/Ernährung</t>
  </si>
  <si>
    <t>Ernährung allgemein</t>
  </si>
  <si>
    <t>Diäten</t>
  </si>
  <si>
    <t>Ernährung für Allergiker</t>
  </si>
  <si>
    <t>Genussmittel/Drogen</t>
  </si>
  <si>
    <t>Gesundheit allgemein</t>
  </si>
  <si>
    <t>Haushalts- und Ernährungswissenschaft</t>
  </si>
  <si>
    <t>Lebensmittelkunde</t>
  </si>
  <si>
    <t>Afrikanische Küche</t>
  </si>
  <si>
    <t>Amerikanische Küche</t>
  </si>
  <si>
    <t>Arabische Küche</t>
  </si>
  <si>
    <t>Asiatische Küche</t>
  </si>
  <si>
    <t>Backen</t>
  </si>
  <si>
    <t>Desserts</t>
  </si>
  <si>
    <t>Deutsche Küche</t>
  </si>
  <si>
    <t>Einkochen/Marmelade</t>
  </si>
  <si>
    <t>Festlich kochen</t>
  </si>
  <si>
    <t>Fischgerichte</t>
  </si>
  <si>
    <t>Fleischgerichte</t>
  </si>
  <si>
    <t>Französische Küche</t>
  </si>
  <si>
    <t>Gewürze/Kräuter</t>
  </si>
  <si>
    <t>Grillen/Barbecue</t>
  </si>
  <si>
    <t>Italienische Küche</t>
  </si>
  <si>
    <t>Karibische Küche</t>
  </si>
  <si>
    <t>Kochbücher allgemein</t>
  </si>
  <si>
    <t>Kochbücher für Kinder</t>
  </si>
  <si>
    <t>Konditoren-/Bäckerhandwerk</t>
  </si>
  <si>
    <t>Mediterrane Küche</t>
  </si>
  <si>
    <t>Österreichische Küche</t>
  </si>
  <si>
    <t>Osteuropäische Küche</t>
  </si>
  <si>
    <t>Ozeanische Küche</t>
  </si>
  <si>
    <t>Pasta/Teigtaschen</t>
  </si>
  <si>
    <t>Pilze</t>
  </si>
  <si>
    <t>Salate</t>
  </si>
  <si>
    <t>Saucen/Dips</t>
  </si>
  <si>
    <t>Schweizer Küche</t>
  </si>
  <si>
    <t>Skandinavische Küche</t>
  </si>
  <si>
    <t>Spanische Küche</t>
  </si>
  <si>
    <t>Suppen/Eintöpfe</t>
  </si>
  <si>
    <t>Vegane Küche</t>
  </si>
  <si>
    <t>Vegetarische Küche</t>
  </si>
  <si>
    <t>Vollwertküche</t>
  </si>
  <si>
    <t>Vorspeisen</t>
  </si>
  <si>
    <t>Alkoholfreie Getränke</t>
  </si>
  <si>
    <t>Cocktails</t>
  </si>
  <si>
    <t>Getränke allgemein</t>
  </si>
  <si>
    <t>Spirituosen</t>
  </si>
  <si>
    <t>Tee/Kaffee</t>
  </si>
  <si>
    <t>Wein</t>
  </si>
  <si>
    <t>Sonstiges - Kochbücher/Ernährung</t>
  </si>
  <si>
    <t>Meditation/Esoterik</t>
  </si>
  <si>
    <t>Alchemie</t>
  </si>
  <si>
    <t>Anthroposophie</t>
  </si>
  <si>
    <t>Astrologie allgemein</t>
  </si>
  <si>
    <t>Bewußtseinszustände</t>
  </si>
  <si>
    <t>Esoterik-Zeitschriften</t>
  </si>
  <si>
    <t>Esoterisches Heilen</t>
  </si>
  <si>
    <t>Geister/Engel</t>
  </si>
  <si>
    <t>Grenzwissenschaften</t>
  </si>
  <si>
    <t>Horoskope</t>
  </si>
  <si>
    <t>Hypnose</t>
  </si>
  <si>
    <t>Magie/Hexen</t>
  </si>
  <si>
    <t>Meditation</t>
  </si>
  <si>
    <t>Mystik/Mysterien</t>
  </si>
  <si>
    <t>Okkultismus</t>
  </si>
  <si>
    <t>Parapsychologie</t>
  </si>
  <si>
    <t>Prophezeiungen</t>
  </si>
  <si>
    <t>Qigong</t>
  </si>
  <si>
    <t>Radiästhesie</t>
  </si>
  <si>
    <t>Schamanismus</t>
  </si>
  <si>
    <t>Sternzeichen</t>
  </si>
  <si>
    <t>Tod/Wiedergeburt</t>
  </si>
  <si>
    <t>Träume</t>
  </si>
  <si>
    <t>Ufos/Außerirdische</t>
  </si>
  <si>
    <t>Wahrsagen/Tarot</t>
  </si>
  <si>
    <t>Zen/I Ging</t>
  </si>
  <si>
    <t>Mond/Planeten</t>
  </si>
  <si>
    <t>Sonstiges - Esoterik</t>
  </si>
  <si>
    <t>Sonstiges - Astrologie</t>
  </si>
  <si>
    <t>Kinderbücher/Jugendbücher</t>
  </si>
  <si>
    <t>Jugendbücher vor 1945</t>
  </si>
  <si>
    <t>Kinderbücher vor 1945</t>
  </si>
  <si>
    <t>Alte Kinderbücher</t>
  </si>
  <si>
    <t>Alte Jugendbücher</t>
  </si>
  <si>
    <t>Astrid Lindgren</t>
  </si>
  <si>
    <t>Aufklärung/Pubertät</t>
  </si>
  <si>
    <t>Bastelbücher für Kinder</t>
  </si>
  <si>
    <t>Bilderbücher</t>
  </si>
  <si>
    <t>DDR Kinder- &amp; Jugendbücher</t>
  </si>
  <si>
    <t>Disney-Kinderbücher</t>
  </si>
  <si>
    <t>Enid Blyton</t>
  </si>
  <si>
    <t>Fibeln</t>
  </si>
  <si>
    <t>Geschichten für Jungen</t>
  </si>
  <si>
    <t>Geschichten für Mädchen</t>
  </si>
  <si>
    <t>Grusel/Spannung</t>
  </si>
  <si>
    <t>Gute-Nacht-Geschichten</t>
  </si>
  <si>
    <t>Harry Potter</t>
  </si>
  <si>
    <t>Janosch</t>
  </si>
  <si>
    <t>Jugendbuch allgemein</t>
  </si>
  <si>
    <t>Jugend-Fantasy/SF</t>
  </si>
  <si>
    <t>Jugend-Krimi/Abenteuer</t>
  </si>
  <si>
    <t>Jugendzeitschriften</t>
  </si>
  <si>
    <t>Karl May</t>
  </si>
  <si>
    <t>Kinderbuch allgemein</t>
  </si>
  <si>
    <t>Kinder-/Jugendlexika</t>
  </si>
  <si>
    <t>Kinderlieder/Reime</t>
  </si>
  <si>
    <t>Kinderzeitschriften</t>
  </si>
  <si>
    <t>Lesen lernen/Erstleser</t>
  </si>
  <si>
    <t>Malbücher</t>
  </si>
  <si>
    <t>Märchen/Sagen</t>
  </si>
  <si>
    <t>Minibücher</t>
  </si>
  <si>
    <t>Naturgeschichten</t>
  </si>
  <si>
    <t>Pferdebücher</t>
  </si>
  <si>
    <t>Pixi-Bücher</t>
  </si>
  <si>
    <t>Pop-up-Bücher</t>
  </si>
  <si>
    <t>Sach-/Wissensbücher</t>
  </si>
  <si>
    <t>Schulgeschichten</t>
  </si>
  <si>
    <t>Spielebücher</t>
  </si>
  <si>
    <t>Spannend erzählt (DDR-Reihe)</t>
  </si>
  <si>
    <t>Sportgeschichten</t>
  </si>
  <si>
    <t>Tiergeschichten</t>
  </si>
  <si>
    <t>für Kinder ab 0</t>
  </si>
  <si>
    <t>für Kinder ab 3</t>
  </si>
  <si>
    <t>für Kinder ab 6</t>
  </si>
  <si>
    <t>für Kinder ab 10</t>
  </si>
  <si>
    <t>Sonstiges - Kinder/Jugendbücher</t>
  </si>
  <si>
    <t>Romane/Erzählungen</t>
  </si>
  <si>
    <t>Abenteuer/Western</t>
  </si>
  <si>
    <t>Adelsromane</t>
  </si>
  <si>
    <t>Aktuelle Bestseller</t>
  </si>
  <si>
    <t>Anthologien</t>
  </si>
  <si>
    <t>Arztromane</t>
  </si>
  <si>
    <t>Bertelsmann Lesering</t>
  </si>
  <si>
    <t>Biographische Erzählungen</t>
  </si>
  <si>
    <t>Bücher zu Film/Fernsehen</t>
  </si>
  <si>
    <t>CORA-Romane</t>
  </si>
  <si>
    <t>Detektiv-Romane</t>
  </si>
  <si>
    <t>Entwicklungsroman</t>
  </si>
  <si>
    <t>Essays</t>
  </si>
  <si>
    <t>Erotische Erzählungen</t>
  </si>
  <si>
    <t>Erzählungen</t>
  </si>
  <si>
    <t>Exilliteratur</t>
  </si>
  <si>
    <t>Familienromane</t>
  </si>
  <si>
    <t>Frauen</t>
  </si>
  <si>
    <t>Gay/Schwul</t>
  </si>
  <si>
    <t>Gesamtausgaben/Werkausgaben</t>
  </si>
  <si>
    <t>Gesellschaftsromane</t>
  </si>
  <si>
    <t>Heft-/Groschenromane</t>
  </si>
  <si>
    <t>Heimatromane</t>
  </si>
  <si>
    <t>Heitere Erzählungen</t>
  </si>
  <si>
    <t>Historische Liebesromane</t>
  </si>
  <si>
    <t>Historische Romane</t>
  </si>
  <si>
    <t>Humor/Satire</t>
  </si>
  <si>
    <t>Insel-Bücherei</t>
  </si>
  <si>
    <t>Justiz-Romane</t>
  </si>
  <si>
    <t>Jugend</t>
  </si>
  <si>
    <t>Katastrophen</t>
  </si>
  <si>
    <t>Klassiker</t>
  </si>
  <si>
    <t>Krieg/Soldaten</t>
  </si>
  <si>
    <t>Kurzgeschichten</t>
  </si>
  <si>
    <t>Lesbian/Lesbisch</t>
  </si>
  <si>
    <t>Liebesromane</t>
  </si>
  <si>
    <t>Männer</t>
  </si>
  <si>
    <t>Märchen / Sagen</t>
  </si>
  <si>
    <t>Novellen</t>
  </si>
  <si>
    <t>Politische Romane</t>
  </si>
  <si>
    <t>Reader´s Digest</t>
  </si>
  <si>
    <t>Reiseerzählungen</t>
  </si>
  <si>
    <t>Religiöse Erzählungen</t>
  </si>
  <si>
    <t>Schicksals-Romane</t>
  </si>
  <si>
    <t>Sportromane</t>
  </si>
  <si>
    <t>Tiergeschichten / Fabeln</t>
  </si>
  <si>
    <t>Utopien/Dystopien</t>
  </si>
  <si>
    <t>Sonstiges - Romane / Erzählungen</t>
  </si>
  <si>
    <t>Krimis/Thriller</t>
  </si>
  <si>
    <t>Frauenkrimis</t>
  </si>
  <si>
    <t>Gerichtsmedizinische Krimis</t>
  </si>
  <si>
    <t>Historische Krimis</t>
  </si>
  <si>
    <t>Krimi-Klassiker</t>
  </si>
  <si>
    <t>Kriminalgeschichten</t>
  </si>
  <si>
    <t>Mystery</t>
  </si>
  <si>
    <t>Noir-Krimis</t>
  </si>
  <si>
    <t>Polit-Thriller</t>
  </si>
  <si>
    <t>Psycho-Thriller</t>
  </si>
  <si>
    <t>Romantik-Thriller</t>
  </si>
  <si>
    <t>Spionage-Romane</t>
  </si>
  <si>
    <t>Tierkrimis</t>
  </si>
  <si>
    <t>True Crime</t>
  </si>
  <si>
    <t>Sonstiges - Krimi/Thriller</t>
  </si>
  <si>
    <t>Krimis aus Afrika</t>
  </si>
  <si>
    <t>Krimis aus Asien</t>
  </si>
  <si>
    <t>Krimis aus Australien &amp; Neuseeland</t>
  </si>
  <si>
    <t>Krimis aus Benelux-Ländern</t>
  </si>
  <si>
    <t>Krimis aus Deutschland, Österreich und der Schweiz</t>
  </si>
  <si>
    <t>Krimis aus Frankreich</t>
  </si>
  <si>
    <t>Krimis aus Großbritannien und Irland</t>
  </si>
  <si>
    <t>Krimis aus Lateinamerika</t>
  </si>
  <si>
    <t>Krimis aus Osteuropa</t>
  </si>
  <si>
    <t>Krimis aus Italien</t>
  </si>
  <si>
    <t>Krimis aus Nahost &amp; Nordafrika</t>
  </si>
  <si>
    <t>Krimis aus Russland</t>
  </si>
  <si>
    <t>Krimis aus Skandinavien</t>
  </si>
  <si>
    <t>Krimis aus Spanien &amp; Portugal</t>
  </si>
  <si>
    <t>Krimis aus den USA &amp; Kanada</t>
  </si>
  <si>
    <t>Drama/Lyrik</t>
  </si>
  <si>
    <t>Antikes Drama</t>
  </si>
  <si>
    <t>Klassisches Theater</t>
  </si>
  <si>
    <t>Modernes Theater</t>
  </si>
  <si>
    <t>Episches Theater</t>
  </si>
  <si>
    <t>Drama</t>
  </si>
  <si>
    <t>Komödie</t>
  </si>
  <si>
    <t>Modernes Drama</t>
  </si>
  <si>
    <t>Shakespeare</t>
  </si>
  <si>
    <t>Tragödie</t>
  </si>
  <si>
    <t>Lyrik allgemein</t>
  </si>
  <si>
    <t>Anthologien (Lyrik)</t>
  </si>
  <si>
    <t>Antike Dichtung</t>
  </si>
  <si>
    <t>Gedichtbände</t>
  </si>
  <si>
    <t>Moderne Lyrik</t>
  </si>
  <si>
    <t>Liebeslyrik</t>
  </si>
  <si>
    <t>Balladen</t>
  </si>
  <si>
    <t>Lieder/Gesänge</t>
  </si>
  <si>
    <t>Reimlexika</t>
  </si>
  <si>
    <t>Sonstiges - Drama/Lyrik</t>
  </si>
  <si>
    <t>Sammel-/Bildbände</t>
  </si>
  <si>
    <t>Bildband allgemein</t>
  </si>
  <si>
    <t>Fotografie (Bildband)</t>
  </si>
  <si>
    <t>Jahrbücher</t>
  </si>
  <si>
    <t>Natur (Bildband)</t>
  </si>
  <si>
    <t>Reisen (Bildband)</t>
  </si>
  <si>
    <t>Tiere (Bildband)</t>
  </si>
  <si>
    <t>Sammelband</t>
  </si>
  <si>
    <t>Sammelbildchen/Album</t>
  </si>
  <si>
    <t>Gesammelte Werke</t>
  </si>
  <si>
    <t>Sonstiges - Sammel/Bildband</t>
  </si>
  <si>
    <t>Deutsche Regionen</t>
  </si>
  <si>
    <t>Deutschland allgemein</t>
  </si>
  <si>
    <t>DDR allgemein</t>
  </si>
  <si>
    <t>Baden-Württemberg</t>
  </si>
  <si>
    <t>Bayern</t>
  </si>
  <si>
    <t>Berlin</t>
  </si>
  <si>
    <t>Brandenburg</t>
  </si>
  <si>
    <t>Bremen</t>
  </si>
  <si>
    <t>Flüsse in Deutschland</t>
  </si>
  <si>
    <t>Hamburg</t>
  </si>
  <si>
    <t>Hessen</t>
  </si>
  <si>
    <t>Mecklenburg-Vorpommern</t>
  </si>
  <si>
    <t>Niedersachsen</t>
  </si>
  <si>
    <t>Nordrhein-Westfalen</t>
  </si>
  <si>
    <t>Rheinland-Pfalz</t>
  </si>
  <si>
    <t>Saarland</t>
  </si>
  <si>
    <t>Sachsen</t>
  </si>
  <si>
    <t>Sachsen-Anhalt</t>
  </si>
  <si>
    <t>Schleswig-Holstein</t>
  </si>
  <si>
    <t>Thüringen</t>
  </si>
  <si>
    <t>Stadtführer (Deutschland)</t>
  </si>
  <si>
    <t>ehem. Böhmen/Mähren</t>
  </si>
  <si>
    <t>ehem. Pommern</t>
  </si>
  <si>
    <t>ehem. Preußen</t>
  </si>
  <si>
    <t>ehem. Ostpreußen</t>
  </si>
  <si>
    <t>ehem. Westpreußen</t>
  </si>
  <si>
    <t>ehem. Schlesien</t>
  </si>
  <si>
    <t>ehem. Siebenbürgen</t>
  </si>
  <si>
    <t>ehem. Sudetenland</t>
  </si>
  <si>
    <t>sonstige ehemalige dt. Gebiete</t>
  </si>
  <si>
    <t>Länder und Reisen</t>
  </si>
  <si>
    <t>Ägypten</t>
  </si>
  <si>
    <t>Kapverden</t>
  </si>
  <si>
    <t>Kenia</t>
  </si>
  <si>
    <t>Madagaskar</t>
  </si>
  <si>
    <t>Marokko</t>
  </si>
  <si>
    <t>Mauritius</t>
  </si>
  <si>
    <t>Namibia</t>
  </si>
  <si>
    <t>Nordafrika</t>
  </si>
  <si>
    <t>Ostafrika</t>
  </si>
  <si>
    <t>Südafrika</t>
  </si>
  <si>
    <t>Tunesien</t>
  </si>
  <si>
    <t>Westafrika</t>
  </si>
  <si>
    <t>Afrika allgemein</t>
  </si>
  <si>
    <t>Argentinien</t>
  </si>
  <si>
    <t>Bahamas</t>
  </si>
  <si>
    <t>Barbados</t>
  </si>
  <si>
    <t>Bolivien</t>
  </si>
  <si>
    <t>Brasilien</t>
  </si>
  <si>
    <t>Chile</t>
  </si>
  <si>
    <t>Costa Rica</t>
  </si>
  <si>
    <t>Dominikanische Republik</t>
  </si>
  <si>
    <t>Ecuador</t>
  </si>
  <si>
    <t>Jamaika</t>
  </si>
  <si>
    <t>Kanada</t>
  </si>
  <si>
    <t>Kolumbien</t>
  </si>
  <si>
    <t>Kuba</t>
  </si>
  <si>
    <t>Mexiko</t>
  </si>
  <si>
    <t>Paraguay</t>
  </si>
  <si>
    <t>Uruguay</t>
  </si>
  <si>
    <t>USA</t>
  </si>
  <si>
    <t>Amerika allgemein</t>
  </si>
  <si>
    <t>Nordamerika</t>
  </si>
  <si>
    <t>Südamerika</t>
  </si>
  <si>
    <t>Afghanistan</t>
  </si>
  <si>
    <t>Bali</t>
  </si>
  <si>
    <t>Bhutan</t>
  </si>
  <si>
    <t>China</t>
  </si>
  <si>
    <t>Indien</t>
  </si>
  <si>
    <t>Indonesien</t>
  </si>
  <si>
    <t>Irak</t>
  </si>
  <si>
    <t>Iran</t>
  </si>
  <si>
    <t>Israel</t>
  </si>
  <si>
    <t>Japan</t>
  </si>
  <si>
    <t>Jordanien</t>
  </si>
  <si>
    <t>Kambodscha</t>
  </si>
  <si>
    <t>Kaukasus</t>
  </si>
  <si>
    <t>Laos</t>
  </si>
  <si>
    <t>Libanon</t>
  </si>
  <si>
    <t>Malaysia</t>
  </si>
  <si>
    <t>Malediven</t>
  </si>
  <si>
    <t>Myanmar/Birma</t>
  </si>
  <si>
    <t>Nepal</t>
  </si>
  <si>
    <t>Nordkorea</t>
  </si>
  <si>
    <t>Pakistan</t>
  </si>
  <si>
    <t>Philippinen</t>
  </si>
  <si>
    <t>Saudi-Arabien</t>
  </si>
  <si>
    <t>Seychellen</t>
  </si>
  <si>
    <t>Singapur</t>
  </si>
  <si>
    <t>Sri Lanka</t>
  </si>
  <si>
    <t>Südkorea</t>
  </si>
  <si>
    <t>Taiwan</t>
  </si>
  <si>
    <t>Thailand</t>
  </si>
  <si>
    <t>Tibet</t>
  </si>
  <si>
    <t>Vereinigte Arabische Emirate</t>
  </si>
  <si>
    <t>Vietnam</t>
  </si>
  <si>
    <t>Zentralasien</t>
  </si>
  <si>
    <t>Asien allgemein</t>
  </si>
  <si>
    <t>Orient/Arabien</t>
  </si>
  <si>
    <t>Australien</t>
  </si>
  <si>
    <t>Neuseeland</t>
  </si>
  <si>
    <t>Südseeinseln</t>
  </si>
  <si>
    <t>Albanien</t>
  </si>
  <si>
    <t>Belgien</t>
  </si>
  <si>
    <t>Bosnien &amp; Herzegowina</t>
  </si>
  <si>
    <t>Bulgarien</t>
  </si>
  <si>
    <t>Dänemark</t>
  </si>
  <si>
    <t>England/Großbritannien</t>
  </si>
  <si>
    <t>Estland</t>
  </si>
  <si>
    <t>Europa</t>
  </si>
  <si>
    <t>Finnland</t>
  </si>
  <si>
    <t>Frankreich</t>
  </si>
  <si>
    <t>Georgien</t>
  </si>
  <si>
    <t>Griechenland</t>
  </si>
  <si>
    <t>Irland</t>
  </si>
  <si>
    <t>Island</t>
  </si>
  <si>
    <t>Italien</t>
  </si>
  <si>
    <t>Kanarische Inseln</t>
  </si>
  <si>
    <t>Kroatien</t>
  </si>
  <si>
    <t>Lettland</t>
  </si>
  <si>
    <t>Litauen</t>
  </si>
  <si>
    <t>Luxemburg</t>
  </si>
  <si>
    <t>Malta</t>
  </si>
  <si>
    <t>Moldawien</t>
  </si>
  <si>
    <t>Niederlande</t>
  </si>
  <si>
    <t>Norwegen</t>
  </si>
  <si>
    <t>Österreich</t>
  </si>
  <si>
    <t>Polen</t>
  </si>
  <si>
    <t>Portugal</t>
  </si>
  <si>
    <t>Rumänien</t>
  </si>
  <si>
    <t>Russland</t>
  </si>
  <si>
    <t>Schottland</t>
  </si>
  <si>
    <t>Schweden</t>
  </si>
  <si>
    <t>Schweiz</t>
  </si>
  <si>
    <t>Serbien</t>
  </si>
  <si>
    <t>Slowakei</t>
  </si>
  <si>
    <t>Spanien</t>
  </si>
  <si>
    <t>Slowenien</t>
  </si>
  <si>
    <t>Türkei</t>
  </si>
  <si>
    <t>Tschechien</t>
  </si>
  <si>
    <t>Ungarn</t>
  </si>
  <si>
    <t>Ukraine</t>
  </si>
  <si>
    <t>Zypern</t>
  </si>
  <si>
    <t>Europa allgemein</t>
  </si>
  <si>
    <t>Westeuropa</t>
  </si>
  <si>
    <t>Südeuropa</t>
  </si>
  <si>
    <t>Osteuropa</t>
  </si>
  <si>
    <t>Skandinavien</t>
  </si>
  <si>
    <t>Baltikum</t>
  </si>
  <si>
    <t>Aktuelle Landkarten</t>
  </si>
  <si>
    <t>Alte Landkarten</t>
  </si>
  <si>
    <t>Atlanten und Geographie</t>
  </si>
  <si>
    <t>Baedeker Reiseführer</t>
  </si>
  <si>
    <t>Berge/Gebirge</t>
  </si>
  <si>
    <t>Hotelführer/Unterkünfte</t>
  </si>
  <si>
    <t>Kreuzfahrten</t>
  </si>
  <si>
    <t>Meere/Ozeane</t>
  </si>
  <si>
    <t>Merian (Magazin)</t>
  </si>
  <si>
    <t>Polarregion</t>
  </si>
  <si>
    <t>Reiseführer</t>
  </si>
  <si>
    <t>Reise-Zeitschriften</t>
  </si>
  <si>
    <t>Restaurantführer</t>
  </si>
  <si>
    <t>Stadtführer</t>
  </si>
  <si>
    <t>Sonstiges - Reisen</t>
  </si>
  <si>
    <t>Sport und Hobby</t>
  </si>
  <si>
    <t>Akrobatik/Artistik</t>
  </si>
  <si>
    <t>Alpinismus</t>
  </si>
  <si>
    <t>Angeln</t>
  </si>
  <si>
    <t>Autos/Motorsport</t>
  </si>
  <si>
    <t>Ballsport</t>
  </si>
  <si>
    <t>Fitness/Kraftsport</t>
  </si>
  <si>
    <t>Flugsport</t>
  </si>
  <si>
    <t>Fußball</t>
  </si>
  <si>
    <t>Golf</t>
  </si>
  <si>
    <t>Gymnastik/Turnen</t>
  </si>
  <si>
    <t>Hundesport</t>
  </si>
  <si>
    <t>Jagd</t>
  </si>
  <si>
    <t>Leichtathletik</t>
  </si>
  <si>
    <t>Kampfsport</t>
  </si>
  <si>
    <t>Radsport</t>
  </si>
  <si>
    <t>Reitsport</t>
  </si>
  <si>
    <t>Schach</t>
  </si>
  <si>
    <t>Schießsport</t>
  </si>
  <si>
    <t>Segeln/Boote</t>
  </si>
  <si>
    <t>Sportwissenschaften</t>
  </si>
  <si>
    <t>Tanzen</t>
  </si>
  <si>
    <t>Tennis</t>
  </si>
  <si>
    <t>Wandern/Laufen</t>
  </si>
  <si>
    <t>Wassersport</t>
  </si>
  <si>
    <t>Wintersport</t>
  </si>
  <si>
    <t>WM/Olympia</t>
  </si>
  <si>
    <t>Sport-Zeitschriften</t>
  </si>
  <si>
    <t>Sonstiges - Sport</t>
  </si>
  <si>
    <t>Ahnenforschung/Genealogie</t>
  </si>
  <si>
    <t>Aquarien/Terrarien</t>
  </si>
  <si>
    <t>Dekoration</t>
  </si>
  <si>
    <t>Häkeln/Stricken</t>
  </si>
  <si>
    <t>Handarbeit/Basteln</t>
  </si>
  <si>
    <t>Heimwerken</t>
  </si>
  <si>
    <t>Jonglieren</t>
  </si>
  <si>
    <t>Malen/Zeichnen</t>
  </si>
  <si>
    <t>Maritimes/Schifffahrt</t>
  </si>
  <si>
    <t>Modellbau</t>
  </si>
  <si>
    <t>Motorrad</t>
  </si>
  <si>
    <t>Nähen</t>
  </si>
  <si>
    <t>Numismatik/Münzen</t>
  </si>
  <si>
    <t>Philatelie/Briefmarken</t>
  </si>
  <si>
    <t>Pilgern</t>
  </si>
  <si>
    <t>Puppen/Marionetten</t>
  </si>
  <si>
    <t>Rätsel/Quizbücher</t>
  </si>
  <si>
    <t>Sammeln</t>
  </si>
  <si>
    <t>Spiele/Kartenspiele</t>
  </si>
  <si>
    <t>Töpfern</t>
  </si>
  <si>
    <t>Yoga</t>
  </si>
  <si>
    <t>Zauberei</t>
  </si>
  <si>
    <t>Sonstiges - Hobby</t>
  </si>
  <si>
    <t>Tiere/Natur</t>
  </si>
  <si>
    <t>Exotische Tiere</t>
  </si>
  <si>
    <t>Fische</t>
  </si>
  <si>
    <t>Hunde</t>
  </si>
  <si>
    <t>Imkerei</t>
  </si>
  <si>
    <t>Insekten</t>
  </si>
  <si>
    <t>Katzen</t>
  </si>
  <si>
    <t>Nagetiere</t>
  </si>
  <si>
    <t>Nutztiere</t>
  </si>
  <si>
    <t>Pferde</t>
  </si>
  <si>
    <t>Ratgeber Tiere</t>
  </si>
  <si>
    <t>Reptilien/Amphibien</t>
  </si>
  <si>
    <t>Säugetiere</t>
  </si>
  <si>
    <t>Vögel</t>
  </si>
  <si>
    <t>Sonstiges - Tiere</t>
  </si>
  <si>
    <t>Natur allgemein</t>
  </si>
  <si>
    <t>Gewässer</t>
  </si>
  <si>
    <t>Bäume und Sträucher</t>
  </si>
  <si>
    <t>Blumen/Orchideen</t>
  </si>
  <si>
    <t>Forstwirtschaft</t>
  </si>
  <si>
    <t>Kakteen/Sukkulenten</t>
  </si>
  <si>
    <t>Pflanzen allgemein</t>
  </si>
  <si>
    <t>Pflanzenanbau</t>
  </si>
  <si>
    <t>Natur-Zeitschriften</t>
  </si>
  <si>
    <t>Naturgeschichte</t>
  </si>
  <si>
    <t>Sonstiges - Natur</t>
  </si>
  <si>
    <t>Zeitschriften/Zeitungen</t>
  </si>
  <si>
    <t>Auto/Motorrad</t>
  </si>
  <si>
    <t>Camping-Zeitschriften</t>
  </si>
  <si>
    <t>Eltern-Zeitschriften</t>
  </si>
  <si>
    <t>Englische Zeitschriften</t>
  </si>
  <si>
    <t>Erotik-Zeitschriften</t>
  </si>
  <si>
    <t>Essen/Trinken - Zeitschriften</t>
  </si>
  <si>
    <t>Fachzeitschrift</t>
  </si>
  <si>
    <t>Frauen-Zeitschriften</t>
  </si>
  <si>
    <t>Fremdsprachige Zeitschriften</t>
  </si>
  <si>
    <t>Garten-Zeitschriften</t>
  </si>
  <si>
    <t>GEO (Zeitschrift)</t>
  </si>
  <si>
    <t>Geschichte/Politik - Zeitschriften</t>
  </si>
  <si>
    <t>Hobby-Zeitschriften</t>
  </si>
  <si>
    <t>Landleben - Zeitschriften</t>
  </si>
  <si>
    <t>Männer-Zeitschriften</t>
  </si>
  <si>
    <t>Mode-Zeitschriften</t>
  </si>
  <si>
    <t>Modellbau-Zeitschriften</t>
  </si>
  <si>
    <t>Nachrichten/Politik</t>
  </si>
  <si>
    <t>Satire-Zeitschriften</t>
  </si>
  <si>
    <t>Tageszeitungen</t>
  </si>
  <si>
    <t>Tier-Zeitschriften</t>
  </si>
  <si>
    <t>Verbraucher-Zeitschriften (Tests)</t>
  </si>
  <si>
    <t>Wissenschaft/Technik</t>
  </si>
  <si>
    <t>Wochenmagazine</t>
  </si>
  <si>
    <t>Wohn-/Architektur-Zeitschriften</t>
  </si>
  <si>
    <t>Sonstiges - Zeitschriften</t>
  </si>
  <si>
    <t>Sammlerstücke/Raritäten</t>
  </si>
  <si>
    <t>vor 1500</t>
  </si>
  <si>
    <t>16. Jhdt.</t>
  </si>
  <si>
    <t>17. Jhdt.</t>
  </si>
  <si>
    <t>18. Jhdt</t>
  </si>
  <si>
    <t>Alte Drucke</t>
  </si>
  <si>
    <t>Ansichtskarten/Postkarten</t>
  </si>
  <si>
    <t>Autogramme/Autographen</t>
  </si>
  <si>
    <t>Chroniken/Jahrbücher</t>
  </si>
  <si>
    <t>Erstausgaben</t>
  </si>
  <si>
    <t>Faksimile</t>
  </si>
  <si>
    <t>Handschriften</t>
  </si>
  <si>
    <t>Illustrierte Bücher (Originalgrafik)</t>
  </si>
  <si>
    <t>Inkunabeln</t>
  </si>
  <si>
    <t>Manuskripte</t>
  </si>
  <si>
    <t>Vorzugsausgaben</t>
  </si>
  <si>
    <t>Pressendrucke/Künstlerbücher</t>
  </si>
  <si>
    <t>Raritäten</t>
  </si>
  <si>
    <t>Originalgrafiken</t>
  </si>
  <si>
    <t>rororo Leinenrücken</t>
  </si>
  <si>
    <t>Sonderausgaben</t>
  </si>
  <si>
    <t>Signierte Bücher</t>
  </si>
  <si>
    <t>Stiche/Kupferstiche</t>
  </si>
  <si>
    <t>Sonstiges - Wertvolles/Raritäten</t>
  </si>
  <si>
    <t>Adress-/Telefonbücher</t>
  </si>
  <si>
    <t>Aktien/Wertpapiere</t>
  </si>
  <si>
    <t>Almanach</t>
  </si>
  <si>
    <t>Autogramme</t>
  </si>
  <si>
    <t>Bedienungsanleitungen</t>
  </si>
  <si>
    <t>Erotika</t>
  </si>
  <si>
    <t>Faksimiles</t>
  </si>
  <si>
    <t>Fest-/Jubiläumsschriften</t>
  </si>
  <si>
    <t>Geschenkbücher</t>
  </si>
  <si>
    <t>Großdruck</t>
  </si>
  <si>
    <t>Gutscheinbücher</t>
  </si>
  <si>
    <t>Kalender</t>
  </si>
  <si>
    <t>Kataloge</t>
  </si>
  <si>
    <t>Lesezeichen</t>
  </si>
  <si>
    <t>Mundart</t>
  </si>
  <si>
    <t>Notizbücher/Poesiealben</t>
  </si>
  <si>
    <t>Ostalgie</t>
  </si>
  <si>
    <t>Poster</t>
  </si>
  <si>
    <t>Programmhefte</t>
  </si>
  <si>
    <t>Reportagen</t>
  </si>
  <si>
    <t>Sach/Fachbücher</t>
  </si>
  <si>
    <t>Sammlungen/Konvolute</t>
  </si>
  <si>
    <t>Schutzumschläge</t>
  </si>
  <si>
    <t>Studentica</t>
  </si>
  <si>
    <t>Trading Cards</t>
  </si>
  <si>
    <t>Unterhaltung</t>
  </si>
  <si>
    <t>Witze/Anekdoten</t>
  </si>
  <si>
    <t>Zirkus</t>
  </si>
  <si>
    <t>Zitate/Aphorismen</t>
  </si>
  <si>
    <t xml:space="preserve">Romane/Erzählungen </t>
  </si>
  <si>
    <t xml:space="preserve">Abenteuer/Western </t>
  </si>
  <si>
    <t xml:space="preserve">Biographien/Briefe </t>
  </si>
  <si>
    <t xml:space="preserve">Erotischer Roman </t>
  </si>
  <si>
    <t xml:space="preserve">Fantasy </t>
  </si>
  <si>
    <t xml:space="preserve">Historischer Roman </t>
  </si>
  <si>
    <t xml:space="preserve">Horror </t>
  </si>
  <si>
    <t xml:space="preserve">Klassiker </t>
  </si>
  <si>
    <t xml:space="preserve">Krimi/Thriller </t>
  </si>
  <si>
    <t xml:space="preserve">Liebesroman </t>
  </si>
  <si>
    <t xml:space="preserve">Lyrik </t>
  </si>
  <si>
    <t xml:space="preserve">Reiseerzählungen </t>
  </si>
  <si>
    <t xml:space="preserve">Science Fiction </t>
  </si>
  <si>
    <t xml:space="preserve">Sonstiges - Romane/Erzählungen </t>
  </si>
  <si>
    <t xml:space="preserve">Kinder/Jugendliche </t>
  </si>
  <si>
    <t xml:space="preserve">Detektiv-Hörspiele </t>
  </si>
  <si>
    <t xml:space="preserve">Jugend-Hörspiele </t>
  </si>
  <si>
    <t xml:space="preserve">Kinder-Hörspiele </t>
  </si>
  <si>
    <t xml:space="preserve">Märchen </t>
  </si>
  <si>
    <t xml:space="preserve">Science-Fiction </t>
  </si>
  <si>
    <t xml:space="preserve">Sonstiges - Kinder/Jugendliche </t>
  </si>
  <si>
    <t xml:space="preserve">Comedy/Kabarett </t>
  </si>
  <si>
    <t xml:space="preserve">Kabarett </t>
  </si>
  <si>
    <t xml:space="preserve">Parodie </t>
  </si>
  <si>
    <t xml:space="preserve">Stand Up Comedy </t>
  </si>
  <si>
    <t xml:space="preserve">Sonstiges - Comedy/Kabarett </t>
  </si>
  <si>
    <t xml:space="preserve">Sachtitel/Wissen </t>
  </si>
  <si>
    <t xml:space="preserve">Geschichte </t>
  </si>
  <si>
    <t xml:space="preserve">Gesundheit </t>
  </si>
  <si>
    <t xml:space="preserve">Jura/Recht </t>
  </si>
  <si>
    <t xml:space="preserve">Länder/Reisen </t>
  </si>
  <si>
    <t xml:space="preserve">Naturwissenschaften </t>
  </si>
  <si>
    <t xml:space="preserve">Philosophie </t>
  </si>
  <si>
    <t xml:space="preserve">Politik </t>
  </si>
  <si>
    <t xml:space="preserve">Psychologie </t>
  </si>
  <si>
    <t xml:space="preserve">Religion </t>
  </si>
  <si>
    <t xml:space="preserve">Sprachen lernen </t>
  </si>
  <si>
    <t xml:space="preserve">Wirtschaft/Finanzen </t>
  </si>
  <si>
    <t xml:space="preserve">Sonstiges - Sachtitel/Wissen </t>
  </si>
  <si>
    <t xml:space="preserve">Sonstiges </t>
  </si>
  <si>
    <t xml:space="preserve">Gespräche/Lesungen </t>
  </si>
  <si>
    <t xml:space="preserve">Meditation </t>
  </si>
  <si>
    <t xml:space="preserve">Philosophisches </t>
  </si>
  <si>
    <t xml:space="preserve">Religiöses </t>
  </si>
  <si>
    <t xml:space="preserve">Ratgeber </t>
  </si>
  <si>
    <t xml:space="preserve">Sprechplatten (Vinyl) </t>
  </si>
  <si>
    <t xml:space="preserve">Vorträge </t>
  </si>
  <si>
    <t xml:space="preserve">Rock &amp; Pop </t>
  </si>
  <si>
    <t xml:space="preserve">Pop - aktuelle Charts </t>
  </si>
  <si>
    <t xml:space="preserve">Rock - aktuelle Charts </t>
  </si>
  <si>
    <t xml:space="preserve">Pop - 60er </t>
  </si>
  <si>
    <t xml:space="preserve">Pop - 70er </t>
  </si>
  <si>
    <t xml:space="preserve">Pop - 80er </t>
  </si>
  <si>
    <t xml:space="preserve">Pop - 90er </t>
  </si>
  <si>
    <t xml:space="preserve">Pop - 2000er </t>
  </si>
  <si>
    <t xml:space="preserve">Rock - 60er </t>
  </si>
  <si>
    <t xml:space="preserve">Rock - 70er </t>
  </si>
  <si>
    <t xml:space="preserve">Rock - 80er </t>
  </si>
  <si>
    <t xml:space="preserve">Rock - 90er </t>
  </si>
  <si>
    <t xml:space="preserve">Rock - 2000er </t>
  </si>
  <si>
    <t xml:space="preserve">Rock Instrumental </t>
  </si>
  <si>
    <t xml:space="preserve">Crossover </t>
  </si>
  <si>
    <t xml:space="preserve">Classic Rock &amp; Pop </t>
  </si>
  <si>
    <t xml:space="preserve">Rock 'n' Roll </t>
  </si>
  <si>
    <t xml:space="preserve">Deutschrock </t>
  </si>
  <si>
    <t xml:space="preserve">Deutschpop </t>
  </si>
  <si>
    <t xml:space="preserve">Independent </t>
  </si>
  <si>
    <t xml:space="preserve">Lovesongs </t>
  </si>
  <si>
    <t xml:space="preserve">Progressive Rock </t>
  </si>
  <si>
    <t xml:space="preserve">Pop instrumental </t>
  </si>
  <si>
    <t xml:space="preserve">Pop-Sampler </t>
  </si>
  <si>
    <t xml:space="preserve">Rock-Sampler </t>
  </si>
  <si>
    <t xml:space="preserve">Punk </t>
  </si>
  <si>
    <t xml:space="preserve">Singer / Songwriter </t>
  </si>
  <si>
    <t xml:space="preserve">Sammlungen - Rock &amp; Pop </t>
  </si>
  <si>
    <t xml:space="preserve">Sonstiges - Pop </t>
  </si>
  <si>
    <t xml:space="preserve">Sonstiges - Rock </t>
  </si>
  <si>
    <t xml:space="preserve">Dance &amp; Electronic </t>
  </si>
  <si>
    <t xml:space="preserve">Disco </t>
  </si>
  <si>
    <t xml:space="preserve">Drum 'n' Bass </t>
  </si>
  <si>
    <t xml:space="preserve">Electro / Ambient </t>
  </si>
  <si>
    <t xml:space="preserve">EBM &amp; Industrial </t>
  </si>
  <si>
    <t xml:space="preserve">Experimental </t>
  </si>
  <si>
    <t xml:space="preserve">Goa/Trance </t>
  </si>
  <si>
    <t xml:space="preserve">Gabber </t>
  </si>
  <si>
    <t xml:space="preserve">House </t>
  </si>
  <si>
    <t xml:space="preserve">Techno </t>
  </si>
  <si>
    <t xml:space="preserve">Trip Hop </t>
  </si>
  <si>
    <t xml:space="preserve">Sammlungen - Dance &amp; Electronic </t>
  </si>
  <si>
    <t xml:space="preserve">Sonstiges - Dance &amp; Electronic </t>
  </si>
  <si>
    <t xml:space="preserve">Soul/R&amp;B </t>
  </si>
  <si>
    <t xml:space="preserve">Funk </t>
  </si>
  <si>
    <t xml:space="preserve">Gospel / Spiritual </t>
  </si>
  <si>
    <t xml:space="preserve">Klassischer R&amp;B </t>
  </si>
  <si>
    <t xml:space="preserve">Modern R&amp;B </t>
  </si>
  <si>
    <t xml:space="preserve">Motown </t>
  </si>
  <si>
    <t xml:space="preserve">Soul </t>
  </si>
  <si>
    <t xml:space="preserve">Sammlungen - Soul / R&amp;B </t>
  </si>
  <si>
    <t xml:space="preserve">Sonstiges - Soul / R&amp;B </t>
  </si>
  <si>
    <t xml:space="preserve">HipHop &amp; Rap </t>
  </si>
  <si>
    <t xml:space="preserve">Alternative HipHop </t>
  </si>
  <si>
    <t xml:space="preserve">Deutscher HipHop / Rap </t>
  </si>
  <si>
    <t xml:space="preserve">East Coast </t>
  </si>
  <si>
    <t xml:space="preserve">Gangsta Rap </t>
  </si>
  <si>
    <t xml:space="preserve">G-Funk </t>
  </si>
  <si>
    <t xml:space="preserve">Hardcore Rap </t>
  </si>
  <si>
    <t xml:space="preserve">New School </t>
  </si>
  <si>
    <t xml:space="preserve">Old School </t>
  </si>
  <si>
    <t xml:space="preserve">West Coast </t>
  </si>
  <si>
    <t xml:space="preserve">Sammlungen - HipHop / Rap </t>
  </si>
  <si>
    <t xml:space="preserve">Sonstiges - HipHop / Rap </t>
  </si>
  <si>
    <t xml:space="preserve">Hard &amp; Heavy </t>
  </si>
  <si>
    <t xml:space="preserve">Alternative Metal </t>
  </si>
  <si>
    <t xml:space="preserve">Death-, Black Metal &amp; Grindcore </t>
  </si>
  <si>
    <t xml:space="preserve">Gothic Metal </t>
  </si>
  <si>
    <t xml:space="preserve">Hardrock </t>
  </si>
  <si>
    <t xml:space="preserve">Industrial </t>
  </si>
  <si>
    <t xml:space="preserve">Progressive Metal </t>
  </si>
  <si>
    <t xml:space="preserve">Speed- / Thrash Metal </t>
  </si>
  <si>
    <t xml:space="preserve">True-, Power- &amp; Heavy Metal </t>
  </si>
  <si>
    <t xml:space="preserve">Wave/Gothic </t>
  </si>
  <si>
    <t xml:space="preserve">Sammlungen - Hard &amp; Heavy </t>
  </si>
  <si>
    <t xml:space="preserve">Sonstiges - Hard &amp; Heavy </t>
  </si>
  <si>
    <t xml:space="preserve">Schlager &amp; Oldies </t>
  </si>
  <si>
    <t xml:space="preserve">Big Bands </t>
  </si>
  <si>
    <t xml:space="preserve">Chanson </t>
  </si>
  <si>
    <t xml:space="preserve">Easy Listening </t>
  </si>
  <si>
    <t xml:space="preserve">Oldies </t>
  </si>
  <si>
    <t xml:space="preserve">Schlager </t>
  </si>
  <si>
    <t xml:space="preserve">Volkstümliche Musik </t>
  </si>
  <si>
    <t xml:space="preserve">Weihnachtliches </t>
  </si>
  <si>
    <t xml:space="preserve">Schlager - 50er </t>
  </si>
  <si>
    <t xml:space="preserve">Schlager - 60er </t>
  </si>
  <si>
    <t xml:space="preserve">Schlager - 70er </t>
  </si>
  <si>
    <t xml:space="preserve">Tanzmusik </t>
  </si>
  <si>
    <t xml:space="preserve">Sammlungen - Schlager / Oldies </t>
  </si>
  <si>
    <t xml:space="preserve">Sonstiges - Schlager / Oldies </t>
  </si>
  <si>
    <t xml:space="preserve">Songwriter, Folk &amp; Country </t>
  </si>
  <si>
    <t xml:space="preserve">Country </t>
  </si>
  <si>
    <t xml:space="preserve">Celtic </t>
  </si>
  <si>
    <t xml:space="preserve">Liedermacher - Deutsche </t>
  </si>
  <si>
    <t xml:space="preserve">Liedermacher - Amerikanische </t>
  </si>
  <si>
    <t xml:space="preserve">Liedermacher - Sonstige </t>
  </si>
  <si>
    <t xml:space="preserve">Folk </t>
  </si>
  <si>
    <t xml:space="preserve">Sammlungen - Folk &amp; Country </t>
  </si>
  <si>
    <t xml:space="preserve">Sonstiges - Folk &amp; Country </t>
  </si>
  <si>
    <t xml:space="preserve">Weltmusik </t>
  </si>
  <si>
    <t xml:space="preserve">Ethno Dance </t>
  </si>
  <si>
    <t xml:space="preserve">Trommeln/Percussion </t>
  </si>
  <si>
    <t xml:space="preserve">Afrika </t>
  </si>
  <si>
    <t xml:space="preserve">Asien </t>
  </si>
  <si>
    <t xml:space="preserve">Australien </t>
  </si>
  <si>
    <t xml:space="preserve">Nordeuropa </t>
  </si>
  <si>
    <t xml:space="preserve">Osteuropa </t>
  </si>
  <si>
    <t xml:space="preserve">Südeuropa </t>
  </si>
  <si>
    <t xml:space="preserve">Westeuropa </t>
  </si>
  <si>
    <t xml:space="preserve">Nordamerika </t>
  </si>
  <si>
    <t xml:space="preserve">Südamerika </t>
  </si>
  <si>
    <t xml:space="preserve">Weltmusik - Sampler </t>
  </si>
  <si>
    <t xml:space="preserve">Sammlungen - Weltmusik </t>
  </si>
  <si>
    <t xml:space="preserve">Weltmusik - Sonstiges </t>
  </si>
  <si>
    <t xml:space="preserve">Klassik </t>
  </si>
  <si>
    <t xml:space="preserve">Bach </t>
  </si>
  <si>
    <t xml:space="preserve">Barock </t>
  </si>
  <si>
    <t xml:space="preserve">Beethoven </t>
  </si>
  <si>
    <t xml:space="preserve">Chormusik </t>
  </si>
  <si>
    <t xml:space="preserve">Kammermusik </t>
  </si>
  <si>
    <t xml:space="preserve">Klassik-Sampler </t>
  </si>
  <si>
    <t xml:space="preserve">Klavierkonzerte </t>
  </si>
  <si>
    <t xml:space="preserve">Messen &amp; Oratorien </t>
  </si>
  <si>
    <t xml:space="preserve">Mittelalter </t>
  </si>
  <si>
    <t xml:space="preserve">Moderne Klassik </t>
  </si>
  <si>
    <t xml:space="preserve">Mozart </t>
  </si>
  <si>
    <t xml:space="preserve">Oper </t>
  </si>
  <si>
    <t xml:space="preserve">Operetten </t>
  </si>
  <si>
    <t xml:space="preserve">Orchestermusik </t>
  </si>
  <si>
    <t xml:space="preserve">Orgelkonzerte </t>
  </si>
  <si>
    <t xml:space="preserve">Renaissance </t>
  </si>
  <si>
    <t xml:space="preserve">Romantik </t>
  </si>
  <si>
    <t xml:space="preserve">Sängerinnen &amp; Sänger </t>
  </si>
  <si>
    <t xml:space="preserve">Sonaten </t>
  </si>
  <si>
    <t xml:space="preserve">Violinkonzerte </t>
  </si>
  <si>
    <t xml:space="preserve">Sammlungen - Klassik </t>
  </si>
  <si>
    <t xml:space="preserve">Klassik - Sonstiges </t>
  </si>
  <si>
    <t xml:space="preserve">Jazz &amp; Blues </t>
  </si>
  <si>
    <t xml:space="preserve">Boogie-Woogie </t>
  </si>
  <si>
    <t xml:space="preserve">Chicago Blues </t>
  </si>
  <si>
    <t xml:space="preserve">Memphis Blues </t>
  </si>
  <si>
    <t xml:space="preserve">Blues - Sampler </t>
  </si>
  <si>
    <t xml:space="preserve">Sammlungen - Blues </t>
  </si>
  <si>
    <t xml:space="preserve">Blues - Sonstiges </t>
  </si>
  <si>
    <t xml:space="preserve">Bebop </t>
  </si>
  <si>
    <t xml:space="preserve">Cool Jazz </t>
  </si>
  <si>
    <t xml:space="preserve">Free-Jazz </t>
  </si>
  <si>
    <t xml:space="preserve">Fusion &amp; Jazz Funk </t>
  </si>
  <si>
    <t xml:space="preserve">Big Band </t>
  </si>
  <si>
    <t xml:space="preserve">Jazz - Sampler </t>
  </si>
  <si>
    <t xml:space="preserve">Latin Jazz </t>
  </si>
  <si>
    <t xml:space="preserve">Modern Jazz </t>
  </si>
  <si>
    <t xml:space="preserve">New Orleans Jazz </t>
  </si>
  <si>
    <t xml:space="preserve">Swing </t>
  </si>
  <si>
    <t xml:space="preserve">Traditional &amp; Ragtime </t>
  </si>
  <si>
    <t xml:space="preserve">Vocal Jazz </t>
  </si>
  <si>
    <t xml:space="preserve">Sammlungen - Jazz </t>
  </si>
  <si>
    <t xml:space="preserve">Jazz - Sonstiges </t>
  </si>
  <si>
    <t xml:space="preserve">Soundtracks/Musicals </t>
  </si>
  <si>
    <t xml:space="preserve">Musicals </t>
  </si>
  <si>
    <t xml:space="preserve">Soundtracks </t>
  </si>
  <si>
    <t xml:space="preserve">Symphonische Soundtracks </t>
  </si>
  <si>
    <t xml:space="preserve">Sammlungen - Soundtracks &amp; Musicals </t>
  </si>
  <si>
    <t xml:space="preserve">Sonstiges - Soundtracks </t>
  </si>
  <si>
    <t xml:space="preserve">Reggae/Ska </t>
  </si>
  <si>
    <t xml:space="preserve">Dub </t>
  </si>
  <si>
    <t xml:space="preserve">Pop-Reggae </t>
  </si>
  <si>
    <t xml:space="preserve">Roots-Reggae </t>
  </si>
  <si>
    <t xml:space="preserve">Ska </t>
  </si>
  <si>
    <t xml:space="preserve">Reggae </t>
  </si>
  <si>
    <t xml:space="preserve">Ragga/Dancehall </t>
  </si>
  <si>
    <t xml:space="preserve">Sammlungen - Reggae / Ska </t>
  </si>
  <si>
    <t xml:space="preserve">Sonstiges - Reggae / Ska </t>
  </si>
  <si>
    <t xml:space="preserve">Diverse </t>
  </si>
  <si>
    <t xml:space="preserve">A Cappella </t>
  </si>
  <si>
    <t xml:space="preserve">Christliche Musik </t>
  </si>
  <si>
    <t xml:space="preserve">Comedy </t>
  </si>
  <si>
    <t xml:space="preserve">Couplets </t>
  </si>
  <si>
    <t xml:space="preserve">Esoterik/New Age </t>
  </si>
  <si>
    <t xml:space="preserve">Instrumental </t>
  </si>
  <si>
    <t xml:space="preserve">Kindermusik </t>
  </si>
  <si>
    <t xml:space="preserve">Militärmusik </t>
  </si>
  <si>
    <t xml:space="preserve">Poster (Musiker/Bands) </t>
  </si>
  <si>
    <t xml:space="preserve">Promos </t>
  </si>
  <si>
    <t xml:space="preserve">Raritäten/Wertvolles </t>
  </si>
  <si>
    <t xml:space="preserve">TV-Werbung </t>
  </si>
  <si>
    <t xml:space="preserve">Weihnachtsmusik </t>
  </si>
  <si>
    <t xml:space="preserve">Sammlungen - Diverse </t>
  </si>
  <si>
    <t xml:space="preserve">Action/Abenteuer </t>
  </si>
  <si>
    <t xml:space="preserve">Anime </t>
  </si>
  <si>
    <t xml:space="preserve">Actionkomödie </t>
  </si>
  <si>
    <t xml:space="preserve">Bollywood </t>
  </si>
  <si>
    <t xml:space="preserve">Eastern/Martial Arts </t>
  </si>
  <si>
    <t xml:space="preserve">History </t>
  </si>
  <si>
    <t xml:space="preserve">Katastrophen </t>
  </si>
  <si>
    <t xml:space="preserve">Klassiker/Kult </t>
  </si>
  <si>
    <t xml:space="preserve">Kriegsfilm </t>
  </si>
  <si>
    <t xml:space="preserve">Sonstiges - Action/Abenteuer </t>
  </si>
  <si>
    <t xml:space="preserve">Dokumentation </t>
  </si>
  <si>
    <t xml:space="preserve">Biographien </t>
  </si>
  <si>
    <t xml:space="preserve">Eisenbahn </t>
  </si>
  <si>
    <t xml:space="preserve">Krieg </t>
  </si>
  <si>
    <t xml:space="preserve">Medizin </t>
  </si>
  <si>
    <t xml:space="preserve">Natur </t>
  </si>
  <si>
    <t xml:space="preserve">Technik </t>
  </si>
  <si>
    <t xml:space="preserve">Tiere </t>
  </si>
  <si>
    <t xml:space="preserve">Wissenschaft </t>
  </si>
  <si>
    <t xml:space="preserve">Sonstige </t>
  </si>
  <si>
    <t xml:space="preserve">Sonstiges - Dokumentation </t>
  </si>
  <si>
    <t xml:space="preserve">Drama </t>
  </si>
  <si>
    <t xml:space="preserve">Biographie </t>
  </si>
  <si>
    <t xml:space="preserve">Heimatfilm </t>
  </si>
  <si>
    <t xml:space="preserve">Historisches Drama </t>
  </si>
  <si>
    <t xml:space="preserve">Kriegsdrama </t>
  </si>
  <si>
    <t xml:space="preserve">Liebes-Drama </t>
  </si>
  <si>
    <t xml:space="preserve">Sonstiges - Drama </t>
  </si>
  <si>
    <t xml:space="preserve">Fantasy/Science Fiction </t>
  </si>
  <si>
    <t xml:space="preserve">Aliens/Robots </t>
  </si>
  <si>
    <t xml:space="preserve">Comic-Helden </t>
  </si>
  <si>
    <t xml:space="preserve">Fremde Welten </t>
  </si>
  <si>
    <t xml:space="preserve">Sci-Fi-Thriller </t>
  </si>
  <si>
    <t xml:space="preserve">Sci-Fi-Komödie </t>
  </si>
  <si>
    <t xml:space="preserve">Mystery </t>
  </si>
  <si>
    <t xml:space="preserve">Zeitreisen </t>
  </si>
  <si>
    <t xml:space="preserve">Star Wars </t>
  </si>
  <si>
    <t xml:space="preserve">Sci-Fi-Klassiker </t>
  </si>
  <si>
    <t xml:space="preserve">TV-Serien </t>
  </si>
  <si>
    <t xml:space="preserve">Sonstiges - SciFi </t>
  </si>
  <si>
    <t xml:space="preserve">Horror-Klassiker </t>
  </si>
  <si>
    <t xml:space="preserve">Horror-Komödie </t>
  </si>
  <si>
    <t xml:space="preserve">Massenmörder </t>
  </si>
  <si>
    <t xml:space="preserve">Mystery-Horror </t>
  </si>
  <si>
    <t xml:space="preserve">Satan / Teufel </t>
  </si>
  <si>
    <t xml:space="preserve">Schocker </t>
  </si>
  <si>
    <t xml:space="preserve">Splatter </t>
  </si>
  <si>
    <t xml:space="preserve">Vampire </t>
  </si>
  <si>
    <t xml:space="preserve">Monsterfilm </t>
  </si>
  <si>
    <t xml:space="preserve">Sonstiges - Horror </t>
  </si>
  <si>
    <t xml:space="preserve">Kinderfilme </t>
  </si>
  <si>
    <t xml:space="preserve">Ohne Altersbeschränkung </t>
  </si>
  <si>
    <t xml:space="preserve">Ab 6 Jahre </t>
  </si>
  <si>
    <t xml:space="preserve">Disney </t>
  </si>
  <si>
    <t xml:space="preserve">Familien </t>
  </si>
  <si>
    <t xml:space="preserve">Familienkomödie </t>
  </si>
  <si>
    <t xml:space="preserve">Janosch </t>
  </si>
  <si>
    <t xml:space="preserve">Abenteuer </t>
  </si>
  <si>
    <t xml:space="preserve">Kinder-Trickfilm </t>
  </si>
  <si>
    <t xml:space="preserve">Sonstiges - Kinderfilme </t>
  </si>
  <si>
    <t xml:space="preserve">Komödie/Humor </t>
  </si>
  <si>
    <t xml:space="preserve">Deutsche Komödie </t>
  </si>
  <si>
    <t xml:space="preserve">Familien-Komödie </t>
  </si>
  <si>
    <t xml:space="preserve">Komödien-Klassiker </t>
  </si>
  <si>
    <t xml:space="preserve">Politik / Satire </t>
  </si>
  <si>
    <t xml:space="preserve">Romantik-Komödie </t>
  </si>
  <si>
    <t xml:space="preserve">Teenie-Komödie </t>
  </si>
  <si>
    <t xml:space="preserve">Sitcom </t>
  </si>
  <si>
    <t xml:space="preserve">Sonstiges - Komödie/Humor </t>
  </si>
  <si>
    <t xml:space="preserve">Action-Thriller </t>
  </si>
  <si>
    <t xml:space="preserve">Detektiv-Krimi </t>
  </si>
  <si>
    <t xml:space="preserve">Erotik-Thriller </t>
  </si>
  <si>
    <t xml:space="preserve">Gangsterfilm </t>
  </si>
  <si>
    <t xml:space="preserve">Krimi </t>
  </si>
  <si>
    <t xml:space="preserve">Kultkrimi/Thriller </t>
  </si>
  <si>
    <t xml:space="preserve">Mystery-Thriller </t>
  </si>
  <si>
    <t xml:space="preserve">Polit-Thriller </t>
  </si>
  <si>
    <t xml:space="preserve">Psycho-Thriller </t>
  </si>
  <si>
    <t xml:space="preserve">Spionage </t>
  </si>
  <si>
    <t xml:space="preserve">Sonstiges - Krimi/Thriller </t>
  </si>
  <si>
    <t xml:space="preserve">Musik/Konzerte </t>
  </si>
  <si>
    <t xml:space="preserve">Pop </t>
  </si>
  <si>
    <t xml:space="preserve">Rock </t>
  </si>
  <si>
    <t xml:space="preserve">Dance &amp; Techno </t>
  </si>
  <si>
    <t xml:space="preserve">HipHop </t>
  </si>
  <si>
    <t xml:space="preserve">Karaoke </t>
  </si>
  <si>
    <t xml:space="preserve">Klassik / Oper </t>
  </si>
  <si>
    <t xml:space="preserve">Latino </t>
  </si>
  <si>
    <t xml:space="preserve">Lehrfilme (Musik) </t>
  </si>
  <si>
    <t xml:space="preserve">Live (Konzerte) </t>
  </si>
  <si>
    <t xml:space="preserve">Oldies &amp; Schlager </t>
  </si>
  <si>
    <t xml:space="preserve">Sampler </t>
  </si>
  <si>
    <t xml:space="preserve">Tanz </t>
  </si>
  <si>
    <t xml:space="preserve">Volksmusik </t>
  </si>
  <si>
    <t xml:space="preserve">Sonstiges - Musik/Konzerte </t>
  </si>
  <si>
    <t xml:space="preserve">Sport </t>
  </si>
  <si>
    <t xml:space="preserve">Ballsport </t>
  </si>
  <si>
    <t xml:space="preserve">Boxen </t>
  </si>
  <si>
    <t xml:space="preserve">Fitness / Workout </t>
  </si>
  <si>
    <t xml:space="preserve">Funsport </t>
  </si>
  <si>
    <t xml:space="preserve">Fußball </t>
  </si>
  <si>
    <t xml:space="preserve">Hundesport </t>
  </si>
  <si>
    <t xml:space="preserve">Motorsport </t>
  </si>
  <si>
    <t xml:space="preserve">Olympia </t>
  </si>
  <si>
    <t xml:space="preserve">Kampfsport </t>
  </si>
  <si>
    <t xml:space="preserve">Reitsport </t>
  </si>
  <si>
    <t xml:space="preserve">Wassersport / Segeln </t>
  </si>
  <si>
    <t xml:space="preserve">Wellness </t>
  </si>
  <si>
    <t xml:space="preserve">Sonstiges - Sport </t>
  </si>
  <si>
    <t xml:space="preserve">Action-Serien </t>
  </si>
  <si>
    <t xml:space="preserve">Akte X </t>
  </si>
  <si>
    <t xml:space="preserve">Ally McBeal </t>
  </si>
  <si>
    <t xml:space="preserve">Angel </t>
  </si>
  <si>
    <t xml:space="preserve">Buffy </t>
  </si>
  <si>
    <t xml:space="preserve">Doku-Serien </t>
  </si>
  <si>
    <t xml:space="preserve">Friends </t>
  </si>
  <si>
    <t xml:space="preserve">Futurama </t>
  </si>
  <si>
    <t xml:space="preserve">Kinder-Serien </t>
  </si>
  <si>
    <t xml:space="preserve">Klassiker/Kult-Serien </t>
  </si>
  <si>
    <t xml:space="preserve">Krimi-Serien </t>
  </si>
  <si>
    <t xml:space="preserve">Mystery-Serien </t>
  </si>
  <si>
    <t xml:space="preserve">Sex and the City </t>
  </si>
  <si>
    <t xml:space="preserve">Simpsons </t>
  </si>
  <si>
    <t xml:space="preserve">Sitcoms </t>
  </si>
  <si>
    <t xml:space="preserve">Soaps </t>
  </si>
  <si>
    <t xml:space="preserve">Star Trek </t>
  </si>
  <si>
    <t xml:space="preserve">Stargate </t>
  </si>
  <si>
    <t xml:space="preserve">Sonstiges - TV-Serien </t>
  </si>
  <si>
    <t xml:space="preserve">Western </t>
  </si>
  <si>
    <t xml:space="preserve">Italo-Western </t>
  </si>
  <si>
    <t xml:space="preserve">Karl May </t>
  </si>
  <si>
    <t xml:space="preserve">Klassischer Western </t>
  </si>
  <si>
    <t xml:space="preserve">Moderner Western </t>
  </si>
  <si>
    <t xml:space="preserve">Zeichentrick </t>
  </si>
  <si>
    <t xml:space="preserve">Pixar </t>
  </si>
  <si>
    <t xml:space="preserve">Sonstiges - Zeichentrick </t>
  </si>
  <si>
    <t xml:space="preserve">Dias/Rollfilme </t>
  </si>
  <si>
    <t xml:space="preserve">Dogma-Filme </t>
  </si>
  <si>
    <t xml:space="preserve">Erotische Filme </t>
  </si>
  <si>
    <t xml:space="preserve">Experimentalfilme </t>
  </si>
  <si>
    <t xml:space="preserve">Filmposter </t>
  </si>
  <si>
    <t xml:space="preserve">Gay / Lesbian </t>
  </si>
  <si>
    <t xml:space="preserve">IMAX </t>
  </si>
  <si>
    <t xml:space="preserve">Kochen </t>
  </si>
  <si>
    <t xml:space="preserve">Laserdisc </t>
  </si>
  <si>
    <t xml:space="preserve">Lehrfilme </t>
  </si>
  <si>
    <t xml:space="preserve">Propagandafilme </t>
  </si>
  <si>
    <t xml:space="preserve">Super8-Filme </t>
  </si>
  <si>
    <t xml:space="preserve">Sonstiges - Filme </t>
  </si>
  <si>
    <t xml:space="preserve">Brettspiele </t>
  </si>
  <si>
    <t xml:space="preserve">Denkspiele </t>
  </si>
  <si>
    <t xml:space="preserve">Ersatzteile für Brettspiele </t>
  </si>
  <si>
    <t xml:space="preserve">Rollenspiele </t>
  </si>
  <si>
    <t xml:space="preserve">Strategie-/Aufbau-Spiele </t>
  </si>
  <si>
    <t xml:space="preserve">Wirtschafts/Handels-Spiele </t>
  </si>
  <si>
    <t xml:space="preserve">Wissens/Quiz-Spiele </t>
  </si>
  <si>
    <t xml:space="preserve">Sonstige Brettspiele </t>
  </si>
  <si>
    <t xml:space="preserve">Kartenspiele </t>
  </si>
  <si>
    <t xml:space="preserve">Quartett </t>
  </si>
  <si>
    <t xml:space="preserve">Strategiespiele </t>
  </si>
  <si>
    <t xml:space="preserve">Sonstige Kartenspiele </t>
  </si>
  <si>
    <t xml:space="preserve">Sonstige Gesellschaftsspiele </t>
  </si>
  <si>
    <t xml:space="preserve">Bewegungsspiele </t>
  </si>
  <si>
    <t xml:space="preserve">Ersatzteile für sonstige Gesellschaftsspiele </t>
  </si>
  <si>
    <t xml:space="preserve">Forschen / Entdecken </t>
  </si>
  <si>
    <t xml:space="preserve">Knobelspiele </t>
  </si>
  <si>
    <t xml:space="preserve">Lernspiele </t>
  </si>
  <si>
    <t xml:space="preserve">Partyspiele </t>
  </si>
  <si>
    <t xml:space="preserve">Puzzles/Legespiele </t>
  </si>
  <si>
    <t xml:space="preserve">Spiele für Kleinkinder </t>
  </si>
  <si>
    <t xml:space="preserve">Würfelspiele </t>
  </si>
  <si>
    <t xml:space="preserve">PC-Spiele </t>
  </si>
  <si>
    <t xml:space="preserve">Actionspiel </t>
  </si>
  <si>
    <t xml:space="preserve">Adventure </t>
  </si>
  <si>
    <t xml:space="preserve">Denk/Quiz-Spiel </t>
  </si>
  <si>
    <t xml:space="preserve">Fun/Gesellschafts-Spiel </t>
  </si>
  <si>
    <t xml:space="preserve">Jump &amp; Run </t>
  </si>
  <si>
    <t xml:space="preserve">Kinder-Lernspiele </t>
  </si>
  <si>
    <t xml:space="preserve">Rennspiel </t>
  </si>
  <si>
    <t xml:space="preserve">Shooter </t>
  </si>
  <si>
    <t xml:space="preserve">Simulation </t>
  </si>
  <si>
    <t xml:space="preserve">Sportspiel </t>
  </si>
  <si>
    <t xml:space="preserve">Strategie-/Aufbau-Spiel </t>
  </si>
  <si>
    <t xml:space="preserve">Tierspiele </t>
  </si>
  <si>
    <t xml:space="preserve">Wimmelspiele </t>
  </si>
  <si>
    <t xml:space="preserve">Mac-Spiele </t>
  </si>
  <si>
    <t xml:space="preserve">PlayStation 1 </t>
  </si>
  <si>
    <t xml:space="preserve">PlayStation 1 - Hardware </t>
  </si>
  <si>
    <t xml:space="preserve">PlayStation 2 </t>
  </si>
  <si>
    <t xml:space="preserve">PlayStation 2 - Hardware </t>
  </si>
  <si>
    <t xml:space="preserve">PlayStation 3 </t>
  </si>
  <si>
    <t xml:space="preserve">PlayStation 3 - Hardware </t>
  </si>
  <si>
    <t xml:space="preserve">PlayStation 4 </t>
  </si>
  <si>
    <t xml:space="preserve">PlayStation 4 - Hardware </t>
  </si>
  <si>
    <t xml:space="preserve">PlayStation Portable </t>
  </si>
  <si>
    <t xml:space="preserve">PSP - Hardware </t>
  </si>
  <si>
    <t xml:space="preserve">PlayStation Vita </t>
  </si>
  <si>
    <t xml:space="preserve">PlayStation Vita - Hardware </t>
  </si>
  <si>
    <t xml:space="preserve">Nintendo DS </t>
  </si>
  <si>
    <t xml:space="preserve">Nintendo DS - Hardware </t>
  </si>
  <si>
    <t xml:space="preserve">Nintendo 3DS </t>
  </si>
  <si>
    <t xml:space="preserve">Nintendo 3DS - Hardware </t>
  </si>
  <si>
    <t xml:space="preserve">Nintendo Gameboy Advance </t>
  </si>
  <si>
    <t xml:space="preserve">Gameboy Advance - Hardware </t>
  </si>
  <si>
    <t xml:space="preserve">Nintendo Gamecube </t>
  </si>
  <si>
    <t xml:space="preserve">Gamecube - Hardware </t>
  </si>
  <si>
    <t xml:space="preserve">Nintendo Gameboy </t>
  </si>
  <si>
    <t xml:space="preserve">Gameboy - Hardware </t>
  </si>
  <si>
    <t xml:space="preserve">Wii </t>
  </si>
  <si>
    <t xml:space="preserve">Wii - Hardware </t>
  </si>
  <si>
    <t xml:space="preserve">Wii U </t>
  </si>
  <si>
    <t xml:space="preserve">Wii U - Hardware </t>
  </si>
  <si>
    <t xml:space="preserve">Xbox </t>
  </si>
  <si>
    <t xml:space="preserve">Xbox - Hardware </t>
  </si>
  <si>
    <t xml:space="preserve">Xbox 360 </t>
  </si>
  <si>
    <t xml:space="preserve">Xbox 360 - Hardware </t>
  </si>
  <si>
    <t xml:space="preserve">Xbox One </t>
  </si>
  <si>
    <t xml:space="preserve">Xbox One - Hardware </t>
  </si>
  <si>
    <t xml:space="preserve">Sonstige Konsolen </t>
  </si>
  <si>
    <t xml:space="preserve">Atari </t>
  </si>
  <si>
    <t xml:space="preserve">N64 </t>
  </si>
  <si>
    <t xml:space="preserve">Nintendo Entertainment System (NES) </t>
  </si>
  <si>
    <t xml:space="preserve">Nokia N-Gage </t>
  </si>
  <si>
    <t xml:space="preserve">Sega Dreamcast </t>
  </si>
  <si>
    <t xml:space="preserve">Sega Mega Drive </t>
  </si>
  <si>
    <t xml:space="preserve">Super Nintendo Entertainment System (SNES) </t>
  </si>
  <si>
    <t xml:space="preserve">V Smile </t>
  </si>
  <si>
    <t>Jeremy Dronfield</t>
  </si>
  <si>
    <t>Die Heuschreckenfarm</t>
  </si>
  <si>
    <t>Piper</t>
  </si>
  <si>
    <t>2.</t>
  </si>
  <si>
    <t>Taschenbuch</t>
  </si>
  <si>
    <t>2</t>
  </si>
  <si>
    <t>Carole hat sich in die Einsamkeit der englischen Moore zurückgezogen, um den schrecklichen Tod ihrer besten Freundin zu vergessen. Eines Nachts taucht ein Fremder bei Ihr auf, der vorgibt, sein Gedächtnis verloren zu haben. Nach einigem Zögern nimmt sie den Hilflosen und verwirrten auf, doch dann holt die Vergangenheit die beiden ein...Ein psychologisch vielschichtiger und fesselnder Kriminalroman von größter erzählerischer Kunstfertigkeit</t>
  </si>
  <si>
    <t>deutsch</t>
  </si>
  <si>
    <t>9783492231954</t>
  </si>
  <si>
    <t>BN0076</t>
  </si>
  <si>
    <t>Leenders / Bay / Leender</t>
  </si>
  <si>
    <t>Die Schanz</t>
  </si>
  <si>
    <t>rowohlt</t>
  </si>
  <si>
    <t>Einmalige Sonderausgabe</t>
  </si>
  <si>
    <t>Das erfolgreiche Trio vom Niederrhein mit einem mitreißenden Krimi
Was der Schänzer Bauer Dellmann in seiner Erntemaschine findet, ist gewiss nicht auf dem Feld gewachsen. Es ist ein schauerlicher Fund, ein menschlicher Fuß im Herrenschuh. Toppe und sein Team vom KLever Kommisariat 11 müssen, um diesen Mord zu enträtseln, ihre Ermittlungen in alle Richtungen ausdehnen. So krempeln sie auch auf der Schanz das Unterste zuoberst, was die mürrischen Dörfler nur noch abweisender werden lässt. Selbst als das Rheinhochwasser bedrohlich steigt, verharren die Schänzer nach alter Sitte eingeschlossen hinter Flutmauern. Unter ihnen ist der Mörder</t>
  </si>
  <si>
    <t>9783499239106</t>
  </si>
  <si>
    <t>BN0077</t>
  </si>
  <si>
    <t>Jodi Picoult</t>
  </si>
  <si>
    <t>Die Macht des Zweifels</t>
  </si>
  <si>
    <t>ungekürzte Taschenbuchausgabe</t>
  </si>
  <si>
    <t>- MÄNGELEXEMPLAR -
Ein packendes Drama über die zerstörerischen Seiten der Liebe
Die edrfolgreiche Staatsanwältin Nina Frost hat über zweihundert Fälle von Kindesmißbrauch verhandelt. Obwohl sie glaubt, mit diesem vertrauten Thema sachlich umgehen zu können, gerät sie völlig aus der Fassung, als ihr eigener Sohn Nathaniel mißbraucht wird. Schließlich kommt es zum Prozeß, und da geschieht ein tödliches Unglück - und das bisherige Leben von Nina Frost und ihrer Familie scheint für immer vorüber zu sein. Der neue Roman von Jodi Picoult - erschütternde Familientragödie und psychologische Hochspannung zugleich.</t>
  </si>
  <si>
    <t>9783492242547</t>
  </si>
  <si>
    <t>BN0078</t>
  </si>
  <si>
    <t>Die solide Baufinanzierung</t>
  </si>
  <si>
    <t>wrs</t>
  </si>
  <si>
    <t>3.</t>
  </si>
  <si>
    <t>Guter Ratgeber für alle, die nicht auf Sand bauen wollen. Überprüfen Sie mit diesem Ratgeber, ob es sich für sie persönlich auszahlt, ein Bauvorhaben zu wagen. Die solide Baufinanzierung zeigt Ihnen, wie sie alle wichtigen Gröen exakt ermitteln: Einkommensvoraussetzung, den gesamten Kapitalbedarf, Nebenkosten, steuerliche Vergünstigungen, monatliche Belastungen. Mit Hilfe von CHecklisten und Mustern können Sie ihren persönlichen Finanzierungsplan zusammenstellen. Dazu gibt es jede Menge Tips und Infos, z.B. wann ein Disagio sinnvoll ist und wann ein zinsgünstiges oder gar kostenloses Darlehen möglich ist.</t>
  </si>
  <si>
    <t>Röger, Bernd</t>
  </si>
  <si>
    <t>9783809213215</t>
  </si>
  <si>
    <t>BN0079</t>
  </si>
  <si>
    <t>Donna W. Cross</t>
  </si>
  <si>
    <t>Die Päpstin</t>
  </si>
  <si>
    <t>Aufbau TB</t>
  </si>
  <si>
    <t>Johanna ein junges Mädchen mit überragenden Geistesgaben, wächst im Frankreich des 9. Jahrhunderts heran. Als Tochter eines strenggläubigen Vaters und einer heidnischen Mutter gelingt ihr, was allen Mädchen im Mittelalter verwehrt blieb: Sie erhält eine fundierte heilkundliche und philosophische Ausbildung. Doch Johanna weiß, daß ihr als Frau die letzten Tore der Weisheit verschlossen bleiben, ja daß sie kaum überleben wird. Als Mönch verkleidet, tritt sie zunächst ins Kloster Fulda ein und macht sich Jahre später auf den Weg nach Rom. Dort gelangt sie als Leibarzt des Papstes innerhalb kurzer Zeit zu großer Berühmtheit. Und schließlich ist sie es selbst, die die Geschicke der katholischen Kirche leitet: Als Papst Johannes Anglicus besteigt sie den päpstlichen Thron. Donna Woolfolk Cross entwirft mit großer erzählerischer Kraft die fazinierende Geschichte einer der außergewöhnlichsten Frauengestalten der abendländlichen Geschichte: das Leben der JOhanna von Ingelheim, deren Existenz bis ins 17. Jahrhundert allgemein bekannt war und erst dann aus den Manuskripten des Vatikans entfernt wurde.</t>
  </si>
  <si>
    <t>9783746614007</t>
  </si>
  <si>
    <t>BN0080</t>
  </si>
  <si>
    <t>Gerald Hagemann</t>
  </si>
  <si>
    <t>Dem Tod geweiht</t>
  </si>
  <si>
    <t>Goldmann</t>
  </si>
  <si>
    <t>1.</t>
  </si>
  <si>
    <t>3</t>
  </si>
  <si>
    <t>ausgeschiedenes Büchereiexemplar
Im ehemals mondänen Badeort Brighton ereignet sich eine groteske Mordserie an Frauen. Allen Opfern wurde ihr Ableben auf Zetteln der Pathologie angekündigt. Darauf ist sowohl Todesart als auch - zeitpunkt vermerkt. Für die unkonventionelle Polizistin Inspector Dorothy Marley wird der Fall bald zur Bewährungsprobe. Immer wieder hat sie mit den Anfeindungen ihres Konkurrenten Inspector Peter Bloomfield zu kämpfen. Dann erhält Dorothy einen Hinweis auf ein Verbrechen, das sich vor Jahren in Long Weldon ereignet hat - einem Ort, in dem Peter Bloomfield kein unbekannter ist... In bester britischer Erzähltradition, mit einer atemberaubenden Handlung skurrilen Charakteren und einem dramatischen Showdown an der Steilküste von Südengland</t>
  </si>
  <si>
    <t>9783442462087</t>
  </si>
  <si>
    <t>BN0081</t>
  </si>
  <si>
    <t>Louise Walters</t>
  </si>
  <si>
    <t>Dem Glück so nah</t>
  </si>
  <si>
    <t>Bastei Lübbe</t>
  </si>
  <si>
    <t>deutsche Erstausgabe</t>
  </si>
  <si>
    <t>- MÄNGELEXEMPLAR -
Ein kleiner Buchladen, ein dunkles Geheimnis und eine unvergessliche Liebesgeschichte
Roberta liebt Bücher. Sie liebt es, in alten Ausgaben zu stöbern und dabei unerwartete Entdeckungen zu machen: Briefe, Notizen oder Postkarten, die die Vorbesitzer zwischen den Seiten vergessen haben. Als sie in einem alten Koffer ihrer Großmutter einen wahren Bpcherschatz findet, stößt sie auf einen Liebesbrief, der all ihre birherigen Fundstücke in den Schatten stellt. Es ist ein Brief ihres im Krieg gefallenen Großvaters - doch datiert er aus einer Zeit, als dieser schon längst hätte tot sein müssen. Roberta ahnt, dass ihre geliebte Großmutter etwas Ungeheuerliches vor der Familie verborgen hat. Sie begibt sich auf die Spur eines Geheimnisses, dessen Wurzeln in die Vierzigerjahre zurückreichen - auf eine entlegene Farm, wo eine Frau in den Wirren des Krieges eine folgenschwere Entscheidung trifft...</t>
  </si>
  <si>
    <t>9783404172085</t>
  </si>
  <si>
    <t>BN0082</t>
  </si>
  <si>
    <t>9781405434812</t>
  </si>
  <si>
    <t>Das erste Weihnachtsfest</t>
  </si>
  <si>
    <t>Parragon</t>
  </si>
  <si>
    <t>Hardcover gebunden</t>
  </si>
  <si>
    <t>1</t>
  </si>
  <si>
    <t>Im kleinen Städtchen Nazareth fing die Geschichte an: Dort freite um Maria Joseph, der Zimmermann. Der Braut erschien ein Engel vom Himmel, hell und rein, der sagte zu Maria:"Du sollst nicht furchtsam sein!"
Das erste Weihnachtsfest erzählt die Geschichte vonder beschwerlichen Reise, die Maria und Joseph nach Bethlehem führt, und von Jesu Geburt in einem bescheidenen Stall. Die liebevoll illustrierte Nachdichtung des Weihnachtsevangeliums ruft uns ins Gedächtnis, warum wir alle Jahre wieder Weihnachten feiern.</t>
  </si>
  <si>
    <t>BN0083</t>
  </si>
  <si>
    <t>9783426634981</t>
  </si>
  <si>
    <t>BN0084</t>
  </si>
  <si>
    <t>BN0085</t>
  </si>
  <si>
    <t>BN0086</t>
  </si>
  <si>
    <t>BN0087</t>
  </si>
  <si>
    <t>BN0088</t>
  </si>
  <si>
    <t>BN0089</t>
  </si>
  <si>
    <t>BN0090</t>
  </si>
  <si>
    <t>BN0091</t>
  </si>
  <si>
    <t>BN0092</t>
  </si>
  <si>
    <t>BN0093</t>
  </si>
  <si>
    <t>BN0094</t>
  </si>
  <si>
    <t>BN0095</t>
  </si>
  <si>
    <t>BN0096</t>
  </si>
  <si>
    <t>BN0097</t>
  </si>
  <si>
    <t>BN0098</t>
  </si>
  <si>
    <t>BN0099</t>
  </si>
  <si>
    <t>BN0100</t>
  </si>
  <si>
    <t>BN0101</t>
  </si>
  <si>
    <t>BN0102</t>
  </si>
  <si>
    <t>BN0103</t>
  </si>
  <si>
    <t>BN0104</t>
  </si>
  <si>
    <t>BN0105</t>
  </si>
  <si>
    <t>BN0106</t>
  </si>
  <si>
    <t>BN0107</t>
  </si>
  <si>
    <t>BN0108</t>
  </si>
  <si>
    <t>BN0109</t>
  </si>
  <si>
    <t>BN0110</t>
  </si>
  <si>
    <t>BN0111</t>
  </si>
  <si>
    <t>BN0112</t>
  </si>
  <si>
    <t>BN0113</t>
  </si>
  <si>
    <t>BN0114</t>
  </si>
  <si>
    <t>BN0115</t>
  </si>
  <si>
    <t>BN0116</t>
  </si>
  <si>
    <t>Katy Gardner</t>
  </si>
  <si>
    <t>Das bleiche Herz</t>
  </si>
  <si>
    <t>Knaur TB</t>
  </si>
  <si>
    <t>- MÄNGELEXEMPLAR -
Cass Bainbridge hat Angst. Die Flut an anonymen Anrufen und Mails reißt nicht ab. Den ersten Anruf hatte sie noch als Zufall abgetan, die ersten Mails einfach gelöscht. Doch jetzt fühlt sie sich beobachtet und verfolgt. Als die junge Beth in Ihr Leben tritt, ist Cass erleichtert. Denn indem sie sich um die scheinbar hilflose Studentin kümmert, kann sie ihre Ängste verdrängen. Aber dann entsteht eine Nähe, von der Cass sich ebenfalls bedroht fühlt...</t>
  </si>
  <si>
    <t>9783940888556</t>
  </si>
  <si>
    <t>Gisela Rudolf</t>
  </si>
  <si>
    <t>Das Leben der Eltern ist das Buch, in dem die Kinder lesen</t>
  </si>
  <si>
    <t>Weissbooks</t>
  </si>
  <si>
    <t>Erste Auflage</t>
  </si>
  <si>
    <t>Tolle Autos, Schlager im Radio, Dienstmädchen aus Italien, viele Tanten, große Männer, Tim und Struppi, hundert Vaterunser, Wasserball und Tennis, Ovomaltine und Kaugummi, Fasnacht im Sommer, das Leben ist schön - und auch in Grenchen gibt es eine Marilyn Monroe. Das Leben der Eltern...ist ein Buch der Erinnerung, ein buntes Tableau einer Kindheit und Jugend, eine Recherche, die eine Zeit mit ihren Alltagsmustern, ihren Reizen und Riten, Farben und Gerüchenwiederauferstehen lässt. Weit zurück scheinen heute die 50er Jahre in der Schweiz zu sein, doch hautnah, als wäre es eben, erzählt Gisela Rudolf, wie ein kleines Mädchen sich im Kosmos der Erwachsenen behauptet, wie es, neugierig, mutig und frech, ins wahre Leben findet. Gisela Rudolfs Buch ist ein Familienroman - eine Reise vom Wallis in die Üsserschiz und von dort direkt ins Herz der Welt.</t>
  </si>
  <si>
    <t>9783473521487</t>
  </si>
  <si>
    <t>K.A. Applegate</t>
  </si>
  <si>
    <t>Animorphs, Das Vermächtnis der Andalten</t>
  </si>
  <si>
    <t>Ravensburger</t>
  </si>
  <si>
    <t>Wir können euch nicht sagen, wer wir sind. Oder wo wir wohnen. Das wäre zu gefährlich. Verdammt gefährlich. Zu hohes Risiko. Wir müssen vorsichtig sein. Sehr vorsichtig. Die Yirks sind hinter uns her. Die Yirks, die alle Menschen versklaven möchten. Sie sind schon hinter uns. Jeder ist in Gefahr. Jeder - auch du... Wir nennen und Animorphs. Warum? Nun, wir haben diese einzige Waffe. Eine gefährliche Waffe, die uns noch eine winzige CHance lässt. Wir können uns in Tiere verwandeln. Aber höchstens für 2 Stunden. Wie gesagt, eine gefährliche Waffe. Für unsere Gegener aber auch für uns...</t>
  </si>
  <si>
    <t>340412653x</t>
  </si>
  <si>
    <t>Karl Witopil</t>
  </si>
  <si>
    <t>Das ewige Leben</t>
  </si>
  <si>
    <t>Originalausgabe</t>
  </si>
  <si>
    <t>Ana Aslan - das Leben der weltberühmten Wissenschaftlerin, ihre Formel, ihr mysteriöses Verschwinden
Seit dem tragischen Tod ihrer großen Liebe Michael wiidmet die junge Ärztin und leidenschaftliche Wissenschaftlerin Prof. Dr. Ana Aslan ihre Forschung nur noch einem Ziel: das menschlche Leben zu verlängern - und sie hat erfolg: sie entwickelt eine spektakuläre Regenerationstherapie und sie glaubt, die Formel für das ewige Leben entdeckt zu haben. Doch ana Asla hat einen gefährlichen Gegner, das kommunistische Regiem, das ihr das Leben und Forschen zur Hölle macht.
1985: Ana Aslan ist jetzt überzeugt, dass sie das Geheimnis der unsterblichkeit gelöst hat und plant ihre Flucht aus Rumänien, damit die Formel nicht in die Hände des verbrecherischen Ceausescu-Regiems fällt. Sie weiß, dass sie in höchster Gefahr schwebt, wenn die Securitate von ihrem Plan erfährt...</t>
  </si>
  <si>
    <t>Jussi Adler Olsen</t>
  </si>
  <si>
    <t>Das Alphabet Haus</t>
  </si>
  <si>
    <t>dtv</t>
  </si>
  <si>
    <t>1944. Die britischen Piloten Bryan und James, unzertrennliche Freunde von Kindesbeinen an, stürzen über deutschem Territorium ab. Schwerverletzt und unter falscher Identität gelangen sie in ein Sanatorium für Geisteskranke im Schwarzwald. Ihr Leben als Simulanten im "Alphabethaus" wird zur Hölle auf Erden. Werden Sie, wird ihre Freundschaft überleben? Jahrzehnte später brechen sich die entsetzlichen Ereignisse der damaligen Zeit noch einmal gewaltsam Bahn... Ein großer Roman über die Schrecken des Krieges - und die Geschichte einer tiefen Freundschaft.</t>
  </si>
  <si>
    <t>9783423248945</t>
  </si>
  <si>
    <t>Maeve Haran</t>
  </si>
  <si>
    <t>Das größte Glück meines Lebens</t>
  </si>
  <si>
    <t>blanvalet</t>
  </si>
  <si>
    <t>Man ist nie zu alt, um seinen Träumen zu folgen… Stella Ainsworth führt ein ruhiges Leben mit ihrem leicht pedantischen Mann, ihrer chronisch unzufriedenen Tochter und ihren drei geliebten Enkeln. Eigentlich ist sie nicht unglücklich, auch wenn es sie zunehmend stört, dass ihre Familie sie für selbstverständlich nimmt. Doch dann steht ihr Leben plötzlich Kopf, denn ihre Jugendliebe taucht wieder auf. Cameron Keene verließ England vor vielen Jahren und wurde zur Rockikone der 60er-Jahre. Zu Stellas Verwunderung erklärt er in einem Interview, dass sein berühmtester Song - der zur Liebeshymne einer ganzen Generation wurde - von ihr handelt und dass er zurückgekommen sei, um sie zu finden...</t>
  </si>
  <si>
    <t>9783734104176</t>
  </si>
  <si>
    <t>Alice Schwarzer</t>
  </si>
  <si>
    <t>Die Antwort</t>
  </si>
  <si>
    <t>Kiepenheuer &amp; Witsch</t>
  </si>
  <si>
    <t>Die Antwort auf Frauenverdummung und Machotum. Auf Pornograohie und Diätterror. Auf Biologismus und Islamismus. Ein Plädoyer für Väter mit Kindern und Müttern mit Beruf. Für gleiche Rehte und Pflichten- Für selbstkritik und Gegen das schlechte Gewissen</t>
  </si>
  <si>
    <t>9783462037739</t>
  </si>
  <si>
    <t>Sandy Ransford</t>
  </si>
  <si>
    <t>Das Pferde Wissen ABC</t>
  </si>
  <si>
    <t>PonyClub</t>
  </si>
  <si>
    <t>Was weißt du über Pferde und Ponys? Egal ob du dich sehr gut oder noch kaum auskennst - willst du deine Lieblingstiere besser kennenlernen? Sandy Ransford erklärt dir in ihrem neuen Faktenbuch alles, was du über Pferde und Ponys wissen solltest. Erfahre...
...wie sie denken und fühlen,
wie sie kommunizieren - und wie du sie besser verstehst, wie sie leben sollten, wie sie sich entwickelt haben und vieles mehr! Lies dieses Buch und du bist ein Pferdeexperte!</t>
  </si>
  <si>
    <t>9783938308912</t>
  </si>
  <si>
    <t>Deutsche Dichter Band 3 Aufklärung und Empfindsamkeit</t>
  </si>
  <si>
    <t>Reclam</t>
  </si>
  <si>
    <t>Paperback</t>
  </si>
  <si>
    <t>Das achtbändige Werk Deutscher Dichter ist deutschsprachigen Autoren vom Mittelalter bis zur jüngeren Gegenweart gewidmet. Auf anschauliche Weise schreiben Fachleute in Beiträgen von 5 bis 50 Seiten Umfang über Leben und Werk von rund 300 bedeutenden Dichtern. Ein Porträt des Autors und bibliographische Hinweise ergänzen die einzelnen Darstellungen</t>
  </si>
  <si>
    <t>3150086132</t>
  </si>
  <si>
    <t>Anne B. Ragde</t>
  </si>
  <si>
    <t>Das Lügenhaus / Einsiedlerkrebse</t>
  </si>
  <si>
    <t>Random House</t>
  </si>
  <si>
    <t>Sonderausgabe</t>
  </si>
  <si>
    <t>Das Lügenhaus
Als die Bäuerin Anna nach einem Schlaganfall im Sterben liegt, kommt die Familie nach Jahrzehnten erstmals wieder zusammen. Tor, der älteste Sohn, der den Hof übernommen hat und eine Schweiezucht betreibt, verständigt nicht nur seine beiden Brüder - Margido, der vor Jahren den Kontakt zum Elternhaus abgebrochen und sich als Bestattungsunternehmer selbstständig gemacht hat, und Erlend, der mit seinem Lebensgefährten als Schaufensterdekorateur in KOpenhagen lebt-, sondern auch seine Tochter Torunn, die er nur ein einziges Mal gesehen und vor seiner Familie verheimlicht hat. Nun, am Sterbebett der Mutter, hält ausgerechnet der unscheinbare Vater eine riesige Überraschung bereit, die das bisherige Leben in Frage stellt...#
Einsiedlerkrebse
Seit dem tod der Mutter ist auf dem maroden Familienhof Byneset nichts mehr so, wie es war. Der tief religiöse Bestattungsunternehmer Margido hat eine Affäre mit einer Witwe, Erlend und sein Lebensgefährte werden Vater, und ausgerechnet Bauer Tor verletzt sich schwer am Bein. Seine Tochter Torunn eilt extra aus Oslo zur Hilfe, aber Tor erwartet sich mehr von ihr: als Erbin soll sie ihr altes Leben hinter sich lassen und den Hof übernehmen. Doch manche Wünsche führen ins verderben...</t>
  </si>
  <si>
    <t>4006083032095</t>
  </si>
  <si>
    <t>Das Buch des vergessenen Wissens</t>
  </si>
  <si>
    <t>Compact</t>
  </si>
  <si>
    <t>Das hab ich doch mal gewusst! Kennen sie das auch? Hypotenuse, Alliteration und Desoxyribonukleinsäure kommen Ihnen aus Ihrer Schulzeit bekannt vor, aber so ganz genau können sie die Begriffe nicht erklären? Dieses Buch schafft abhilfe! Übersichtlich präsentiert und anschaulich erklärt sind hier die wichtigsten Themen versammelt. Quer durch den Stundenplan wird Basiswissen aus den Schulfächern Mathe, Deutsch, Physik, Biologie, Chemie, Erdkunde, Solzialkunde, Englisch, Geschichte, Kunst und mUsik vermittelt. Die Einträge sind mit vielen Merksätzen und Eselsbrücken angereichert und sorgen auf unterhaltsame Weise dafür, dass Sie sich diesmla alles merken können. Wenn sie ihre Hausaufgaben gemacht haben, wird ihnen kein Schlauberger mehr ein x für ein U vormachen.</t>
  </si>
  <si>
    <t>9783817493753</t>
  </si>
  <si>
    <t>Tami Hoag</t>
  </si>
  <si>
    <t>Cry Wolf</t>
  </si>
  <si>
    <t>Bantam</t>
  </si>
  <si>
    <t>Seiten vergilbt.</t>
  </si>
  <si>
    <t>englisch</t>
  </si>
  <si>
    <t>9780553561609</t>
  </si>
  <si>
    <t>C. G. Jung mit Selbstzeugnissen und Bilddokumenten dargestellt</t>
  </si>
  <si>
    <t>Gerhard Wehr</t>
  </si>
  <si>
    <t>Carl Friedrich Gauß. Aus dem Leben des Princeps Mathematicorum</t>
  </si>
  <si>
    <t>Horst Mischling</t>
  </si>
  <si>
    <t>Göttinger Tageblatt</t>
  </si>
  <si>
    <t>4.</t>
  </si>
  <si>
    <t>"Die Welt wäre eine Unsinn, die ganze Schöpfung ein Unding, ohne unsterblichkeit!"
Carl Friedrich Gauß (1777-1855) aus Braunschweis, eines der größten mathematischen Genies aller Zeiten, lebte als Professor für Astronomie in Göttingen den schlichten Arbeitsalltag jener großen Menschen, die stets mehr zu geben als zu fordern bereit sind. Horst Mischling (1909-2003), Initiator und Mitbegründer der Göttinger Gauß-Gesellschaft, hat im vorliegenden Buch die interessantesten Episoden und Ereignisse aus dem Leben des "Princeps Mathematcorum" zusammengestellt und gibt durch die Aneinanderreihung von Anekdoten, Briefauszügen, Kommentaren und Berichten ein lebendiges, leicht lesbares, aber dennoch mit großer Sachkenntnis verfasstes Lebensbild des großen Wissenschaftlers. Es führt den Leser von den Schultagen des kleinen Gauß bis zu den Sternstunden und auch zu den letzten Stunden seines Lebens</t>
  </si>
  <si>
    <t>Nurosi, Aki und Mark Shulman</t>
  </si>
  <si>
    <t>Neue optische Illusionen</t>
  </si>
  <si>
    <t>Bechtermünz</t>
  </si>
  <si>
    <t>Wenn verschiedene Farben identisch aussehen, der gleiche Farbton unterschiedlich wirkt oder zwei-dimensionale Bilder dreidimensional erscheinen - dann handelt es sich um eine optische Täuschung. Die Beispiele in diesem Buch zeigen Ihnen, dass sie Ihren Augen nicht trauen dürfen. Lassen Sie sich ein auf ein reizvolles Spiel mit Formen und Farben und geben Sie sich wunderbaren optischen Illusionen hin. Betrachten sie Farben auf eine völlig neue Weise. Und wenn sie wissen wollen, was hinter diesen verblüffenden Effekten steckt, finden sie die Antworten im hinteren Teil des Buches. Zu jedem Bild wird erklärt, was bei der Betrachtung passiert, warum sie etwas sehen oder zu sehen glauben</t>
  </si>
  <si>
    <t>9783828924161</t>
  </si>
  <si>
    <t>A. Dolin</t>
  </si>
  <si>
    <t>Kempo Die Kunst des Kampfes</t>
  </si>
  <si>
    <t>Komet</t>
  </si>
  <si>
    <t>Geschichte und Techniken der asiatischen Kampfsportarten</t>
  </si>
  <si>
    <t>9783933366382</t>
  </si>
  <si>
    <t>Javier Sierra</t>
  </si>
  <si>
    <t>Das geheime Abendmahl</t>
  </si>
  <si>
    <t>RM Buch und Medien Vetrieb</t>
  </si>
  <si>
    <t>Machtkämpfe, ungelöste Mordfälle und Ketzerei - und das Geheimnis um ein Meisterstück der Kunst. Italien 1497. Ein anonymer Absender spielt dem Vatikan eine ungeheuerliche Information zu: Der berühmte Maler Leonardo da Vinci soll ketzterische Botschaften in seinem neuesten Gemälde "Das letzte Abendmahl", verstecken. Zudem häufen sich mysteriöse Todesfälle beim Kloster Santa Maria delle Grazie, wo Leonardo an seinem Fresko malt. Im Auftrag des Vatikans reist der Dominikanermönch Augustin Leyre unverzüglich nach Mailand, um Licht in die Angelegenheit zu bringen. Wird er das Geheimnis des Gemäldes entschlüsseln und Leonardo da Vinci der Ketzterei überführen?</t>
  </si>
  <si>
    <t>Klaus Hammerschmidt</t>
  </si>
  <si>
    <t>Kreuzworträtsellexikon - 400.000 Begriffe</t>
  </si>
  <si>
    <t>Bassermann</t>
  </si>
  <si>
    <t>9783809409724</t>
  </si>
  <si>
    <t>Agatha Christie</t>
  </si>
  <si>
    <t>16 Uhr 50 ab Paddington</t>
  </si>
  <si>
    <t>Weltbild</t>
  </si>
  <si>
    <t>Lizenzausgabe</t>
  </si>
  <si>
    <t>Die nette alte Mrs. McGillicuddy unternimmt eine Bahnfahrt und traut ihren Augen kaum. In einem vorbeifahrenden Zug muß sie beobachten, wie ein Mann eine wehrlose junge Frau erdrosselt. Rasch informiert sie die olizei. Diese kann der Aussage nicht recht Glauben schenken, denn bislang fand sich keine Spur von einer Leiche. Doch da ist immer noch Miss Marple. Als altte Freundin von Mrs. McGillicuddy und abenteuerlustige Kriminalistin entwirft sie einen Schlachtplan. Die Spur des Mörders führt zu einem verlassenen Bahndamm und dem Grundstück der exzentrischen Familie Crackenthorpe. Es gelingt Miss Marple, die resolute Lucy Eyelesbarrow als Haushälterin bei den Crackenthorpes einzuschmuggeln. Diese soll dort Augen und Ohren offen halten und macht in der Tat bald erschreckende Beobachtungen.</t>
  </si>
  <si>
    <t>4026411100531</t>
  </si>
  <si>
    <t>Rainer Dresen Anne Nina Schmid</t>
  </si>
  <si>
    <t>Kein Alkohol für Fische unter 16</t>
  </si>
  <si>
    <t>Highlights der Rechtsprechung
Die spektakulärsten Rechtsfälle, Klagen, Urteile und die kuriosesten Geschichten aus der Welt des Rechts. Ein Buch zwischen Schmerzensgeld und Schadenfreude, zwischen BGB und Bayrischer Verfassung, zwischen Gesetz und Richter, Kläger und Angeklagten. Mit großem juristischem Quiz</t>
  </si>
  <si>
    <t>9783809426998</t>
  </si>
  <si>
    <t>Richard Blank</t>
  </si>
  <si>
    <t>Das häusliche Glück</t>
  </si>
  <si>
    <t>Rogner &amp; Bernhard GmbH</t>
  </si>
  <si>
    <t>vollständiger Haushaltsunterricht nebst Anleitung zum kochen für Arbeiterfrauen</t>
  </si>
  <si>
    <t>falken + ohara</t>
  </si>
  <si>
    <t>BruceLees Kampfstil 1 Grundtechniken</t>
  </si>
  <si>
    <t>Falken</t>
  </si>
  <si>
    <t>Bruce Lee wurde zum Idol für eine ganze Generation von jungen Leuten. Meisterhafte Körperbeherrschung und ausgefeilte Technik waren Grundlage seiner Erfolge. Dieses Buch bietet die von Bruce Lee erprobten Anleitungen, um Körperkraft, Schnelligkeit, Ausdauer und Konzentrationsfähigkeit zu trainieren: der zielstrebige Weg zum erfolgreichen KungFu Kämpfer. Lees Schüler M. Uyehara hat das 1966 entstandene Buch ergänzt.</t>
  </si>
  <si>
    <t>3806804737</t>
  </si>
  <si>
    <t>Drolshagen, Ebba D; Elsässer, Regine</t>
  </si>
  <si>
    <t>Elche unterm Weihnachtsbaum Die schönsten Geschichten aus dem hohen Norden</t>
  </si>
  <si>
    <t>Die schönsten Weihnachtsgeschichten großer Skandinavischer Autoren, die besten Rezepte von "Glögg" bis "Risalamande" und endlich auch die Antwort auf die drängende Frage, wo genau der Weihnachtsmann wohnt: Diese stimmungsvolle Sammlung bietet alles, was man braucht, um nordische Weihnachten zu feiern. Das perfekte Buch für Skandinavien-Fans - sowie kleine und große Weihnachtsliebhaber.</t>
  </si>
  <si>
    <t>9783492259699</t>
  </si>
  <si>
    <t>Stephen Chbosky</t>
  </si>
  <si>
    <t>Vielleicht lieber morgen</t>
  </si>
  <si>
    <t>vgs</t>
  </si>
  <si>
    <t>Wir wissen nicht, an wen er schreibt. Aber wir wissen, warum: Charlie wird von einer geballten Ladung Leben erwischt. In Form von Liebes- und Familiendramen, Sex und Drogen, neuen Freunden und legendären Partys kommt es daher und will verarbeitet werden. In Briefen, die so sonderbar rührend wie gleichzeitig todtraurig und urkomisch sind. Mit vielleicht morgen hat Stephen Chbosky ein eindringliches Debüt geschrieben - von den wilden Tagen, an denen die großen Gefühle noch neu sind.</t>
  </si>
  <si>
    <t>9783802527357</t>
  </si>
  <si>
    <t>Luke Mockridge</t>
  </si>
  <si>
    <t>Mathe ist ein Arschloch</t>
  </si>
  <si>
    <t>Lappan</t>
  </si>
  <si>
    <t>Irgenwie war und ist die Schulzeit vor allem: lustig. Und seltsamerweise waren wir alle auf derselben Schule. Comedy-Star Luke Mockridge präsentiert uns die Mitschüler und die Lehrer, die es ÜBERALL gab: Die Heulsuse und den Möchtegern Checker, den Grapscher und die Mutti und und und...</t>
  </si>
  <si>
    <t>9783830334255</t>
  </si>
  <si>
    <t>9783809412267</t>
  </si>
  <si>
    <t>John und Caroline Bower</t>
  </si>
  <si>
    <t>Hunde Praxis</t>
  </si>
  <si>
    <t>Rat und Hilfe rund um den Hund
Der Hund ist das älteste Haustier. Er ist ein lebendiges Wesen, das seiner menschlichen Familie treu ergeben ist und einen Anspruch auf artgerechte Haltung und Zuwendung hat. Dieses Buch hilft Ihnen dabei. Es informiert ausführlich über: die richtige Ernährung des Hundes, Fell- und Nagelpflege, Reisen mit dem Hund, das Jagd- und Spielverhalten, Krankheiten und die richtige Behandlung, die wichtigsten Hunderassen mit ihren Wesensmerkmalen und vieles mehr. Zahlreiche Illustrationen, Frage- und Antworten-Rubriken, ausführliche Checklisten und Übersichten runden diesen umfassenden Ratgeber ab.</t>
  </si>
  <si>
    <t>Eugen Roth</t>
  </si>
  <si>
    <t>Ein Mensch Heitere Verse</t>
  </si>
  <si>
    <t>Carl Hanser</t>
  </si>
  <si>
    <t>Frank Coats</t>
  </si>
  <si>
    <t>Jenseits von Mombasa</t>
  </si>
  <si>
    <t>genehmigte Lizenzausgabe</t>
  </si>
  <si>
    <t>Im Jahr 1897 wird der Brite Ronald Preston mit einem schier unmöglichen Auftrag betraut: er soll eine Eisenbahnlienie von Mombasa an der Ostküste Afrikas bis zum Victoria See mitten in der Wildnis bauen. Seine junge Frau Florence besteht darauf, ihn zu begleiten, und kann sich anfangs nur schwer an das raue Leben gewöhnen. Doch schnell ist sie ebenso wie ihr Mann dem schwarzen Kontinent mit Haut und Haaren verfallen</t>
  </si>
  <si>
    <t>9783868000504</t>
  </si>
  <si>
    <t>Dieter Nuhr</t>
  </si>
  <si>
    <t>Wer's glaubt wird selig</t>
  </si>
  <si>
    <t>Der Glaube versetzt Berge…so sagt der Volksmund - und er hat unrecht, wie so oft. Richtig ist: Der Glaube macht, dass Menschen Horoskope lesen, sich in die Luft sprengen oder bei Vollmond Ochsen melken - wer's glaubt, wird selig. Dieter Nuhr ist an den Hinterausgang der Welt gereist: dem Glauben auf der Spur. Und er ist zu erschütternden Ergebnissen gekommen. Zwerchfellerschütternd!</t>
  </si>
  <si>
    <t>9783499622847</t>
  </si>
  <si>
    <t>R. L. Stine</t>
  </si>
  <si>
    <t>Der Ferienjob / Blutiges Casting</t>
  </si>
  <si>
    <t>Cora</t>
  </si>
  <si>
    <t>Der Ferienjob
Was führt Chrissy im Schilde? Auch während der Sommerferien muss Amanda für die Schule lernen. Deswegen stellen ihre Eltern Chrissy als Babysitter für Amandas Geschwister ein. Auf den ersten Blick scheint sie perfekt, doch Amanda traut ihr nicht. Und dann beobachtet sie etwas, das Beweis genug sein sollte, dass mit Chrissy etwas nicht stimmt - doch niemand glaubt Amanda
Blutiges Casting
Eine Modenschau im Kaufhaus ihres Vaters: Das ist Revas Chance. Wenn sie es schafft eine glamuröse Show zu organisieren, wird sie allein im Mittelpunkt der Aufmerksamkeit aller stehen. Doch plötzlich läuft nichts mehr wie es soll. Eine Reihe mysteriöser Mordfälle durchkreuzt Revas Pläne und schlielich muss sie selbst um ihr Leben fürchten</t>
  </si>
  <si>
    <t>4198042704997</t>
  </si>
  <si>
    <t>Alan Savage</t>
  </si>
  <si>
    <t>Die Herrin der Pagoden</t>
  </si>
  <si>
    <t>Indien, Mitte des 19. Jahrhunderts: Die aus Preußen stammende Angelika Hammond findet eine Anstellung als Hauslehrerin am Hofe des Fürsten von Jhansi. Vor allem zu der jungen Frau des Fürsten entwickelt sie eine innige Freundschaft. Als Angelika einen britischen Offizier kennen und lieben lernt, steht sie vor einer schweren Entscheidung, denn sie hat gelobt, den Palast des Fürsten fünf Jahre lang nicht zu verlassen. Die Ereignisse spitzen sich dramatisch zu, als die indischen Fürstentümer versuchen, die britische Herrschaft abzuschüttekn...</t>
  </si>
  <si>
    <t>9783404148622</t>
  </si>
  <si>
    <t>Craig Nova</t>
  </si>
  <si>
    <t>Der gute Sohn</t>
  </si>
  <si>
    <t>claassen</t>
  </si>
  <si>
    <t>3546471733</t>
  </si>
  <si>
    <t>Der kleine Bär am Meer</t>
  </si>
  <si>
    <t>Armin Täubner</t>
  </si>
  <si>
    <t>Heft/Zeitschrift</t>
  </si>
  <si>
    <t>Frech</t>
  </si>
  <si>
    <t>Fensterbilder aus Tonkarton</t>
  </si>
  <si>
    <t>3772417825</t>
  </si>
  <si>
    <t>BN0117</t>
  </si>
  <si>
    <t>BN0118</t>
  </si>
  <si>
    <t>BN0119</t>
  </si>
  <si>
    <t>BN0120</t>
  </si>
  <si>
    <t>BN0121</t>
  </si>
  <si>
    <t>BN0122</t>
  </si>
  <si>
    <t>BN0123</t>
  </si>
  <si>
    <t>BN0124</t>
  </si>
  <si>
    <t>BN0125</t>
  </si>
  <si>
    <t>BN0126</t>
  </si>
  <si>
    <t>BN0127</t>
  </si>
  <si>
    <t>BN0128</t>
  </si>
  <si>
    <t>BN0129</t>
  </si>
  <si>
    <t>BN0130</t>
  </si>
  <si>
    <t>BN0131</t>
  </si>
  <si>
    <t>BN0132</t>
  </si>
  <si>
    <t>BN0133</t>
  </si>
  <si>
    <t>BN0134</t>
  </si>
  <si>
    <t>BN0135</t>
  </si>
  <si>
    <t>BN0136</t>
  </si>
  <si>
    <t>BN0137</t>
  </si>
  <si>
    <t>BN0138</t>
  </si>
  <si>
    <t>BN0139</t>
  </si>
  <si>
    <t>BN0140</t>
  </si>
  <si>
    <t>Heinrich Hoffmann</t>
  </si>
  <si>
    <t>Der Struwwelpter</t>
  </si>
  <si>
    <t>Favorit</t>
  </si>
  <si>
    <t>Wenn die Kinder artig sind, Kommt zu Ihnen das Christkind; Wenn sie Ihre Suppe essen und das Brot auch nicht vergessen, wenn sie, ohne Lärm zu machen, Still sind bei den sieben Sachen, beim Spazierngehn auf den Gassen von Mama sich führen lassen, Bringt es Ihnen Gut's genug und ein schönes Bilderbuch</t>
  </si>
  <si>
    <t>9783822738412</t>
  </si>
  <si>
    <t>Leslie Andress</t>
  </si>
  <si>
    <t>Der Grosse Coup</t>
  </si>
  <si>
    <t>Moewig</t>
  </si>
  <si>
    <t>Das Große Ding wollte sie eigentlich gar nicht drehen. Doch dann hatte sie plötzlich für über drei Millionen Dollar Juwelen erbeutet. Und damit begann auch eine gnadenlose Jagd auf sie und ihre Helfer.</t>
  </si>
  <si>
    <t>3811861077</t>
  </si>
  <si>
    <t>Nina Rauprich</t>
  </si>
  <si>
    <t>Die sanften Riesen der Meere</t>
  </si>
  <si>
    <t>dtv junior</t>
  </si>
  <si>
    <t>9.</t>
  </si>
  <si>
    <t>Seit Generationen leben die Bewohner der portugiesischen Insel Madeira vom Walfang und auch der zwölfjährige Manuel möchte einmal Walfänger werden. Doch als er eines tages in Seenot gerät und von Delphinen zur Küste zurück getragen wird, beginnt er die Riesen der Meere mit ganz anderen Augen zu sehen. Zusammen mit der Meeresbiologin Petra kämpft er für die Einstellung des Walfangs vor der Insel.</t>
  </si>
  <si>
    <t>9783423702171</t>
  </si>
  <si>
    <t>Gute Besserung</t>
  </si>
  <si>
    <t>Eugen Roth, der große deutsche Humorist, ist ein Menschenkenner. Deshalb weiß er auch, wie sich der Mensch als Kranker und Patient benimmt. Mit röntgengleichem Blick nimmt Eugen Roth die vielen tatsächlichen und eingebildeten Leiden seiner Mitmenschen aufs Korn. Vom Blinddarm bis zum sonnenbrand, vom SChwindel bis zur Herzenspein stellt er seine heiter-ironischen Diagnose und nicht zum ersten Mal darf sich der Leser darüber freuen, daß Humor oft die beste Medizin ist. Hans Traxler hat die Kranken in vielen farbigen Bildern portätiert</t>
  </si>
  <si>
    <t>3896047760</t>
  </si>
  <si>
    <t>Finke, Gisela/ Schweizer, Ursula/ Wiedemann, Bernhard</t>
  </si>
  <si>
    <t>Wissen für Kinder - Der Mensch</t>
  </si>
  <si>
    <t>Naumann &amp; Göbel Verlagsgesellschaft</t>
  </si>
  <si>
    <t>personalisiert, Adresse des Vorbesitzers
Der Aufbau und die Funktionsweise des Körpers, seine Organe vom Herzen bis zur Haut, Sinne, Nerven und Gehirn, Gesundheitsvorsorge und Medizin - all diese Themen werden in kurzen Fragen und klaren Antworten für Kinder und Jugendliche verständlich erklärt</t>
  </si>
  <si>
    <t>9783625113898</t>
  </si>
  <si>
    <t>Markus R. Hartmann</t>
  </si>
  <si>
    <t>Das Delfin-Symbol</t>
  </si>
  <si>
    <t>G&amp;G</t>
  </si>
  <si>
    <t>Maxine Weaver findet an einem Strand auf Hawaii einen Delfin. Unter einer Flosse entdeckt sie ein rästelhaftes Symbol. Fast zur gleichen Zeit finden David Stanford und Mike Mitchell auf dem Heimweg von der Schule einen Stein. An sich nichts ungewöhnliches, doch der Stein ist für seine Größe schwer, wirklich schwer. Die beiden schleppen den Stein zu David nach Hause, wo Davids Vater ein Experiment mit dem Fundstück durchführt, das außer Kontrolle gerät - Peter Stanford wird zum Magnetator. Ein unglaubliches Abenteuer beginnt. David lernt neue Freunde kennen und das Symbol auf dem Delfin bringt sie auf die Spur einer unheimlichen Sache, die sie bis ins Erdinnere führt...</t>
  </si>
  <si>
    <t>9783707402292</t>
  </si>
  <si>
    <t>Tad Williams</t>
  </si>
  <si>
    <t>Der Drachenbein Thron</t>
  </si>
  <si>
    <t>5.</t>
  </si>
  <si>
    <t>S. Fischer</t>
  </si>
  <si>
    <t>Geheimnis und Abenteuer in einer Welt voller Zauber und Magie</t>
  </si>
  <si>
    <t>3810523135</t>
  </si>
  <si>
    <t>Santa Montefiore</t>
  </si>
  <si>
    <t>Der Geisterbaum</t>
  </si>
  <si>
    <t>Als junges Mädchen glaubt Sofia Solanas, verwöhnte Tochter einer argentinischen Großgrundbesitzerfamilie, fest an die magischen Kräfte des Ombu-Baums. In seine Rinde ritzt sie ihre geheimsten Wünsche, im Schatten seiner Äste findet sie ihre große Liebe. Doch der Mann, den sie sich erwählt hat, ist nicht der Richtige für sie...</t>
  </si>
  <si>
    <t>9783426623947</t>
  </si>
  <si>
    <t>Michael Moore</t>
  </si>
  <si>
    <t>Stupid White Men</t>
  </si>
  <si>
    <t>Penguin Books</t>
  </si>
  <si>
    <t>9780141019871</t>
  </si>
  <si>
    <t>Dr. Roman Leuthner</t>
  </si>
  <si>
    <t>Nackt duschen streng verboten</t>
  </si>
  <si>
    <t>Ab in den Paragraphendschungel! Dieses Buch ist eine wahre Fundgrube an Gesetzen aus aller Welt, die selbigen (meist) nicht braucht, die aber umso unterhaltsamer sind und Ihnen helfen, jeder Small-Talk Runde die richtige Würze zu verleihen</t>
  </si>
  <si>
    <t>9783809421849</t>
  </si>
  <si>
    <t>Joy Fielding</t>
  </si>
  <si>
    <t>The Wild Zone</t>
  </si>
  <si>
    <t xml:space="preserve">Simon &amp; Schuster </t>
  </si>
  <si>
    <t>9781847393630</t>
  </si>
  <si>
    <t>Eichendorff, Joseph von</t>
  </si>
  <si>
    <t>Aus dem Leben eines Taugenichts</t>
  </si>
  <si>
    <t>Kein andres Volk hat so ein Buch. Ein Buch aber, in dem sich vor einem, auf wenigen Blättern und mit der Naivität eines Märchens, die tiefsten Seiten des Lebens erschließen, ein solches Buch muß was Apartes sein.</t>
  </si>
  <si>
    <t>9783423083140</t>
  </si>
  <si>
    <t>Corinne Hofmann</t>
  </si>
  <si>
    <t>Wiedersehen in Barsaloi</t>
  </si>
  <si>
    <t>Die bewegende Rückkehr ins Land der Massai</t>
  </si>
  <si>
    <t>9783426778937</t>
  </si>
  <si>
    <t>Dean Koontz</t>
  </si>
  <si>
    <t>Dunkle Flüsse des Herzens</t>
  </si>
  <si>
    <t>- MÄNGELEXEMPLAR -</t>
  </si>
  <si>
    <t>9783404139293</t>
  </si>
  <si>
    <t>Harder, Gustav, Susi Harder und Sigi Sirtl</t>
  </si>
  <si>
    <t>Skitrockentraining</t>
  </si>
  <si>
    <t>Heyne</t>
  </si>
  <si>
    <t>3453415000</t>
  </si>
  <si>
    <t>Christopher Moore</t>
  </si>
  <si>
    <t>Die Bibel nach Biff</t>
  </si>
  <si>
    <t>Im Buch der Bücher fehlen einige Kapitel: Unter den wachsamen Augen von Engel Raziel soll Biff diese Lücke füllen und alles über die Kindheit und die turbulente Jugend von Jesus Christus berichten. Biff ist der einzige glaubwürdige Zeuge dieser Zeit, schließlich ist er in all den Jahren Jesus' bester Freund gewesen und stand ihm schon zur Seite, als dieser noch versuchte, vertrocknete Eidechsen zum Leben zu erwecken ...</t>
  </si>
  <si>
    <t>9783442541829</t>
  </si>
  <si>
    <t>Pascal Mercier</t>
  </si>
  <si>
    <t>Nachtzug mach Lissabon</t>
  </si>
  <si>
    <t>Softcover</t>
  </si>
  <si>
    <t>9783828991408</t>
  </si>
  <si>
    <t>Almuth Link</t>
  </si>
  <si>
    <t>Die Klavierstimmerin</t>
  </si>
  <si>
    <t>Societäts</t>
  </si>
  <si>
    <t>Der Schutzumschlag hat ziemlich gelitten, Das Buch als solches ist in einem Top Zustand</t>
  </si>
  <si>
    <t>9783797309013</t>
  </si>
  <si>
    <t>Eric Laurent</t>
  </si>
  <si>
    <t>Die Kriege der Familie Bush</t>
  </si>
  <si>
    <t>9783100448507</t>
  </si>
  <si>
    <t>9783499236112</t>
  </si>
  <si>
    <t>Petra Oelker</t>
  </si>
  <si>
    <t>Die kleine Madonna</t>
  </si>
  <si>
    <t>Beverly Jensen</t>
  </si>
  <si>
    <t>Die Hummerschwestern</t>
  </si>
  <si>
    <t>btb</t>
  </si>
  <si>
    <t>9783442744039</t>
  </si>
  <si>
    <t>Jürgen Seidel</t>
  </si>
  <si>
    <t>Die hundert Leben der Lilly Cavalconti</t>
  </si>
  <si>
    <t>Gulliver</t>
  </si>
  <si>
    <t>Sehr guter Zustand</t>
  </si>
  <si>
    <t>9783407741967</t>
  </si>
  <si>
    <t>Ben C. Fletcher Karen Pine Danny Penman</t>
  </si>
  <si>
    <t>Die Keine Diät Diät</t>
  </si>
  <si>
    <t>9783453120624</t>
  </si>
  <si>
    <t>Barbara Wood</t>
  </si>
  <si>
    <t>Die Prophetin</t>
  </si>
  <si>
    <t>Krüger</t>
  </si>
  <si>
    <t>9783828970601</t>
  </si>
  <si>
    <t>BN0141</t>
  </si>
  <si>
    <t>BN0142</t>
  </si>
  <si>
    <t>Dominique Manotti</t>
  </si>
  <si>
    <t>Letzte Schicht</t>
  </si>
  <si>
    <t>Argument</t>
  </si>
  <si>
    <t>9783867541886</t>
  </si>
  <si>
    <t>Frank Schätzing</t>
  </si>
  <si>
    <t>Lautlos</t>
  </si>
  <si>
    <t>9783442459223</t>
  </si>
  <si>
    <t>p. d. James</t>
  </si>
  <si>
    <t>Im Saal der Mörder</t>
  </si>
  <si>
    <t>Knaur</t>
  </si>
  <si>
    <t>- MÄNGELEXEMPLAR -
ansonsten perfekter Zustand</t>
  </si>
  <si>
    <t>BN0143</t>
  </si>
  <si>
    <t>BN0144</t>
  </si>
  <si>
    <t>BN0145</t>
  </si>
  <si>
    <t>BN0146</t>
  </si>
  <si>
    <t>BN0147</t>
  </si>
  <si>
    <t>BN0148</t>
  </si>
  <si>
    <t>BN0149</t>
  </si>
  <si>
    <t>BN0150</t>
  </si>
  <si>
    <t>BN0151</t>
  </si>
  <si>
    <t>BN0152</t>
  </si>
  <si>
    <t>BN0153</t>
  </si>
  <si>
    <t>BN0154</t>
  </si>
  <si>
    <t>BN0155</t>
  </si>
  <si>
    <t>BN0156</t>
  </si>
  <si>
    <t>BN0157</t>
  </si>
  <si>
    <t>BN0158</t>
  </si>
  <si>
    <t>BN0159</t>
  </si>
  <si>
    <t>BN0160</t>
  </si>
  <si>
    <t>BN0161</t>
  </si>
  <si>
    <t>BN0162</t>
  </si>
  <si>
    <t>BN0163</t>
  </si>
  <si>
    <t>BN0164</t>
  </si>
  <si>
    <t>BN0165</t>
  </si>
  <si>
    <t>BN0166</t>
  </si>
  <si>
    <t>BN0167</t>
  </si>
  <si>
    <t>BN0168</t>
  </si>
  <si>
    <t>BN0169</t>
  </si>
  <si>
    <t>BN0170</t>
  </si>
  <si>
    <t>BN0171</t>
  </si>
  <si>
    <t>BN0172</t>
  </si>
  <si>
    <t>BN0173</t>
  </si>
  <si>
    <t>BN0174</t>
  </si>
  <si>
    <t>342662933X</t>
  </si>
  <si>
    <t>Birgit van Damsen</t>
  </si>
  <si>
    <t>Lustige Reiterspiele mit Cadmolino</t>
  </si>
  <si>
    <t>Cadmos</t>
  </si>
  <si>
    <t>Hardcover</t>
  </si>
  <si>
    <t>Zustand wie neu, lediglich auf Seite 30 wurde das Rätsel mit Bleistift versucht zu lösen, lässt sich sicher ausradieren</t>
  </si>
  <si>
    <t>9783861270430</t>
  </si>
  <si>
    <t>Siv Bublitz und Heidemarie Sinowsk</t>
  </si>
  <si>
    <t>Rowohl Lesebuch der Freundschaft</t>
  </si>
  <si>
    <t>Rowohlt</t>
  </si>
  <si>
    <t>leicht angegilbte Seiten, ansonsten sehr guter Zustand</t>
  </si>
  <si>
    <t>9783499131004</t>
  </si>
  <si>
    <t>Clifford Stoll</t>
  </si>
  <si>
    <t>Warum Computer nichts im Klassenzimmer zu suchen haben und andere High-Tech-Ketzereien</t>
  </si>
  <si>
    <t>leichte gebrauchsspuren an den Außenseiten, sonst sehr guter Zustand</t>
  </si>
  <si>
    <t>9783100402202</t>
  </si>
  <si>
    <t>Emily Bold</t>
  </si>
  <si>
    <t>Lichtblaue Sommernächte</t>
  </si>
  <si>
    <t>Ullstein</t>
  </si>
  <si>
    <t>- MÄNGELEXEMPLAR- ansonsten sehr guter Zustand</t>
  </si>
  <si>
    <t>9783548287065</t>
  </si>
  <si>
    <t>Monika Brenz-Rickert</t>
  </si>
  <si>
    <t>LowFat 30 für Berüfstätige</t>
  </si>
  <si>
    <t>broschürt</t>
  </si>
  <si>
    <t xml:space="preserve">leichte Gebrauchsspuren  </t>
  </si>
  <si>
    <t>9783806823776</t>
  </si>
  <si>
    <t>Ángela Becerra</t>
  </si>
  <si>
    <t>Länger als ein Leben</t>
  </si>
  <si>
    <t>Club</t>
  </si>
  <si>
    <t>Äußere Ränder leicht gelbfärbung, ansonsten sehr guter Zustand</t>
  </si>
  <si>
    <t>Patricia Cornwell</t>
  </si>
  <si>
    <t>Insel der Rebellen</t>
  </si>
  <si>
    <t>- MÄNGELEXEMPLAR -ansonsten perfekter Zustand</t>
  </si>
  <si>
    <t>9783442454341</t>
  </si>
  <si>
    <t>Gita Mehta</t>
  </si>
  <si>
    <t>Narmada oder Geschichten vom menschlichen Herzen</t>
  </si>
  <si>
    <t>Droemer Knaur</t>
  </si>
  <si>
    <t>Sehr guter Zustand, riecht aber ein bisschen</t>
  </si>
  <si>
    <t>3426193191</t>
  </si>
  <si>
    <t>Kitty Ray</t>
  </si>
  <si>
    <t>Nells Geheimer Garten</t>
  </si>
  <si>
    <t>leichte Gebrauchsspuren an den Äußeren Rändern</t>
  </si>
  <si>
    <t>9783955690724</t>
  </si>
  <si>
    <t>Im Koma</t>
  </si>
  <si>
    <t>einmalige Sonderausgabe</t>
  </si>
  <si>
    <t xml:space="preserve">Sehr guter Zustand </t>
  </si>
  <si>
    <t>9783442478002</t>
  </si>
  <si>
    <t>Ebert/Ehses/Foerster/Otto</t>
  </si>
  <si>
    <t>Lehrbuch für den Werkschutz und andere private Sicherheitseinrichtungen</t>
  </si>
  <si>
    <t>Boorberg</t>
  </si>
  <si>
    <t>personaliesiert mit Namen
leichte Gebrauchsspuren auf dem Hardcover 'Dellen klein' ansonsten Zustand wie neu</t>
  </si>
  <si>
    <t>3415022064</t>
  </si>
  <si>
    <t>Martin Cruz Smith</t>
  </si>
  <si>
    <t>Nacht in Havanna</t>
  </si>
  <si>
    <t>C. Bertelsmann</t>
  </si>
  <si>
    <t>- MÄNGELEXEMPLAR -  ansonsten wie neu</t>
  </si>
  <si>
    <t>357000077x</t>
  </si>
  <si>
    <t>Kenneth Clark</t>
  </si>
  <si>
    <t>Leonardo da Vinci in Selbstzeugnissen und Bilddokumenten</t>
  </si>
  <si>
    <t>Altersbedingte Verfärbungen der Seiten, ansonsten Sehr guter Zustand</t>
  </si>
  <si>
    <t>Andrea Claßen</t>
  </si>
  <si>
    <t>Lauter Männer zum verlieben</t>
  </si>
  <si>
    <t>Schöffling &amp; Co.</t>
  </si>
  <si>
    <t>leichte Gebrauchsspuren am Schutzumschlag</t>
  </si>
  <si>
    <t>3895612006</t>
  </si>
  <si>
    <t>Philipp Möller</t>
  </si>
  <si>
    <t>isch geh Schulhof</t>
  </si>
  <si>
    <t>11.</t>
  </si>
  <si>
    <t>leichte Abriebspuren an der Unterseite</t>
  </si>
  <si>
    <t>9783404606962</t>
  </si>
  <si>
    <t>Andrea Sixt</t>
  </si>
  <si>
    <t>Noch einmal Lieben</t>
  </si>
  <si>
    <t>leichte Gebrauchsspuren</t>
  </si>
  <si>
    <t>9783442142149</t>
  </si>
  <si>
    <t>9783940487797</t>
  </si>
  <si>
    <t>Sandy Curtis</t>
  </si>
  <si>
    <t>Im Meer der Furcht</t>
  </si>
  <si>
    <t>Lübbe</t>
  </si>
  <si>
    <t>Das Cover hat einige Gebrauchsspuren</t>
  </si>
  <si>
    <t>9783492227216</t>
  </si>
  <si>
    <t>Stephan Lawhead</t>
  </si>
  <si>
    <t>In der Halle des Drachenkönigs</t>
  </si>
  <si>
    <t>Christian Jacq</t>
  </si>
  <si>
    <t>Ramses im Schatten der Akazie Band 5</t>
  </si>
  <si>
    <t>8.</t>
  </si>
  <si>
    <t>9783499224751</t>
  </si>
  <si>
    <t>Lena Gorelik</t>
  </si>
  <si>
    <t>Null bis unendlich</t>
  </si>
  <si>
    <t>persönlich Widmung der Autorin
"Für Elli Lena Gorelik"
leichte Gebrauchsspuren am Schutzumschlag</t>
  </si>
  <si>
    <t>9783871348068</t>
  </si>
  <si>
    <t>Hubertus Hufnagel</t>
  </si>
  <si>
    <t>Nichts Schlimmes? Das Handbuch der alltäglichen Symbtome und der schrecklichen Krankheiten, die dahinter stecken</t>
  </si>
  <si>
    <t>3548365841</t>
  </si>
  <si>
    <t>Erma Bombeck</t>
  </si>
  <si>
    <t>Nur der Pudding hört mein Seufzen</t>
  </si>
  <si>
    <t>Gustav Lübbe</t>
  </si>
  <si>
    <t>Schutzumschlag leichte beschädigungen, Außenseiten weisen unschöne Flecken auf</t>
  </si>
  <si>
    <t>Edward Rutherfurd</t>
  </si>
  <si>
    <t>Russka</t>
  </si>
  <si>
    <t>deutliche Gebrauchsspuren am Schutzumschlag
Seiten vergilbt</t>
  </si>
  <si>
    <t>9783828967236</t>
  </si>
  <si>
    <t>Frederic Vester</t>
  </si>
  <si>
    <t>Neuland des Denkens Vom technokratischen zum kybernetischen Zeitalter</t>
  </si>
  <si>
    <t>DVA</t>
  </si>
  <si>
    <t>deutliche Gebrauchsspuren Schutzumschlag
minimalste Gebrauchsspuren am restlichen Buch
Ohne Schutzumschlag fast wie neu</t>
  </si>
  <si>
    <t>342102703x</t>
  </si>
  <si>
    <t>Christine Brückner</t>
  </si>
  <si>
    <t>Nirgendwo ist Poenichen</t>
  </si>
  <si>
    <t>9783548239798</t>
  </si>
  <si>
    <t>Gerda van Erkel</t>
  </si>
  <si>
    <t>Nachtfalter</t>
  </si>
  <si>
    <t>Schneider</t>
  </si>
  <si>
    <t>9783505109966</t>
  </si>
  <si>
    <t>personalisierte Geburtstagsgrüße
"Herzlichen Glückwunsch zu deinem Geburtstag wünscht dir Joachim"
ansonsten leichte Gebrauchspuren an den Ecken vom Hardcover</t>
  </si>
  <si>
    <t>Tanja Griesel</t>
  </si>
  <si>
    <t>Nur eine Prise Mord</t>
  </si>
  <si>
    <t>Blank</t>
  </si>
  <si>
    <t>an der Unterseite befindet sich ein schmaler schwarzer Streifen
die Buchecken des Covers sind geknickt</t>
  </si>
  <si>
    <t>9783947690343</t>
  </si>
  <si>
    <t>Asa Larsson</t>
  </si>
  <si>
    <t>Sonnensturm</t>
  </si>
  <si>
    <t>10.</t>
  </si>
  <si>
    <t>9783442736003</t>
  </si>
  <si>
    <t>Jerry Spinelli</t>
  </si>
  <si>
    <t>Taubenjagd</t>
  </si>
  <si>
    <t>9783423706612</t>
  </si>
  <si>
    <t>Naomi Humphrey</t>
  </si>
  <si>
    <t>Der innere Weg - Selbsterfahrung durch Meditation</t>
  </si>
  <si>
    <t>Econ</t>
  </si>
  <si>
    <t>Seiten vergilbt</t>
  </si>
  <si>
    <t>9783612230171</t>
  </si>
  <si>
    <t>Kate Morton</t>
  </si>
  <si>
    <t>Der verborgene Garten</t>
  </si>
  <si>
    <t>Diana</t>
  </si>
  <si>
    <t>leicht vergilbte Seiten</t>
  </si>
  <si>
    <t>9783453354760</t>
  </si>
  <si>
    <t>BN0175</t>
  </si>
  <si>
    <t>BN0176</t>
  </si>
  <si>
    <t>BN0177</t>
  </si>
  <si>
    <t>BN0178</t>
  </si>
  <si>
    <t>BN0179</t>
  </si>
  <si>
    <t>BN0180</t>
  </si>
  <si>
    <t>BN0181</t>
  </si>
  <si>
    <t>BN0182</t>
  </si>
  <si>
    <t>BN0183</t>
  </si>
  <si>
    <t>BN0184</t>
  </si>
  <si>
    <t>BN0185</t>
  </si>
  <si>
    <t>BN0186</t>
  </si>
  <si>
    <t>BN0187</t>
  </si>
  <si>
    <t>BN0188</t>
  </si>
  <si>
    <t>BN0189</t>
  </si>
  <si>
    <t>BN0190</t>
  </si>
  <si>
    <t>BN0191</t>
  </si>
  <si>
    <t>BN0192</t>
  </si>
  <si>
    <t>BN0193</t>
  </si>
  <si>
    <t>BN0194</t>
  </si>
  <si>
    <t>BN0195</t>
  </si>
  <si>
    <t>BN0196</t>
  </si>
  <si>
    <t>Die fernen Stunden</t>
  </si>
  <si>
    <t>9783453356566</t>
  </si>
  <si>
    <t>Sarah Ockler</t>
  </si>
  <si>
    <t>Der Geschmack des Sommers</t>
  </si>
  <si>
    <t>cbt</t>
  </si>
  <si>
    <t>9783570309070</t>
  </si>
  <si>
    <t>- MÄNGELEXEMPLAR - ansonsten wie neu</t>
  </si>
  <si>
    <t>Charlotte Link</t>
  </si>
  <si>
    <t>Der Beobachter</t>
  </si>
  <si>
    <t>leichte Gebrauchsspuren, wurde einige male gelesen</t>
  </si>
  <si>
    <t>9783442367269</t>
  </si>
  <si>
    <t>Heinz Rox-Schulz</t>
  </si>
  <si>
    <t>Der Ruf des Condor</t>
  </si>
  <si>
    <t>3505072915</t>
  </si>
  <si>
    <t>Cover hat deutliche Gebrauchsspuren + die erste Seite wurde die untere Rechte Ecke herausgetrennt, ansonsten im guten Zustand</t>
  </si>
  <si>
    <t>Francois Lelord</t>
  </si>
  <si>
    <t>Im Durcheinander der Liebe</t>
  </si>
  <si>
    <t>9783492254847</t>
  </si>
  <si>
    <t>Wolf Serno</t>
  </si>
  <si>
    <t>Der Puppenkönig</t>
  </si>
  <si>
    <t>9783868000207</t>
  </si>
  <si>
    <t>Wolfgang Hohlbein</t>
  </si>
  <si>
    <t>Der Magier - Das Tor ins Nichts</t>
  </si>
  <si>
    <t>tosa</t>
  </si>
  <si>
    <t>noch Original eingeschweist</t>
  </si>
  <si>
    <t>9783854929536</t>
  </si>
  <si>
    <t>Yves Aubin</t>
  </si>
  <si>
    <t>Der Sandelholz Palast</t>
  </si>
  <si>
    <t>Limes</t>
  </si>
  <si>
    <t>3809024783</t>
  </si>
  <si>
    <t>Sean Williams</t>
  </si>
  <si>
    <t>Spiegelzwillinge</t>
  </si>
  <si>
    <t>Otherworld</t>
  </si>
  <si>
    <t>9783800095070</t>
  </si>
  <si>
    <t>Janko Lavrin</t>
  </si>
  <si>
    <t>Dostojevskij</t>
  </si>
  <si>
    <t>Wolfram Hänel</t>
  </si>
  <si>
    <t>Die wilden Ponys von Dublin</t>
  </si>
  <si>
    <t>anrich</t>
  </si>
  <si>
    <t>maginale Gebrauchsspuren</t>
  </si>
  <si>
    <t>9783891064023</t>
  </si>
  <si>
    <t>Dr. Wilhelm Glenk Dr. Sven Neu</t>
  </si>
  <si>
    <t>Enzyme - Die Bausteine des Lebens</t>
  </si>
  <si>
    <t>9783453047778</t>
  </si>
  <si>
    <t>James Kahn</t>
  </si>
  <si>
    <t>Krieg der Sterne - Die Rückkehr der Jedi-Ritter</t>
  </si>
  <si>
    <t>3442066395</t>
  </si>
  <si>
    <t>Bo Sanders</t>
  </si>
  <si>
    <t>Die Maya Prophezeihung</t>
  </si>
  <si>
    <t>9783492273824</t>
  </si>
  <si>
    <t>Catherine Jinks</t>
  </si>
  <si>
    <t>Die Geisterschrift</t>
  </si>
  <si>
    <t>3312009618</t>
  </si>
  <si>
    <t>3828972675</t>
  </si>
  <si>
    <t>Dagmar Trodler</t>
  </si>
  <si>
    <t>Die Waldgräfin</t>
  </si>
  <si>
    <t>Schutzumschlag fehlt</t>
  </si>
  <si>
    <t>R. L. Wing</t>
  </si>
  <si>
    <t>Die Strategie der Sieger</t>
  </si>
  <si>
    <t>Seiten vergilbt, sonstiger Zustand gut</t>
  </si>
  <si>
    <t>9783426042267</t>
  </si>
  <si>
    <t>Jonas Jonasson</t>
  </si>
  <si>
    <t>Die Analphabetin, die rechnen konnte</t>
  </si>
  <si>
    <t>carl's books</t>
  </si>
  <si>
    <t>Außenseiten leicht verschmutzt</t>
  </si>
  <si>
    <t>9783570585122</t>
  </si>
  <si>
    <t>Frederik Berger</t>
  </si>
  <si>
    <t>Die Provencalin</t>
  </si>
  <si>
    <t>AtV</t>
  </si>
  <si>
    <t>7.</t>
  </si>
  <si>
    <t>9783746615998</t>
  </si>
  <si>
    <t>Diccionario Básico Alemán</t>
  </si>
  <si>
    <t>Langenscheidt</t>
  </si>
  <si>
    <t>deutsch/spanisch</t>
  </si>
  <si>
    <t>9783468961076</t>
  </si>
  <si>
    <t>Terry Brooks</t>
  </si>
  <si>
    <t>Die Verfolgten von Shannara</t>
  </si>
  <si>
    <t>9783442245727</t>
  </si>
  <si>
    <t>- MÄNGELEXEMPLAR -
sonstiger Zustand sehr gut</t>
  </si>
  <si>
    <t>Stephanie Tromly</t>
  </si>
  <si>
    <t>Digby</t>
  </si>
  <si>
    <t>Oetinger</t>
  </si>
  <si>
    <t>unverkäufliches Leseexemplar</t>
  </si>
  <si>
    <t>9783789148095</t>
  </si>
  <si>
    <t>Die Mission des Wanderchirurgen</t>
  </si>
  <si>
    <t>9783426639221</t>
  </si>
  <si>
    <t>BN0197</t>
  </si>
  <si>
    <t>BN0198</t>
  </si>
  <si>
    <t>BN0199</t>
  </si>
  <si>
    <t>BN0200</t>
  </si>
  <si>
    <t>BN0201</t>
  </si>
  <si>
    <t>BN0202</t>
  </si>
  <si>
    <t>BN0203</t>
  </si>
  <si>
    <t>BN0204</t>
  </si>
  <si>
    <t>BN0205</t>
  </si>
  <si>
    <t>BN0206</t>
  </si>
  <si>
    <t>BN0207</t>
  </si>
  <si>
    <t>BN0208</t>
  </si>
  <si>
    <t>BN0209</t>
  </si>
  <si>
    <t>BN0210</t>
  </si>
  <si>
    <t>BN0211</t>
  </si>
  <si>
    <t>BN0212</t>
  </si>
  <si>
    <t>BN0213</t>
  </si>
  <si>
    <t>BN0214</t>
  </si>
  <si>
    <t>BN0215</t>
  </si>
  <si>
    <t>BN0216</t>
  </si>
  <si>
    <t>BN0217</t>
  </si>
  <si>
    <t>BN0218</t>
  </si>
  <si>
    <t>BN0220</t>
  </si>
  <si>
    <t>BN0221</t>
  </si>
  <si>
    <t>BN0222</t>
  </si>
  <si>
    <t>BN0223</t>
  </si>
  <si>
    <t>BN0224</t>
  </si>
  <si>
    <t>Elle G. White</t>
  </si>
  <si>
    <t>Die grossen Fünf - Wie die Reformation die Welt verändert</t>
  </si>
  <si>
    <t>9783906309132</t>
  </si>
  <si>
    <t>Clara Salaman</t>
  </si>
  <si>
    <t>Die Stille über dem Wasser</t>
  </si>
  <si>
    <t>9783492302234</t>
  </si>
  <si>
    <t>John T. Lescroart</t>
  </si>
  <si>
    <t>Die Anhörung</t>
  </si>
  <si>
    <t>Seiten leicht vergilbt</t>
  </si>
  <si>
    <t>9783453211377</t>
  </si>
  <si>
    <t>Celia Friedman</t>
  </si>
  <si>
    <t>Die Seelenjägerin</t>
  </si>
  <si>
    <t>9783492701341</t>
  </si>
  <si>
    <t>Petra Hammesfahr</t>
  </si>
  <si>
    <t>Seine große Liebe</t>
  </si>
  <si>
    <t>9783499240348</t>
  </si>
  <si>
    <t>Amy Tan</t>
  </si>
  <si>
    <t>Töchter des Himmels</t>
  </si>
  <si>
    <t>alterbedingte Gebrauchsspuren, ansonsten wie neu</t>
  </si>
  <si>
    <t>9783442096480</t>
  </si>
  <si>
    <t>Cynthia Harrod-Eagles</t>
  </si>
  <si>
    <t>Lügen, verdammte Lügen</t>
  </si>
  <si>
    <t xml:space="preserve">dtv  </t>
  </si>
  <si>
    <t>ehemaliges Büchereibuch, entsprechende Aufkleber vorhanden</t>
  </si>
  <si>
    <t>9783423210072</t>
  </si>
  <si>
    <t>Werner Sudendorf</t>
  </si>
  <si>
    <t>Marlene Dietrich</t>
  </si>
  <si>
    <t>dtv portrait</t>
  </si>
  <si>
    <t>9783423310536</t>
  </si>
  <si>
    <t>Gina Mayer</t>
  </si>
  <si>
    <t>Mörderkind</t>
  </si>
  <si>
    <t>9783473584642</t>
  </si>
  <si>
    <t>Die weiße Massai</t>
  </si>
  <si>
    <t>9783426614969</t>
  </si>
  <si>
    <t>Jane Heller</t>
  </si>
  <si>
    <t>Die Putzteufelin</t>
  </si>
  <si>
    <t>9783442430659</t>
  </si>
  <si>
    <t>Carlton Stowers</t>
  </si>
  <si>
    <t>Eine Demütigung zuviel</t>
  </si>
  <si>
    <t>9783860476635</t>
  </si>
  <si>
    <t>Caroline Llewellyn</t>
  </si>
  <si>
    <t>Ein trügerisches Bild</t>
  </si>
  <si>
    <t>altersbedingte Gebrauchsspuren</t>
  </si>
  <si>
    <t>9783442724932</t>
  </si>
  <si>
    <t>22.</t>
  </si>
  <si>
    <t>Doris Lessing</t>
  </si>
  <si>
    <t>Die Sirianischen Versuche</t>
  </si>
  <si>
    <t>Fischer</t>
  </si>
  <si>
    <t>ehemaliges Büchereibuch, entsprechende Aufkleber vorhanden
altersbedingte Gebrauchsspuren</t>
  </si>
  <si>
    <t>3100439082</t>
  </si>
  <si>
    <t>Sabine Ebert</t>
  </si>
  <si>
    <t>Die Spur der Hebamme</t>
  </si>
  <si>
    <t>9783828997073</t>
  </si>
  <si>
    <t>Gaetano Donizetti</t>
  </si>
  <si>
    <t>Lucia von Lammermoor</t>
  </si>
  <si>
    <t>3150037956</t>
  </si>
  <si>
    <t>Maybrit Illner Ingke Brodersen</t>
  </si>
  <si>
    <t>Ente auf Sendung</t>
  </si>
  <si>
    <t>3421057516</t>
  </si>
  <si>
    <t>Ray Müller</t>
  </si>
  <si>
    <t>Ein Traum von Afrika</t>
  </si>
  <si>
    <t>9783828997141</t>
  </si>
  <si>
    <t>Der Hundertjährige, der aus dem Fenster stieg und verschwand</t>
  </si>
  <si>
    <t>9783442744923</t>
  </si>
  <si>
    <t>9783570585016</t>
  </si>
  <si>
    <t>36.</t>
  </si>
  <si>
    <t>54.</t>
  </si>
  <si>
    <t>Judith Lennox</t>
  </si>
  <si>
    <t>Der italienische Geliebte</t>
  </si>
  <si>
    <t>9783492274654</t>
  </si>
  <si>
    <t>Ein Mann im Heuhaufen</t>
  </si>
  <si>
    <t>9783442366545</t>
  </si>
  <si>
    <t>Sam Mills</t>
  </si>
  <si>
    <t>Eine schöne Art zu sterben</t>
  </si>
  <si>
    <t>universo</t>
  </si>
  <si>
    <t>9783869972459</t>
  </si>
  <si>
    <t>Lisa Scottoline</t>
  </si>
  <si>
    <t>Moment of Truth</t>
  </si>
  <si>
    <t>Harper Collins</t>
  </si>
  <si>
    <t>9780060196097</t>
  </si>
  <si>
    <t>Loriot</t>
  </si>
  <si>
    <t>Der Weg zum Erfolg</t>
  </si>
  <si>
    <t>Diogenes</t>
  </si>
  <si>
    <t>personalisierte Geburtstagsgrüße
"30.06.1995 Alles Liebe zum Geburtstag…und ein paar gute Tips können ja nie schaden… Britta und Holger"
ansonsten wie neu</t>
  </si>
  <si>
    <t>9783257006704</t>
  </si>
  <si>
    <t>Diana Dreeßen</t>
  </si>
  <si>
    <t>Mach dich unbeliebt und glücklich und nimm dir vom Leben, was du willst</t>
  </si>
  <si>
    <t>dtv premium</t>
  </si>
  <si>
    <t>kaum Gebrauchsspuren, wie neu</t>
  </si>
  <si>
    <t>9783423260503</t>
  </si>
  <si>
    <t>BN0225</t>
  </si>
  <si>
    <t>BN0226</t>
  </si>
  <si>
    <t>BN0227</t>
  </si>
  <si>
    <t>BN0228</t>
  </si>
  <si>
    <t>BN0229</t>
  </si>
  <si>
    <t>BN0230</t>
  </si>
  <si>
    <t>BN0231</t>
  </si>
  <si>
    <t>BN0232</t>
  </si>
  <si>
    <t>BN0233</t>
  </si>
  <si>
    <t>BN0234</t>
  </si>
  <si>
    <t>BN0235</t>
  </si>
  <si>
    <t>BN0236</t>
  </si>
  <si>
    <t>BN0237</t>
  </si>
  <si>
    <t>BN0238</t>
  </si>
  <si>
    <t>BN0239</t>
  </si>
  <si>
    <t>BN0240</t>
  </si>
  <si>
    <t>BN0241</t>
  </si>
  <si>
    <t>Barbara Bronnen</t>
  </si>
  <si>
    <t>Mamma mia - Geschichten über Mütter</t>
  </si>
  <si>
    <t>BsR</t>
  </si>
  <si>
    <t>personalisiert
"Für Marina von Iris Freiburg d. 11.5.1989 mit großem Dank für die telephonischen Ratschläge, Kopfwaschaktionen und Ermunterungen."</t>
  </si>
  <si>
    <t>3406331343</t>
  </si>
  <si>
    <t>Marliese Arold</t>
  </si>
  <si>
    <t>Magic Girls - Der verhängnisvolle Fluch</t>
  </si>
  <si>
    <t>arsEdition</t>
  </si>
  <si>
    <t>9783760728230</t>
  </si>
  <si>
    <t>Tiere und Pflanzen mit Löwenzahn die Welt entdecken</t>
  </si>
  <si>
    <t>tandem</t>
  </si>
  <si>
    <t>Jane Austen</t>
  </si>
  <si>
    <t>Mansfield Park</t>
  </si>
  <si>
    <t>9783423129565</t>
  </si>
  <si>
    <t>Linde Salber</t>
  </si>
  <si>
    <t>9783499504365</t>
  </si>
  <si>
    <t>3822502480</t>
  </si>
  <si>
    <t>Lucia St. Clair Robson</t>
  </si>
  <si>
    <t>Tiana</t>
  </si>
  <si>
    <t>Kabel</t>
  </si>
  <si>
    <t>9780312278588</t>
  </si>
  <si>
    <t>The Nanny Diaries</t>
  </si>
  <si>
    <t>Emma McLaughlin &amp; Nicola Kraus</t>
  </si>
  <si>
    <t>Georgia Byng</t>
  </si>
  <si>
    <t>Molly Moon</t>
  </si>
  <si>
    <t>9783423621724</t>
  </si>
  <si>
    <t>Tina Grube</t>
  </si>
  <si>
    <t>Männer sind wie Schokolade</t>
  </si>
  <si>
    <t>9783596126897</t>
  </si>
  <si>
    <t>Dawn Clifton Tripp</t>
  </si>
  <si>
    <t>Mondgischt</t>
  </si>
  <si>
    <t>9783492247153</t>
  </si>
  <si>
    <t>Florian Felix Weyh</t>
  </si>
  <si>
    <t>Toggle</t>
  </si>
  <si>
    <t>Galiani</t>
  </si>
  <si>
    <t>9783869710419</t>
  </si>
  <si>
    <t>Wolfgang Ecke</t>
  </si>
  <si>
    <t>The Face at the Window</t>
  </si>
  <si>
    <t>9783473520374</t>
  </si>
  <si>
    <t>Jean-Claude Izzo</t>
  </si>
  <si>
    <t>Total Cheops</t>
  </si>
  <si>
    <t>Unions</t>
  </si>
  <si>
    <t>9783293201644</t>
  </si>
  <si>
    <t>Robert Charles Wilson</t>
  </si>
  <si>
    <t>Spin</t>
  </si>
  <si>
    <t>9783453522008</t>
  </si>
  <si>
    <t>Mary Simses</t>
  </si>
  <si>
    <t>Der Sommer der Sternschnuppen</t>
  </si>
  <si>
    <t>- MÄNGELEXEMPLAR - Ansonsten guter bis sehr guter Zustand</t>
  </si>
  <si>
    <t>9783734102530</t>
  </si>
  <si>
    <t>Rolf Merkle</t>
  </si>
  <si>
    <t>So gewinnen Sie mehr Selbstvertrauen</t>
  </si>
  <si>
    <t>9783828950627</t>
  </si>
  <si>
    <t>BN0242</t>
  </si>
  <si>
    <t>Cornelia Anken</t>
  </si>
  <si>
    <t>Narrenspiele</t>
  </si>
  <si>
    <t>Presse</t>
  </si>
  <si>
    <t>abgeriffenes Cover, sonst sehr guter Zustand</t>
  </si>
  <si>
    <t>9783928789240</t>
  </si>
  <si>
    <t>Sophie Hannah</t>
  </si>
  <si>
    <t>Nimmer Mehr</t>
  </si>
  <si>
    <t>Seiten leicht verfärbt</t>
  </si>
  <si>
    <t>9783404165285</t>
  </si>
  <si>
    <t>Eric Scherer</t>
  </si>
  <si>
    <t>Narrenblut Eine Mörderische Fastnachtsposse</t>
  </si>
  <si>
    <t>Hardcover / gebunden</t>
  </si>
  <si>
    <t>9783797308573</t>
  </si>
  <si>
    <t>Ivo Frenzel</t>
  </si>
  <si>
    <t>Nietzsche</t>
  </si>
  <si>
    <t>29.-38. Tausend</t>
  </si>
  <si>
    <t>altersbedingt angelaufene Seiten</t>
  </si>
  <si>
    <t>Monika und Nicol Helbig</t>
  </si>
  <si>
    <t>Neue Effekte fürs Fenster mit Windowcolor Motiven</t>
  </si>
  <si>
    <t>frech</t>
  </si>
  <si>
    <t>9783772425028</t>
  </si>
  <si>
    <t>BN0243</t>
  </si>
  <si>
    <t>BN0244</t>
  </si>
  <si>
    <t>BN0245</t>
  </si>
  <si>
    <t>BN0246</t>
  </si>
  <si>
    <t>BN0247</t>
  </si>
  <si>
    <t>BN0248</t>
  </si>
  <si>
    <t>BN0249</t>
  </si>
  <si>
    <t>BN0250</t>
  </si>
  <si>
    <t>BN0251</t>
  </si>
  <si>
    <t>BN0252</t>
  </si>
  <si>
    <t>BN0253</t>
  </si>
  <si>
    <t>BN0254</t>
  </si>
  <si>
    <t>BN0255</t>
  </si>
  <si>
    <t>BN0256</t>
  </si>
  <si>
    <t>BN0257</t>
  </si>
  <si>
    <t>BN0258</t>
  </si>
  <si>
    <t>BN0259</t>
  </si>
  <si>
    <t>BN0260</t>
  </si>
  <si>
    <t>BN0261</t>
  </si>
  <si>
    <t>BN0262</t>
  </si>
  <si>
    <t>BN0263</t>
  </si>
  <si>
    <t>BN0264</t>
  </si>
  <si>
    <t>BN0265</t>
  </si>
  <si>
    <t>BN0266</t>
  </si>
  <si>
    <t>BN0267</t>
  </si>
  <si>
    <t>BN0268</t>
  </si>
  <si>
    <t>BN0269</t>
  </si>
  <si>
    <t>BN0270</t>
  </si>
  <si>
    <t>BN0271</t>
  </si>
  <si>
    <t>BN0272</t>
  </si>
  <si>
    <t>Philipp Van den Berg</t>
  </si>
  <si>
    <t>Der Spiegelmacher / Der Fluch des Kopernikus</t>
  </si>
  <si>
    <t>Seiten leicht angelaufen</t>
  </si>
  <si>
    <t>9783404259410</t>
  </si>
  <si>
    <t>London e&gt;&gt;guide; Der Stadtführer mit eigener Website</t>
  </si>
  <si>
    <t>Dorling Kindersley</t>
  </si>
  <si>
    <t>9783831007011</t>
  </si>
  <si>
    <t>Akte X die besten Geschichten</t>
  </si>
  <si>
    <t>für das Alter sehr guter Zustand</t>
  </si>
  <si>
    <t>4388813333116</t>
  </si>
  <si>
    <t>Andreas Schlüter</t>
  </si>
  <si>
    <t>Achtung, Zeitfalle!</t>
  </si>
  <si>
    <t>Minimale Gebrauchsspuren an den untere Buchseiten</t>
  </si>
  <si>
    <t>9783423705387</t>
  </si>
  <si>
    <t>Jörg Brunsmann Thomas Schirmer Andreas Hein</t>
  </si>
  <si>
    <t>Notebooks für Späteinsteiger</t>
  </si>
  <si>
    <t>Franzis</t>
  </si>
  <si>
    <t>Ecken sind minimal angegriffen</t>
  </si>
  <si>
    <t>9783772362682</t>
  </si>
  <si>
    <t>Mathias Metzger</t>
  </si>
  <si>
    <t>Klasse 3b auf heißer Spur</t>
  </si>
  <si>
    <t>4026411150666</t>
  </si>
  <si>
    <t>Ingrid Uebe</t>
  </si>
  <si>
    <t>6 1/2 Gespenster suchen einen Schatz</t>
  </si>
  <si>
    <t>4026411151878</t>
  </si>
  <si>
    <t>Vorsicht, unsere Tante kommt!</t>
  </si>
  <si>
    <t>4026411151021</t>
  </si>
  <si>
    <t>Manfred Mai</t>
  </si>
  <si>
    <t>Eine Klasse im Fußballfieber</t>
  </si>
  <si>
    <t>4026411151861</t>
  </si>
  <si>
    <t>Henriette Wich</t>
  </si>
  <si>
    <t>Schatzsuche in Australien</t>
  </si>
  <si>
    <t>4026411151038</t>
  </si>
  <si>
    <t>Klasse 3b und der kopflose Ritter</t>
  </si>
  <si>
    <t>4026411151595</t>
  </si>
  <si>
    <t>Leonie ist verknallt</t>
  </si>
  <si>
    <t>4026411151885</t>
  </si>
  <si>
    <t>Ein Monster im Klassenzimmer</t>
  </si>
  <si>
    <t>4026411151854</t>
  </si>
  <si>
    <t>Kleine Kinderzimmer</t>
  </si>
  <si>
    <t>evergreen</t>
  </si>
  <si>
    <t>kaum sichtbare Gebrauchsspuren</t>
  </si>
  <si>
    <t>9783822827888</t>
  </si>
  <si>
    <t>Die kleine Kinderbibel</t>
  </si>
  <si>
    <t>Brunnen</t>
  </si>
  <si>
    <t>9783811209688</t>
  </si>
  <si>
    <t>Bianka Minte-König</t>
  </si>
  <si>
    <t>Superstars &amp; Liebesstress</t>
  </si>
  <si>
    <t>Thienemann</t>
  </si>
  <si>
    <t>9783522176361</t>
  </si>
  <si>
    <t>Jörg Hilbert</t>
  </si>
  <si>
    <t>Don Quietsch</t>
  </si>
  <si>
    <t>terzio</t>
  </si>
  <si>
    <t>9783898357166</t>
  </si>
  <si>
    <t>Zimmermann &amp; Zimmermann</t>
  </si>
  <si>
    <t>Küsse, Krisen, große Ferien</t>
  </si>
  <si>
    <t>9783522173780</t>
  </si>
  <si>
    <t>Liebesquiz &amp; Pferdekuss</t>
  </si>
  <si>
    <t>9783522181181</t>
  </si>
  <si>
    <t>Ernst Augustin</t>
  </si>
  <si>
    <t>Mahmud der Schlächter oder der feine Weg</t>
  </si>
  <si>
    <t>Suhrkamp</t>
  </si>
  <si>
    <t>perfekter Zustand</t>
  </si>
  <si>
    <t>3518404253</t>
  </si>
  <si>
    <t>Sabine Both</t>
  </si>
  <si>
    <t>Was reimt sich auf Liebe</t>
  </si>
  <si>
    <t>9783522176088</t>
  </si>
  <si>
    <t>Detlef Kersten</t>
  </si>
  <si>
    <t>Kommissar Kniepel auf heißer Spur 40 Fälle zum Selberlesen</t>
  </si>
  <si>
    <t>9783760715711</t>
  </si>
  <si>
    <t>Mohammed Hanif</t>
  </si>
  <si>
    <t>Alice Bhattis Himmelfahrt</t>
  </si>
  <si>
    <t>Sehr guter Zustand aber MÄNGEKEXEMPLAR</t>
  </si>
  <si>
    <t>9783442746101</t>
  </si>
  <si>
    <t>Carolyn Slaughter</t>
  </si>
  <si>
    <t>Risse in der Zeit</t>
  </si>
  <si>
    <t>Droemer</t>
  </si>
  <si>
    <t xml:space="preserve">Sehr guter Zustand  </t>
  </si>
  <si>
    <t>3426195976</t>
  </si>
  <si>
    <t>Johanna Spyri</t>
  </si>
  <si>
    <t>Almenkinder</t>
  </si>
  <si>
    <t>A. Weichter</t>
  </si>
  <si>
    <t>Das Buch als solches ist in einem sehr guten Zustand nur der Einband ist recht beschädigt</t>
  </si>
  <si>
    <t>BN0273</t>
  </si>
  <si>
    <t>BN0274</t>
  </si>
  <si>
    <t>BN0275</t>
  </si>
  <si>
    <t>BN0276</t>
  </si>
  <si>
    <t>BN0277</t>
  </si>
  <si>
    <t>BN0278</t>
  </si>
  <si>
    <t>BN0279</t>
  </si>
  <si>
    <t>BN0280</t>
  </si>
  <si>
    <t>BN0281</t>
  </si>
  <si>
    <t>BN0282</t>
  </si>
  <si>
    <t>Catherine Alliott</t>
  </si>
  <si>
    <t>Liebeszirkus</t>
  </si>
  <si>
    <t>9783442369003</t>
  </si>
  <si>
    <t>Marion Zimmer Bradley</t>
  </si>
  <si>
    <t>Lythande</t>
  </si>
  <si>
    <t>101.-140.Tausend</t>
  </si>
  <si>
    <t>9783596109432</t>
  </si>
  <si>
    <t>John Marsden</t>
  </si>
  <si>
    <t>Liebe Tracey Liebe Mandy</t>
  </si>
  <si>
    <t>9783407787743</t>
  </si>
  <si>
    <t>Kajsa Ingemarsson</t>
  </si>
  <si>
    <t>Liebe mit drei Sternen</t>
  </si>
  <si>
    <t>Auf der ersten leeren Seite wurde die obere Rechte Ecke herausgeschnitten</t>
  </si>
  <si>
    <t>9783423210911</t>
  </si>
  <si>
    <t>Daniela Höhne und Torsten Low</t>
  </si>
  <si>
    <t>Lichtbringer</t>
  </si>
  <si>
    <t>Torsten Low</t>
  </si>
  <si>
    <t>wie neu</t>
  </si>
  <si>
    <t>9783940036018</t>
  </si>
  <si>
    <t>Angela Gerrits</t>
  </si>
  <si>
    <t>Liebeskummer auf italienisch</t>
  </si>
  <si>
    <t>9783499213687</t>
  </si>
  <si>
    <t>Sandra Brown</t>
  </si>
  <si>
    <t>Eine heiß-kalte Liebe</t>
  </si>
  <si>
    <t>9783898974356</t>
  </si>
  <si>
    <t>Tom Clancy</t>
  </si>
  <si>
    <t>Fighter Wings - Eine Reise in die Welt der modernen Kampfflugzeuge</t>
  </si>
  <si>
    <t>9783453141322</t>
  </si>
  <si>
    <t>Frank Schirrmacher</t>
  </si>
  <si>
    <t>Das Methusalem Komplott</t>
  </si>
  <si>
    <t>Blessing</t>
  </si>
  <si>
    <t>9783896672254</t>
  </si>
  <si>
    <t>Dr. med. Ernst Groner</t>
  </si>
  <si>
    <t>Liebe Zeugung und Geburt Ihre Wunder und Probleme</t>
  </si>
  <si>
    <t>Büchergilde Gutenberg</t>
  </si>
  <si>
    <t>Schutzumschlag beschädigt</t>
  </si>
  <si>
    <t>BN0283</t>
  </si>
  <si>
    <t>BN0284</t>
  </si>
  <si>
    <t>BN0285</t>
  </si>
  <si>
    <t>BN0286</t>
  </si>
  <si>
    <t>BN0287</t>
  </si>
  <si>
    <t>BN0288</t>
  </si>
  <si>
    <t>BN0289</t>
  </si>
  <si>
    <t>BN0290</t>
  </si>
  <si>
    <t>BN0291</t>
  </si>
  <si>
    <t>Norman Ollestad</t>
  </si>
  <si>
    <t>Süchtig nach dem Sturm</t>
  </si>
  <si>
    <t>9783100552150</t>
  </si>
  <si>
    <t>lonely planet</t>
  </si>
  <si>
    <t>9783829715607</t>
  </si>
  <si>
    <t>Tod und Teufel</t>
  </si>
  <si>
    <t>24.</t>
  </si>
  <si>
    <t>9783442455317</t>
  </si>
  <si>
    <t>Alyson Noel</t>
  </si>
  <si>
    <t>Evermore - die unsterblichen</t>
  </si>
  <si>
    <t>6.</t>
  </si>
  <si>
    <t>9783442203604</t>
  </si>
  <si>
    <t>Wendy Walker</t>
  </si>
  <si>
    <t>Kalte Seele, Dunkles Herz</t>
  </si>
  <si>
    <t>Scherz</t>
  </si>
  <si>
    <t>9783651025578</t>
  </si>
  <si>
    <t>Harry Bingham</t>
  </si>
  <si>
    <t>Fiona den Toten verpflichtet</t>
  </si>
  <si>
    <t>9783499291357</t>
  </si>
  <si>
    <t>Sandra Dünschede</t>
  </si>
  <si>
    <t>Nordmord</t>
  </si>
  <si>
    <t>Gmeiner</t>
  </si>
  <si>
    <t>9783899777253</t>
  </si>
  <si>
    <t>Susanne Fröhlich</t>
  </si>
  <si>
    <t>Moppelich der Kampf mit den Pfunden</t>
  </si>
  <si>
    <t>15.</t>
  </si>
  <si>
    <t>3810506664</t>
  </si>
  <si>
    <t>Amendt</t>
  </si>
  <si>
    <t>Das Sex Buch</t>
  </si>
  <si>
    <t>Zweitausendeins</t>
  </si>
  <si>
    <t>Jörg Rieger, Markus Menschhorn</t>
  </si>
  <si>
    <t>Das MAC-Buch für Einsteiger</t>
  </si>
  <si>
    <t>9783836214773</t>
  </si>
  <si>
    <t>BN0292</t>
  </si>
  <si>
    <t>BN0293</t>
  </si>
  <si>
    <t>BN0294</t>
  </si>
  <si>
    <t>BN0295</t>
  </si>
  <si>
    <t>BN0296</t>
  </si>
  <si>
    <t>BN0297</t>
  </si>
  <si>
    <t>BN0298</t>
  </si>
  <si>
    <t>BN0299</t>
  </si>
  <si>
    <t>BN0300</t>
  </si>
  <si>
    <t>BN0301</t>
  </si>
  <si>
    <t>BN0302</t>
  </si>
  <si>
    <t>BN0303</t>
  </si>
  <si>
    <t>BN0304</t>
  </si>
  <si>
    <t>BN0305</t>
  </si>
  <si>
    <t>BN0306</t>
  </si>
  <si>
    <t>BN0307</t>
  </si>
  <si>
    <t>Francesca Marciano</t>
  </si>
  <si>
    <t>Himmel über Afrika</t>
  </si>
  <si>
    <t>Hardcover/gebunden</t>
  </si>
  <si>
    <t>9783896670595</t>
  </si>
  <si>
    <t>Hortense Ullrich</t>
  </si>
  <si>
    <t>Hexen küsst man nicht</t>
  </si>
  <si>
    <t>Die Erste Seite ist mehrfach geknickt worden</t>
  </si>
  <si>
    <t>9783522172905</t>
  </si>
  <si>
    <t>Dave Barry</t>
  </si>
  <si>
    <t>Hey Baby! Wie man's macht und was dann folgt</t>
  </si>
  <si>
    <t>Eichborn</t>
  </si>
  <si>
    <t>9783821803265</t>
  </si>
  <si>
    <t>Hat schon ein paar Jahre auf dem Buckel</t>
  </si>
  <si>
    <t>Juliane Haubold-Stolle</t>
  </si>
  <si>
    <t>Oma ist die Beste</t>
  </si>
  <si>
    <t>Vergangenheits</t>
  </si>
  <si>
    <t>9783864082092</t>
  </si>
  <si>
    <t>Irmtraut und Martin Huneke</t>
  </si>
  <si>
    <t>Neues Entecken ein Leben lang</t>
  </si>
  <si>
    <t>Asaph</t>
  </si>
  <si>
    <t>9783935703208</t>
  </si>
  <si>
    <t>Maurizio de Giovanni</t>
  </si>
  <si>
    <t>Nacht über Neapel</t>
  </si>
  <si>
    <t>9783442314362</t>
  </si>
  <si>
    <t>Paolo Giordano</t>
  </si>
  <si>
    <t>Die Einsamkeit der Primzahlen</t>
  </si>
  <si>
    <t>9783453408012</t>
  </si>
  <si>
    <t>Die Omikron Invasion</t>
  </si>
  <si>
    <t>3404220951</t>
  </si>
  <si>
    <t>Linda Belago</t>
  </si>
  <si>
    <t>Im Land der Orangenblüten</t>
  </si>
  <si>
    <t>ungekürzte Lizenzausgabe</t>
  </si>
  <si>
    <t>Hanjo Lehmann</t>
  </si>
  <si>
    <t>Die Truhen des Arcimboldo</t>
  </si>
  <si>
    <t>9783828968141</t>
  </si>
  <si>
    <t>BN0308</t>
  </si>
  <si>
    <t>BN0309</t>
  </si>
  <si>
    <t>BN0310</t>
  </si>
  <si>
    <t>BN0311</t>
  </si>
  <si>
    <t>BN0312</t>
  </si>
  <si>
    <t>Christian de Duve</t>
  </si>
  <si>
    <t>Aus Staub geboren Leben als kosmische Zwangsläufigkeit</t>
  </si>
  <si>
    <t>9783499601606</t>
  </si>
  <si>
    <t>Bernhard Hoecker</t>
  </si>
  <si>
    <t>Aufzeichnungen eines Sxchnitzeljägers</t>
  </si>
  <si>
    <t>Guter bis sehr guter Zustand</t>
  </si>
  <si>
    <t>9783499622526</t>
  </si>
  <si>
    <t>Carolyn Haines</t>
  </si>
  <si>
    <t>Am Ende dieses Sommers</t>
  </si>
  <si>
    <t>BLT</t>
  </si>
  <si>
    <t>1.-2.</t>
  </si>
  <si>
    <t>- MÄNGELEXEMPLAR - ansonsten guter bis sehr guter Zustand</t>
  </si>
  <si>
    <t>9783404920211</t>
  </si>
  <si>
    <t>Gabriel Laub</t>
  </si>
  <si>
    <t>Alle macht den Spionen</t>
  </si>
  <si>
    <t>1.-15. Tausend</t>
  </si>
  <si>
    <t>Albrecht Knaus</t>
  </si>
  <si>
    <t>Schutzumschlag fehlt, für das Alter aber guter bis sehr guter Zustand</t>
  </si>
  <si>
    <t>3813508757</t>
  </si>
  <si>
    <t>Dedward Myers</t>
  </si>
  <si>
    <t>Allein gegen den Berg</t>
  </si>
  <si>
    <t>Ueberreuter</t>
  </si>
  <si>
    <t>9783800024834</t>
  </si>
  <si>
    <t>Günter Wallraff</t>
  </si>
  <si>
    <t>Aus der schönen neuen Welt Expedition ins Landesinnere</t>
  </si>
  <si>
    <t>KiWi</t>
  </si>
  <si>
    <t>9783462040494</t>
  </si>
  <si>
    <t>Dwight Webb</t>
  </si>
  <si>
    <t>Ab heute ohne Dich - 50 Tipps für ein Leben nach der Trennung</t>
  </si>
  <si>
    <t>Ariston</t>
  </si>
  <si>
    <t>9783720522038</t>
  </si>
  <si>
    <t>Edith Forbes</t>
  </si>
  <si>
    <t>Alma Rose!</t>
  </si>
  <si>
    <t>9783499223273</t>
  </si>
  <si>
    <t>Dr. med. Eckart von Hirschhausen</t>
  </si>
  <si>
    <t>Wunder wirken wunder - wie Medizin und Magie uns heilen</t>
  </si>
  <si>
    <t>9783499632297</t>
  </si>
  <si>
    <t>Benedikt Jeßing</t>
  </si>
  <si>
    <t>Arbeitstechniken des literaturwissenschaftlichen Studiums</t>
  </si>
  <si>
    <t>9783150176313</t>
  </si>
  <si>
    <t>BN0313</t>
  </si>
  <si>
    <t>BN0314</t>
  </si>
  <si>
    <t>BN0315</t>
  </si>
  <si>
    <t>BN0316</t>
  </si>
  <si>
    <t>BN0317</t>
  </si>
  <si>
    <t>BN0318</t>
  </si>
  <si>
    <t>BN0319</t>
  </si>
  <si>
    <t>BN0320</t>
  </si>
  <si>
    <t>BN0321</t>
  </si>
  <si>
    <t>BN0322</t>
  </si>
  <si>
    <t>Liz Kessler</t>
  </si>
  <si>
    <t>Emilys Geheimnis</t>
  </si>
  <si>
    <t>14.</t>
  </si>
  <si>
    <t>- MÄNGELEXEMPLAR - ansonsten sehr guter Zustand</t>
  </si>
  <si>
    <t>9783596851591</t>
  </si>
  <si>
    <t>Sheltie Kleines Pony, große Liebe</t>
  </si>
  <si>
    <t>Kosmos</t>
  </si>
  <si>
    <t>9783440120521</t>
  </si>
  <si>
    <t>Ralf Isau</t>
  </si>
  <si>
    <t>Der Herr der Unruhe</t>
  </si>
  <si>
    <t>9783404155620</t>
  </si>
  <si>
    <t>Chris Mooney</t>
  </si>
  <si>
    <t>Victim</t>
  </si>
  <si>
    <t>9783499245602</t>
  </si>
  <si>
    <t>Stieg Larsson</t>
  </si>
  <si>
    <t>Verblendung</t>
  </si>
  <si>
    <t>37.</t>
  </si>
  <si>
    <t>9783453432451</t>
  </si>
  <si>
    <t>Dominik Klenk</t>
  </si>
  <si>
    <t>Riskiere dein Herz</t>
  </si>
  <si>
    <t>9783765519093</t>
  </si>
  <si>
    <t>Marie Cordonnier</t>
  </si>
  <si>
    <t>Nadine - Unschuldige Verführering und Alison - Geliebte Gauklerin</t>
  </si>
  <si>
    <t>9783828974241</t>
  </si>
  <si>
    <t>George R.R. Martin und Lisa Tuttle</t>
  </si>
  <si>
    <t>Sturm über Windhaven</t>
  </si>
  <si>
    <t>Blanvalet</t>
  </si>
  <si>
    <t>- MÄNGELEXEMPLAR - dem Alter entsprechende Gebrauchsspuren</t>
  </si>
  <si>
    <t>9783442243044</t>
  </si>
  <si>
    <t>Nicholas Sparks</t>
  </si>
  <si>
    <t>Zeit im Wind</t>
  </si>
  <si>
    <t>9783453177628</t>
  </si>
  <si>
    <t>Waris Dirie mit Cathleen Miller</t>
  </si>
  <si>
    <t>Wüstenblume</t>
  </si>
  <si>
    <t>9783426783429</t>
  </si>
  <si>
    <t>BN0323</t>
  </si>
  <si>
    <t>BN0324</t>
  </si>
  <si>
    <t>BN0325</t>
  </si>
  <si>
    <t>BN0326</t>
  </si>
  <si>
    <t>BN0327</t>
  </si>
  <si>
    <t>BN0328</t>
  </si>
  <si>
    <t>BN0329</t>
  </si>
  <si>
    <t>BN0330</t>
  </si>
  <si>
    <t>BN0331</t>
  </si>
  <si>
    <t>BN0332</t>
  </si>
  <si>
    <t>Martina Bick</t>
  </si>
  <si>
    <t>Die Landärztin</t>
  </si>
  <si>
    <t>Guter Zustand, leider hat das Cover einige Kratzer</t>
  </si>
  <si>
    <t>9783947690121</t>
  </si>
  <si>
    <t>Zeina B. Ghandour</t>
  </si>
  <si>
    <t>Der Honig</t>
  </si>
  <si>
    <t>9783423244220</t>
  </si>
  <si>
    <t>Paul Robert Smith</t>
  </si>
  <si>
    <t>Gespräch mit Igel</t>
  </si>
  <si>
    <t>9783785760079</t>
  </si>
  <si>
    <t>Katja König</t>
  </si>
  <si>
    <t>Der Traumann der vom Himmel fiel</t>
  </si>
  <si>
    <t>9783947690282</t>
  </si>
  <si>
    <t>Julia Heilmann &amp; Thomas Lindemann</t>
  </si>
  <si>
    <t>Quengelzone für die Kleinen nur das Beste</t>
  </si>
  <si>
    <t>9783442157341</t>
  </si>
  <si>
    <t>Die Mutter</t>
  </si>
  <si>
    <t>9783499229923</t>
  </si>
  <si>
    <t>Andreas D. Hesse</t>
  </si>
  <si>
    <t>Die Macht des Dämons</t>
  </si>
  <si>
    <t>Arena</t>
  </si>
  <si>
    <t>9783401053974</t>
  </si>
  <si>
    <t>Julia Sander</t>
  </si>
  <si>
    <t>(K)ein Mann für Mutti</t>
  </si>
  <si>
    <t>9783959732611</t>
  </si>
  <si>
    <t>Arthur Hailey</t>
  </si>
  <si>
    <t>Hotel</t>
  </si>
  <si>
    <t>9783548253459</t>
  </si>
  <si>
    <t>BN0333</t>
  </si>
  <si>
    <t>BN0334</t>
  </si>
  <si>
    <t>BN0335</t>
  </si>
  <si>
    <t>BN0336</t>
  </si>
  <si>
    <t>BN0337</t>
  </si>
  <si>
    <t>BN0338</t>
  </si>
  <si>
    <t>BN0339</t>
  </si>
  <si>
    <t>BN0340</t>
  </si>
  <si>
    <t>BN0341</t>
  </si>
  <si>
    <t>BN0342</t>
  </si>
  <si>
    <t>Nikola Huppertz</t>
  </si>
  <si>
    <t>Wie ein Splitter im Mosaik</t>
  </si>
  <si>
    <t>Gabriel</t>
  </si>
  <si>
    <t>9783522302944</t>
  </si>
  <si>
    <t>Jutta Besser</t>
  </si>
  <si>
    <t>Weit wie der Himmel</t>
  </si>
  <si>
    <t>Dörnerschen</t>
  </si>
  <si>
    <t>genehmigte Sonderausgabe</t>
  </si>
  <si>
    <t>9783941329867</t>
  </si>
  <si>
    <t>Cecelia Ahern</t>
  </si>
  <si>
    <t>P.S. Ich Liebe Dich</t>
  </si>
  <si>
    <t>Limitierte Sonderausgabe</t>
  </si>
  <si>
    <t>9783596510573</t>
  </si>
  <si>
    <t>Kathrin Sand</t>
  </si>
  <si>
    <t>Wenn Bücher Töten</t>
  </si>
  <si>
    <t>Universo</t>
  </si>
  <si>
    <t>9783956741357</t>
  </si>
  <si>
    <t>Serge Brussolo</t>
  </si>
  <si>
    <t>Peggy Sue und der blaue Hund</t>
  </si>
  <si>
    <t>9783453215122</t>
  </si>
  <si>
    <t>Robert Harris</t>
  </si>
  <si>
    <t>Pompeji</t>
  </si>
  <si>
    <t>9783453470132</t>
  </si>
  <si>
    <t>Terry McGarry</t>
  </si>
  <si>
    <t>Pfade des Lichts</t>
  </si>
  <si>
    <t>- MÄNGELEXEMPLAR - sonst sehr guter Zustand, fast wie neu</t>
  </si>
  <si>
    <t>9783453523104</t>
  </si>
  <si>
    <t>Ulrike Kuckero</t>
  </si>
  <si>
    <t>Paulas Tagebuch</t>
  </si>
  <si>
    <t>9783499212550</t>
  </si>
  <si>
    <t>Darrell Schweitzer</t>
  </si>
  <si>
    <t>Wir sind Legenden</t>
  </si>
  <si>
    <t>9783453119314</t>
  </si>
  <si>
    <t>Evelyn McCune</t>
  </si>
  <si>
    <t>Wu Jao Die Kaiserin</t>
  </si>
  <si>
    <t>3203800233</t>
  </si>
  <si>
    <t>BN0343</t>
  </si>
  <si>
    <t>BN0344</t>
  </si>
  <si>
    <t>BN0345</t>
  </si>
  <si>
    <t>BN0346</t>
  </si>
  <si>
    <t>BN0347</t>
  </si>
  <si>
    <t>BN0348</t>
  </si>
  <si>
    <t>BN0349</t>
  </si>
  <si>
    <t>BN0350</t>
  </si>
  <si>
    <t>BN0351</t>
  </si>
  <si>
    <t>BN0352</t>
  </si>
  <si>
    <t>BN0353</t>
  </si>
  <si>
    <t>BN0354</t>
  </si>
  <si>
    <t>BN0355</t>
  </si>
  <si>
    <t>BN0356</t>
  </si>
  <si>
    <t>BN0357</t>
  </si>
  <si>
    <t>BN0358</t>
  </si>
  <si>
    <t>Lisa Jewell</t>
  </si>
  <si>
    <t>Wo immer du sein magst</t>
  </si>
  <si>
    <t>9783426632154</t>
  </si>
  <si>
    <t>Virginia Baily</t>
  </si>
  <si>
    <t>Im ersten Licht des Morgens</t>
  </si>
  <si>
    <t>Sehr guter Zustand aber - MÄNGELEXEMPLAR -</t>
  </si>
  <si>
    <t>9783453359130</t>
  </si>
  <si>
    <t>Marlo Morgan</t>
  </si>
  <si>
    <t>Traumreisende</t>
  </si>
  <si>
    <t>personalisiert mit den Daten einer Vorbesitzerin (Stempel) ansonsten guter bis sehr guter Zustand</t>
  </si>
  <si>
    <t>9783442448791</t>
  </si>
  <si>
    <t>Felice Ash</t>
  </si>
  <si>
    <t>Zimmerwechsel</t>
  </si>
  <si>
    <t>Pavillon</t>
  </si>
  <si>
    <t>9783453770195</t>
  </si>
  <si>
    <t xml:space="preserve">Waris Dirie  </t>
  </si>
  <si>
    <t>sehr guter Zustand</t>
  </si>
  <si>
    <t>9783548359120</t>
  </si>
  <si>
    <t>Theaterfieber</t>
  </si>
  <si>
    <t>9783522172653</t>
  </si>
  <si>
    <t>Harry Kämmerer</t>
  </si>
  <si>
    <t>Isartod</t>
  </si>
  <si>
    <t>Graf</t>
  </si>
  <si>
    <t>9783862200030</t>
  </si>
  <si>
    <t>Wilhelm ten Haaf</t>
  </si>
  <si>
    <t>Im Tal der Gätter</t>
  </si>
  <si>
    <t>Pattloch</t>
  </si>
  <si>
    <t>mit dazugehörigen Lesezeichen</t>
  </si>
  <si>
    <t>9783629014498</t>
  </si>
  <si>
    <t>Marita van der Vyver</t>
  </si>
  <si>
    <t>Ich wart auf dich in Afrika</t>
  </si>
  <si>
    <t>9783404922949</t>
  </si>
  <si>
    <t>Audrey Slaughter</t>
  </si>
  <si>
    <t>Träume aus Papier</t>
  </si>
  <si>
    <t>9783612273222</t>
  </si>
  <si>
    <t>9783596161331</t>
  </si>
  <si>
    <t>Tausend und eine Nacht</t>
  </si>
  <si>
    <t>Karl Müller</t>
  </si>
  <si>
    <t>Mika Waltari</t>
  </si>
  <si>
    <t xml:space="preserve">Turms der Unsterbliche </t>
  </si>
  <si>
    <t>9783893509300</t>
  </si>
  <si>
    <t>Janet McNaughton</t>
  </si>
  <si>
    <t>Tam Lin im Bann der Elfen</t>
  </si>
  <si>
    <t>Sauerländer</t>
  </si>
  <si>
    <t>9783794180356</t>
  </si>
  <si>
    <t>Tod im Apothekenhaus</t>
  </si>
  <si>
    <t>9783898977678</t>
  </si>
  <si>
    <t>Iny Lorentz</t>
  </si>
  <si>
    <t>Die Rose von Asturien</t>
  </si>
  <si>
    <t>9783426635223</t>
  </si>
  <si>
    <t>BN0359</t>
  </si>
  <si>
    <t>BN0360</t>
  </si>
  <si>
    <t>BN0361</t>
  </si>
  <si>
    <t>Sommer, Sonne, erste Liebe</t>
  </si>
  <si>
    <t>9783522178020</t>
  </si>
  <si>
    <t>Cecelia Hollano</t>
  </si>
  <si>
    <t>Säule des Himmels</t>
  </si>
  <si>
    <t>9783404921577</t>
  </si>
  <si>
    <t>Khaled Hosseini</t>
  </si>
  <si>
    <t>Tausend strahlende Sonnen</t>
  </si>
  <si>
    <t>BV Berlin</t>
  </si>
  <si>
    <t>9783833305894</t>
  </si>
  <si>
    <t>Ulrike Schweikert</t>
  </si>
  <si>
    <t>Die Tochter des Salzsieders &amp; Die Herrin der Burg</t>
  </si>
  <si>
    <t>9783828986251</t>
  </si>
  <si>
    <t>BN0362</t>
  </si>
  <si>
    <t>BN0363</t>
  </si>
  <si>
    <t>BN0364</t>
  </si>
  <si>
    <t>BN0365</t>
  </si>
  <si>
    <t>BN0366</t>
  </si>
  <si>
    <t>Sylvia T. Haymon</t>
  </si>
  <si>
    <t>Mord im Druidenhain</t>
  </si>
  <si>
    <t>9783828966611</t>
  </si>
  <si>
    <t xml:space="preserve">Jochen Till </t>
  </si>
  <si>
    <t>Ohrensausen</t>
  </si>
  <si>
    <t>9783473582013</t>
  </si>
  <si>
    <t>Anna Gavalda</t>
  </si>
  <si>
    <t>Zusammen ist man weniger allein</t>
  </si>
  <si>
    <t>9783596173037</t>
  </si>
  <si>
    <t>Peter Millar</t>
  </si>
  <si>
    <t>Gottes Feuer</t>
  </si>
  <si>
    <t>9783404151752</t>
  </si>
  <si>
    <t>Der Keim des Verderbens</t>
  </si>
  <si>
    <t>9783442439027</t>
  </si>
  <si>
    <t>BN0367</t>
  </si>
  <si>
    <t>BN0368</t>
  </si>
  <si>
    <t>BN0369</t>
  </si>
  <si>
    <t>BN0370</t>
  </si>
  <si>
    <t>BN0371</t>
  </si>
  <si>
    <t>BN0372</t>
  </si>
  <si>
    <t>BN0373</t>
  </si>
  <si>
    <t>BN0374</t>
  </si>
  <si>
    <t>BN0375</t>
  </si>
  <si>
    <t>BN0376</t>
  </si>
  <si>
    <t>BN0377</t>
  </si>
  <si>
    <t>BN0378</t>
  </si>
  <si>
    <t>BN0379</t>
  </si>
  <si>
    <t>BN0380</t>
  </si>
  <si>
    <t>BN0381</t>
  </si>
  <si>
    <t>BN0382</t>
  </si>
  <si>
    <t>BN0383</t>
  </si>
  <si>
    <t>BN0384</t>
  </si>
  <si>
    <t>BN0385</t>
  </si>
  <si>
    <t>BN0386</t>
  </si>
  <si>
    <t>BN0387</t>
  </si>
  <si>
    <t>BN0388</t>
  </si>
  <si>
    <t>BN0389</t>
  </si>
  <si>
    <t>BN0390</t>
  </si>
  <si>
    <t>BN0391</t>
  </si>
  <si>
    <t>BN0392</t>
  </si>
  <si>
    <t>BN0393</t>
  </si>
  <si>
    <t>BN0394</t>
  </si>
  <si>
    <t>BN0395</t>
  </si>
  <si>
    <t>BN0396</t>
  </si>
  <si>
    <t>BN0397</t>
  </si>
  <si>
    <t>Nele Neuhaus</t>
  </si>
  <si>
    <t>Schneewittchen muss sterben</t>
  </si>
  <si>
    <t>guter bis sehr guter Zustand</t>
  </si>
  <si>
    <t>9783548609829</t>
  </si>
  <si>
    <t>Irene Zimmermann</t>
  </si>
  <si>
    <t>Schule, Küsse, Liebes-Stress</t>
  </si>
  <si>
    <t>9783522177252</t>
  </si>
  <si>
    <t>Jeff Torrington</t>
  </si>
  <si>
    <t>Schlag auf Schlag</t>
  </si>
  <si>
    <t>9783596135950</t>
  </si>
  <si>
    <t>Stargirl</t>
  </si>
  <si>
    <t>Dressler</t>
  </si>
  <si>
    <t>9783791519609</t>
  </si>
  <si>
    <t>Spiel des Schiksals</t>
  </si>
  <si>
    <t>9783596120321</t>
  </si>
  <si>
    <t>Thomas Mersch und Tobias Königshausen</t>
  </si>
  <si>
    <t>Zweigestirn</t>
  </si>
  <si>
    <t>- MÄNGELEXEMPLAR - sonst sehr guter Zustand</t>
  </si>
  <si>
    <t>9783426632987</t>
  </si>
  <si>
    <t>David Nicholls</t>
  </si>
  <si>
    <t>Zwei an einem Tag</t>
  </si>
  <si>
    <t>9783453811843</t>
  </si>
  <si>
    <t>Maria Küchen</t>
  </si>
  <si>
    <t>Song für einen Schmetterling</t>
  </si>
  <si>
    <t>9783789140129</t>
  </si>
  <si>
    <t>David Charney</t>
  </si>
  <si>
    <t>Sensei - Der Triumph der Shogune</t>
  </si>
  <si>
    <t>dem Alter entsprechende Gebrauchsspuren</t>
  </si>
  <si>
    <t>9783453002944</t>
  </si>
  <si>
    <t>Dagmar Hansen</t>
  </si>
  <si>
    <t>Zucker auf der Fensterbank</t>
  </si>
  <si>
    <t>Naumann &amp; Göbel</t>
  </si>
  <si>
    <t>9783625203384</t>
  </si>
  <si>
    <t>Barbara Büchner</t>
  </si>
  <si>
    <t>Herz im Stein</t>
  </si>
  <si>
    <t>Handschriftl. Eintragung eines Vornamens</t>
  </si>
  <si>
    <t>9783453171572</t>
  </si>
  <si>
    <t>Eva Polak</t>
  </si>
  <si>
    <t>Jeden Mittwoch Jessika</t>
  </si>
  <si>
    <t>9783401045764</t>
  </si>
  <si>
    <t>Jagd im Internet</t>
  </si>
  <si>
    <t>Altberliner</t>
  </si>
  <si>
    <t>9783357007540</t>
  </si>
  <si>
    <t>Francine Pascal</t>
  </si>
  <si>
    <t>Jagd auf Gaia</t>
  </si>
  <si>
    <t>9783401051185</t>
  </si>
  <si>
    <t>David Safier</t>
  </si>
  <si>
    <t>Jesus liebt mich</t>
  </si>
  <si>
    <t>9783499248115</t>
  </si>
  <si>
    <t>Frederica De Cesco</t>
  </si>
  <si>
    <t>Kerima Weg in die Freiheit</t>
  </si>
  <si>
    <t>9783401058047</t>
  </si>
  <si>
    <t>Preethi Nair</t>
  </si>
  <si>
    <t>Koriandergrün und Safranrot</t>
  </si>
  <si>
    <t>9783426636589</t>
  </si>
  <si>
    <t>J.M. Calder</t>
  </si>
  <si>
    <t>Ich töte, was du liebst</t>
  </si>
  <si>
    <t>9783863655969</t>
  </si>
  <si>
    <t>Rote Sonne, Schwarzes Land</t>
  </si>
  <si>
    <t>1031.-1080.Tausend</t>
  </si>
  <si>
    <t>9783596108978</t>
  </si>
  <si>
    <t>Susanne Kappmeier &amp; Silke Ehrenberger</t>
  </si>
  <si>
    <t>Reiterferien sind ein Traum</t>
  </si>
  <si>
    <t>FN</t>
  </si>
  <si>
    <t>9783885423331</t>
  </si>
  <si>
    <t>BN0398</t>
  </si>
  <si>
    <t>BN0399</t>
  </si>
  <si>
    <t>BN0400</t>
  </si>
  <si>
    <t>Mary Higgins Clark</t>
  </si>
  <si>
    <t>Vergiss die Toten nicht</t>
  </si>
  <si>
    <t>Das Buch ist in einem sehr guten Zustand nur der Schutzumschlag hat ein bisschen gelitten</t>
  </si>
  <si>
    <t>Der Kreis der Dämmerung</t>
  </si>
  <si>
    <t>1999?</t>
  </si>
  <si>
    <t>9783522173063</t>
  </si>
  <si>
    <t>Robin Lloyd-Jones</t>
  </si>
  <si>
    <t>Red Fox und der weiße Bär</t>
  </si>
  <si>
    <t>9783791512181</t>
  </si>
  <si>
    <t>Marcus Jensen</t>
  </si>
  <si>
    <t>Red Rain</t>
  </si>
  <si>
    <t>Frankfurter</t>
  </si>
  <si>
    <t>3627000722</t>
  </si>
  <si>
    <t>Katrin Tempel</t>
  </si>
  <si>
    <t>Rosmarin Träume</t>
  </si>
  <si>
    <t>#- MÄNGELEXEMPLAR - sonst guter bis sehr guter Zustand</t>
  </si>
  <si>
    <t>9783492307857</t>
  </si>
  <si>
    <t>Betty Kolodzy</t>
  </si>
  <si>
    <t>Reinverlegt</t>
  </si>
  <si>
    <t>michason &amp; may</t>
  </si>
  <si>
    <t>9783862860142</t>
  </si>
  <si>
    <t>Scott Frost</t>
  </si>
  <si>
    <t>risk - Du sollst mich fürchten</t>
  </si>
  <si>
    <t>Cover am unteren Rand beschädigt, erste Seite fleckig und personalisiert mit dem Vornahmen
anonsten sehr guter Zustand</t>
  </si>
  <si>
    <t>9783426635483</t>
  </si>
  <si>
    <t>Simone van der Vlugt</t>
  </si>
  <si>
    <t>Rettungslos</t>
  </si>
  <si>
    <t>9783453290655</t>
  </si>
  <si>
    <t>Malala Yousafzai mit Christina Lamb</t>
  </si>
  <si>
    <t>Ich bin Malala</t>
  </si>
  <si>
    <t>9783426786895</t>
  </si>
  <si>
    <t>Carla Federico</t>
  </si>
  <si>
    <t>Im Land der Feuerblume</t>
  </si>
  <si>
    <t>9783426504390</t>
  </si>
  <si>
    <t>Edward Packard</t>
  </si>
  <si>
    <t>Insel der 1000 Gefahren</t>
  </si>
  <si>
    <t>9783473542796</t>
  </si>
  <si>
    <t>S. J. Watson</t>
  </si>
  <si>
    <t>Ich Darf Nicht Schlafen</t>
  </si>
  <si>
    <t>Joanne K. Rowling</t>
  </si>
  <si>
    <t>Harry Potter und der Gefangene von Askaban</t>
  </si>
  <si>
    <t>katoniert</t>
  </si>
  <si>
    <t>Andrea Gunschera</t>
  </si>
  <si>
    <t>Engelsbrut</t>
  </si>
  <si>
    <t>Egmont</t>
  </si>
  <si>
    <t>9783802584060</t>
  </si>
  <si>
    <t>BN0401</t>
  </si>
  <si>
    <t>BN0402</t>
  </si>
  <si>
    <t>BN0403</t>
  </si>
  <si>
    <t>BN0404</t>
  </si>
  <si>
    <t>BN0405</t>
  </si>
  <si>
    <t>BN0406</t>
  </si>
  <si>
    <t>BN0407</t>
  </si>
  <si>
    <t>BN0408</t>
  </si>
  <si>
    <t>BN0409</t>
  </si>
  <si>
    <t>BN0410</t>
  </si>
  <si>
    <t>BN0411</t>
  </si>
  <si>
    <t>BN0412</t>
  </si>
  <si>
    <t>BN0413</t>
  </si>
  <si>
    <t>BN0414</t>
  </si>
  <si>
    <t>BN0415</t>
  </si>
  <si>
    <t>BN0416</t>
  </si>
  <si>
    <t>BN0417</t>
  </si>
  <si>
    <t>BN0418</t>
  </si>
  <si>
    <t>BN0419</t>
  </si>
  <si>
    <t>BN0420</t>
  </si>
  <si>
    <t>BN0421</t>
  </si>
  <si>
    <t>BN0422</t>
  </si>
  <si>
    <t>BN0423</t>
  </si>
  <si>
    <t>BN0424</t>
  </si>
  <si>
    <t>BN0425</t>
  </si>
  <si>
    <t>BN0426</t>
  </si>
  <si>
    <t>BN0427</t>
  </si>
  <si>
    <t>BN0428</t>
  </si>
  <si>
    <t>BN0429</t>
  </si>
  <si>
    <t>BN0430</t>
  </si>
  <si>
    <t>BN0431</t>
  </si>
  <si>
    <t>BN0432</t>
  </si>
  <si>
    <t>Geheimnis um ein verborgenes Zimmer</t>
  </si>
  <si>
    <t>Klopp</t>
  </si>
  <si>
    <t>leichte Gebrauchsspuren am Cover, sonst bis sehr guter Zustand</t>
  </si>
  <si>
    <t>9783781752436</t>
  </si>
  <si>
    <t>Alex Schaerer</t>
  </si>
  <si>
    <t>Glücklich verheirateter Mann such Affäre</t>
  </si>
  <si>
    <t>guter Zustand mit leichten Gebrauchsspuren</t>
  </si>
  <si>
    <t>9783404139842</t>
  </si>
  <si>
    <t>Barbara Dale und Johanna Roeber</t>
  </si>
  <si>
    <t>Gymnastik für Schwangerschaft und Geburt</t>
  </si>
  <si>
    <t>9783473427123</t>
  </si>
  <si>
    <t>Michael Grant</t>
  </si>
  <si>
    <t>Gone</t>
  </si>
  <si>
    <t>9781405242356</t>
  </si>
  <si>
    <t>Boris Pasternak</t>
  </si>
  <si>
    <t>Gedichte von Jurij Schwago</t>
  </si>
  <si>
    <t>Possev</t>
  </si>
  <si>
    <t>russisch / deutsch</t>
  </si>
  <si>
    <t>Patrick McGrath</t>
  </si>
  <si>
    <t>Groteske</t>
  </si>
  <si>
    <t>9783442721375</t>
  </si>
  <si>
    <t>Regine C. Henschel</t>
  </si>
  <si>
    <t>Gefühlte Lage: sonnig</t>
  </si>
  <si>
    <t>Piper Boulevard</t>
  </si>
  <si>
    <t>9783492261876</t>
  </si>
  <si>
    <t>E.L. James</t>
  </si>
  <si>
    <t>Shades of Grey - Gefährliche Liebe</t>
  </si>
  <si>
    <t>9783442478965</t>
  </si>
  <si>
    <t>Michel Chossudovsky</t>
  </si>
  <si>
    <t>Global Brutal - der entfesselte Welthandel, die Armut, der Krieg</t>
  </si>
  <si>
    <t>zweitausendeins</t>
  </si>
  <si>
    <t>3861504413</t>
  </si>
  <si>
    <t>Horst Bielfeld</t>
  </si>
  <si>
    <t>Hunde - Rassen, Ausbildung, Haltung</t>
  </si>
  <si>
    <t>9783806875171</t>
  </si>
  <si>
    <t>Das neue Guinness Buch der Rekorde 1994</t>
  </si>
  <si>
    <t>9783550078415</t>
  </si>
  <si>
    <t>Glen A. Larson und Roger Hill</t>
  </si>
  <si>
    <t>Knight Rider - David gegen Goliath</t>
  </si>
  <si>
    <t>Cover hat entsprechende Gebrauchspuren</t>
  </si>
  <si>
    <t>9783442237760</t>
  </si>
  <si>
    <t>Frank Garrett</t>
  </si>
  <si>
    <t>Knight Rider - Zwischen allen Fronten</t>
  </si>
  <si>
    <t>9783442082278</t>
  </si>
  <si>
    <t>Des Kaisers neue Kleider</t>
  </si>
  <si>
    <t>Tormont Puplications Inc.</t>
  </si>
  <si>
    <t>9782764101612</t>
  </si>
  <si>
    <t>Alexander Mitscherlich</t>
  </si>
  <si>
    <t>Krankheit als Konflikt - Studien zur psychosomatischen Medizin 1</t>
  </si>
  <si>
    <t>Altersbedingte Verfärbung der Seiten</t>
  </si>
  <si>
    <t>Heidrun und Hans H. Röhr</t>
  </si>
  <si>
    <t>Geldgeschenke für Jugendliche</t>
  </si>
  <si>
    <t>Topp</t>
  </si>
  <si>
    <t>3772426085</t>
  </si>
  <si>
    <t>Gudrun Thiele</t>
  </si>
  <si>
    <t>Geld pfiffig verschenken</t>
  </si>
  <si>
    <t>3772421873</t>
  </si>
  <si>
    <t>Pamela Roppel</t>
  </si>
  <si>
    <t>Geldgeschenke groß in Form</t>
  </si>
  <si>
    <t>3772422861</t>
  </si>
  <si>
    <t>H. Vogel und P. Busch</t>
  </si>
  <si>
    <t>Golden und Labrador Retriever</t>
  </si>
  <si>
    <t>Paul Parey</t>
  </si>
  <si>
    <t>9783490072191</t>
  </si>
  <si>
    <t>Thomas Brezina</t>
  </si>
  <si>
    <t>Katie Cat</t>
  </si>
  <si>
    <t>9783505124549</t>
  </si>
  <si>
    <t>Marguertite Henry</t>
  </si>
  <si>
    <t>König des Windes</t>
  </si>
  <si>
    <t>9783791536002</t>
  </si>
  <si>
    <t>Ingrid Noll</t>
  </si>
  <si>
    <t>Röslein Rot</t>
  </si>
  <si>
    <t>9783257231519</t>
  </si>
  <si>
    <t>Rabenbrüder</t>
  </si>
  <si>
    <t>9783257234541</t>
  </si>
  <si>
    <t>Kelly McKain</t>
  </si>
  <si>
    <t>Ponyhof Liliengrün - Paula und Prinz</t>
  </si>
  <si>
    <t>Loewe</t>
  </si>
  <si>
    <t>9783785563915</t>
  </si>
  <si>
    <t>Lisa Ortgies und Svea Große</t>
  </si>
  <si>
    <t>Pinkeln im Stau und andere Katastrophen - Der Survivalguide für Frauen</t>
  </si>
  <si>
    <t>9783802515057</t>
  </si>
  <si>
    <t>Dimitri A. Prigov</t>
  </si>
  <si>
    <t>Poet ohne Persönlichkeit</t>
  </si>
  <si>
    <t>3926178221</t>
  </si>
  <si>
    <t>Denyse Woods</t>
  </si>
  <si>
    <t>Zauber über der Wüste</t>
  </si>
  <si>
    <t>9783404770977</t>
  </si>
  <si>
    <t>BN0433</t>
  </si>
  <si>
    <t>BN0434</t>
  </si>
  <si>
    <t>BN0435</t>
  </si>
  <si>
    <t>BN0436</t>
  </si>
  <si>
    <t>BN0437</t>
  </si>
  <si>
    <t>BN0438</t>
  </si>
  <si>
    <t>BN0439</t>
  </si>
  <si>
    <t>BN0440</t>
  </si>
  <si>
    <t>BN0441</t>
  </si>
  <si>
    <t>BN0442</t>
  </si>
  <si>
    <t>BN0443</t>
  </si>
  <si>
    <t>BN0444</t>
  </si>
  <si>
    <t>BN0445</t>
  </si>
  <si>
    <t>BN0446</t>
  </si>
  <si>
    <t>BN0447</t>
  </si>
  <si>
    <t>BN0448</t>
  </si>
  <si>
    <t>BN0449</t>
  </si>
  <si>
    <t>BN0450</t>
  </si>
  <si>
    <t>BN0451</t>
  </si>
  <si>
    <t>BN0452</t>
  </si>
  <si>
    <t>BN0453</t>
  </si>
  <si>
    <t>BN0454</t>
  </si>
  <si>
    <t>BN0455</t>
  </si>
  <si>
    <t>BN0456</t>
  </si>
  <si>
    <t>BN0457</t>
  </si>
  <si>
    <t>BN0458</t>
  </si>
  <si>
    <t>BN0459</t>
  </si>
  <si>
    <t>BN0460</t>
  </si>
  <si>
    <t>BN0461</t>
  </si>
  <si>
    <t>BN0462</t>
  </si>
  <si>
    <t>BN0463</t>
  </si>
  <si>
    <t>BN0464</t>
  </si>
  <si>
    <t>BN0465</t>
  </si>
  <si>
    <t>BN0466</t>
  </si>
  <si>
    <t>BN0467</t>
  </si>
  <si>
    <t>BN0468</t>
  </si>
  <si>
    <t>BN0469</t>
  </si>
  <si>
    <t>BN0470</t>
  </si>
  <si>
    <t>BN0471</t>
  </si>
  <si>
    <t>BN0472</t>
  </si>
  <si>
    <t>BN0473</t>
  </si>
  <si>
    <t>BN0474</t>
  </si>
  <si>
    <t>BN0475</t>
  </si>
  <si>
    <t>BN0476</t>
  </si>
  <si>
    <t>BN0477</t>
  </si>
  <si>
    <t>BN0478</t>
  </si>
  <si>
    <t>BN0479</t>
  </si>
  <si>
    <t>BN0480</t>
  </si>
  <si>
    <t>BN0481</t>
  </si>
  <si>
    <t>BN0482</t>
  </si>
  <si>
    <t>BN0483</t>
  </si>
  <si>
    <t>BN0484</t>
  </si>
  <si>
    <t>BN0485</t>
  </si>
  <si>
    <t>BN0486</t>
  </si>
  <si>
    <t>BN0487</t>
  </si>
  <si>
    <t>BN0488</t>
  </si>
  <si>
    <t>BN0489</t>
  </si>
  <si>
    <t>Ponyhofgeschichten - Ein Fest für Billy</t>
  </si>
  <si>
    <t>Toggo</t>
  </si>
  <si>
    <t>Super RTL</t>
  </si>
  <si>
    <t>Sehr guter Zustand
inkl.Zusatzheft "Rätsel und  Fragen rund um die Ponyhofgeschichten</t>
  </si>
  <si>
    <t>Nicole Künzel</t>
  </si>
  <si>
    <t>Pferde richtig pflegen</t>
  </si>
  <si>
    <t>9783861272809</t>
  </si>
  <si>
    <t>Otto Schweitzer</t>
  </si>
  <si>
    <t>Pasolini</t>
  </si>
  <si>
    <t>3499503549</t>
  </si>
  <si>
    <t>Claude Mauriac</t>
  </si>
  <si>
    <t>Proust</t>
  </si>
  <si>
    <t>Silvia C. Strauch</t>
  </si>
  <si>
    <t>Pferde ABC für Einsteiger</t>
  </si>
  <si>
    <t>blv</t>
  </si>
  <si>
    <t>9783405160838</t>
  </si>
  <si>
    <t>R. M. Hare</t>
  </si>
  <si>
    <t>Platon - eine Einführung</t>
  </si>
  <si>
    <t>9783150086315</t>
  </si>
  <si>
    <t>Susanne Götz und Daniela Pohl</t>
  </si>
  <si>
    <t>Die schönsten Pferdegeschichten</t>
  </si>
  <si>
    <t>Buch und Zeit</t>
  </si>
  <si>
    <t>9783816611486</t>
  </si>
  <si>
    <t>Mein Erlebnisbuch Pferde &amp; Reiten</t>
  </si>
  <si>
    <t>jedoch personalisiert
"Zur Erinnerung an die Kommunion Oma+Opa"</t>
  </si>
  <si>
    <t>9783473552368</t>
  </si>
  <si>
    <t>Dr. Dr. Wolfgang Pausch</t>
  </si>
  <si>
    <t>Polizeirech - Erläuterungen</t>
  </si>
  <si>
    <t>Schmidt Romhild</t>
  </si>
  <si>
    <t>guter bis sehr guter Zustand, jedoch mit einem Nachnamen personalisiert</t>
  </si>
  <si>
    <t>3795029163</t>
  </si>
  <si>
    <t>Sybille Mellenthin</t>
  </si>
  <si>
    <t>Pferdeliebe grenzenlos - Pferde verstehen lernen</t>
  </si>
  <si>
    <t>Ensslin</t>
  </si>
  <si>
    <t>9783401415079</t>
  </si>
  <si>
    <t>Nikolaus B. Enkelmann</t>
  </si>
  <si>
    <t>Power für die Jugend</t>
  </si>
  <si>
    <t>mvg</t>
  </si>
  <si>
    <t>9783478088305</t>
  </si>
  <si>
    <t>Mary Ryan</t>
  </si>
  <si>
    <t>Flüstern im Wind / Lied der Gezeiten</t>
  </si>
  <si>
    <t>9783828975279</t>
  </si>
  <si>
    <t>Viola Roggenkamp</t>
  </si>
  <si>
    <t>Familienleben</t>
  </si>
  <si>
    <t>9783828986770</t>
  </si>
  <si>
    <t>Nora Roberts</t>
  </si>
  <si>
    <t>Geheimrezept zum Glücklichsein</t>
  </si>
  <si>
    <t>9783899413175</t>
  </si>
  <si>
    <t>Sherrilyn Kenyon</t>
  </si>
  <si>
    <t>Magie der Sehsucht</t>
  </si>
  <si>
    <t xml:space="preserve">guter Zustand  </t>
  </si>
  <si>
    <t>9783442366866</t>
  </si>
  <si>
    <t>Doris Jannausch</t>
  </si>
  <si>
    <t>Monatg ist erst übermorgen</t>
  </si>
  <si>
    <t>EDITIONNOVA</t>
  </si>
  <si>
    <t>Raven Cross</t>
  </si>
  <si>
    <t>Dein letztes Foto</t>
  </si>
  <si>
    <t>guter Zustand</t>
  </si>
  <si>
    <t>4198106803604</t>
  </si>
  <si>
    <t>RS Graham und Dana Kilborne</t>
  </si>
  <si>
    <t>Portal zu einer anderen Welt / Das Phantom von Dedmon's Landing</t>
  </si>
  <si>
    <t>Guter Zustand</t>
  </si>
  <si>
    <t>4198042705994</t>
  </si>
  <si>
    <t>Steve Hogan</t>
  </si>
  <si>
    <t>Atme - wenn du kannst</t>
  </si>
  <si>
    <t>Mörderin!</t>
  </si>
  <si>
    <t>Sehr guter zustand</t>
  </si>
  <si>
    <t>4198106803505</t>
  </si>
  <si>
    <t>Date mit dem Tod</t>
  </si>
  <si>
    <t>Jason A. Frost / Dana Kilborne</t>
  </si>
  <si>
    <t>Wenn du das überlebst… / Über eure Leichen</t>
  </si>
  <si>
    <t>4198106805998</t>
  </si>
  <si>
    <t>Susan Scot / Marilyn Cunningham / Tim Razzi</t>
  </si>
  <si>
    <t>Wer hat Angst vorm schwarzen Mann / Im Sumpf der bösen Geister / Das Gift des Hohenpriester</t>
  </si>
  <si>
    <t>4198107405500</t>
  </si>
  <si>
    <t>Dana Kilborne</t>
  </si>
  <si>
    <t>Rache ist Tödlich</t>
  </si>
  <si>
    <t>Zustand mittelmäßig</t>
  </si>
  <si>
    <t>Do van Ranst</t>
  </si>
  <si>
    <t>Wir retten leben, sagt mein Vater</t>
  </si>
  <si>
    <t>9783551311054</t>
  </si>
  <si>
    <t>sehr guter Zustand
- MÄNGELEXEMPLAR -</t>
  </si>
  <si>
    <t>Weg mit den Schulden - Tips und Hilfestellungen, dauerhaft Schuldefrei zu werden</t>
  </si>
  <si>
    <t>Verbraucher Zentrale</t>
  </si>
  <si>
    <t>3923214731</t>
  </si>
  <si>
    <t>Tine Wittler</t>
  </si>
  <si>
    <t>Irgendwas is immer</t>
  </si>
  <si>
    <t>personaliserte Signierung
"Für Birgitt! Alles gute Tine Wittler"</t>
  </si>
  <si>
    <t>9783502110316</t>
  </si>
  <si>
    <t>Ist das Pferd Gesund, freut sich der Mensch</t>
  </si>
  <si>
    <t>Bellvista</t>
  </si>
  <si>
    <t>4016491016792</t>
  </si>
  <si>
    <t>Stefanie Gercke</t>
  </si>
  <si>
    <t>Ich kehre zurück nach Afrika / Ins dunkle Herz Afrikas</t>
  </si>
  <si>
    <t>9783828973633</t>
  </si>
  <si>
    <t>Charlotte Lyne</t>
  </si>
  <si>
    <t>Kinder des Meeres</t>
  </si>
  <si>
    <t>Rosie Rushton</t>
  </si>
  <si>
    <t>Katies Entschluss</t>
  </si>
  <si>
    <t>9783570302064</t>
  </si>
  <si>
    <t>Katy Regan</t>
  </si>
  <si>
    <t>kleine Lügen erhalten die Liebe</t>
  </si>
  <si>
    <t>Taschenuch</t>
  </si>
  <si>
    <t>9783404168460</t>
  </si>
  <si>
    <t>Birgit Wiesner / Brigitte Smith</t>
  </si>
  <si>
    <t>Kunterbunte Geschichten zur Erstkommunion</t>
  </si>
  <si>
    <t>9783629003584</t>
  </si>
  <si>
    <t>Arbeitstexte für den Unterricht Rap-Texte</t>
  </si>
  <si>
    <t>9783150150504</t>
  </si>
  <si>
    <t>Jeannette Haien</t>
  </si>
  <si>
    <t>Reich der Erinnerung</t>
  </si>
  <si>
    <t>9783828969469</t>
  </si>
  <si>
    <t>guter Zustand - verfärbung der Seiten</t>
  </si>
  <si>
    <t>Irene Dische</t>
  </si>
  <si>
    <t>Großmama packt aus</t>
  </si>
  <si>
    <t>9783423135214</t>
  </si>
  <si>
    <t>101 Gründe, warum ich dich mag</t>
  </si>
  <si>
    <t>Groh</t>
  </si>
  <si>
    <t>Dorothée Bleker</t>
  </si>
  <si>
    <t>9783890085432</t>
  </si>
  <si>
    <t>Bernhard Hennen</t>
  </si>
  <si>
    <t>Die Elfen</t>
  </si>
  <si>
    <t>9783453530010</t>
  </si>
  <si>
    <t>Allan &amp; Barbara Pease</t>
  </si>
  <si>
    <t>Eine dumme Frage ist besser als fast jede kluge Antwort - wie man erfolgreich überzeugt</t>
  </si>
  <si>
    <t>9783548367453</t>
  </si>
  <si>
    <t>Janina David</t>
  </si>
  <si>
    <t>Ein Stück Himmel Ein Stück Erde Ein Stück Fremde - Die Geschichte des Lebens</t>
  </si>
  <si>
    <t>9783426014745</t>
  </si>
  <si>
    <t>Die deutsche Literatur in Text und Darstellung</t>
  </si>
  <si>
    <t>Impressionismus Symbolismus und Jugendstil</t>
  </si>
  <si>
    <t>9783150096499</t>
  </si>
  <si>
    <t>Schau dich nicht um</t>
  </si>
  <si>
    <t>9783442457786</t>
  </si>
  <si>
    <t>Lisa Kuppler (Hg.)</t>
  </si>
  <si>
    <t>Mord isch hald a Geschäft</t>
  </si>
  <si>
    <t>9783886198849</t>
  </si>
  <si>
    <t>Lauren Weisberger</t>
  </si>
  <si>
    <t>Ein Ring von Tiffany</t>
  </si>
  <si>
    <t>12.</t>
  </si>
  <si>
    <t>9783442542673</t>
  </si>
  <si>
    <t>Chris Morgan Jones</t>
  </si>
  <si>
    <t>Die Kunst des Sterbens</t>
  </si>
  <si>
    <t>- MÄNGELEXEMPLAR - sonst wie neu</t>
  </si>
  <si>
    <t>9783453410725</t>
  </si>
  <si>
    <t>Kristen Britain</t>
  </si>
  <si>
    <t>Grüner Reiter</t>
  </si>
  <si>
    <t>deutsche Erstveröffentlichung</t>
  </si>
  <si>
    <t>9783426701454</t>
  </si>
  <si>
    <t>Richard Doetsch</t>
  </si>
  <si>
    <t>Die Legende der Dunkelheit</t>
  </si>
  <si>
    <t>- MÄNGELEXEMPLAR - sonst guter Zustand</t>
  </si>
  <si>
    <t>9783404167791</t>
  </si>
  <si>
    <t>BN0490</t>
  </si>
  <si>
    <t>BN0491</t>
  </si>
  <si>
    <t>BN0492</t>
  </si>
  <si>
    <t>BN0493</t>
  </si>
  <si>
    <t>BN0494</t>
  </si>
  <si>
    <t>BN0495</t>
  </si>
  <si>
    <t>BN0496</t>
  </si>
  <si>
    <t>BN0497</t>
  </si>
  <si>
    <t>BN0498</t>
  </si>
  <si>
    <t>BN0499</t>
  </si>
  <si>
    <t>BN0500</t>
  </si>
  <si>
    <t>Christoph Vallaster</t>
  </si>
  <si>
    <t>Die Tuchhändlerin</t>
  </si>
  <si>
    <t>Benzinger</t>
  </si>
  <si>
    <t>9783545341432</t>
  </si>
  <si>
    <t>Die Plausibelsten Ausreden für Männer</t>
  </si>
  <si>
    <t>Otus</t>
  </si>
  <si>
    <t>9783905851205</t>
  </si>
  <si>
    <t>Taras Grescoe</t>
  </si>
  <si>
    <t>Der letzte Fisch im Netz</t>
  </si>
  <si>
    <t>9783896673459</t>
  </si>
  <si>
    <t>Mehr Zeit zum reiten - Den Alltag rund ums Pferd entlasten und effektiv gestalten</t>
  </si>
  <si>
    <t>9783440098264</t>
  </si>
  <si>
    <t>Herzstoß</t>
  </si>
  <si>
    <t>9783442478644</t>
  </si>
  <si>
    <t>Lauren Willig</t>
  </si>
  <si>
    <t>9783805250825</t>
  </si>
  <si>
    <t>- MÄNGELEXEMPLAR - Guter Zustand</t>
  </si>
  <si>
    <t>Elfen Winter</t>
  </si>
  <si>
    <t>- MÄNGELEXEMPLAR - Sehr Guter Zustand</t>
  </si>
  <si>
    <t>9783453521377</t>
  </si>
  <si>
    <t>Sturm und Drang und Empfindsamkeit</t>
  </si>
  <si>
    <t>9783150096215</t>
  </si>
  <si>
    <t>William H. Keith jr.</t>
  </si>
  <si>
    <t>Der Preis des Ruhms</t>
  </si>
  <si>
    <t>9783453038912</t>
  </si>
  <si>
    <t>Luisa Binder</t>
  </si>
  <si>
    <t>Friede, Freude, Pfefferkuchen</t>
  </si>
  <si>
    <t>9783426520437</t>
  </si>
  <si>
    <t>Carla Cassidy</t>
  </si>
  <si>
    <t>Vergiss nie deine Sünden</t>
  </si>
  <si>
    <t>9783863652210</t>
  </si>
  <si>
    <t>Elle Macchietto und Della Rossa</t>
  </si>
  <si>
    <t>Frühlingsrollen auf dem Ahnenaltar Vietnamesische Aufbrüche</t>
  </si>
  <si>
    <t>Picus</t>
  </si>
  <si>
    <t>9783854529194</t>
  </si>
  <si>
    <t>Abby Fabiaschi</t>
  </si>
  <si>
    <t>Für immer ist die längste Zeit</t>
  </si>
  <si>
    <t>9783810524799</t>
  </si>
  <si>
    <t>Rebuy</t>
  </si>
  <si>
    <t>Ronald Reng</t>
  </si>
  <si>
    <t>Spieltage Die andere Geschichte der Bundesliga</t>
  </si>
  <si>
    <t xml:space="preserve">Piper  </t>
  </si>
  <si>
    <t>9783492055925</t>
  </si>
  <si>
    <t>Die Giftmischerin</t>
  </si>
  <si>
    <t>9783426508756</t>
  </si>
  <si>
    <t>Gerit Bertram</t>
  </si>
  <si>
    <t>Die Goldspinnerin</t>
  </si>
  <si>
    <t>9783764503710</t>
  </si>
  <si>
    <t>Derek Meister</t>
  </si>
  <si>
    <t>Rungholts Ehre</t>
  </si>
  <si>
    <t>9783442374847</t>
  </si>
  <si>
    <t>guter Zustand
Außenseiten fleckig</t>
  </si>
  <si>
    <t>Stephenie Meyer</t>
  </si>
  <si>
    <t>eclipse</t>
  </si>
  <si>
    <t>9781904233916</t>
  </si>
  <si>
    <t>Lena Gold</t>
  </si>
  <si>
    <t>Voll auf Ex-Kurs</t>
  </si>
  <si>
    <t>9783442471683</t>
  </si>
  <si>
    <t>Die fremde Schwester</t>
  </si>
  <si>
    <t>BN0501</t>
  </si>
  <si>
    <t>BN0502</t>
  </si>
  <si>
    <t>BN0503</t>
  </si>
  <si>
    <t>BN0504</t>
  </si>
  <si>
    <t>BN0505</t>
  </si>
  <si>
    <t>BN0506</t>
  </si>
  <si>
    <t>BN0507</t>
  </si>
  <si>
    <t>BN0508</t>
  </si>
  <si>
    <t>BN0509</t>
  </si>
  <si>
    <t>Leserabe</t>
  </si>
  <si>
    <t>Die spannendsten Tiergeschichten für Erstleser</t>
  </si>
  <si>
    <t>9783473362479</t>
  </si>
  <si>
    <t>Freche Ponygeschichten für Erstleser</t>
  </si>
  <si>
    <t>9783473362806</t>
  </si>
  <si>
    <t>Das Mädchen aus Apulien</t>
  </si>
  <si>
    <t>leichte Gebrauchspuren, personalisiert " am 15.01.2018 von Jennifer bekommen", sonst guter bis sehr guter Zustand</t>
  </si>
  <si>
    <t>9783426504116</t>
  </si>
  <si>
    <t>Ken Follett</t>
  </si>
  <si>
    <t>Eisfieber</t>
  </si>
  <si>
    <t>9783404156689</t>
  </si>
  <si>
    <t>Andreas Franz</t>
  </si>
  <si>
    <t>Schrei der Nachtigal</t>
  </si>
  <si>
    <t>9783868000832</t>
  </si>
  <si>
    <t>Nikola Hahn</t>
  </si>
  <si>
    <t>Die Detektivin</t>
  </si>
  <si>
    <t>recht guter Zustand, Veräfbung der Seiten vorhanden</t>
  </si>
  <si>
    <t>9783548253435</t>
  </si>
  <si>
    <t>Die Goldhändlerin</t>
  </si>
  <si>
    <t>Michal Shalev</t>
  </si>
  <si>
    <t>Rachels Gelübde</t>
  </si>
  <si>
    <t>9783453177222</t>
  </si>
  <si>
    <t>Rebecca Gablé</t>
  </si>
  <si>
    <t>Die Siedler von Catan</t>
  </si>
  <si>
    <t>9783404153961</t>
  </si>
  <si>
    <t>Walter Satterthwait</t>
  </si>
  <si>
    <t>Eskapaden</t>
  </si>
  <si>
    <t>9783423202848</t>
  </si>
  <si>
    <t>Jacquelyn Mitchard</t>
  </si>
  <si>
    <t>An jenem Tag</t>
  </si>
  <si>
    <t>-Mängelexemplar-</t>
  </si>
  <si>
    <t>9783453354692</t>
  </si>
  <si>
    <t>Jill Smolinski</t>
  </si>
  <si>
    <t>Die Wunschliste</t>
  </si>
  <si>
    <t>9783426637135</t>
  </si>
  <si>
    <t>Suzanne Joinson</t>
  </si>
  <si>
    <t>Kashgar oder mit dem Fahrrad durch die Wüste</t>
  </si>
  <si>
    <t>9783833309281</t>
  </si>
  <si>
    <t>J. L. Carr</t>
  </si>
  <si>
    <t>Ein Tag im Sommer</t>
  </si>
  <si>
    <t>Dumont</t>
  </si>
  <si>
    <t>Sehr guter bis neuwertiger Zustand</t>
  </si>
  <si>
    <t>9783832198893</t>
  </si>
  <si>
    <t>Gabriella Engelmann</t>
  </si>
  <si>
    <t>Strandfliederblüten</t>
  </si>
  <si>
    <t>-Mängelexemplar-  sonst guter Zustand</t>
  </si>
  <si>
    <t>9783426520710</t>
  </si>
  <si>
    <t>Lucy Blue</t>
  </si>
  <si>
    <t>Gefährtin der Finsternis</t>
  </si>
  <si>
    <t>-Mängelexemplar- eher deutliche Gebrauchspuren</t>
  </si>
  <si>
    <t>9783442375622</t>
  </si>
  <si>
    <t>Der einzige Brief</t>
  </si>
  <si>
    <t>9783492254045</t>
  </si>
  <si>
    <t>BN0510</t>
  </si>
  <si>
    <t>BN0511</t>
  </si>
  <si>
    <t>BN0512</t>
  </si>
  <si>
    <t>BN0513</t>
  </si>
  <si>
    <t>BN0514</t>
  </si>
  <si>
    <t>BN0515</t>
  </si>
  <si>
    <t>BN0516</t>
  </si>
  <si>
    <t>BN0517</t>
  </si>
  <si>
    <t>BN0518</t>
  </si>
  <si>
    <t>BN0519</t>
  </si>
  <si>
    <t>BN0520</t>
  </si>
  <si>
    <t>BN0521</t>
  </si>
  <si>
    <t>BN0522</t>
  </si>
  <si>
    <t>BN0523</t>
  </si>
  <si>
    <t>BN0524</t>
  </si>
  <si>
    <t>BN0525</t>
  </si>
  <si>
    <t>Suzanne Brockmann</t>
  </si>
  <si>
    <t>Ian - Im Herzen der Gefahr</t>
  </si>
  <si>
    <t>Mira</t>
  </si>
  <si>
    <t>9783956491887</t>
  </si>
  <si>
    <t>-Mängelexemplar-
Sehr guter bis neuwertiger Zustand</t>
  </si>
  <si>
    <t>Rena Monte</t>
  </si>
  <si>
    <t>Die schöne Verräterin</t>
  </si>
  <si>
    <t>Dörnersche</t>
  </si>
  <si>
    <t>Vea Kaiser</t>
  </si>
  <si>
    <t>Blasmusik-Pop</t>
  </si>
  <si>
    <t>9783462046038</t>
  </si>
  <si>
    <t>Das Cover wirkt schmutzig sonst sehr guter Zustand</t>
  </si>
  <si>
    <t>Gunter Frank</t>
  </si>
  <si>
    <t>Lizenz zum Essen - Stressfrei essen, Gewichtssorgen vergessen</t>
  </si>
  <si>
    <t>9783492253703</t>
  </si>
  <si>
    <t>Die Wanderhure</t>
  </si>
  <si>
    <t>9783426629345</t>
  </si>
  <si>
    <t>BN0526</t>
  </si>
  <si>
    <t>BN0527</t>
  </si>
  <si>
    <t>BN0528</t>
  </si>
  <si>
    <t>BN0529</t>
  </si>
  <si>
    <t>BN0530</t>
  </si>
  <si>
    <t>BN0531</t>
  </si>
  <si>
    <t>BN0532</t>
  </si>
  <si>
    <t>BN0533</t>
  </si>
  <si>
    <t>BN0534</t>
  </si>
  <si>
    <t>BN0535</t>
  </si>
  <si>
    <t>BN0536</t>
  </si>
  <si>
    <t>BN0537</t>
  </si>
  <si>
    <t>BN0538</t>
  </si>
  <si>
    <t>BN0539</t>
  </si>
  <si>
    <t>BN0540</t>
  </si>
  <si>
    <t>BN0541</t>
  </si>
  <si>
    <t>Andreas Liebert</t>
  </si>
  <si>
    <t>Der Hypnotiseur</t>
  </si>
  <si>
    <t>9783956741906</t>
  </si>
  <si>
    <t>Cecilia Ekbäck</t>
  </si>
  <si>
    <t>Im Schatten der Mitternachtssonne</t>
  </si>
  <si>
    <t>-Mängelexemplar-
Augenscheinlich ungelesen</t>
  </si>
  <si>
    <t>9783426304013</t>
  </si>
  <si>
    <t>Rip Gerber</t>
  </si>
  <si>
    <t>Pharma</t>
  </si>
  <si>
    <t>Augenscheinlich ungelesen</t>
  </si>
  <si>
    <t>4026411118123</t>
  </si>
  <si>
    <t>Beatriz Williams</t>
  </si>
  <si>
    <t>Das geheime Leben der Violet Grant</t>
  </si>
  <si>
    <t>9783764505448</t>
  </si>
  <si>
    <t>-Mängelexemplar-
Sehr guter Zustand</t>
  </si>
  <si>
    <t>Minette Walters</t>
  </si>
  <si>
    <t>Die Bildhauerin</t>
  </si>
  <si>
    <t>für das Alter sehr guter Zustand, aber Gebrauchsspuren vorhanden</t>
  </si>
  <si>
    <t>9783442424627</t>
  </si>
  <si>
    <t>David Ellis</t>
  </si>
  <si>
    <t>In Gottes Namen</t>
  </si>
  <si>
    <t>Guter bis sehr guter Zustand, jedoch verfärbung der Seiten vorhanden</t>
  </si>
  <si>
    <t>9783453405554</t>
  </si>
  <si>
    <t>Scott McBain</t>
  </si>
  <si>
    <t>Die Geheimloge</t>
  </si>
  <si>
    <t>sehr guter Zustand jedoch verfärbung der Seiten vorhanden</t>
  </si>
  <si>
    <t>9783426618622</t>
  </si>
  <si>
    <t>Irenè Nèmirovski</t>
  </si>
  <si>
    <t>Der Ball</t>
  </si>
  <si>
    <t>9783442735785</t>
  </si>
  <si>
    <t>Donna Leon</t>
  </si>
  <si>
    <t>Death in a strange Country</t>
  </si>
  <si>
    <t>Pan Books</t>
  </si>
  <si>
    <t>Augenscheinlich ungelesen, jedoch Verfärbungen vorhanden</t>
  </si>
  <si>
    <t>9780330337717</t>
  </si>
  <si>
    <t>Ricarda Jordan</t>
  </si>
  <si>
    <t>Die Geisel des Löwen</t>
  </si>
  <si>
    <t>Gebrauchsspuren vorhanden</t>
  </si>
  <si>
    <t>Kenah Cusanit</t>
  </si>
  <si>
    <t>Babel</t>
  </si>
  <si>
    <t>Sehr guter Zustand, Augenscheinlich ungelesen</t>
  </si>
  <si>
    <t>9783446261655</t>
  </si>
  <si>
    <t>Cajus Bekker</t>
  </si>
  <si>
    <t>Verdammte See - Ein Kriegstagebuch der deutschen Marine</t>
  </si>
  <si>
    <t>9783548237954</t>
  </si>
  <si>
    <t>Die Tote ohne Namen</t>
  </si>
  <si>
    <t>9783442054930</t>
  </si>
  <si>
    <t>Der Schatten des Chamäleons</t>
  </si>
  <si>
    <t>Guter bis sehr guter Zustand, jedoch verfärbung der Seiten vorhanden
ehemaliges Büchereibuch</t>
  </si>
  <si>
    <t>9783442467969</t>
  </si>
  <si>
    <t>Karl Pilny</t>
  </si>
  <si>
    <t>Korea Inc.</t>
  </si>
  <si>
    <t>Osburg</t>
  </si>
  <si>
    <t>Erste</t>
  </si>
  <si>
    <t>-Mängelexemplar- sonst wie neu</t>
  </si>
  <si>
    <t>9783955100568</t>
  </si>
  <si>
    <t>Lukas Podolski Dran bleiben! Warum Talent nur der Anfang ist.</t>
  </si>
  <si>
    <t>9783522303811</t>
  </si>
  <si>
    <t>Liliana Le Hingrat</t>
  </si>
  <si>
    <t>Das dunkle Herz der Welt</t>
  </si>
  <si>
    <t>guter bis sehr guter Zustand, aber Verfärbungen vorhanden</t>
  </si>
  <si>
    <t>9783426517598</t>
  </si>
  <si>
    <t>Amanda Hocking</t>
  </si>
  <si>
    <t>vereint  Die Tochter der Tryll</t>
  </si>
  <si>
    <t>sehr guter Zustand, übliche Gebrauchspuren, dennoch Augenscheinlich ungelesen</t>
  </si>
  <si>
    <t>9783570161463</t>
  </si>
  <si>
    <t>Frank Delaney</t>
  </si>
  <si>
    <t>Glanz und Asche- Die große Irland Saga</t>
  </si>
  <si>
    <t>-Mängelexemplar- sonst sehr guter Zustand</t>
  </si>
  <si>
    <t>9783426500088</t>
  </si>
  <si>
    <t>Ann Ladiges</t>
  </si>
  <si>
    <t>Hau ab, du Flasche</t>
  </si>
  <si>
    <t>43.</t>
  </si>
  <si>
    <t>9783499201783</t>
  </si>
  <si>
    <t>Courtney Cole</t>
  </si>
  <si>
    <t>If you leave - niemals getrennt</t>
  </si>
  <si>
    <t>Gebrauchsspuren vorhanden aber Augenscheinlich ungelesen</t>
  </si>
  <si>
    <t>9783426515280</t>
  </si>
  <si>
    <t>Jochen Brennecke</t>
  </si>
  <si>
    <t>Eismeer Atlantik Ostsee - Die Einsätze des schweren Kreuzers "Admiral Hipper"</t>
  </si>
  <si>
    <t>9783453870840</t>
  </si>
  <si>
    <t>BN0542</t>
  </si>
  <si>
    <t>BN0543</t>
  </si>
  <si>
    <t>BN0544</t>
  </si>
  <si>
    <t>BN0545</t>
  </si>
  <si>
    <t>BN0546</t>
  </si>
  <si>
    <t>BN0547</t>
  </si>
  <si>
    <t>BN0548</t>
  </si>
  <si>
    <t>BN0549</t>
  </si>
  <si>
    <t>BN0550</t>
  </si>
  <si>
    <t>BN0551</t>
  </si>
  <si>
    <t>BN0552</t>
  </si>
  <si>
    <t>BN0553</t>
  </si>
  <si>
    <t>BN0554</t>
  </si>
  <si>
    <t>BN0555</t>
  </si>
  <si>
    <t>BN0556</t>
  </si>
  <si>
    <t>BN0557</t>
  </si>
  <si>
    <t>BN0558</t>
  </si>
  <si>
    <t>BN0559</t>
  </si>
  <si>
    <t>BN0560</t>
  </si>
  <si>
    <t>BN0561</t>
  </si>
  <si>
    <t>BN0562</t>
  </si>
  <si>
    <t>BN0563</t>
  </si>
  <si>
    <t>BN0564</t>
  </si>
  <si>
    <t>BN0565</t>
  </si>
  <si>
    <t>Hera Lind</t>
  </si>
  <si>
    <t>Mein Mann, seine Frauen und ich</t>
  </si>
  <si>
    <t>9783959735773</t>
  </si>
  <si>
    <t>Wolfgang &amp; Heike Hohlbein</t>
  </si>
  <si>
    <t>Märchenmonds Kinder</t>
  </si>
  <si>
    <t>Verfärbungen vorhanden, sonst guter bis sehr guter Zustand</t>
  </si>
  <si>
    <t>9783453135734</t>
  </si>
  <si>
    <t>Raymond Khoury</t>
  </si>
  <si>
    <t>Guter bis sehr guter Zustand mit leichten Gebrauchsspuren</t>
  </si>
  <si>
    <t>9783499242083</t>
  </si>
  <si>
    <t>Uwe Britten</t>
  </si>
  <si>
    <t>Strassen Kid</t>
  </si>
  <si>
    <t>Guter bis sehr guter Zustand aber leichten Gebrauchsspuren (vermutlich Altersbedingt) vorhanden</t>
  </si>
  <si>
    <t>9783522169967</t>
  </si>
  <si>
    <t>Colin Webb / Wynne Rowe</t>
  </si>
  <si>
    <t>Kinder entdecken den Computer</t>
  </si>
  <si>
    <t>Beust</t>
  </si>
  <si>
    <t>9783895300103</t>
  </si>
  <si>
    <t>Francis Stuart</t>
  </si>
  <si>
    <t>Der weisse Hase</t>
  </si>
  <si>
    <t>9783492112703</t>
  </si>
  <si>
    <t>Kurt Lothar Tank</t>
  </si>
  <si>
    <t>Hauptmann Gerhart</t>
  </si>
  <si>
    <t>73.-75. Tausend</t>
  </si>
  <si>
    <t>Sandra Gladow</t>
  </si>
  <si>
    <t>Glücks-Fall</t>
  </si>
  <si>
    <t>limitierte Sonderausgabe</t>
  </si>
  <si>
    <t>9783596508136</t>
  </si>
  <si>
    <t>Richard Zimler</t>
  </si>
  <si>
    <t>Der Kabbalist von Lissabon</t>
  </si>
  <si>
    <t>9783499224645</t>
  </si>
  <si>
    <t>Edward T. O'Donnell</t>
  </si>
  <si>
    <t>Der Ausflug - Das Ende von little Germany, New York</t>
  </si>
  <si>
    <t>9783596174492</t>
  </si>
  <si>
    <t>Philip K. Dick</t>
  </si>
  <si>
    <t>Der dunkle Schirm</t>
  </si>
  <si>
    <t>9783453873681</t>
  </si>
  <si>
    <t>Alexandra Marinina</t>
  </si>
  <si>
    <t>Der gestohlene Traum - Anastasijas schwerster Fall</t>
  </si>
  <si>
    <t>9783596158973</t>
  </si>
  <si>
    <t>Elizabeth George</t>
  </si>
  <si>
    <t>With no one as witness - The new Inspector Lynley Mystery</t>
  </si>
  <si>
    <t>9780340827482</t>
  </si>
  <si>
    <t>Eva Menasse</t>
  </si>
  <si>
    <t>Quasikristalle</t>
  </si>
  <si>
    <t>Schutzumschlag fehlt sonst sehr guter Zustand</t>
  </si>
  <si>
    <t>9783462045130</t>
  </si>
  <si>
    <t>James Patterson &amp; Andrew Gross</t>
  </si>
  <si>
    <t>Die Rache des Kreuzfahrers</t>
  </si>
  <si>
    <t>9783404156238</t>
  </si>
  <si>
    <t>Peter Manseau</t>
  </si>
  <si>
    <t>Bibliothek der unerfüllten Träume</t>
  </si>
  <si>
    <t>9783423140461</t>
  </si>
  <si>
    <t>Britta Bolt</t>
  </si>
  <si>
    <t>Das Büro der einsamen Toten - Der erste Fall für Pieter Posthumus</t>
  </si>
  <si>
    <t>9783453438385</t>
  </si>
  <si>
    <t>Olivier Pauvert</t>
  </si>
  <si>
    <t>Noir</t>
  </si>
  <si>
    <t>-Mängelexemplar, guter bis sehr guter Zustand</t>
  </si>
  <si>
    <t>9783453675223</t>
  </si>
  <si>
    <t>Gerwens &amp; Schröger</t>
  </si>
  <si>
    <t>Stille Post in Kleinöd</t>
  </si>
  <si>
    <t>9783828991354</t>
  </si>
  <si>
    <t>Hanns Kneifel</t>
  </si>
  <si>
    <t>Jerusalem</t>
  </si>
  <si>
    <t>9783404165339</t>
  </si>
  <si>
    <t>Jäger - Gejagte Deutsche U-Boote 1939-1945</t>
  </si>
  <si>
    <t>9783453023567</t>
  </si>
  <si>
    <t>Imperium</t>
  </si>
  <si>
    <t>9783453470835</t>
  </si>
  <si>
    <t>Sylvia Day</t>
  </si>
  <si>
    <t>Crossfire Erfüllung</t>
  </si>
  <si>
    <t>9783453545601</t>
  </si>
  <si>
    <t>BN0566</t>
  </si>
  <si>
    <t>Licia Troisi</t>
  </si>
  <si>
    <t>Die Drachenkämpferin - Der Talisman der Macht</t>
  </si>
  <si>
    <t>Sehr guter Zustand - Augenscheinlich ungelesen</t>
  </si>
  <si>
    <t>9783453533035</t>
  </si>
  <si>
    <t>Sandra Gulland</t>
  </si>
  <si>
    <t>Jeoséphine</t>
  </si>
  <si>
    <t>Guter ZUstand</t>
  </si>
  <si>
    <t>9783596148806</t>
  </si>
  <si>
    <t>Flieh in die dunkle Nacht</t>
  </si>
  <si>
    <t>9783453408951</t>
  </si>
  <si>
    <t>J. D. Robb</t>
  </si>
  <si>
    <t>Ein feuriger Verehrer</t>
  </si>
  <si>
    <t>9783442360284</t>
  </si>
  <si>
    <t>In the presence of the enemy</t>
  </si>
  <si>
    <t>9780340831434</t>
  </si>
  <si>
    <t>Harry F. Saint</t>
  </si>
  <si>
    <t>Aufzeichnungen eines Unsichtbaren</t>
  </si>
  <si>
    <t>9783426020852</t>
  </si>
  <si>
    <t>BN0567</t>
  </si>
  <si>
    <t>BN0568</t>
  </si>
  <si>
    <t>BN0569</t>
  </si>
  <si>
    <t>BN0570</t>
  </si>
  <si>
    <t>Brigitte Blobel</t>
  </si>
  <si>
    <t>Das Haus des Portugiesen</t>
  </si>
  <si>
    <t>Mette Jakobsen</t>
  </si>
  <si>
    <t>Minous Geschichte</t>
  </si>
  <si>
    <t>Bloomsbury</t>
  </si>
  <si>
    <t>9783827054999</t>
  </si>
  <si>
    <t>Keiner werfe den ersten Stein</t>
  </si>
  <si>
    <t>9783442422036</t>
  </si>
  <si>
    <t>Lisa Jackson</t>
  </si>
  <si>
    <t>Wehe dem, der Böses tut</t>
  </si>
  <si>
    <t>9783828991460</t>
  </si>
  <si>
    <t>BN0571</t>
  </si>
  <si>
    <t>BN0572</t>
  </si>
  <si>
    <t>BN0573</t>
  </si>
  <si>
    <t>BN0574</t>
  </si>
  <si>
    <t>BN0575</t>
  </si>
  <si>
    <t>BN0576</t>
  </si>
  <si>
    <t>BN0577</t>
  </si>
  <si>
    <t>BN0578</t>
  </si>
  <si>
    <t>BN0579</t>
  </si>
  <si>
    <t>BN0580</t>
  </si>
  <si>
    <t>BN0581</t>
  </si>
  <si>
    <t>BN0582</t>
  </si>
  <si>
    <t>BN0583</t>
  </si>
  <si>
    <t>BN0584</t>
  </si>
  <si>
    <t>BN0585</t>
  </si>
  <si>
    <t>BN0586</t>
  </si>
  <si>
    <t>BN0587</t>
  </si>
  <si>
    <t>BN0588</t>
  </si>
  <si>
    <t>BN0589</t>
  </si>
  <si>
    <t>BN0590</t>
  </si>
  <si>
    <t>BN0591</t>
  </si>
  <si>
    <t>BN0592</t>
  </si>
  <si>
    <t>BN0593</t>
  </si>
  <si>
    <t>BN0594</t>
  </si>
  <si>
    <t>BN0595</t>
  </si>
  <si>
    <t>BN0596</t>
  </si>
  <si>
    <t>BN0597</t>
  </si>
  <si>
    <t>BN0598</t>
  </si>
  <si>
    <t>BN0599</t>
  </si>
  <si>
    <t>BN0600</t>
  </si>
  <si>
    <t>Catalin Dorian Florescu</t>
  </si>
  <si>
    <t>Jacob beschließt zu lieben</t>
  </si>
  <si>
    <t>beck</t>
  </si>
  <si>
    <t>9783406612671</t>
  </si>
  <si>
    <t>Uwe Neumann</t>
  </si>
  <si>
    <t>Klaus Mann</t>
  </si>
  <si>
    <t>9783499503320</t>
  </si>
  <si>
    <t>Maria Barbal</t>
  </si>
  <si>
    <t>Emma</t>
  </si>
  <si>
    <t>Transit</t>
  </si>
  <si>
    <t>9783887472405</t>
  </si>
  <si>
    <t>Guido Maria Kretschmer</t>
  </si>
  <si>
    <t>Eine Bluse macht noch keinen Sommer</t>
  </si>
  <si>
    <t>Edel</t>
  </si>
  <si>
    <t>9783841903266</t>
  </si>
  <si>
    <t>Markus Stegmann / René Zey</t>
  </si>
  <si>
    <t>Lexikon der graphischen Künste</t>
  </si>
  <si>
    <t>9783499163388</t>
  </si>
  <si>
    <t>Eva Ibbotson</t>
  </si>
  <si>
    <t>Vicky und der Weihnachtsengel</t>
  </si>
  <si>
    <t>ehemaliges Büchereibuch, guter bis sehr guter Zustand</t>
  </si>
  <si>
    <t>9783502113423</t>
  </si>
  <si>
    <t>Hans Norbert Fügen</t>
  </si>
  <si>
    <t>Max Weber</t>
  </si>
  <si>
    <t>9783499502163</t>
  </si>
  <si>
    <t>Edwin John Wintle</t>
  </si>
  <si>
    <t>Frühstück mit Tiffany</t>
  </si>
  <si>
    <t>9783442542222</t>
  </si>
  <si>
    <t>Laura Doyle</t>
  </si>
  <si>
    <t>Einfach schlau sein, einfach Frau sein</t>
  </si>
  <si>
    <t>Sehr guter Zustand, augenscheinlich ungelesen</t>
  </si>
  <si>
    <t>9783442163335</t>
  </si>
  <si>
    <t>Schokoladenküsse</t>
  </si>
  <si>
    <t>der Club</t>
  </si>
  <si>
    <t>Judy Markey</t>
  </si>
  <si>
    <t>Knietief im Paradies</t>
  </si>
  <si>
    <t>9783453171947</t>
  </si>
  <si>
    <t>Hoischen</t>
  </si>
  <si>
    <t>Technisches Zeichnen</t>
  </si>
  <si>
    <t>Cornelsen</t>
  </si>
  <si>
    <t>3590820241</t>
  </si>
  <si>
    <t>Flex</t>
  </si>
  <si>
    <t>Zeit der Gespenster</t>
  </si>
  <si>
    <t>9783492271905</t>
  </si>
  <si>
    <t>Dieter Brandes</t>
  </si>
  <si>
    <t>Einfach managen - Klarheit und Verzicht der Weg zum Wesentlichen</t>
  </si>
  <si>
    <t>neuwertig, Cover ist ein wenig schmutzig</t>
  </si>
  <si>
    <t>9783832308629</t>
  </si>
  <si>
    <t>John Grogan</t>
  </si>
  <si>
    <t>Marley &amp; Ich</t>
  </si>
  <si>
    <t>9783828993686</t>
  </si>
  <si>
    <t>Kurt Tepperwein</t>
  </si>
  <si>
    <t>Kraftquelle Mental Training</t>
  </si>
  <si>
    <t>3720513416</t>
  </si>
  <si>
    <t>Rachel Gibson</t>
  </si>
  <si>
    <t>Küsse auf Eis</t>
  </si>
  <si>
    <t>9783442472598</t>
  </si>
  <si>
    <t>Knaurs Kulturführer in Farbe</t>
  </si>
  <si>
    <t>neuwertig</t>
  </si>
  <si>
    <t>3426260530</t>
  </si>
  <si>
    <t>Patrick F. McManus</t>
  </si>
  <si>
    <t>Immer heiter und so weiter…</t>
  </si>
  <si>
    <t>9783453056800</t>
  </si>
  <si>
    <t>Dorothy Cannell</t>
  </si>
  <si>
    <t>So töte ich den Mann meiner Träume</t>
  </si>
  <si>
    <t>9783828904507</t>
  </si>
  <si>
    <t>Scriptum</t>
  </si>
  <si>
    <t>Susanne Gröble</t>
  </si>
  <si>
    <t>E. T. A. Hoffmann</t>
  </si>
  <si>
    <t>9783150152225</t>
  </si>
  <si>
    <t>Hakan Nesser</t>
  </si>
  <si>
    <t>Sein letzter Fall</t>
  </si>
  <si>
    <t>9783442734771</t>
  </si>
  <si>
    <t>Prof. Klaus Olfert</t>
  </si>
  <si>
    <t>Kompakt-Training - Außenhandel</t>
  </si>
  <si>
    <t>NWB</t>
  </si>
  <si>
    <t>9783470545134</t>
  </si>
  <si>
    <t>Die Prophezeihung</t>
  </si>
  <si>
    <t>Verfärbungen der Seiten vorhanden, sonst bis sehr guter Zustand</t>
  </si>
  <si>
    <t>9783453864429</t>
  </si>
  <si>
    <t>Brook und Keith Desserich</t>
  </si>
  <si>
    <t>Sie malte ein Lächeln in unsere Herzen</t>
  </si>
  <si>
    <t>Schutzumschlag mit leichten Gebrauchsspuren, sonst sehr guter Zustand</t>
  </si>
  <si>
    <t>9783868003505</t>
  </si>
  <si>
    <t>Peter Boerner</t>
  </si>
  <si>
    <t>Goethe</t>
  </si>
  <si>
    <t>Jürgen Schreiber</t>
  </si>
  <si>
    <t>Gnadenlos - Warum Menschen morden</t>
  </si>
  <si>
    <t>9783442744534</t>
  </si>
  <si>
    <t>Walter Lennig</t>
  </si>
  <si>
    <t>Benn, Gottfried</t>
  </si>
  <si>
    <t>20.</t>
  </si>
  <si>
    <t>9783499500718</t>
  </si>
  <si>
    <t>Alex Shearer</t>
  </si>
  <si>
    <t>Wenn Männer zu oft lügen</t>
  </si>
  <si>
    <t>9783404142507</t>
  </si>
  <si>
    <t>Mark Leyner &amp; Billy Goldberg</t>
  </si>
  <si>
    <t>Warum haben Männer Brustwarzen?</t>
  </si>
  <si>
    <t>9783442154081</t>
  </si>
  <si>
    <t>BN0601</t>
  </si>
  <si>
    <t>BN0602</t>
  </si>
  <si>
    <t>BN0603</t>
  </si>
  <si>
    <t>BN0604</t>
  </si>
  <si>
    <t>BN0605</t>
  </si>
  <si>
    <t>BN0606</t>
  </si>
  <si>
    <t>BN0607</t>
  </si>
  <si>
    <t>BN0608</t>
  </si>
  <si>
    <t>BN0609</t>
  </si>
  <si>
    <t>BN0610</t>
  </si>
  <si>
    <t>BN0611</t>
  </si>
  <si>
    <t>BN0612</t>
  </si>
  <si>
    <t>BN0613</t>
  </si>
  <si>
    <t>BN0614</t>
  </si>
  <si>
    <t>BN0615</t>
  </si>
  <si>
    <t>BN0616</t>
  </si>
  <si>
    <t>BN0617</t>
  </si>
  <si>
    <t>BN0618</t>
  </si>
  <si>
    <t>BN0619</t>
  </si>
  <si>
    <t>BN0620</t>
  </si>
  <si>
    <t>John Green</t>
  </si>
  <si>
    <t>Margos Spuren</t>
  </si>
  <si>
    <t>9783423086448</t>
  </si>
  <si>
    <t>Jeansgröße 0 - kein gramm zuviel</t>
  </si>
  <si>
    <t>augenscheinlich ungelesen</t>
  </si>
  <si>
    <t>9783401501475</t>
  </si>
  <si>
    <t>K. P. Bath</t>
  </si>
  <si>
    <t>Verschwörung auf Castle Cant</t>
  </si>
  <si>
    <t>9783791526737</t>
  </si>
  <si>
    <t>300 lustige Reisespiele für gute Stimmung - bei jedem Wetter</t>
  </si>
  <si>
    <t>Flexcover</t>
  </si>
  <si>
    <t>9783907200872</t>
  </si>
  <si>
    <t>Klaus und Jörg Koch</t>
  </si>
  <si>
    <t>Bloss nicht wie die Alten - Neue Wege zum Erwachsen werden</t>
  </si>
  <si>
    <t>3550065159</t>
  </si>
  <si>
    <t>Othmar Franz Lang</t>
  </si>
  <si>
    <t>Münchhausens Enkel</t>
  </si>
  <si>
    <t>Herold</t>
  </si>
  <si>
    <t>3776704136</t>
  </si>
  <si>
    <t>Max Pierre Schaeffer</t>
  </si>
  <si>
    <t>Mörderisch gute Krimis - Die schönsten Kurzgeschichten</t>
  </si>
  <si>
    <t>9783625210801</t>
  </si>
  <si>
    <t>Louise Erdrich</t>
  </si>
  <si>
    <t>Schattenfangen</t>
  </si>
  <si>
    <t>9783518422236</t>
  </si>
  <si>
    <t>Michael Curtin</t>
  </si>
  <si>
    <t>Der Club der Weihnachtshasser</t>
  </si>
  <si>
    <t>personalisiert, sonst sehr guter Zustand</t>
  </si>
  <si>
    <t>9783423211741</t>
  </si>
  <si>
    <t>Whispers and Lies</t>
  </si>
  <si>
    <t>9780743448642</t>
  </si>
  <si>
    <t>Michael Koschorreck &amp; Frank Suppanz</t>
  </si>
  <si>
    <t>Geisteswissenschaften studieren mit dem Computer</t>
  </si>
  <si>
    <t>9783150176443</t>
  </si>
  <si>
    <t>Gabrielle Wittkop-Ménardeau</t>
  </si>
  <si>
    <t>54.-57.Tausend</t>
  </si>
  <si>
    <t>3499501139</t>
  </si>
  <si>
    <t>Els Pelgrom</t>
  </si>
  <si>
    <t>Wo steckt der Elefant</t>
  </si>
  <si>
    <t>9783473342761</t>
  </si>
  <si>
    <t>Thor Heyerdahl</t>
  </si>
  <si>
    <t>aku-aku Das Geheimnis der Osterinsel</t>
  </si>
  <si>
    <t>Buddy Giovinazzo</t>
  </si>
  <si>
    <t>Poesie der Hölle</t>
  </si>
  <si>
    <t>Maas</t>
  </si>
  <si>
    <t>9783929010466</t>
  </si>
  <si>
    <t>Kinder entdecken den Körper</t>
  </si>
  <si>
    <t>Schwager &amp; Steinlein</t>
  </si>
  <si>
    <t>9783849904715</t>
  </si>
  <si>
    <t>Schmolke / Deitermann</t>
  </si>
  <si>
    <t>Industriebuchführung mit Kosten- und Leistungsrechnung</t>
  </si>
  <si>
    <t>Winklers</t>
  </si>
  <si>
    <t>34.</t>
  </si>
  <si>
    <t>9783804566217</t>
  </si>
  <si>
    <t>Jörg Hilbert / Felix Janosa</t>
  </si>
  <si>
    <t>Ritter Rost und die Hexe Verstexe</t>
  </si>
  <si>
    <t>ohne CD</t>
  </si>
  <si>
    <t>9783898357029</t>
  </si>
  <si>
    <t>Birgit Vanderbeke</t>
  </si>
  <si>
    <t>Das Muschelessen</t>
  </si>
  <si>
    <t>9783596137831</t>
  </si>
  <si>
    <t>Wolfgang und Heike Hohlbein</t>
  </si>
  <si>
    <t>Märchenmonds Erben</t>
  </si>
  <si>
    <t>Helga Glaesener</t>
  </si>
  <si>
    <t>Mary Burton</t>
  </si>
  <si>
    <t>Ian Rankin</t>
  </si>
  <si>
    <t>Die Safranhändlerin</t>
  </si>
  <si>
    <t>Niemand hört dich schreien</t>
  </si>
  <si>
    <t>Der Mackenzie Coup</t>
  </si>
  <si>
    <t>Limit</t>
  </si>
  <si>
    <t>EGMONT</t>
  </si>
  <si>
    <t>9783800025589</t>
  </si>
  <si>
    <t>4026411114040</t>
  </si>
  <si>
    <t>9783442469383</t>
  </si>
  <si>
    <t>9783596184880</t>
  </si>
  <si>
    <t>Diederichs Märchen der Weltliteratur</t>
  </si>
  <si>
    <t>Türkische Märchen</t>
  </si>
  <si>
    <t>9783499350924</t>
  </si>
  <si>
    <t>James Bowen</t>
  </si>
  <si>
    <t>Bob und wie er die Welt sieht</t>
  </si>
  <si>
    <t>9783404608027</t>
  </si>
  <si>
    <t>Douglas Preston und Lincoln Child</t>
  </si>
  <si>
    <t>Dark Secret - Mörderische Jagd</t>
  </si>
  <si>
    <t>9783426636404</t>
  </si>
  <si>
    <t>Elizabeth Pantleythe</t>
  </si>
  <si>
    <t>the no-cry sleep solution</t>
  </si>
  <si>
    <t>9780071381390</t>
  </si>
  <si>
    <t>Joachim Breschke</t>
  </si>
  <si>
    <t>Schnittblumen aus dem Garten</t>
  </si>
  <si>
    <t>Deutscher Landwirtschaftsverlag</t>
  </si>
  <si>
    <t>9783331006651</t>
  </si>
  <si>
    <t>BN0701</t>
  </si>
  <si>
    <t>BN0702</t>
  </si>
  <si>
    <t>BN0703</t>
  </si>
  <si>
    <t>BN0704</t>
  </si>
  <si>
    <t>BN0705</t>
  </si>
  <si>
    <t>BN0706</t>
  </si>
  <si>
    <t>BN0707</t>
  </si>
  <si>
    <t>BN0708</t>
  </si>
  <si>
    <t>BN0709</t>
  </si>
  <si>
    <t>BN0710</t>
  </si>
  <si>
    <t>BN0711</t>
  </si>
  <si>
    <t>BN0712</t>
  </si>
  <si>
    <t>BN0713</t>
  </si>
  <si>
    <t>BN0714</t>
  </si>
  <si>
    <t>BN0715</t>
  </si>
  <si>
    <t>BN0716</t>
  </si>
  <si>
    <t>BN0717</t>
  </si>
  <si>
    <t>BN0718</t>
  </si>
  <si>
    <t>BN0719</t>
  </si>
  <si>
    <t>BN0720</t>
  </si>
  <si>
    <t>BN0721</t>
  </si>
  <si>
    <t>BN0722</t>
  </si>
  <si>
    <t>BN0723</t>
  </si>
  <si>
    <t>BN0724</t>
  </si>
  <si>
    <t>BN0725</t>
  </si>
  <si>
    <t>BN0726</t>
  </si>
  <si>
    <t>BN0727</t>
  </si>
  <si>
    <t>BN0728</t>
  </si>
  <si>
    <t>BN0729</t>
  </si>
  <si>
    <t>BN0730</t>
  </si>
  <si>
    <t>BN0731</t>
  </si>
  <si>
    <t>BN0732</t>
  </si>
  <si>
    <t>BN0733</t>
  </si>
  <si>
    <t>BN0734</t>
  </si>
  <si>
    <t>BN0735</t>
  </si>
  <si>
    <t>BN0736</t>
  </si>
  <si>
    <t>BN0737</t>
  </si>
  <si>
    <t>BN0738</t>
  </si>
  <si>
    <t>BN0739</t>
  </si>
  <si>
    <t>BN0740</t>
  </si>
  <si>
    <t>BN0741</t>
  </si>
  <si>
    <t>BN0742</t>
  </si>
  <si>
    <t>A. Kast-Zahn / H. Morgenroth</t>
  </si>
  <si>
    <t>Jedes Kind kann schlafen lernen</t>
  </si>
  <si>
    <t>Oberstebrink</t>
  </si>
  <si>
    <t>9783980449304</t>
  </si>
  <si>
    <t>Claudia Ondracek / Angela Weinhold</t>
  </si>
  <si>
    <t>Bruno Burgschreck und andere Gespenstergeschichten</t>
  </si>
  <si>
    <t>9783505113109</t>
  </si>
  <si>
    <t>Medizin Wissen aktuell</t>
  </si>
  <si>
    <t>Rückenschmerzen lindern / natürlich heilen mit Wasser / Bluthochdruck / Kopfschmerzen und Migräne / Erkrankung der Arterien und Venen</t>
  </si>
  <si>
    <t>3625107902</t>
  </si>
  <si>
    <t>192 je Buch</t>
  </si>
  <si>
    <t>Das Echo der Schuld</t>
  </si>
  <si>
    <t>9783442383542</t>
  </si>
  <si>
    <t>Kinderschatz</t>
  </si>
  <si>
    <t>Kleine Schutzengelgeschichten</t>
  </si>
  <si>
    <t>gondolino</t>
  </si>
  <si>
    <t>personalisiert, sonst neuwertiger Zustand</t>
  </si>
  <si>
    <t>9783811225411</t>
  </si>
  <si>
    <t>Jutta Oltmanns</t>
  </si>
  <si>
    <t>Die Rückkehr des Kreuzfahrers</t>
  </si>
  <si>
    <t>9783426628591</t>
  </si>
  <si>
    <t>Peter Hahne</t>
  </si>
  <si>
    <t>Schluss mit Lustig - Das Ende der Spaßgesellschaft</t>
  </si>
  <si>
    <t>johannis</t>
  </si>
  <si>
    <t>32.</t>
  </si>
  <si>
    <t>9783501051801</t>
  </si>
  <si>
    <t>Ruth Ware</t>
  </si>
  <si>
    <t>Woman in Cabin 10</t>
  </si>
  <si>
    <t>9783423261784</t>
  </si>
  <si>
    <t>Irène Némirovsky</t>
  </si>
  <si>
    <t>Die Hunde und die Wlfe</t>
  </si>
  <si>
    <t>9783442739301</t>
  </si>
  <si>
    <t>Geschichten Zauber - Von kleinen und großen Hexen</t>
  </si>
  <si>
    <t>9783785551318</t>
  </si>
  <si>
    <t>Gaetan Picon</t>
  </si>
  <si>
    <t>Balzac</t>
  </si>
  <si>
    <t>31.-33.Tausend</t>
  </si>
  <si>
    <t>3499500302</t>
  </si>
  <si>
    <t>Hans-Uwe Rump</t>
  </si>
  <si>
    <t>Walther von der Vogelweide</t>
  </si>
  <si>
    <t>3499502097</t>
  </si>
  <si>
    <t>William Shakespeare</t>
  </si>
  <si>
    <t>Cymbelin</t>
  </si>
  <si>
    <t>9783150002254</t>
  </si>
  <si>
    <t>Franziska Sperr</t>
  </si>
  <si>
    <t>Die kleinste Fessel drückt mich unerträglich - Das Leben der Franziska zu Reventlow</t>
  </si>
  <si>
    <t>9783442731527</t>
  </si>
  <si>
    <t>Frank Garret</t>
  </si>
  <si>
    <t>Knight Rider - Geschäfte mit dem Tod</t>
  </si>
  <si>
    <t>9783442082162</t>
  </si>
  <si>
    <t>Martin Wehrle</t>
  </si>
  <si>
    <t>Ich arbeite in einem Irrenhaus - vom ganz normalen Büroalltag</t>
  </si>
  <si>
    <t>18.</t>
  </si>
  <si>
    <t>9783430200974</t>
  </si>
  <si>
    <t>Wolf v. Niebelschütz</t>
  </si>
  <si>
    <t>Die Kinder der Finsternis</t>
  </si>
  <si>
    <t>Haffmans</t>
  </si>
  <si>
    <t>Jubiläumsausgabe</t>
  </si>
  <si>
    <t>3251002902</t>
  </si>
  <si>
    <t>Nicholas Evans</t>
  </si>
  <si>
    <t>The Horse Whisperer</t>
  </si>
  <si>
    <t>Bantam Press</t>
  </si>
  <si>
    <t>9780593038895</t>
  </si>
  <si>
    <t>9783522180849</t>
  </si>
  <si>
    <t>Der Hahn ist tot</t>
  </si>
  <si>
    <t>9783257225754</t>
  </si>
  <si>
    <t>Nackt duschen streng verboten - Die verrücktesten Gesetze der Welt</t>
  </si>
  <si>
    <t>Gore Vidal</t>
  </si>
  <si>
    <t>Ewiger Krieg für ewigen Frieden</t>
  </si>
  <si>
    <t>Europäische Verlagsgesellschaft</t>
  </si>
  <si>
    <t>9783434505396</t>
  </si>
  <si>
    <t>Elbenschwert - Die Legende von Camelot 2</t>
  </si>
  <si>
    <t>9783800026784</t>
  </si>
  <si>
    <t>Das Buch</t>
  </si>
  <si>
    <t>9783800029976</t>
  </si>
  <si>
    <t>9783442428762</t>
  </si>
  <si>
    <t>Michael Weins</t>
  </si>
  <si>
    <t>Goldener Reiter</t>
  </si>
  <si>
    <t>9783499231988</t>
  </si>
  <si>
    <t>Mathematik - Lösungen zu Original Prüfungsaufgaben und Training</t>
  </si>
  <si>
    <t>Stark</t>
  </si>
  <si>
    <t>9783849028213</t>
  </si>
  <si>
    <t>Ben Bennett</t>
  </si>
  <si>
    <t>Das Lächeln des Himmels</t>
  </si>
  <si>
    <t>9783404164592</t>
  </si>
  <si>
    <t>Walter Kempowski</t>
  </si>
  <si>
    <t>Uns geht's ja noch gold</t>
  </si>
  <si>
    <t>-Mängelexemplar-; sonst sehr guter Zustand</t>
  </si>
  <si>
    <t>9783442725373</t>
  </si>
  <si>
    <t>BN0743</t>
  </si>
  <si>
    <t>BN0744</t>
  </si>
  <si>
    <t>BN0745</t>
  </si>
  <si>
    <t>Kim Gruenenfelder</t>
  </si>
  <si>
    <t>Erst denken, dann küssen</t>
  </si>
  <si>
    <t>9783596169184</t>
  </si>
  <si>
    <t>Lisa Gardner</t>
  </si>
  <si>
    <t>Lauf wenn du kannst</t>
  </si>
  <si>
    <t>Aufbau</t>
  </si>
  <si>
    <t>9783746623733</t>
  </si>
  <si>
    <t>Jacques Berndorf</t>
  </si>
  <si>
    <t>Der Kurier</t>
  </si>
  <si>
    <t>Grafit</t>
  </si>
  <si>
    <t>Jane Smiley</t>
  </si>
  <si>
    <t>Mörder in Manhatten</t>
  </si>
  <si>
    <t>Schröder</t>
  </si>
  <si>
    <t>Es ist nie zu spät für alles</t>
  </si>
  <si>
    <t>9783596180141</t>
  </si>
  <si>
    <t>BN0746</t>
  </si>
  <si>
    <t>BN0747</t>
  </si>
  <si>
    <t>BN0748</t>
  </si>
  <si>
    <t>BN0749</t>
  </si>
  <si>
    <t>BN0750</t>
  </si>
  <si>
    <t>Superpapa - 400 ganz legale Tricks für den besten Papa der Welt</t>
  </si>
  <si>
    <t>9783629021410</t>
  </si>
  <si>
    <t>Ich hab dich im Gefühl</t>
  </si>
  <si>
    <t>9783810501448</t>
  </si>
  <si>
    <t>Anubis</t>
  </si>
  <si>
    <t>9783785721780</t>
  </si>
  <si>
    <t>Stefan Nink</t>
  </si>
  <si>
    <t>Donnerstags im fetten Hecht</t>
  </si>
  <si>
    <t>9783809026228</t>
  </si>
  <si>
    <t>Brenda Halpin</t>
  </si>
  <si>
    <t>Song about you</t>
  </si>
  <si>
    <t>9783404165490</t>
  </si>
  <si>
    <t>BN0751</t>
  </si>
  <si>
    <t>BN0752</t>
  </si>
  <si>
    <t>BN0753</t>
  </si>
  <si>
    <t>BN0754</t>
  </si>
  <si>
    <t>BN0755</t>
  </si>
  <si>
    <t>BN0756</t>
  </si>
  <si>
    <t>BN0757</t>
  </si>
  <si>
    <t>BN0758</t>
  </si>
  <si>
    <t>BN0759</t>
  </si>
  <si>
    <t>BN0760</t>
  </si>
  <si>
    <t>BN0761</t>
  </si>
  <si>
    <t>BN0762</t>
  </si>
  <si>
    <t>BN0763</t>
  </si>
  <si>
    <t>BN0764</t>
  </si>
  <si>
    <t>BN0766</t>
  </si>
  <si>
    <t>BN0767</t>
  </si>
  <si>
    <t>BN0768</t>
  </si>
  <si>
    <t>BN0769</t>
  </si>
  <si>
    <t>BN0770</t>
  </si>
  <si>
    <t>BN0771</t>
  </si>
  <si>
    <t>BN0772</t>
  </si>
  <si>
    <t>BN0773</t>
  </si>
  <si>
    <t>BN0774</t>
  </si>
  <si>
    <t>BN0775</t>
  </si>
  <si>
    <t>BN0776</t>
  </si>
  <si>
    <t>BN0777</t>
  </si>
  <si>
    <t>BN0778</t>
  </si>
  <si>
    <t>BN0779</t>
  </si>
  <si>
    <t>BN0780</t>
  </si>
  <si>
    <t>BN0781</t>
  </si>
  <si>
    <t>BN0782</t>
  </si>
  <si>
    <t>BN0783</t>
  </si>
  <si>
    <t>BN0784</t>
  </si>
  <si>
    <t>BN0785</t>
  </si>
  <si>
    <t>BN0786</t>
  </si>
  <si>
    <t>BN0787</t>
  </si>
  <si>
    <t>BN0788</t>
  </si>
  <si>
    <t>BN0789</t>
  </si>
  <si>
    <t>BN0790</t>
  </si>
  <si>
    <t>BN0791</t>
  </si>
  <si>
    <t>BN0792</t>
  </si>
  <si>
    <t>BN0793</t>
  </si>
  <si>
    <t>BN0794</t>
  </si>
  <si>
    <t>BN0795</t>
  </si>
  <si>
    <t>BN0796</t>
  </si>
  <si>
    <t>BN0797</t>
  </si>
  <si>
    <t>BN0798</t>
  </si>
  <si>
    <t>BN0799</t>
  </si>
  <si>
    <t>BN0800</t>
  </si>
  <si>
    <t>Tilman Röhrig</t>
  </si>
  <si>
    <t>Wie ein Lamm unter Löwen</t>
  </si>
  <si>
    <t>9783404259144</t>
  </si>
  <si>
    <t>Anne Zamberlan</t>
  </si>
  <si>
    <t>Ich bleibe wie ich bin - Dick und trotzdem glücklich</t>
  </si>
  <si>
    <t>9783404614998</t>
  </si>
  <si>
    <t>Val McDermid</t>
  </si>
  <si>
    <t>Echo einer Winternacht</t>
  </si>
  <si>
    <t>9783426631584</t>
  </si>
  <si>
    <t>C.J. Sansom</t>
  </si>
  <si>
    <t>Der Anwalt des Königs</t>
  </si>
  <si>
    <t>9783596175673</t>
  </si>
  <si>
    <t>Michaela Haas</t>
  </si>
  <si>
    <t>Crazy America - Eine Liebeserklärung an ein durchgeknalltes Land</t>
  </si>
  <si>
    <t>9783442159314</t>
  </si>
  <si>
    <t>Carlos Ruiz Zafón</t>
  </si>
  <si>
    <t>Das Spiel des Engels</t>
  </si>
  <si>
    <t>9783596186440</t>
  </si>
  <si>
    <t>Amy Guitman</t>
  </si>
  <si>
    <t>Es ist nicht vorbei</t>
  </si>
  <si>
    <t>9783746620909</t>
  </si>
  <si>
    <t>Für immer vielleicht</t>
  </si>
  <si>
    <t>3810501417</t>
  </si>
  <si>
    <t>Denise Mina</t>
  </si>
  <si>
    <t>Die zweite Tote</t>
  </si>
  <si>
    <t>-Mängelexemplar</t>
  </si>
  <si>
    <t>9783426624012</t>
  </si>
  <si>
    <t>Joachim Meyerhoff</t>
  </si>
  <si>
    <t>Alle Toten fliegen hoch</t>
  </si>
  <si>
    <t>23.</t>
  </si>
  <si>
    <t>9783462044362</t>
  </si>
  <si>
    <t>Axel Fröhlich</t>
  </si>
  <si>
    <t>Frauenkrankheiten</t>
  </si>
  <si>
    <t>Riva</t>
  </si>
  <si>
    <t>9783868832785</t>
  </si>
  <si>
    <t>Hans G. Franciskowsky</t>
  </si>
  <si>
    <t>Wendy - Oliver kommt zurück</t>
  </si>
  <si>
    <t>9783505108938</t>
  </si>
  <si>
    <t>Kids entdecken die Natur - Waldtiere, Vögel &amp; Co.</t>
  </si>
  <si>
    <t>PALAST</t>
  </si>
  <si>
    <t>9783939527084</t>
  </si>
  <si>
    <t>Marlit Hoffman</t>
  </si>
  <si>
    <t>Was tun mit jungen Pferden</t>
  </si>
  <si>
    <t>Müller Rüschlikon</t>
  </si>
  <si>
    <t>9783275014453</t>
  </si>
  <si>
    <t>Tommy Jaud</t>
  </si>
  <si>
    <t>Carl Hiaasen</t>
  </si>
  <si>
    <t>Sternchen Himmel</t>
  </si>
  <si>
    <t>9783442480661</t>
  </si>
  <si>
    <t>Harriet Evans</t>
  </si>
  <si>
    <t>Das Glück in deinen Augen</t>
  </si>
  <si>
    <t>9783426507872</t>
  </si>
  <si>
    <t>Deborah Fowler</t>
  </si>
  <si>
    <t>Wenn deine Kinder meine Kinder werden - Leben in einer Patchworkfamilie</t>
  </si>
  <si>
    <t>R. Brockhaus</t>
  </si>
  <si>
    <t>341711111X</t>
  </si>
  <si>
    <t>Bastian Sick</t>
  </si>
  <si>
    <t>Der Dativ ist dem Genitiv sein Tod</t>
  </si>
  <si>
    <t>9783462034486</t>
  </si>
  <si>
    <t>Cordula Stratmann</t>
  </si>
  <si>
    <t>Sie da oben, er da unten</t>
  </si>
  <si>
    <t>9783462039351</t>
  </si>
  <si>
    <t>Wer Wind sät</t>
  </si>
  <si>
    <t>Karl Olsberg</t>
  </si>
  <si>
    <t>Würfelwelt</t>
  </si>
  <si>
    <t>9781490551616</t>
  </si>
  <si>
    <t>Frans G. Bengtsson</t>
  </si>
  <si>
    <t>Die Abenteuer des Röde Orm</t>
  </si>
  <si>
    <t>9783423200554</t>
  </si>
  <si>
    <t>Frank McCourt</t>
  </si>
  <si>
    <t>Die Asche meiner Mutter</t>
  </si>
  <si>
    <t>9783442723072</t>
  </si>
  <si>
    <t>Wolf Arnold</t>
  </si>
  <si>
    <t>Die mehreren Leben des Anton Joseph</t>
  </si>
  <si>
    <t>Mitteldeutscher Verlag</t>
  </si>
  <si>
    <t>Der Magier - Der Erbe der Nacht</t>
  </si>
  <si>
    <t>Tosa</t>
  </si>
  <si>
    <t>9783854929550</t>
  </si>
  <si>
    <t>Lynn Raven</t>
  </si>
  <si>
    <t>Der Kuss des Dämons</t>
  </si>
  <si>
    <t>Der Widersacher</t>
  </si>
  <si>
    <t>9783893509881</t>
  </si>
  <si>
    <t>Walter Satterhwait</t>
  </si>
  <si>
    <t>Scherenschnitte</t>
  </si>
  <si>
    <t>9783442450251</t>
  </si>
  <si>
    <t>Gabriele Metz</t>
  </si>
  <si>
    <t>So pflege ich mein Pferd</t>
  </si>
  <si>
    <t>9783440112984</t>
  </si>
  <si>
    <t>Robin Felder</t>
  </si>
  <si>
    <t>Paranoia</t>
  </si>
  <si>
    <t>9783746628066</t>
  </si>
  <si>
    <t>Vollidiot</t>
  </si>
  <si>
    <t>9783596177516</t>
  </si>
  <si>
    <t>Kleine Reitschule - Handbuch für Einsteiger</t>
  </si>
  <si>
    <t>9783861463474</t>
  </si>
  <si>
    <t>Nina Schindler</t>
  </si>
  <si>
    <t>Küssen erlaubt?</t>
  </si>
  <si>
    <t>9783401059228</t>
  </si>
  <si>
    <t>Hausmittel für Kinder</t>
  </si>
  <si>
    <t>Prof. Dr. Med. Walter Dorsch / Marianne Loibl</t>
  </si>
  <si>
    <t>Gräfe und Unzer</t>
  </si>
  <si>
    <t>9783774248021</t>
  </si>
  <si>
    <t>Jan Weiler</t>
  </si>
  <si>
    <t>Maria, ihm schmeckt's nicht</t>
  </si>
  <si>
    <t>29.</t>
  </si>
  <si>
    <t>9783548264264</t>
  </si>
  <si>
    <t>Felix Anschütz / Nico Degenkolb / Krischan Dietmaier / Thomas Neumann</t>
  </si>
  <si>
    <t>Entschuldigung, sind sie die Wurst?</t>
  </si>
  <si>
    <t>9783453601192</t>
  </si>
  <si>
    <t>Hugo Verlomme</t>
  </si>
  <si>
    <t>Die Nacht der Delphine - Eine Geschichte der Hoffnung</t>
  </si>
  <si>
    <t>9783596172917</t>
  </si>
  <si>
    <t>Hans von Wolzogen</t>
  </si>
  <si>
    <t>Lebensbilder</t>
  </si>
  <si>
    <t>Gustav Bosse</t>
  </si>
  <si>
    <t>1923?</t>
  </si>
  <si>
    <t>Margaret Weis / Don Perrin</t>
  </si>
  <si>
    <t>Der Zauberer der Drachenlanze / Die Zauberprüfung / Der Zorn des Drachen</t>
  </si>
  <si>
    <t>9783442243037</t>
  </si>
  <si>
    <t>Sieglinde Holl</t>
  </si>
  <si>
    <t>Originelle Geldgeschenke zur Hochzeit</t>
  </si>
  <si>
    <t>3772420532</t>
  </si>
  <si>
    <t>Katharina Beta</t>
  </si>
  <si>
    <t>Katharsis - Aus dem Wasser geboren</t>
  </si>
  <si>
    <t>Ibera</t>
  </si>
  <si>
    <t>3900436932</t>
  </si>
  <si>
    <t>Tom Clancy / Steve Pieczenik</t>
  </si>
  <si>
    <t>OP-Center / Spiegelbild</t>
  </si>
  <si>
    <t>ehemaliges Büchereibuch</t>
  </si>
  <si>
    <t>9783453861848</t>
  </si>
  <si>
    <t>Merian reiseführer</t>
  </si>
  <si>
    <t>9783423037563</t>
  </si>
  <si>
    <t>Ursel Scheffler</t>
  </si>
  <si>
    <t>Ein Fall für Sara R. - Spiel mit dem Feuer</t>
  </si>
  <si>
    <t>9783505103230</t>
  </si>
  <si>
    <t>Lee Vance</t>
  </si>
  <si>
    <t>Spur des Verrats</t>
  </si>
  <si>
    <t>9783833308659</t>
  </si>
  <si>
    <t>Tierisch Geld verschenken</t>
  </si>
  <si>
    <t>3772418104</t>
  </si>
  <si>
    <t>Pearl S. Buck</t>
  </si>
  <si>
    <t>Westwind Ostwind</t>
  </si>
  <si>
    <t>3625201291</t>
  </si>
  <si>
    <t>Gruselgeschichten</t>
  </si>
  <si>
    <t>9783785528693</t>
  </si>
  <si>
    <t>Jo Platt</t>
  </si>
  <si>
    <t>Herz über Kopf</t>
  </si>
  <si>
    <t>9783499268854</t>
  </si>
  <si>
    <t>-Mängelexemplar- sonst Sehr guter Zustand</t>
  </si>
  <si>
    <t>BN0801</t>
  </si>
  <si>
    <t>BN0802</t>
  </si>
  <si>
    <t>BN0803</t>
  </si>
  <si>
    <t>BN0804</t>
  </si>
  <si>
    <t>BN0805</t>
  </si>
  <si>
    <t>BN0806</t>
  </si>
  <si>
    <t>BN0807</t>
  </si>
  <si>
    <t>BN0808</t>
  </si>
  <si>
    <t>BN0809</t>
  </si>
  <si>
    <t>BN0810</t>
  </si>
  <si>
    <t>BN0811</t>
  </si>
  <si>
    <t>BN0812</t>
  </si>
  <si>
    <t>BN0813</t>
  </si>
  <si>
    <t>BN0814</t>
  </si>
  <si>
    <t>BN0815</t>
  </si>
  <si>
    <t>BN0816</t>
  </si>
  <si>
    <t>BN0817</t>
  </si>
  <si>
    <t>BN0818</t>
  </si>
  <si>
    <t>BN0819</t>
  </si>
  <si>
    <t>BN0820</t>
  </si>
  <si>
    <t>BN0821</t>
  </si>
  <si>
    <t>BN0822</t>
  </si>
  <si>
    <t>BN0823</t>
  </si>
  <si>
    <t>BN0824</t>
  </si>
  <si>
    <t>BN0825</t>
  </si>
  <si>
    <t>BN0826</t>
  </si>
  <si>
    <t>BN0827</t>
  </si>
  <si>
    <t>BN0828</t>
  </si>
  <si>
    <t>BN0829</t>
  </si>
  <si>
    <t>BN0830</t>
  </si>
  <si>
    <t>BN0831</t>
  </si>
  <si>
    <t>BN0832</t>
  </si>
  <si>
    <t>BN0833</t>
  </si>
  <si>
    <t>BN0834</t>
  </si>
  <si>
    <t>BN0835</t>
  </si>
  <si>
    <t>BN0836</t>
  </si>
  <si>
    <t>BN0837</t>
  </si>
  <si>
    <t>BN0838</t>
  </si>
  <si>
    <t>BN0839</t>
  </si>
  <si>
    <t>BN0840</t>
  </si>
  <si>
    <t>BN0841</t>
  </si>
  <si>
    <t>BN0842</t>
  </si>
  <si>
    <t>BN0843</t>
  </si>
  <si>
    <t>BN0844</t>
  </si>
  <si>
    <t>BN0845</t>
  </si>
  <si>
    <t>BN0846</t>
  </si>
  <si>
    <t>BN0847</t>
  </si>
  <si>
    <t>BN0848</t>
  </si>
  <si>
    <t>BN0849</t>
  </si>
  <si>
    <t>BN0850</t>
  </si>
  <si>
    <t>Brenda Joyce</t>
  </si>
  <si>
    <t>Kates Geheimnis</t>
  </si>
  <si>
    <t>9783863658007</t>
  </si>
  <si>
    <t>Die letzte Spur</t>
  </si>
  <si>
    <t>9783442464586</t>
  </si>
  <si>
    <t>Sergio Bambaren</t>
  </si>
  <si>
    <t>Der Traum des Leuchtturmwärters: Ein Ort für deine Sehnsüchte</t>
  </si>
  <si>
    <t>9783492236430</t>
  </si>
  <si>
    <t>Kevins Reise  Kevins Schwur</t>
  </si>
  <si>
    <t>9783828986107</t>
  </si>
  <si>
    <t>Kerstin Gier</t>
  </si>
  <si>
    <t>Die Mütter-Mafia</t>
  </si>
  <si>
    <t>9783404152964</t>
  </si>
  <si>
    <t>Peter Benchley</t>
  </si>
  <si>
    <t>Der weiße Hai</t>
  </si>
  <si>
    <t>Waris Dirie</t>
  </si>
  <si>
    <t>9783548365916</t>
  </si>
  <si>
    <t>Tomek Tryzna</t>
  </si>
  <si>
    <t>Zauberer</t>
  </si>
  <si>
    <t>-Mängelexemplar-, sonst sehr guter Zustand</t>
  </si>
  <si>
    <t>9783442736966</t>
  </si>
  <si>
    <t>Barbara Bickmore</t>
  </si>
  <si>
    <t>Der Mond am anderen Ende der Welt</t>
  </si>
  <si>
    <t>4026411172804</t>
  </si>
  <si>
    <t>Maeve Binchy</t>
  </si>
  <si>
    <t>Unter der Blutbuche</t>
  </si>
  <si>
    <t>Ake Smedberg</t>
  </si>
  <si>
    <t>Verschollen</t>
  </si>
  <si>
    <t>4016491018314</t>
  </si>
  <si>
    <t>Warum Männer lügen und Frauen immer Schuhe kaufen</t>
  </si>
  <si>
    <t>3550075359</t>
  </si>
  <si>
    <t>Jutta Lamy und Christina Zacker</t>
  </si>
  <si>
    <t>Essen sie sich schlank</t>
  </si>
  <si>
    <t>Midena</t>
  </si>
  <si>
    <t>9783310002711</t>
  </si>
  <si>
    <t>Gaby Hauptmann</t>
  </si>
  <si>
    <t>Suche impotenten Mann fürs Leben</t>
  </si>
  <si>
    <t>9783492260558</t>
  </si>
  <si>
    <t>Der Ratgeber für neue Autoren</t>
  </si>
  <si>
    <t>Frankfurter Ratgeber Verlag</t>
  </si>
  <si>
    <t>9783981054804</t>
  </si>
  <si>
    <t>Heroin: Die süchtige Gesellschaft</t>
  </si>
  <si>
    <t>lucy körner</t>
  </si>
  <si>
    <t>3922028039</t>
  </si>
  <si>
    <t>Martin Haller</t>
  </si>
  <si>
    <t>Der neue Kosmos-Pferdeführer</t>
  </si>
  <si>
    <t>9783440090596</t>
  </si>
  <si>
    <t>Dietrich Grönemeyer</t>
  </si>
  <si>
    <t>Mensch bleiben: High-Tech und Herz - eine liebevolle Medizin ist keine Utopie</t>
  </si>
  <si>
    <t>Herder</t>
  </si>
  <si>
    <t>signiert</t>
  </si>
  <si>
    <t>9783451287305</t>
  </si>
  <si>
    <t>Benny Blu</t>
  </si>
  <si>
    <t>Ritter schwer gerüstet hoch zu Ross</t>
  </si>
  <si>
    <t>Kinderleicht Wissen</t>
  </si>
  <si>
    <t>9783867511674</t>
  </si>
  <si>
    <t>Tadeusz Nowakowski</t>
  </si>
  <si>
    <t>Ich fürchte mich nicht - Die Reise des Papstes</t>
  </si>
  <si>
    <t>Langen Müller</t>
  </si>
  <si>
    <t>3784419119</t>
  </si>
  <si>
    <t>Isadorra Ewans</t>
  </si>
  <si>
    <t>Games of Trust: Sehnsucht nach Liebe</t>
  </si>
  <si>
    <t>-Mängelexemplar-, sonst sehr guter fast neuwertiger Zustand</t>
  </si>
  <si>
    <t>9783426517246</t>
  </si>
  <si>
    <t>Mary Willis Walker</t>
  </si>
  <si>
    <t>Laß die Toten ruhn</t>
  </si>
  <si>
    <t>9783442446889</t>
  </si>
  <si>
    <t>Joyce Carol Oates</t>
  </si>
  <si>
    <t>Ofiara</t>
  </si>
  <si>
    <t>polnisch</t>
  </si>
  <si>
    <t>9788328026599</t>
  </si>
  <si>
    <t>Katja Senner</t>
  </si>
  <si>
    <t>Entdecke die Feuerwehr</t>
  </si>
  <si>
    <t>9783401082882</t>
  </si>
  <si>
    <t>Ponygeschichten</t>
  </si>
  <si>
    <t>9783473363483</t>
  </si>
  <si>
    <t>Gary Jennings</t>
  </si>
  <si>
    <t>Der Azteke</t>
  </si>
  <si>
    <t>9783596133246</t>
  </si>
  <si>
    <t>Heute gelassen sein</t>
  </si>
  <si>
    <t>9783451290190</t>
  </si>
  <si>
    <t>Atos Wirtanen</t>
  </si>
  <si>
    <t>August Strindberg</t>
  </si>
  <si>
    <t>Claus Kleber</t>
  </si>
  <si>
    <t>Amerikas Kreuzzüge: Was die Weltmacht treibt</t>
  </si>
  <si>
    <t>Pantheon</t>
  </si>
  <si>
    <t>9783570550014</t>
  </si>
  <si>
    <t>Kate Wilhelm</t>
  </si>
  <si>
    <t>Huysmans Schoßtierchen</t>
  </si>
  <si>
    <t>9783453034624</t>
  </si>
  <si>
    <t>Versand</t>
  </si>
  <si>
    <t>Lisa Unger</t>
  </si>
  <si>
    <t>Hüte dich vor deinem Nächsten</t>
  </si>
  <si>
    <t>9783442472284</t>
  </si>
  <si>
    <t>Eisige Nähe</t>
  </si>
  <si>
    <t>9783426639412</t>
  </si>
  <si>
    <t>Helen Fielding</t>
  </si>
  <si>
    <t>Bridget Jones' Baby</t>
  </si>
  <si>
    <t>9783442486656</t>
  </si>
  <si>
    <t>Das Geheimnis der Hebamme</t>
  </si>
  <si>
    <t>9783426634127</t>
  </si>
  <si>
    <t>Langenscheidts Sprachführer</t>
  </si>
  <si>
    <t>Spanish</t>
  </si>
  <si>
    <t>9783468223440</t>
  </si>
  <si>
    <t>Die Entscheidung der Hebamme</t>
  </si>
  <si>
    <t>9783426638354</t>
  </si>
  <si>
    <t>spanisch / deutsch</t>
  </si>
  <si>
    <t>9783426636954</t>
  </si>
  <si>
    <t>Frauenhand auf Männerpo</t>
  </si>
  <si>
    <t>9783492236355</t>
  </si>
  <si>
    <t>Schulwissen kompakt</t>
  </si>
  <si>
    <t>Deutsch / Mathematik / Biologie / Politik / Pfysik - Chemie - Informatik</t>
  </si>
  <si>
    <t>im praktischen Sammelband bestehend aus 5 Büchern</t>
  </si>
  <si>
    <t>9783625107934</t>
  </si>
  <si>
    <t>Lügen, die von Herzen kommen</t>
  </si>
  <si>
    <t>9783404162369</t>
  </si>
  <si>
    <t>Rose Marie Donhauser</t>
  </si>
  <si>
    <t>Kochen für Meckermäuler: Die Sieben-Tage-Familienküch mit Genussgarantie</t>
  </si>
  <si>
    <t>Thorbecke</t>
  </si>
  <si>
    <t>9783799504454</t>
  </si>
  <si>
    <t>Heiner Roetz</t>
  </si>
  <si>
    <t>Konfuzius: Beck'sche Reihe Denker</t>
  </si>
  <si>
    <t>C.H. Beck</t>
  </si>
  <si>
    <t>9783406439292</t>
  </si>
  <si>
    <t>Paul Sporken</t>
  </si>
  <si>
    <t>Mein Weg zurück ins Leben</t>
  </si>
  <si>
    <t>9783451040788</t>
  </si>
  <si>
    <t>Markus Kavka</t>
  </si>
  <si>
    <t>Hamma wieder was gelernt über das Erwachsenwerden</t>
  </si>
  <si>
    <t>9783499623790</t>
  </si>
  <si>
    <t>Ronald Giphart</t>
  </si>
  <si>
    <t>Heiß</t>
  </si>
  <si>
    <t>9783462036619</t>
  </si>
  <si>
    <t>Dr. Eva Gesine Baur &amp; Dr. med. Wilhelm Schmid-Bode</t>
  </si>
  <si>
    <t>Glück ist kein Zufall</t>
  </si>
  <si>
    <t>3774248427</t>
  </si>
  <si>
    <t>Rästelkrimis</t>
  </si>
  <si>
    <t>Die Rätsel der Schwarzen Schlange: Tödlicher Irrtum</t>
  </si>
  <si>
    <t>Lingen</t>
  </si>
  <si>
    <t>Der blaue Express</t>
  </si>
  <si>
    <t>9783502552482</t>
  </si>
  <si>
    <t>Christian Morgenstern</t>
  </si>
  <si>
    <t>Alle Galgenlieder</t>
  </si>
  <si>
    <t>9783763266524</t>
  </si>
  <si>
    <t>Peter Seibert</t>
  </si>
  <si>
    <t>Adenauer aekdotisch</t>
  </si>
  <si>
    <t>Bechtle</t>
  </si>
  <si>
    <t>3-7628-0463-X</t>
  </si>
  <si>
    <t>BN0851</t>
  </si>
  <si>
    <t>BN0852</t>
  </si>
  <si>
    <t>BN0853</t>
  </si>
  <si>
    <t>BN0854</t>
  </si>
  <si>
    <t>BN0855</t>
  </si>
  <si>
    <t>BN0856</t>
  </si>
  <si>
    <t>BN0857</t>
  </si>
  <si>
    <t>BN0858</t>
  </si>
  <si>
    <t>BN0859</t>
  </si>
  <si>
    <t>BN0860</t>
  </si>
  <si>
    <t>BN0861</t>
  </si>
  <si>
    <t>BN0862</t>
  </si>
  <si>
    <t>BN0863</t>
  </si>
  <si>
    <t>BN0864</t>
  </si>
  <si>
    <t>BN0865</t>
  </si>
  <si>
    <t>BN0866</t>
  </si>
  <si>
    <t>BN0867</t>
  </si>
  <si>
    <t>BN0868</t>
  </si>
  <si>
    <t>BN0869</t>
  </si>
  <si>
    <t>BN0870</t>
  </si>
  <si>
    <t>BN0871</t>
  </si>
  <si>
    <t>BN0872</t>
  </si>
  <si>
    <t>BN0873</t>
  </si>
  <si>
    <t>BN0874</t>
  </si>
  <si>
    <t>BN0875</t>
  </si>
  <si>
    <t>BN0876</t>
  </si>
  <si>
    <t>BN0877</t>
  </si>
  <si>
    <t>BN0878</t>
  </si>
  <si>
    <t>BN0879</t>
  </si>
  <si>
    <t>BN0880</t>
  </si>
  <si>
    <t>BN0881</t>
  </si>
  <si>
    <t>BN0882</t>
  </si>
  <si>
    <t>BN0883</t>
  </si>
  <si>
    <t>BN0884</t>
  </si>
  <si>
    <t>BN0885</t>
  </si>
  <si>
    <t>BN0886</t>
  </si>
  <si>
    <t>BN0887</t>
  </si>
  <si>
    <t>BN0888</t>
  </si>
  <si>
    <t>BN0889</t>
  </si>
  <si>
    <t>BN0890</t>
  </si>
  <si>
    <t>BN0891</t>
  </si>
  <si>
    <t>BN0892</t>
  </si>
  <si>
    <t>BN0893</t>
  </si>
  <si>
    <t>BN0894</t>
  </si>
  <si>
    <t>BN0895</t>
  </si>
  <si>
    <t>BN0896</t>
  </si>
  <si>
    <t>BN0897</t>
  </si>
  <si>
    <t>BN0898</t>
  </si>
  <si>
    <t>BN0899</t>
  </si>
  <si>
    <t>BN0900</t>
  </si>
  <si>
    <t>ENWOR 1: Der wandernde Wald</t>
  </si>
  <si>
    <t>4026411113319</t>
  </si>
  <si>
    <t>ENWOR 2: Die brennende Stadt</t>
  </si>
  <si>
    <t>4026411113326</t>
  </si>
  <si>
    <t>4026411113333</t>
  </si>
  <si>
    <t>4026411113340</t>
  </si>
  <si>
    <t>4026411113357</t>
  </si>
  <si>
    <t>Anita Shreve</t>
  </si>
  <si>
    <t>Olympia</t>
  </si>
  <si>
    <t>9783492233507</t>
  </si>
  <si>
    <t>Ilona Einwohlt</t>
  </si>
  <si>
    <t>Meine Cluque und ich</t>
  </si>
  <si>
    <t>9783401064437</t>
  </si>
  <si>
    <t>Gear &amp; Gear</t>
  </si>
  <si>
    <t>Lucifers Erbe</t>
  </si>
  <si>
    <t>Bertelsmann</t>
  </si>
  <si>
    <t>Petra Würth</t>
  </si>
  <si>
    <t>Unter Strom</t>
  </si>
  <si>
    <t>9783442443239</t>
  </si>
  <si>
    <t>Fran Cusworth</t>
  </si>
  <si>
    <t>Und plötzlich warst du da</t>
  </si>
  <si>
    <t>9783426637395</t>
  </si>
  <si>
    <t>Maryse Condé</t>
  </si>
  <si>
    <t>Segu</t>
  </si>
  <si>
    <t>9783442093625</t>
  </si>
  <si>
    <t>Liebe, Küsse, Herzgeschichten</t>
  </si>
  <si>
    <t>9783522177344</t>
  </si>
  <si>
    <t>Susan Elizabeth Phillips</t>
  </si>
  <si>
    <t>Küss mich, wenn du kannst</t>
  </si>
  <si>
    <t>9783442362998</t>
  </si>
  <si>
    <t>Irma Krau</t>
  </si>
  <si>
    <t>Katharina, 15 Jahre</t>
  </si>
  <si>
    <t>9783505104879</t>
  </si>
  <si>
    <t>Kosuke Fujishima</t>
  </si>
  <si>
    <t>Oh my Goddess 2: Meine große Schwester</t>
  </si>
  <si>
    <t>9783898851596</t>
  </si>
  <si>
    <t>Dagmar Förster</t>
  </si>
  <si>
    <t>Mein Hund wird älter: Versorgung und liebevolle Pflege</t>
  </si>
  <si>
    <t>9783828916883</t>
  </si>
  <si>
    <t>Das verhexte Freibad</t>
  </si>
  <si>
    <t>4026411150970</t>
  </si>
  <si>
    <t>Thomas Bericht</t>
  </si>
  <si>
    <t>9783473581917</t>
  </si>
  <si>
    <t>Henning Mankell</t>
  </si>
  <si>
    <t>Mörder ohne Gesicht</t>
  </si>
  <si>
    <t>19.</t>
  </si>
  <si>
    <t>auf der ersten unbeschriebenen Seite befindet sich ein personalisierter Stempel</t>
  </si>
  <si>
    <t>9783423202329</t>
  </si>
  <si>
    <t>Xinran</t>
  </si>
  <si>
    <t>Himmelsbegräbnis: Die Geschichte einer großen Liebe</t>
  </si>
  <si>
    <t>9783426778784</t>
  </si>
  <si>
    <t>Petra Lukasch</t>
  </si>
  <si>
    <t>Leichter durchs Leben</t>
  </si>
  <si>
    <t>9783924145361</t>
  </si>
  <si>
    <t>Judith Merkle-Riley</t>
  </si>
  <si>
    <t>Die Stimme</t>
  </si>
  <si>
    <t>9783548251035</t>
  </si>
  <si>
    <t>Nick Tosches</t>
  </si>
  <si>
    <t>Die Meister des Bösen</t>
  </si>
  <si>
    <t>9783453125292</t>
  </si>
  <si>
    <t>Die Feuer von Troia</t>
  </si>
  <si>
    <t>Michael Marten</t>
  </si>
  <si>
    <t>Drei Klausuren und ein Todesfall</t>
  </si>
  <si>
    <t>9783746629759</t>
  </si>
  <si>
    <t>Arnulf Zitelmann</t>
  </si>
  <si>
    <t>Hypatia</t>
  </si>
  <si>
    <t>3763236163</t>
  </si>
  <si>
    <t>Werner J. Egli</t>
  </si>
  <si>
    <t>Gefährliche Freundschaft</t>
  </si>
  <si>
    <t>9783800024858</t>
  </si>
  <si>
    <t>Guido Knopp</t>
  </si>
  <si>
    <t>Hitlers Krieger</t>
  </si>
  <si>
    <t>9783570002650</t>
  </si>
  <si>
    <t>Hummel Dumm</t>
  </si>
  <si>
    <t>9783502110378</t>
  </si>
  <si>
    <t>Esma Abdelhamid</t>
  </si>
  <si>
    <t>Löwenmutter: Mein Ausbruch aus zwölf Jahren Zwangsehe in Deutschland und der Kampf um meine Kinder</t>
  </si>
  <si>
    <t>9783810501912</t>
  </si>
  <si>
    <t>Zeruya Shalev</t>
  </si>
  <si>
    <t>Liebes Leben</t>
  </si>
  <si>
    <t>3-8270-0277-X</t>
  </si>
  <si>
    <t>Bobbie Ann Mason</t>
  </si>
  <si>
    <t>3100489047</t>
  </si>
  <si>
    <t>Andreas Föhr</t>
  </si>
  <si>
    <t>Karwoche</t>
  </si>
  <si>
    <t>Sven Regener</t>
  </si>
  <si>
    <t>Herr Lehmann</t>
  </si>
  <si>
    <t>9783442453306</t>
  </si>
  <si>
    <t>Irwin Shaw</t>
  </si>
  <si>
    <t>Der Wohltäter</t>
  </si>
  <si>
    <t>3442066441</t>
  </si>
  <si>
    <t>Andrea Lavinthal / Jessica Rozler</t>
  </si>
  <si>
    <t>Ein Mann für alle Lebenslagen</t>
  </si>
  <si>
    <t>9783442364893</t>
  </si>
  <si>
    <t>9783492121521</t>
  </si>
  <si>
    <t>Rik Kuiper / Tonie Mudde</t>
  </si>
  <si>
    <t>Warum Männer nur mit Perücke Fahrrad fahren sollten</t>
  </si>
  <si>
    <t>9783821865027</t>
  </si>
  <si>
    <t>Kosmos-Uni für Kinder</t>
  </si>
  <si>
    <t>Pferde und Ponys</t>
  </si>
  <si>
    <t>9783440098905</t>
  </si>
  <si>
    <t>Starthilf ins Eheglück: Geldgeschenke zur Hochzeit</t>
  </si>
  <si>
    <t>3772424465</t>
  </si>
  <si>
    <t>S. Nolting / C. Seebacher</t>
  </si>
  <si>
    <t>Ciclopiroxolamin: Wegweiser topischer Mykose-Therapie</t>
  </si>
  <si>
    <t>Universitätsverlag Jena</t>
  </si>
  <si>
    <t>3860070657</t>
  </si>
  <si>
    <t>Peter H. Feist</t>
  </si>
  <si>
    <t>Auguste Renoir</t>
  </si>
  <si>
    <t>Benedikt Taschen Verlag</t>
  </si>
  <si>
    <t>3822800457</t>
  </si>
  <si>
    <t>Ingo F. Walther</t>
  </si>
  <si>
    <t>Picasso: Das Genie des Jahrhunderts</t>
  </si>
  <si>
    <t>3822800252</t>
  </si>
  <si>
    <t>Gertrud u. Walther Caspari</t>
  </si>
  <si>
    <t>Frühling, Frühling überall!</t>
  </si>
  <si>
    <t>Manfred Pawlak Verlagsgesellschaft</t>
  </si>
  <si>
    <t>3881992855</t>
  </si>
  <si>
    <t>Bernd Schmid</t>
  </si>
  <si>
    <t>Die elektrische Eisenbahn: planen, bauen, spielen</t>
  </si>
  <si>
    <t>9783828953666</t>
  </si>
  <si>
    <t>Die besten Floksongs, Gospel- und Lagerfeuerhits mit Noten Texten und einer Karaoke-CD</t>
  </si>
  <si>
    <t>Ringbuch</t>
  </si>
  <si>
    <t>4020833053215</t>
  </si>
  <si>
    <t>Woody Woodpecker</t>
  </si>
  <si>
    <t>Unipart</t>
  </si>
  <si>
    <t>9783812232500</t>
  </si>
  <si>
    <t>Das Jahr im Kinderrevier</t>
  </si>
  <si>
    <t>Wuh für Kids</t>
  </si>
  <si>
    <t>Zeitschrift</t>
  </si>
  <si>
    <t>4395121709809</t>
  </si>
  <si>
    <t>van Gool</t>
  </si>
  <si>
    <t>In 80 Tagen um die Welt nach Jules Verne</t>
  </si>
  <si>
    <t>Twin Books</t>
  </si>
  <si>
    <t>9783773556233</t>
  </si>
  <si>
    <t>Felix Labhardt</t>
  </si>
  <si>
    <t>Der Rotfuchs</t>
  </si>
  <si>
    <t>9783490146120</t>
  </si>
  <si>
    <t>BN0901</t>
  </si>
  <si>
    <t>BN0902</t>
  </si>
  <si>
    <t>BN0903</t>
  </si>
  <si>
    <t>BN0904</t>
  </si>
  <si>
    <t>BN0905</t>
  </si>
  <si>
    <t>BN0906</t>
  </si>
  <si>
    <t>BN0907</t>
  </si>
  <si>
    <t>BN0908</t>
  </si>
  <si>
    <t>BN0909</t>
  </si>
  <si>
    <t>BN0910</t>
  </si>
  <si>
    <t>BN0911</t>
  </si>
  <si>
    <t>BN0912</t>
  </si>
  <si>
    <t>BN0913</t>
  </si>
  <si>
    <t>BN0914</t>
  </si>
  <si>
    <t>BN0915</t>
  </si>
  <si>
    <t>BN0916</t>
  </si>
  <si>
    <t>BN0917</t>
  </si>
  <si>
    <t>BN0918</t>
  </si>
  <si>
    <t>BN0919</t>
  </si>
  <si>
    <t>BN0920</t>
  </si>
  <si>
    <t>BN0921</t>
  </si>
  <si>
    <t>BN0922</t>
  </si>
  <si>
    <t>BN0923</t>
  </si>
  <si>
    <t>BN0924</t>
  </si>
  <si>
    <t>BN0925</t>
  </si>
  <si>
    <t>BN0926</t>
  </si>
  <si>
    <t>BN0927</t>
  </si>
  <si>
    <t>BN0928</t>
  </si>
  <si>
    <t>BN0929</t>
  </si>
  <si>
    <t>BN0930</t>
  </si>
  <si>
    <t>BN0931</t>
  </si>
  <si>
    <t>BN0932</t>
  </si>
  <si>
    <t>BN0933</t>
  </si>
  <si>
    <t>BN0934</t>
  </si>
  <si>
    <t>BN0935</t>
  </si>
  <si>
    <t>BN0936</t>
  </si>
  <si>
    <t>BN0937</t>
  </si>
  <si>
    <t>BN0938</t>
  </si>
  <si>
    <t>BN0939</t>
  </si>
  <si>
    <t>BN0940</t>
  </si>
  <si>
    <t>BN0941</t>
  </si>
  <si>
    <t>BN0942</t>
  </si>
  <si>
    <t>BN0943</t>
  </si>
  <si>
    <t>BN0944</t>
  </si>
  <si>
    <t>BN0945</t>
  </si>
  <si>
    <t>BN0946</t>
  </si>
  <si>
    <t>BN0947</t>
  </si>
  <si>
    <t>BN0948</t>
  </si>
  <si>
    <t>BN0949</t>
  </si>
  <si>
    <t>BN0950</t>
  </si>
  <si>
    <t>BN0951</t>
  </si>
  <si>
    <t>BN0952</t>
  </si>
  <si>
    <t>BN0953</t>
  </si>
  <si>
    <t>BN0954</t>
  </si>
  <si>
    <t>BN0955</t>
  </si>
  <si>
    <t>BN0956</t>
  </si>
  <si>
    <t>BN0957</t>
  </si>
  <si>
    <t>BN0958</t>
  </si>
  <si>
    <t>BN0959</t>
  </si>
  <si>
    <t>BN0960</t>
  </si>
  <si>
    <t>BN0961</t>
  </si>
  <si>
    <t>BN0962</t>
  </si>
  <si>
    <t>BN0963</t>
  </si>
  <si>
    <t>BN0964</t>
  </si>
  <si>
    <t>BN0965</t>
  </si>
  <si>
    <t>BN0966</t>
  </si>
  <si>
    <t>BN0967</t>
  </si>
  <si>
    <t>BN0968</t>
  </si>
  <si>
    <t>BN0969</t>
  </si>
  <si>
    <t>BN0970</t>
  </si>
  <si>
    <t>BN0971</t>
  </si>
  <si>
    <t>BN0972</t>
  </si>
  <si>
    <t>BN0973</t>
  </si>
  <si>
    <t>BN0974</t>
  </si>
  <si>
    <t>BN0975</t>
  </si>
  <si>
    <t>BN0976</t>
  </si>
  <si>
    <t>BN0977</t>
  </si>
  <si>
    <t>BN0978</t>
  </si>
  <si>
    <t>BN0979</t>
  </si>
  <si>
    <t>BN0980</t>
  </si>
  <si>
    <t>BN0981</t>
  </si>
  <si>
    <t>BN0982</t>
  </si>
  <si>
    <t>BN0983</t>
  </si>
  <si>
    <t>BN0984</t>
  </si>
  <si>
    <t>BN0985</t>
  </si>
  <si>
    <t>BN0986</t>
  </si>
  <si>
    <t>BN0987</t>
  </si>
  <si>
    <t>BN0988</t>
  </si>
  <si>
    <t>BN0989</t>
  </si>
  <si>
    <t>BN0990</t>
  </si>
  <si>
    <t>BN0991</t>
  </si>
  <si>
    <t>BN0992</t>
  </si>
  <si>
    <t>BN0993</t>
  </si>
  <si>
    <t>BN0994</t>
  </si>
  <si>
    <t>BN0995</t>
  </si>
  <si>
    <t>BN0996</t>
  </si>
  <si>
    <t>BN0997</t>
  </si>
  <si>
    <t>BN0998</t>
  </si>
  <si>
    <t>BN0999</t>
  </si>
  <si>
    <t>BN1000</t>
  </si>
  <si>
    <t>BN1001</t>
  </si>
  <si>
    <t>BN1002</t>
  </si>
  <si>
    <t>BN1003</t>
  </si>
  <si>
    <t>BN1004</t>
  </si>
  <si>
    <t>BN1005</t>
  </si>
  <si>
    <t>BN1006</t>
  </si>
  <si>
    <t>BN1007</t>
  </si>
  <si>
    <t>BN1008</t>
  </si>
  <si>
    <t>BN1009</t>
  </si>
  <si>
    <t>BN1010</t>
  </si>
  <si>
    <t>BN1011</t>
  </si>
  <si>
    <t>BN1012</t>
  </si>
  <si>
    <t>BN1013</t>
  </si>
  <si>
    <t>BN1014</t>
  </si>
  <si>
    <t>BN1015</t>
  </si>
  <si>
    <t>BN1016</t>
  </si>
  <si>
    <t>BN1017</t>
  </si>
  <si>
    <t>BN1018</t>
  </si>
  <si>
    <t>BN1019</t>
  </si>
  <si>
    <t>BN1020</t>
  </si>
  <si>
    <t>BN1021</t>
  </si>
  <si>
    <t>BN1022</t>
  </si>
  <si>
    <t>BN1023</t>
  </si>
  <si>
    <t>BN1024</t>
  </si>
  <si>
    <t>BN1025</t>
  </si>
  <si>
    <t>BN1026</t>
  </si>
  <si>
    <t>BN1027</t>
  </si>
  <si>
    <t>BN1028</t>
  </si>
  <si>
    <t>BN1029</t>
  </si>
  <si>
    <t>BN1030</t>
  </si>
  <si>
    <t>BN1031</t>
  </si>
  <si>
    <t>BN1032</t>
  </si>
  <si>
    <t>BN1033</t>
  </si>
  <si>
    <t>BN1034</t>
  </si>
  <si>
    <t>BN1035</t>
  </si>
  <si>
    <t>BN1036</t>
  </si>
  <si>
    <t>BN1037</t>
  </si>
  <si>
    <t>BN1038</t>
  </si>
  <si>
    <t>BN1039</t>
  </si>
  <si>
    <t>BN1040</t>
  </si>
  <si>
    <t>BN1041</t>
  </si>
  <si>
    <t>BN1042</t>
  </si>
  <si>
    <t>BN1043</t>
  </si>
  <si>
    <t>BN1044</t>
  </si>
  <si>
    <t>BN1045</t>
  </si>
  <si>
    <t>BN1046</t>
  </si>
  <si>
    <t>BN1047</t>
  </si>
  <si>
    <t>BN1048</t>
  </si>
  <si>
    <t>BN1049</t>
  </si>
  <si>
    <t>BN1050</t>
  </si>
  <si>
    <t>BN1051</t>
  </si>
  <si>
    <t>BN1052</t>
  </si>
  <si>
    <t>BN1053</t>
  </si>
  <si>
    <t>BN1054</t>
  </si>
  <si>
    <t>BN1055</t>
  </si>
  <si>
    <t>BN1056</t>
  </si>
  <si>
    <t>BN1057</t>
  </si>
  <si>
    <t>BN1058</t>
  </si>
  <si>
    <t>BN1059</t>
  </si>
  <si>
    <t>BN1060</t>
  </si>
  <si>
    <t>BN1061</t>
  </si>
  <si>
    <t>BN1062</t>
  </si>
  <si>
    <t>BN1063</t>
  </si>
  <si>
    <t>BN1064</t>
  </si>
  <si>
    <t>BN1065</t>
  </si>
  <si>
    <t>BN1066</t>
  </si>
  <si>
    <t>BN1067</t>
  </si>
  <si>
    <t>BN1068</t>
  </si>
  <si>
    <t>BN1069</t>
  </si>
  <si>
    <t>BN1070</t>
  </si>
  <si>
    <t>BN1071</t>
  </si>
  <si>
    <t>BN1072</t>
  </si>
  <si>
    <t>BN1073</t>
  </si>
  <si>
    <t>BN1074</t>
  </si>
  <si>
    <t>BN1075</t>
  </si>
  <si>
    <t>BN1076</t>
  </si>
  <si>
    <t>BN1077</t>
  </si>
  <si>
    <t>BN1078</t>
  </si>
  <si>
    <t>BN1079</t>
  </si>
  <si>
    <t>BN1080</t>
  </si>
  <si>
    <t>BN1081</t>
  </si>
  <si>
    <t>BN1082</t>
  </si>
  <si>
    <t>BN1083</t>
  </si>
  <si>
    <t>BN1084</t>
  </si>
  <si>
    <t>BN1085</t>
  </si>
  <si>
    <t>BN1086</t>
  </si>
  <si>
    <t>BN1087</t>
  </si>
  <si>
    <t>BN1088</t>
  </si>
  <si>
    <t>BN1089</t>
  </si>
  <si>
    <t>BN1090</t>
  </si>
  <si>
    <t>BN1091</t>
  </si>
  <si>
    <t>BN1092</t>
  </si>
  <si>
    <t>BN1093</t>
  </si>
  <si>
    <t>BN1094</t>
  </si>
  <si>
    <t>BN1095</t>
  </si>
  <si>
    <t>BN1096</t>
  </si>
  <si>
    <t>BN1097</t>
  </si>
  <si>
    <t>BN1098</t>
  </si>
  <si>
    <t>BN1099</t>
  </si>
  <si>
    <t>BN1100</t>
  </si>
  <si>
    <t>BN1101</t>
  </si>
  <si>
    <t>BN1102</t>
  </si>
  <si>
    <t>BN1103</t>
  </si>
  <si>
    <t>BN1104</t>
  </si>
  <si>
    <t>BN1105</t>
  </si>
  <si>
    <t>BN1106</t>
  </si>
  <si>
    <t>BN1107</t>
  </si>
  <si>
    <t>BN1108</t>
  </si>
  <si>
    <t>BN1109</t>
  </si>
  <si>
    <t>BN1110</t>
  </si>
  <si>
    <t>BN1111</t>
  </si>
  <si>
    <t>BN1112</t>
  </si>
  <si>
    <t>BN1113</t>
  </si>
  <si>
    <t>BN1114</t>
  </si>
  <si>
    <t>BN1115</t>
  </si>
  <si>
    <t>BN1116</t>
  </si>
  <si>
    <t>BN1117</t>
  </si>
  <si>
    <t>BN1118</t>
  </si>
  <si>
    <t>BN1119</t>
  </si>
  <si>
    <t>BN1120</t>
  </si>
  <si>
    <t>BN1121</t>
  </si>
  <si>
    <t>BN1122</t>
  </si>
  <si>
    <t>BN1123</t>
  </si>
  <si>
    <t>BN1124</t>
  </si>
  <si>
    <t>BN1125</t>
  </si>
  <si>
    <t>BN1126</t>
  </si>
  <si>
    <t>BN1127</t>
  </si>
  <si>
    <t>BN1128</t>
  </si>
  <si>
    <t>BN1129</t>
  </si>
  <si>
    <t>BN1130</t>
  </si>
  <si>
    <t>BN1131</t>
  </si>
  <si>
    <t>BN1132</t>
  </si>
  <si>
    <t>BN1133</t>
  </si>
  <si>
    <t>BN1134</t>
  </si>
  <si>
    <t>BN1135</t>
  </si>
  <si>
    <t>BN1136</t>
  </si>
  <si>
    <t>BN1137</t>
  </si>
  <si>
    <t>BN1138</t>
  </si>
  <si>
    <t>BN1139</t>
  </si>
  <si>
    <t>BN1140</t>
  </si>
  <si>
    <t>BN1141</t>
  </si>
  <si>
    <t>BN1142</t>
  </si>
  <si>
    <t>BN1143</t>
  </si>
  <si>
    <t>BN1144</t>
  </si>
  <si>
    <t>BN1145</t>
  </si>
  <si>
    <t>BN1146</t>
  </si>
  <si>
    <t>BN1147</t>
  </si>
  <si>
    <t>BN1148</t>
  </si>
  <si>
    <t>BN1149</t>
  </si>
  <si>
    <t>BN1150</t>
  </si>
  <si>
    <t>BN1151</t>
  </si>
  <si>
    <t>BN1152</t>
  </si>
  <si>
    <t>BN1153</t>
  </si>
  <si>
    <t>BN1154</t>
  </si>
  <si>
    <t>BN1155</t>
  </si>
  <si>
    <t>BN1156</t>
  </si>
  <si>
    <t>BN1157</t>
  </si>
  <si>
    <t>BN1158</t>
  </si>
  <si>
    <t>BN1159</t>
  </si>
  <si>
    <t>BN1160</t>
  </si>
  <si>
    <t>BN1161</t>
  </si>
  <si>
    <t>BN1162</t>
  </si>
  <si>
    <t>BN1163</t>
  </si>
  <si>
    <t>BN1164</t>
  </si>
  <si>
    <t>BN1165</t>
  </si>
  <si>
    <t>BN1166</t>
  </si>
  <si>
    <t>BN1167</t>
  </si>
  <si>
    <t>BN1168</t>
  </si>
  <si>
    <t>BN1169</t>
  </si>
  <si>
    <t>BN1170</t>
  </si>
  <si>
    <t>BN1171</t>
  </si>
  <si>
    <t>BN1172</t>
  </si>
  <si>
    <t>BN1173</t>
  </si>
  <si>
    <t>BN1174</t>
  </si>
  <si>
    <t>BN1175</t>
  </si>
  <si>
    <t>BN1176</t>
  </si>
  <si>
    <t>BN1177</t>
  </si>
  <si>
    <t>BN1178</t>
  </si>
  <si>
    <t>BN1179</t>
  </si>
  <si>
    <t>BN1180</t>
  </si>
  <si>
    <t>BN1181</t>
  </si>
  <si>
    <t>BN1182</t>
  </si>
  <si>
    <t>BN1183</t>
  </si>
  <si>
    <t>BN1184</t>
  </si>
  <si>
    <t>BN1185</t>
  </si>
  <si>
    <t>BN1186</t>
  </si>
  <si>
    <t>BN1187</t>
  </si>
  <si>
    <t>BN1188</t>
  </si>
  <si>
    <t>BN1189</t>
  </si>
  <si>
    <t>BN1190</t>
  </si>
  <si>
    <t>BN1191</t>
  </si>
  <si>
    <t>BN1192</t>
  </si>
  <si>
    <t>BN1193</t>
  </si>
  <si>
    <t>BN1194</t>
  </si>
  <si>
    <t>BN1195</t>
  </si>
  <si>
    <t>BN1196</t>
  </si>
  <si>
    <t>BN1197</t>
  </si>
  <si>
    <t>BN1198</t>
  </si>
  <si>
    <t>BN1199</t>
  </si>
  <si>
    <t>BN1200</t>
  </si>
  <si>
    <t>BN1201</t>
  </si>
  <si>
    <t>BN1202</t>
  </si>
  <si>
    <t>BN1203</t>
  </si>
  <si>
    <t>BN1204</t>
  </si>
  <si>
    <t>BN1205</t>
  </si>
  <si>
    <t>BN1206</t>
  </si>
  <si>
    <t>BN1207</t>
  </si>
  <si>
    <t>BN1208</t>
  </si>
  <si>
    <t>BN1209</t>
  </si>
  <si>
    <t>BN1210</t>
  </si>
  <si>
    <t>BN1211</t>
  </si>
  <si>
    <t>BN1212</t>
  </si>
  <si>
    <t>BN1213</t>
  </si>
  <si>
    <t>BN1214</t>
  </si>
  <si>
    <t>BN1215</t>
  </si>
  <si>
    <t>BN1216</t>
  </si>
  <si>
    <t>BN1217</t>
  </si>
  <si>
    <t>BN1218</t>
  </si>
  <si>
    <t>BN1219</t>
  </si>
  <si>
    <t>BN1220</t>
  </si>
  <si>
    <t>BN1221</t>
  </si>
  <si>
    <t>BN1222</t>
  </si>
  <si>
    <t>BN1223</t>
  </si>
  <si>
    <t>BN1224</t>
  </si>
  <si>
    <t>BN1225</t>
  </si>
  <si>
    <t>BN1226</t>
  </si>
  <si>
    <t>BN1227</t>
  </si>
  <si>
    <t>BN1228</t>
  </si>
  <si>
    <t>BN1229</t>
  </si>
  <si>
    <t>BN1230</t>
  </si>
  <si>
    <t>BN1231</t>
  </si>
  <si>
    <t>BN1232</t>
  </si>
  <si>
    <t>BN1233</t>
  </si>
  <si>
    <t>BN1234</t>
  </si>
  <si>
    <t>BN1235</t>
  </si>
  <si>
    <t>BN1236</t>
  </si>
  <si>
    <t>BN1237</t>
  </si>
  <si>
    <t>BN1238</t>
  </si>
  <si>
    <t>BN1239</t>
  </si>
  <si>
    <t>BN1240</t>
  </si>
  <si>
    <t>BN1241</t>
  </si>
  <si>
    <t>BN1242</t>
  </si>
  <si>
    <t>BN1243</t>
  </si>
  <si>
    <t>BN1244</t>
  </si>
  <si>
    <t>BN1245</t>
  </si>
  <si>
    <t>BN1246</t>
  </si>
  <si>
    <t>BN1247</t>
  </si>
  <si>
    <t>BN1248</t>
  </si>
  <si>
    <t>BN1249</t>
  </si>
  <si>
    <t>BN1250</t>
  </si>
  <si>
    <t>BN1251</t>
  </si>
  <si>
    <t>BN1252</t>
  </si>
  <si>
    <t>BN1253</t>
  </si>
  <si>
    <t>BN1254</t>
  </si>
  <si>
    <t>BN1255</t>
  </si>
  <si>
    <t>BN1256</t>
  </si>
  <si>
    <t>BN1257</t>
  </si>
  <si>
    <t>BN1258</t>
  </si>
  <si>
    <t>BN1259</t>
  </si>
  <si>
    <t>BN1260</t>
  </si>
  <si>
    <t>BN1261</t>
  </si>
  <si>
    <t>BN1262</t>
  </si>
  <si>
    <t>BN1263</t>
  </si>
  <si>
    <t>BN1264</t>
  </si>
  <si>
    <t>BN1265</t>
  </si>
  <si>
    <t>BN1266</t>
  </si>
  <si>
    <t>BN1267</t>
  </si>
  <si>
    <t>BN1268</t>
  </si>
  <si>
    <t>BN1269</t>
  </si>
  <si>
    <t>BN1270</t>
  </si>
  <si>
    <t>BN1271</t>
  </si>
  <si>
    <t>BN1272</t>
  </si>
  <si>
    <t>BN1273</t>
  </si>
  <si>
    <t>BN1274</t>
  </si>
  <si>
    <t>BN1275</t>
  </si>
  <si>
    <t>BN1276</t>
  </si>
  <si>
    <t>BN1277</t>
  </si>
  <si>
    <t>BN1278</t>
  </si>
  <si>
    <t>BN1279</t>
  </si>
  <si>
    <t>BN1280</t>
  </si>
  <si>
    <t>BN1281</t>
  </si>
  <si>
    <t>BN1282</t>
  </si>
  <si>
    <t>BN1283</t>
  </si>
  <si>
    <t>BN1284</t>
  </si>
  <si>
    <t>BN1285</t>
  </si>
  <si>
    <t>BN1286</t>
  </si>
  <si>
    <t>BN1287</t>
  </si>
  <si>
    <t>BN1288</t>
  </si>
  <si>
    <t>BN1289</t>
  </si>
  <si>
    <t>BN1290</t>
  </si>
  <si>
    <t>BN1291</t>
  </si>
  <si>
    <t>BN1292</t>
  </si>
  <si>
    <t>BN1293</t>
  </si>
  <si>
    <t>BN1294</t>
  </si>
  <si>
    <t>BN1295</t>
  </si>
  <si>
    <t>BN1296</t>
  </si>
  <si>
    <t>BN1297</t>
  </si>
  <si>
    <t>BN1298</t>
  </si>
  <si>
    <t>BN1299</t>
  </si>
  <si>
    <t>BN1300</t>
  </si>
  <si>
    <t>BN1301</t>
  </si>
  <si>
    <t>BN1302</t>
  </si>
  <si>
    <t>BN1303</t>
  </si>
  <si>
    <t>BN1304</t>
  </si>
  <si>
    <t>BN1305</t>
  </si>
  <si>
    <t>BN1306</t>
  </si>
  <si>
    <t>BN1307</t>
  </si>
  <si>
    <t>BN1308</t>
  </si>
  <si>
    <t>BN1309</t>
  </si>
  <si>
    <t>BN1310</t>
  </si>
  <si>
    <t>BN1311</t>
  </si>
  <si>
    <t>BN1312</t>
  </si>
  <si>
    <t>BN1313</t>
  </si>
  <si>
    <t>BN1314</t>
  </si>
  <si>
    <t>BN1315</t>
  </si>
  <si>
    <t>BN1316</t>
  </si>
  <si>
    <t>BN1317</t>
  </si>
  <si>
    <t>BN1318</t>
  </si>
  <si>
    <t>BN1319</t>
  </si>
  <si>
    <t>BN1320</t>
  </si>
  <si>
    <t>BN1321</t>
  </si>
  <si>
    <t>BN1322</t>
  </si>
  <si>
    <t>BN1323</t>
  </si>
  <si>
    <t>BN1324</t>
  </si>
  <si>
    <t>BN1325</t>
  </si>
  <si>
    <t>BN1326</t>
  </si>
  <si>
    <t>BN1327</t>
  </si>
  <si>
    <t>BN1328</t>
  </si>
  <si>
    <t>BN1329</t>
  </si>
  <si>
    <t>BN1330</t>
  </si>
  <si>
    <t>BN1331</t>
  </si>
  <si>
    <t>BN1332</t>
  </si>
  <si>
    <t>BN1333</t>
  </si>
  <si>
    <t>BN1334</t>
  </si>
  <si>
    <t>BN1335</t>
  </si>
  <si>
    <t>BN1336</t>
  </si>
  <si>
    <t>BN1337</t>
  </si>
  <si>
    <t>BN1338</t>
  </si>
  <si>
    <t>BN1339</t>
  </si>
  <si>
    <t>BN1340</t>
  </si>
  <si>
    <t>BN1341</t>
  </si>
  <si>
    <t>BN1342</t>
  </si>
  <si>
    <t>BN1343</t>
  </si>
  <si>
    <t>BN1344</t>
  </si>
  <si>
    <t>BN1345</t>
  </si>
  <si>
    <t>BN1346</t>
  </si>
  <si>
    <t>BN1347</t>
  </si>
  <si>
    <t>BN1348</t>
  </si>
  <si>
    <t>BN1349</t>
  </si>
  <si>
    <t>BN1350</t>
  </si>
  <si>
    <t>BN1351</t>
  </si>
  <si>
    <t>BN1352</t>
  </si>
  <si>
    <t>BN1353</t>
  </si>
  <si>
    <t>BN1354</t>
  </si>
  <si>
    <t>BN1355</t>
  </si>
  <si>
    <t>BN1356</t>
  </si>
  <si>
    <t>BN1357</t>
  </si>
  <si>
    <t>BN1358</t>
  </si>
  <si>
    <t>BN1359</t>
  </si>
  <si>
    <t>BN1360</t>
  </si>
  <si>
    <t>BN1361</t>
  </si>
  <si>
    <t>BN1362</t>
  </si>
  <si>
    <t>BN1363</t>
  </si>
  <si>
    <t>BN1364</t>
  </si>
  <si>
    <t>BN1365</t>
  </si>
  <si>
    <t>BN1366</t>
  </si>
  <si>
    <t>BN1367</t>
  </si>
  <si>
    <t>BN1368</t>
  </si>
  <si>
    <t>BN1369</t>
  </si>
  <si>
    <t>BN1370</t>
  </si>
  <si>
    <t>BN1371</t>
  </si>
  <si>
    <t>BN1372</t>
  </si>
  <si>
    <t>BN1373</t>
  </si>
  <si>
    <t>BN1374</t>
  </si>
  <si>
    <t>BN1375</t>
  </si>
  <si>
    <t>BN1376</t>
  </si>
  <si>
    <t>BN1377</t>
  </si>
  <si>
    <t>BN1378</t>
  </si>
  <si>
    <t>BN1379</t>
  </si>
  <si>
    <t>BN1380</t>
  </si>
  <si>
    <t>BN1381</t>
  </si>
  <si>
    <t>BN1382</t>
  </si>
  <si>
    <t>BN1383</t>
  </si>
  <si>
    <t>BN1384</t>
  </si>
  <si>
    <t>BN1385</t>
  </si>
  <si>
    <t>BN1386</t>
  </si>
  <si>
    <t>BN1387</t>
  </si>
  <si>
    <t>BN1388</t>
  </si>
  <si>
    <t>BN1389</t>
  </si>
  <si>
    <t>BN1390</t>
  </si>
  <si>
    <t>BN1391</t>
  </si>
  <si>
    <t>BN1392</t>
  </si>
  <si>
    <t>BN1393</t>
  </si>
  <si>
    <t>BN1394</t>
  </si>
  <si>
    <t>BN1395</t>
  </si>
  <si>
    <t>BN1396</t>
  </si>
  <si>
    <t>BN1397</t>
  </si>
  <si>
    <t>BN1398</t>
  </si>
  <si>
    <t>BN1399</t>
  </si>
  <si>
    <t>BN1400</t>
  </si>
  <si>
    <t>BN1401</t>
  </si>
  <si>
    <t>BN1402</t>
  </si>
  <si>
    <t>BN1403</t>
  </si>
  <si>
    <t>BN1404</t>
  </si>
  <si>
    <t>BN1405</t>
  </si>
  <si>
    <t>BN1406</t>
  </si>
  <si>
    <t>BN1407</t>
  </si>
  <si>
    <t>BN1408</t>
  </si>
  <si>
    <t>BN1409</t>
  </si>
  <si>
    <t>BN1410</t>
  </si>
  <si>
    <t>BN1411</t>
  </si>
  <si>
    <t>BN1412</t>
  </si>
  <si>
    <t>BN1413</t>
  </si>
  <si>
    <t>BN1414</t>
  </si>
  <si>
    <t>BN1415</t>
  </si>
  <si>
    <t>BN1416</t>
  </si>
  <si>
    <t>BN1417</t>
  </si>
  <si>
    <t>BN1418</t>
  </si>
  <si>
    <t>BN1419</t>
  </si>
  <si>
    <t>BN1420</t>
  </si>
  <si>
    <t>BN1421</t>
  </si>
  <si>
    <t>BN1422</t>
  </si>
  <si>
    <t>BN1423</t>
  </si>
  <si>
    <t>BN1424</t>
  </si>
  <si>
    <t>BN1425</t>
  </si>
  <si>
    <t>BN1426</t>
  </si>
  <si>
    <t>BN1427</t>
  </si>
  <si>
    <t>BN1428</t>
  </si>
  <si>
    <t>BN1429</t>
  </si>
  <si>
    <t>BN1430</t>
  </si>
  <si>
    <t>BN1431</t>
  </si>
  <si>
    <t>BN1432</t>
  </si>
  <si>
    <t>BN1433</t>
  </si>
  <si>
    <t>BN1434</t>
  </si>
  <si>
    <t>BN1435</t>
  </si>
  <si>
    <t>BN1436</t>
  </si>
  <si>
    <t>BN1437</t>
  </si>
  <si>
    <t>BN1438</t>
  </si>
  <si>
    <t>BN1439</t>
  </si>
  <si>
    <t>BN1440</t>
  </si>
  <si>
    <t>BN1441</t>
  </si>
  <si>
    <t>BN1442</t>
  </si>
  <si>
    <t>BN1443</t>
  </si>
  <si>
    <t>BN1444</t>
  </si>
  <si>
    <t>BN1445</t>
  </si>
  <si>
    <t>BN1446</t>
  </si>
  <si>
    <t>BN1447</t>
  </si>
  <si>
    <t>BN1448</t>
  </si>
  <si>
    <t>BN1449</t>
  </si>
  <si>
    <t>BN1450</t>
  </si>
  <si>
    <t>BN1451</t>
  </si>
  <si>
    <t>BN1452</t>
  </si>
  <si>
    <t>BN1453</t>
  </si>
  <si>
    <t>BN1454</t>
  </si>
  <si>
    <t>BN1455</t>
  </si>
  <si>
    <t>BN1456</t>
  </si>
  <si>
    <t>BN1457</t>
  </si>
  <si>
    <t>BN1458</t>
  </si>
  <si>
    <t>BN1459</t>
  </si>
  <si>
    <t>BN1460</t>
  </si>
  <si>
    <t>BN1461</t>
  </si>
  <si>
    <t>BN1462</t>
  </si>
  <si>
    <t>BN1463</t>
  </si>
  <si>
    <t>BN1464</t>
  </si>
  <si>
    <t>BN1465</t>
  </si>
  <si>
    <t>BN1466</t>
  </si>
  <si>
    <t>BN1467</t>
  </si>
  <si>
    <t>BN1468</t>
  </si>
  <si>
    <t>Junior Wissen</t>
  </si>
  <si>
    <t>Die Erde</t>
  </si>
  <si>
    <t>9783812232173</t>
  </si>
  <si>
    <t>Hubert Mörl</t>
  </si>
  <si>
    <t>Gefäßkrankheiten in der Praxis</t>
  </si>
  <si>
    <t>VCH</t>
  </si>
  <si>
    <t>3527154221</t>
  </si>
  <si>
    <t>Jonathan Miller / David Pelham</t>
  </si>
  <si>
    <t>The facts of Life: A three-dimonsional study</t>
  </si>
  <si>
    <t>Jonathan Cape Limited</t>
  </si>
  <si>
    <t>Wunderwerk Mensch</t>
  </si>
  <si>
    <t>Geheimnisse des Körpers: Überraschende Einsichten und verblüffende Tatsachen über unseren Organismus</t>
  </si>
  <si>
    <t>Das Beste</t>
  </si>
  <si>
    <t>9783870706418</t>
  </si>
  <si>
    <t>Löwenzahn</t>
  </si>
  <si>
    <t>Deutschlandatlas: Mit Peter Lustig unterwegs</t>
  </si>
  <si>
    <t>Michele Cranston</t>
  </si>
  <si>
    <t>Snacks &amp; Drinks</t>
  </si>
  <si>
    <t>3898363724</t>
  </si>
  <si>
    <t>Weltatlas für Schule und Beruf</t>
  </si>
  <si>
    <t>Die schönsten Geschichten für 2-Jährige</t>
  </si>
  <si>
    <t>9781405437684</t>
  </si>
  <si>
    <t>NaBu</t>
  </si>
  <si>
    <t>Ehrfurcht vor den Wäldern</t>
  </si>
  <si>
    <t>Natura</t>
  </si>
  <si>
    <t>Hunde: Das Handbuch für Hundeliebhaber</t>
  </si>
  <si>
    <t>Edward Banks</t>
  </si>
  <si>
    <t>paletti</t>
  </si>
  <si>
    <t>9783940984562</t>
  </si>
  <si>
    <t>Zauber und Schöhnheit unserer Erde</t>
  </si>
  <si>
    <t>3870704322</t>
  </si>
  <si>
    <t>Weltatlas Illustriertes Portrait der Kontinente</t>
  </si>
  <si>
    <t>RV</t>
  </si>
  <si>
    <t>3575020035</t>
  </si>
  <si>
    <t>Lillian Too</t>
  </si>
  <si>
    <t>Das große Buch Feng Shui</t>
  </si>
  <si>
    <t>Könenmann</t>
  </si>
  <si>
    <t>9783829048743</t>
  </si>
  <si>
    <t>Kinder fragen News on antwortet</t>
  </si>
  <si>
    <t>Leben im Mittelalter</t>
  </si>
  <si>
    <t>Gitarre spielen leicht gemacht</t>
  </si>
  <si>
    <t>ohne DVD, sonst sehr guter Zustand</t>
  </si>
  <si>
    <t>9781407570570</t>
  </si>
  <si>
    <t>Alfred Dudszus / Alfred Köpcke</t>
  </si>
  <si>
    <t>Das große Buch der Schiffstypen</t>
  </si>
  <si>
    <t>9783893508310</t>
  </si>
  <si>
    <t>Die große Kunstgeschichte der Welt</t>
  </si>
  <si>
    <t>Südwest</t>
  </si>
  <si>
    <t>9783517010915</t>
  </si>
  <si>
    <t>Jean-Luc Penfornis</t>
  </si>
  <si>
    <t>francais.com: méthode de francais professionnel et des affaires</t>
  </si>
  <si>
    <t>CLE International</t>
  </si>
  <si>
    <t>französisch</t>
  </si>
  <si>
    <t>9783125291034</t>
  </si>
  <si>
    <t>Empresa Siglo XXI: El Espanol en el Ambito profesional</t>
  </si>
  <si>
    <t>Edi numen</t>
  </si>
  <si>
    <t>sehr guter Zustans</t>
  </si>
  <si>
    <t xml:space="preserve">spanisch  </t>
  </si>
  <si>
    <t>9783190042869</t>
  </si>
  <si>
    <t>R. Goschinny / A. Uderzo</t>
  </si>
  <si>
    <t>Asterix babbelt hessisch: Hibbe und Dribbe</t>
  </si>
  <si>
    <t>9783770404797</t>
  </si>
  <si>
    <t>H. Weinert</t>
  </si>
  <si>
    <t>Sagen und Märchen</t>
  </si>
  <si>
    <t>3881400524</t>
  </si>
  <si>
    <t>Yakari Der kleine Indianerjunge</t>
  </si>
  <si>
    <t>Edition XXL</t>
  </si>
  <si>
    <t>9783897364295</t>
  </si>
  <si>
    <t>Jude Fisher</t>
  </si>
  <si>
    <t>Der Herr der Ringe Die Gefährten: das offizielle Begleitbuch</t>
  </si>
  <si>
    <t>Klett-Cotta</t>
  </si>
  <si>
    <t>9783608935042</t>
  </si>
  <si>
    <t>Der Zauberspiegel des M.C. Escher</t>
  </si>
  <si>
    <t>Taco</t>
  </si>
  <si>
    <t>3892680051</t>
  </si>
  <si>
    <t>Supertolle Tierabenteuer</t>
  </si>
  <si>
    <t>JOMA</t>
  </si>
  <si>
    <t>9783863250826</t>
  </si>
  <si>
    <t>Das Märchen von Aschenputtel</t>
  </si>
  <si>
    <t>9783867757416</t>
  </si>
  <si>
    <t>Große und kleine Feste: Genießen mit Knorr</t>
  </si>
  <si>
    <t>4026411167121</t>
  </si>
  <si>
    <t>Salate, Dips &amp; Vorspeisen</t>
  </si>
  <si>
    <t>4026411167039</t>
  </si>
  <si>
    <t>Erlebnis Freizeit in Deutschland: Freizeitparks, Spaßbäder, Tierparks und mehr</t>
  </si>
  <si>
    <t>Mein großes Pferdebuch</t>
  </si>
  <si>
    <t>F. X. Schmid</t>
  </si>
  <si>
    <t>9783897822634</t>
  </si>
  <si>
    <t>Gute Noten in Deutsch: Für den Übergang in die weiterführende Schule</t>
  </si>
  <si>
    <t>Schülerhilfe</t>
  </si>
  <si>
    <t>9783833198359</t>
  </si>
  <si>
    <t>Hausaufgaben &amp; Klassenarbeiten: Mit vielen praktischen Tipps und Checklisten</t>
  </si>
  <si>
    <t>9783842700888</t>
  </si>
  <si>
    <t>Gute Noten in Mathe: Schlauer lernen mit Drago und seinen Freunden</t>
  </si>
  <si>
    <t>t</t>
  </si>
  <si>
    <t>9783833198342</t>
  </si>
  <si>
    <t>Schlank im Schlaf</t>
  </si>
  <si>
    <t>9783774287792</t>
  </si>
  <si>
    <t>B. Neundörfer, K. Schimrigk und D. Soyka</t>
  </si>
  <si>
    <t>Praktische Neurologie: Kopfschmerz</t>
  </si>
  <si>
    <t>Sehr guter Zustans</t>
  </si>
  <si>
    <t>3-527-15406-X</t>
  </si>
  <si>
    <t>Timothy Zahn</t>
  </si>
  <si>
    <t>Star Wars: Krieg der Sterne die dunkle Seite der Macht</t>
  </si>
  <si>
    <t>9783442421831</t>
  </si>
  <si>
    <t>Star Wars: Das letzte Kommando</t>
  </si>
  <si>
    <t>9783442352531</t>
  </si>
  <si>
    <t>Rudolf Feustel</t>
  </si>
  <si>
    <t>Abstammungsgeschichte des Menschen</t>
  </si>
  <si>
    <t>Aula</t>
  </si>
  <si>
    <t>3891044372</t>
  </si>
  <si>
    <t>Kari Köster-Lösche</t>
  </si>
  <si>
    <t>Die Heilerin von Alexandria</t>
  </si>
  <si>
    <t>9783828969018</t>
  </si>
  <si>
    <t>Neon</t>
  </si>
  <si>
    <t>200 Tricks für ein besseres Leben</t>
  </si>
  <si>
    <t>9783453601369</t>
  </si>
  <si>
    <t>Der Pferdeflüsterer</t>
  </si>
  <si>
    <t>9783442431878</t>
  </si>
  <si>
    <t>Tradingstrategien mit Hebelprodukten</t>
  </si>
  <si>
    <t>Trinkhaus</t>
  </si>
  <si>
    <t>Dietrich Faber</t>
  </si>
  <si>
    <t>Toter geht’s nicht</t>
  </si>
  <si>
    <t>9783862520244</t>
  </si>
  <si>
    <t>Tödlicher Rollentausche</t>
  </si>
  <si>
    <t>Festtagsküche</t>
  </si>
  <si>
    <t>Dieter Speck</t>
  </si>
  <si>
    <t>Warum tun sie nicht das, was sie schon immer tun wollten? So erreichen sie ihre Ziele</t>
  </si>
  <si>
    <t>9783426777626</t>
  </si>
  <si>
    <t>Rosario Ferré</t>
  </si>
  <si>
    <t>Die Stimmen der Träume</t>
  </si>
  <si>
    <t>Nick Hornby</t>
  </si>
  <si>
    <t>A long way down</t>
  </si>
  <si>
    <t>3462034553</t>
  </si>
  <si>
    <t>Jutta Perino</t>
  </si>
  <si>
    <t>Ich weiß, was ich noch machen will</t>
  </si>
  <si>
    <t>Kaufmann</t>
  </si>
  <si>
    <t>9783780630278</t>
  </si>
  <si>
    <t>Selige Witwen</t>
  </si>
  <si>
    <t>9783257062656</t>
  </si>
  <si>
    <t>Günter Johannes Henz</t>
  </si>
  <si>
    <t>Daß wir tot sind, steht noch gar nicht fest</t>
  </si>
  <si>
    <t>Pendragon</t>
  </si>
  <si>
    <t>9783865320568</t>
  </si>
  <si>
    <t>In Flammen</t>
  </si>
  <si>
    <t>9783442452576</t>
  </si>
  <si>
    <t>Martha Grimes</t>
  </si>
  <si>
    <t>Inspektor Jury kommt auf den Hund</t>
  </si>
  <si>
    <t>Die Sterbehelfer</t>
  </si>
  <si>
    <t>Zeitjournal</t>
  </si>
  <si>
    <t>9783927390072</t>
  </si>
  <si>
    <t>Jens Schumacher</t>
  </si>
  <si>
    <t>FROZEN Tod im Eis</t>
  </si>
  <si>
    <t>9783785574713</t>
  </si>
  <si>
    <t>Romy Schneider Mythose und Leben</t>
  </si>
  <si>
    <t>Susanne Reinker</t>
  </si>
  <si>
    <t>Racher am Chef: Die unterschätzte Macht der Mitarbeiter</t>
  </si>
  <si>
    <t>9783430200134</t>
  </si>
  <si>
    <t>Die Meute der Erben</t>
  </si>
  <si>
    <t>9783492234023</t>
  </si>
  <si>
    <t>Marc Levy</t>
  </si>
  <si>
    <t>Zurück zu dir</t>
  </si>
  <si>
    <t>9783426635087</t>
  </si>
  <si>
    <t>Jean M. Auel</t>
  </si>
  <si>
    <t>Ayla und der Clan der Bären</t>
  </si>
  <si>
    <t>9783453215252</t>
  </si>
  <si>
    <t>Johann Mayrs</t>
  </si>
  <si>
    <t>Die Fischer: 20. Februar bis 20. März</t>
  </si>
  <si>
    <t>Korsch</t>
  </si>
  <si>
    <t>3782739698</t>
  </si>
  <si>
    <t>Dana Ullman</t>
  </si>
  <si>
    <t>Homöopathie für Kinder</t>
  </si>
  <si>
    <t>9783548710419</t>
  </si>
  <si>
    <t>Azrael</t>
  </si>
  <si>
    <t>9783453099739</t>
  </si>
  <si>
    <t>Wolfsherz</t>
  </si>
  <si>
    <t>9783404141975</t>
  </si>
  <si>
    <t>Ernst Obermaier</t>
  </si>
  <si>
    <t>Grundwissen Werbung</t>
  </si>
  <si>
    <t>9783453026353</t>
  </si>
  <si>
    <t>Dr. H.G. Jaedicke und Dr. Schüßlers</t>
  </si>
  <si>
    <t>Alwin Fröhlich</t>
  </si>
  <si>
    <t>3872400622</t>
  </si>
  <si>
    <t>Karin Slaughter</t>
  </si>
  <si>
    <t>Vergiss mein nicht</t>
  </si>
  <si>
    <t>9783499232435</t>
  </si>
  <si>
    <t>Zierfische unsere kleinen Freunde</t>
  </si>
  <si>
    <t>Willi und Ursula Dolder</t>
  </si>
  <si>
    <t>VEMAG</t>
  </si>
  <si>
    <t>9783829905312</t>
  </si>
  <si>
    <t>Klaus-Peter Kappest</t>
  </si>
  <si>
    <t>Rothaarsteig: der Weg der Sinne</t>
  </si>
  <si>
    <t>Edition Rasch &amp; Röhrig</t>
  </si>
  <si>
    <t>9783934427112</t>
  </si>
  <si>
    <t>Das Wein Buch</t>
  </si>
  <si>
    <t>9783625108597</t>
  </si>
  <si>
    <t>Kulinarische Reise durch die Toskana</t>
  </si>
  <si>
    <t>9783905851717</t>
  </si>
  <si>
    <t>Dr. Christian Zentner</t>
  </si>
  <si>
    <t>Chronik Deutschland: von der Reichsgründung bis heute</t>
  </si>
  <si>
    <t>9783905851328</t>
  </si>
  <si>
    <t>Zimmer- und Balkonpflanzen: Wohnen mit Atmosphäre</t>
  </si>
  <si>
    <t>23138155</t>
  </si>
  <si>
    <t>Christian Zentner</t>
  </si>
  <si>
    <t>Russland: Geschichte und Gegenwart in Darstellung und Analysen</t>
  </si>
  <si>
    <t>Alles sauber, alles rein: 3333 Tipps genial, schnell und preiswert</t>
  </si>
  <si>
    <t>Reader's Digest</t>
  </si>
  <si>
    <t>9783899154993</t>
  </si>
  <si>
    <t>Time-Life</t>
  </si>
  <si>
    <t>Die Welt der Wissenschaft</t>
  </si>
  <si>
    <t>Time Life International</t>
  </si>
  <si>
    <t>Carolin Lockstein / Susanne Faust</t>
  </si>
  <si>
    <t>RELAX! Der schnelle Weg zu neuer Energie</t>
  </si>
  <si>
    <t>Köstliches aus einem Topf</t>
  </si>
  <si>
    <t>VEBU</t>
  </si>
  <si>
    <t>Bob der Baumeister: Bobs schönstes Weihnachtsfest</t>
  </si>
  <si>
    <t>Toggolino</t>
  </si>
  <si>
    <t>4022073011598</t>
  </si>
  <si>
    <t>Hans Heller und Hans Biesenbach</t>
  </si>
  <si>
    <t>Die Nacht leuchtet wie der Tag: Bibel für junge Leute</t>
  </si>
  <si>
    <t>Moritz Diesterweg</t>
  </si>
  <si>
    <t>3425078003</t>
  </si>
  <si>
    <t>Dr. Hermann Soeke Bakker</t>
  </si>
  <si>
    <t>Norderney: von Fischerdorf zum Nordseeheilbad</t>
  </si>
  <si>
    <t>Walter Dorn</t>
  </si>
  <si>
    <t>Richtig essen</t>
  </si>
  <si>
    <t>Umschau Braus</t>
  </si>
  <si>
    <t>9783829571005</t>
  </si>
  <si>
    <t>Cornelia Nitsch</t>
  </si>
  <si>
    <t>Zehn kleine Fingerchen: Über 200 klassische und neue Fingerspiele und Kinderreime zum Vorlesen, Vortragen und Mitmachen</t>
  </si>
  <si>
    <t>Mosaik</t>
  </si>
  <si>
    <t>4006067677489</t>
  </si>
  <si>
    <t>Dr. med. Andreas Peikert</t>
  </si>
  <si>
    <t>Frei von Kopfschmerzen und Migräne: Ursachen erkennen, behandeln und vorbeugen</t>
  </si>
  <si>
    <t>Gondrom</t>
  </si>
  <si>
    <t>9783811223622</t>
  </si>
  <si>
    <t>Len Deighton</t>
  </si>
  <si>
    <t>Violent Ward</t>
  </si>
  <si>
    <t>Der Schutzumschlag hat ziemlich gelitten, Das Buch als solches ist in einem guten Zustand</t>
  </si>
  <si>
    <t>9780002243520</t>
  </si>
  <si>
    <t>Robert Schneider</t>
  </si>
  <si>
    <t>Die Luftgängerin</t>
  </si>
  <si>
    <t>9783896670557</t>
  </si>
  <si>
    <t>Noack/Hennig</t>
  </si>
  <si>
    <t>Systemsicherheit unter UNIX</t>
  </si>
  <si>
    <t>Hanser</t>
  </si>
  <si>
    <t>3446159886</t>
  </si>
  <si>
    <t>Southern Corss</t>
  </si>
  <si>
    <t>Little, Brown and Company</t>
  </si>
  <si>
    <t>Der Schutzumschlag hat deutliche Gebrauchsspuren, das Buch selbst ist in einem sehr guten Zustand</t>
  </si>
  <si>
    <t>9780316846790</t>
  </si>
  <si>
    <t>Karneval der Toten - Ein Inspektor Jury Roman</t>
  </si>
  <si>
    <t>9783442310074</t>
  </si>
  <si>
    <t>Prof. Dr. M. Hamm / B. Vogel / Dr. R. Zeltner</t>
  </si>
  <si>
    <t>TopVital &amp; schlank durchs ganze Jahr</t>
  </si>
  <si>
    <t>9783576115408</t>
  </si>
  <si>
    <t>Patrick Dunne</t>
  </si>
  <si>
    <t>Die Pestglock</t>
  </si>
  <si>
    <t>9783442375066</t>
  </si>
  <si>
    <t>Franz-Josef Hutter</t>
  </si>
  <si>
    <t>No rights: Menschenrechte als Fundament einer funktionierenden Weltordnung</t>
  </si>
  <si>
    <t>9783746670409</t>
  </si>
  <si>
    <t>Friedrich Morgenroth</t>
  </si>
  <si>
    <t>Sag es mit Versen</t>
  </si>
  <si>
    <t>PANORAMA</t>
  </si>
  <si>
    <t>Marielouise Janssen-Jurreit</t>
  </si>
  <si>
    <t>Sexismus / Über die Abtreibung der Frauenfrage</t>
  </si>
  <si>
    <t>3446122737</t>
  </si>
  <si>
    <t>R. Rossevelt Thomas Jr.</t>
  </si>
  <si>
    <t>Building a House für Diversity</t>
  </si>
  <si>
    <t>9780814404638</t>
  </si>
  <si>
    <t>Catrin Frischer / Axel Scheffler</t>
  </si>
  <si>
    <t>Endlich allein zu Haus! Überlebenstipps für Kinder</t>
  </si>
  <si>
    <t>9783499209673</t>
  </si>
  <si>
    <t>Karl-Heinz Janßen</t>
  </si>
  <si>
    <t>Der 30. Januar: Ein Tag der die Welt veränderte</t>
  </si>
  <si>
    <t>Robinson</t>
  </si>
  <si>
    <t>3885920379</t>
  </si>
  <si>
    <t>Nenad Marjanovic / Manuel Iber</t>
  </si>
  <si>
    <t>geaddet, gepostet, Webfail!: Die peinlichsten und lustigsten Facebook-Einträge</t>
  </si>
  <si>
    <t>RIVA</t>
  </si>
  <si>
    <t>9783868832020</t>
  </si>
  <si>
    <t>Ute Iparraguirre De las Casas / Gudrun Schmitt</t>
  </si>
  <si>
    <t>Abenteuer Kinderzimmer</t>
  </si>
  <si>
    <t>9783772426230</t>
  </si>
  <si>
    <t>Eva Völler</t>
  </si>
  <si>
    <t>Hände Wg oder wir heiraten</t>
  </si>
  <si>
    <t>9783404153275</t>
  </si>
  <si>
    <t>Marie Matisek</t>
  </si>
  <si>
    <t>Und ewig singen die Krabben</t>
  </si>
  <si>
    <t>9783471351000</t>
  </si>
  <si>
    <t>Geradeaus ist keine Himmelsrichtung</t>
  </si>
  <si>
    <t>9783453358928</t>
  </si>
  <si>
    <t>Die geliebte des Papstes</t>
  </si>
  <si>
    <t>9783746616902</t>
  </si>
  <si>
    <t>Die Medica von Bologna</t>
  </si>
  <si>
    <t>9783426500217</t>
  </si>
  <si>
    <t>Debra Waterhouse</t>
  </si>
  <si>
    <t>Frauen brauchen Schokolade</t>
  </si>
  <si>
    <t>9783442162482</t>
  </si>
  <si>
    <t>Steffi von Wolff</t>
  </si>
  <si>
    <t>Die Knebel von Mavelon</t>
  </si>
  <si>
    <t>9783596167012</t>
  </si>
  <si>
    <t>Hector und die Entdeckung der Zeit</t>
  </si>
  <si>
    <t>9783492049368</t>
  </si>
  <si>
    <t>Werne Gross</t>
  </si>
  <si>
    <t>Hinter jeder Such ist eine Sehnsucht</t>
  </si>
  <si>
    <t>3451081636</t>
  </si>
  <si>
    <t>Matthias Sachau</t>
  </si>
  <si>
    <t>Kalt Duscher</t>
  </si>
  <si>
    <t>personalisierte E-Mail adresse</t>
  </si>
  <si>
    <t>9783548280172</t>
  </si>
  <si>
    <t>V.J. Stanek</t>
  </si>
  <si>
    <t>Das große Bildband der Tiere</t>
  </si>
  <si>
    <t>Artia</t>
  </si>
  <si>
    <t>Schöne Geschenk-Geschichten zum Ruhestand</t>
  </si>
  <si>
    <t>3451239884</t>
  </si>
  <si>
    <t>Johann Peter Nissen</t>
  </si>
  <si>
    <t>kleines Hamburg-ABC</t>
  </si>
  <si>
    <t>Husum</t>
  </si>
  <si>
    <t>9783898762687</t>
  </si>
  <si>
    <t>Wolfgang von Buddenbrock</t>
  </si>
  <si>
    <t>Das Liebesleben der Tiere</t>
  </si>
  <si>
    <t>Athenäum</t>
  </si>
  <si>
    <t>Herzlichen Glückwunsch zum Geburtstag</t>
  </si>
  <si>
    <t>Wiener</t>
  </si>
  <si>
    <t>9783823102526</t>
  </si>
  <si>
    <t>Helga Schmidt</t>
  </si>
  <si>
    <t>Stilblüten aus Politik, Sport, Schule und Medien</t>
  </si>
  <si>
    <t>9783897368996</t>
  </si>
  <si>
    <t>Kein Stress für Pferde</t>
  </si>
  <si>
    <t>Gong</t>
  </si>
  <si>
    <t>Ruth Rendell</t>
  </si>
  <si>
    <t>Die Werbung</t>
  </si>
  <si>
    <t>9783860478738</t>
  </si>
  <si>
    <t>Dr.G. Reitz, Dr. med. R. Schmidts, Dr. T. Rosky</t>
  </si>
  <si>
    <t>Das große Buch vom Träumen: So verstehen Sie die Botschaften Ihres Unbewussten</t>
  </si>
  <si>
    <t>9783896044075</t>
  </si>
  <si>
    <t>Gilbert Sinoué</t>
  </si>
  <si>
    <t>Die Straße nach Isfahan</t>
  </si>
  <si>
    <t>9783860475140</t>
  </si>
  <si>
    <t>Farbberatung Seidenmalerei</t>
  </si>
  <si>
    <t>Michaela Götz</t>
  </si>
  <si>
    <t>9783806848410</t>
  </si>
  <si>
    <t>Michael Fuchs / Rafael Luwisch / Matthias Mala</t>
  </si>
  <si>
    <t>Spaß sticht Langeweile: Die interessantesten Kartenspiele von lustig bis anspruchsvoll</t>
  </si>
  <si>
    <t>9783806875157</t>
  </si>
  <si>
    <t>Fettarm leben</t>
  </si>
  <si>
    <t>9783828918887</t>
  </si>
  <si>
    <t>Handbuch der Arzthelferin</t>
  </si>
  <si>
    <t>Hippokrates</t>
  </si>
  <si>
    <t>9783777313986</t>
  </si>
  <si>
    <t>Die Chronik des Fleckens Gieboldehausen 1003 - 2003</t>
  </si>
  <si>
    <t>Mecke</t>
  </si>
  <si>
    <t>3-932752-97-X</t>
  </si>
  <si>
    <t>Quellen der Kraft: Wenn der Seele Flügel wachsen</t>
  </si>
  <si>
    <t>3-87070-943-X</t>
  </si>
  <si>
    <t>Susanne walsleben</t>
  </si>
  <si>
    <t>Warum nehme ich nicht ab?</t>
  </si>
  <si>
    <t>9783828920910</t>
  </si>
  <si>
    <t>Startklar fit in Wort und Schrift</t>
  </si>
  <si>
    <t>Schroedel</t>
  </si>
  <si>
    <t>3507416611</t>
  </si>
  <si>
    <t>Anne Fortier</t>
  </si>
  <si>
    <t>Julia</t>
  </si>
  <si>
    <t>9783810506788</t>
  </si>
  <si>
    <t>Ursula Richter</t>
  </si>
  <si>
    <t>Weihnachtsgeschichten am Kamin</t>
  </si>
  <si>
    <t>Jeoseph Delmont</t>
  </si>
  <si>
    <t>Der Casanova von Buatzen</t>
  </si>
  <si>
    <t>Lusatia</t>
  </si>
  <si>
    <t>3936758204</t>
  </si>
  <si>
    <t>Joyce Egginton</t>
  </si>
  <si>
    <t>Es geschah nebenan</t>
  </si>
  <si>
    <t>Lewis Harris</t>
  </si>
  <si>
    <t>Die Vampirin: Lieber untot als todlangweilig</t>
  </si>
  <si>
    <t>9783570306635</t>
  </si>
  <si>
    <t>Umberto Eco</t>
  </si>
  <si>
    <t>Die geheimnisvolle Flamme der Königin Loana</t>
  </si>
  <si>
    <t>Mark Fisher</t>
  </si>
  <si>
    <t>Der Psychiater</t>
  </si>
  <si>
    <t>3828967167</t>
  </si>
  <si>
    <t>E. Döpp / C. Willrich / J.Rebbe</t>
  </si>
  <si>
    <t>Wok Low Fat: leichter Genuss</t>
  </si>
  <si>
    <t>9783774263406</t>
  </si>
  <si>
    <t>Wok-Rezepte: schnell frisch und gesund</t>
  </si>
  <si>
    <t>9783625112495</t>
  </si>
  <si>
    <t>Josef Rattner</t>
  </si>
  <si>
    <t>Psychologie der zwischenmenschlichen Beziehungen</t>
  </si>
  <si>
    <t>9783828948143</t>
  </si>
  <si>
    <t>Renate Ahrens-Kramer</t>
  </si>
  <si>
    <t>Die Welt steht Kopf</t>
  </si>
  <si>
    <t>9783570261453</t>
  </si>
  <si>
    <t>Clark Darlton</t>
  </si>
  <si>
    <t>Der Todeskandidat</t>
  </si>
  <si>
    <t>Cassandra Brooke</t>
  </si>
  <si>
    <t>Alles Liebe, Deine Venus / Liebe Venus, mach es gut</t>
  </si>
  <si>
    <t>9783426608432</t>
  </si>
  <si>
    <t>Das vierte Opfer</t>
  </si>
  <si>
    <t>9783442727193</t>
  </si>
  <si>
    <t>Der Name der Rose</t>
  </si>
  <si>
    <t>21.</t>
  </si>
  <si>
    <t>9783423105514</t>
  </si>
  <si>
    <t>Harold Nebenzal</t>
  </si>
  <si>
    <t>Der Löwenkult</t>
  </si>
  <si>
    <t>9783251004300</t>
  </si>
  <si>
    <t>Hilary Norman</t>
  </si>
  <si>
    <t>Gefährliche Nähe</t>
  </si>
  <si>
    <t>3785709994</t>
  </si>
  <si>
    <t>Andrew Kaplan</t>
  </si>
  <si>
    <t>Homeland: Carries Jagd</t>
  </si>
  <si>
    <t>9783453269224</t>
  </si>
  <si>
    <t>Tanja Kinkel</t>
  </si>
  <si>
    <t>Unter dem Zwillingstern</t>
  </si>
  <si>
    <t>9783442449361</t>
  </si>
  <si>
    <t>Heinrich Burk</t>
  </si>
  <si>
    <t>Mord in der Bad Nauheimer Spielbank</t>
  </si>
  <si>
    <t>Wetterauer Zeitung</t>
  </si>
  <si>
    <t>3-924145-13-X</t>
  </si>
  <si>
    <t>So hoch wie der Himmel</t>
  </si>
  <si>
    <t>Schöne Aussicht</t>
  </si>
  <si>
    <t>3442067219</t>
  </si>
  <si>
    <t>Dora Thaler</t>
  </si>
  <si>
    <t>Zweimal Trude</t>
  </si>
  <si>
    <t>Breitschopf</t>
  </si>
  <si>
    <t>3700400136</t>
  </si>
  <si>
    <t>verschiedene</t>
  </si>
  <si>
    <t>LeseLust USA</t>
  </si>
  <si>
    <t>9783442119370</t>
  </si>
  <si>
    <t>Gottfried August Bürger</t>
  </si>
  <si>
    <t>Des Freiherrn von Münchhausen Reisen und Abenteuer</t>
  </si>
  <si>
    <t>Im Insel Verlag</t>
  </si>
  <si>
    <t>Anton Quintana</t>
  </si>
  <si>
    <t>Wandernde Hügel, Singender Sand Das Buch von Bod Pa</t>
  </si>
  <si>
    <t>Hervé Jaouen</t>
  </si>
  <si>
    <t>Pardon, Monsieur, ist dieser Hund blind?</t>
  </si>
  <si>
    <t>Urachhaus</t>
  </si>
  <si>
    <t>James Rayburn</t>
  </si>
  <si>
    <t>Sie werden dich finden</t>
  </si>
  <si>
    <t>Tropen</t>
  </si>
  <si>
    <t>9783608503784</t>
  </si>
  <si>
    <t>Carol Mason</t>
  </si>
  <si>
    <t>Schenk mir den Himmel</t>
  </si>
  <si>
    <t>9783453407077</t>
  </si>
  <si>
    <t>Wolfgang Schmidt-Nentwig</t>
  </si>
  <si>
    <t>Schmidt Rönhild</t>
  </si>
  <si>
    <t>Erläuterungen und Fälle zum Strafrecht: Bd. 2A</t>
  </si>
  <si>
    <t>3795029023</t>
  </si>
  <si>
    <t>Erläuterungen und Fälle zum Strafrecht: Bd. 3A</t>
  </si>
  <si>
    <t>3795029082</t>
  </si>
  <si>
    <t>Donna Tartt</t>
  </si>
  <si>
    <t>William Poundstone</t>
  </si>
  <si>
    <t>Im Labyrinth des Denken</t>
  </si>
  <si>
    <t>3498052721</t>
  </si>
  <si>
    <t>Frau zu sein bedarf es wenig</t>
  </si>
  <si>
    <t>9783596110575</t>
  </si>
  <si>
    <t>Rosemarie Lingk</t>
  </si>
  <si>
    <t>Ich habe keine Wunderkinder</t>
  </si>
  <si>
    <t>9783612270566</t>
  </si>
  <si>
    <t>John Vermeulen</t>
  </si>
  <si>
    <t>Zwischen Gott und der See</t>
  </si>
  <si>
    <t>3257861257</t>
  </si>
  <si>
    <t>Sue Miller</t>
  </si>
  <si>
    <t>Die Stadt in den Fluten</t>
  </si>
  <si>
    <t>9783442456345</t>
  </si>
  <si>
    <t>P.B. Kerr</t>
  </si>
  <si>
    <t>Die Kinder des Dschinn: Der Spion im Himalaya</t>
  </si>
  <si>
    <t>9783499215919</t>
  </si>
  <si>
    <t>Friedrich Christian Delius</t>
  </si>
  <si>
    <t>Konservativ in 30 Tagen</t>
  </si>
  <si>
    <t>3498012762</t>
  </si>
  <si>
    <t>Patrick Süskind</t>
  </si>
  <si>
    <t>Die Geschichte von Herrn Sommer</t>
  </si>
  <si>
    <t>9783257018950</t>
  </si>
  <si>
    <t>3-922144-56-X</t>
  </si>
  <si>
    <t>Hermann L. Gremliza</t>
  </si>
  <si>
    <t>Wie Hannelore Kohl die Russen Bezauberte</t>
  </si>
  <si>
    <t>Konkret Literatur</t>
  </si>
  <si>
    <t>Bernhard Schulz</t>
  </si>
  <si>
    <t>Abend mit Zimtsternen</t>
  </si>
  <si>
    <t>Eugen Salzer</t>
  </si>
  <si>
    <t>3793605485</t>
  </si>
  <si>
    <t>9783442311248</t>
  </si>
  <si>
    <t>3-462-02740-9</t>
  </si>
  <si>
    <t>Die geheime Geschichte</t>
  </si>
  <si>
    <t>Flieh, wenn du kannst</t>
  </si>
  <si>
    <t>9783442448241</t>
  </si>
  <si>
    <t>Luanne Rice</t>
  </si>
  <si>
    <t>Wo die Sterne zu Hause sind</t>
  </si>
  <si>
    <t>9783426622896</t>
  </si>
  <si>
    <t>Anette Göttlicher</t>
  </si>
  <si>
    <t>Aus die Maus</t>
  </si>
  <si>
    <t>9783499241260</t>
  </si>
  <si>
    <t>Killer Sudoku</t>
  </si>
  <si>
    <t>Deltas</t>
  </si>
  <si>
    <t>niederländisch</t>
  </si>
  <si>
    <t>9789044713343</t>
  </si>
  <si>
    <t>Ina-Marie Cassens</t>
  </si>
  <si>
    <t>Die Heilerin von Salerno</t>
  </si>
  <si>
    <t>9783868008210</t>
  </si>
  <si>
    <t>Lori Wilde / Kathleen O'Reilly / Candace Havens</t>
  </si>
  <si>
    <t>Verführung unterm Mistelzweig / Ausgepackt! / Jede Nacht ein Fest der Liebe</t>
  </si>
  <si>
    <t>4197585805505</t>
  </si>
  <si>
    <t>Der träumende Delphin: Eine magische Reise zu dir selbst</t>
  </si>
  <si>
    <t>9783492229418</t>
  </si>
  <si>
    <t>Joe Meno</t>
  </si>
  <si>
    <t>verdammte Helden</t>
  </si>
  <si>
    <t>9783453590137</t>
  </si>
  <si>
    <t>L. Neil Smith</t>
  </si>
  <si>
    <t>Tom Pain Maru</t>
  </si>
  <si>
    <t>9783453312913</t>
  </si>
  <si>
    <t>Virginia Ironside</t>
  </si>
  <si>
    <t>Nein! Ich will keinen Seniorenteller</t>
  </si>
  <si>
    <t>9783442468683</t>
  </si>
  <si>
    <t>David Malouf</t>
  </si>
  <si>
    <t>Jenseits von Babylon</t>
  </si>
  <si>
    <t>9783423125673</t>
  </si>
  <si>
    <t>Frank Goosen</t>
  </si>
  <si>
    <t>Sechs silberne Saiten</t>
  </si>
  <si>
    <t>9783453406223</t>
  </si>
  <si>
    <t>Marco Polo</t>
  </si>
  <si>
    <t>Türkei: Reisen mit Insider Tipps</t>
  </si>
  <si>
    <t>Mairs Geografischer Verlag</t>
  </si>
  <si>
    <t>9783829701846</t>
  </si>
  <si>
    <t>Dan Zevin</t>
  </si>
  <si>
    <t>Uncool oder die Kunst erwachsen zu werden</t>
  </si>
  <si>
    <t>9783453870345</t>
  </si>
  <si>
    <t>Jeansgröße 0</t>
  </si>
  <si>
    <t>9783401057743</t>
  </si>
  <si>
    <t>Lotte &amp; Soren Hammer</t>
  </si>
  <si>
    <t>Schweine Hunde</t>
  </si>
  <si>
    <t>9783868009132</t>
  </si>
  <si>
    <t>Der unglückliche Mörder</t>
  </si>
  <si>
    <t>Bettina Haskamp</t>
  </si>
  <si>
    <t>Alles wegen Werner</t>
  </si>
  <si>
    <t>9783547711523</t>
  </si>
  <si>
    <t>Wendy K. Harris</t>
  </si>
  <si>
    <t>John Irving</t>
  </si>
  <si>
    <t>Nicht schon wieder Stau</t>
  </si>
  <si>
    <t>Bastian Bielendorfer</t>
  </si>
  <si>
    <t>Mutter ruft an: Mein Anschiss unter dieser Nummer</t>
  </si>
  <si>
    <t>Simon Brett</t>
  </si>
  <si>
    <t>Guck mal, wer da läuft</t>
  </si>
  <si>
    <t>9783426634752</t>
  </si>
  <si>
    <t>9783492300681</t>
  </si>
  <si>
    <t>9783257239492</t>
  </si>
  <si>
    <t>Alexandra Potter</t>
  </si>
  <si>
    <t>Der Wunschzettel</t>
  </si>
  <si>
    <t>9783442464364</t>
  </si>
  <si>
    <t>Stephan Orth / Antje Blinda</t>
  </si>
  <si>
    <t>Sorry, wir haben die Landebahn verfehlt</t>
  </si>
  <si>
    <t>9783548373263</t>
  </si>
  <si>
    <t>Gayle Forman</t>
  </si>
  <si>
    <t>Nur diese eine Nacht</t>
  </si>
  <si>
    <t>9783442384051</t>
  </si>
  <si>
    <t>Die Hyäne</t>
  </si>
  <si>
    <t>9783959738880</t>
  </si>
  <si>
    <t>Cecilia Ahern</t>
  </si>
  <si>
    <t>Zwischen Himmel und Liebe</t>
  </si>
  <si>
    <t>9783596167340</t>
  </si>
  <si>
    <t>Stephen Lawhead</t>
  </si>
  <si>
    <t>Der Sohn des Kreuzfahrers</t>
  </si>
  <si>
    <t>9783404147298</t>
  </si>
  <si>
    <t>Peter Veith</t>
  </si>
  <si>
    <t>Eltern machen Kindern Mut</t>
  </si>
  <si>
    <t>9783451262845</t>
  </si>
  <si>
    <t>Sabine Thiesler</t>
  </si>
  <si>
    <t>Der Kindersammler</t>
  </si>
  <si>
    <t>9783453721791</t>
  </si>
  <si>
    <t>Wie ich meinen Eltern den letzten Nerv raubte</t>
  </si>
  <si>
    <t>9783426627143</t>
  </si>
  <si>
    <t>Robert Kisch</t>
  </si>
  <si>
    <t>Möbelhaus</t>
  </si>
  <si>
    <t>9783426304044</t>
  </si>
  <si>
    <t>Celia May Hart</t>
  </si>
  <si>
    <t>Götter der Lust</t>
  </si>
  <si>
    <t>9783499252105</t>
  </si>
  <si>
    <t>Roland Spranger</t>
  </si>
  <si>
    <t>Kriegsgebiete</t>
  </si>
  <si>
    <t>Bookspot</t>
  </si>
  <si>
    <t>ehem. Bibliotheksbuch
entsprechende Aufkleber / Stempel vorhanden
Das Buch ist in einem einwandfreien Zustand</t>
  </si>
  <si>
    <t>9783937357546</t>
  </si>
  <si>
    <t>Eva Goris</t>
  </si>
  <si>
    <t>Schmeckt's noch?</t>
  </si>
  <si>
    <t>9783426779842</t>
  </si>
  <si>
    <t>Heidi Velten / Bruno Walter</t>
  </si>
  <si>
    <t>Harmonische Babymassage</t>
  </si>
  <si>
    <t>Urania</t>
  </si>
  <si>
    <t>9783332013139</t>
  </si>
  <si>
    <t>Veronika Horch</t>
  </si>
  <si>
    <t>Von wegen Schicksal: Eine Frau steht auf</t>
  </si>
  <si>
    <t>3-922028-04-7</t>
  </si>
  <si>
    <t>E.E. "Doc" Smith mit Stephen Goldin</t>
  </si>
  <si>
    <t>Verräterwelt: Der neue Roman mit den Weltraumagenten d'Alembert</t>
  </si>
  <si>
    <t>9783404230556</t>
  </si>
  <si>
    <t>Elke Eßmann</t>
  </si>
  <si>
    <t>111 Arbeitgeberfragen im Vorstellungsgespräch</t>
  </si>
  <si>
    <t>9783442164998</t>
  </si>
  <si>
    <t>Luise Dornemann</t>
  </si>
  <si>
    <t>Alle Tage ihres Lebens</t>
  </si>
  <si>
    <t>Dietz</t>
  </si>
  <si>
    <t>Helmut Hinnemann</t>
  </si>
  <si>
    <t>CAT-Segeln für Einsteiger</t>
  </si>
  <si>
    <t>Delius Klasing</t>
  </si>
  <si>
    <t>9783768807432</t>
  </si>
  <si>
    <t>Hellmuth Karasek</t>
  </si>
  <si>
    <t>Soll das ein Witz sein?</t>
  </si>
  <si>
    <t>9783453412699</t>
  </si>
  <si>
    <t>Günter Wagner</t>
  </si>
  <si>
    <t>Humor und Stimmung Ein heiteres Vortragsbuch</t>
  </si>
  <si>
    <t>3806804605</t>
  </si>
  <si>
    <t>Klaus Oberbeil</t>
  </si>
  <si>
    <t>Fit ohne Fett</t>
  </si>
  <si>
    <t>4006067983504</t>
  </si>
  <si>
    <t>Frankfurt ein Reisebegleiter</t>
  </si>
  <si>
    <t>Insel</t>
  </si>
  <si>
    <t>9783458349044</t>
  </si>
  <si>
    <t>Karen Cleveland</t>
  </si>
  <si>
    <t>Wahrheit gegen Wahrheit</t>
  </si>
  <si>
    <t>9783442716746</t>
  </si>
  <si>
    <t>Viktoria Holt</t>
  </si>
  <si>
    <t>Fluch der Seide</t>
  </si>
  <si>
    <t>9783426601914</t>
  </si>
  <si>
    <t>Margaret Fishback Powers</t>
  </si>
  <si>
    <t>Spuren im Sand: Das Gedicht das Millionen bewegt</t>
  </si>
  <si>
    <t>9783765564086</t>
  </si>
  <si>
    <t>Glenna McReynolds</t>
  </si>
  <si>
    <t>Stein und Efeu</t>
  </si>
  <si>
    <t>Rolf Winter</t>
  </si>
  <si>
    <t>Der amerikanische Alptraum</t>
  </si>
  <si>
    <t>9783453059108</t>
  </si>
  <si>
    <t>Helene Tursten</t>
  </si>
  <si>
    <t>Der zweite Mord</t>
  </si>
  <si>
    <t>9783442726240</t>
  </si>
  <si>
    <t>Brigitta Hügel</t>
  </si>
  <si>
    <t>HomeBasics: Der ultimative Guide für den ersten Haushalt</t>
  </si>
  <si>
    <t>9783806828399</t>
  </si>
  <si>
    <t>Dr. med. Detlef Pape / Dr. med. Beate Quadbeck / Anna Cavelius</t>
  </si>
  <si>
    <t>Die Hormonformel: Wie Frauen wirklich abnehmen</t>
  </si>
  <si>
    <t>9783828941786</t>
  </si>
  <si>
    <t>Frauke Scheunemann</t>
  </si>
  <si>
    <t>Katzenjammer</t>
  </si>
  <si>
    <t>9783442477920</t>
  </si>
  <si>
    <t>Reginald Hill</t>
  </si>
  <si>
    <t>Ins Leben zurückgerufen</t>
  </si>
  <si>
    <t>9783426627570</t>
  </si>
  <si>
    <t>Edward Ball</t>
  </si>
  <si>
    <t>Die Plantagen am Cooper River</t>
  </si>
  <si>
    <t>3-10-004804-0</t>
  </si>
  <si>
    <t>Horst Evers</t>
  </si>
  <si>
    <t>Der König von Berlin</t>
  </si>
  <si>
    <t>9783499259524</t>
  </si>
  <si>
    <t>Der Magier - Der Sand der Zeit</t>
  </si>
  <si>
    <t>9783854929543</t>
  </si>
  <si>
    <t>Andy P. Jones</t>
  </si>
  <si>
    <t>Von wegen Liebe auf den ersten Blick</t>
  </si>
  <si>
    <t>9783442377688</t>
  </si>
  <si>
    <t>Maryk Monahan</t>
  </si>
  <si>
    <t>Der Todesbiss</t>
  </si>
  <si>
    <t>3811861263</t>
  </si>
  <si>
    <t>EK</t>
  </si>
  <si>
    <t>Fikry El Azzouzi</t>
  </si>
  <si>
    <t>Wir da draussen</t>
  </si>
  <si>
    <t>Original eingeschweißt</t>
  </si>
  <si>
    <t>9783832198299</t>
  </si>
  <si>
    <t>4007742199869</t>
  </si>
  <si>
    <t>Anja Kipper</t>
  </si>
  <si>
    <t>50 Speakwords to Outcolor and forsend</t>
  </si>
  <si>
    <t>englisch / deutsch</t>
  </si>
  <si>
    <t>Andreas von Steggern</t>
  </si>
  <si>
    <t>Alles Mythos! 20 Populäre Irrtümer über die BRD und die DDR</t>
  </si>
  <si>
    <t>Theiss</t>
  </si>
  <si>
    <t>9783806227659</t>
  </si>
  <si>
    <t>Kristin Perers</t>
  </si>
  <si>
    <t>Ein Haus für jede Jahreszeit</t>
  </si>
  <si>
    <t>9783772473531</t>
  </si>
  <si>
    <t>Kerstin Heß</t>
  </si>
  <si>
    <t>Wenn Gäste kommen - Deko Ideen und Rezepte</t>
  </si>
  <si>
    <t>9783772473487</t>
  </si>
  <si>
    <t>Original eingeschweißt
Buch stammt aus einem Abverkauf Restposten einer Buchhandlung - ungelesen
Sollte wieder erwarten Gebrauchsspuren vorhanden sein, stammen diese von der Lagerung bzw. Transport</t>
  </si>
  <si>
    <t>Stephan M. Rother</t>
  </si>
  <si>
    <t>Die Prophezeihung des Magischen Steins</t>
  </si>
  <si>
    <t>9783522202442</t>
  </si>
  <si>
    <t>Pittacus Lore</t>
  </si>
  <si>
    <t>Number 4 Drei sind schon tot - ich bin Nummer 4</t>
  </si>
  <si>
    <t>9783733501075</t>
  </si>
  <si>
    <t>Yvonne Kuschel</t>
  </si>
  <si>
    <t>Männer müssen stark sein</t>
  </si>
  <si>
    <t>9783763263547</t>
  </si>
  <si>
    <t>Catherine McKenzie</t>
  </si>
  <si>
    <t>Sternhagelverliebt</t>
  </si>
  <si>
    <t>9783426509302</t>
  </si>
  <si>
    <t>Emily Benedek</t>
  </si>
  <si>
    <t>Die letzte Plage</t>
  </si>
  <si>
    <t>9783442466399</t>
  </si>
  <si>
    <t>Luisanna Messeri</t>
  </si>
  <si>
    <t>111 Rezepte aus Italien die man gekocht haben muss</t>
  </si>
  <si>
    <t>emons</t>
  </si>
  <si>
    <t>9783954518630</t>
  </si>
  <si>
    <t>Monstermäßige Monster Mützen</t>
  </si>
  <si>
    <t>Michael Fischer</t>
  </si>
  <si>
    <t>9783863553975</t>
  </si>
  <si>
    <t>Angelika Ilies</t>
  </si>
  <si>
    <t>Dampfgaren - Ganz Easy im Dämpfkorb</t>
  </si>
  <si>
    <t>9783833864599</t>
  </si>
  <si>
    <t>Iwanowski</t>
  </si>
  <si>
    <t>101 Berlin Geheimtipps und Top-Ziele</t>
  </si>
  <si>
    <t>Reisebuchverlag Iwanowski</t>
  </si>
  <si>
    <t>9783861970521</t>
  </si>
  <si>
    <t>Fantastische Fröbelsterne</t>
  </si>
  <si>
    <t>9783772440557</t>
  </si>
  <si>
    <t>Lene Schepper und Anna Schepper</t>
  </si>
  <si>
    <t>Weihnachtliches Papierflechten</t>
  </si>
  <si>
    <t>9783772441226</t>
  </si>
  <si>
    <t>Kreativ Manufaktur</t>
  </si>
  <si>
    <t>Inspiration für kleine Blütengeschenke - kulinarusche Genüsse hübsch verpackt</t>
  </si>
  <si>
    <t>9783772459108</t>
  </si>
  <si>
    <t>Feine Plätzchen zu Weihnachten - Süßes Gebäck hübsch verpackt</t>
  </si>
  <si>
    <t>9783772459139</t>
  </si>
  <si>
    <t>Zauber Frisch</t>
  </si>
  <si>
    <t>Profitipps für Ihren Haushalt - Ordnen und Aufbewahren</t>
  </si>
  <si>
    <t>9783772476426</t>
  </si>
  <si>
    <t>Profitipps für Ihren Haushalt - Kampf gegen Flecken</t>
  </si>
  <si>
    <t>9783772476471</t>
  </si>
  <si>
    <t>Linda Sole</t>
  </si>
  <si>
    <t>Die im Schatten stehen</t>
  </si>
  <si>
    <t>4</t>
  </si>
  <si>
    <t>9783453075030</t>
  </si>
  <si>
    <t>Erik Axl Sund</t>
  </si>
  <si>
    <t>Krähen Mädchen</t>
  </si>
  <si>
    <t>9783442481170</t>
  </si>
  <si>
    <t>Narben Kind</t>
  </si>
  <si>
    <t>9783442481187</t>
  </si>
  <si>
    <t>Schatten Schrei</t>
  </si>
  <si>
    <t>9783442481194</t>
  </si>
  <si>
    <t>Nicci French</t>
  </si>
  <si>
    <t>Das rote Zimmer</t>
  </si>
  <si>
    <t>9783442457434</t>
  </si>
  <si>
    <t>Volker Klüpfel / Michael Kobr</t>
  </si>
  <si>
    <t>Milchgeld</t>
  </si>
  <si>
    <t>9783492242165</t>
  </si>
  <si>
    <t>Judith Winter</t>
  </si>
  <si>
    <t>Siebenschön</t>
  </si>
  <si>
    <t>Sebastian Fitzek</t>
  </si>
  <si>
    <t>Die Therapie</t>
  </si>
  <si>
    <t>9783868001280</t>
  </si>
  <si>
    <t>Ruriko Pilgrim</t>
  </si>
  <si>
    <t>Frühlingsnebel</t>
  </si>
  <si>
    <t>9783442727834</t>
  </si>
  <si>
    <t>Thomas Harris</t>
  </si>
  <si>
    <t>Hannibal</t>
  </si>
  <si>
    <t>Taylor Jenkins Reid</t>
  </si>
  <si>
    <t>Neun Tage und ein Jahr</t>
  </si>
  <si>
    <t>9783453291645</t>
  </si>
  <si>
    <t>Jeffrey D. Sachs</t>
  </si>
  <si>
    <t>Wohlstand für viele: Globale Wirtschaftspolitik in Zeiten der ökologischen und sozialen Krise</t>
  </si>
  <si>
    <t>erste Auflage</t>
  </si>
  <si>
    <t>9783570551172</t>
  </si>
  <si>
    <t>Dagmar Da Silveira Macedon</t>
  </si>
  <si>
    <t>How to survive: Als Frau ab 40 - So leben sie glücklich mit Falten, Pfunden und anderen Zumutungen des Älterwerdens</t>
  </si>
  <si>
    <t>Schwarzkopf &amp; Schwarzkopf</t>
  </si>
  <si>
    <t>9783942665421</t>
  </si>
  <si>
    <t>Gudrun Schmitt</t>
  </si>
  <si>
    <t>Zen Jewels - Auf magische Shrinky-Folie tangeln und ausmalen</t>
  </si>
  <si>
    <t>9783772442193</t>
  </si>
  <si>
    <t>Alexandra Reinwarth</t>
  </si>
  <si>
    <t>Hape auf den Spuren des Lustigsten Deutschen</t>
  </si>
  <si>
    <t>9783868835786</t>
  </si>
  <si>
    <t>Elisabeth Herrmann</t>
  </si>
  <si>
    <t>Der Schneegänger</t>
  </si>
  <si>
    <t>9783442313860</t>
  </si>
  <si>
    <t>Wollige Frühlingsboten</t>
  </si>
  <si>
    <t>9783772440793</t>
  </si>
  <si>
    <t>Cora Carmack</t>
  </si>
  <si>
    <t>Storm Heart - Die Rebellin</t>
  </si>
  <si>
    <t>9783789104053</t>
  </si>
  <si>
    <t>Renate Bretzke</t>
  </si>
  <si>
    <t>Crazy Eggs - Total verrückte Ostereier</t>
  </si>
  <si>
    <t>9783772441325</t>
  </si>
  <si>
    <t>Anna-Lena Krell</t>
  </si>
  <si>
    <t>Motive Macarons zum Beeindrucken und genießen</t>
  </si>
  <si>
    <t>9783772480164</t>
  </si>
  <si>
    <t>Pia Pedevilla</t>
  </si>
  <si>
    <t>Fröhliche Weihnachtsminis - Figuren aus Stoffbändern</t>
  </si>
  <si>
    <t>9783772441165</t>
  </si>
  <si>
    <t>Oliver Klam</t>
  </si>
  <si>
    <t>Haarige Geschichten: Das wahre Leben im Friseursalon</t>
  </si>
  <si>
    <t>9783862656295</t>
  </si>
  <si>
    <t>Falk Stirkat</t>
  </si>
  <si>
    <t>Was uns umbringt: 25 Notfälle und wie sie darauf reagieren können</t>
  </si>
  <si>
    <t>9783942665292</t>
  </si>
  <si>
    <t>Anthony "LT" Menginie und Kerrie Droban</t>
  </si>
  <si>
    <t>Hölle auf zwei Rädern Pagans - Todfeinde der Hells Angels: Ein Insider packt aus…</t>
  </si>
  <si>
    <t>hannibal</t>
  </si>
  <si>
    <t>9783854453710</t>
  </si>
  <si>
    <t>Nico Stanitzok / Viola Booth</t>
  </si>
  <si>
    <t>Quäl dich die Diät</t>
  </si>
  <si>
    <t>9783833853401</t>
  </si>
  <si>
    <t>Adenauer</t>
  </si>
  <si>
    <t>deutsche VerlagsAnstalt</t>
  </si>
  <si>
    <t>3421014329</t>
  </si>
  <si>
    <t>Hundekrankheiten: Die typischen Leiden von Stockholm-Syndrom über Napfblindheit bis Rammelose</t>
  </si>
  <si>
    <t>Die kleine Strickkonditorei</t>
  </si>
  <si>
    <t>Christophorus</t>
  </si>
  <si>
    <t>9783868833195</t>
  </si>
  <si>
    <t>9783838831169</t>
  </si>
  <si>
    <t>Rasa Huplé</t>
  </si>
  <si>
    <t>Accessoires Häkeln</t>
  </si>
  <si>
    <t>9783772481819</t>
  </si>
  <si>
    <t>Wenn die Mäuse Katzen jagen</t>
  </si>
  <si>
    <t>9783404143429</t>
  </si>
  <si>
    <t>Baden Württemberg in 66 Objekten</t>
  </si>
  <si>
    <t>9783806234008</t>
  </si>
  <si>
    <t>Das Standardwerk des Garten-Cartoons</t>
  </si>
  <si>
    <t>9783830334897</t>
  </si>
  <si>
    <t>Barbara Rias-Bucher</t>
  </si>
  <si>
    <t>Wunderbare Winterzeit: Festliche Rezeptideen für drinnen &amp; draußen</t>
  </si>
  <si>
    <t>9783772473319</t>
  </si>
  <si>
    <t>Christina Klein (LaFee) und Anne van Straelen</t>
  </si>
  <si>
    <t>Frei</t>
  </si>
  <si>
    <t>Becker Joest Volk</t>
  </si>
  <si>
    <t>9783954550663</t>
  </si>
  <si>
    <t>Simone Knappe / Stefanie Lautenschläger</t>
  </si>
  <si>
    <t>Wir feiern! Effektvolle Party-Ideen für die schönsten Feste des Jahres</t>
  </si>
  <si>
    <t>9783772459849</t>
  </si>
  <si>
    <t>Clement Clark Moore &amp; Lisbeth Zwerger</t>
  </si>
  <si>
    <t>Die Nacht vor Weihnachten</t>
  </si>
  <si>
    <t>classic-minedition</t>
  </si>
  <si>
    <t>9783865663573</t>
  </si>
  <si>
    <t>Gunda Förster</t>
  </si>
  <si>
    <t>Hatje Cantz</t>
  </si>
  <si>
    <t>3775714960</t>
  </si>
  <si>
    <t>Die Museumsinsel</t>
  </si>
  <si>
    <t>Cristina Ines Steingräber</t>
  </si>
  <si>
    <t>9783886095544</t>
  </si>
  <si>
    <t>Doodle Magic Monster</t>
  </si>
  <si>
    <t>9783772476136</t>
  </si>
  <si>
    <t>Michael Hohlfeld</t>
  </si>
  <si>
    <t>EM-Helden von Jordi Alba bis Zinedine Zidane 1960-2016</t>
  </si>
  <si>
    <t>pietsch</t>
  </si>
  <si>
    <t>9783613508378</t>
  </si>
  <si>
    <t>Ingrid Uebe / Petra Probst</t>
  </si>
  <si>
    <t>Gespenster Geschichten</t>
  </si>
  <si>
    <t>9783785524824</t>
  </si>
  <si>
    <t>Prof. Hademar Bankhofer</t>
  </si>
  <si>
    <t>Gesund &amp; Fit mit Tiefkühlkost</t>
  </si>
  <si>
    <t>Kneipp</t>
  </si>
  <si>
    <t>9783708800257</t>
  </si>
  <si>
    <t>Eigel Wiese</t>
  </si>
  <si>
    <t>Piraterie Neue Dimensionen eines alten Phänomens</t>
  </si>
  <si>
    <t>Koehler</t>
  </si>
  <si>
    <t>9783782210089</t>
  </si>
  <si>
    <t>Grüne Smoothies Die Energiebooster</t>
  </si>
  <si>
    <t>DK</t>
  </si>
  <si>
    <t>9783831027361</t>
  </si>
  <si>
    <t>Der König und sein Zauberer</t>
  </si>
  <si>
    <t>Willi Fährmann</t>
  </si>
  <si>
    <t>3-401-04463-X</t>
  </si>
  <si>
    <t>Gewinnzuschlag</t>
  </si>
  <si>
    <t>günstigster Preis booklooker</t>
  </si>
  <si>
    <t>MwST (7%)</t>
  </si>
  <si>
    <t>BN1469</t>
  </si>
  <si>
    <t>BN1470</t>
  </si>
  <si>
    <t>BN1471</t>
  </si>
  <si>
    <t>BN1472</t>
  </si>
  <si>
    <t>BN1473</t>
  </si>
  <si>
    <t>BN1474</t>
  </si>
  <si>
    <t>BN1475</t>
  </si>
  <si>
    <t>BN1476</t>
  </si>
  <si>
    <t>BN1477</t>
  </si>
  <si>
    <t>BN1478</t>
  </si>
  <si>
    <t>BN1479</t>
  </si>
  <si>
    <t>BN1480</t>
  </si>
  <si>
    <t>BN1481</t>
  </si>
  <si>
    <t>BN1482</t>
  </si>
  <si>
    <t>BN1483</t>
  </si>
  <si>
    <t>BN1484</t>
  </si>
  <si>
    <t>BN1485</t>
  </si>
  <si>
    <t>BN1486</t>
  </si>
  <si>
    <t>BN1487</t>
  </si>
  <si>
    <t>BN1488</t>
  </si>
  <si>
    <t>BN1489</t>
  </si>
  <si>
    <t>BN1490</t>
  </si>
  <si>
    <t>BN1491</t>
  </si>
  <si>
    <t>BN1492</t>
  </si>
  <si>
    <t>BN1493</t>
  </si>
  <si>
    <t>BN1494</t>
  </si>
  <si>
    <t>BN1495</t>
  </si>
  <si>
    <t>BN1496</t>
  </si>
  <si>
    <t>BN1497</t>
  </si>
  <si>
    <t>BN1498</t>
  </si>
  <si>
    <t>BN1499</t>
  </si>
  <si>
    <t>BN1500</t>
  </si>
  <si>
    <t>BN1501</t>
  </si>
  <si>
    <t>BN1502</t>
  </si>
  <si>
    <t>BN1503</t>
  </si>
  <si>
    <t>BN1504</t>
  </si>
  <si>
    <t>BN1505</t>
  </si>
  <si>
    <t>BN1506</t>
  </si>
  <si>
    <t>BN1507</t>
  </si>
  <si>
    <t>BN1508</t>
  </si>
  <si>
    <t>BN1509</t>
  </si>
  <si>
    <t>BN1510</t>
  </si>
  <si>
    <t>BN1511</t>
  </si>
  <si>
    <t>BN1512</t>
  </si>
  <si>
    <t>BN1513</t>
  </si>
  <si>
    <t>BN1514</t>
  </si>
  <si>
    <t>BN1515</t>
  </si>
  <si>
    <t>BN1516</t>
  </si>
  <si>
    <t>BN1517</t>
  </si>
  <si>
    <t>BN1518</t>
  </si>
  <si>
    <t>BN1519</t>
  </si>
  <si>
    <t>BN1520</t>
  </si>
  <si>
    <t>BN1521</t>
  </si>
  <si>
    <t>BN1522</t>
  </si>
  <si>
    <t>BN1523</t>
  </si>
  <si>
    <t>BN1524</t>
  </si>
  <si>
    <t>BN1525</t>
  </si>
  <si>
    <t>BN1526</t>
  </si>
  <si>
    <t>BN1527</t>
  </si>
  <si>
    <t>BN1528</t>
  </si>
  <si>
    <t>BN1529</t>
  </si>
  <si>
    <t>BN1530</t>
  </si>
  <si>
    <t>BN1531</t>
  </si>
  <si>
    <t>BN1532</t>
  </si>
  <si>
    <t>BN1533</t>
  </si>
  <si>
    <t>BN1534</t>
  </si>
  <si>
    <t>BN1535</t>
  </si>
  <si>
    <t>BN1536</t>
  </si>
  <si>
    <t>BN1537</t>
  </si>
  <si>
    <t>BN1538</t>
  </si>
  <si>
    <t>BN1539</t>
  </si>
  <si>
    <t>BN1540</t>
  </si>
  <si>
    <t>BN1541</t>
  </si>
  <si>
    <t>BN1542</t>
  </si>
  <si>
    <t>BN1543</t>
  </si>
  <si>
    <t>BN1544</t>
  </si>
  <si>
    <t>BN1545</t>
  </si>
  <si>
    <t>BN1546</t>
  </si>
  <si>
    <t>BN1547</t>
  </si>
  <si>
    <t>BN1548</t>
  </si>
  <si>
    <t>BN1549</t>
  </si>
  <si>
    <t>BN1550</t>
  </si>
  <si>
    <t>BN1551</t>
  </si>
  <si>
    <t>BN1552</t>
  </si>
  <si>
    <t>BN1553</t>
  </si>
  <si>
    <t>BN1554</t>
  </si>
  <si>
    <t>BN1555</t>
  </si>
  <si>
    <t>BN1556</t>
  </si>
  <si>
    <t>BN1557</t>
  </si>
  <si>
    <t>BN1558</t>
  </si>
  <si>
    <t>BN1559</t>
  </si>
  <si>
    <t>BN1560</t>
  </si>
  <si>
    <t>BN1561</t>
  </si>
  <si>
    <t>BN1562</t>
  </si>
  <si>
    <t>BN1563</t>
  </si>
  <si>
    <t>BN1564</t>
  </si>
  <si>
    <t>BN1565</t>
  </si>
  <si>
    <t>BN1566</t>
  </si>
  <si>
    <t>BN1567</t>
  </si>
  <si>
    <t>BN1568</t>
  </si>
  <si>
    <t>BN1569</t>
  </si>
  <si>
    <t>BN1570</t>
  </si>
  <si>
    <t>BN1571</t>
  </si>
  <si>
    <t>BN1572</t>
  </si>
  <si>
    <t>BN1573</t>
  </si>
  <si>
    <t>BN1574</t>
  </si>
  <si>
    <t>BN1575</t>
  </si>
  <si>
    <t>BN1576</t>
  </si>
  <si>
    <t>BN1577</t>
  </si>
  <si>
    <t>BN1578</t>
  </si>
  <si>
    <t>BN1579</t>
  </si>
  <si>
    <t>BN1580</t>
  </si>
  <si>
    <t>BN1581</t>
  </si>
  <si>
    <t>BN1582</t>
  </si>
  <si>
    <t>BN1583</t>
  </si>
  <si>
    <t>BN1584</t>
  </si>
  <si>
    <t>BN1585</t>
  </si>
  <si>
    <t>BN1586</t>
  </si>
  <si>
    <t>BN1587</t>
  </si>
  <si>
    <t>BN1588</t>
  </si>
  <si>
    <t>BN1589</t>
  </si>
  <si>
    <t>BN1590</t>
  </si>
  <si>
    <t>BN1591</t>
  </si>
  <si>
    <t>BN1592</t>
  </si>
  <si>
    <t>BN1593</t>
  </si>
  <si>
    <t>BN1594</t>
  </si>
  <si>
    <t>BN1595</t>
  </si>
  <si>
    <t>BN1596</t>
  </si>
  <si>
    <t>BN1597</t>
  </si>
  <si>
    <t>BN1598</t>
  </si>
  <si>
    <t>BN1599</t>
  </si>
  <si>
    <t>BN1600</t>
  </si>
  <si>
    <t>BN1601</t>
  </si>
  <si>
    <t>BN1602</t>
  </si>
  <si>
    <t>BN1603</t>
  </si>
  <si>
    <t>BN1604</t>
  </si>
  <si>
    <t>BN1605</t>
  </si>
  <si>
    <t>BN1606</t>
  </si>
  <si>
    <t>BN1607</t>
  </si>
  <si>
    <t>BN1608</t>
  </si>
  <si>
    <t>BN1609</t>
  </si>
  <si>
    <t>BN1610</t>
  </si>
  <si>
    <t>BN1611</t>
  </si>
  <si>
    <t>BN1612</t>
  </si>
  <si>
    <t>BN1613</t>
  </si>
  <si>
    <t>BN1614</t>
  </si>
  <si>
    <t>BN1615</t>
  </si>
  <si>
    <t>BN1616</t>
  </si>
  <si>
    <t>BN1617</t>
  </si>
  <si>
    <t>BN1618</t>
  </si>
  <si>
    <t>BN1619</t>
  </si>
  <si>
    <t>BN1620</t>
  </si>
  <si>
    <t>BN1621</t>
  </si>
  <si>
    <t>BN1622</t>
  </si>
  <si>
    <t>BN1623</t>
  </si>
  <si>
    <t>BN1624</t>
  </si>
  <si>
    <t>BN1625</t>
  </si>
  <si>
    <t>BN1626</t>
  </si>
  <si>
    <t>BN1627</t>
  </si>
  <si>
    <t>BN1628</t>
  </si>
  <si>
    <t>BN1629</t>
  </si>
  <si>
    <t>BN1630</t>
  </si>
  <si>
    <t>BN1631</t>
  </si>
  <si>
    <t>BN1632</t>
  </si>
  <si>
    <t>BN1633</t>
  </si>
  <si>
    <t>BN1634</t>
  </si>
  <si>
    <t>BN1635</t>
  </si>
  <si>
    <t>BN1636</t>
  </si>
  <si>
    <t>BN1637</t>
  </si>
  <si>
    <t>BN1638</t>
  </si>
  <si>
    <t>BN1639</t>
  </si>
  <si>
    <t>BN1640</t>
  </si>
  <si>
    <t>BN1641</t>
  </si>
  <si>
    <t>BN1642</t>
  </si>
  <si>
    <t>BN1643</t>
  </si>
  <si>
    <t>BN1644</t>
  </si>
  <si>
    <t>BN1645</t>
  </si>
  <si>
    <t>BN1646</t>
  </si>
  <si>
    <t>BN1647</t>
  </si>
  <si>
    <t>BN1648</t>
  </si>
  <si>
    <t>BN1649</t>
  </si>
  <si>
    <t>BN1650</t>
  </si>
  <si>
    <t>BN1651</t>
  </si>
  <si>
    <t>BN1652</t>
  </si>
  <si>
    <t>BN1653</t>
  </si>
  <si>
    <t>BN1654</t>
  </si>
  <si>
    <t>BN1655</t>
  </si>
  <si>
    <t>BN1656</t>
  </si>
  <si>
    <t>BN1657</t>
  </si>
  <si>
    <t>BN1658</t>
  </si>
  <si>
    <t>BN1659</t>
  </si>
  <si>
    <t>BN1660</t>
  </si>
  <si>
    <t>BN1661</t>
  </si>
  <si>
    <t>BN1662</t>
  </si>
  <si>
    <t>BN1663</t>
  </si>
  <si>
    <t>BN1664</t>
  </si>
  <si>
    <t>BN1665</t>
  </si>
  <si>
    <t>BN1666</t>
  </si>
  <si>
    <t>BN1667</t>
  </si>
  <si>
    <t>BN1668</t>
  </si>
  <si>
    <t>BN1669</t>
  </si>
  <si>
    <t>BN1670</t>
  </si>
  <si>
    <t>BN1671</t>
  </si>
  <si>
    <t>BN1672</t>
  </si>
  <si>
    <t>BN1673</t>
  </si>
  <si>
    <t>BN1674</t>
  </si>
  <si>
    <t>BN1675</t>
  </si>
  <si>
    <t>BN1676</t>
  </si>
  <si>
    <t>BN1677</t>
  </si>
  <si>
    <t>BN1678</t>
  </si>
  <si>
    <t>BN1679</t>
  </si>
  <si>
    <t>BN1680</t>
  </si>
  <si>
    <t>BN1681</t>
  </si>
  <si>
    <t>BN1682</t>
  </si>
  <si>
    <t>BN1683</t>
  </si>
  <si>
    <t>BN1684</t>
  </si>
  <si>
    <t>BN1685</t>
  </si>
  <si>
    <t>BN1686</t>
  </si>
  <si>
    <t>BN1687</t>
  </si>
  <si>
    <t>BN1688</t>
  </si>
  <si>
    <t>BN1689</t>
  </si>
  <si>
    <t>BN1690</t>
  </si>
  <si>
    <t>BN1691</t>
  </si>
  <si>
    <t>BN1692</t>
  </si>
  <si>
    <t>BN1693</t>
  </si>
  <si>
    <t>BN1694</t>
  </si>
  <si>
    <t>BN1695</t>
  </si>
  <si>
    <t>BN1696</t>
  </si>
  <si>
    <t>BN1697</t>
  </si>
  <si>
    <t>BN1698</t>
  </si>
  <si>
    <t>BN1699</t>
  </si>
  <si>
    <t>BN1700</t>
  </si>
  <si>
    <t>BN1701</t>
  </si>
  <si>
    <t>BN1702</t>
  </si>
  <si>
    <t>BN1703</t>
  </si>
  <si>
    <t>BN1704</t>
  </si>
  <si>
    <t>BN1705</t>
  </si>
  <si>
    <t>BN1706</t>
  </si>
  <si>
    <t>BN1707</t>
  </si>
  <si>
    <t>BN1708</t>
  </si>
  <si>
    <t>BN1709</t>
  </si>
  <si>
    <t>BN1710</t>
  </si>
  <si>
    <t>BN1711</t>
  </si>
  <si>
    <t>BN1712</t>
  </si>
  <si>
    <t>BN1713</t>
  </si>
  <si>
    <t>BN1714</t>
  </si>
  <si>
    <t>BN1715</t>
  </si>
  <si>
    <t>BN1716</t>
  </si>
  <si>
    <t>BN1717</t>
  </si>
  <si>
    <t>BN1718</t>
  </si>
  <si>
    <t>BN1719</t>
  </si>
  <si>
    <t>BN1720</t>
  </si>
  <si>
    <t>BN1721</t>
  </si>
  <si>
    <t>BN1722</t>
  </si>
  <si>
    <t>BN1723</t>
  </si>
  <si>
    <t>BN1724</t>
  </si>
  <si>
    <t>BN1725</t>
  </si>
  <si>
    <t>BN1726</t>
  </si>
  <si>
    <t>BN1727</t>
  </si>
  <si>
    <t>BN1728</t>
  </si>
  <si>
    <t>BN1729</t>
  </si>
  <si>
    <t>BN1730</t>
  </si>
  <si>
    <t>BN1731</t>
  </si>
  <si>
    <t>BN1732</t>
  </si>
  <si>
    <t>BN1733</t>
  </si>
  <si>
    <t>BN1734</t>
  </si>
  <si>
    <t>BN1735</t>
  </si>
  <si>
    <t>BN1736</t>
  </si>
  <si>
    <t>BN1737</t>
  </si>
  <si>
    <t>BN1738</t>
  </si>
  <si>
    <t>BN1739</t>
  </si>
  <si>
    <t>BN1740</t>
  </si>
  <si>
    <t>BN1741</t>
  </si>
  <si>
    <t>BN1742</t>
  </si>
  <si>
    <t>BN1743</t>
  </si>
  <si>
    <t>BN1744</t>
  </si>
  <si>
    <t>BN1745</t>
  </si>
  <si>
    <t>BN1746</t>
  </si>
  <si>
    <t>BN1747</t>
  </si>
  <si>
    <t>BN1748</t>
  </si>
  <si>
    <t>BN1749</t>
  </si>
  <si>
    <t>BN1750</t>
  </si>
  <si>
    <t>BN1751</t>
  </si>
  <si>
    <t>BN1752</t>
  </si>
  <si>
    <t>BN1753</t>
  </si>
  <si>
    <t>BN1754</t>
  </si>
  <si>
    <t>BN1755</t>
  </si>
  <si>
    <t>BN1756</t>
  </si>
  <si>
    <t>BN1757</t>
  </si>
  <si>
    <t>BN1758</t>
  </si>
  <si>
    <t>BN1759</t>
  </si>
  <si>
    <t>BN1760</t>
  </si>
  <si>
    <t>BN1761</t>
  </si>
  <si>
    <t>BN1762</t>
  </si>
  <si>
    <t>BN1763</t>
  </si>
  <si>
    <t>BN1764</t>
  </si>
  <si>
    <t>BN1765</t>
  </si>
  <si>
    <t>BN1766</t>
  </si>
  <si>
    <t>BN1767</t>
  </si>
  <si>
    <t>BN1768</t>
  </si>
  <si>
    <t>BN1769</t>
  </si>
  <si>
    <t>BN1770</t>
  </si>
  <si>
    <t>BN1771</t>
  </si>
  <si>
    <t>BN1772</t>
  </si>
  <si>
    <t>BN1773</t>
  </si>
  <si>
    <t>BN1774</t>
  </si>
  <si>
    <t>BN1775</t>
  </si>
  <si>
    <t>BN1776</t>
  </si>
  <si>
    <t>BN1777</t>
  </si>
  <si>
    <t>BN1778</t>
  </si>
  <si>
    <t>BN1779</t>
  </si>
  <si>
    <t>BN1780</t>
  </si>
  <si>
    <t>BN1781</t>
  </si>
  <si>
    <t>BN1782</t>
  </si>
  <si>
    <t>BN1783</t>
  </si>
  <si>
    <t>BN1784</t>
  </si>
  <si>
    <t>BN1785</t>
  </si>
  <si>
    <t>BN1786</t>
  </si>
  <si>
    <t>BN1787</t>
  </si>
  <si>
    <t>BN1788</t>
  </si>
  <si>
    <t>BN1789</t>
  </si>
  <si>
    <t>BN1790</t>
  </si>
  <si>
    <t>BN1791</t>
  </si>
  <si>
    <t>BN1792</t>
  </si>
  <si>
    <t>BN1793</t>
  </si>
  <si>
    <t>BN1794</t>
  </si>
  <si>
    <t>BN1795</t>
  </si>
  <si>
    <t>BN1796</t>
  </si>
  <si>
    <t>BN1797</t>
  </si>
  <si>
    <t>BN1798</t>
  </si>
  <si>
    <t>BN1799</t>
  </si>
  <si>
    <t>BN1800</t>
  </si>
  <si>
    <t>BN1801</t>
  </si>
  <si>
    <t>BN1802</t>
  </si>
  <si>
    <t>BN1803</t>
  </si>
  <si>
    <t>BN1804</t>
  </si>
  <si>
    <t>BN1805</t>
  </si>
  <si>
    <t>BN1806</t>
  </si>
  <si>
    <t>BN1807</t>
  </si>
  <si>
    <t>BN1808</t>
  </si>
  <si>
    <t>BN1809</t>
  </si>
  <si>
    <t>BN1810</t>
  </si>
  <si>
    <t>BN1811</t>
  </si>
  <si>
    <t>BN1812</t>
  </si>
  <si>
    <t>BN1813</t>
  </si>
  <si>
    <t>BN1814</t>
  </si>
  <si>
    <t>BN1815</t>
  </si>
  <si>
    <t>BN1816</t>
  </si>
  <si>
    <t>BN1817</t>
  </si>
  <si>
    <t>BN1818</t>
  </si>
  <si>
    <t>BN1819</t>
  </si>
  <si>
    <t>BN1820</t>
  </si>
  <si>
    <t>BN1821</t>
  </si>
  <si>
    <t>BN1822</t>
  </si>
  <si>
    <t>BN1823</t>
  </si>
  <si>
    <t>BN1824</t>
  </si>
  <si>
    <t>BN1825</t>
  </si>
  <si>
    <t>BN1826</t>
  </si>
  <si>
    <t>BN1827</t>
  </si>
  <si>
    <t>BN1828</t>
  </si>
  <si>
    <t>BN1829</t>
  </si>
  <si>
    <t>BN1830</t>
  </si>
  <si>
    <t>BN1831</t>
  </si>
  <si>
    <t>BN1832</t>
  </si>
  <si>
    <t>BN1833</t>
  </si>
  <si>
    <t>BN1834</t>
  </si>
  <si>
    <t>BN1835</t>
  </si>
  <si>
    <t>BN1836</t>
  </si>
  <si>
    <t>BN1837</t>
  </si>
  <si>
    <t>BN1838</t>
  </si>
  <si>
    <t>BN1839</t>
  </si>
  <si>
    <t>BN1840</t>
  </si>
  <si>
    <t>BN1841</t>
  </si>
  <si>
    <t>BN1842</t>
  </si>
  <si>
    <t>BN1843</t>
  </si>
  <si>
    <t>BN1844</t>
  </si>
  <si>
    <t>BN1845</t>
  </si>
  <si>
    <t>BN1846</t>
  </si>
  <si>
    <t>BN1847</t>
  </si>
  <si>
    <t>BN1848</t>
  </si>
  <si>
    <t>BN1849</t>
  </si>
  <si>
    <t>BN1850</t>
  </si>
  <si>
    <t>BN1851</t>
  </si>
  <si>
    <t>BN1852</t>
  </si>
  <si>
    <t>BN1853</t>
  </si>
  <si>
    <t>BN1854</t>
  </si>
  <si>
    <t>BN1855</t>
  </si>
  <si>
    <t>BN1856</t>
  </si>
  <si>
    <t>BN1857</t>
  </si>
  <si>
    <t>BN1858</t>
  </si>
  <si>
    <t>BN1859</t>
  </si>
  <si>
    <t>BN1864</t>
  </si>
  <si>
    <t>BN1865</t>
  </si>
  <si>
    <t>BN1866</t>
  </si>
  <si>
    <t>BN1867</t>
  </si>
  <si>
    <t>BN1868</t>
  </si>
  <si>
    <t>BN1869</t>
  </si>
  <si>
    <t>BN1870</t>
  </si>
  <si>
    <t>BN1871</t>
  </si>
  <si>
    <t>BN1872</t>
  </si>
  <si>
    <t>BN1873</t>
  </si>
  <si>
    <t>BN1874</t>
  </si>
  <si>
    <t>BN1875</t>
  </si>
  <si>
    <t>BN1876</t>
  </si>
  <si>
    <t>BN1877</t>
  </si>
  <si>
    <t>BN1878</t>
  </si>
  <si>
    <t>BN1879</t>
  </si>
  <si>
    <t>BN1880</t>
  </si>
  <si>
    <t>BN1881</t>
  </si>
  <si>
    <t>BN1882</t>
  </si>
  <si>
    <t>BN1883</t>
  </si>
  <si>
    <t>BN1884</t>
  </si>
  <si>
    <t>BN1885</t>
  </si>
  <si>
    <t>BN1886</t>
  </si>
  <si>
    <t>BN1887</t>
  </si>
  <si>
    <t>BN1888</t>
  </si>
  <si>
    <t>BN1889</t>
  </si>
  <si>
    <t>BN1890</t>
  </si>
  <si>
    <t>BN1891</t>
  </si>
  <si>
    <t>BN1892</t>
  </si>
  <si>
    <t>BN1893</t>
  </si>
  <si>
    <t>BN1894</t>
  </si>
  <si>
    <t>BN1895</t>
  </si>
  <si>
    <t>BN1896</t>
  </si>
  <si>
    <t>BN1897</t>
  </si>
  <si>
    <t>BN1898</t>
  </si>
  <si>
    <t>BN1899</t>
  </si>
  <si>
    <t>BN1900</t>
  </si>
  <si>
    <t>BN1901</t>
  </si>
  <si>
    <t>BN1902</t>
  </si>
  <si>
    <t>BN1903</t>
  </si>
  <si>
    <t>BN1904</t>
  </si>
  <si>
    <t>BN1905</t>
  </si>
  <si>
    <t>BN1906</t>
  </si>
  <si>
    <t>BN1907</t>
  </si>
  <si>
    <t>BN1908</t>
  </si>
  <si>
    <t>BN1909</t>
  </si>
  <si>
    <t>BN1910</t>
  </si>
  <si>
    <t>BN1911</t>
  </si>
  <si>
    <t>BN1912</t>
  </si>
  <si>
    <t>BN1913</t>
  </si>
  <si>
    <t>BN1914</t>
  </si>
  <si>
    <t>BN1915</t>
  </si>
  <si>
    <t>BN1916</t>
  </si>
  <si>
    <t>BN1917</t>
  </si>
  <si>
    <t>BN1918</t>
  </si>
  <si>
    <t>BN1919</t>
  </si>
  <si>
    <t>BN1920</t>
  </si>
  <si>
    <t>BN1921</t>
  </si>
  <si>
    <t>BN1922</t>
  </si>
  <si>
    <t>BN1923</t>
  </si>
  <si>
    <t>BN1924</t>
  </si>
  <si>
    <t>BN1925</t>
  </si>
  <si>
    <t>BN1926</t>
  </si>
  <si>
    <t>BN1927</t>
  </si>
  <si>
    <t>BN1928</t>
  </si>
  <si>
    <t>BN1929</t>
  </si>
  <si>
    <t>BN1930</t>
  </si>
  <si>
    <t>BN1931</t>
  </si>
  <si>
    <t>BN1932</t>
  </si>
  <si>
    <t>BN1933</t>
  </si>
  <si>
    <t>BN1934</t>
  </si>
  <si>
    <t>BN1935</t>
  </si>
  <si>
    <t>BN1936</t>
  </si>
  <si>
    <t>BN1937</t>
  </si>
  <si>
    <t>BN1938</t>
  </si>
  <si>
    <t>BN1939</t>
  </si>
  <si>
    <t>BN1940</t>
  </si>
  <si>
    <t>BN1941</t>
  </si>
  <si>
    <t>BN1942</t>
  </si>
  <si>
    <t>BN1943</t>
  </si>
  <si>
    <t>BN1944</t>
  </si>
  <si>
    <t>BN1945</t>
  </si>
  <si>
    <t>BN1946</t>
  </si>
  <si>
    <t>BN1947</t>
  </si>
  <si>
    <t>BN1948</t>
  </si>
  <si>
    <t>BN1949</t>
  </si>
  <si>
    <t>BN1950</t>
  </si>
  <si>
    <t>BN1951</t>
  </si>
  <si>
    <t>BN1952</t>
  </si>
  <si>
    <t>BN1953</t>
  </si>
  <si>
    <t>BN1954</t>
  </si>
  <si>
    <t>BN1955</t>
  </si>
  <si>
    <t>BN1956</t>
  </si>
  <si>
    <t>BN1957</t>
  </si>
  <si>
    <t>BN1958</t>
  </si>
  <si>
    <t>BN1959</t>
  </si>
  <si>
    <t>BN1960</t>
  </si>
  <si>
    <t>BN1961</t>
  </si>
  <si>
    <t>BN1962</t>
  </si>
  <si>
    <t>BN1963</t>
  </si>
  <si>
    <t>BN1964</t>
  </si>
  <si>
    <t>BN1965</t>
  </si>
  <si>
    <t>BN1966</t>
  </si>
  <si>
    <t>BN1967</t>
  </si>
  <si>
    <t>BN1968</t>
  </si>
  <si>
    <t>BN1969</t>
  </si>
  <si>
    <t>BN1970</t>
  </si>
  <si>
    <t>BN1971</t>
  </si>
  <si>
    <t>BN1972</t>
  </si>
  <si>
    <t>BN1973</t>
  </si>
  <si>
    <t>BN1974</t>
  </si>
  <si>
    <t>BN1975</t>
  </si>
  <si>
    <t>BN1976</t>
  </si>
  <si>
    <t>BN1977</t>
  </si>
  <si>
    <t>BN1978</t>
  </si>
  <si>
    <t>BN1979</t>
  </si>
  <si>
    <t>BN1980</t>
  </si>
  <si>
    <t>BN1981</t>
  </si>
  <si>
    <t>BN1982</t>
  </si>
  <si>
    <t>BN1983</t>
  </si>
  <si>
    <t>BN1984</t>
  </si>
  <si>
    <t>BN1985</t>
  </si>
  <si>
    <t>BN1986</t>
  </si>
  <si>
    <t>BN1987</t>
  </si>
  <si>
    <t>BN1988</t>
  </si>
  <si>
    <t>BN1989</t>
  </si>
  <si>
    <t>BN1990</t>
  </si>
  <si>
    <t>BN1991</t>
  </si>
  <si>
    <t>BN1992</t>
  </si>
  <si>
    <t>BN1993</t>
  </si>
  <si>
    <t>BN1994</t>
  </si>
  <si>
    <t>BN1995</t>
  </si>
  <si>
    <t>BN1996</t>
  </si>
  <si>
    <t>BN1997</t>
  </si>
  <si>
    <t>BN1998</t>
  </si>
  <si>
    <t>BN1999</t>
  </si>
  <si>
    <t>BN2000</t>
  </si>
  <si>
    <t>BN0685</t>
  </si>
  <si>
    <t>BN0008</t>
  </si>
  <si>
    <t>BN0624</t>
  </si>
  <si>
    <t>BN0636</t>
  </si>
  <si>
    <t>BN0674</t>
  </si>
  <si>
    <t>BN0028</t>
  </si>
  <si>
    <t>BN0658</t>
  </si>
  <si>
    <t>BN0664</t>
  </si>
  <si>
    <t>∑</t>
  </si>
  <si>
    <t>Rudyard Kipling</t>
  </si>
  <si>
    <t>Das Dschungel Buch</t>
  </si>
  <si>
    <t>9783785583524</t>
  </si>
  <si>
    <t>Kunterbunter Osterspass: Bastelideen für die ganze Familie</t>
  </si>
  <si>
    <t>9783772458743</t>
  </si>
  <si>
    <t>Edelweißpiratenfestival</t>
  </si>
  <si>
    <t>Dabbelju</t>
  </si>
  <si>
    <t>9783939666325</t>
  </si>
  <si>
    <t>Der bewegte Schuss</t>
  </si>
  <si>
    <t>Wild und Hund</t>
  </si>
  <si>
    <t>9783897150508</t>
  </si>
  <si>
    <t>Advent und Weihnachten: Zauberhafte Krativideen für die festliche Zeit im Jahr</t>
  </si>
  <si>
    <t>9783772459641</t>
  </si>
  <si>
    <t>Lichtinspiration: Leuchtende Dekoideen für jede Jahreszeit</t>
  </si>
  <si>
    <t>9783772451829</t>
  </si>
  <si>
    <t>Pixelcraft: Erschaffe deine Pixel-Welt - Tiere</t>
  </si>
  <si>
    <t>9783772476419</t>
  </si>
  <si>
    <t>Norbert Suxdorf / Michael Pasdzior</t>
  </si>
  <si>
    <t>Erlebnis Alster: Hamburgs schönste Wasserseiten</t>
  </si>
  <si>
    <t>original eingeschweißt</t>
  </si>
  <si>
    <t>9783782212328</t>
  </si>
  <si>
    <t>Zencolor: White Edition</t>
  </si>
  <si>
    <t>9783772482908</t>
  </si>
  <si>
    <t>Hex Neß</t>
  </si>
  <si>
    <t>Farbe! Das Grosse Farbwohnbuch</t>
  </si>
  <si>
    <t>Schöner Wohnen</t>
  </si>
  <si>
    <t>9783766717948</t>
  </si>
  <si>
    <t>Hirmer</t>
  </si>
  <si>
    <t>Nolde im Dialog 1905-1913 Quellen und Beiträge</t>
  </si>
  <si>
    <t>3923344570</t>
  </si>
  <si>
    <t>Das große Bastelbuch mit der Maus</t>
  </si>
  <si>
    <t>9783772457456</t>
  </si>
  <si>
    <t>Mareike Grün</t>
  </si>
  <si>
    <t>Krippen basteln</t>
  </si>
  <si>
    <t>9783838831909</t>
  </si>
  <si>
    <t>Kommunion, Konfirmation und Jugendweihe: Alles für dein grosses Fest</t>
  </si>
  <si>
    <t>9783772456688</t>
  </si>
  <si>
    <t>Der magische Pxelspiegel</t>
  </si>
  <si>
    <t>9783772476365</t>
  </si>
  <si>
    <t>Anne Geddes</t>
  </si>
  <si>
    <t>Drunten im Garten</t>
  </si>
  <si>
    <t>3-453-11481-7</t>
  </si>
  <si>
    <t>Débutant francais.com: méthode de francais professionnel et des affaires</t>
  </si>
  <si>
    <t>CLE</t>
  </si>
  <si>
    <t>9782090354249</t>
  </si>
  <si>
    <t>Dr. Anne Deans</t>
  </si>
  <si>
    <t>Die Schwangerschaftsbibel: Das umfassend, aktuelle Buch zur Schwangerschaft und für die erste Zeit mit dem Baby</t>
  </si>
  <si>
    <t>9783517069814</t>
  </si>
  <si>
    <t>Verwöhn Dich! Die besten Wellness-Tipps für Zuhause</t>
  </si>
  <si>
    <t>monte von Dumont</t>
  </si>
  <si>
    <t>9783770186181</t>
  </si>
  <si>
    <t>Jutta Junge</t>
  </si>
  <si>
    <t>Das große Buch des Make-Up</t>
  </si>
  <si>
    <t>Mary Hahn</t>
  </si>
  <si>
    <t>4028022299406</t>
  </si>
  <si>
    <t>Sex and the City: Kiss and Tell: Enthält alle sechs Staffeln der Kultserie</t>
  </si>
  <si>
    <t>9783896026064</t>
  </si>
  <si>
    <t>Theo Reubel-Ciani</t>
  </si>
  <si>
    <t>36 neue Märchen für das ganze Jahr</t>
  </si>
  <si>
    <t>Lord Boyd Orr</t>
  </si>
  <si>
    <t>Knaurs Buch der Ernährung</t>
  </si>
  <si>
    <t>Droemersche</t>
  </si>
  <si>
    <t>Das Reich der Sänger: Lekturama-Enzyklopädie - Band 5</t>
  </si>
  <si>
    <t>Columbus</t>
  </si>
  <si>
    <t>Faszinierende Forschung</t>
  </si>
  <si>
    <t>3-89915-121-6</t>
  </si>
  <si>
    <t>Egon Bauer</t>
  </si>
  <si>
    <t>Die sieben Weltwunder</t>
  </si>
  <si>
    <t>9783893501496</t>
  </si>
  <si>
    <t>Vom Mammut zum Gorilla: Lekturama-Enzyklopädie - Säugetiere Band 1</t>
  </si>
  <si>
    <t>Book Club</t>
  </si>
  <si>
    <t>John Woodward</t>
  </si>
  <si>
    <t>Wow! Erde</t>
  </si>
  <si>
    <t>9783831015948</t>
  </si>
  <si>
    <t>Völker der Erde: Menschen, Kulturen, Kontinente</t>
  </si>
  <si>
    <t>Kümmerly+Frey</t>
  </si>
  <si>
    <t>3-259-08852-0</t>
  </si>
  <si>
    <t>Die faszinierende Welt der Informatik</t>
  </si>
  <si>
    <t>3-8094-0031-9</t>
  </si>
  <si>
    <t>Toskanische Malerei des 14. Jahrhunderts</t>
  </si>
  <si>
    <t>Enzo Carli</t>
  </si>
  <si>
    <t>Schätze der Weltkunst: Vorgeschichte und Naturvölker</t>
  </si>
  <si>
    <t>Sophie Carlsen</t>
  </si>
  <si>
    <t>So weißverliebt</t>
  </si>
  <si>
    <t>Anais</t>
  </si>
  <si>
    <t>9783896025609</t>
  </si>
  <si>
    <t>Vermiss mein nicht</t>
  </si>
  <si>
    <t>9783596167357</t>
  </si>
  <si>
    <t>R. M. Schröder</t>
  </si>
  <si>
    <t>Die Robinson Bande</t>
  </si>
  <si>
    <t>9783505119545</t>
  </si>
  <si>
    <t>Meike Frei</t>
  </si>
  <si>
    <t>Fuck the Föhnfrisur: Eine Lehrerin schult um</t>
  </si>
  <si>
    <t>9783734102332</t>
  </si>
  <si>
    <t>Die Löwen</t>
  </si>
  <si>
    <t>9783404113880</t>
  </si>
  <si>
    <t>Vatermord</t>
  </si>
  <si>
    <t>9783426507261</t>
  </si>
  <si>
    <t>Jonathan Kellerman</t>
  </si>
  <si>
    <t>Blutgier</t>
  </si>
  <si>
    <t>9783442463848</t>
  </si>
  <si>
    <t>Maia oder als Miss Minton ihr Korsett in den Amazonas warf</t>
  </si>
  <si>
    <t>9783791510095</t>
  </si>
  <si>
    <t>Manfred Göbel</t>
  </si>
  <si>
    <t>Größer als Furcht ist die Liebe: Mein Einsatz gegen Lepra</t>
  </si>
  <si>
    <t>9783451293696</t>
  </si>
  <si>
    <t>Sabriye Tenberken</t>
  </si>
  <si>
    <t>Mein Weg führt nach Tibet: Die blinden Kinder von Lasha</t>
  </si>
  <si>
    <t>3-462-02936-3</t>
  </si>
  <si>
    <t>Danny Scheinmann</t>
  </si>
  <si>
    <t>Zähl nicht die Stunden bis zur Ewigkeit</t>
  </si>
  <si>
    <t>Christian Schacht</t>
  </si>
  <si>
    <t>Pferdekrankheiten: Vorbeugen, erkennen und richtig handeln</t>
  </si>
  <si>
    <t>9783440103005</t>
  </si>
  <si>
    <t>The Buried Cities: Pompeii &amp; Herculaneum</t>
  </si>
  <si>
    <t>Enwor 3: Das Tote Land</t>
  </si>
  <si>
    <t>Enwor 4: Der steinerne Wolf</t>
  </si>
  <si>
    <t>Enwor 5: das schwarze Schiff</t>
  </si>
  <si>
    <t>Wolfgang Kammer</t>
  </si>
  <si>
    <t>Anna-Lisa auf dem Reiterhof</t>
  </si>
  <si>
    <t>Boja</t>
  </si>
  <si>
    <t>9783414854520</t>
  </si>
  <si>
    <t>Schmökerhits 4 Kids</t>
  </si>
  <si>
    <t>Pferdegeschichten</t>
  </si>
  <si>
    <t>9783811220492</t>
  </si>
  <si>
    <t>Theo Schwartz</t>
  </si>
  <si>
    <t>Bibi und Tina: Das Fohlen vom Martinshof</t>
  </si>
  <si>
    <t>9783505047312</t>
  </si>
  <si>
    <t>Helga Wegener-Olbricht</t>
  </si>
  <si>
    <t>Mein Pony ist mein bester Freund</t>
  </si>
  <si>
    <t>auf der Einbandinnseite hat sich die Vorbesitzerin namentlich vereweigt</t>
  </si>
  <si>
    <t>auf der Einbandinnseite hat sich die Vorbesitzerin künsterlich vereweigt</t>
  </si>
  <si>
    <t>9783505048340</t>
  </si>
  <si>
    <t>Julia Boehme</t>
  </si>
  <si>
    <t>Lou + Lakritz: Eine Freundschaft auf sechs Beinen</t>
  </si>
  <si>
    <t>9783785571576</t>
  </si>
  <si>
    <t>Uta Over</t>
  </si>
  <si>
    <t>Der Schwalbenhof: Zuerst kommen die Pferde</t>
  </si>
  <si>
    <t>9783505045677</t>
  </si>
  <si>
    <t>T.B. Lloyd</t>
  </si>
  <si>
    <t>Agatha ein Pony mit Spürnase: Das Bild mit derblauen Fee</t>
  </si>
  <si>
    <t>9783505127199</t>
  </si>
  <si>
    <t>Lisbeth Pahnke</t>
  </si>
  <si>
    <t>Britta rettet ein Pferd</t>
  </si>
  <si>
    <t>3505076120</t>
  </si>
  <si>
    <t>Britta siegt auf Silber</t>
  </si>
  <si>
    <t>3505048666</t>
  </si>
  <si>
    <t>Flieger Kalender 2017: Internationales Jahrbuch der Luft- und Raumfahrt</t>
  </si>
  <si>
    <t>Mittler</t>
  </si>
  <si>
    <t>original eingeschweist</t>
  </si>
  <si>
    <t>9783813209662</t>
  </si>
  <si>
    <t>Monika Feth</t>
  </si>
  <si>
    <t>Der Schattengänger</t>
  </si>
  <si>
    <t>Hunde von Riga</t>
  </si>
  <si>
    <t>dtv galleria</t>
  </si>
  <si>
    <t>9783423202947</t>
  </si>
  <si>
    <t>Haus der Erinnerung</t>
  </si>
  <si>
    <t>9783596109746</t>
  </si>
  <si>
    <t>James Herbert</t>
  </si>
  <si>
    <t>48</t>
  </si>
  <si>
    <t>9783404139873</t>
  </si>
  <si>
    <t>Lawrence Sanders</t>
  </si>
  <si>
    <t>Die erste Todsünde</t>
  </si>
  <si>
    <t>9783499122460</t>
  </si>
  <si>
    <t>Noah Gordon</t>
  </si>
  <si>
    <t>Die Klinik</t>
  </si>
  <si>
    <t>Paul Zsolnay</t>
  </si>
  <si>
    <t>Der Man, der lächelte</t>
  </si>
  <si>
    <t>inkl. Lesezeichen</t>
  </si>
  <si>
    <t>3-552-04991-6</t>
  </si>
  <si>
    <t>Gefangen in der Wildnis</t>
  </si>
  <si>
    <t>9783899415223</t>
  </si>
  <si>
    <t>Stephen P. Cohen</t>
  </si>
  <si>
    <t>Alphabet City: Es war nur ein kleiner Fisch, sie aber die größten Haie der Stadt</t>
  </si>
  <si>
    <t>9783453003682</t>
  </si>
  <si>
    <t>Nudelgerichte 100 Rezepte</t>
  </si>
  <si>
    <t>9781445455815</t>
  </si>
  <si>
    <t>Steven Phillip Smith</t>
  </si>
  <si>
    <t>Moving In: Eine fast intakte Familie</t>
  </si>
  <si>
    <t>9783453021839</t>
  </si>
  <si>
    <t>Thomas H. Block / Nelson DeMille</t>
  </si>
  <si>
    <t>May Day</t>
  </si>
  <si>
    <t>3-442-06636-0</t>
  </si>
  <si>
    <t>John T. Lescorart</t>
  </si>
  <si>
    <t>Der Vertraute</t>
  </si>
  <si>
    <t>9783453140974</t>
  </si>
  <si>
    <t>myboshi</t>
  </si>
  <si>
    <t>Häkelguide</t>
  </si>
  <si>
    <t>9783944778013</t>
  </si>
  <si>
    <t>A.M. Dean</t>
  </si>
  <si>
    <t>Der verborgene Schlüssel</t>
  </si>
  <si>
    <t>9783404169610</t>
  </si>
  <si>
    <t>Volker Uttenweiler</t>
  </si>
  <si>
    <t>Der Pyrenäenbär oder Tour de France</t>
  </si>
  <si>
    <t>Fischer &amp; Fischer</t>
  </si>
  <si>
    <t>3-935895-47-X</t>
  </si>
  <si>
    <t>Maria Gronau</t>
  </si>
  <si>
    <t>Weiberlust</t>
  </si>
  <si>
    <t>9783596140121</t>
  </si>
  <si>
    <t>Lois Fisher-Ruge</t>
  </si>
  <si>
    <t>Freiheit auf russisch: Der harte Alltag im neuen Moskau</t>
  </si>
  <si>
    <t>9783421050137</t>
  </si>
  <si>
    <t>Sue Margolis</t>
  </si>
  <si>
    <t>Rausgeputzt</t>
  </si>
  <si>
    <t>9783426622940</t>
  </si>
  <si>
    <t>Fritz Hippler</t>
  </si>
  <si>
    <t>Einspruch euer Ehren: Den Zeitgeist an den Pranger</t>
  </si>
  <si>
    <t>VGB</t>
  </si>
  <si>
    <t>3-86118-082-0</t>
  </si>
  <si>
    <t>Howard C. Cutler</t>
  </si>
  <si>
    <t>Dalai Lama: Glücksregeln für eine verunsicherte Welt</t>
  </si>
  <si>
    <t>9783451303418</t>
  </si>
  <si>
    <t>Victor Hugo</t>
  </si>
  <si>
    <t>Der Glöckner von Notre-Dame</t>
  </si>
  <si>
    <t>Guter Zustand, nur der Schutzumschlag hat deutliche Gebrauchsspuren</t>
  </si>
  <si>
    <t>Hal Rubenstein mit Jim Mullen</t>
  </si>
  <si>
    <t>Auf den Schlips getreten: Was der Mann über Stil Wissen muß</t>
  </si>
  <si>
    <t>9783423360739</t>
  </si>
  <si>
    <t>Gottfried Kirchner</t>
  </si>
  <si>
    <t>Eldorado: Suche nach dem Goldschatz</t>
  </si>
  <si>
    <t>Guter Zustand, nur das Cover hat deutliche Gebrauchsspuren</t>
  </si>
  <si>
    <t>9783453024960</t>
  </si>
  <si>
    <t>Sorry, Ihr Hotel ist abgebrannt</t>
  </si>
  <si>
    <t>9783548374109</t>
  </si>
  <si>
    <t>Mona Simpson</t>
  </si>
  <si>
    <t>Überall, nur nicht hier</t>
  </si>
  <si>
    <t>9783442098873</t>
  </si>
  <si>
    <t>Jeffrey Archer</t>
  </si>
  <si>
    <t>Der Aufstieg</t>
  </si>
  <si>
    <t>9783404120147</t>
  </si>
  <si>
    <t>David Gilbert</t>
  </si>
  <si>
    <t>Die Normalen</t>
  </si>
  <si>
    <t>9783404170241</t>
  </si>
  <si>
    <t>Boris Starling</t>
  </si>
  <si>
    <t>Messias</t>
  </si>
  <si>
    <t>9783548254685</t>
  </si>
  <si>
    <t>Rainer M. Schröder</t>
  </si>
  <si>
    <t>Liberty 9: Sicherheitszone</t>
  </si>
  <si>
    <t>cbj</t>
  </si>
  <si>
    <t>9783570154649</t>
  </si>
  <si>
    <t>Rosamunde Pilcher</t>
  </si>
  <si>
    <t>Die Muschelesser</t>
  </si>
  <si>
    <t>3-8052-0471-X</t>
  </si>
  <si>
    <t>Katja Kessler</t>
  </si>
  <si>
    <t>Dieter Bohlen: Nichts als die Wahrheit</t>
  </si>
  <si>
    <t>9783828972391</t>
  </si>
  <si>
    <t>Morgan Matson</t>
  </si>
  <si>
    <t>Amy on the Summer road</t>
  </si>
  <si>
    <t>9783570401323</t>
  </si>
  <si>
    <t>Catherine Cookson</t>
  </si>
  <si>
    <t>Das Geheimnis von Harrogate</t>
  </si>
  <si>
    <t>9783453045651</t>
  </si>
  <si>
    <t>Madge Swindells</t>
  </si>
  <si>
    <t>Die Ernte des Sommers</t>
  </si>
  <si>
    <t>9783404113132</t>
  </si>
  <si>
    <t>Colin Forbes</t>
  </si>
  <si>
    <t>Schockwelle</t>
  </si>
  <si>
    <t>9783453052949</t>
  </si>
  <si>
    <t>H. Schwab-Felisch</t>
  </si>
  <si>
    <t>Hauptmann die Weber Dichtung und Wirkichkeit</t>
  </si>
  <si>
    <t>Denn bitter ist der Tod</t>
  </si>
  <si>
    <t>Random</t>
  </si>
  <si>
    <t>Erich Valentin</t>
  </si>
  <si>
    <t>Mozart eine Biographie</t>
  </si>
  <si>
    <t>Diederichs</t>
  </si>
  <si>
    <t>9783720528573</t>
  </si>
  <si>
    <t>Sieben Tage für die Ewigkeit</t>
  </si>
  <si>
    <t>9783442380619</t>
  </si>
  <si>
    <t>Evita Wolff</t>
  </si>
  <si>
    <t>Im Schatten des Pferdemondes</t>
  </si>
  <si>
    <t>9783596143252</t>
  </si>
  <si>
    <t>Donato Carrisi</t>
  </si>
  <si>
    <t>Der Todesflüsterer</t>
  </si>
  <si>
    <t>9783492257701</t>
  </si>
  <si>
    <t>Wiebke Lorenz</t>
  </si>
  <si>
    <t>Allerliebste Schwester</t>
  </si>
  <si>
    <t>Karl Blessing</t>
  </si>
  <si>
    <t>9783896674104</t>
  </si>
  <si>
    <t>Marcia Willett</t>
  </si>
  <si>
    <t>Das Glück der Sonnen Stunden</t>
  </si>
  <si>
    <t>9783404151745</t>
  </si>
  <si>
    <t>Homera Barak</t>
  </si>
  <si>
    <t>Wo das Herz wohnt: Meine verlorene Heimat am Hindukusch</t>
  </si>
  <si>
    <t>9783548363776</t>
  </si>
  <si>
    <t>Kevin J. Anderson &amp; Rebecca Moesta</t>
  </si>
  <si>
    <t>Star Wars: Young Jedi Knights 3 - Die Verlorenen</t>
  </si>
  <si>
    <t>9783442248759</t>
  </si>
  <si>
    <t>Star Wars: Die Rückkehr der Jedi-Ritter</t>
  </si>
  <si>
    <t>9783442352500</t>
  </si>
  <si>
    <t>Star Wars: Young Jedi Knights 1 - Die Hüter der Macht</t>
  </si>
  <si>
    <t>9783442248735</t>
  </si>
  <si>
    <t>Donalde Glut</t>
  </si>
  <si>
    <t>Star Wars: Das Imperium schlägt zurück</t>
  </si>
  <si>
    <t>9783442247646</t>
  </si>
  <si>
    <t>John Sandford</t>
  </si>
  <si>
    <t>Blinder Hass</t>
  </si>
  <si>
    <t>9783442468560</t>
  </si>
  <si>
    <t>9783453056183</t>
  </si>
  <si>
    <t>Stephen King</t>
  </si>
  <si>
    <t>Frühling, Sommer, Herbst und Tod</t>
  </si>
  <si>
    <t>Martin Doerry / Markus Verbeet</t>
  </si>
  <si>
    <t>Wie gut ist Ihre Allgemeinbildung? Der Große Spiegel Wissentest</t>
  </si>
  <si>
    <t>9783462042214</t>
  </si>
  <si>
    <t>Ellen Gould White</t>
  </si>
  <si>
    <t>Der grosse Konflikt</t>
  </si>
  <si>
    <t>Gihon</t>
  </si>
  <si>
    <t>9783939979050</t>
  </si>
  <si>
    <t>Die Tochter des Goldsuchers</t>
  </si>
  <si>
    <t>9783899415025</t>
  </si>
  <si>
    <t>Katharina Mahrenholtz / Dawn Parisi</t>
  </si>
  <si>
    <t>Schwangerschaft und Geburt</t>
  </si>
  <si>
    <t>9783836300117</t>
  </si>
  <si>
    <t>Serafinas später Sieg</t>
  </si>
  <si>
    <t>9783492260428</t>
  </si>
  <si>
    <t>Hesse / Schrader</t>
  </si>
  <si>
    <t>Das perfekte Vorstellungsgespräch: professionell vorbereiten und überzeugen</t>
  </si>
  <si>
    <t>9783821838472</t>
  </si>
  <si>
    <t>Jürgen Ebertowski</t>
  </si>
  <si>
    <t>Die Akte Einbeck</t>
  </si>
  <si>
    <t>KBV</t>
  </si>
  <si>
    <t>Guter Zustand jedoch hat das Cover deutliche Gebrauchsspuren</t>
  </si>
  <si>
    <t>9783937001654</t>
  </si>
  <si>
    <t>Antoine B. Daniel</t>
  </si>
  <si>
    <t>Die Inkas: Das Gold von Cuzco</t>
  </si>
  <si>
    <t>9783404150410</t>
  </si>
  <si>
    <t>Erland Erdmann</t>
  </si>
  <si>
    <t>cardiovascularia Ciba: Herzinsuffizienz Ursachen, Pathophysiologie und Therapie</t>
  </si>
  <si>
    <t>Wissenschaftliche Verlagsgesellschaft</t>
  </si>
  <si>
    <t>3-8047-1405-6</t>
  </si>
  <si>
    <t>Gesundheit aus der Natur-Apotheke: Die Natur bittet zu Tisch</t>
  </si>
  <si>
    <t>3-8118-7360-1</t>
  </si>
  <si>
    <t>Chiara Marchetti</t>
  </si>
  <si>
    <t>Die Erbin des Sizilianers</t>
  </si>
  <si>
    <t>9783499239021</t>
  </si>
  <si>
    <t>Alex van Hell</t>
  </si>
  <si>
    <t>Leben: Mein härtester Kampf</t>
  </si>
  <si>
    <t>9783426787861</t>
  </si>
  <si>
    <t>Max Goldt</t>
  </si>
  <si>
    <t>Mindblogging - Evening Post</t>
  </si>
  <si>
    <t>9783453177062</t>
  </si>
  <si>
    <t>Gustav Schwab</t>
  </si>
  <si>
    <t>Die schönsten Sagen des klassischen Altertums</t>
  </si>
  <si>
    <t>9783850011013</t>
  </si>
  <si>
    <t>Himmelsfeuer</t>
  </si>
  <si>
    <t>3-8105-2351-8</t>
  </si>
  <si>
    <t>Gembruch</t>
  </si>
  <si>
    <t>Musterklausuren Strafrecht und Strafprozessrecht: Eine Fallsammlung mit Lösungen für die Ausbildung zum mittleren und gehobenen Polizeivollzugsdienst</t>
  </si>
  <si>
    <t>VDP</t>
  </si>
  <si>
    <t>9783801104191</t>
  </si>
  <si>
    <t>Ally Kennen</t>
  </si>
  <si>
    <t>Völlig Durchgeknallt</t>
  </si>
  <si>
    <t>Gerstenberg</t>
  </si>
  <si>
    <t>9783836951968</t>
  </si>
  <si>
    <t>Erich Wustmann</t>
  </si>
  <si>
    <t>Durch Tundra, Wüste und Dschungel</t>
  </si>
  <si>
    <t>Nicole Jamet / Marie-Anne Le Pezennec</t>
  </si>
  <si>
    <t>Dolmen …vergessen sollst du nie</t>
  </si>
  <si>
    <t>9783426636534</t>
  </si>
  <si>
    <t>Rita Mae Brown</t>
  </si>
  <si>
    <t>Venusneid</t>
  </si>
  <si>
    <t>2 - 3</t>
  </si>
  <si>
    <t>9783499136450</t>
  </si>
  <si>
    <t>Donald F. Glut</t>
  </si>
  <si>
    <t>Das Imperium schlägt zurück</t>
  </si>
  <si>
    <t>9783442352494</t>
  </si>
  <si>
    <t>James Hankins</t>
  </si>
  <si>
    <t>60 Sekunden</t>
  </si>
  <si>
    <t>9783492307871</t>
  </si>
  <si>
    <t>Sandra Paretti</t>
  </si>
  <si>
    <t>Der Winter, der ein Sommer war</t>
  </si>
  <si>
    <t>9783442092017</t>
  </si>
  <si>
    <t>Kilda Naturführer</t>
  </si>
  <si>
    <t>Natur entdecken</t>
  </si>
  <si>
    <t>Kilda</t>
  </si>
  <si>
    <t>3-88949-111-1</t>
  </si>
  <si>
    <t>Jacques-Yves Cousteau und Philippe Diolé</t>
  </si>
  <si>
    <t>Delphine: Intelligente Freunde des Menschen</t>
  </si>
  <si>
    <t>3-426-00537-9</t>
  </si>
  <si>
    <t>Martina Schröder / Marion Vogel</t>
  </si>
  <si>
    <t>Windowcolor mobil</t>
  </si>
  <si>
    <t>3-7724-2614-X</t>
  </si>
  <si>
    <t>Huppertz</t>
  </si>
  <si>
    <t>Fahrerlaubnisrecht: Leitfaden für Studium und Praxis</t>
  </si>
  <si>
    <t>9783801104887</t>
  </si>
  <si>
    <t>Kathleen Tessaro</t>
  </si>
  <si>
    <t>Elégance</t>
  </si>
  <si>
    <t>9783442460731</t>
  </si>
  <si>
    <t>Irvine Welsh</t>
  </si>
  <si>
    <t>Ecstasy</t>
  </si>
  <si>
    <t>9783462025941</t>
  </si>
  <si>
    <t>Cordula Eich</t>
  </si>
  <si>
    <t>Super ShoppenShopper 2010: Deutschlands umfassendster Supermarktweinführer</t>
  </si>
  <si>
    <t>9789490538019</t>
  </si>
  <si>
    <t>Duden</t>
  </si>
  <si>
    <t>Abiturwissen Geschichte: Alle wichtigen Prüfungsinhalte für Grund- und Leistungskurs - kompakt und übersichtlich</t>
  </si>
  <si>
    <t>Paetec</t>
  </si>
  <si>
    <t>9783411002245</t>
  </si>
  <si>
    <t>Jesse Andrewes</t>
  </si>
  <si>
    <t>Ich und Earl und das Mädchen</t>
  </si>
  <si>
    <t>9783453270329</t>
  </si>
  <si>
    <t>Laurence J. Peter</t>
  </si>
  <si>
    <t>Die Peter-Pyramide</t>
  </si>
  <si>
    <t>William A. Owens</t>
  </si>
  <si>
    <t>Schwarze Meuterei: Der Aufstand an Bord der Amistad</t>
  </si>
  <si>
    <t>9783442440818</t>
  </si>
  <si>
    <t>Pete Fromm</t>
  </si>
  <si>
    <t>Mein Glück an deiner Seite</t>
  </si>
  <si>
    <t>9783404173945</t>
  </si>
  <si>
    <t>Gisa John</t>
  </si>
  <si>
    <t>Mein Mann ist mein Hobby</t>
  </si>
  <si>
    <t>9783828971042</t>
  </si>
  <si>
    <t>Margit Schönberg</t>
  </si>
  <si>
    <t>Das Diätenhasserbuch</t>
  </si>
  <si>
    <t>9783426781937</t>
  </si>
  <si>
    <t>Christiane Leesker / Heike Heold</t>
  </si>
  <si>
    <t>Heiß geliebte Schokolade süßes Allerlei für zwei</t>
  </si>
  <si>
    <t>Hölker</t>
  </si>
  <si>
    <t>9783881178358</t>
  </si>
  <si>
    <t>Schändung</t>
  </si>
  <si>
    <t>9783423247870</t>
  </si>
  <si>
    <t>Günter Albrecht</t>
  </si>
  <si>
    <t>99 Sachen die muss ein Bayer machen!</t>
  </si>
  <si>
    <t>Lutz Garnies</t>
  </si>
  <si>
    <t>9783926163752</t>
  </si>
  <si>
    <t>Maria ihm schmeckt's nicht! Geschichten von meiner italienischen Sippe</t>
  </si>
  <si>
    <t>9783548364865</t>
  </si>
  <si>
    <t>Wenn du geredet hättest, Desdemona</t>
  </si>
  <si>
    <t>9783548206233</t>
  </si>
  <si>
    <t>Daniel Thomas</t>
  </si>
  <si>
    <t>Lied der Wale</t>
  </si>
  <si>
    <t>9783423249621</t>
  </si>
  <si>
    <t>Robert Ludlum</t>
  </si>
  <si>
    <t>Das Bournimperium</t>
  </si>
  <si>
    <t>2-3</t>
  </si>
  <si>
    <t>9783453500006</t>
  </si>
  <si>
    <t>Diana Gabaldon</t>
  </si>
  <si>
    <t>Das flammende Kreuz</t>
  </si>
  <si>
    <t>9783442360598</t>
  </si>
  <si>
    <t>Astrid Schobert</t>
  </si>
  <si>
    <t>Die 50 Besten Blähbauch-Killer</t>
  </si>
  <si>
    <t>9783442178056</t>
  </si>
  <si>
    <t>Kate Harrison</t>
  </si>
  <si>
    <t>Soul Beach - Frostiges Paradies</t>
  </si>
  <si>
    <t>9783785573860</t>
  </si>
  <si>
    <t>Fitzek / Tsokos</t>
  </si>
  <si>
    <t>abgeschnitten</t>
  </si>
  <si>
    <t>9783426522813</t>
  </si>
  <si>
    <t>John Grisham</t>
  </si>
  <si>
    <t>Die Bruderschaft</t>
  </si>
  <si>
    <t>9783453210691</t>
  </si>
  <si>
    <t xml:space="preserve">Tom Clancy  </t>
  </si>
  <si>
    <t>Gefahrenzone</t>
  </si>
  <si>
    <t>9783453268845</t>
  </si>
  <si>
    <t>Beverly Donofrio</t>
  </si>
  <si>
    <t>Riding in cars with boys</t>
  </si>
  <si>
    <t>Wallanders erster Fall</t>
  </si>
  <si>
    <t>3-552-051872</t>
  </si>
  <si>
    <t>die Brandmauer</t>
  </si>
  <si>
    <t>Peter Robinson</t>
  </si>
  <si>
    <t>Die letzte Rechnung</t>
  </si>
  <si>
    <t>9783548256832</t>
  </si>
  <si>
    <t>Hagen von Tronje</t>
  </si>
  <si>
    <t>9783453116542</t>
  </si>
  <si>
    <t>Die Leber wächst mit ihren Aufgaben</t>
  </si>
  <si>
    <t>30.</t>
  </si>
  <si>
    <t>9783499623554</t>
  </si>
  <si>
    <t>Mukhtar Mai</t>
  </si>
  <si>
    <t>Die Schuld, eine Frau zu sein</t>
  </si>
  <si>
    <t>9783426511572</t>
  </si>
  <si>
    <t>Candace Bushnell</t>
  </si>
  <si>
    <t>Sex and the City</t>
  </si>
  <si>
    <t>9783442453009</t>
  </si>
  <si>
    <t>Fünf-Sterne-Kerle inklusive</t>
  </si>
  <si>
    <t>9783492234429</t>
  </si>
  <si>
    <t>Nelson Mandela</t>
  </si>
  <si>
    <t>Nelson Mandela: Der Kampf ist mein Leben</t>
  </si>
  <si>
    <t>Weltkreis</t>
  </si>
  <si>
    <t>3-88142-373-7</t>
  </si>
  <si>
    <t>Karola Berger</t>
  </si>
  <si>
    <t>Feng Shui: Leben und Lebensraum harmonisch gestalten</t>
  </si>
  <si>
    <t>9783833604348</t>
  </si>
  <si>
    <t>Die Nadel</t>
  </si>
  <si>
    <t>51.</t>
  </si>
  <si>
    <t>9783404100262</t>
  </si>
  <si>
    <t>Oliver Pautsch</t>
  </si>
  <si>
    <t>Sie kriegen Dich</t>
  </si>
  <si>
    <t>9783551358462</t>
  </si>
  <si>
    <t>Dr. Ilona Bürgel</t>
  </si>
  <si>
    <t>Yes I Can! Erfolgreich schlank in 365 Schritten</t>
  </si>
  <si>
    <t>systemed</t>
  </si>
  <si>
    <t>9783927372511</t>
  </si>
  <si>
    <t>Theodor Friedrich / Lothar J. Scheithauer</t>
  </si>
  <si>
    <t>Kommentar zu Goethes Faust</t>
  </si>
  <si>
    <t>9783150071779</t>
  </si>
  <si>
    <t>C. F. L. Hoffman</t>
  </si>
  <si>
    <t>vollständiges politisches Taschenwörterbuch</t>
  </si>
  <si>
    <t>3-571-09002-0</t>
  </si>
  <si>
    <t>Kleine Bettlektüre für meine liebe Mutter: Ein inniger Gruß dem Menschen, dem wir so viel verdanken</t>
  </si>
  <si>
    <t>Helene Daphinoff-Schatzmann</t>
  </si>
  <si>
    <t>3-502-39222-6</t>
  </si>
  <si>
    <t>Lotte Bormuth</t>
  </si>
  <si>
    <t>Und dennoch wird es Weihnachten</t>
  </si>
  <si>
    <t>Francke</t>
  </si>
  <si>
    <t>9783861226987</t>
  </si>
  <si>
    <t>Hans Dieter Schwind / Helwig Hassenpflug / Heinz Nawratil / Georg Nawratil</t>
  </si>
  <si>
    <t>Strafrecht leicht gemacht: Kleiner Strafrechtsschein</t>
  </si>
  <si>
    <t>Ewald von Kleist</t>
  </si>
  <si>
    <t>13.</t>
  </si>
  <si>
    <t>3-87440-187-1</t>
  </si>
  <si>
    <t>Allen Carr</t>
  </si>
  <si>
    <t>Endlich Wunschgewicht</t>
  </si>
  <si>
    <t>9783442164028</t>
  </si>
  <si>
    <t>Gute-Nacht-Geschichten für Frauen, die nicht einschlafen wollen</t>
  </si>
  <si>
    <t>9783492243841</t>
  </si>
  <si>
    <t>Wiedergeburt "The Wanderer"</t>
  </si>
  <si>
    <t>9783453135765</t>
  </si>
  <si>
    <t>Disney Zoomania: Der erste Fall</t>
  </si>
  <si>
    <t>Nelson</t>
  </si>
  <si>
    <t>9783845106199</t>
  </si>
  <si>
    <t>Disney Zoomania: Ein unschlagbares Team</t>
  </si>
  <si>
    <t>Super Wings: Ausflug ins All</t>
  </si>
  <si>
    <t>9783845109664</t>
  </si>
  <si>
    <t>Andreas Maier / Christine Büchner</t>
  </si>
  <si>
    <t>Bullau - Versuch über Natur</t>
  </si>
  <si>
    <t>9783518459478</t>
  </si>
  <si>
    <t>der kleine Duden 5: Fremdwörterbuch</t>
  </si>
  <si>
    <t>Dudenverlag</t>
  </si>
  <si>
    <t>9783411046737</t>
  </si>
  <si>
    <t>Mark Billingham</t>
  </si>
  <si>
    <t>Die Tränen des Mörders</t>
  </si>
  <si>
    <t>9783442455379</t>
  </si>
  <si>
    <t>Elke Heidenreich</t>
  </si>
  <si>
    <t>Best of also…Die besten Kolumnen ais "Brigitte"</t>
  </si>
  <si>
    <t>9783499231575</t>
  </si>
  <si>
    <t>Frederic F. Flach</t>
  </si>
  <si>
    <t>In der Krise kommt die Kraft: Das Geheimnis unserer seelischen Ressourcen</t>
  </si>
  <si>
    <t>Herder spektrum</t>
  </si>
  <si>
    <t>9783451055744</t>
  </si>
  <si>
    <t>Demokratie e.V.</t>
  </si>
  <si>
    <t>Impulse für eine Demokratie der Moderne…wenn ich mir was wünschen dürfte…</t>
  </si>
  <si>
    <t>Schüren</t>
  </si>
  <si>
    <t>9783741002625</t>
  </si>
  <si>
    <t>Mittsommermord</t>
  </si>
  <si>
    <t>Tom Wolfe</t>
  </si>
  <si>
    <t>Fegefeuer der Eitelkeiten</t>
  </si>
  <si>
    <t>9783426030158</t>
  </si>
  <si>
    <t>Der Jupiter-Faktor</t>
  </si>
  <si>
    <t>9783453046009</t>
  </si>
  <si>
    <t>Schutzpatron Kluftingers 6. Fall</t>
  </si>
  <si>
    <t>9783492274838</t>
  </si>
  <si>
    <t>Das Monstrum "Tommyknockers"</t>
  </si>
  <si>
    <t>9783453036970</t>
  </si>
  <si>
    <t>Kelch und Schwert</t>
  </si>
  <si>
    <t>9783442358472</t>
  </si>
  <si>
    <t>John Katzenbach</t>
  </si>
  <si>
    <t>Das Rätsel</t>
  </si>
  <si>
    <t>9783426637586</t>
  </si>
  <si>
    <t>Margie Orford</t>
  </si>
  <si>
    <t>Todes Tanz</t>
  </si>
  <si>
    <t>9783442379514</t>
  </si>
  <si>
    <t>Katryn Berlinger</t>
  </si>
  <si>
    <t>Die Meeresflüsterin</t>
  </si>
  <si>
    <t>9783426508206</t>
  </si>
  <si>
    <t>Der Koran: Das heilige Buch des Islam</t>
  </si>
  <si>
    <t>3-442-07904-7</t>
  </si>
  <si>
    <t>9783257226645</t>
  </si>
  <si>
    <t>Ronimund Hubert von Bissing</t>
  </si>
  <si>
    <t>Feuergold</t>
  </si>
  <si>
    <t>Lucy Körner</t>
  </si>
  <si>
    <t>3-922028-18-7</t>
  </si>
  <si>
    <t>Fauziya Kassindja</t>
  </si>
  <si>
    <t>Niemand sieht dich, wenn du weinst</t>
  </si>
  <si>
    <t>9783442150847</t>
  </si>
  <si>
    <t>Im Angesichts des Feindes</t>
  </si>
  <si>
    <t>9783442441082</t>
  </si>
  <si>
    <t>Meine ersten fünf Jahre</t>
  </si>
  <si>
    <t>3-89910-190-1</t>
  </si>
  <si>
    <t>Manfred Lucas</t>
  </si>
  <si>
    <t>Bewerben Vorstellen Tests bestehen</t>
  </si>
  <si>
    <t>9783809401070</t>
  </si>
  <si>
    <t>Die Ruhe der Seele ist ein herrliches Ding: Zitate zur Gelassenheit</t>
  </si>
  <si>
    <t>9783760751436</t>
  </si>
  <si>
    <t>Rickie Moore</t>
  </si>
  <si>
    <t>Playshop: Auf dem Weg zum inneren Frieden</t>
  </si>
  <si>
    <t>Roiva Music</t>
  </si>
  <si>
    <t>9788023868043</t>
  </si>
  <si>
    <t>Loki Schmidt / Reinhold Beckmann</t>
  </si>
  <si>
    <t>Erzähl doch mal von früher: Loki Schmidt im Gespräch mit Reinhold Beckmann</t>
  </si>
  <si>
    <t>9783423345767</t>
  </si>
  <si>
    <t>Max Landorff</t>
  </si>
  <si>
    <t>Die Stunde des Reglers</t>
  </si>
  <si>
    <t>9783651000186</t>
  </si>
  <si>
    <t>Bernt Danielsson</t>
  </si>
  <si>
    <t>Von hier bis Kim</t>
  </si>
  <si>
    <t>Beltz &amp; Goldber</t>
  </si>
  <si>
    <t>9783407787453</t>
  </si>
  <si>
    <t>Deborah Tannen</t>
  </si>
  <si>
    <t>"Warum sagen sie nicht, was Sie meinen?" Jobtalk: Wie sie lernen, am Arbeitsplatz miteinander zu reden</t>
  </si>
  <si>
    <t>9783442161393</t>
  </si>
  <si>
    <t>Oliver Wolf</t>
  </si>
  <si>
    <t>Netzkiller</t>
  </si>
  <si>
    <t>9783861908135</t>
  </si>
  <si>
    <t>William C. Gordon</t>
  </si>
  <si>
    <t>Gift: Ein Samuel-Hamilton-Krimi</t>
  </si>
  <si>
    <t>Hoffman &amp; Cempe</t>
  </si>
  <si>
    <t>Daniela Katzenberger</t>
  </si>
  <si>
    <t>Sei schlau, stell dich dumm</t>
  </si>
  <si>
    <t>9783404606696</t>
  </si>
  <si>
    <t>Anne Rice</t>
  </si>
  <si>
    <t>Blut und Gold</t>
  </si>
  <si>
    <t>9783442459995</t>
  </si>
  <si>
    <t>Wolfgang Herrndorf</t>
  </si>
  <si>
    <t>tschick</t>
  </si>
  <si>
    <t>9783499256356</t>
  </si>
  <si>
    <t>Konfuzius</t>
  </si>
  <si>
    <t>Gespräche (Lun-yü). Bibliothek der Philosophie Band 1.</t>
  </si>
  <si>
    <t>Phaidon</t>
  </si>
  <si>
    <t>3888511208</t>
  </si>
  <si>
    <t>Friederike Johns / Günther H.W. Preuße</t>
  </si>
  <si>
    <t>Die Negerhur'</t>
  </si>
  <si>
    <t>trafo</t>
  </si>
  <si>
    <t>9783896266767</t>
  </si>
  <si>
    <t>Paule Constant</t>
  </si>
  <si>
    <t>Vertrauen gegen vertrauen</t>
  </si>
  <si>
    <t>Frankfurter Verlagsanstalt</t>
  </si>
  <si>
    <t>Vornamen</t>
  </si>
  <si>
    <t>3-89910-207-X</t>
  </si>
  <si>
    <t>Immaculée Ilibagiza</t>
  </si>
  <si>
    <t>Aschenblüte: Ich wurde gerettet, damit ich erzählen kann</t>
  </si>
  <si>
    <t>9783550078910</t>
  </si>
  <si>
    <t>Einsatz in 4 Wänden: Schritt für Schritt von der Planung zum fertigen Ergebnis</t>
  </si>
  <si>
    <t>9783802516894</t>
  </si>
  <si>
    <t>Warum Männer nicht zuhören und Frauen schlecht einparken: Ganz natürliche Erklärungen für eigentlich unerklärliche Schwächen</t>
  </si>
  <si>
    <t>9783548359694</t>
  </si>
  <si>
    <t>Viviane Cismak</t>
  </si>
  <si>
    <t>Schulfrust: 10 Dinge, die ich an der Schule hasse</t>
  </si>
  <si>
    <t>9783862650651</t>
  </si>
  <si>
    <t>Faust: Der Tragödie erster Teil</t>
  </si>
  <si>
    <t>Johann Wolfgang Goethe</t>
  </si>
  <si>
    <t>Schöningh</t>
  </si>
  <si>
    <t>9783140222785</t>
  </si>
  <si>
    <t>Oliver Sacks</t>
  </si>
  <si>
    <t>Der Mann, der seine Frau mit einem Hut verwechselte</t>
  </si>
  <si>
    <t>Spiegel</t>
  </si>
  <si>
    <t>9783877630129</t>
  </si>
  <si>
    <t>ewige treue</t>
  </si>
  <si>
    <t>9783764503086</t>
  </si>
  <si>
    <t>Michael Crichton</t>
  </si>
  <si>
    <t>Nippon Connection</t>
  </si>
  <si>
    <t>Roland Berry</t>
  </si>
  <si>
    <t>Der steinerne Tod</t>
  </si>
  <si>
    <t>Hiro Production International</t>
  </si>
  <si>
    <t>Andreas Franz / Daniel Holbe</t>
  </si>
  <si>
    <t>Teufelsbande: Ein neuer Fall für Julia Durant</t>
  </si>
  <si>
    <t>9783426513576</t>
  </si>
  <si>
    <t>Justin Bieber: Erst der Anfang: Mein Leben</t>
  </si>
  <si>
    <t>9783442475971</t>
  </si>
  <si>
    <t>Justus Pfaue</t>
  </si>
  <si>
    <t>Clara gibt nicht auf</t>
  </si>
  <si>
    <t>9783785526255</t>
  </si>
  <si>
    <t>Susanne Neumann</t>
  </si>
  <si>
    <t>Frau Neumann haut auf den Putz: Warum wir ein Leben lang arbeiten und trotzdem verarmen</t>
  </si>
  <si>
    <t>9783785725849</t>
  </si>
  <si>
    <t>Engel der Verdammten</t>
  </si>
  <si>
    <t>9783896045652</t>
  </si>
  <si>
    <t>Pandora</t>
  </si>
  <si>
    <t>9783828904354</t>
  </si>
  <si>
    <t>Charlotte Roche</t>
  </si>
  <si>
    <t>Feuchtgebiete</t>
  </si>
  <si>
    <t>9783548280400</t>
  </si>
  <si>
    <t>Wally Lamb</t>
  </si>
  <si>
    <t>Früh am Morgen beginnt die Nacht</t>
  </si>
  <si>
    <t>Paul List</t>
  </si>
  <si>
    <t>Anne Chaplet</t>
  </si>
  <si>
    <t>Wasser zu Wein</t>
  </si>
  <si>
    <t>Alexandra Jones</t>
  </si>
  <si>
    <t>Der Zauber des Sommers</t>
  </si>
  <si>
    <t>9783404149131</t>
  </si>
  <si>
    <t>Renate Blaes</t>
  </si>
  <si>
    <t>Post von Dornröschen</t>
  </si>
  <si>
    <t>9783596156672</t>
  </si>
  <si>
    <t>9783596174768</t>
  </si>
  <si>
    <t>Armand der Vampir</t>
  </si>
  <si>
    <t>9783828970786</t>
  </si>
  <si>
    <t>Aufzeichnung eines Schnitzeljägers</t>
  </si>
  <si>
    <t>Pierre Bellemare</t>
  </si>
  <si>
    <t>Unglaubliche Geschichten: Ein Alptraum für fünf Dollar und andere wahre Begebenheiten</t>
  </si>
  <si>
    <t>389350320X</t>
  </si>
  <si>
    <t>Wohlig-wärmende Wintergetränke: Punsch Schokodrink und mehr hübsch verpackt</t>
  </si>
  <si>
    <t>9783772459146</t>
  </si>
  <si>
    <t>Charlie Hebdo</t>
  </si>
  <si>
    <t>Darf man noch über alles lachen?</t>
  </si>
  <si>
    <t>9783868836820</t>
  </si>
  <si>
    <t>Bandinis Fröhliche Weihnachtsminis: Figuren aus Stoffbändern</t>
  </si>
  <si>
    <t>Claudia Günther</t>
  </si>
  <si>
    <t>Hochzeitskarten &amp; kleine Deko-Ideen</t>
  </si>
  <si>
    <t>9783838835969</t>
  </si>
  <si>
    <t>Bandinis Zauberhafte Weihnachtssterne: Sterne aus Stoffbändern</t>
  </si>
  <si>
    <t>9783772441172</t>
  </si>
  <si>
    <t>Frauke Kiedaisch / Tanja Steinbach</t>
  </si>
  <si>
    <t>be Beanie! Unlimited: Nochmehr stylische Häkelmützen</t>
  </si>
  <si>
    <t>9783772469138</t>
  </si>
  <si>
    <t>John Cleland</t>
  </si>
  <si>
    <t>Die Meoiren der Fanny Hill</t>
  </si>
  <si>
    <t>Vemag</t>
  </si>
  <si>
    <t>9783625209508</t>
  </si>
  <si>
    <t>Stephen Clarke</t>
  </si>
  <si>
    <t>Überleben unter Franzosen: Ein Schnellkurs in zehn Lektionen</t>
  </si>
  <si>
    <t>9783492253994</t>
  </si>
  <si>
    <t>Eva Demski</t>
  </si>
  <si>
    <t>Unterwegs</t>
  </si>
  <si>
    <t>3627100808</t>
  </si>
  <si>
    <t>Sidney Sheldon</t>
  </si>
  <si>
    <t>Das Erbe</t>
  </si>
  <si>
    <t>Walter Farley</t>
  </si>
  <si>
    <t>Blitz legt los</t>
  </si>
  <si>
    <t>Blitz und der Feuerteufel</t>
  </si>
  <si>
    <t>9783850010283</t>
  </si>
  <si>
    <t>9783850010320</t>
  </si>
  <si>
    <t>Myboshi: Strickguide Schalideen</t>
  </si>
  <si>
    <t>9783944778150</t>
  </si>
  <si>
    <t>Christine Ockrent</t>
  </si>
  <si>
    <t>Wie Julius Caesar den Euro erfand: Die Geschichte der europäischen Einigung</t>
  </si>
  <si>
    <t>1-2</t>
  </si>
  <si>
    <t>3871344079</t>
  </si>
  <si>
    <t>Ratgeber für Nervenschwache: So heilt man vegetative Dystonie</t>
  </si>
  <si>
    <t>Dr. med. K.A. Kass</t>
  </si>
  <si>
    <t>Bircher-Benner</t>
  </si>
  <si>
    <t>Am Ende des Schweigens</t>
  </si>
  <si>
    <t>Marina Endicott</t>
  </si>
  <si>
    <t>Die Zufallsfamilie</t>
  </si>
  <si>
    <t>9783426198766</t>
  </si>
  <si>
    <t>Mark Henshaw</t>
  </si>
  <si>
    <t>Erbarmungslos</t>
  </si>
  <si>
    <t>9783442479658</t>
  </si>
  <si>
    <t>Steve Mosby</t>
  </si>
  <si>
    <t>Tote Stimmen</t>
  </si>
  <si>
    <t>9783426197684</t>
  </si>
  <si>
    <t>Die Leopardin</t>
  </si>
  <si>
    <t>3785720904</t>
  </si>
  <si>
    <t>Hélène Lenoir</t>
  </si>
  <si>
    <t>Unter meinem Dach</t>
  </si>
  <si>
    <t>9783608933307</t>
  </si>
  <si>
    <t>Sonia Rossi</t>
  </si>
  <si>
    <t>Fucking Berlin von Sonia Rossi,  Studentin und Teilzeithure</t>
  </si>
  <si>
    <t>9783548372648</t>
  </si>
  <si>
    <t>Karen Templeton</t>
  </si>
  <si>
    <t>Männer und der ganz normale Wahnsinn</t>
  </si>
  <si>
    <t>9783899415162</t>
  </si>
  <si>
    <t>Der Chirurg von Campodios</t>
  </si>
  <si>
    <t>9783426626610</t>
  </si>
  <si>
    <t>Géza Gárdonyi</t>
  </si>
  <si>
    <t>Sterne von Eger</t>
  </si>
  <si>
    <t>Corvina</t>
  </si>
  <si>
    <t>9789631347739</t>
  </si>
  <si>
    <t>Michael P. Kube-McDowell</t>
  </si>
  <si>
    <t>Star Wars: Die schwarze Flotte - Band 3: Entscheidung bei Koornacht</t>
  </si>
  <si>
    <t>9783453147218</t>
  </si>
  <si>
    <t>Barbara Hambly</t>
  </si>
  <si>
    <t>Star Wars: Der Krieg der Sterne geht weiter: Palpatines Auge</t>
  </si>
  <si>
    <t>9783453124448</t>
  </si>
  <si>
    <t>A.M. Homes</t>
  </si>
  <si>
    <t>Und morgen sind wir glücklich</t>
  </si>
  <si>
    <t>9783453405578</t>
  </si>
  <si>
    <t>Die erste Seite enthält personalisierte Grüße; sonst ist das Buch in einem guten Zustand</t>
  </si>
  <si>
    <t>Anja Schriever</t>
  </si>
  <si>
    <t>Wissen genial: Pferde</t>
  </si>
  <si>
    <t>4007148012991</t>
  </si>
  <si>
    <t>Black Beauty</t>
  </si>
  <si>
    <t>Xenos</t>
  </si>
  <si>
    <t>4001338002236</t>
  </si>
  <si>
    <t>Wendy: Reiten lernen</t>
  </si>
  <si>
    <t>Wiebke Krabbe</t>
  </si>
  <si>
    <t>9783821230894</t>
  </si>
  <si>
    <t>Anna Sewell</t>
  </si>
  <si>
    <t>Planet Medien AG</t>
  </si>
  <si>
    <t>9783773556288</t>
  </si>
  <si>
    <t>Isabelle von Neumann-Cosel</t>
  </si>
  <si>
    <t>Das Pferdebuch für junge Reiter: Pferde kennen, pflegen, reiten</t>
  </si>
  <si>
    <t>FNBuch</t>
  </si>
  <si>
    <t>9783885423317</t>
  </si>
  <si>
    <t>Thomas &amp; seine Freunde</t>
  </si>
  <si>
    <t>Thomas und der Düsenantrieb</t>
  </si>
  <si>
    <t>Panini</t>
  </si>
  <si>
    <t>9783833210655</t>
  </si>
  <si>
    <t>Thomas, James und der rote Ballon</t>
  </si>
  <si>
    <t>9783897488151</t>
  </si>
  <si>
    <t>Thomas &amp; seine Freunde: Die schönsten Abenteuer</t>
  </si>
  <si>
    <t>Jubiläumsband</t>
  </si>
  <si>
    <t>9783833216596</t>
  </si>
  <si>
    <t>Packo Jansen / Sibylle Haenitsch-Weiss / Axel Weiss</t>
  </si>
  <si>
    <t>Geschenke wunderschön verpacken mit Sonderteil Geldgeschenke</t>
  </si>
  <si>
    <t>Anne Wilsons</t>
  </si>
  <si>
    <t>Leichte Gerichte mit Kartoffeln</t>
  </si>
  <si>
    <t>Könemann</t>
  </si>
  <si>
    <t>9783829000147</t>
  </si>
  <si>
    <t>Ponyabenteuer mit Anna und Prinz</t>
  </si>
  <si>
    <t>Jane Wardle</t>
  </si>
  <si>
    <t>9783833600999</t>
  </si>
  <si>
    <t>3870703318</t>
  </si>
  <si>
    <t>Der Zweite Weltkrieg Band 1-3: Von München bis Moskau; von Pearl Harbor bis Stalingrad; Von El-Alamein bis Hiroschima</t>
  </si>
  <si>
    <t>Marguerite Henry</t>
  </si>
  <si>
    <t>Pony Stormy</t>
  </si>
  <si>
    <t>9783473389124</t>
  </si>
  <si>
    <t>Britta sattelt um</t>
  </si>
  <si>
    <t>3505079464</t>
  </si>
  <si>
    <t>Britta siegt beim Springtunier</t>
  </si>
  <si>
    <t>3505048631</t>
  </si>
  <si>
    <t>Britta muß sich entscheiden</t>
  </si>
  <si>
    <t>3505082155</t>
  </si>
  <si>
    <t>Britta reitet die Hubertusjagd</t>
  </si>
  <si>
    <t>3505048674</t>
  </si>
  <si>
    <t>Brittas Herz gehört den Pferden</t>
  </si>
  <si>
    <t>3505076813</t>
  </si>
  <si>
    <t>Britta als Pferdebursche</t>
  </si>
  <si>
    <t>3505048658</t>
  </si>
  <si>
    <t>Britta, die Reitlehrerin</t>
  </si>
  <si>
    <t>350504864X</t>
  </si>
  <si>
    <t>Bonnie Bryant</t>
  </si>
  <si>
    <t>Ponybande: Aufruhr im Stall</t>
  </si>
  <si>
    <t>ohne Sammelkarten</t>
  </si>
  <si>
    <t>9783785533406</t>
  </si>
  <si>
    <t>Joanna Campbell</t>
  </si>
  <si>
    <t>Ein Pferd Namens Wunder</t>
  </si>
  <si>
    <t>3933099005</t>
  </si>
  <si>
    <t>Christine Baumanns</t>
  </si>
  <si>
    <t>Massagen für Liebende: Mit den Händen Geborgenheit und Lust schenken</t>
  </si>
  <si>
    <t>9783635605086</t>
  </si>
  <si>
    <t>Debby Klein / Tara Kaufmann</t>
  </si>
  <si>
    <t>Schwanger - was nun? Entscheidungshilfen für den persönlichen Weg</t>
  </si>
  <si>
    <t>Kösel</t>
  </si>
  <si>
    <t>9783466344123</t>
  </si>
  <si>
    <t>Wolfgang F. Fischer</t>
  </si>
  <si>
    <t>Das Haus am Fjord: Inselleben in Schweden</t>
  </si>
  <si>
    <t>4026411183923</t>
  </si>
  <si>
    <t>Christine</t>
  </si>
  <si>
    <t>9783404130542</t>
  </si>
  <si>
    <t>Penelope Williamson</t>
  </si>
  <si>
    <t>Flammen im Wind</t>
  </si>
  <si>
    <t>9783596159369</t>
  </si>
  <si>
    <t>Stuart Kaminsky</t>
  </si>
  <si>
    <t>Die Tränen des Clowns: Ein Toby Peters Kriminalroman</t>
  </si>
  <si>
    <t>9783453026971</t>
  </si>
  <si>
    <t>Judy Nunn</t>
  </si>
  <si>
    <t>Feuer Pfad</t>
  </si>
  <si>
    <t>9783596163786</t>
  </si>
  <si>
    <t>Pferdetraum &amp; Liebeschaos</t>
  </si>
  <si>
    <t>9783781701151</t>
  </si>
  <si>
    <t>Phil Rickman</t>
  </si>
  <si>
    <t>Mittwinter-Nacht</t>
  </si>
  <si>
    <t>9783499249068</t>
  </si>
  <si>
    <t>Jay Winik</t>
  </si>
  <si>
    <t>1944 Roosevelt und das Jahr der Entscheidungen</t>
  </si>
  <si>
    <t>9783806234749</t>
  </si>
  <si>
    <t>Heike Roland / Stefanie</t>
  </si>
  <si>
    <t>Cake Pops zu Weihnachten: Süße Geschenke mit Stiel</t>
  </si>
  <si>
    <t>9783772439971</t>
  </si>
  <si>
    <t>Kristallsterne: Filigrane Sterne aus Papier</t>
  </si>
  <si>
    <t>9783772441783</t>
  </si>
  <si>
    <t>Sheldon Rusch</t>
  </si>
  <si>
    <t>Rabenmord</t>
  </si>
  <si>
    <t>9783596168798</t>
  </si>
  <si>
    <t>Melissa Bank</t>
  </si>
  <si>
    <t>Dinge, die Frauen aus Liebe tun</t>
  </si>
  <si>
    <t>9783453351653</t>
  </si>
  <si>
    <t>Moira Young</t>
  </si>
  <si>
    <t>Dust Lands: Die Entführung</t>
  </si>
  <si>
    <t>9783841421425</t>
  </si>
  <si>
    <t>Britta reitet in den Sommer</t>
  </si>
  <si>
    <t>3505077674</t>
  </si>
  <si>
    <t>Kay P. Rodegra</t>
  </si>
  <si>
    <t>Mein Recht bei Kreuzfahrten</t>
  </si>
  <si>
    <t>9783782212519</t>
  </si>
  <si>
    <t>Eine entwaffnende Frau</t>
  </si>
  <si>
    <t>3764510722</t>
  </si>
  <si>
    <t>Borger &amp; Straub</t>
  </si>
  <si>
    <t>Sommer mit Emma</t>
  </si>
  <si>
    <t>9783257240474</t>
  </si>
  <si>
    <t>Carolyn See</t>
  </si>
  <si>
    <t>Mütter und Töchter</t>
  </si>
  <si>
    <t>9783423084239</t>
  </si>
  <si>
    <t>Susan Andersen</t>
  </si>
  <si>
    <t>Alarm auf Wolke sieben</t>
  </si>
  <si>
    <t>9783862789603</t>
  </si>
  <si>
    <t>Remo H. Largo</t>
  </si>
  <si>
    <t>Kinderjahre: Die Individualität des Kindes als erzieherische Herausforderung</t>
  </si>
  <si>
    <t>9783492232180</t>
  </si>
  <si>
    <t>Leben ist mehr: Impulse für jeden Tag</t>
  </si>
  <si>
    <t>CLV</t>
  </si>
  <si>
    <t>9783866992931</t>
  </si>
  <si>
    <t>Nicolas Remin</t>
  </si>
  <si>
    <t>Schnee in Venedig</t>
  </si>
  <si>
    <t>9783499243806</t>
  </si>
  <si>
    <t>R.L. Stines</t>
  </si>
  <si>
    <t>Schattenwelt: Die Nacht der Verwandlung</t>
  </si>
  <si>
    <t>9783785535387</t>
  </si>
  <si>
    <t>Theresia Baschek</t>
  </si>
  <si>
    <t>Die weiße Magie der Waage</t>
  </si>
  <si>
    <t>Peter Erd</t>
  </si>
  <si>
    <t>9783813805178</t>
  </si>
  <si>
    <t>Dr. med. Hellmut Lützner</t>
  </si>
  <si>
    <t>Wie neugeboren durch Fasten</t>
  </si>
  <si>
    <t>9783774221963</t>
  </si>
  <si>
    <t>Birgit Gebauer-Sesterhenn</t>
  </si>
  <si>
    <t>Entschlacken 1x pro Woche</t>
  </si>
  <si>
    <t>9783774233898</t>
  </si>
  <si>
    <t>DVD</t>
  </si>
  <si>
    <t>Schatten fangen</t>
  </si>
  <si>
    <t>9783518463475</t>
  </si>
  <si>
    <t>Mario Vargas Llosa</t>
  </si>
  <si>
    <t>Lob der Stiefmutter</t>
  </si>
  <si>
    <t>9783518387009</t>
  </si>
  <si>
    <t>Iselin C. Hermann</t>
  </si>
  <si>
    <t>Sommer was es</t>
  </si>
  <si>
    <t>9783518459713</t>
  </si>
  <si>
    <t>Meg Mullins</t>
  </si>
  <si>
    <t>Lieber Fremder</t>
  </si>
  <si>
    <t>9783833308673</t>
  </si>
  <si>
    <t>Susanne Gretta</t>
  </si>
  <si>
    <t>Sommerliebe: das Ferienlesebuch</t>
  </si>
  <si>
    <t>9783518462539</t>
  </si>
  <si>
    <t>Andrea de Carlo</t>
  </si>
  <si>
    <t>Yucatan</t>
  </si>
  <si>
    <t>9783257219111</t>
  </si>
  <si>
    <t xml:space="preserve">Konstantin Richter </t>
  </si>
  <si>
    <t>Bettermann</t>
  </si>
  <si>
    <t>9783518460986</t>
  </si>
  <si>
    <t>György Dalos</t>
  </si>
  <si>
    <t>Der Verstekspieler</t>
  </si>
  <si>
    <t>Insel Verlag</t>
  </si>
  <si>
    <t>9783458335962</t>
  </si>
  <si>
    <t>F. Springer</t>
  </si>
  <si>
    <t>Die Farbe des September</t>
  </si>
  <si>
    <t>9783518396070</t>
  </si>
  <si>
    <t>Florian Beckerhoff</t>
  </si>
  <si>
    <t>Karl Konrads heimliches Afrika</t>
  </si>
  <si>
    <t>9783471350454</t>
  </si>
  <si>
    <t>Lauf, Jane, lauf!</t>
  </si>
  <si>
    <t>9783442453351</t>
  </si>
  <si>
    <t>Das andere Kind</t>
  </si>
  <si>
    <t>9783442376322</t>
  </si>
  <si>
    <t>Stephanie Meyer</t>
  </si>
  <si>
    <t>Biss zum Ende der Nacht</t>
  </si>
  <si>
    <t>9783551581990</t>
  </si>
  <si>
    <t>Biss zum Abendrot</t>
  </si>
  <si>
    <t>9783551581662</t>
  </si>
  <si>
    <t>Biss zur Mittagsstunde</t>
  </si>
  <si>
    <t>9783551357823</t>
  </si>
  <si>
    <t>Cora Gofferjé</t>
  </si>
  <si>
    <t>Bye, bye, Ben</t>
  </si>
  <si>
    <t>Ilke s. Prick</t>
  </si>
  <si>
    <t>Sommer mit Juli</t>
  </si>
  <si>
    <t>Boris von Smercek</t>
  </si>
  <si>
    <t>Der zweite Gral</t>
  </si>
  <si>
    <t>9783404153787</t>
  </si>
  <si>
    <t>Glenn Meade</t>
  </si>
  <si>
    <t>Der Jünger des Teufels</t>
  </si>
  <si>
    <t>4026411116259</t>
  </si>
  <si>
    <t>Bitter sollst du büßen</t>
  </si>
  <si>
    <t>4026411116228</t>
  </si>
  <si>
    <t>Clare Mackintosh</t>
  </si>
  <si>
    <t>Meine Seele so kalt</t>
  </si>
  <si>
    <t>9783404172924</t>
  </si>
  <si>
    <t>Jo Nesbo</t>
  </si>
  <si>
    <t>Schneemann</t>
  </si>
  <si>
    <t>9783548281230</t>
  </si>
  <si>
    <t>Buddhadeva Bose</t>
  </si>
  <si>
    <t>Das Mädchen meines Herzens</t>
  </si>
  <si>
    <t>9783550088131</t>
  </si>
  <si>
    <t>Franz Josef Degenhardt</t>
  </si>
  <si>
    <t>Brandstellen: Werkausgabe Band 2</t>
  </si>
  <si>
    <t>Kulturmaschine</t>
  </si>
  <si>
    <t>9783940274441</t>
  </si>
  <si>
    <t>Michael Ebmeyer</t>
  </si>
  <si>
    <t>Der Neuling</t>
  </si>
  <si>
    <t>Kein &amp; Aber</t>
  </si>
  <si>
    <t>9783036955322</t>
  </si>
  <si>
    <t>Helene Hegemann</t>
  </si>
  <si>
    <t>Axolotl Roadkill</t>
  </si>
  <si>
    <t>9783550087929</t>
  </si>
  <si>
    <t>Isabel Allende</t>
  </si>
  <si>
    <t>Fortunas Tochter</t>
  </si>
  <si>
    <t>9783518460115</t>
  </si>
  <si>
    <t>Mari Strachan</t>
  </si>
  <si>
    <t>Ein Hauch von Leben</t>
  </si>
  <si>
    <t>9783832161798</t>
  </si>
  <si>
    <t>Maurilia Meehan</t>
  </si>
  <si>
    <t>Furie hinter den Spiegeln</t>
  </si>
  <si>
    <t>9783886199396</t>
  </si>
  <si>
    <t>Viktorija Tokarjewa</t>
  </si>
  <si>
    <t>Der Baum auf dem Dach</t>
  </si>
  <si>
    <t>9783257241532</t>
  </si>
  <si>
    <t>Ralph Hammerthaler</t>
  </si>
  <si>
    <t>Der Sturz des Friedrich Voss</t>
  </si>
  <si>
    <t>9783832195403</t>
  </si>
  <si>
    <t>Kerstin Lundberg Hahn</t>
  </si>
  <si>
    <t>Der Schatten an meiner Wand</t>
  </si>
  <si>
    <t>Aladin</t>
  </si>
  <si>
    <t>9783848920266</t>
  </si>
  <si>
    <t>Cees Nooteboom</t>
  </si>
  <si>
    <t>Rituale</t>
  </si>
  <si>
    <t>9783518459317</t>
  </si>
  <si>
    <t>Jasmin Leheta</t>
  </si>
  <si>
    <t>Quatschen mit Soße</t>
  </si>
  <si>
    <t>Pendo</t>
  </si>
  <si>
    <t>9783866123328</t>
  </si>
  <si>
    <t>Perihan Maden</t>
  </si>
  <si>
    <t>Wovor wir fliehen</t>
  </si>
  <si>
    <t>9783518461488</t>
  </si>
  <si>
    <t>Daniel Kehlmann</t>
  </si>
  <si>
    <t>Ich und Kaminski</t>
  </si>
  <si>
    <t>9783518459003</t>
  </si>
  <si>
    <t>Emily Perkins</t>
  </si>
  <si>
    <t>Roman über meine Frau</t>
  </si>
  <si>
    <t>9783833308369</t>
  </si>
  <si>
    <t>Brendan Halpin</t>
  </si>
  <si>
    <t>I can see clearly now</t>
  </si>
  <si>
    <t>9783785760321</t>
  </si>
  <si>
    <t>Andrea Maria Schenkel</t>
  </si>
  <si>
    <t>Tannöd</t>
  </si>
  <si>
    <t>9783828990555</t>
  </si>
  <si>
    <t>Michael Peinkofer</t>
  </si>
  <si>
    <t>Die Flamme der Sylfen: Land der Mythen 2</t>
  </si>
  <si>
    <t>9783492266390</t>
  </si>
  <si>
    <t>Katholisch und trotzdem okay: Was sie schon immer über Katholiken wissen wollten…</t>
  </si>
  <si>
    <t>Benno</t>
  </si>
  <si>
    <t>9783746213606</t>
  </si>
  <si>
    <t>Jana Frey</t>
  </si>
  <si>
    <t>Hexengeschichten</t>
  </si>
  <si>
    <t>9783785534618</t>
  </si>
  <si>
    <t>Die Verfolgungsjagd und 20 weitere Mathe-Krimis</t>
  </si>
  <si>
    <t>Richard North Petterson</t>
  </si>
  <si>
    <t>Das Maß der Schuld</t>
  </si>
  <si>
    <t>Eva Wlodarek</t>
  </si>
  <si>
    <t>Mich übersieht keiner mehr: Größere Ausstrahlung gewinnen</t>
  </si>
  <si>
    <t>9783810523273</t>
  </si>
  <si>
    <t>Anne Hertz</t>
  </si>
  <si>
    <t>Glckskekse</t>
  </si>
  <si>
    <t>3-4</t>
  </si>
  <si>
    <t>9783426629765</t>
  </si>
  <si>
    <t>Matthias Mala</t>
  </si>
  <si>
    <t>Das Gänseblümchen Orakel</t>
  </si>
  <si>
    <t>9783404605224</t>
  </si>
  <si>
    <t>Frank Wesley und Claire Wesley</t>
  </si>
  <si>
    <t>Die Psychologie der Geschlechter</t>
  </si>
  <si>
    <t>3596267285</t>
  </si>
  <si>
    <t>Jürgen von Scheidt / Ruth Zenhäusern</t>
  </si>
  <si>
    <t>Allein sein als Chance: Wege aus der Einsamkeit</t>
  </si>
  <si>
    <t>3570059839</t>
  </si>
  <si>
    <t>Warum Männer nicht zuhören und Frauen schlecht einparken</t>
  </si>
  <si>
    <t>Karin Hartig</t>
  </si>
  <si>
    <t>Ehemänner und andere Irrtümer: Die Frau in der Gesellschaft</t>
  </si>
  <si>
    <t>9783596138814</t>
  </si>
  <si>
    <t>Lichtpunkte neuen Denkens</t>
  </si>
  <si>
    <t>Bauer</t>
  </si>
  <si>
    <t>3-7626-0454-1</t>
  </si>
  <si>
    <t>Wilhelm Johnen</t>
  </si>
  <si>
    <t>Die Angst des Mannes vor der starken Frau: Einsichten in Männerseelen</t>
  </si>
  <si>
    <t>9783596122691</t>
  </si>
  <si>
    <t>Nachts</t>
  </si>
  <si>
    <t>9783453129573</t>
  </si>
  <si>
    <t>Linda Yablonsky</t>
  </si>
  <si>
    <t>Sehnsucht</t>
  </si>
  <si>
    <t>9783442540211</t>
  </si>
  <si>
    <t>1001 Nacht: Die List des Weibes wider Ihren Gatten und andere Geschichten</t>
  </si>
  <si>
    <t>9783442026098</t>
  </si>
  <si>
    <t>V.C. Andrews</t>
  </si>
  <si>
    <t>Karuseell der Nacht</t>
  </si>
  <si>
    <t>9783442416295</t>
  </si>
  <si>
    <t>William C. Dement / Christopher Vaughan</t>
  </si>
  <si>
    <t>Der Schlaf und unsere Gesundheit: Schlafstörungen, Schlaflosigkeit und die Heilkraft des Schlafs</t>
  </si>
  <si>
    <t>9783404605002</t>
  </si>
  <si>
    <t>Kate White</t>
  </si>
  <si>
    <t>Die 9 Geheimnisse der Frauen, die alles bekommen, was sie wollen</t>
  </si>
  <si>
    <t>9783548362267</t>
  </si>
  <si>
    <t>Guntram Vesper</t>
  </si>
  <si>
    <t>Nördlich der Liebe und Südlich des Hasses</t>
  </si>
  <si>
    <t>3596221129</t>
  </si>
  <si>
    <t>Ken Wilber</t>
  </si>
  <si>
    <t>Wege zum Selbst: östliche und westliche Ansätze zu persönlichem Wachstum</t>
  </si>
  <si>
    <t>9783442114962</t>
  </si>
  <si>
    <t>Bo R. Holmberg</t>
  </si>
  <si>
    <t>Rabenseelen</t>
  </si>
  <si>
    <t>9783869972398</t>
  </si>
  <si>
    <t>Der Sommermörder</t>
  </si>
  <si>
    <t>9783442454259</t>
  </si>
  <si>
    <t>Lexa Roséan</t>
  </si>
  <si>
    <t>Das Hexen 1x1 für unvergeßliche Nächte</t>
  </si>
  <si>
    <t>9783548359410</t>
  </si>
  <si>
    <t>Glenn D. Wilson / Chris McLaughlin</t>
  </si>
  <si>
    <t>Der Liebesquotient: Die Geschichte eines einzigartigen Gefühls</t>
  </si>
  <si>
    <t>9783404605347</t>
  </si>
  <si>
    <t>Cleo Maria Kretschmer</t>
  </si>
  <si>
    <t>Sehnsuchtskarussell</t>
  </si>
  <si>
    <t>9783861900481</t>
  </si>
  <si>
    <t>Almudena Grandes</t>
  </si>
  <si>
    <t>Atlas der Liebe</t>
  </si>
  <si>
    <t>9783442448470</t>
  </si>
  <si>
    <t>Dieter Bohlen mit Katja Kessler</t>
  </si>
  <si>
    <t>9783453872592</t>
  </si>
  <si>
    <t>Elena Topilskaja</t>
  </si>
  <si>
    <t>Wer die Stille stört</t>
  </si>
  <si>
    <t>Alison Taylor</t>
  </si>
  <si>
    <t>In schuldiger Nacht</t>
  </si>
  <si>
    <t>9783426609279</t>
  </si>
  <si>
    <t>Hera Lind &amp; andere Superweiber</t>
  </si>
  <si>
    <t>Wer sich nicht wehrt, kommt an den Herd: Die Frau in der Gesellschaft</t>
  </si>
  <si>
    <t>9783596138579</t>
  </si>
  <si>
    <t>Yvonne Roberts</t>
  </si>
  <si>
    <t>Verdammt, wer braucht schon einen Mann?</t>
  </si>
  <si>
    <t>9783426609248</t>
  </si>
  <si>
    <t>Für jede Lösung ein Problem</t>
  </si>
  <si>
    <t>9783404156146</t>
  </si>
  <si>
    <t>Peter Brighton</t>
  </si>
  <si>
    <t>Der Tod des Lächelns</t>
  </si>
  <si>
    <t>Dora Heldt</t>
  </si>
  <si>
    <t>Bei Hitze ist es wenigstens nicht kalt</t>
  </si>
  <si>
    <t>9783423214377</t>
  </si>
  <si>
    <t>Grant Stewart</t>
  </si>
  <si>
    <t>Das große Spiel</t>
  </si>
  <si>
    <t>9783442541270</t>
  </si>
  <si>
    <t>Nina Kresswitz</t>
  </si>
  <si>
    <t>Die Männertest-AG</t>
  </si>
  <si>
    <t>9783404162543</t>
  </si>
  <si>
    <t>Hjorth &amp; Rosenfeldt</t>
  </si>
  <si>
    <t>Der Mann, der kein Mörder war: Ein Fall für Sebastian Bergman</t>
  </si>
  <si>
    <t>9783862520190</t>
  </si>
  <si>
    <t>9783548283517</t>
  </si>
  <si>
    <t>Valentina Berger</t>
  </si>
  <si>
    <t>Das Liliengrab</t>
  </si>
  <si>
    <t>9783492258135</t>
  </si>
  <si>
    <t>Sri Chinmoy</t>
  </si>
  <si>
    <t>Yoga und das spirituelle Leben</t>
  </si>
  <si>
    <t>Sr Chinmoy</t>
  </si>
  <si>
    <t>3726100016</t>
  </si>
  <si>
    <t>Dr. Mary Tagliaferri / Dr. Isaac Cohen / Dr. Debu Tripathy</t>
  </si>
  <si>
    <t>Wechseljahre: Wirkungsvolle und gesunde Alternativen zur Hormontherapie</t>
  </si>
  <si>
    <t>9783442166855</t>
  </si>
  <si>
    <t>Peter Stamm</t>
  </si>
  <si>
    <t>Ungefähre Landschaft</t>
  </si>
  <si>
    <t>9783442729951</t>
  </si>
  <si>
    <t>Dagmar Leupold</t>
  </si>
  <si>
    <t>Eden Plaza</t>
  </si>
  <si>
    <t>3406493130</t>
  </si>
  <si>
    <t>Eva Heller</t>
  </si>
  <si>
    <t>Der Mann der`s wert ist</t>
  </si>
  <si>
    <t>17.</t>
  </si>
  <si>
    <t>9783426650752</t>
  </si>
  <si>
    <t>Elizabeth Falconer</t>
  </si>
  <si>
    <t>Das goldene Jahr</t>
  </si>
  <si>
    <t>9783423084512</t>
  </si>
  <si>
    <t>Dan Brown</t>
  </si>
  <si>
    <t>Meteor</t>
  </si>
  <si>
    <t>9783404150557</t>
  </si>
  <si>
    <t>Wilde Lupinen</t>
  </si>
  <si>
    <t>9783596137510</t>
  </si>
  <si>
    <t>André Leysen</t>
  </si>
  <si>
    <t>Krisen sind Herausforderungen</t>
  </si>
  <si>
    <t>Busse Seewald</t>
  </si>
  <si>
    <t>3512007503</t>
  </si>
  <si>
    <t>Ernst Bäumler</t>
  </si>
  <si>
    <t>Rolf Sammet: Eine biografische Skizze</t>
  </si>
  <si>
    <t>Oscar Wilde</t>
  </si>
  <si>
    <t>Das Bildnis des Dorian Gray</t>
  </si>
  <si>
    <t>Kaiser</t>
  </si>
  <si>
    <t>9783704311917</t>
  </si>
  <si>
    <t>Klaus Bußmann</t>
  </si>
  <si>
    <t>Burgund: Kunst Geschichte Landschaft</t>
  </si>
  <si>
    <t>Christine Lange</t>
  </si>
  <si>
    <t>Was kostet mich mein Pferd?</t>
  </si>
  <si>
    <t>9783405163204</t>
  </si>
  <si>
    <t>Sky &amp; Mirja du Mont</t>
  </si>
  <si>
    <t>Unsere tägliche Krise gib uns heute</t>
  </si>
  <si>
    <t>9783833815195</t>
  </si>
  <si>
    <t>Schokolade: Unwiderstehliche Rezeptideen mit Schritt-für-Schritt-Anleitungen</t>
  </si>
  <si>
    <t>Jaye Ford</t>
  </si>
  <si>
    <t>Die Beute</t>
  </si>
  <si>
    <t>9783959737067</t>
  </si>
  <si>
    <t>Brigitte Riebe / Kerstin Cantz</t>
  </si>
  <si>
    <t>Schöne Männer sterben schneller</t>
  </si>
  <si>
    <t>9783453212008</t>
  </si>
  <si>
    <t>Christiane Wittenburg</t>
  </si>
  <si>
    <t>Wendy: Das fremde Pferd</t>
  </si>
  <si>
    <t>9783505121388</t>
  </si>
  <si>
    <t>Steven Sidor</t>
  </si>
  <si>
    <t>Skin River</t>
  </si>
  <si>
    <t>9783426631355</t>
  </si>
  <si>
    <t xml:space="preserve">Hera Lind  </t>
  </si>
  <si>
    <t>Das Superweib: Die Frau in der Gesellschat</t>
  </si>
  <si>
    <t>9783596122271</t>
  </si>
  <si>
    <t>Sigrid Heuck</t>
  </si>
  <si>
    <t>Meister Joachims Geheimnis</t>
  </si>
  <si>
    <t>Ausgesondert aus einer Schulbücherei
entsprechender Stempel auf der ersten Seite</t>
  </si>
  <si>
    <t>9783596801701</t>
  </si>
  <si>
    <t>Matthias Grünewald / Dieter Kögel</t>
  </si>
  <si>
    <t>Eine Leiche zum Espresso</t>
  </si>
  <si>
    <t>cocon</t>
  </si>
  <si>
    <t>9783937774947</t>
  </si>
  <si>
    <t>Richard Hagen</t>
  </si>
  <si>
    <t>Bluthatz</t>
  </si>
  <si>
    <t>9783959733281</t>
  </si>
  <si>
    <t>Das Versprechen des Glücks</t>
  </si>
  <si>
    <t>personalisiert, sonst guter Zustand</t>
  </si>
  <si>
    <t>9783404155804</t>
  </si>
  <si>
    <t>Der Bär verspürt an manchen Tagen ein rätselhaftes Unbehagen</t>
  </si>
  <si>
    <t>Christian Maintz</t>
  </si>
  <si>
    <t>9783896043146</t>
  </si>
  <si>
    <t>Wer zuletzt lacht</t>
  </si>
  <si>
    <t>9783442449033</t>
  </si>
  <si>
    <t>Nicola Förg</t>
  </si>
  <si>
    <t>Glück ist nichts für Feiglinge</t>
  </si>
  <si>
    <t>9783492309172</t>
  </si>
  <si>
    <t>Frauke Nauert</t>
  </si>
  <si>
    <t>Auf geht's zum Traumjob</t>
  </si>
  <si>
    <t>Edition Lebenskraft</t>
  </si>
  <si>
    <t>9783980988216</t>
  </si>
  <si>
    <t>Hildegard Grzimek</t>
  </si>
  <si>
    <t>Mit Tieren unter einem Dach</t>
  </si>
  <si>
    <t>A. Büchse</t>
  </si>
  <si>
    <t>Insel im Chaos</t>
  </si>
  <si>
    <t>auf den ersten 130Seiten sind die Seiten leicht wellig und weisen Flüssigkeitsflecken auf</t>
  </si>
  <si>
    <t>9783453118775</t>
  </si>
  <si>
    <t>Naturfreundehäuser in Deutschland</t>
  </si>
  <si>
    <t>Naturfreunde</t>
  </si>
  <si>
    <t>392531119X</t>
  </si>
  <si>
    <t>U. Poznanski</t>
  </si>
  <si>
    <t>Erebos</t>
  </si>
  <si>
    <t>9783785569573</t>
  </si>
  <si>
    <t>Melody</t>
  </si>
  <si>
    <t>9783442416356</t>
  </si>
  <si>
    <t>Heimtiere Halten: Hamster</t>
  </si>
  <si>
    <t>Ulmer</t>
  </si>
  <si>
    <t>Siegfried Lokau</t>
  </si>
  <si>
    <t>9783800173464</t>
  </si>
  <si>
    <t>Hausbau: Recht und Verträge</t>
  </si>
  <si>
    <t>Verbraucherzentrale</t>
  </si>
  <si>
    <t>9783933705143</t>
  </si>
  <si>
    <t>Susanne Becker</t>
  </si>
  <si>
    <t>Sternflüstern: Das Sibirien-Abenteuer</t>
  </si>
  <si>
    <t>9783453881549</t>
  </si>
  <si>
    <t>Karin Probst</t>
  </si>
  <si>
    <t>einfach schön: Alles über Make-up, Pflege, Wellness und eine tolle Ausstrahlung</t>
  </si>
  <si>
    <t>9783781716223</t>
  </si>
  <si>
    <t>Marley &amp; Ich: Unser Leben mit dem frechsten Hund der Welt</t>
  </si>
  <si>
    <t>9783442463510</t>
  </si>
  <si>
    <t>Patricia Bow</t>
  </si>
  <si>
    <t>See der schwarzen Sterne</t>
  </si>
  <si>
    <t>Cover und erste Seite ist gerissen</t>
  </si>
  <si>
    <t>4198042703501</t>
  </si>
  <si>
    <t>M. Ritter / B. Weißbecker / E. Lajcsak / U. Drees / V. Wagner</t>
  </si>
  <si>
    <t>Die Wächter von Göttingen</t>
  </si>
  <si>
    <t>Stein-Medien</t>
  </si>
  <si>
    <t>9783940660008</t>
  </si>
  <si>
    <t>Wie soll mein Kind heissen? Beliebte Vornamen und ihre Herkunft</t>
  </si>
  <si>
    <t>Tandem</t>
  </si>
  <si>
    <t>9783833198656</t>
  </si>
  <si>
    <t>Christian Nürnberg</t>
  </si>
  <si>
    <t>Die Machtwirtschaft: Ist die Demokratie noch zu retten?</t>
  </si>
  <si>
    <t>9783423241625</t>
  </si>
  <si>
    <t>Patricia Schröder</t>
  </si>
  <si>
    <t>Sophie total verknallt</t>
  </si>
  <si>
    <t>9783401051543</t>
  </si>
  <si>
    <t>Airframe</t>
  </si>
  <si>
    <t>3896670042</t>
  </si>
  <si>
    <t>Taylor Stevens</t>
  </si>
  <si>
    <t>Mission Munroe: Die Touristin</t>
  </si>
  <si>
    <t>9783442478231</t>
  </si>
  <si>
    <t>9783596510924</t>
  </si>
  <si>
    <t>Gerhard Rohlfs</t>
  </si>
  <si>
    <t>4026411188553</t>
  </si>
  <si>
    <t>Die Nacht des Drachen</t>
  </si>
  <si>
    <t>9783800025374</t>
  </si>
  <si>
    <t>Georg A Weth</t>
  </si>
  <si>
    <t>Märchentraum der Karibik</t>
  </si>
  <si>
    <t>Nymphenburger</t>
  </si>
  <si>
    <t>3485005258</t>
  </si>
  <si>
    <t>Tilmann Moser</t>
  </si>
  <si>
    <t>Gottesvergiftung</t>
  </si>
  <si>
    <t>Harriet Rubin</t>
  </si>
  <si>
    <t>Machiavelli für Frauen: Strategie und Taktik im Kampf der Geschlechter</t>
  </si>
  <si>
    <t>9783596146833</t>
  </si>
  <si>
    <t>William Cutrer / Sandra Glahn</t>
  </si>
  <si>
    <t>Gefährliche Saat</t>
  </si>
  <si>
    <t>9783765518447</t>
  </si>
  <si>
    <t>Baby Album: Die schönsten Fotos und Erinnerungen</t>
  </si>
  <si>
    <t>inkl. Cd: Schlaflieder Lullabies</t>
  </si>
  <si>
    <t>4043002303874</t>
  </si>
  <si>
    <t>Peter Ploog</t>
  </si>
  <si>
    <t>Hessische Küche</t>
  </si>
  <si>
    <t>9783898364263</t>
  </si>
  <si>
    <t>Desmond Morris</t>
  </si>
  <si>
    <t>Der Mensch mit dem wir leben: Ein Handbuch unseres Verhaltens</t>
  </si>
  <si>
    <t>3426036592</t>
  </si>
  <si>
    <t>Annie Sanders</t>
  </si>
  <si>
    <t>Weihnachten für Anfänger</t>
  </si>
  <si>
    <t>9783499245794</t>
  </si>
  <si>
    <t>Die schönsten Jungsgeschichten zum Lesenlernen</t>
  </si>
  <si>
    <t>9783785580431</t>
  </si>
  <si>
    <t>Du kannst mich einfach nicht verstehen: Warum Männer und Frauen aneinander vorbeireden</t>
  </si>
  <si>
    <t>9783442162291</t>
  </si>
  <si>
    <t>9783453024540</t>
  </si>
  <si>
    <t>Dr. med. Helmut Keudel</t>
  </si>
  <si>
    <t>Kinderkrankheiten: Erkennen, behandeln, vorbeugen</t>
  </si>
  <si>
    <t>9783774214705</t>
  </si>
  <si>
    <t>Food 4 friends: Essen - geniessen - gut drauf sein</t>
  </si>
  <si>
    <t>Care-Line</t>
  </si>
  <si>
    <t>9783867080156</t>
  </si>
  <si>
    <t>Leonard F. Guttridge</t>
  </si>
  <si>
    <t>Die Geister von Kap Sabine</t>
  </si>
  <si>
    <t>bvt</t>
  </si>
  <si>
    <t>9783442760657</t>
  </si>
  <si>
    <t>Doris Dörrie</t>
  </si>
  <si>
    <t>Liebe Schmerz und das ganze verdammte zeug</t>
  </si>
  <si>
    <t>9783257217964</t>
  </si>
  <si>
    <t>Uppenborn / Schwark</t>
  </si>
  <si>
    <t>Ponys: Haltung, Pflege, Rassen, Züchtung</t>
  </si>
  <si>
    <t>9783828916432</t>
  </si>
  <si>
    <t>1000 Irrtümer der Allgemein Bildung: unglaublich aber wahr</t>
  </si>
  <si>
    <t>compact</t>
  </si>
  <si>
    <t>9783817459179</t>
  </si>
  <si>
    <t>Ende eines Sommers</t>
  </si>
  <si>
    <t>9783499230684</t>
  </si>
  <si>
    <t>Wirtschaftslehre der Unernehmung</t>
  </si>
  <si>
    <t>Europa-Lehrmittel</t>
  </si>
  <si>
    <t>9783808594582</t>
  </si>
  <si>
    <t>Feuermale</t>
  </si>
  <si>
    <t>Robert Ferrigno</t>
  </si>
  <si>
    <t>Herzjagen</t>
  </si>
  <si>
    <t>9783442540549</t>
  </si>
  <si>
    <t>Bodo J. Baginski / Shalila Sharamon</t>
  </si>
  <si>
    <t>Reiki: Universale Lebensenergie zur ganzheitlichen Selbstheilung, Patientenbehandlung, Fernheilung von Körper, Geist und Seele</t>
  </si>
  <si>
    <t>Synthesis</t>
  </si>
  <si>
    <t>3922026354</t>
  </si>
  <si>
    <t>George Lucas</t>
  </si>
  <si>
    <t>Star Wars: Krieg der Sterne</t>
  </si>
  <si>
    <t>9783442352487</t>
  </si>
  <si>
    <t>3426629348</t>
  </si>
  <si>
    <t>Stephen King / Peter Straub</t>
  </si>
  <si>
    <t>Der Talisman</t>
  </si>
  <si>
    <t>9783453025233</t>
  </si>
  <si>
    <t>Botschaften für's Büro</t>
  </si>
  <si>
    <t>KV&amp;H</t>
  </si>
  <si>
    <t>9783840128929</t>
  </si>
  <si>
    <t>Moritz Freiherr Knigge</t>
  </si>
  <si>
    <t>Mensch bleiben: Wie wir besser miteinander klarkommen</t>
  </si>
  <si>
    <t>Minibuch</t>
  </si>
  <si>
    <t>9783939696209</t>
  </si>
  <si>
    <t>Sarah Cameron</t>
  </si>
  <si>
    <t>Trinidad &amp; Tobago</t>
  </si>
  <si>
    <t>Thomson Press</t>
  </si>
  <si>
    <t>9781909268357</t>
  </si>
  <si>
    <t>Hilda van Siller</t>
  </si>
  <si>
    <t>Küß mich und stirb</t>
  </si>
  <si>
    <t>3442047439</t>
  </si>
  <si>
    <t>Elizabeth Becka</t>
  </si>
  <si>
    <t>Mit dem letzten Atemzug</t>
  </si>
  <si>
    <t>4026411114354</t>
  </si>
  <si>
    <t>Sally Anne Morris</t>
  </si>
  <si>
    <t>Geister küsst man nicht</t>
  </si>
  <si>
    <t>9783499255182</t>
  </si>
  <si>
    <t>Annemarie Schoenle</t>
  </si>
  <si>
    <t>Eine ungehorsame Frau</t>
  </si>
  <si>
    <t>9783426604977</t>
  </si>
  <si>
    <t>Alan Posener</t>
  </si>
  <si>
    <t>Der Gefährliche Papst: Eine Streitschrift gegen Benedikt XVI.</t>
  </si>
  <si>
    <t>9783548373690</t>
  </si>
  <si>
    <t>Susanne Lütje</t>
  </si>
  <si>
    <t>Robin findet ein Dingsda</t>
  </si>
  <si>
    <t>9783789112423</t>
  </si>
  <si>
    <t>Helme Heine</t>
  </si>
  <si>
    <t>Die Flaschenpost</t>
  </si>
  <si>
    <t>Middelhauve</t>
  </si>
  <si>
    <t>3787693130</t>
  </si>
  <si>
    <t>Jay Asher &amp; Carolyn Mackler</t>
  </si>
  <si>
    <t>The Future of us: Update your destiny</t>
  </si>
  <si>
    <t>Simon &amp; Schuster</t>
  </si>
  <si>
    <t>9780857076076</t>
  </si>
  <si>
    <t>Marina Lewycka</t>
  </si>
  <si>
    <t>Kurze Geschichte des Traktors auf Ukrainisch</t>
  </si>
  <si>
    <t>unkorrigiertes Leseexemplar</t>
  </si>
  <si>
    <t>9783423245579</t>
  </si>
  <si>
    <t>Über den Fluss nach Afrika</t>
  </si>
  <si>
    <t>9783828993334</t>
  </si>
  <si>
    <t>Der neue große Knigge: Benimm beruflich und privat; Die richtigen Umgangsformen in jeder Situation</t>
  </si>
  <si>
    <t>Silke Schneider-Flaig</t>
  </si>
  <si>
    <t>9783817467587</t>
  </si>
  <si>
    <t>Hannsdieter Loy</t>
  </si>
  <si>
    <t>Spiel des Todes</t>
  </si>
  <si>
    <t>9783897057852</t>
  </si>
  <si>
    <t>Das Haus der Schwestern</t>
  </si>
  <si>
    <t>Swami Sivananda</t>
  </si>
  <si>
    <t>Yoga Praxis für den Westen</t>
  </si>
  <si>
    <t>Humata</t>
  </si>
  <si>
    <t>3719702197</t>
  </si>
  <si>
    <t>Andrea Parr</t>
  </si>
  <si>
    <t>Das kommt mir spanisch vor: Madrid für Anfänger</t>
  </si>
  <si>
    <t>9783548281537</t>
  </si>
  <si>
    <t>9783828991088</t>
  </si>
  <si>
    <t>Thriller Band 2</t>
  </si>
  <si>
    <t>9783899415926</t>
  </si>
  <si>
    <t>Jörg Kastner</t>
  </si>
  <si>
    <t>Engelspapst</t>
  </si>
  <si>
    <t>9783426638491</t>
  </si>
  <si>
    <t>Christelle Maurin</t>
  </si>
  <si>
    <t>Du trägst ihren Namen</t>
  </si>
  <si>
    <t>9783453351745</t>
  </si>
  <si>
    <t>Adèle Geras</t>
  </si>
  <si>
    <t>Im Sommer der Geheimnisse</t>
  </si>
  <si>
    <t>9783442370856</t>
  </si>
  <si>
    <t>Milena Agus</t>
  </si>
  <si>
    <t>Die Frau im Mond</t>
  </si>
  <si>
    <t>9783828992962</t>
  </si>
  <si>
    <t>Peter Swanson</t>
  </si>
  <si>
    <t>Die Gerechte</t>
  </si>
  <si>
    <t>9783734103599</t>
  </si>
  <si>
    <t>Ethan Cross</t>
  </si>
  <si>
    <t>Spectrum</t>
  </si>
  <si>
    <t>9783404175550</t>
  </si>
  <si>
    <t>Wo bist du?</t>
  </si>
  <si>
    <t>9783426626603</t>
  </si>
  <si>
    <t>Hanna Dietz</t>
  </si>
  <si>
    <t>Gefährliche Gefühle zu schön zum sterben</t>
  </si>
  <si>
    <t>9783401068305</t>
  </si>
  <si>
    <t>Handbuch Pferde</t>
  </si>
  <si>
    <t>Honos</t>
  </si>
  <si>
    <t>9783829905749</t>
  </si>
  <si>
    <t>Marlies Arold</t>
  </si>
  <si>
    <t>9783785545928</t>
  </si>
  <si>
    <t>Filly Fairy unsere Zauberhafte Welt</t>
  </si>
  <si>
    <t>RPS</t>
  </si>
  <si>
    <t>ohne Zugabe, sonst guter Zustand</t>
  </si>
  <si>
    <t>9783863183004</t>
  </si>
  <si>
    <t>Filly Fairy unsere Zauberhafte Welt: Mit vielen neuen Geschichten</t>
  </si>
  <si>
    <t>RPS Handel</t>
  </si>
  <si>
    <t>Filly Princess Magic: Eine Feier für Crystal</t>
  </si>
  <si>
    <t xml:space="preserve">ohne Zugabe </t>
  </si>
  <si>
    <t>9783863183172</t>
  </si>
  <si>
    <t>Filly Princess unsere wunderbare Welt</t>
  </si>
  <si>
    <t>9783863183011</t>
  </si>
  <si>
    <t>Bettina Hansen</t>
  </si>
  <si>
    <t>Bastelspass mit Alltags Dingen</t>
  </si>
  <si>
    <t>Cormoran</t>
  </si>
  <si>
    <t>9783517092089</t>
  </si>
  <si>
    <t>Marie-Luise Kreuter</t>
  </si>
  <si>
    <t>Gartenkräuter: Die bsten Arten und Sorten</t>
  </si>
  <si>
    <t>9783835405066</t>
  </si>
  <si>
    <t>Harry Waesse</t>
  </si>
  <si>
    <t>Yoga für Anfänger</t>
  </si>
  <si>
    <t>9783774225763</t>
  </si>
  <si>
    <t>Dr. Dietmar Pfennighaus</t>
  </si>
  <si>
    <t>Einfach entspannen: So fühlt sich das Leben leichter an</t>
  </si>
  <si>
    <t>9783774260467</t>
  </si>
  <si>
    <t>Happy Aua: Ein Bilderbuch aus dem Irrgarten der deutschen Sprache</t>
  </si>
  <si>
    <t>9783462040289</t>
  </si>
  <si>
    <t>clv</t>
  </si>
  <si>
    <t>personalisiert, sonste seht guter fast neuwertiger Zustand</t>
  </si>
  <si>
    <t>9783866993570</t>
  </si>
  <si>
    <t>Rachel Joyce</t>
  </si>
  <si>
    <t>Die unwahrscheinliche Pilgerreise des Harold Fry</t>
  </si>
  <si>
    <t>9783596195367</t>
  </si>
  <si>
    <t>Der dritte Zwilling</t>
  </si>
  <si>
    <t>4026411112060</t>
  </si>
  <si>
    <t>Lucy Dillon</t>
  </si>
  <si>
    <t>Das kleine große Glück</t>
  </si>
  <si>
    <t>9783442482177</t>
  </si>
  <si>
    <t>Ann Brashares</t>
  </si>
  <si>
    <t>Eine für vier: Der zweite Sommer</t>
  </si>
  <si>
    <t>9783570302767</t>
  </si>
  <si>
    <t>Elizabeth Gilbert</t>
  </si>
  <si>
    <t>Eat pray Love: Eine Frau auf der Suche nach allem</t>
  </si>
  <si>
    <t>9783833306877</t>
  </si>
  <si>
    <t>Sommerlicht / Liebesgewitter</t>
  </si>
  <si>
    <t>4043002857759</t>
  </si>
  <si>
    <t>Sofie Cramer</t>
  </si>
  <si>
    <t>SMS für Dich</t>
  </si>
  <si>
    <t>9783499258244</t>
  </si>
  <si>
    <t>Mia Morgowski</t>
  </si>
  <si>
    <t>Die nächste Bitte</t>
  </si>
  <si>
    <t>9783499256370</t>
  </si>
  <si>
    <t>Barbara Bollwahn</t>
  </si>
  <si>
    <t>Mond über Berlin</t>
  </si>
  <si>
    <t>9783522500616</t>
  </si>
  <si>
    <t>Glückskekse</t>
  </si>
  <si>
    <t>James Michael Pratt</t>
  </si>
  <si>
    <t>Ein Leuchten in der Nacht</t>
  </si>
  <si>
    <t>9783426618998</t>
  </si>
  <si>
    <t>Walter Moers</t>
  </si>
  <si>
    <t>Schönste Geschichten: Guten Morgen!</t>
  </si>
  <si>
    <t>Eichhorn</t>
  </si>
  <si>
    <t>9783821829807</t>
  </si>
  <si>
    <t>Vincent Lardo</t>
  </si>
  <si>
    <t>Eine tödliche Affäre</t>
  </si>
  <si>
    <t>9783548250236</t>
  </si>
  <si>
    <t>Kommissar Kugelblitz: Die schneeweiße Katze</t>
  </si>
  <si>
    <t>9783505097218</t>
  </si>
  <si>
    <t>Obst- &amp; Blechkuchen: Fruchtig, Süß und unwiderstehlich</t>
  </si>
  <si>
    <t>4050847008130</t>
  </si>
  <si>
    <t>Volkmar Röhrig</t>
  </si>
  <si>
    <t>9783401085067</t>
  </si>
  <si>
    <t>Walt Disney</t>
  </si>
  <si>
    <t>Das große Micky Maus Buch</t>
  </si>
  <si>
    <t>Delphin</t>
  </si>
  <si>
    <t>9783773549297</t>
  </si>
  <si>
    <t>Susan Waggoner</t>
  </si>
  <si>
    <t>Liebe braucht keinen Ort</t>
  </si>
  <si>
    <t>Bloomoon</t>
  </si>
  <si>
    <t>9783760795744</t>
  </si>
  <si>
    <t>Samantha King</t>
  </si>
  <si>
    <t>sag, wer stirbt. Du kannst nur ein Kind retten</t>
  </si>
  <si>
    <t>Harper-Collins</t>
  </si>
  <si>
    <t>Traumwind</t>
  </si>
  <si>
    <t>9783828993648</t>
  </si>
  <si>
    <t>Versand booklooker</t>
  </si>
  <si>
    <t>Booklooker</t>
  </si>
  <si>
    <t>Kalkulation gesamt</t>
  </si>
  <si>
    <t>Die Eiskönigin</t>
  </si>
  <si>
    <t>9781474860093</t>
  </si>
  <si>
    <t>Ein rundherum tolles Land</t>
  </si>
  <si>
    <t>9783442725458</t>
  </si>
  <si>
    <t>Marie Louise Fischer</t>
  </si>
  <si>
    <t>Zerfetzte Segel</t>
  </si>
  <si>
    <t>9783704313324</t>
  </si>
  <si>
    <t>PONS</t>
  </si>
  <si>
    <t>Bürokommunikation Französisch: Sicher fomrulieren in Briefen, E-Mails und am Telefon; mit Musterbriefen, Textbausteinen und Übungen</t>
  </si>
  <si>
    <t>9783125617346</t>
  </si>
  <si>
    <t>Bürokommunikation Englisch: sicher formulieren in Briefen, E-Mails und am Telefon; mit Musterbriefen, Textbausteinen und Übungen</t>
  </si>
  <si>
    <t>9783125617322</t>
  </si>
  <si>
    <t>Patrick Redmond</t>
  </si>
  <si>
    <t>Das Wunschspiel</t>
  </si>
  <si>
    <t>9783442451357</t>
  </si>
  <si>
    <t>Donna Milner</t>
  </si>
  <si>
    <t>Der Tag, an dem Marilyn starb</t>
  </si>
  <si>
    <t>9783868005462</t>
  </si>
  <si>
    <t>Ginna Gray</t>
  </si>
  <si>
    <t>Der Tod trägt dein Gesicht</t>
  </si>
  <si>
    <t>9783899414820</t>
  </si>
  <si>
    <t>Leonie Swann</t>
  </si>
  <si>
    <t>Glennkill</t>
  </si>
  <si>
    <t>9783442464159</t>
  </si>
  <si>
    <t>Christina Machfeld-Tapukai</t>
  </si>
  <si>
    <t>Mit der Liebe einer Löwin: Wie ich die Frau eines Samburu Kriegers wurde</t>
  </si>
  <si>
    <t>9783404615919</t>
  </si>
  <si>
    <t>Katie Agnew</t>
  </si>
  <si>
    <t>Die Perlenfrauen</t>
  </si>
  <si>
    <t>9783453420298</t>
  </si>
  <si>
    <t>Quer durch Afrika</t>
  </si>
  <si>
    <t>Stürmische Begegnung</t>
  </si>
  <si>
    <t>Büromaterial</t>
  </si>
  <si>
    <t>Gesunde Küche für Babys &amp; Kleinkinder: Die besten Rezepte und Ernährungstipps</t>
  </si>
  <si>
    <t>9783802517884</t>
  </si>
  <si>
    <t>Herman Kahn / Anthony Wiener</t>
  </si>
  <si>
    <t>Ihr werdet es erleben: Voraussagen der Wissenschaft bis zum Jahre 2000</t>
  </si>
  <si>
    <t>Fritz Molden</t>
  </si>
  <si>
    <t>Rita Irlesberger / Sonja Carlsson</t>
  </si>
  <si>
    <t>10 Minuten Workout für einen Superbody: Der kürzeste Weg zur Traumfigur</t>
  </si>
  <si>
    <t>9783310007617</t>
  </si>
  <si>
    <t>Kathy Lette</t>
  </si>
  <si>
    <t>Mein Bett gehört mir</t>
  </si>
  <si>
    <t>3896042076</t>
  </si>
  <si>
    <t>Mavi Mohr</t>
  </si>
  <si>
    <t>Ein Elefant gab mir die Hand: Ein junges Mädchen kämpft gegen Leukämie</t>
  </si>
  <si>
    <t>Kreuz</t>
  </si>
  <si>
    <t>9783783115307</t>
  </si>
  <si>
    <t>Star Wars Young Jedi Knights 6: Angriff auf Yavin 4</t>
  </si>
  <si>
    <t>9783442248780</t>
  </si>
  <si>
    <t>Peer Wüschner</t>
  </si>
  <si>
    <t>Pupertät - Das Überlebenstraining für Eltern</t>
  </si>
  <si>
    <t>9783821839721</t>
  </si>
  <si>
    <t>Thomas Schäfer</t>
  </si>
  <si>
    <t>Was die Seele krank macht und was sie heilt / Wenn der Körper signale gibt: Die psychotherapeutische Arbeit Bert Hellingers</t>
  </si>
  <si>
    <t>9783828949331</t>
  </si>
  <si>
    <t>M.J. Arlidge</t>
  </si>
  <si>
    <t>Eene Meene Einer lebt, einer stirbt</t>
  </si>
  <si>
    <t>9783499268830</t>
  </si>
  <si>
    <t>Der Wanderchirurg / Der Chirurg von Campodios</t>
  </si>
  <si>
    <t>9783828976610</t>
  </si>
  <si>
    <t>Betty Mahmoody</t>
  </si>
  <si>
    <t>Nicht ohne meine Tochter</t>
  </si>
  <si>
    <t>Karl-Wilhelm Weeber</t>
  </si>
  <si>
    <t>9783150111413</t>
  </si>
  <si>
    <t>Die Kunst der Liebe: Ovids Tipps für Frauen und Männer</t>
  </si>
  <si>
    <t>Kreuzfahrtstadt Hamburg: Die Metropoloe der Traumschiffe</t>
  </si>
  <si>
    <t>9783782210287</t>
  </si>
  <si>
    <t>Gernot Sittner</t>
  </si>
  <si>
    <t>Helmut Kohl und der Mantel der Geschichte</t>
  </si>
  <si>
    <t>Süddeutsche Zeitung Edition</t>
  </si>
  <si>
    <t>9783864973468</t>
  </si>
  <si>
    <t>Howard Jacobson</t>
  </si>
  <si>
    <t>Im Zoo</t>
  </si>
  <si>
    <t>9783421045645</t>
  </si>
  <si>
    <t>Waldtraut Lewin</t>
  </si>
  <si>
    <t>Cordoba</t>
  </si>
  <si>
    <t>9783836954587</t>
  </si>
  <si>
    <t>Andrea C. Hoffmann / Ensaf Haidar</t>
  </si>
  <si>
    <t>Freiheit für Raif Badawi, die Liebe meines Lebens</t>
  </si>
  <si>
    <t>-Mängelexemplar-
Der Schutzumschlag wurde beim Auspacken beschädigt und weist einen Riss auf</t>
  </si>
  <si>
    <t>9783431039436</t>
  </si>
  <si>
    <t>Timo Hinrichsen / Boris Palluch</t>
  </si>
  <si>
    <t>"Als unser Kunde tot umfiel…" 25 knifflige Führungsprobleme und ihre nachhaltigen Lösungen</t>
  </si>
  <si>
    <t>Linde</t>
  </si>
  <si>
    <t>9783709303702</t>
  </si>
  <si>
    <t>Neil Smith</t>
  </si>
  <si>
    <t>Bang Crunch</t>
  </si>
  <si>
    <t>Schöffling &amp; Co</t>
  </si>
  <si>
    <t>9783895614958</t>
  </si>
  <si>
    <t>Luther und wir: 95 x Nachdenken über Reformation</t>
  </si>
  <si>
    <t>9783150110843</t>
  </si>
  <si>
    <t>Cornelia Adam</t>
  </si>
  <si>
    <t>Erdbeer Träume</t>
  </si>
  <si>
    <t>9783836921183</t>
  </si>
  <si>
    <t>Markus Matzner</t>
  </si>
  <si>
    <t>Strahlenmeer</t>
  </si>
  <si>
    <t>9783839215296</t>
  </si>
  <si>
    <t>Ernest Hemingway</t>
  </si>
  <si>
    <t>Fiesta</t>
  </si>
  <si>
    <t>Sigismund V. Radecki</t>
  </si>
  <si>
    <t>Das ABC des Lachens</t>
  </si>
  <si>
    <t>Tim Krabbé</t>
  </si>
  <si>
    <t>Drei auf dem Eis</t>
  </si>
  <si>
    <t>9783150111765</t>
  </si>
  <si>
    <t>Mein Fangbuch: Karpfenangeln</t>
  </si>
  <si>
    <t>MüllerRüschlikon</t>
  </si>
  <si>
    <t>9783275021109</t>
  </si>
  <si>
    <t>Robert Musil</t>
  </si>
  <si>
    <t>Drei Frauen</t>
  </si>
  <si>
    <t>Kurt Tucholsky</t>
  </si>
  <si>
    <t>Zwischen gestern und morgen</t>
  </si>
  <si>
    <t>Jürgen Spohn</t>
  </si>
  <si>
    <t>Aufgenreise durch die Provence</t>
  </si>
  <si>
    <t>Harenberg</t>
  </si>
  <si>
    <t>3883794287</t>
  </si>
  <si>
    <t>Joachim Ringelnatz</t>
  </si>
  <si>
    <t>Ausgewählte Gedichte</t>
  </si>
  <si>
    <t>Dietmar Grieser</t>
  </si>
  <si>
    <t>Geliebtes Geschöpf: Tiere, die Geschichte machten</t>
  </si>
  <si>
    <t>Amalthea</t>
  </si>
  <si>
    <t>9783990500453</t>
  </si>
  <si>
    <t>E.H. Cordier</t>
  </si>
  <si>
    <t>In alemannischer Freundschaft: Gedichte für Raymond Matzen</t>
  </si>
  <si>
    <t>Morstadt</t>
  </si>
  <si>
    <t>3885712067</t>
  </si>
  <si>
    <t>Toni Maguire</t>
  </si>
  <si>
    <t>Kein Wort zu Mami: Die wahre Geschichte über eine zerstörte Kindheit</t>
  </si>
  <si>
    <t>Barbara Bretton</t>
  </si>
  <si>
    <t>Ein Sommer am Meer</t>
  </si>
  <si>
    <t>9783898975964</t>
  </si>
  <si>
    <t>Diabolus</t>
  </si>
  <si>
    <t>9783828979239</t>
  </si>
  <si>
    <t>Sophie Kinsella</t>
  </si>
  <si>
    <t>Prada, Pumps und Babypuder</t>
  </si>
  <si>
    <t>Chantal Schreiber</t>
  </si>
  <si>
    <t>Miss Galaxy</t>
  </si>
  <si>
    <t>9783522180085</t>
  </si>
  <si>
    <t>Lolly Winston</t>
  </si>
  <si>
    <t>Himmelblau und Rabenschwarz / Sommertau und Wolkenbruch</t>
  </si>
  <si>
    <t>9783426510766</t>
  </si>
  <si>
    <t>Dicke Hose</t>
  </si>
  <si>
    <t>9783499259234</t>
  </si>
  <si>
    <t>Lieblingsstücke</t>
  </si>
  <si>
    <t>9783596174935</t>
  </si>
  <si>
    <t>Martina Sahler</t>
  </si>
  <si>
    <t>China Blues und grüner Tee</t>
  </si>
  <si>
    <t>9783522180481</t>
  </si>
  <si>
    <t>Halt mich</t>
  </si>
  <si>
    <t>9783522500890</t>
  </si>
  <si>
    <t>Edith Schreiber-Wicke</t>
  </si>
  <si>
    <t>Viel Lärm um mich</t>
  </si>
  <si>
    <t>9783522181174</t>
  </si>
  <si>
    <t>Shari Low</t>
  </si>
  <si>
    <t>Saure Gurken Zeit</t>
  </si>
  <si>
    <t>Freunde, Sex und Alibis</t>
  </si>
  <si>
    <t>E L James</t>
  </si>
  <si>
    <t>Shades of Grey: Befreite Lust</t>
  </si>
  <si>
    <t>9783442478972</t>
  </si>
  <si>
    <t>Shades of Grey: geheimes Verlangen</t>
  </si>
  <si>
    <t>9783442478958</t>
  </si>
  <si>
    <t>Sternschnuppen</t>
  </si>
  <si>
    <t>9783596509348</t>
  </si>
  <si>
    <t>John le Carré</t>
  </si>
  <si>
    <t>Die Libelle</t>
  </si>
  <si>
    <t>Frederick Forsyth</t>
  </si>
  <si>
    <t>Der Unterhändler</t>
  </si>
  <si>
    <t>Jürgen Thorwald</t>
  </si>
  <si>
    <t>Die Patienten</t>
  </si>
  <si>
    <t>DVD0001</t>
  </si>
  <si>
    <t>DVD0002</t>
  </si>
  <si>
    <t>DVD0003</t>
  </si>
  <si>
    <t>DVD0004</t>
  </si>
  <si>
    <t>DVD0005</t>
  </si>
  <si>
    <t>DVD0006</t>
  </si>
  <si>
    <t>DVD0007</t>
  </si>
  <si>
    <t>DVD0008</t>
  </si>
  <si>
    <t>DVD0009</t>
  </si>
  <si>
    <t>DVD0010</t>
  </si>
  <si>
    <t>DVD0011</t>
  </si>
  <si>
    <t>DVD0012</t>
  </si>
  <si>
    <t>DVD0013</t>
  </si>
  <si>
    <t>DVD0014</t>
  </si>
  <si>
    <t>DVD0015</t>
  </si>
  <si>
    <t>DVD0016</t>
  </si>
  <si>
    <t>DVD0017</t>
  </si>
  <si>
    <t>DVD0018</t>
  </si>
  <si>
    <t>DVD0019</t>
  </si>
  <si>
    <t>DVD0020</t>
  </si>
  <si>
    <t>DVD0021</t>
  </si>
  <si>
    <t>DVD0022</t>
  </si>
  <si>
    <t>DVD0023</t>
  </si>
  <si>
    <t>DVD0024</t>
  </si>
  <si>
    <t>DVD0025</t>
  </si>
  <si>
    <t>DVD0026</t>
  </si>
  <si>
    <t>DVD0027</t>
  </si>
  <si>
    <t>DVD0028</t>
  </si>
  <si>
    <t>DVD0029</t>
  </si>
  <si>
    <t>DVD0030</t>
  </si>
  <si>
    <t>DVD0031</t>
  </si>
  <si>
    <t>DVD0032</t>
  </si>
  <si>
    <t>DVD0033</t>
  </si>
  <si>
    <t>DVD0034</t>
  </si>
  <si>
    <t>DVD0035</t>
  </si>
  <si>
    <t>DVD0036</t>
  </si>
  <si>
    <t>DVD0037</t>
  </si>
  <si>
    <t>DVD0038</t>
  </si>
  <si>
    <t>DVD0039</t>
  </si>
  <si>
    <t>DVD0040</t>
  </si>
  <si>
    <t>DVD0041</t>
  </si>
  <si>
    <t>DVD0042</t>
  </si>
  <si>
    <t>DVD0043</t>
  </si>
  <si>
    <t>DVD0044</t>
  </si>
  <si>
    <t>DVD0045</t>
  </si>
  <si>
    <t>DVD0046</t>
  </si>
  <si>
    <t>DVD0047</t>
  </si>
  <si>
    <t>DVD0048</t>
  </si>
  <si>
    <t>DVD0049</t>
  </si>
  <si>
    <t>DVD0050</t>
  </si>
  <si>
    <t>4012020065101</t>
  </si>
  <si>
    <t>4009750206010</t>
  </si>
  <si>
    <t>4260057814494</t>
  </si>
  <si>
    <t>4014260502101</t>
  </si>
  <si>
    <t>4020974159258</t>
  </si>
  <si>
    <t>4051238001341</t>
  </si>
  <si>
    <t>4260134481212</t>
  </si>
  <si>
    <t>4030816131236</t>
  </si>
  <si>
    <t>4027261001351</t>
  </si>
  <si>
    <t>4026643000005</t>
  </si>
  <si>
    <t>deutsch, englisch, hindi</t>
  </si>
  <si>
    <t>Menüführung englisch</t>
  </si>
  <si>
    <t>deutsch, englisch</t>
  </si>
  <si>
    <t>deutsch, spanisch</t>
  </si>
  <si>
    <t>ja</t>
  </si>
  <si>
    <t>4009750270325</t>
  </si>
  <si>
    <t>4260053471783</t>
  </si>
  <si>
    <t>4260053471769</t>
  </si>
  <si>
    <t>4010961007488</t>
  </si>
  <si>
    <t>4020974023245</t>
  </si>
  <si>
    <t>4049834002190</t>
  </si>
  <si>
    <t>4260134481175</t>
  </si>
  <si>
    <t>4020974023122</t>
  </si>
  <si>
    <t>4020974023092</t>
  </si>
  <si>
    <t>4012020067372</t>
  </si>
  <si>
    <t>4020974158039</t>
  </si>
  <si>
    <t>4020974142014</t>
  </si>
  <si>
    <t>4042662355094</t>
  </si>
  <si>
    <t>4020974022941</t>
  </si>
  <si>
    <t>7321921986888</t>
  </si>
  <si>
    <t>deutsch, kantonesisch</t>
  </si>
  <si>
    <t>deutsch, spanisch, englisch</t>
  </si>
  <si>
    <t>deutsch, italienisch</t>
  </si>
  <si>
    <t>Kopf oder Zahl</t>
  </si>
  <si>
    <t>Serafino der Schürzenjäger</t>
  </si>
  <si>
    <t>Surf School</t>
  </si>
  <si>
    <t>Die schnsten Reiseziele: Engadin Innerschweiz</t>
  </si>
  <si>
    <t>Nur 90 Minuten: Im Knast wartet noch die Beute</t>
  </si>
  <si>
    <t>Oooh Wayne interessiert's?</t>
  </si>
  <si>
    <t>Operation Amsterdam</t>
  </si>
  <si>
    <t>Kart Racer</t>
  </si>
  <si>
    <t>The heart of the Warrior</t>
  </si>
  <si>
    <t>Cara Loft Womb Raider</t>
  </si>
  <si>
    <t>Zwei Beinharte Profis</t>
  </si>
  <si>
    <t>Dirty Money: In tödlicher Gefahr</t>
  </si>
  <si>
    <t>Fegefeuer oder die Reise ins Zuchthaus</t>
  </si>
  <si>
    <t>BloodBrothers</t>
  </si>
  <si>
    <t>Airboss</t>
  </si>
  <si>
    <t>Bottoms Up</t>
  </si>
  <si>
    <t>Phantom Racer</t>
  </si>
  <si>
    <t>Francis Ford Coppolla's Fright Night</t>
  </si>
  <si>
    <t>Todeskommando Iwo Jima</t>
  </si>
  <si>
    <t>El Lobo der Wolf</t>
  </si>
  <si>
    <t>Rin Tin Tin Box</t>
  </si>
  <si>
    <t>Sommer der verfluchten</t>
  </si>
  <si>
    <t>Faszinierende Landschaften Peace in the Valley</t>
  </si>
  <si>
    <t>Lukas Podolski der Film</t>
  </si>
  <si>
    <t>Jajantaram Mamantaram</t>
  </si>
  <si>
    <t>4260170150073</t>
  </si>
  <si>
    <t>4250148702281</t>
  </si>
  <si>
    <t>4008670220083</t>
  </si>
  <si>
    <t>4009750206072</t>
  </si>
  <si>
    <t>3259190272590</t>
  </si>
  <si>
    <t>4250148701888</t>
  </si>
  <si>
    <t>7321923221192</t>
  </si>
  <si>
    <t>4020974155823</t>
  </si>
  <si>
    <t>The Glow der Schein trügt</t>
  </si>
  <si>
    <t>The Majestic: Wie entflieht man einer Vergangenheit, an die man sich nicht erinnert?</t>
  </si>
  <si>
    <t>Zorro</t>
  </si>
  <si>
    <t>Schlappschuss 2 - Die Eisbrecher</t>
  </si>
  <si>
    <t>Eye of the beast: Das Auge der Bestie</t>
  </si>
  <si>
    <t>Anastasia</t>
  </si>
  <si>
    <t>Little Bee: Der große Bienenfilm</t>
  </si>
  <si>
    <t>Sindbad: Sieben auf einen Streich</t>
  </si>
  <si>
    <t>englisch, deutsch, spanisch</t>
  </si>
  <si>
    <t>deutsch, englisch, französisch</t>
  </si>
  <si>
    <t>Meditation &amp; Relaxation</t>
  </si>
  <si>
    <t>CD</t>
  </si>
  <si>
    <t>4017507017741</t>
  </si>
  <si>
    <t>Dance und Techni 1</t>
  </si>
  <si>
    <t>Dune Hardcore Vibes</t>
  </si>
  <si>
    <t>042285135527</t>
  </si>
  <si>
    <t>Maruscha</t>
  </si>
  <si>
    <t>Deep</t>
  </si>
  <si>
    <t>731457945520</t>
  </si>
  <si>
    <t>Mark'Oh</t>
  </si>
  <si>
    <t>never stop that feeling</t>
  </si>
  <si>
    <t>731452712721</t>
  </si>
  <si>
    <t>B.B.E.</t>
  </si>
  <si>
    <t>seven days and one week</t>
  </si>
  <si>
    <t>731457536728</t>
  </si>
  <si>
    <t>Ugly Kid Joe</t>
  </si>
  <si>
    <t>Cats in the cradle</t>
  </si>
  <si>
    <t>2.3</t>
  </si>
  <si>
    <t>042286491929</t>
  </si>
  <si>
    <t>gold</t>
  </si>
  <si>
    <t>5099750170625</t>
  </si>
  <si>
    <t>Phil Collins</t>
  </si>
  <si>
    <t>Tarzan</t>
  </si>
  <si>
    <t>Hülle ist gebrochen</t>
  </si>
  <si>
    <t>4029758932506</t>
  </si>
  <si>
    <t>Body Count</t>
  </si>
  <si>
    <t>Born dead</t>
  </si>
  <si>
    <t>Was ist Was: Fußball</t>
  </si>
  <si>
    <t>Tessloff</t>
  </si>
  <si>
    <t>Hörbuch</t>
  </si>
  <si>
    <t>HB0001</t>
  </si>
  <si>
    <t>HB0002</t>
  </si>
  <si>
    <t>Péter Gárdos</t>
  </si>
  <si>
    <t>Fieber am Morgen</t>
  </si>
  <si>
    <t>Axel Wostry</t>
  </si>
  <si>
    <t>Hoffman und Campe</t>
  </si>
  <si>
    <t>CD0001</t>
  </si>
  <si>
    <t>CD0002</t>
  </si>
  <si>
    <t>CD0003</t>
  </si>
  <si>
    <t>CD0004</t>
  </si>
  <si>
    <t>CD0005</t>
  </si>
  <si>
    <t>CD0006</t>
  </si>
  <si>
    <t>CD0007</t>
  </si>
  <si>
    <t>CD0008</t>
  </si>
  <si>
    <t>CD0009</t>
  </si>
  <si>
    <t>Lauras Stern: und der geheimnisvolle Drache Nian</t>
  </si>
  <si>
    <t>deutsch, schweizer Mundart</t>
  </si>
  <si>
    <t>5051890010827</t>
  </si>
  <si>
    <t>28 Days later: Deine Tage sind gezählt</t>
  </si>
  <si>
    <t>Danny Boyle</t>
  </si>
  <si>
    <t>4010232024350</t>
  </si>
  <si>
    <t>Marios Barth: Männer sind primitiv, aber glücklich</t>
  </si>
  <si>
    <t>886971510997</t>
  </si>
  <si>
    <t>From Dusk till dawn</t>
  </si>
  <si>
    <t>Safe: Todsicher</t>
  </si>
  <si>
    <t>Pulp Fiction</t>
  </si>
  <si>
    <t>2012 wir waren gewarnt</t>
  </si>
  <si>
    <t>sieben</t>
  </si>
  <si>
    <t>Blade</t>
  </si>
  <si>
    <t>Matrix</t>
  </si>
  <si>
    <t>anti stress yoga</t>
  </si>
  <si>
    <t>Blue-Ray</t>
  </si>
  <si>
    <t>deutsch, englisch, türkisch</t>
  </si>
  <si>
    <t>743216940998</t>
  </si>
  <si>
    <t>4010324038333</t>
  </si>
  <si>
    <t>743215564829</t>
  </si>
  <si>
    <t>4030521724600</t>
  </si>
  <si>
    <t>4012050420383</t>
  </si>
  <si>
    <t>743216941094</t>
  </si>
  <si>
    <t>7321921177378</t>
  </si>
  <si>
    <t>090204785780</t>
  </si>
  <si>
    <t>Apassionata Grand Voyage</t>
  </si>
  <si>
    <t>Der Einsatz</t>
  </si>
  <si>
    <t>Die Monster AG</t>
  </si>
  <si>
    <t>The Adventures of Sherlock Holmes</t>
  </si>
  <si>
    <t>The Karate Kid collection</t>
  </si>
  <si>
    <t>Komm mit ins Lillebi-Land</t>
  </si>
  <si>
    <t>Shaun das Schaf: Abspecken mit Shaun</t>
  </si>
  <si>
    <t>englisch, französisch, deutsch</t>
  </si>
  <si>
    <t xml:space="preserve">englisch </t>
  </si>
  <si>
    <t>4029758886007</t>
  </si>
  <si>
    <t>828766144291</t>
  </si>
  <si>
    <t>4011846009146</t>
  </si>
  <si>
    <t>617742105490</t>
  </si>
  <si>
    <t>8712609667530</t>
  </si>
  <si>
    <t>4010324026255</t>
  </si>
  <si>
    <t>DVD0051</t>
  </si>
  <si>
    <t>Fohlen: Gib einem Pferd was es braucht, uns es wird dir sein herz schenken</t>
  </si>
  <si>
    <t>Marvi Hämmer: Folge 1-4</t>
  </si>
  <si>
    <t>Marvi Hämmer: Folge 5-8</t>
  </si>
  <si>
    <t>Marvi Hämmer: Folge 9-12</t>
  </si>
  <si>
    <t>Lernen mit Sweety: Westernreiten Basics</t>
  </si>
  <si>
    <t>gemalte Märchen: Meine liebsten Märchenfiguren male ich jetzt selbst</t>
  </si>
  <si>
    <t>Die Arche Noah</t>
  </si>
  <si>
    <t>Lauras Stern: 4 gute Nacht Geschichten</t>
  </si>
  <si>
    <t>Mein Pferd Amika: Merel kämpft sich durch: Folge 3 und 4</t>
  </si>
  <si>
    <t>Heartland Staffel 1 Folge 1</t>
  </si>
  <si>
    <t>deutsch, schweizer mundart</t>
  </si>
  <si>
    <t>deutsch und englisch</t>
  </si>
  <si>
    <t>deutsch mit englisch</t>
  </si>
  <si>
    <t>4006408948407</t>
  </si>
  <si>
    <t>4260057812605</t>
  </si>
  <si>
    <t>7321921981586</t>
  </si>
  <si>
    <t>HB0003</t>
  </si>
  <si>
    <t>DVD0052</t>
  </si>
  <si>
    <t>DVD0053</t>
  </si>
  <si>
    <t>DVD0054</t>
  </si>
  <si>
    <t>DVD0055</t>
  </si>
  <si>
    <t>DVD0056</t>
  </si>
  <si>
    <t>DVD0057</t>
  </si>
  <si>
    <t>DVD0058</t>
  </si>
  <si>
    <t>DVD0059</t>
  </si>
  <si>
    <t>DVD0060</t>
  </si>
  <si>
    <t>DVD0061</t>
  </si>
  <si>
    <t>BN0002</t>
  </si>
  <si>
    <t>BN0659</t>
  </si>
  <si>
    <t>BN0035</t>
  </si>
  <si>
    <t>BN0675</t>
  </si>
  <si>
    <t>BN0067</t>
  </si>
  <si>
    <t>Leo Perutz</t>
  </si>
  <si>
    <t>Nachts unter der steinernen Brücke</t>
  </si>
  <si>
    <t>persönliche Widmung erste Seite</t>
  </si>
  <si>
    <t>9783423130257</t>
  </si>
  <si>
    <t>1,90</t>
  </si>
  <si>
    <t>Das Meer der Lügen</t>
  </si>
  <si>
    <t>9783442370238</t>
  </si>
  <si>
    <t>Everett Helm</t>
  </si>
  <si>
    <t>Liszt</t>
  </si>
  <si>
    <t>rororo</t>
  </si>
  <si>
    <t>3499501856</t>
  </si>
  <si>
    <t>Kyoko Kumagai</t>
  </si>
  <si>
    <t>Mijako Auf den Schwingen der Zeit</t>
  </si>
  <si>
    <t>Tokyopop</t>
  </si>
  <si>
    <t>9783842023208</t>
  </si>
  <si>
    <t>Dietmar Bittrich</t>
  </si>
  <si>
    <t>Opa kriegt nichts mehr zu trinken</t>
  </si>
  <si>
    <t>9783499629099</t>
  </si>
  <si>
    <t>Bernhard Schlink</t>
  </si>
  <si>
    <t>Liebesfluchten</t>
  </si>
  <si>
    <t>32573232993</t>
  </si>
  <si>
    <t>Konsalik</t>
  </si>
  <si>
    <t>Der Dschunkendoktor</t>
  </si>
  <si>
    <t>3453017722</t>
  </si>
  <si>
    <t>Anton Gill</t>
  </si>
  <si>
    <t>Tod am Nil</t>
  </si>
  <si>
    <t>3828967760</t>
  </si>
  <si>
    <t>Ludwig Ganghofer</t>
  </si>
  <si>
    <t>Jäger von Fall</t>
  </si>
  <si>
    <t>Namenseintrag auf 1. Seite</t>
  </si>
  <si>
    <t>Tehmina Durrani</t>
  </si>
  <si>
    <t>Mein Herr und Gebieter</t>
  </si>
  <si>
    <t>9783404124152</t>
  </si>
  <si>
    <t>Bernhard Hülsebusch</t>
  </si>
  <si>
    <t>Johannes Paul II. Lebensbilder</t>
  </si>
  <si>
    <t>9783746218625</t>
  </si>
  <si>
    <t>2,20</t>
  </si>
  <si>
    <t>Christiane Kerschek</t>
  </si>
  <si>
    <t>Schilddrüsenerkrankungen erfolgreich behandeln</t>
  </si>
  <si>
    <t>9783310002827</t>
  </si>
  <si>
    <t>Gudrun Pausewang</t>
  </si>
  <si>
    <t>Wiedersehen mit Anna</t>
  </si>
  <si>
    <t>Quell</t>
  </si>
  <si>
    <t>3791817183</t>
  </si>
  <si>
    <t>Der Gast des Kalifen</t>
  </si>
  <si>
    <t>9783404150571</t>
  </si>
  <si>
    <t>Der Medicus</t>
  </si>
  <si>
    <t>3426029553</t>
  </si>
  <si>
    <t>Sarah Bilston</t>
  </si>
  <si>
    <t>Die Sofaprinzessin</t>
  </si>
  <si>
    <t>9783868004830</t>
  </si>
  <si>
    <t>Ein unmoralisches Sonderangebot</t>
  </si>
  <si>
    <t>Joanne Fedler</t>
  </si>
  <si>
    <t>Weiberabend</t>
  </si>
  <si>
    <t>9783868006421</t>
  </si>
  <si>
    <t>Kim Fisher</t>
  </si>
  <si>
    <t>90 Tage auf Bewährung</t>
  </si>
  <si>
    <t>Tschenbuch</t>
  </si>
  <si>
    <t>9783442154647</t>
  </si>
  <si>
    <t>Jilliane Hoffman</t>
  </si>
  <si>
    <t>Argus</t>
  </si>
  <si>
    <t>Wunderlich</t>
  </si>
  <si>
    <t>9783805208932</t>
  </si>
  <si>
    <t>Rasche ist tödlich</t>
  </si>
  <si>
    <t>9783785567609</t>
  </si>
  <si>
    <t>Das schwarze Manifest</t>
  </si>
  <si>
    <t>9783442440801</t>
  </si>
  <si>
    <t>Jennfer Chapman</t>
  </si>
  <si>
    <t>Jeremys Baby</t>
  </si>
  <si>
    <t>Mängelexemplar</t>
  </si>
  <si>
    <t>9783502519409</t>
  </si>
  <si>
    <t>Club Premiere</t>
  </si>
  <si>
    <t>Kerstin Höckel</t>
  </si>
  <si>
    <t>Wie wir damals auf dem Bauernhof geheiratet haben</t>
  </si>
  <si>
    <t>9783596190324</t>
  </si>
  <si>
    <t>Jude Deveraux</t>
  </si>
  <si>
    <t>Wilde Orchideen</t>
  </si>
  <si>
    <t>9783898977944</t>
  </si>
  <si>
    <t>Arno Makowsky</t>
  </si>
  <si>
    <t>Hausmann mit Tochter</t>
  </si>
  <si>
    <t>9783492222792</t>
  </si>
  <si>
    <t>Die Tore der Welt</t>
  </si>
  <si>
    <t>9783828989351</t>
  </si>
  <si>
    <t>Der Anwalt</t>
  </si>
  <si>
    <t>9783453435377</t>
  </si>
  <si>
    <t>Noreen Riols</t>
  </si>
  <si>
    <t xml:space="preserve">Manchmal wünschte ich mir Flügel </t>
  </si>
  <si>
    <t>3765539449</t>
  </si>
  <si>
    <t>Rebecca Gable</t>
  </si>
  <si>
    <t>Die fremde Königin</t>
  </si>
  <si>
    <t>9783431039771</t>
  </si>
  <si>
    <t>Die unsichtbare Pyramide</t>
  </si>
  <si>
    <t>9783522175944</t>
  </si>
  <si>
    <t>Das Verhängnis</t>
  </si>
  <si>
    <t>9783442312054</t>
  </si>
  <si>
    <t>Blasmusikpop</t>
  </si>
  <si>
    <t>Kiwi</t>
  </si>
  <si>
    <t>Lorraine Campbell</t>
  </si>
  <si>
    <t>Wer Schwestern hat, braucht keine Feine</t>
  </si>
  <si>
    <t>9783442371075</t>
  </si>
  <si>
    <t>Das Paulus Evangelium</t>
  </si>
  <si>
    <t>9783548266190</t>
  </si>
  <si>
    <t>Die schönsten Vornamen und ihre Herkunft</t>
  </si>
  <si>
    <t>9783811222663</t>
  </si>
  <si>
    <t>Philip Pullman</t>
  </si>
  <si>
    <t>Der goldene Kompass</t>
  </si>
  <si>
    <t>9783453137448</t>
  </si>
  <si>
    <t>Kai Meyer</t>
  </si>
  <si>
    <t>Arkadien erwacht</t>
  </si>
  <si>
    <t>9783551311474</t>
  </si>
  <si>
    <t>Jaques und Johanna Vasseur</t>
  </si>
  <si>
    <t>Goldmanns großes Vornemenbuch</t>
  </si>
  <si>
    <t>9783442108725</t>
  </si>
  <si>
    <t>P.C. Cast und Kristin Cast</t>
  </si>
  <si>
    <t>House of Night Gezeichnet</t>
  </si>
  <si>
    <t>FJB</t>
  </si>
  <si>
    <t>9783596860036</t>
  </si>
  <si>
    <t>House of Night Betrogen</t>
  </si>
  <si>
    <t>9783841420022</t>
  </si>
  <si>
    <t>House of Night Erwählt</t>
  </si>
  <si>
    <t>9783841420039</t>
  </si>
  <si>
    <t>House of Night Ungezähmt</t>
  </si>
  <si>
    <t>9783841420046</t>
  </si>
  <si>
    <t>House of Night Gejagt</t>
  </si>
  <si>
    <t>9783841420053</t>
  </si>
  <si>
    <t>House of Night Versucht</t>
  </si>
  <si>
    <t>9783841420060</t>
  </si>
  <si>
    <t>House of Night Verbrannt</t>
  </si>
  <si>
    <t>9783841420077</t>
  </si>
  <si>
    <t>House of Night Bestimmt</t>
  </si>
  <si>
    <t>9783841420091</t>
  </si>
  <si>
    <t>Leopold von Ranke</t>
  </si>
  <si>
    <t>Deutsche Geschichte im Zeitalter der Reformation</t>
  </si>
  <si>
    <t>Emil Vollmer Verlag</t>
  </si>
  <si>
    <t>3888512077</t>
  </si>
  <si>
    <t>Georg-Volkmar Graf Zedtwitz-Arnim</t>
  </si>
  <si>
    <t>Tu Gutes und rede darüber</t>
  </si>
  <si>
    <t>DIV</t>
  </si>
  <si>
    <t>3880543097</t>
  </si>
  <si>
    <t>Bernhard Schlink und Walter Popp</t>
  </si>
  <si>
    <t>Selbsjustiz</t>
  </si>
  <si>
    <t>9783257215434</t>
  </si>
  <si>
    <t>Caroline und Van Huy Ta</t>
  </si>
  <si>
    <t>Manga zeichnen für Einsteiger</t>
  </si>
  <si>
    <t>Tandem-Verlag</t>
  </si>
  <si>
    <t>9783833193743</t>
  </si>
  <si>
    <t>Schokokuchen und mehr</t>
  </si>
  <si>
    <t>9783517087573</t>
  </si>
  <si>
    <t>Biss zum Morgengrauen</t>
  </si>
  <si>
    <t>9783551356901</t>
  </si>
  <si>
    <t>Wie ein Stein im Geröll</t>
  </si>
  <si>
    <t>9783887472214</t>
  </si>
  <si>
    <t>BN1860</t>
  </si>
  <si>
    <t>Christine Kaufmann</t>
  </si>
  <si>
    <t>Mein Doppelleben und ich</t>
  </si>
  <si>
    <t>9783404616046</t>
  </si>
  <si>
    <t>BN1861</t>
  </si>
  <si>
    <t>Batya Gur</t>
  </si>
  <si>
    <t>Am Anfang war das Wort</t>
  </si>
  <si>
    <t>1 Markierung mit Kugelschreiber im Einband</t>
  </si>
  <si>
    <t>9783442436002</t>
  </si>
  <si>
    <t>BN1862</t>
  </si>
  <si>
    <t>9783596156160</t>
  </si>
  <si>
    <t>BN1863</t>
  </si>
  <si>
    <t>Esther Friesner</t>
  </si>
  <si>
    <t>Druidenblut</t>
  </si>
  <si>
    <t>9783404203901</t>
  </si>
  <si>
    <t>Sam Savage</t>
  </si>
  <si>
    <t>Firmin Ein Rattenleben</t>
  </si>
  <si>
    <t>List</t>
  </si>
  <si>
    <t>9783548609218</t>
  </si>
  <si>
    <t>Cally Taylor</t>
  </si>
  <si>
    <t>Himmelsküsse</t>
  </si>
  <si>
    <t>Preisreduziertes Mängelexemplar</t>
  </si>
  <si>
    <t>9783442472338</t>
  </si>
  <si>
    <t>Dagmar Chidolue</t>
  </si>
  <si>
    <t>3 Romane</t>
  </si>
  <si>
    <t>Beltz &amp; Gelberg</t>
  </si>
  <si>
    <t>9783407796585</t>
  </si>
  <si>
    <t>Sturmzeit</t>
  </si>
  <si>
    <t>Boulevard</t>
  </si>
  <si>
    <t>Val Corbett Joyce Hopkirk Eve Pollard</t>
  </si>
  <si>
    <t>Drei Frauen ein Skandal</t>
  </si>
  <si>
    <t>9783499223242</t>
  </si>
  <si>
    <t>Elegance</t>
  </si>
  <si>
    <t>Namensstempel und Widmung im Einband</t>
  </si>
  <si>
    <t>9783442463695</t>
  </si>
  <si>
    <t>Libby Street</t>
  </si>
  <si>
    <t>Die Fettnäpfchenexpertin</t>
  </si>
  <si>
    <t>9783499243240</t>
  </si>
  <si>
    <t>Josh McDowell Ed Stewart</t>
  </si>
  <si>
    <t>Zwischenmenschliche Konflikte</t>
  </si>
  <si>
    <t>Christliche Verlagsgesellschaft</t>
  </si>
  <si>
    <t>9783894366728</t>
  </si>
  <si>
    <t>9783746625454</t>
  </si>
  <si>
    <t>Familienpackung</t>
  </si>
  <si>
    <t>381056648</t>
  </si>
  <si>
    <t>Chitra Banerjee Divakaruni</t>
  </si>
  <si>
    <t>Der Duft der Mangoblüten</t>
  </si>
  <si>
    <t>9783453160477</t>
  </si>
  <si>
    <t>26.</t>
  </si>
  <si>
    <t>Christoph Bermann</t>
  </si>
  <si>
    <t>Fast alles über Fussball</t>
  </si>
  <si>
    <t>9783462036398</t>
  </si>
  <si>
    <t>Laura Gambrinus</t>
  </si>
  <si>
    <t>Tausend Rosen</t>
  </si>
  <si>
    <t>Editonnova</t>
  </si>
  <si>
    <t>4061458105958</t>
  </si>
  <si>
    <t>Wendy Band 4: Der Ritt am Meer</t>
  </si>
  <si>
    <t>9783505116469</t>
  </si>
  <si>
    <t>Die Liste</t>
  </si>
  <si>
    <t>9783453430983</t>
  </si>
  <si>
    <t>Monty Roberts</t>
  </si>
  <si>
    <t>Das Wissen der Pferde und was wir Menschen von Ihnen lernen können</t>
  </si>
  <si>
    <t>3785709919</t>
  </si>
  <si>
    <t>Scott O'Dell</t>
  </si>
  <si>
    <t>Vor dem Richter des Königs</t>
  </si>
  <si>
    <t>Friedrich Oettinger</t>
  </si>
  <si>
    <t>378911555X</t>
  </si>
  <si>
    <t>Dead Zone Das Attentat</t>
  </si>
  <si>
    <t>9783453007048</t>
  </si>
  <si>
    <t xml:space="preserve">Kommissar Kugelblitz: Die rote Socke </t>
  </si>
  <si>
    <t>mit Geheimfolie</t>
  </si>
  <si>
    <t>9783505082337</t>
  </si>
  <si>
    <t>Kathryn Borel</t>
  </si>
  <si>
    <t>Papa, der Wein korkt</t>
  </si>
  <si>
    <t>9783548282114</t>
  </si>
  <si>
    <t>Wendy Morgan</t>
  </si>
  <si>
    <t>Von schwarzem Hezen</t>
  </si>
  <si>
    <t>9783868005691</t>
  </si>
  <si>
    <t>Ana Veloso</t>
  </si>
  <si>
    <t>Der Duft der Kaffeeblüte</t>
  </si>
  <si>
    <t>9783426635094</t>
  </si>
  <si>
    <t>Heino</t>
  </si>
  <si>
    <t>Heino: Mein Weg</t>
  </si>
  <si>
    <t>9783785725320</t>
  </si>
  <si>
    <t>Claudia Thesenfitz</t>
  </si>
  <si>
    <t>mit James auf Sylt</t>
  </si>
  <si>
    <t>9783548291437</t>
  </si>
  <si>
    <t>Brigitte Glaser</t>
  </si>
  <si>
    <t>Bühlerhöhe</t>
  </si>
  <si>
    <t>9783548289823</t>
  </si>
  <si>
    <t>Wolfgang de Haen</t>
  </si>
  <si>
    <t>Wie kleine Tiere groß werden</t>
  </si>
  <si>
    <t>3473301752</t>
  </si>
  <si>
    <t>Gina Ruck-Pauquét / Hartmut Bieber</t>
  </si>
  <si>
    <t>Der kleine König</t>
  </si>
  <si>
    <t>Coppenrath</t>
  </si>
  <si>
    <t>9783815718155</t>
  </si>
  <si>
    <t>Lulu Frost Fran Brylewska &amp; Lorna Brown</t>
  </si>
  <si>
    <t>Die rosa Prinzessin</t>
  </si>
  <si>
    <t>ohne Prinzessinnenkette</t>
  </si>
  <si>
    <t>9781445498881</t>
  </si>
  <si>
    <t>Franziska van Almsick</t>
  </si>
  <si>
    <t>Paul Plantschnase am Meer</t>
  </si>
  <si>
    <t>9783451709203</t>
  </si>
  <si>
    <t>Jillian Harker / June Goulding</t>
  </si>
  <si>
    <t>Nimm mich in den Arm!</t>
  </si>
  <si>
    <t>9781405454377</t>
  </si>
  <si>
    <t>Claudia Bartz / Anna Kosanova</t>
  </si>
  <si>
    <t>Die schönsten Tiergeschichten Band 2</t>
  </si>
  <si>
    <t>Pestalozzi</t>
  </si>
  <si>
    <t>9783614486026</t>
  </si>
  <si>
    <t>Sandmanngeschichten</t>
  </si>
  <si>
    <t>9783896000101</t>
  </si>
  <si>
    <t>Andrea Camilleri</t>
  </si>
  <si>
    <t>Der Hund aus Terracotta: Comissario Montalbano Löst Seinen zweiten Fall</t>
  </si>
  <si>
    <t>9783404920655</t>
  </si>
  <si>
    <t>Danielle Steel</t>
  </si>
  <si>
    <t>Der Kuss</t>
  </si>
  <si>
    <t>9783453870109</t>
  </si>
  <si>
    <t>Flora alles für die Gartenpraxis: Naturkalender für den Garten</t>
  </si>
  <si>
    <t>Neuer Pawlak</t>
  </si>
  <si>
    <t>9783861461845</t>
  </si>
  <si>
    <t>Bilaem und der weise Esel</t>
  </si>
  <si>
    <t>Egmont Horizont</t>
  </si>
  <si>
    <t>Mario Covi</t>
  </si>
  <si>
    <t>Olli Hoppel wird ein Osterhase</t>
  </si>
  <si>
    <t>favorit</t>
  </si>
  <si>
    <t>9783822770818</t>
  </si>
  <si>
    <t>3570024253</t>
  </si>
  <si>
    <t>Sakrileg</t>
  </si>
  <si>
    <t>3785721528</t>
  </si>
  <si>
    <t>Hannibal Rising</t>
  </si>
  <si>
    <t>Hoffmann und Campe</t>
  </si>
  <si>
    <t>9783455400502</t>
  </si>
  <si>
    <t>Wolfgang Krüger</t>
  </si>
  <si>
    <t>Luise Rinser</t>
  </si>
  <si>
    <t>Den Wolf umarmen</t>
  </si>
  <si>
    <t>3763227016</t>
  </si>
  <si>
    <t>Die Firma</t>
  </si>
  <si>
    <t>9783453071179</t>
  </si>
  <si>
    <t>Timothy Findley</t>
  </si>
  <si>
    <t>Der Krieg und die Kröte</t>
  </si>
  <si>
    <t>R. Piper &amp; Co.</t>
  </si>
  <si>
    <t>3492023711</t>
  </si>
  <si>
    <t>Michelle de Kretser</t>
  </si>
  <si>
    <t>Die Rosenzüchterin von Montsignac</t>
  </si>
  <si>
    <t>- Mängelexemplar -</t>
  </si>
  <si>
    <t>9783404149025</t>
  </si>
  <si>
    <t>Anna Todd</t>
  </si>
  <si>
    <t>After truth</t>
  </si>
  <si>
    <t>16.</t>
  </si>
  <si>
    <t>9783453491175</t>
  </si>
  <si>
    <t>Hermann Alves</t>
  </si>
  <si>
    <t>Populär wie keiner - unbekannt wie selten einer: Wilhelm Busch - der populärste deutsche Humorist, wie ihn nur wenige kennen</t>
  </si>
  <si>
    <t>Spener</t>
  </si>
  <si>
    <t>9783930206599</t>
  </si>
  <si>
    <t>Anneliese und Gerhart Eckert</t>
  </si>
  <si>
    <t>Brot backen</t>
  </si>
  <si>
    <t>9783809404347</t>
  </si>
  <si>
    <t>Elizabeth Haran</t>
  </si>
  <si>
    <t>Am Fluss  des Schicksals</t>
  </si>
  <si>
    <t>9783404153077</t>
  </si>
  <si>
    <t>A.E. Johann</t>
  </si>
  <si>
    <t>Die Wildnis aber schweigt</t>
  </si>
  <si>
    <t>9783828906129</t>
  </si>
  <si>
    <t>Duderstadt: Vermächtnis vergangener Jahrhunderte</t>
  </si>
  <si>
    <t>3923453280</t>
  </si>
  <si>
    <t>Die Darkover-Romane Band 6: Die zerbrochene Kette</t>
  </si>
  <si>
    <t>4026411105147</t>
  </si>
  <si>
    <t>Die Darkover-Romane 5: Die Erben von Hammerfell</t>
  </si>
  <si>
    <t>4026411104928</t>
  </si>
  <si>
    <t>Richard Montanari</t>
  </si>
  <si>
    <t>Crucifix</t>
  </si>
  <si>
    <t>9783404155545</t>
  </si>
  <si>
    <t>Thommie Bayer</t>
  </si>
  <si>
    <t>Die frohe Botschaft abgestaubt</t>
  </si>
  <si>
    <t>9783492240673</t>
  </si>
  <si>
    <t>Nostradamus und andere bedeutende Seher der Welt: Das große Buch der Prophezeihungen für das nächste Jahrtausend</t>
  </si>
  <si>
    <t>9783809401803</t>
  </si>
  <si>
    <t>Herbert L. König</t>
  </si>
  <si>
    <t>Erdstrahlen und Magnetismus: Ihre Wirkung für Wohlbefinden und Gesundheit</t>
  </si>
  <si>
    <t>3891640587</t>
  </si>
  <si>
    <t>Krystyna Kuhn</t>
  </si>
  <si>
    <t>Bittersüßes oder Saures</t>
  </si>
  <si>
    <t>9783401063874</t>
  </si>
  <si>
    <t>Venezianisches Finale: Commissario Brunettis erster Fall</t>
  </si>
  <si>
    <t>9783257227802</t>
  </si>
  <si>
    <t>Robert A. Heinlein</t>
  </si>
  <si>
    <t>Ein Mann in einer fremden Welt</t>
  </si>
  <si>
    <t>3870702524</t>
  </si>
  <si>
    <t>Wie neugeboren durch fasten</t>
  </si>
  <si>
    <t>9783774214620</t>
  </si>
  <si>
    <t>Irmtraud Tarr Krüger</t>
  </si>
  <si>
    <t>vom leichten Glück der einfachen Dinge: Kleine Freuden - große Wirkung</t>
  </si>
  <si>
    <t>9783451049118</t>
  </si>
  <si>
    <t>Das geheimnis der Queenie Hennessy: Der nie abgeschickte Brief an Harold Fry</t>
  </si>
  <si>
    <t>9783596030699</t>
  </si>
  <si>
    <t>One fifth Avenue</t>
  </si>
  <si>
    <t>9783492258715</t>
  </si>
  <si>
    <t>Harald Dietl</t>
  </si>
  <si>
    <t>Treibgut</t>
  </si>
  <si>
    <t>Hestia</t>
  </si>
  <si>
    <t>3777004219</t>
  </si>
  <si>
    <t>Dorothea Unbehend</t>
  </si>
  <si>
    <t>Tödliche Ladung</t>
  </si>
  <si>
    <t>Oncken</t>
  </si>
  <si>
    <t>9783789375484</t>
  </si>
  <si>
    <t>Ernst Meckelburg</t>
  </si>
  <si>
    <t>Transwelt: Erfahrungen jenseits von Raum und Zeit</t>
  </si>
  <si>
    <t>3893505318</t>
  </si>
  <si>
    <t>Michael Grant und Katherine Applegate</t>
  </si>
  <si>
    <t>Eve &amp; Adam</t>
  </si>
  <si>
    <t>9783473401048</t>
  </si>
  <si>
    <t>Barilla</t>
  </si>
  <si>
    <t>Barilla: Pasta Party 50 köstliche Rezepte aus Italien</t>
  </si>
  <si>
    <t>Jacoby Stuart</t>
  </si>
  <si>
    <t>9783941087408</t>
  </si>
  <si>
    <t>James Blish</t>
  </si>
  <si>
    <t>Auch sie sind Menschen…</t>
  </si>
  <si>
    <t>Das muss ich wissen! Das große Buch der Allgemeinbildung</t>
  </si>
  <si>
    <t>9783453197121</t>
  </si>
  <si>
    <t>John Banville</t>
  </si>
  <si>
    <t>Die See</t>
  </si>
  <si>
    <t>9783763257980</t>
  </si>
  <si>
    <t>Steve Martin</t>
  </si>
  <si>
    <t>Shopgirl</t>
  </si>
  <si>
    <t>Manhatten</t>
  </si>
  <si>
    <t>9783442545247</t>
  </si>
  <si>
    <t>Edgar Wallace</t>
  </si>
  <si>
    <t>Überfallkommando</t>
  </si>
  <si>
    <t>9783442000753</t>
  </si>
  <si>
    <t>Knaurs neuer Knigge: Sicheres Auftreten, Stilvolles Benehmen, Sympathisches Äußeres</t>
  </si>
  <si>
    <t>9783426664339</t>
  </si>
  <si>
    <t>Uwe Karstädt</t>
  </si>
  <si>
    <t>entgiften statt vergiften</t>
  </si>
  <si>
    <t>TAS</t>
  </si>
  <si>
    <t>Herzen in Aufruhr</t>
  </si>
  <si>
    <t>9783704312235</t>
  </si>
  <si>
    <t>Theodor Fontane</t>
  </si>
  <si>
    <t>Irrungen, Wirrungen / Stine / Effi Briest / Der Stechlin</t>
  </si>
  <si>
    <t>Parkland</t>
  </si>
  <si>
    <t>3-88059-225-X</t>
  </si>
  <si>
    <t>Eugen Drewermann</t>
  </si>
  <si>
    <t>Wort des Heils Wort der Heilung: Von der befreienden Kraft des Glaubens Band 3</t>
  </si>
  <si>
    <t>Patmos</t>
  </si>
  <si>
    <t>3-491-77777-1</t>
  </si>
  <si>
    <t>Thomas Schleiff</t>
  </si>
  <si>
    <t>Der Vogel mit dem Doktorhut: vergnügt-besinnliche Tiergedichte</t>
  </si>
  <si>
    <t>Vandenhoeck &amp; Ruprecht</t>
  </si>
  <si>
    <t>3-525-01806-1</t>
  </si>
  <si>
    <t>Arnaldur Indridason</t>
  </si>
  <si>
    <t>Todeshauch</t>
  </si>
  <si>
    <t>Adam Creed</t>
  </si>
  <si>
    <t>Und das Fleisch ist schwach</t>
  </si>
  <si>
    <t>9783596183418</t>
  </si>
  <si>
    <t>Stratis Karamanolis</t>
  </si>
  <si>
    <t>Albert Einstein für Anfänger</t>
  </si>
  <si>
    <t>Karamanolis</t>
  </si>
  <si>
    <t>3-922238-35-1</t>
  </si>
  <si>
    <t>Gletschergrab</t>
  </si>
  <si>
    <t>Das neue Katzen Album</t>
  </si>
  <si>
    <t>9783895619526</t>
  </si>
  <si>
    <t>Der Verehrer</t>
  </si>
  <si>
    <t>Franziska Becker</t>
  </si>
  <si>
    <t>Männer Cartoons</t>
  </si>
  <si>
    <t>3-922670-07-5</t>
  </si>
  <si>
    <t>Paul Watzlawick</t>
  </si>
  <si>
    <t>Die erfundene Wirklichkeit: Wie wissen wir, was wir zu wissen glauben? Beiträge zum Konstruktivismus</t>
  </si>
  <si>
    <t>9783492103732</t>
  </si>
  <si>
    <t>Das Schweigen der Männer</t>
  </si>
  <si>
    <t>9783462026597</t>
  </si>
  <si>
    <t>Ewig dein, Ewig mein, ewig uns: Liebeserklärungen für alle Tage</t>
  </si>
  <si>
    <t>3-453-42117-5</t>
  </si>
  <si>
    <t>Franz Rottensteiner</t>
  </si>
  <si>
    <t>Gespenstergeschichten aus der Südsee</t>
  </si>
  <si>
    <t>3-596-22842-5</t>
  </si>
  <si>
    <t>Doris Lerche</t>
  </si>
  <si>
    <t>Du streichelst mich nie!</t>
  </si>
  <si>
    <t>3-596-28219-5</t>
  </si>
  <si>
    <t>Homöopathie: Naturmedizin für jedermann</t>
  </si>
  <si>
    <t>9783811211261</t>
  </si>
  <si>
    <t>Bill Guggenheim / Judy Guggenheim</t>
  </si>
  <si>
    <t>Trost aus dem Jenseits</t>
  </si>
  <si>
    <t>9783502192879</t>
  </si>
  <si>
    <t>Katharina Hacker</t>
  </si>
  <si>
    <t>Die Habenichtse</t>
  </si>
  <si>
    <t>9783518417393</t>
  </si>
  <si>
    <t>Stephanie Conybeare</t>
  </si>
  <si>
    <t>Im Rausch der Tiefe</t>
  </si>
  <si>
    <t>Ehrenwirth</t>
  </si>
  <si>
    <t>3-431-03140-4</t>
  </si>
  <si>
    <t>Reporter</t>
  </si>
  <si>
    <t>3-625-20377-4</t>
  </si>
  <si>
    <t>Adrian Baar</t>
  </si>
  <si>
    <t>Gruselgeschichten aus dem Orient</t>
  </si>
  <si>
    <t>3-596-22024-6</t>
  </si>
  <si>
    <t>Richard Bach</t>
  </si>
  <si>
    <t>Die Möwe Jonathan</t>
  </si>
  <si>
    <t>personalisiert</t>
  </si>
  <si>
    <t>9783548208978</t>
  </si>
  <si>
    <t>Gerald Green</t>
  </si>
  <si>
    <t>Holocaust: Die endlösung</t>
  </si>
  <si>
    <t>3-453-01185-6</t>
  </si>
  <si>
    <t>Jakob Coudenhove</t>
  </si>
  <si>
    <t>Shlüssel zum Idealgewicht: Ein neus Leben</t>
  </si>
  <si>
    <t>3-426-87065-7</t>
  </si>
  <si>
    <t>Renan Demirkan</t>
  </si>
  <si>
    <t>Schwarzer Tee mit drei Stück Zucker</t>
  </si>
  <si>
    <t>9783442413096</t>
  </si>
  <si>
    <t>Martine Carton</t>
  </si>
  <si>
    <t>Etwas besseres als einen Ehemann findest du allemal</t>
  </si>
  <si>
    <t>9783596247189</t>
  </si>
  <si>
    <t>Latein - Deutsch</t>
  </si>
  <si>
    <t>9783817467624</t>
  </si>
  <si>
    <t>Wechselspiel der Liebe</t>
  </si>
  <si>
    <t>Bertelsmann Club</t>
  </si>
  <si>
    <t>Neues Glück</t>
  </si>
  <si>
    <t>Preisreduziertes Mängelexemplar / Initialien im Einband</t>
  </si>
  <si>
    <t>9783426639146</t>
  </si>
  <si>
    <t>Der Fluch der Schriftrollen</t>
  </si>
  <si>
    <t>Namenseintrag im Einband</t>
  </si>
  <si>
    <t>9783828974319</t>
  </si>
  <si>
    <t>Armando Pavese</t>
  </si>
  <si>
    <t>Kontakt mit dem Jenseits</t>
  </si>
  <si>
    <t>3629008275</t>
  </si>
  <si>
    <t>Roderick Gordon Brian Williams</t>
  </si>
  <si>
    <t>Tunnel Das Licht der Finsternis</t>
  </si>
  <si>
    <t>9783401062747</t>
  </si>
  <si>
    <t>Ann Granger</t>
  </si>
  <si>
    <t>Nur der Tod ist ohne Makel</t>
  </si>
  <si>
    <t>9783404167180</t>
  </si>
  <si>
    <t>Sarah Lark</t>
  </si>
  <si>
    <t>Unter fernen Himmeln</t>
  </si>
  <si>
    <t>9783404177158</t>
  </si>
  <si>
    <t>Lydia Rood</t>
  </si>
  <si>
    <t>Wo immer ich gehe, ich nehme dich mit</t>
  </si>
  <si>
    <t>Überreuther</t>
  </si>
  <si>
    <t>9783800050277</t>
  </si>
  <si>
    <t>Alexandra Burt</t>
  </si>
  <si>
    <t>Remember Mia</t>
  </si>
  <si>
    <t>DTV</t>
  </si>
  <si>
    <t>9783423217095</t>
  </si>
  <si>
    <t>David Gilman</t>
  </si>
  <si>
    <t>Ice Claw</t>
  </si>
  <si>
    <t>9783473583713</t>
  </si>
  <si>
    <t>Hans Wißkirchen</t>
  </si>
  <si>
    <t>Die Familie Mann</t>
  </si>
  <si>
    <t>9783499506307</t>
  </si>
  <si>
    <t>Die Champagnerfürstin</t>
  </si>
  <si>
    <t>Gottlos</t>
  </si>
  <si>
    <t>9783499240744</t>
  </si>
  <si>
    <t>Chimamanda Ngozi Adichie</t>
  </si>
  <si>
    <t>Die Hälfte der Sonne</t>
  </si>
  <si>
    <t>BTB</t>
  </si>
  <si>
    <t>9783442738137</t>
  </si>
  <si>
    <t>Anne McCullagh Rennie</t>
  </si>
  <si>
    <t>Das Lied der Honigvögel</t>
  </si>
  <si>
    <t>9783898975827</t>
  </si>
  <si>
    <t>Jill Mansell</t>
  </si>
  <si>
    <t>Herzflittern</t>
  </si>
  <si>
    <t>Joachim Walther / Christa Unzner-Fischer</t>
  </si>
  <si>
    <t>Kuddelmuddelkunterbunt und außerüberordentlich</t>
  </si>
  <si>
    <t>Der Kinderbuch</t>
  </si>
  <si>
    <t>9783358020470</t>
  </si>
  <si>
    <t>Victoria Connelly</t>
  </si>
  <si>
    <t>Unter deinem Stern</t>
  </si>
  <si>
    <t>9783453352629</t>
  </si>
  <si>
    <t>Luca di Fulvio</t>
  </si>
  <si>
    <t>Das Kind, das nachts die Sonne fand</t>
  </si>
  <si>
    <t>9783404171804</t>
  </si>
  <si>
    <t>Eifel-Filz</t>
  </si>
  <si>
    <t>grafit</t>
  </si>
  <si>
    <t>9783894250485</t>
  </si>
  <si>
    <t>Elizabeth Webster</t>
  </si>
  <si>
    <t>Der Flug der Schwäne</t>
  </si>
  <si>
    <t>9783404161089</t>
  </si>
  <si>
    <t>Norbert Silberbauer</t>
  </si>
  <si>
    <t>Die elf Gebote</t>
  </si>
  <si>
    <t>9783426625965</t>
  </si>
  <si>
    <t>Schnee in Venedig: Commissario Trons erster Fall</t>
  </si>
  <si>
    <t>9783499239298</t>
  </si>
  <si>
    <t>Diego Galdino</t>
  </si>
  <si>
    <t>Der erste Kaffee am Morgen</t>
  </si>
  <si>
    <t>9783492305877</t>
  </si>
  <si>
    <t>John Ajvide Lindqvist</t>
  </si>
  <si>
    <t>So ruhet in Frieden</t>
  </si>
  <si>
    <t>9783404159130</t>
  </si>
  <si>
    <t>Paul Frischauer</t>
  </si>
  <si>
    <t>Weltgeschichte in Romanen: Von der Entdeckung Amerikas bis ins 18. Jahrhundert</t>
  </si>
  <si>
    <t>Edda Helmke</t>
  </si>
  <si>
    <t>Eine gefährliche Erbschaft</t>
  </si>
  <si>
    <t>9783492252478</t>
  </si>
  <si>
    <t>Gisbert Haefs</t>
  </si>
  <si>
    <t>Das Schwert von Karthago</t>
  </si>
  <si>
    <t>3453012089</t>
  </si>
  <si>
    <t>Jeri Smith-Ready</t>
  </si>
  <si>
    <t>Vampire Souls: Nachtrausch</t>
  </si>
  <si>
    <t>9783404206414</t>
  </si>
  <si>
    <t>Harold Robbins</t>
  </si>
  <si>
    <t>Die Playboys</t>
  </si>
  <si>
    <t>9783426608579</t>
  </si>
  <si>
    <t>Feuerwehrmann Sam</t>
  </si>
  <si>
    <t>Feuerwehrmann Sam In Pontypandy wird’s wild</t>
  </si>
  <si>
    <t>Hit</t>
  </si>
  <si>
    <t>Hörspiel</t>
  </si>
  <si>
    <t>Feuerwehrmann Sam Tag der offenen Tür</t>
  </si>
  <si>
    <t>Feuerwehrmann Sam Achtung Außerirdische</t>
  </si>
  <si>
    <t>Feuerwehrmann Sam Helden auf dem Wasser</t>
  </si>
  <si>
    <t>Feuerwehrmann Sam Einsatz in den Bergen</t>
  </si>
  <si>
    <t>HB0004</t>
  </si>
  <si>
    <t>HB0005</t>
  </si>
  <si>
    <t>HB0006</t>
  </si>
  <si>
    <t>HB0007</t>
  </si>
  <si>
    <t>HB0008</t>
  </si>
  <si>
    <t>Breaking Dawn Die Twilight Saga Biss zum Ende der Nacht</t>
  </si>
  <si>
    <t>Quatermain Auf der Suche nach dem Schatz der Könige</t>
  </si>
  <si>
    <t>Snoopy come Home</t>
  </si>
  <si>
    <t>Nils Holgersson Die original Zeichentrick-Serie</t>
  </si>
  <si>
    <t>Bob der Baumeister Bobs Traumhaus</t>
  </si>
  <si>
    <t>4010324030160</t>
  </si>
  <si>
    <t>9002986247234</t>
  </si>
  <si>
    <t>4010884525861</t>
  </si>
  <si>
    <t>886971836592</t>
  </si>
  <si>
    <t>886976673499</t>
  </si>
  <si>
    <t>DVD0062</t>
  </si>
  <si>
    <t>DVD0063</t>
  </si>
  <si>
    <t>DVD0064</t>
  </si>
  <si>
    <t>DVD0065</t>
  </si>
  <si>
    <t>CD0010</t>
  </si>
  <si>
    <t>Leila K.</t>
  </si>
  <si>
    <t>Open Sesame</t>
  </si>
  <si>
    <t>042286396927</t>
  </si>
  <si>
    <t>CD0011</t>
  </si>
  <si>
    <t>Loft</t>
  </si>
  <si>
    <t>Summer Summer</t>
  </si>
  <si>
    <t>743211476423</t>
  </si>
  <si>
    <t>CD0012</t>
  </si>
  <si>
    <t>Das Modul</t>
  </si>
  <si>
    <t>Computerliebe</t>
  </si>
  <si>
    <t>042285132526</t>
  </si>
  <si>
    <t>CD0013</t>
  </si>
  <si>
    <t>2 Unlimited</t>
  </si>
  <si>
    <t>The Real Thing</t>
  </si>
  <si>
    <t>090204216222</t>
  </si>
  <si>
    <t>CD0014</t>
  </si>
  <si>
    <t>Pharao</t>
  </si>
  <si>
    <t>There is a Star</t>
  </si>
  <si>
    <t>5099766097923</t>
  </si>
  <si>
    <t>CD0015</t>
  </si>
  <si>
    <t>RMB</t>
  </si>
  <si>
    <t>Spring</t>
  </si>
  <si>
    <t>731457666524</t>
  </si>
  <si>
    <t>CD0016</t>
  </si>
  <si>
    <t>Herzberührt</t>
  </si>
  <si>
    <t>602498326671</t>
  </si>
  <si>
    <t>CD0017</t>
  </si>
  <si>
    <t>Vertigo</t>
  </si>
  <si>
    <t>Oxygene</t>
  </si>
  <si>
    <t>5099766380551</t>
  </si>
  <si>
    <t>CD0018</t>
  </si>
  <si>
    <t>Earthquake 5</t>
  </si>
  <si>
    <t>4014548005539</t>
  </si>
  <si>
    <t>CD0019</t>
  </si>
  <si>
    <t>Guano Apes</t>
  </si>
  <si>
    <t>Walking on a Thin Line</t>
  </si>
  <si>
    <t>743219456922</t>
  </si>
  <si>
    <t>CD0020</t>
  </si>
  <si>
    <t>Monster High Monsterkrasse Highschool-Klasse</t>
  </si>
  <si>
    <t>Nintendo DS</t>
  </si>
  <si>
    <t>SP0001</t>
  </si>
  <si>
    <t>Monster High Labyrinth-Skaten</t>
  </si>
  <si>
    <t>SP0002</t>
  </si>
  <si>
    <t>Professor Layton und die Maske der Wunder</t>
  </si>
  <si>
    <t>SP0003</t>
  </si>
  <si>
    <t>Monster High 13 Wünsche</t>
  </si>
  <si>
    <t>SP0004</t>
  </si>
  <si>
    <t>Nintendogs und Cats</t>
  </si>
  <si>
    <t>SP0005</t>
  </si>
  <si>
    <t>Maja</t>
  </si>
  <si>
    <t>SP0006</t>
  </si>
  <si>
    <t>Farm Life</t>
  </si>
  <si>
    <t>SP0007</t>
  </si>
  <si>
    <t>Tak Die große Juju-Jagd</t>
  </si>
  <si>
    <t>SP0008</t>
  </si>
  <si>
    <t>Star Wars The Clone Wars Republic Heroes</t>
  </si>
  <si>
    <t>Wii</t>
  </si>
  <si>
    <t>SP0009</t>
  </si>
  <si>
    <t>MX Vs. ATV</t>
  </si>
  <si>
    <t>SP0010</t>
  </si>
  <si>
    <t>Herr der Ringe Der Krieg im Norden</t>
  </si>
  <si>
    <t>Xbox</t>
  </si>
  <si>
    <t>SP0011</t>
  </si>
  <si>
    <t>Farcry 2</t>
  </si>
  <si>
    <t>ohne Beschreibung / Heft</t>
  </si>
  <si>
    <t>SP0012</t>
  </si>
  <si>
    <t>Operation Flashpoint Dragon Rising</t>
  </si>
  <si>
    <t>SP0013</t>
  </si>
  <si>
    <t>Call of Duty 4 Modern Warfare</t>
  </si>
  <si>
    <t>SP0014</t>
  </si>
  <si>
    <t>BN0062</t>
  </si>
  <si>
    <t>1,70</t>
  </si>
  <si>
    <t>1,20</t>
  </si>
  <si>
    <t>BN0646</t>
  </si>
  <si>
    <t>Bücher</t>
  </si>
  <si>
    <t>Hörbücher</t>
  </si>
  <si>
    <t>Filme</t>
  </si>
  <si>
    <t>Musik</t>
  </si>
  <si>
    <t>Spiele</t>
  </si>
  <si>
    <t>BN0027</t>
  </si>
  <si>
    <t>C.H. Spurgeon</t>
  </si>
  <si>
    <t>Auf dein Wort Andachten für jeden Tag</t>
  </si>
  <si>
    <t>3893973052</t>
  </si>
  <si>
    <t>BN2001</t>
  </si>
  <si>
    <t>Eric und Leslie Ludy</t>
  </si>
  <si>
    <t>Made in Heaven Wenn Gott deine Liebesgeschichte schreibt</t>
  </si>
  <si>
    <t>Gerth Medien</t>
  </si>
  <si>
    <t>9783894379957</t>
  </si>
  <si>
    <t>BN2002</t>
  </si>
  <si>
    <t>Inken Weian</t>
  </si>
  <si>
    <t>Der Geburtstagsengel</t>
  </si>
  <si>
    <t>Johannis</t>
  </si>
  <si>
    <t>9783501055458</t>
  </si>
  <si>
    <t>BN2003</t>
  </si>
  <si>
    <t>Christoph Häselbarth</t>
  </si>
  <si>
    <t>Leben als Gewinner</t>
  </si>
  <si>
    <t>GB</t>
  </si>
  <si>
    <t>9783938677285</t>
  </si>
  <si>
    <t>BN2004</t>
  </si>
  <si>
    <t>Jost Müller-Bohn</t>
  </si>
  <si>
    <t>Von himmlischen Engeln begleitet</t>
  </si>
  <si>
    <t>Lichtzeichenverlag</t>
  </si>
  <si>
    <t>Neu, eingeschweisst</t>
  </si>
  <si>
    <t>9783936850864</t>
  </si>
  <si>
    <t>BN2005</t>
  </si>
  <si>
    <t>Laurie Beth Jones</t>
  </si>
  <si>
    <t>Der Alltags Jesus</t>
  </si>
  <si>
    <t>Brockhaus</t>
  </si>
  <si>
    <t>9783417113044</t>
  </si>
  <si>
    <t>BN2006</t>
  </si>
  <si>
    <t>Mosab Hassan Yousef</t>
  </si>
  <si>
    <t>Sohn der Hamas Mein Leben als Terrorist</t>
  </si>
  <si>
    <t>SCM Hänssler</t>
  </si>
  <si>
    <t>9783775152235</t>
  </si>
  <si>
    <t>BN2007</t>
  </si>
  <si>
    <t>Das kunterbunte Gute-Laune-Buch</t>
  </si>
  <si>
    <t>4043002188105</t>
  </si>
  <si>
    <t>BN2008</t>
  </si>
  <si>
    <t>Das Geheimnis des perfekten Tages</t>
  </si>
  <si>
    <t>9783404608836</t>
  </si>
  <si>
    <t>BN2009</t>
  </si>
  <si>
    <t>Pamela Peeke</t>
  </si>
  <si>
    <t>Fettfalle 40</t>
  </si>
  <si>
    <t>9783828919785</t>
  </si>
  <si>
    <t>BN2010</t>
  </si>
  <si>
    <t>Daniel Müller</t>
  </si>
  <si>
    <t>Du bist wertvoll</t>
  </si>
  <si>
    <t>Missionswerk Karlsruhe</t>
  </si>
  <si>
    <t>Widmung im Einband</t>
  </si>
  <si>
    <t>9783891320259</t>
  </si>
  <si>
    <t>BN2011</t>
  </si>
  <si>
    <t>Dave und Neta Jackson</t>
  </si>
  <si>
    <t>Glaubenshelden</t>
  </si>
  <si>
    <t>3893973559</t>
  </si>
  <si>
    <t>BN2012</t>
  </si>
  <si>
    <t>Die Zauberfrau</t>
  </si>
  <si>
    <t>3625209179</t>
  </si>
  <si>
    <t>BN2013</t>
  </si>
  <si>
    <t>Colleen McCullough</t>
  </si>
  <si>
    <t>Land der Dornen</t>
  </si>
  <si>
    <t>Handschriftlicher Eintrag im Einband</t>
  </si>
  <si>
    <t>BN2014</t>
  </si>
  <si>
    <t>Paul darf das</t>
  </si>
  <si>
    <t>9783548266831</t>
  </si>
  <si>
    <t>BN2015</t>
  </si>
  <si>
    <t>Lynn Harris Chris Kalb</t>
  </si>
  <si>
    <t>Breakup Girl</t>
  </si>
  <si>
    <t>Goldmann Manhattan</t>
  </si>
  <si>
    <t>9783442541775</t>
  </si>
  <si>
    <t>BN2016</t>
  </si>
  <si>
    <t>Der verlorene Engel</t>
  </si>
  <si>
    <t>9783453879713</t>
  </si>
  <si>
    <t>BN2017</t>
  </si>
  <si>
    <t>Helmut Jantra</t>
  </si>
  <si>
    <t>Blumengarten</t>
  </si>
  <si>
    <t>9783440088210</t>
  </si>
  <si>
    <t>BN2018</t>
  </si>
  <si>
    <t>Elisabeth Kelly</t>
  </si>
  <si>
    <t>Die verrückten Flanagans</t>
  </si>
  <si>
    <t>Diana Verlag</t>
  </si>
  <si>
    <t>9783453355033</t>
  </si>
  <si>
    <t>BN2019</t>
  </si>
  <si>
    <t>Die geheimen Jahre</t>
  </si>
  <si>
    <t>9783492270434</t>
  </si>
  <si>
    <t>BN2020</t>
  </si>
  <si>
    <t>Joan O´Neill</t>
  </si>
  <si>
    <t>Spiel der Gezeiten</t>
  </si>
  <si>
    <t>9783426616789</t>
  </si>
  <si>
    <t>BN2021</t>
  </si>
  <si>
    <t>Senait G. Mehari</t>
  </si>
  <si>
    <t>Feuerherz</t>
  </si>
  <si>
    <t>9783426778357</t>
  </si>
  <si>
    <t>BN2022</t>
  </si>
  <si>
    <t>9783828992634</t>
  </si>
  <si>
    <t>BN2023</t>
  </si>
  <si>
    <t>Die Tote im Keller</t>
  </si>
  <si>
    <t>4026411397801</t>
  </si>
  <si>
    <t>BN2024</t>
  </si>
  <si>
    <t>Robert B. Laughlin</t>
  </si>
  <si>
    <t>Das Verbrechen der Vernunft Betrug an der Wissensgesellschaft</t>
  </si>
  <si>
    <t>SV</t>
  </si>
  <si>
    <t>9783518260029</t>
  </si>
  <si>
    <t>BN2025</t>
  </si>
  <si>
    <t>Elisabeth Haran</t>
  </si>
  <si>
    <t>Im Tal der flammenden Sonne</t>
  </si>
  <si>
    <t>9783404159567</t>
  </si>
  <si>
    <t>BN2026</t>
  </si>
  <si>
    <t>Jeff Long</t>
  </si>
  <si>
    <t>Tödliches Eis</t>
  </si>
  <si>
    <t>Serges Medien</t>
  </si>
  <si>
    <t>4028021803710</t>
  </si>
  <si>
    <t>BN2027</t>
  </si>
  <si>
    <t>Ein Haus in Irland</t>
  </si>
  <si>
    <t>9783426616888</t>
  </si>
  <si>
    <t>BN2028</t>
  </si>
  <si>
    <t>Cheryl Strayed</t>
  </si>
  <si>
    <t>Der große Trip - Wild</t>
  </si>
  <si>
    <t>9783442158591</t>
  </si>
  <si>
    <t>BN2029</t>
  </si>
  <si>
    <t>Nicole C. Vosseler</t>
  </si>
  <si>
    <t>Der Himmel über Darjeeling</t>
  </si>
  <si>
    <t>Initialien im Einband</t>
  </si>
  <si>
    <t>9783404158478</t>
  </si>
  <si>
    <t>BN2030</t>
  </si>
  <si>
    <t>Hans-Georg Beckmann</t>
  </si>
  <si>
    <t>Neue spanische Grammatik</t>
  </si>
  <si>
    <t>dnf-Verlag</t>
  </si>
  <si>
    <t>9783931104818</t>
  </si>
  <si>
    <t>BN2031</t>
  </si>
  <si>
    <t>Mary Scott</t>
  </si>
  <si>
    <t>Oh, diese Verwandtschaft</t>
  </si>
  <si>
    <t>Goldmann Verlag</t>
  </si>
  <si>
    <t>BN2032</t>
  </si>
  <si>
    <t>Peter Lange</t>
  </si>
  <si>
    <t>Kübelpflanzen</t>
  </si>
  <si>
    <t>9783405157555</t>
  </si>
  <si>
    <t>BN2033</t>
  </si>
  <si>
    <t>David Gilmour</t>
  </si>
  <si>
    <t>Unser Allerbestes Jahr</t>
  </si>
  <si>
    <t>9783100278197</t>
  </si>
  <si>
    <t>BN2034</t>
  </si>
  <si>
    <t>Hummeldumm</t>
  </si>
  <si>
    <t>BN2035</t>
  </si>
  <si>
    <t>Enigma</t>
  </si>
  <si>
    <t>9783453184831</t>
  </si>
  <si>
    <t>BN2036</t>
  </si>
  <si>
    <t>Tiptoi</t>
  </si>
  <si>
    <t>Tiptoi Erste Zahlen</t>
  </si>
  <si>
    <t>4005556006205</t>
  </si>
  <si>
    <t>BN2037</t>
  </si>
  <si>
    <t>Beth Gutcheon</t>
  </si>
  <si>
    <t>Das Schulhaus</t>
  </si>
  <si>
    <t>9783898974073</t>
  </si>
  <si>
    <t>BN2038</t>
  </si>
  <si>
    <t>Die Schwester</t>
  </si>
  <si>
    <t>9783442477272</t>
  </si>
  <si>
    <t>BN2039</t>
  </si>
  <si>
    <t>Arne Dahl</t>
  </si>
  <si>
    <t>Sieben Minus Eins</t>
  </si>
  <si>
    <t>9783492057707</t>
  </si>
  <si>
    <t>BN2040</t>
  </si>
  <si>
    <t>Bernhard Günter</t>
  </si>
  <si>
    <t>Hillary und Bill Clinton Eine Erfolgsstory</t>
  </si>
  <si>
    <t>9783453067066</t>
  </si>
  <si>
    <t>BN2041</t>
  </si>
  <si>
    <t>BN2042</t>
  </si>
  <si>
    <t>Marie de la Forest</t>
  </si>
  <si>
    <t>Erotische Phantasien - Wovon Frauen träumen</t>
  </si>
  <si>
    <t>9783453879324</t>
  </si>
  <si>
    <t>BN2043</t>
  </si>
  <si>
    <t>Audrey Carlan</t>
  </si>
  <si>
    <t>Calendar Girl Ersehnt</t>
  </si>
  <si>
    <t>9783548288871</t>
  </si>
  <si>
    <t>BN2044</t>
  </si>
  <si>
    <t>Susan Peterson</t>
  </si>
  <si>
    <t>Der Duft der wilden Akazie</t>
  </si>
  <si>
    <t>9783442381326</t>
  </si>
  <si>
    <t>BN2045</t>
  </si>
  <si>
    <t>Marilynne Robinson</t>
  </si>
  <si>
    <t>Lila</t>
  </si>
  <si>
    <t>9783596033690</t>
  </si>
  <si>
    <t>BN2046</t>
  </si>
  <si>
    <t>Mo Hayder</t>
  </si>
  <si>
    <t xml:space="preserve">Die Sekte </t>
  </si>
  <si>
    <t>BN2047</t>
  </si>
  <si>
    <t>Kommissar Kugelblitz Der lila Leierkasten</t>
  </si>
  <si>
    <t>Schneider Buch</t>
  </si>
  <si>
    <t>9783505087936</t>
  </si>
  <si>
    <t>BN2048</t>
  </si>
  <si>
    <t>Der Geheimbund 50 Rätselkrimis</t>
  </si>
  <si>
    <t>Lingen Kids</t>
  </si>
  <si>
    <t>23214941</t>
  </si>
  <si>
    <t>BN2049</t>
  </si>
  <si>
    <t>Die versunkene Stadt</t>
  </si>
  <si>
    <t>BN2050</t>
  </si>
  <si>
    <t>TipToi</t>
  </si>
  <si>
    <t>BN2051</t>
  </si>
  <si>
    <t>Clive Cussler</t>
  </si>
  <si>
    <t>Jäger des gestohlenen Goldes</t>
  </si>
  <si>
    <t>9783734106392</t>
  </si>
  <si>
    <t>BN2052</t>
  </si>
  <si>
    <t>Ein Mann wie Mr. Darcy</t>
  </si>
  <si>
    <t>9783442465033</t>
  </si>
  <si>
    <t>BN2053</t>
  </si>
  <si>
    <t>Die verlorene Stadt</t>
  </si>
  <si>
    <t>9783734103636</t>
  </si>
  <si>
    <t>BN2054</t>
  </si>
  <si>
    <t>Simon Beckett</t>
  </si>
  <si>
    <t>Kalte Asche</t>
  </si>
  <si>
    <t>Rororo</t>
  </si>
  <si>
    <t>9783499241956</t>
  </si>
  <si>
    <t>BN2055</t>
  </si>
  <si>
    <t>Dr. Oetker</t>
  </si>
  <si>
    <t>Schlanker Genuss von A - Z</t>
  </si>
  <si>
    <t>Dr. Oetker Verlag</t>
  </si>
  <si>
    <t>9783767007734</t>
  </si>
  <si>
    <t>BN2056</t>
  </si>
  <si>
    <t>Anna Ort-Gottwald und Susanne Gerlach</t>
  </si>
  <si>
    <t>Brigitte Diät Abnehmen mit Lieblingsgerichten</t>
  </si>
  <si>
    <t>9783453285262</t>
  </si>
  <si>
    <t>BN2057</t>
  </si>
  <si>
    <t>Wolfgang Fürweger</t>
  </si>
  <si>
    <t>Die Riedels Geschichte einer Glas-Dynastie</t>
  </si>
  <si>
    <t>9783800074778</t>
  </si>
  <si>
    <t>BN2058</t>
  </si>
  <si>
    <t>Amazon Gebühren</t>
  </si>
  <si>
    <t>Die Chemie des Todes</t>
  </si>
  <si>
    <t>9783499241970</t>
  </si>
  <si>
    <t>BN2059</t>
  </si>
  <si>
    <t>Julia Quinn</t>
  </si>
  <si>
    <t>Ein hinreichend verruchter Gentleman</t>
  </si>
  <si>
    <t>9783899417425</t>
  </si>
  <si>
    <t>BN2060</t>
  </si>
  <si>
    <t>Saskia Berwein</t>
  </si>
  <si>
    <t>Todeszeichen Ein Fall für Leitner und Grohmann</t>
  </si>
  <si>
    <t>LYX</t>
  </si>
  <si>
    <t>9783802589812</t>
  </si>
  <si>
    <t>BN2061</t>
  </si>
  <si>
    <t>Johan Theorin</t>
  </si>
  <si>
    <t>So bitter Kalt</t>
  </si>
  <si>
    <t>9783492055512</t>
  </si>
  <si>
    <t>BN2062</t>
  </si>
  <si>
    <t>Soul Seeker</t>
  </si>
  <si>
    <t>Page Turner</t>
  </si>
  <si>
    <t>9783442204069</t>
  </si>
  <si>
    <t>BN2063</t>
  </si>
  <si>
    <t>Bob, der Streuner Die Katze, die mein Leben veränderte</t>
  </si>
  <si>
    <t>9783404606931</t>
  </si>
  <si>
    <t>BN2064</t>
  </si>
  <si>
    <t>Bob und wie er die Welt sieht Neue Abenteuer mit dem Streuner</t>
  </si>
  <si>
    <t>BN2065</t>
  </si>
  <si>
    <t>Klaus-Peter Wolf</t>
  </si>
  <si>
    <t>Nacht Blauer Tod</t>
  </si>
  <si>
    <t>9783596192205</t>
  </si>
  <si>
    <t>BN2066</t>
  </si>
  <si>
    <t>Der schwarze Drache</t>
  </si>
  <si>
    <t>9783828979703</t>
  </si>
  <si>
    <t>BN2067</t>
  </si>
  <si>
    <t>Todesspiel im Hafen</t>
  </si>
  <si>
    <t>9783596299201</t>
  </si>
  <si>
    <t>BN2068</t>
  </si>
  <si>
    <t>C. Pullein-Thompson</t>
  </si>
  <si>
    <t>Ein Pferd für Sabine</t>
  </si>
  <si>
    <t>Edition Nova</t>
  </si>
  <si>
    <t>9783941329096</t>
  </si>
  <si>
    <t>BN2069</t>
  </si>
  <si>
    <t>Gillian Butler und Tony Hope</t>
  </si>
  <si>
    <t>Managing your Mind The Mental Fitness Guide</t>
  </si>
  <si>
    <t>Oxford University Press</t>
  </si>
  <si>
    <t>9780195103793</t>
  </si>
  <si>
    <t>BN2070</t>
  </si>
  <si>
    <t>Elisabeth Dunkel</t>
  </si>
  <si>
    <t>Der Fisch ohne Fahrrad</t>
  </si>
  <si>
    <t>9783426609958</t>
  </si>
  <si>
    <t>BN2071</t>
  </si>
  <si>
    <t>Dieter Kronzucker</t>
  </si>
  <si>
    <t>Abenteuer und Legenden vom Arafat zum Amazonas</t>
  </si>
  <si>
    <t>Deutscher Bücherbund</t>
  </si>
  <si>
    <t>BN2072</t>
  </si>
  <si>
    <t>Klaus Bednarz</t>
  </si>
  <si>
    <t>Östlich der Sonne</t>
  </si>
  <si>
    <t>9783499616563</t>
  </si>
  <si>
    <t>BN2073</t>
  </si>
  <si>
    <t>Elisabeth Gilbert</t>
  </si>
  <si>
    <t>BN2074</t>
  </si>
  <si>
    <t>Jeffrey Deaver</t>
  </si>
  <si>
    <t>Schutzlos</t>
  </si>
  <si>
    <t>9783442377206</t>
  </si>
  <si>
    <t>BN2075</t>
  </si>
  <si>
    <t>Nächtliches Schweigen</t>
  </si>
  <si>
    <t>RM Buch</t>
  </si>
  <si>
    <t>BN2076</t>
  </si>
  <si>
    <t>Zsuzsa Bank</t>
  </si>
  <si>
    <t>Schlafen werden wir später</t>
  </si>
  <si>
    <t>9783596198313</t>
  </si>
  <si>
    <t>BN2077</t>
  </si>
  <si>
    <t>Jostein Gaarder</t>
  </si>
  <si>
    <t>Das Kartengeheimnis</t>
  </si>
  <si>
    <t>9783423125000</t>
  </si>
  <si>
    <t>BN2078</t>
  </si>
  <si>
    <t>Brigitte Aubert</t>
  </si>
  <si>
    <t>Nachtlokal</t>
  </si>
  <si>
    <t>9783442729241</t>
  </si>
  <si>
    <t>BN2079</t>
  </si>
  <si>
    <t>Willy Breinholst</t>
  </si>
  <si>
    <t>Hallo Mama - Hallo Papa</t>
  </si>
  <si>
    <t>9783404600397</t>
  </si>
  <si>
    <t>BN2080</t>
  </si>
  <si>
    <t>Martin Walker</t>
  </si>
  <si>
    <t>Grand Cru Der zweite Fall für Bruno - Chef de Police</t>
  </si>
  <si>
    <t>9783257240825</t>
  </si>
  <si>
    <t>BN2081</t>
  </si>
  <si>
    <t>Nora Bernstein</t>
  </si>
  <si>
    <t>Das Leben könnte so schön sein</t>
  </si>
  <si>
    <t>9783492313643</t>
  </si>
  <si>
    <t>BN2082</t>
  </si>
  <si>
    <t>Esther und Jerry Hicks</t>
  </si>
  <si>
    <t>The Law of Attrection</t>
  </si>
  <si>
    <t>9783548373201</t>
  </si>
  <si>
    <t>BN2083</t>
  </si>
  <si>
    <t>Kerstin Ekman</t>
  </si>
  <si>
    <t>Hundeherz</t>
  </si>
  <si>
    <t>9783492263559</t>
  </si>
  <si>
    <t>BN2084</t>
  </si>
  <si>
    <t>3764501782</t>
  </si>
  <si>
    <t>BN2085</t>
  </si>
  <si>
    <t>Ritualmord</t>
  </si>
  <si>
    <t>9783442472857</t>
  </si>
  <si>
    <t>BN2086</t>
  </si>
  <si>
    <t>Heidi Gebhardt</t>
  </si>
  <si>
    <t>Frieda unter Verdacht</t>
  </si>
  <si>
    <t>9783548612805</t>
  </si>
  <si>
    <t>BN2087</t>
  </si>
  <si>
    <t>Kathleen Bryan</t>
  </si>
  <si>
    <t>Das magische Land 2</t>
  </si>
  <si>
    <t>Goldmann Fantasy</t>
  </si>
  <si>
    <t>9783442465880</t>
  </si>
  <si>
    <t>BN2088</t>
  </si>
  <si>
    <t>Philipp Lahm</t>
  </si>
  <si>
    <t>Der feine Unterschied - Wie man Spitzenfußballer wird</t>
  </si>
  <si>
    <t>9783426786109</t>
  </si>
  <si>
    <t>BN2089</t>
  </si>
  <si>
    <t>Dieter Kühn</t>
  </si>
  <si>
    <t>Das Geheimnis der Delphinbucht</t>
  </si>
  <si>
    <t>Fischer Schatzinsel</t>
  </si>
  <si>
    <t>9783596850419</t>
  </si>
  <si>
    <t>BN2090</t>
  </si>
  <si>
    <t>Katharina Rappmund</t>
  </si>
  <si>
    <t>Wenn alle Dämme brechen - Bekenntnisse einer lausigen Frauenärztin</t>
  </si>
  <si>
    <t>9783866123113</t>
  </si>
  <si>
    <t>BN2091</t>
  </si>
  <si>
    <t>Im Eishaus</t>
  </si>
  <si>
    <t>9783442459797</t>
  </si>
  <si>
    <t>BN2092</t>
  </si>
  <si>
    <t>Elizabeth Edmondson</t>
  </si>
  <si>
    <t>Die Gärten von Landrake Hall</t>
  </si>
  <si>
    <t>4026411395418</t>
  </si>
  <si>
    <t>BN2093</t>
  </si>
  <si>
    <t>Hermann  Koch</t>
  </si>
  <si>
    <t>Angerichtet</t>
  </si>
  <si>
    <t>Kiepenheuer und Witsch</t>
  </si>
  <si>
    <t>9783462041435</t>
  </si>
  <si>
    <t>BN2094</t>
  </si>
  <si>
    <t>Nagib Machfus</t>
  </si>
  <si>
    <t>Cheops</t>
  </si>
  <si>
    <t>Unionsverlag</t>
  </si>
  <si>
    <t>9783293003491</t>
  </si>
  <si>
    <t>BN2095</t>
  </si>
  <si>
    <t>Im Schatten unserer Wünsche</t>
  </si>
  <si>
    <t>4026725901015</t>
  </si>
  <si>
    <t>BN2096</t>
  </si>
  <si>
    <t>Brittainy C. Cherry</t>
  </si>
  <si>
    <t>Verliebt in Mr. Daniels</t>
  </si>
  <si>
    <t>9783802599187</t>
  </si>
  <si>
    <t>BN2097</t>
  </si>
  <si>
    <t>Das Tibetanische Buch der Toten</t>
  </si>
  <si>
    <t>9783502651338</t>
  </si>
  <si>
    <t>BN2098</t>
  </si>
  <si>
    <t>Patrick Dewitt</t>
  </si>
  <si>
    <t>Letzte Rettung Paris</t>
  </si>
  <si>
    <t>9783462052336</t>
  </si>
  <si>
    <t>BN2099</t>
  </si>
  <si>
    <t>Oxana Kalemi</t>
  </si>
  <si>
    <t>Sie haben mich verkauft Eine wahre Geschichte</t>
  </si>
  <si>
    <t>9783404616541</t>
  </si>
  <si>
    <t>BN2100</t>
  </si>
  <si>
    <t>Carina Bartsch</t>
  </si>
  <si>
    <t>Türkisgrüner Winter</t>
  </si>
  <si>
    <t>9783499227912</t>
  </si>
  <si>
    <t>BN2101</t>
  </si>
  <si>
    <t>Anne Jacobs</t>
  </si>
  <si>
    <t>Das Gutshaus Stürmische Zeiten</t>
  </si>
  <si>
    <t>9783734104886</t>
  </si>
  <si>
    <t>BN2102</t>
  </si>
  <si>
    <t>Die Larve</t>
  </si>
  <si>
    <t>9783548284934</t>
  </si>
  <si>
    <t>BN2103</t>
  </si>
  <si>
    <t>Die Tochter der Wanderapothekerin</t>
  </si>
  <si>
    <t>9783426522851</t>
  </si>
  <si>
    <t>BN2104</t>
  </si>
  <si>
    <t>Susan Vreeland</t>
  </si>
  <si>
    <t>Von Zauberhand</t>
  </si>
  <si>
    <t>9783453351141</t>
  </si>
  <si>
    <t>BN2105</t>
  </si>
  <si>
    <t>Russell Banks</t>
  </si>
  <si>
    <t>Gangsta Bone</t>
  </si>
  <si>
    <t>3442437393</t>
  </si>
  <si>
    <t>BN2106</t>
  </si>
  <si>
    <t>Eisenherz</t>
  </si>
  <si>
    <t>Emons Verlag</t>
  </si>
  <si>
    <t>9783897054387</t>
  </si>
  <si>
    <t>BN2107</t>
  </si>
  <si>
    <t>Osman Engin</t>
  </si>
  <si>
    <t>Tote essen keinen Döner</t>
  </si>
  <si>
    <t>9783423210546</t>
  </si>
  <si>
    <t>BN2108</t>
  </si>
  <si>
    <t>Michael Allegretto</t>
  </si>
  <si>
    <t>Tot oder nich tot</t>
  </si>
  <si>
    <t>Scherz Krimi</t>
  </si>
  <si>
    <t>9783502515739</t>
  </si>
  <si>
    <t>BN2109</t>
  </si>
  <si>
    <t>Der russische Freund</t>
  </si>
  <si>
    <t>9783423246026</t>
  </si>
  <si>
    <t>BN2110</t>
  </si>
  <si>
    <t>Bridget Jones Am Rande des Wahnsinns</t>
  </si>
  <si>
    <t>9783442452644</t>
  </si>
  <si>
    <t>BN2111</t>
  </si>
  <si>
    <t>Francesca Santini</t>
  </si>
  <si>
    <t>Die florentinische Braut</t>
  </si>
  <si>
    <t>9783404145881</t>
  </si>
  <si>
    <t>BN2112</t>
  </si>
  <si>
    <t>Marianne Frederiksson</t>
  </si>
  <si>
    <t>Hannas Töchter</t>
  </si>
  <si>
    <t>9783596144860</t>
  </si>
  <si>
    <t>BN2113</t>
  </si>
  <si>
    <t>John Verdon</t>
  </si>
  <si>
    <t>Schließe deine Augen</t>
  </si>
  <si>
    <t>RM Buch und Medien</t>
  </si>
  <si>
    <t>BN2114</t>
  </si>
  <si>
    <t>Catherine Ashley Morgan</t>
  </si>
  <si>
    <t>Die Spur der roten Katze</t>
  </si>
  <si>
    <t>9783863650728</t>
  </si>
  <si>
    <t>BN2115</t>
  </si>
  <si>
    <t>Darien Gee</t>
  </si>
  <si>
    <t>Sternenstaub und Sonnenküsse</t>
  </si>
  <si>
    <t>9783442378005</t>
  </si>
  <si>
    <t>BN2116</t>
  </si>
  <si>
    <t>Gildenhaus Theandara</t>
  </si>
  <si>
    <t>4026411105130</t>
  </si>
  <si>
    <t>BN2117</t>
  </si>
  <si>
    <t>Das Syndikat der SPINNE</t>
  </si>
  <si>
    <t>9783426619049</t>
  </si>
  <si>
    <t>BN2118</t>
  </si>
  <si>
    <t>Michael Robotham</t>
  </si>
  <si>
    <t xml:space="preserve">Der Schlafmacher </t>
  </si>
  <si>
    <t>9783442314089</t>
  </si>
  <si>
    <t>BN2119</t>
  </si>
  <si>
    <t>Owen Sheers</t>
  </si>
  <si>
    <t>I Saw a Man</t>
  </si>
  <si>
    <t>Penguin Verlag</t>
  </si>
  <si>
    <t>9783328101109</t>
  </si>
  <si>
    <t>BN2120</t>
  </si>
  <si>
    <t>Passagier 23</t>
  </si>
  <si>
    <t>Erstklassiger Zustand ohne Schutzumschlag</t>
  </si>
  <si>
    <t>9783426199190</t>
  </si>
  <si>
    <t>BN2121</t>
  </si>
  <si>
    <t>Asche zu Asche</t>
  </si>
  <si>
    <t>9783442437719</t>
  </si>
  <si>
    <t>BN2122</t>
  </si>
  <si>
    <t>Ingrid Schick</t>
  </si>
  <si>
    <t>Hessen Tapas - Die besten Rezepte</t>
  </si>
  <si>
    <t>Cocon Verlag</t>
  </si>
  <si>
    <t>9783937774923</t>
  </si>
  <si>
    <t>BN2123</t>
  </si>
  <si>
    <t>Die weiße Löwin</t>
  </si>
  <si>
    <t>9783423201506</t>
  </si>
  <si>
    <t>BN2124</t>
  </si>
  <si>
    <t>Katharina Hagena</t>
  </si>
  <si>
    <t>Der Geschmack von Apfelkernen</t>
  </si>
  <si>
    <t>35.</t>
  </si>
  <si>
    <t>9783462041491</t>
  </si>
  <si>
    <t>BN2125</t>
  </si>
  <si>
    <t>Sommertau und Wolkenbruch</t>
  </si>
  <si>
    <t>9783426636077</t>
  </si>
  <si>
    <t>BN2126</t>
  </si>
  <si>
    <t>Bjarne Reuter</t>
  </si>
  <si>
    <t>Das Zimthaus</t>
  </si>
  <si>
    <t>9783453150225</t>
  </si>
  <si>
    <t>BN2127</t>
  </si>
  <si>
    <t>Julie Garwood</t>
  </si>
  <si>
    <t>Leg dein Herz in meine Hände</t>
  </si>
  <si>
    <t>3404181964</t>
  </si>
  <si>
    <t>BN2128</t>
  </si>
  <si>
    <t>Shusaku Endo</t>
  </si>
  <si>
    <t>Der Samurai</t>
  </si>
  <si>
    <t>Schneekluth</t>
  </si>
  <si>
    <t>3795108926</t>
  </si>
  <si>
    <t>BN2129</t>
  </si>
  <si>
    <t>Tony Early</t>
  </si>
  <si>
    <t>Unser kleines Paradies</t>
  </si>
  <si>
    <t>Initialen im Einband</t>
  </si>
  <si>
    <t>9783442306343</t>
  </si>
  <si>
    <t>BN2130</t>
  </si>
  <si>
    <t>Das große Ravensburger Fußballbuch</t>
  </si>
  <si>
    <t>9783473553686</t>
  </si>
  <si>
    <t>BN2131</t>
  </si>
  <si>
    <t>Walter Pause und Michael Pause</t>
  </si>
  <si>
    <t>Alpine Übergänge und Höhensteige</t>
  </si>
  <si>
    <t>Hüttenwandern</t>
  </si>
  <si>
    <t>BN2132</t>
  </si>
  <si>
    <t>Nikolai Ustinov</t>
  </si>
  <si>
    <t>Die Füchsin und der Wolf</t>
  </si>
  <si>
    <t>9783825151775</t>
  </si>
  <si>
    <t>BN2133</t>
  </si>
  <si>
    <t>H. P. Matkowitz</t>
  </si>
  <si>
    <t>Etwas in die Pfanne Hauen Ideen für jede Gelegenheit</t>
  </si>
  <si>
    <t>9783897368002</t>
  </si>
  <si>
    <t>BN2134</t>
  </si>
  <si>
    <t>Gavin Extence</t>
  </si>
  <si>
    <t>Das Unerhörte Leben des Alex Woods</t>
  </si>
  <si>
    <t>9783809026334</t>
  </si>
  <si>
    <t>BN2135</t>
  </si>
  <si>
    <t>Ines Thorn</t>
  </si>
  <si>
    <t>Unter dem Teebaum</t>
  </si>
  <si>
    <t>9783898972703</t>
  </si>
  <si>
    <t>BN2136</t>
  </si>
  <si>
    <t>Klassische Alpingipfel</t>
  </si>
  <si>
    <t>Bergsteigen</t>
  </si>
  <si>
    <t>BN2137</t>
  </si>
  <si>
    <t>Guido Dieckmann</t>
  </si>
  <si>
    <t>Die Meisterin der schwarzen Kunst</t>
  </si>
  <si>
    <t>9783499248061</t>
  </si>
  <si>
    <t>BN2138</t>
  </si>
  <si>
    <t>Maria Modig</t>
  </si>
  <si>
    <t>Das ferne Leuchten</t>
  </si>
  <si>
    <t>3810512656</t>
  </si>
  <si>
    <t>BN2139</t>
  </si>
  <si>
    <t>BN2140</t>
  </si>
  <si>
    <t>Oskar Vetter</t>
  </si>
  <si>
    <t>Vom Sozialistengesetz zur Mitbestimmung</t>
  </si>
  <si>
    <t>Bund-Verlag Köln</t>
  </si>
  <si>
    <t>BN2141</t>
  </si>
  <si>
    <t>Hermann Kesten</t>
  </si>
  <si>
    <t>Die Blaue Blume</t>
  </si>
  <si>
    <t>3763204865</t>
  </si>
  <si>
    <t>BN2142</t>
  </si>
  <si>
    <t>Aus den Augen, voll im Sinn</t>
  </si>
  <si>
    <t>3570124835</t>
  </si>
  <si>
    <t>BN2143</t>
  </si>
  <si>
    <t>Stefanie Zweig</t>
  </si>
  <si>
    <t>Nirgendwo in Afrika</t>
  </si>
  <si>
    <t>9783453185654</t>
  </si>
  <si>
    <t>BN2144</t>
  </si>
  <si>
    <t>Dagmar von Cramm</t>
  </si>
  <si>
    <t>Aldidente Kochen für viele</t>
  </si>
  <si>
    <t>9783821834979</t>
  </si>
  <si>
    <t>BN2145</t>
  </si>
  <si>
    <t>Peter Scholl-Latour</t>
  </si>
  <si>
    <t>Die Welt aus den Fugen</t>
  </si>
  <si>
    <t>Propyläen</t>
  </si>
  <si>
    <t>9783549074312</t>
  </si>
  <si>
    <t>BN2146</t>
  </si>
  <si>
    <t>Paul Sahner</t>
  </si>
  <si>
    <t>Karl</t>
  </si>
  <si>
    <t>mvg Verlag</t>
  </si>
  <si>
    <t>9783868820157</t>
  </si>
  <si>
    <t>BN2147</t>
  </si>
  <si>
    <t>Volker Kutscher</t>
  </si>
  <si>
    <t>Der nasse Fisch</t>
  </si>
  <si>
    <t>41.</t>
  </si>
  <si>
    <t>9783462040227</t>
  </si>
  <si>
    <t>BN2148</t>
  </si>
  <si>
    <t>Ellin Carsta</t>
  </si>
  <si>
    <t>Die ferne Hoffnung</t>
  </si>
  <si>
    <t>Tinte und Feder</t>
  </si>
  <si>
    <t>9781542047883</t>
  </si>
  <si>
    <t>BN2149</t>
  </si>
  <si>
    <t>Das Mädchen das den Himmel berührte</t>
  </si>
  <si>
    <t>9783404167777</t>
  </si>
  <si>
    <t>BN2150</t>
  </si>
  <si>
    <t>Kristin Harmel</t>
  </si>
  <si>
    <t>Über uns der Himmel</t>
  </si>
  <si>
    <t>9783442383337</t>
  </si>
  <si>
    <t>BN2151</t>
  </si>
  <si>
    <t>Der Klang des Muschelhorns</t>
  </si>
  <si>
    <t>9783785724972</t>
  </si>
  <si>
    <t>BN2152</t>
  </si>
  <si>
    <t>BN0665</t>
  </si>
  <si>
    <t>9 - Die Wiederkehr</t>
  </si>
  <si>
    <t>BN0061</t>
  </si>
  <si>
    <t>Drei Frauen Ein Skandal</t>
  </si>
  <si>
    <t>BN2153</t>
  </si>
  <si>
    <t>Sergej Lukianenko</t>
  </si>
  <si>
    <t>Wächter des Zwielichts</t>
  </si>
  <si>
    <t>9783453531987</t>
  </si>
  <si>
    <t>BN2154</t>
  </si>
  <si>
    <t>Wächter der Ewigkeit</t>
  </si>
  <si>
    <t>9783453522558</t>
  </si>
  <si>
    <t>BN2155</t>
  </si>
  <si>
    <t>Wächter des Tages</t>
  </si>
  <si>
    <t>9783453532007</t>
  </si>
  <si>
    <t>BN2156</t>
  </si>
  <si>
    <t>Der Feind im Schatten</t>
  </si>
  <si>
    <t>Paul Zsolnay Verlag</t>
  </si>
  <si>
    <t>9783552054967</t>
  </si>
  <si>
    <t>BN2157</t>
  </si>
  <si>
    <t>Eileen Goudge</t>
  </si>
  <si>
    <t>Ein letzter Tanz</t>
  </si>
  <si>
    <t>9783828969407</t>
  </si>
  <si>
    <t>BN2158</t>
  </si>
  <si>
    <t>Hendrik Berg</t>
  </si>
  <si>
    <t>Küstenfluch</t>
  </si>
  <si>
    <t>9783442485567</t>
  </si>
  <si>
    <t>BN2159</t>
  </si>
  <si>
    <t>Ellis Peters</t>
  </si>
  <si>
    <t>Bruder Cadfaels Buße</t>
  </si>
  <si>
    <t>9783453160989</t>
  </si>
  <si>
    <t>BN2160</t>
  </si>
  <si>
    <t>Kristin Hannah</t>
  </si>
  <si>
    <t>Wer dem Glück vertraut</t>
  </si>
  <si>
    <t>9783548266039</t>
  </si>
  <si>
    <t>BN2161</t>
  </si>
  <si>
    <t>Elisabeth Schnurrer</t>
  </si>
  <si>
    <t>Reiseführer Türkei Westküste</t>
  </si>
  <si>
    <t>ADAC</t>
  </si>
  <si>
    <t>9783899059779</t>
  </si>
  <si>
    <t>BN2162</t>
  </si>
  <si>
    <t>Vater Unser</t>
  </si>
  <si>
    <t>9783499244568</t>
  </si>
  <si>
    <t>BN2163</t>
  </si>
  <si>
    <t>Tessa Hennig</t>
  </si>
  <si>
    <t>Mit Oma in Roma</t>
  </si>
  <si>
    <t>9783548612577</t>
  </si>
  <si>
    <t>BN2164</t>
  </si>
  <si>
    <t>Deana Zinßmeister</t>
  </si>
  <si>
    <t>Das Lied der Hugenotten</t>
  </si>
  <si>
    <t>9783442484096</t>
  </si>
  <si>
    <t>BN2165</t>
  </si>
  <si>
    <t>Janet Evanovich</t>
  </si>
  <si>
    <t>Cheers Baby</t>
  </si>
  <si>
    <t>9783442468317</t>
  </si>
  <si>
    <t>BN2166</t>
  </si>
  <si>
    <t>Die Patin</t>
  </si>
  <si>
    <t>9783404154623</t>
  </si>
  <si>
    <t>BN2167</t>
  </si>
  <si>
    <t>Juli Zeh</t>
  </si>
  <si>
    <t>Nullzeit</t>
  </si>
  <si>
    <t>9783442745692</t>
  </si>
  <si>
    <t>BN2168</t>
  </si>
  <si>
    <t>Corina Bomann</t>
  </si>
  <si>
    <t>Die Frauen vom Löwenhof</t>
  </si>
  <si>
    <t>9783548289991</t>
  </si>
  <si>
    <t>BN2169</t>
  </si>
  <si>
    <t>Knut Hansum</t>
  </si>
  <si>
    <t>Segen der Edre</t>
  </si>
  <si>
    <t>9783423110556</t>
  </si>
  <si>
    <t>BN2170</t>
  </si>
  <si>
    <t>Rüdiger Opelt</t>
  </si>
  <si>
    <t>Die Kinder des Tantalus</t>
  </si>
  <si>
    <t>Czernin Verlag</t>
  </si>
  <si>
    <t>9783707601503</t>
  </si>
  <si>
    <t>BN2171</t>
  </si>
  <si>
    <t>Konrad Löw</t>
  </si>
  <si>
    <t>Adenauer hatte recht</t>
  </si>
  <si>
    <t>Verlag Inspiration</t>
  </si>
  <si>
    <t>9783945127100</t>
  </si>
  <si>
    <t>BN2172</t>
  </si>
  <si>
    <t>4026725909950</t>
  </si>
  <si>
    <t>BN2173</t>
  </si>
  <si>
    <t>BN2174</t>
  </si>
  <si>
    <t>Der gemietete Mann</t>
  </si>
  <si>
    <t>9783596144433</t>
  </si>
  <si>
    <t>BN2175</t>
  </si>
  <si>
    <t>Der Glasmurmelsammler</t>
  </si>
  <si>
    <t>9783596193356</t>
  </si>
  <si>
    <t>BN2176</t>
  </si>
  <si>
    <t>Der Nachbar</t>
  </si>
  <si>
    <t>Galeria Edition</t>
  </si>
  <si>
    <t>9783442301331</t>
  </si>
  <si>
    <t>BN2177</t>
  </si>
  <si>
    <t>Gottfried Martin</t>
  </si>
  <si>
    <t>Platon</t>
  </si>
  <si>
    <t>BN2178</t>
  </si>
  <si>
    <t>Die Pilgerin</t>
  </si>
  <si>
    <t>9783828980020</t>
  </si>
  <si>
    <t>BN2179</t>
  </si>
  <si>
    <t>Hans Wegener</t>
  </si>
  <si>
    <t>Die blauen Bücher Junge Männer vor der Ehe</t>
  </si>
  <si>
    <t>Karl Robert Langewiesche</t>
  </si>
  <si>
    <t>BN2180</t>
  </si>
  <si>
    <t>Das Blut der Templer 2</t>
  </si>
  <si>
    <t>9783548266664</t>
  </si>
  <si>
    <t>BN2181</t>
  </si>
  <si>
    <t>Veit Heinichen</t>
  </si>
  <si>
    <t>Gib jedem seinen eigenen Tod</t>
  </si>
  <si>
    <t>9783423205160</t>
  </si>
  <si>
    <t>BN2182</t>
  </si>
  <si>
    <t>Damian Dibben</t>
  </si>
  <si>
    <t>Jake Djones und die Hüter der Zeit</t>
  </si>
  <si>
    <t>Penhaligon</t>
  </si>
  <si>
    <t>9783764530938</t>
  </si>
  <si>
    <t>BN2183</t>
  </si>
  <si>
    <t>Thorsten Vavener Dr. Michael Spitzbart</t>
  </si>
  <si>
    <t>Denken sie nicht an einen blauen Elefanten - Die Macht der Gedanken</t>
  </si>
  <si>
    <t>9783828941700</t>
  </si>
  <si>
    <t>BN2184</t>
  </si>
  <si>
    <t>Brad Meltzer</t>
  </si>
  <si>
    <t>Die Bank</t>
  </si>
  <si>
    <t>Aufbau-Verlag</t>
  </si>
  <si>
    <t>9783746625058</t>
  </si>
  <si>
    <t>BN2185</t>
  </si>
  <si>
    <t>Barbara Eder</t>
  </si>
  <si>
    <t>Meine Geschäftsidee - Existenzgründung für Frauen</t>
  </si>
  <si>
    <t>Humboldt</t>
  </si>
  <si>
    <t>9783869107714</t>
  </si>
  <si>
    <t>BN2186</t>
  </si>
  <si>
    <t>Evelyn Sanders</t>
  </si>
  <si>
    <t>Bitte Einzelzimmer mit Bad</t>
  </si>
  <si>
    <t>9783863651473</t>
  </si>
  <si>
    <t>BN2187</t>
  </si>
  <si>
    <t>Wenn du mich siehst</t>
  </si>
  <si>
    <t>9783453421936</t>
  </si>
  <si>
    <t>BN2188</t>
  </si>
  <si>
    <t>Markus Hederer</t>
  </si>
  <si>
    <t>Laufen statt Diät</t>
  </si>
  <si>
    <t>GU Plus</t>
  </si>
  <si>
    <t>9783833804960</t>
  </si>
  <si>
    <t>BN2189</t>
  </si>
  <si>
    <t>Fei Long</t>
  </si>
  <si>
    <t>Quantenheilung leicht gemacht</t>
  </si>
  <si>
    <t>9783442220328</t>
  </si>
  <si>
    <t>BN2190</t>
  </si>
  <si>
    <t>Ephraim Kishon</t>
  </si>
  <si>
    <t>Und die allerbeste Ehefrau von allen</t>
  </si>
  <si>
    <t>BN2191</t>
  </si>
  <si>
    <t>Tess Gerritsen</t>
  </si>
  <si>
    <t>Kalte Herzen</t>
  </si>
  <si>
    <t>Club Taschenbuch</t>
  </si>
  <si>
    <t>BN2192</t>
  </si>
  <si>
    <t>Ada Dorian</t>
  </si>
  <si>
    <t>Betrunkene Bäume</t>
  </si>
  <si>
    <t>9783548290508</t>
  </si>
  <si>
    <t>BN2193</t>
  </si>
  <si>
    <t>Raclette, Fondue und heißer Stein</t>
  </si>
  <si>
    <t>Compact Via</t>
  </si>
  <si>
    <t>9783817465781</t>
  </si>
  <si>
    <t>BN2194</t>
  </si>
  <si>
    <t>Harlan Coben</t>
  </si>
  <si>
    <t>Abgeblockt</t>
  </si>
  <si>
    <t>9783442484614</t>
  </si>
  <si>
    <t>BN2195</t>
  </si>
  <si>
    <t>Berthold Auerbach</t>
  </si>
  <si>
    <t>Dorfgeschichten</t>
  </si>
  <si>
    <t>Klöpfer und Meyer</t>
  </si>
  <si>
    <t>9783940086709</t>
  </si>
  <si>
    <t>BN2196</t>
  </si>
  <si>
    <t>BN2197</t>
  </si>
  <si>
    <t>Lockruf der Vergangenheit</t>
  </si>
  <si>
    <t>BN2198</t>
  </si>
  <si>
    <t>Wolf Siebel</t>
  </si>
  <si>
    <t>UKW Sprechfunk-Handbuch</t>
  </si>
  <si>
    <t>Siebel Verlag</t>
  </si>
  <si>
    <t>3922221122</t>
  </si>
  <si>
    <t>BN2199</t>
  </si>
  <si>
    <t>Michael de Larrabeiti</t>
  </si>
  <si>
    <t>Die Borribles 3 - Die Schleppnetzfahndung</t>
  </si>
  <si>
    <t>9783608875131</t>
  </si>
  <si>
    <t>BN2200</t>
  </si>
  <si>
    <t>Mein Leben als Mensch</t>
  </si>
  <si>
    <t>9783499254017</t>
  </si>
  <si>
    <t>BN2201</t>
  </si>
  <si>
    <t>Dürrenmatt</t>
  </si>
  <si>
    <t>Der Richter und sein Henker</t>
  </si>
  <si>
    <t>9783257225358</t>
  </si>
  <si>
    <t>BN2202</t>
  </si>
  <si>
    <t>Rolf-Bernhard Essig</t>
  </si>
  <si>
    <t>Ich kenn doch meine Pappenheimer</t>
  </si>
  <si>
    <t>9783411711079</t>
  </si>
  <si>
    <t>BN2203</t>
  </si>
  <si>
    <t>Fabian Lenk</t>
  </si>
  <si>
    <t>Falsches Spiel in der Arena - Ein Ratekrimi aus dem alten Rom</t>
  </si>
  <si>
    <t>9783785542323</t>
  </si>
  <si>
    <t>BN2204</t>
  </si>
  <si>
    <t>Die Schatten und der Regen</t>
  </si>
  <si>
    <t>9783442749478</t>
  </si>
  <si>
    <t>BN2205</t>
  </si>
  <si>
    <t>Dennis Lehane</t>
  </si>
  <si>
    <t>Regenzauber</t>
  </si>
  <si>
    <t>9783828971639</t>
  </si>
  <si>
    <t>BN2206</t>
  </si>
  <si>
    <t>Pamela Cook</t>
  </si>
  <si>
    <t>Rückkehr nach Blackwattle Lake</t>
  </si>
  <si>
    <t>9783955690069</t>
  </si>
  <si>
    <t>BN2207</t>
  </si>
  <si>
    <t>Peter Hoeg</t>
  </si>
  <si>
    <t>Fräulein Smillas Gespür für Schnee</t>
  </si>
  <si>
    <t>9783499135996</t>
  </si>
  <si>
    <t>BN2208</t>
  </si>
  <si>
    <t>Die Stunde der Schuld</t>
  </si>
  <si>
    <t>9783734105289</t>
  </si>
  <si>
    <t>BN2209</t>
  </si>
  <si>
    <t>Kommissar Kugelblitz Der Fall Kobra</t>
  </si>
  <si>
    <t>9783505112317</t>
  </si>
  <si>
    <t>BN2210</t>
  </si>
  <si>
    <t>Nicholas Guild</t>
  </si>
  <si>
    <t>Der Makedonier</t>
  </si>
  <si>
    <t>Namensstempel im Einband</t>
  </si>
  <si>
    <t>3471776729</t>
  </si>
  <si>
    <t>BN2211</t>
  </si>
  <si>
    <t>Ian Smith</t>
  </si>
  <si>
    <t>Der geheime Orden</t>
  </si>
  <si>
    <t>9783404155880</t>
  </si>
  <si>
    <t>BN2212</t>
  </si>
  <si>
    <t>Gwen Florio</t>
  </si>
  <si>
    <t>Der Lohn des Bösen</t>
  </si>
  <si>
    <t>9783442482115</t>
  </si>
  <si>
    <t>BN2213</t>
  </si>
  <si>
    <t>Anne Frasier</t>
  </si>
  <si>
    <t>Die Toten schlafen nie</t>
  </si>
  <si>
    <t>9783959731607</t>
  </si>
  <si>
    <t>BN2214</t>
  </si>
  <si>
    <t>Michael Byrnes</t>
  </si>
  <si>
    <t>Relictum</t>
  </si>
  <si>
    <t>BN2215</t>
  </si>
  <si>
    <t>Janet Dawson</t>
  </si>
  <si>
    <t>Auf jede Drohung folgt ein Mord</t>
  </si>
  <si>
    <t>9783426671276</t>
  </si>
  <si>
    <t>BN2216</t>
  </si>
  <si>
    <t>Der Anfang aller Dinge</t>
  </si>
  <si>
    <t>9783453490604</t>
  </si>
  <si>
    <t>BN2217</t>
  </si>
  <si>
    <t>Susanne Kliem</t>
  </si>
  <si>
    <t>Trügerische Nähe</t>
  </si>
  <si>
    <t>9783328101222</t>
  </si>
  <si>
    <t>BN2218</t>
  </si>
  <si>
    <t>Christian Graf von Krockow</t>
  </si>
  <si>
    <t>Die Stunde der Frauen</t>
  </si>
  <si>
    <t>BN2219</t>
  </si>
  <si>
    <t>Mary und Carol Higgins Clark</t>
  </si>
  <si>
    <t>Der Weihnachtsdieb</t>
  </si>
  <si>
    <t>389897202x</t>
  </si>
  <si>
    <t>BN2220</t>
  </si>
  <si>
    <t>Shilpi Somaya Gowda</t>
  </si>
  <si>
    <t>Geheime Tochter</t>
  </si>
  <si>
    <t>9783462044454</t>
  </si>
  <si>
    <t>BN2221</t>
  </si>
  <si>
    <t>BN2222</t>
  </si>
  <si>
    <t>Bittere Medizin</t>
  </si>
  <si>
    <t>9783548251073</t>
  </si>
  <si>
    <t>BN2223</t>
  </si>
  <si>
    <t>9783442444366</t>
  </si>
  <si>
    <t>BN2224</t>
  </si>
  <si>
    <t>Die Erben des Medicus</t>
  </si>
  <si>
    <t>9783426607008</t>
  </si>
  <si>
    <t>BN2225</t>
  </si>
  <si>
    <t>Sabine Kuegler</t>
  </si>
  <si>
    <t>Ruf des Dschungels</t>
  </si>
  <si>
    <t>9783426779729</t>
  </si>
  <si>
    <t>BN2226</t>
  </si>
  <si>
    <t>Pons</t>
  </si>
  <si>
    <t>Last Minute Sprachführer Portugiesisch</t>
  </si>
  <si>
    <t>9783125182882</t>
  </si>
  <si>
    <t>BN2227</t>
  </si>
  <si>
    <t>Timmerberg</t>
  </si>
  <si>
    <t>Reise ABC</t>
  </si>
  <si>
    <t>Solibro</t>
  </si>
  <si>
    <t>9783932927201</t>
  </si>
  <si>
    <t>BN2228</t>
  </si>
  <si>
    <t>Dr. Med. Nikolaus Frühwein</t>
  </si>
  <si>
    <t>Gesundheit auf Reisen</t>
  </si>
  <si>
    <t>Fink-Kümmerly-Frey</t>
  </si>
  <si>
    <t>3771807875</t>
  </si>
  <si>
    <t>BN2229</t>
  </si>
  <si>
    <t>Moppelich</t>
  </si>
  <si>
    <t>9783810506665</t>
  </si>
  <si>
    <t>BN2230</t>
  </si>
  <si>
    <t>Dr. med. Raymond A. Moody</t>
  </si>
  <si>
    <t>Das Licht von Drüben</t>
  </si>
  <si>
    <t>9783828934191</t>
  </si>
  <si>
    <t>BN2231</t>
  </si>
  <si>
    <t>Traumfänger</t>
  </si>
  <si>
    <t>9783442437405</t>
  </si>
  <si>
    <t>BN2232</t>
  </si>
  <si>
    <t>Sara MacDonald</t>
  </si>
  <si>
    <t>Was einst aus Liebe geschah</t>
  </si>
  <si>
    <t>Taschenbch</t>
  </si>
  <si>
    <t>3404154428</t>
  </si>
  <si>
    <t>BN2233</t>
  </si>
  <si>
    <t>Der Schwarm</t>
  </si>
  <si>
    <t>9783596164530</t>
  </si>
  <si>
    <t>BN2234</t>
  </si>
  <si>
    <t>Laetitia Colombani</t>
  </si>
  <si>
    <t>Der Zopf</t>
  </si>
  <si>
    <t>9783596701858</t>
  </si>
  <si>
    <t>BN2235</t>
  </si>
  <si>
    <t>BN2236</t>
  </si>
  <si>
    <t>Arthur Golden</t>
  </si>
  <si>
    <t>Die Geisha</t>
  </si>
  <si>
    <t>9783442726325</t>
  </si>
  <si>
    <t>BN2237</t>
  </si>
  <si>
    <t>Die Bibel</t>
  </si>
  <si>
    <t>Gott Begegnen</t>
  </si>
  <si>
    <t>BN2238</t>
  </si>
  <si>
    <t>Kolonien der Liebe</t>
  </si>
  <si>
    <t>3499331195</t>
  </si>
  <si>
    <t>BN2239</t>
  </si>
  <si>
    <t>Hans Stolp</t>
  </si>
  <si>
    <t>Michael Der Erzengel des neuen Zeitalters</t>
  </si>
  <si>
    <t>Aquamarin Verlag</t>
  </si>
  <si>
    <t>9783894278267</t>
  </si>
  <si>
    <t>BN2240</t>
  </si>
  <si>
    <t>Ulrich Ritzel</t>
  </si>
  <si>
    <t>Der Schatten des Schwans</t>
  </si>
  <si>
    <t>9783442739547</t>
  </si>
  <si>
    <t>BN2241</t>
  </si>
  <si>
    <t>BN2242</t>
  </si>
  <si>
    <t>Kalt ist der Abendhauch</t>
  </si>
  <si>
    <t>9783257230239</t>
  </si>
  <si>
    <t>BN2243</t>
  </si>
  <si>
    <t>Schleichendes Gift</t>
  </si>
  <si>
    <t>9783426500729</t>
  </si>
  <si>
    <t>BN2244</t>
  </si>
  <si>
    <t>Nicholas Barreau</t>
  </si>
  <si>
    <t>Das Lächeln der Frauen</t>
  </si>
  <si>
    <t>9783492272858</t>
  </si>
  <si>
    <t>BN2245</t>
  </si>
  <si>
    <t>Liselotte Pulver</t>
  </si>
  <si>
    <t>Was vergeht, ist nicht verloren</t>
  </si>
  <si>
    <t>9783455006476</t>
  </si>
  <si>
    <t>BN2246</t>
  </si>
  <si>
    <t>Die Säulen der Erde</t>
  </si>
  <si>
    <t>382890632x</t>
  </si>
  <si>
    <t>BN2247</t>
  </si>
  <si>
    <t>9782608222114</t>
  </si>
  <si>
    <t>BN2248</t>
  </si>
  <si>
    <t>Hermann Schulz</t>
  </si>
  <si>
    <t>Auf dem Strom</t>
  </si>
  <si>
    <t>9783423640381</t>
  </si>
  <si>
    <t>BN2249</t>
  </si>
  <si>
    <t>Ute Karen Seggelke</t>
  </si>
  <si>
    <t>Gelassen und ein bisschen Weiser</t>
  </si>
  <si>
    <t>Namenseintrag auf letzter Seite</t>
  </si>
  <si>
    <t>9783451067358</t>
  </si>
  <si>
    <t>BN2250</t>
  </si>
  <si>
    <t>Sheldon B. Kopp</t>
  </si>
  <si>
    <t>Psychotherapie mit dem Tarot</t>
  </si>
  <si>
    <t>3424009423</t>
  </si>
  <si>
    <t>BN2251</t>
  </si>
  <si>
    <t>Steven D. Levitt</t>
  </si>
  <si>
    <t>Freakonomics</t>
  </si>
  <si>
    <t>Tachenbuch</t>
  </si>
  <si>
    <t>9783442154517</t>
  </si>
  <si>
    <t>BN2252</t>
  </si>
  <si>
    <t>Inga Lindström</t>
  </si>
  <si>
    <t>Nordlichtträume</t>
  </si>
  <si>
    <t>BN2253</t>
  </si>
  <si>
    <t>Christian Pfannenschmidt und Edith Beleites</t>
  </si>
  <si>
    <t>Zehn Etagen bis zum Glück</t>
  </si>
  <si>
    <t>9783499224904</t>
  </si>
  <si>
    <t>BN2254</t>
  </si>
  <si>
    <t>Hanife Gashi</t>
  </si>
  <si>
    <t>Mein Schmerz trägt deinen Namen - Ein Ehrenmord in Deutschland</t>
  </si>
  <si>
    <t>9783828988316</t>
  </si>
  <si>
    <t>BN2255</t>
  </si>
  <si>
    <t>Wenn Engel schweigen</t>
  </si>
  <si>
    <t>9783828979727</t>
  </si>
  <si>
    <t>BN2256</t>
  </si>
  <si>
    <t>Jojo Moyes</t>
  </si>
  <si>
    <t>Ein ganzes halbes Jahr</t>
  </si>
  <si>
    <t>Rohwolts</t>
  </si>
  <si>
    <t>9783499267031</t>
  </si>
  <si>
    <t>BN2257</t>
  </si>
  <si>
    <t>Die Erfinder des Todes und Tödliche Worte</t>
  </si>
  <si>
    <t>9783828986701</t>
  </si>
  <si>
    <t>BN2258</t>
  </si>
  <si>
    <t>BN2259</t>
  </si>
  <si>
    <t>9783426625330</t>
  </si>
  <si>
    <t>BN2260</t>
  </si>
  <si>
    <t>Annegret Meyer</t>
  </si>
  <si>
    <t>Ferne Grüße</t>
  </si>
  <si>
    <t>Mai Verlag</t>
  </si>
  <si>
    <t>3879361649</t>
  </si>
  <si>
    <t>BN2261</t>
  </si>
  <si>
    <t>Ein Hoffnungsstern am Himmel</t>
  </si>
  <si>
    <t>9783404151592</t>
  </si>
  <si>
    <t>BN2262</t>
  </si>
  <si>
    <t>Salman Rushdie</t>
  </si>
  <si>
    <t>Harun und das Meer der Geschichten</t>
  </si>
  <si>
    <t>3426600927</t>
  </si>
  <si>
    <t>BN2263</t>
  </si>
  <si>
    <t>Terry Pratchett</t>
  </si>
  <si>
    <t>Rincewind der Zauberer</t>
  </si>
  <si>
    <t>9783492285001</t>
  </si>
  <si>
    <t>BN2264</t>
  </si>
  <si>
    <t>Annette Bauer</t>
  </si>
  <si>
    <t>Mit Pepe von 0 auf 101: Mathematik kinderleicht gemacht - Zahlenspiele ab 4 Jahren</t>
  </si>
  <si>
    <t>Freiburger</t>
  </si>
  <si>
    <t>9783937366067</t>
  </si>
  <si>
    <t>BN2265</t>
  </si>
  <si>
    <t>Jessica Clare</t>
  </si>
  <si>
    <t>Perfect Touch: ungestüm</t>
  </si>
  <si>
    <t>9783404174669</t>
  </si>
  <si>
    <t>BN2266</t>
  </si>
  <si>
    <t>Markus Heitz</t>
  </si>
  <si>
    <t>Die Zwerge</t>
  </si>
  <si>
    <t>9783492700764</t>
  </si>
  <si>
    <t>BN2267</t>
  </si>
  <si>
    <t>Grégoire Delacourt</t>
  </si>
  <si>
    <t>Wir sahen nur das Glück</t>
  </si>
  <si>
    <t>9783453419971</t>
  </si>
  <si>
    <t>BN2268</t>
  </si>
  <si>
    <t>Aus der schönen neuen Welt: Expedition ins Landesinnere</t>
  </si>
  <si>
    <t>BN2269</t>
  </si>
  <si>
    <t>Sternenschweif: Geheimnisvolle Verwandlung</t>
  </si>
  <si>
    <t>Kosos</t>
  </si>
  <si>
    <t>BN2270</t>
  </si>
  <si>
    <t>Echo der Hoffnung</t>
  </si>
  <si>
    <t>9783764503031</t>
  </si>
  <si>
    <t>BN2271</t>
  </si>
  <si>
    <t>Feuer und Stein</t>
  </si>
  <si>
    <t>BN2272</t>
  </si>
  <si>
    <t>Sylvia Schneider</t>
  </si>
  <si>
    <t>Warum Frauen eine andere Medizin brauchen</t>
  </si>
  <si>
    <t>FID</t>
  </si>
  <si>
    <t>3932017277</t>
  </si>
  <si>
    <t>BN2273</t>
  </si>
  <si>
    <t>Steffen Kohl</t>
  </si>
  <si>
    <t>Trödler Abraham Mc Doodle</t>
  </si>
  <si>
    <t>personalisiert,Widmung</t>
  </si>
  <si>
    <t>3895013773</t>
  </si>
  <si>
    <t>BN2274</t>
  </si>
  <si>
    <t>Kirsten Boie</t>
  </si>
  <si>
    <t>erzählt vom Angstahebn</t>
  </si>
  <si>
    <t>9783841501189</t>
  </si>
  <si>
    <t>BN2275</t>
  </si>
  <si>
    <t>Patricia Gaffney</t>
  </si>
  <si>
    <t>Wege der Liebe</t>
  </si>
  <si>
    <t>9783453490208</t>
  </si>
  <si>
    <t>BN2276</t>
  </si>
  <si>
    <t>Chao-Hsiu Chen</t>
  </si>
  <si>
    <t>Im Tempel der Stille: Von der Befreiung des Herzens</t>
  </si>
  <si>
    <t>9783548743394</t>
  </si>
  <si>
    <t>BN2277</t>
  </si>
  <si>
    <t>Denis Marquet</t>
  </si>
  <si>
    <t>Der Zorn</t>
  </si>
  <si>
    <t>9783404151349</t>
  </si>
  <si>
    <t>BN2278</t>
  </si>
  <si>
    <t>Herzflimmern</t>
  </si>
  <si>
    <t>personalisiert: Namenseintrag</t>
  </si>
  <si>
    <t>9783596506118</t>
  </si>
  <si>
    <t>BN2279</t>
  </si>
  <si>
    <t>BN2280</t>
  </si>
  <si>
    <t>Rachel Lacey</t>
  </si>
  <si>
    <t>Kein Plan für die Liebe</t>
  </si>
  <si>
    <t xml:space="preserve">EGMONT  </t>
  </si>
  <si>
    <t>9783802596513</t>
  </si>
  <si>
    <t>BN2281</t>
  </si>
  <si>
    <t>Kate Grenville</t>
  </si>
  <si>
    <t>Eine Ahnung von Vollkommenheit</t>
  </si>
  <si>
    <t>9783442740789</t>
  </si>
  <si>
    <t>BN2282</t>
  </si>
  <si>
    <t>Das Spiel des Patriachen: Commissario Montalbanos fünfter Fall</t>
  </si>
  <si>
    <t>9783404921140</t>
  </si>
  <si>
    <t>BN2283</t>
  </si>
  <si>
    <t>Tödliche Spritzen</t>
  </si>
  <si>
    <t>mtb</t>
  </si>
  <si>
    <t>9783956491979</t>
  </si>
  <si>
    <t>BN2284</t>
  </si>
  <si>
    <t>Joachim Masannek</t>
  </si>
  <si>
    <t>Die Wilden Kerle Fußball: Maxi "Tippkick" Maximilian</t>
  </si>
  <si>
    <t>9783423708920</t>
  </si>
  <si>
    <t>BN2285</t>
  </si>
  <si>
    <t>Ein Hauch von Schnee und Asche</t>
  </si>
  <si>
    <t>9783764500573</t>
  </si>
  <si>
    <t>BN2286</t>
  </si>
  <si>
    <t>Franz-Christoph Heel und Olaf Schumacher</t>
  </si>
  <si>
    <t>100 Autos die man fahren muss, bevor man stirbt</t>
  </si>
  <si>
    <t>Heel</t>
  </si>
  <si>
    <t>9783868520576</t>
  </si>
  <si>
    <t>BN2287</t>
  </si>
  <si>
    <t>Katherine Roberts</t>
  </si>
  <si>
    <t>Der große Pyramidenraub</t>
  </si>
  <si>
    <t>9783423622561</t>
  </si>
  <si>
    <t>BN2288</t>
  </si>
  <si>
    <t>Die spannensten Lesefix Ratekrimis</t>
  </si>
  <si>
    <t>9783811232075</t>
  </si>
  <si>
    <t>BN2289</t>
  </si>
  <si>
    <t>Katja Reider / Werner Färber</t>
  </si>
  <si>
    <t>Kleine Rittergeschichten</t>
  </si>
  <si>
    <t>9783785549209</t>
  </si>
  <si>
    <t>BN2290</t>
  </si>
  <si>
    <t>Mari Jungstedt</t>
  </si>
  <si>
    <t>Den du nicht siehst</t>
  </si>
  <si>
    <t>9783453431027</t>
  </si>
  <si>
    <t>BN2291</t>
  </si>
  <si>
    <t>Wer die stille stört</t>
  </si>
  <si>
    <t>4016491015314</t>
  </si>
  <si>
    <t>BN2292</t>
  </si>
  <si>
    <t>Jasper Caven</t>
  </si>
  <si>
    <t>Hunger Stoffwechsel: Raus aus der Abnehmfalle</t>
  </si>
  <si>
    <t>omos</t>
  </si>
  <si>
    <t>9783000611254</t>
  </si>
  <si>
    <t>BN2293</t>
  </si>
  <si>
    <t>Tim Gelhausen</t>
  </si>
  <si>
    <t>Klick im Kopf</t>
  </si>
  <si>
    <t>BN2294</t>
  </si>
  <si>
    <t>Robert Muchamore</t>
  </si>
  <si>
    <t>Top Secret 1</t>
  </si>
  <si>
    <t>9783570301845</t>
  </si>
  <si>
    <t>BN2295</t>
  </si>
  <si>
    <t>Michael Spooner</t>
  </si>
  <si>
    <t>Gefahr am Green River</t>
  </si>
  <si>
    <t>9783791519548</t>
  </si>
  <si>
    <t>BN2296</t>
  </si>
  <si>
    <t>Die Wilden Kerle Fußball: Fabi der schnellste Rechtsaußen der Welt</t>
  </si>
  <si>
    <t>9783423709156</t>
  </si>
  <si>
    <t>BN2297</t>
  </si>
  <si>
    <t>Brock Haus</t>
  </si>
  <si>
    <t>Was in keinem Lexikon steht</t>
  </si>
  <si>
    <t>9783577148849</t>
  </si>
  <si>
    <t>BN2298</t>
  </si>
  <si>
    <t>Martin Klein</t>
  </si>
  <si>
    <t>Torjägergeschichten</t>
  </si>
  <si>
    <t>9783785534397</t>
  </si>
  <si>
    <t>BN2299</t>
  </si>
  <si>
    <t>Dimiter Inkiow</t>
  </si>
  <si>
    <t>Das Kaninchen und der Frosch</t>
  </si>
  <si>
    <t>BN2300</t>
  </si>
  <si>
    <t>Fabrizio P. Calderaro</t>
  </si>
  <si>
    <t>KETOGA: Ketogene Ernährung und Yoga</t>
  </si>
  <si>
    <t>Franzius</t>
  </si>
  <si>
    <t>Eintragungen auf den ersten beiden unbeschrieben Seiten mit Bleistift</t>
  </si>
  <si>
    <t>BN2301</t>
  </si>
  <si>
    <t>Frank Rumpf</t>
  </si>
  <si>
    <t>"ready for boarding" Fliegen mit Tomatensaft und Turbulenzen</t>
  </si>
  <si>
    <t>BN2302</t>
  </si>
  <si>
    <t>Stephan Ludwig</t>
  </si>
  <si>
    <t>Zorn: Wie du mir</t>
  </si>
  <si>
    <t>BN2303</t>
  </si>
  <si>
    <t>Günter Herlt</t>
  </si>
  <si>
    <t>Ratgeber: Wie wird man Wessi</t>
  </si>
  <si>
    <t>Eulenspiegel</t>
  </si>
  <si>
    <t>BN2304</t>
  </si>
  <si>
    <t>M. M. Buckner</t>
  </si>
  <si>
    <t>Watermind: Es kann jederzeit passieren</t>
  </si>
  <si>
    <t>BN2305</t>
  </si>
  <si>
    <t>Ursula Hegi</t>
  </si>
  <si>
    <t>Die andere</t>
  </si>
  <si>
    <t>BN2306</t>
  </si>
  <si>
    <t>Monsarrat / White / Woodman</t>
  </si>
  <si>
    <t>Seehelden: Der ewige Seemann I  Der junge Kelso / Die Augen der Flotte</t>
  </si>
  <si>
    <t>BN2307</t>
  </si>
  <si>
    <t>Konrad Gallei / Gaby Hermsdorf</t>
  </si>
  <si>
    <t>Blockhaus Leben: Ein Jahr in der Wildnis von Kanada</t>
  </si>
  <si>
    <t>Frederking &amp; Thaler</t>
  </si>
  <si>
    <t>BN2308</t>
  </si>
  <si>
    <t>Michelle Richmond</t>
  </si>
  <si>
    <t>Das Bootshaus unten am Fluss</t>
  </si>
  <si>
    <t>BN2309</t>
  </si>
  <si>
    <t>Cathleen Schine</t>
  </si>
  <si>
    <t>Der Liebesbrief</t>
  </si>
  <si>
    <t>BN2310</t>
  </si>
  <si>
    <t>Elizabeth Haynes</t>
  </si>
  <si>
    <t>Wohin du auch fliehst</t>
  </si>
  <si>
    <t>BN2311</t>
  </si>
  <si>
    <t>BN2312</t>
  </si>
  <si>
    <t>BN2313</t>
  </si>
  <si>
    <t>Christine Feehan</t>
  </si>
  <si>
    <t>Weiße Weihnacht in Wyoming</t>
  </si>
  <si>
    <t>BN2314</t>
  </si>
  <si>
    <t>Aliza Olmert</t>
  </si>
  <si>
    <t>Ein Stück vom Meer</t>
  </si>
  <si>
    <t>BN2315</t>
  </si>
  <si>
    <t>Karlheinz Schauder</t>
  </si>
  <si>
    <t>"Franz haiß ich, Franz pleib ich" Das Sickingen-Lesebuch</t>
  </si>
  <si>
    <t>Franz Arbogast</t>
  </si>
  <si>
    <t>BN2316</t>
  </si>
  <si>
    <t>Uli Hannemann</t>
  </si>
  <si>
    <t>Neulich in Neukölln: Notizen von der Talsohle des Lebens</t>
  </si>
  <si>
    <t>BN2317</t>
  </si>
  <si>
    <t>BN2318</t>
  </si>
  <si>
    <t>Hans-Hermann Stolze</t>
  </si>
  <si>
    <t>Sehr geehrtes Facebook</t>
  </si>
  <si>
    <t>BN2319</t>
  </si>
  <si>
    <t>Harriet Beecher Stowe</t>
  </si>
  <si>
    <t>Onkel Toms Hütte</t>
  </si>
  <si>
    <t>BN2320</t>
  </si>
  <si>
    <t>Tom Hodgkinson</t>
  </si>
  <si>
    <t>Leitfaden für faule Eltern</t>
  </si>
  <si>
    <t>Rogner &amp; Bernhard</t>
  </si>
  <si>
    <t>BN2321</t>
  </si>
  <si>
    <t>Hansjörg Hemminger</t>
  </si>
  <si>
    <t>Die Rückkehr der Zauberer: New Age - eine Kritik</t>
  </si>
  <si>
    <t>2 Stempel von der Bücherei der evang. Kirche</t>
  </si>
  <si>
    <t>BN2322</t>
  </si>
  <si>
    <t>BN2323</t>
  </si>
  <si>
    <t>Bauernhofgeschichten mit Bauer Bolle</t>
  </si>
  <si>
    <t>BN2324</t>
  </si>
  <si>
    <t>Ingrid Uebe / Sigrid Leberer</t>
  </si>
  <si>
    <t>Träum schön, kleine Nixe</t>
  </si>
  <si>
    <t>BN2325</t>
  </si>
  <si>
    <t>Cinderella</t>
  </si>
  <si>
    <t>Horizont</t>
  </si>
  <si>
    <t>BN2326</t>
  </si>
  <si>
    <t>Strolchis Abenteuer</t>
  </si>
  <si>
    <t>BN2327</t>
  </si>
  <si>
    <t>kleine Schutzengelgeschichten</t>
  </si>
  <si>
    <t>BN2328</t>
  </si>
  <si>
    <t>Cornelia Franz</t>
  </si>
  <si>
    <t>Der kleine Drache lernt fliegen</t>
  </si>
  <si>
    <t>BN2329</t>
  </si>
  <si>
    <t>Anke Breitenborn / Oliver Bieber</t>
  </si>
  <si>
    <t>Polizeigeschichten</t>
  </si>
  <si>
    <t>Schager &amp; Steinlein</t>
  </si>
  <si>
    <t>BN2330</t>
  </si>
  <si>
    <t>Die sieben Dämonen</t>
  </si>
  <si>
    <t>BN2331</t>
  </si>
  <si>
    <t>Dostojewski</t>
  </si>
  <si>
    <t>Ein junges Weib ein schwaches Herz</t>
  </si>
  <si>
    <t>Serie Piper</t>
  </si>
  <si>
    <t>BN2332</t>
  </si>
  <si>
    <t>Elise Title</t>
  </si>
  <si>
    <t>Eros</t>
  </si>
  <si>
    <t>BN2333</t>
  </si>
  <si>
    <t>Gerti Senger</t>
  </si>
  <si>
    <t>Gute Männer sind so! Es wurde noch nichts besseres erfunden</t>
  </si>
  <si>
    <t>BN2334</t>
  </si>
  <si>
    <t>Klaus Franken</t>
  </si>
  <si>
    <t>Lachspiegel</t>
  </si>
  <si>
    <t>Verlag Haus Altenberg</t>
  </si>
  <si>
    <t>ohne Schutzumschlag</t>
  </si>
  <si>
    <t>BN2335</t>
  </si>
  <si>
    <t>Uschi Bagnall</t>
  </si>
  <si>
    <t>Kuriositäten: Neues von Fango und Tango</t>
  </si>
  <si>
    <t>BN2336</t>
  </si>
  <si>
    <t>Jutta Lamy / Christina Zacker</t>
  </si>
  <si>
    <t>Fatburner: Nahrungsmittel zum Abnehmen</t>
  </si>
  <si>
    <t>BN2337</t>
  </si>
  <si>
    <t>So schnell geht's mit Mikrowelle</t>
  </si>
  <si>
    <t>BN2338</t>
  </si>
  <si>
    <t>Rudolf Thiel</t>
  </si>
  <si>
    <t>Männer gegen Tod und Teufel: aus dem Leben grosser Ärzte</t>
  </si>
  <si>
    <t>Paul Neff</t>
  </si>
  <si>
    <t>BN2339</t>
  </si>
  <si>
    <t>Jürgen Lenz</t>
  </si>
  <si>
    <t>Reise, reise, Seemann</t>
  </si>
  <si>
    <t>Verlag neues Leben</t>
  </si>
  <si>
    <t>BN2340</t>
  </si>
  <si>
    <t>Das neue große Wörterbuch Englisch</t>
  </si>
  <si>
    <t>englisch deusch</t>
  </si>
  <si>
    <t>BN2341</t>
  </si>
  <si>
    <t>Heinrich Klein</t>
  </si>
  <si>
    <t>Steine erzählen: Ferienreisen in die Erdgeschichte</t>
  </si>
  <si>
    <t>BN2342</t>
  </si>
  <si>
    <t>Geflügel-&amp;Reisgerichte aus aller Welt</t>
  </si>
  <si>
    <t>BN2343</t>
  </si>
  <si>
    <t>Heidelberger Anekdoten</t>
  </si>
  <si>
    <t>Kemper</t>
  </si>
  <si>
    <t>BN2344</t>
  </si>
  <si>
    <t>Rosalie Linner</t>
  </si>
  <si>
    <t>Tagebuch einer Hebamme</t>
  </si>
  <si>
    <t>BN2345</t>
  </si>
  <si>
    <t>Wilhelm Hauff</t>
  </si>
  <si>
    <t>Lichtenstein</t>
  </si>
  <si>
    <t>Keysersche Verlagsbuchhandlung</t>
  </si>
  <si>
    <t>BN2346</t>
  </si>
  <si>
    <t>Martin Merkel</t>
  </si>
  <si>
    <t>Vorbilder: 12 Kreative, die das Bild der Werbund bestimmt haben</t>
  </si>
  <si>
    <t>Siegmund</t>
  </si>
  <si>
    <t>BN2347</t>
  </si>
  <si>
    <t>Turhan Can</t>
  </si>
  <si>
    <t>Istanbul "Tor zum Orient…"</t>
  </si>
  <si>
    <t>Orient</t>
  </si>
  <si>
    <t>BN2348</t>
  </si>
  <si>
    <t>Heinrich Hansjakob</t>
  </si>
  <si>
    <t>Bauernblut</t>
  </si>
  <si>
    <t>Stadt Haslach</t>
  </si>
  <si>
    <t>BN2349</t>
  </si>
  <si>
    <t>Die neue leichte Küche für jeden Tag</t>
  </si>
  <si>
    <t>Gruner + Jahr</t>
  </si>
  <si>
    <t>BN2350</t>
  </si>
  <si>
    <t>Die einzige Wahrheit</t>
  </si>
  <si>
    <t>BN2351</t>
  </si>
  <si>
    <t>Elisabeth Kübler-Ross</t>
  </si>
  <si>
    <t>Interviews mit Sterbenden</t>
  </si>
  <si>
    <t>BN2352</t>
  </si>
  <si>
    <t>Geldgeschenke und Gutscheine</t>
  </si>
  <si>
    <t>Karl Müller Verlag</t>
  </si>
  <si>
    <t>BN2353</t>
  </si>
  <si>
    <t>Dietrich Schwanitz</t>
  </si>
  <si>
    <t>Bildung: alles, was man wissen muß</t>
  </si>
  <si>
    <t>BN2354</t>
  </si>
  <si>
    <t>Porträt in Sepia</t>
  </si>
  <si>
    <t>BN2355</t>
  </si>
  <si>
    <t>Maarten Asscher</t>
  </si>
  <si>
    <t>H2OLLAND: Wie die Niederländer das Meer besiegten</t>
  </si>
  <si>
    <t>Luchterhand</t>
  </si>
  <si>
    <t>BN2356</t>
  </si>
  <si>
    <t>Eric-Emmanuel Schmitt</t>
  </si>
  <si>
    <t>Die Schule der Egoisten</t>
  </si>
  <si>
    <t>Ammann</t>
  </si>
  <si>
    <t>ehem. Bibliotheksbuch  aus dem Klosterbau Friedberg; entsprechend Stempel vorhanden</t>
  </si>
  <si>
    <t>BN2357</t>
  </si>
  <si>
    <t>Monica McInerney</t>
  </si>
  <si>
    <t>Family Baggage</t>
  </si>
  <si>
    <t>Tivoli</t>
  </si>
  <si>
    <t>BN2358</t>
  </si>
  <si>
    <t>Kai Twilfer</t>
  </si>
  <si>
    <t>Schantall, tu ma die Omma winken!</t>
  </si>
  <si>
    <t>BN2359</t>
  </si>
  <si>
    <t>Rita Falk</t>
  </si>
  <si>
    <t>Winter-Kartoffel-Knödel</t>
  </si>
  <si>
    <t>BN2360</t>
  </si>
  <si>
    <t>Andreas Martin</t>
  </si>
  <si>
    <t>Dein Wort in Gottes Ohr</t>
  </si>
  <si>
    <t>benno</t>
  </si>
  <si>
    <t>BN2361</t>
  </si>
  <si>
    <t>Die schönsten Pferde Geschichten</t>
  </si>
  <si>
    <t>BN2362</t>
  </si>
  <si>
    <t>Lucia Engombe</t>
  </si>
  <si>
    <t>Kind Nr. 95: Meine deutsch-afrikanische Odyssee</t>
  </si>
  <si>
    <t>BN2363</t>
  </si>
  <si>
    <t>Des Teufels Alternative</t>
  </si>
  <si>
    <t>BN2364</t>
  </si>
  <si>
    <t>Romain Gary</t>
  </si>
  <si>
    <t>Erste Liebe - Letzte Liebe</t>
  </si>
  <si>
    <t>BN2365</t>
  </si>
  <si>
    <t>Hermann Strehler</t>
  </si>
  <si>
    <t>Bildhauer Johann Ulrich Steiger</t>
  </si>
  <si>
    <t>Zollikofer &amp; Co. St. Gallen</t>
  </si>
  <si>
    <t>BN2366</t>
  </si>
  <si>
    <t>Othello</t>
  </si>
  <si>
    <t>Markierungen und Kommentare vom Vorbesitzer im Buch</t>
  </si>
  <si>
    <t>BN2367</t>
  </si>
  <si>
    <t>Lotte Kühn</t>
  </si>
  <si>
    <t>Eltern-Sprechtag: Wie schlimm ist Schule wirklich? Was Eltern, Schüler und Lehrer täglich erleben</t>
  </si>
  <si>
    <t>BN2368</t>
  </si>
  <si>
    <t>Das Jahr, in dem ich dich traf</t>
  </si>
  <si>
    <t>BN2369</t>
  </si>
  <si>
    <t>August Lämmle</t>
  </si>
  <si>
    <t>Menschen…nur Menschen</t>
  </si>
  <si>
    <t>J. F. Steinkopf</t>
  </si>
  <si>
    <t>BN2370</t>
  </si>
  <si>
    <t>Brockhaus Bibelatlas</t>
  </si>
  <si>
    <t>Heft</t>
  </si>
  <si>
    <t>BN2371</t>
  </si>
  <si>
    <t>Erste Hilfe bei Säuglingen und Kindern</t>
  </si>
  <si>
    <t>Trias</t>
  </si>
  <si>
    <t>Cover hat deutliche Gebrauchsspuren</t>
  </si>
  <si>
    <t>BN2372</t>
  </si>
  <si>
    <t>William H. Prescott</t>
  </si>
  <si>
    <t>Die Welt der Inkas</t>
  </si>
  <si>
    <t>BN2373</t>
  </si>
  <si>
    <t>Aldo Massa</t>
  </si>
  <si>
    <t>Die Welt der Etrusker</t>
  </si>
  <si>
    <t>BN2374</t>
  </si>
  <si>
    <t>Nikolas Benckiser</t>
  </si>
  <si>
    <t>Deutsche Landschaften</t>
  </si>
  <si>
    <t>BN2375</t>
  </si>
  <si>
    <t>Gerhard Konzelmann</t>
  </si>
  <si>
    <t>Öl Schicksal der Menschheit?</t>
  </si>
  <si>
    <t>Sigloch Service &lt;edition</t>
  </si>
  <si>
    <t>BN2376</t>
  </si>
  <si>
    <t>Marianne Austermann / Gesa Wohlleben</t>
  </si>
  <si>
    <t>Zehn kleine Krabbelfinger: Spiel und Spaß mit unseren kleinsten</t>
  </si>
  <si>
    <t>BN2377</t>
  </si>
  <si>
    <t>Anita Heßmann-Kosaris</t>
  </si>
  <si>
    <t>Rat bei Wetterfühligkeit: So bekämpfen Sie die Auswirkungen von Klimaschwankungen, Luftverschmutzung und Umweltgiften</t>
  </si>
  <si>
    <t>BN2378</t>
  </si>
  <si>
    <t>Udo Derbolosky</t>
  </si>
  <si>
    <t>Wer mich nicht liebt, ist selber schuld</t>
  </si>
  <si>
    <t>Birkhäuser</t>
  </si>
  <si>
    <t>3-7643-2581-X</t>
  </si>
  <si>
    <t>BN2379</t>
  </si>
  <si>
    <t>Dr. med. Marianne Koch</t>
  </si>
  <si>
    <t>Tief einatmen! Eine Entdeckungsreise in den Körper</t>
  </si>
  <si>
    <t>3-446-20013-4</t>
  </si>
  <si>
    <t>BN2380</t>
  </si>
  <si>
    <t>Unsere Welt gestern heute morgen: 1800 - 2000</t>
  </si>
  <si>
    <t>BN2381</t>
  </si>
  <si>
    <t>Weltbild in Farben</t>
  </si>
  <si>
    <t>JRO</t>
  </si>
  <si>
    <t>BN2382</t>
  </si>
  <si>
    <t>Dr. Karl-Erich Graebner</t>
  </si>
  <si>
    <t>Natur - Reich der tausend Wunder</t>
  </si>
  <si>
    <t>BN2383</t>
  </si>
  <si>
    <t>Albert Fraenkel</t>
  </si>
  <si>
    <t>C. F. Boehringer &amp; Soehne</t>
  </si>
  <si>
    <t>78+</t>
  </si>
  <si>
    <t>BN2384</t>
  </si>
  <si>
    <t>Wege in die Welt Band 2</t>
  </si>
  <si>
    <t>Georg Westermann</t>
  </si>
  <si>
    <t>BN2385</t>
  </si>
  <si>
    <t>Was lehrt die Bibel wirklich?</t>
  </si>
  <si>
    <t>Wachtturm-Gesellschaft</t>
  </si>
  <si>
    <t>BN2386</t>
  </si>
  <si>
    <t>Lee Child</t>
  </si>
  <si>
    <t>Sein wahres Gesicht: Ein Jack-Reacher-Roman</t>
  </si>
  <si>
    <t>BN2387</t>
  </si>
  <si>
    <t>Wale Gefährdete Riesen der See</t>
  </si>
  <si>
    <t>3-426-00435-6</t>
  </si>
  <si>
    <t>BN2388</t>
  </si>
  <si>
    <t>R. Schöne / P. Arnold</t>
  </si>
  <si>
    <t>Australische Sittische</t>
  </si>
  <si>
    <t>VEB Gustav Fischer</t>
  </si>
  <si>
    <t>BN2389</t>
  </si>
  <si>
    <t>Georges Simenon</t>
  </si>
  <si>
    <t>Der Mann, der den Zügen nachsah</t>
  </si>
  <si>
    <t>BN2390</t>
  </si>
  <si>
    <t>Barbara Sher und Barbara Smith</t>
  </si>
  <si>
    <t>Ich könnte alles tun, wenn ich nur wüsste, was ich will</t>
  </si>
  <si>
    <t>BN2391</t>
  </si>
  <si>
    <t>Peter Berling</t>
  </si>
  <si>
    <t>Das Kreuz der Kinder</t>
  </si>
  <si>
    <t>BN2392</t>
  </si>
  <si>
    <t>Julia Conrad</t>
  </si>
  <si>
    <t>Die Drachen</t>
  </si>
  <si>
    <t>BN2393</t>
  </si>
  <si>
    <t>Christopher J. Koch</t>
  </si>
  <si>
    <t>Das Verschwinden des Michael Langford</t>
  </si>
  <si>
    <t>BN2394</t>
  </si>
  <si>
    <t>Michele Jaffe</t>
  </si>
  <si>
    <t>Wenn mein Zorn dich findet</t>
  </si>
  <si>
    <t>BN2395</t>
  </si>
  <si>
    <t>Im Land der weißen Sonne</t>
  </si>
  <si>
    <t>BN2396</t>
  </si>
  <si>
    <t>Peter Watt</t>
  </si>
  <si>
    <t>Weit wie der Horizont</t>
  </si>
  <si>
    <t>BN2397</t>
  </si>
  <si>
    <t>Russell Andrews</t>
  </si>
  <si>
    <t>Anonymus</t>
  </si>
  <si>
    <t>Aufbau Verlag</t>
  </si>
  <si>
    <t>BN2398</t>
  </si>
  <si>
    <t>Am Strand von Deauville</t>
  </si>
  <si>
    <t>BN2399</t>
  </si>
  <si>
    <t>Michael Frayn</t>
  </si>
  <si>
    <t>Blechkumpel</t>
  </si>
  <si>
    <t>BN2400</t>
  </si>
  <si>
    <t>Neale Donald Walsch</t>
  </si>
  <si>
    <t>Gespräche mit Gott Band 1</t>
  </si>
  <si>
    <t>BN2401</t>
  </si>
  <si>
    <t>Gespräche mit Gott Band 2</t>
  </si>
  <si>
    <t>BN2402</t>
  </si>
  <si>
    <t>Gespräche mit Gott</t>
  </si>
  <si>
    <t>BN2403</t>
  </si>
  <si>
    <t>Kirsten Kuhnert</t>
  </si>
  <si>
    <t>Jeden Tag ein kleines Wunder</t>
  </si>
  <si>
    <t>BN2404</t>
  </si>
  <si>
    <t>BN2405</t>
  </si>
  <si>
    <t>Yasmina Khadra</t>
  </si>
  <si>
    <t>Die Landkarte der Finsternis</t>
  </si>
  <si>
    <t>BN2406</t>
  </si>
  <si>
    <t>Irene Smit</t>
  </si>
  <si>
    <t>Lippenstift und Teddybär</t>
  </si>
  <si>
    <t>BN2407</t>
  </si>
  <si>
    <t>Melinda Metz</t>
  </si>
  <si>
    <t>Eine Samtpfote zum verlieben</t>
  </si>
  <si>
    <t>BN2408</t>
  </si>
  <si>
    <t>Valentina F.</t>
  </si>
  <si>
    <t>ZDOZM u dir oder zu mir</t>
  </si>
  <si>
    <t>BN2409</t>
  </si>
  <si>
    <t>Lisa Luger / Bärbel Sulzbacher</t>
  </si>
  <si>
    <t>SOMOS Nicaraguas Frauen zwischen Alltag und Befreiung</t>
  </si>
  <si>
    <t>FDCL</t>
  </si>
  <si>
    <t>3-923020-03-1</t>
  </si>
  <si>
    <t>BN2410</t>
  </si>
  <si>
    <t>Stefanie Reeb</t>
  </si>
  <si>
    <t>Süss &amp; gesund: Weihnachten neue Rezepte</t>
  </si>
  <si>
    <t>BN2411</t>
  </si>
  <si>
    <t>Silberhorn</t>
  </si>
  <si>
    <t>BN2412</t>
  </si>
  <si>
    <t>Bert Hellinger</t>
  </si>
  <si>
    <t>Die Quelle braucht nicht nach dem Weg zu fragen</t>
  </si>
  <si>
    <t>Carl-Auer</t>
  </si>
  <si>
    <t>BN2413</t>
  </si>
  <si>
    <t>Margaret Weis / Tracy Hickman</t>
  </si>
  <si>
    <t>Die Pforten der Dunkelheit: Der Stein der Könige 3</t>
  </si>
  <si>
    <t>BN2414</t>
  </si>
  <si>
    <t>Diana Beate Hellmann</t>
  </si>
  <si>
    <t>Laras Geschichte</t>
  </si>
  <si>
    <t>3-78570726-6</t>
  </si>
  <si>
    <t>BN2415</t>
  </si>
  <si>
    <t>Adam Fawer</t>
  </si>
  <si>
    <t>Gnosis</t>
  </si>
  <si>
    <t>Kindler</t>
  </si>
  <si>
    <t>BN2416</t>
  </si>
  <si>
    <t>Chris Ryan</t>
  </si>
  <si>
    <t>Machtgier</t>
  </si>
  <si>
    <t>Flecken</t>
  </si>
  <si>
    <t>BN2417</t>
  </si>
  <si>
    <t>Inez Corbi</t>
  </si>
  <si>
    <t>Die roten Blüten von Whakatu</t>
  </si>
  <si>
    <t>BN2418</t>
  </si>
  <si>
    <t>David Baddiel</t>
  </si>
  <si>
    <t>Whatever Love Means</t>
  </si>
  <si>
    <t>Abacus</t>
  </si>
  <si>
    <t>BN2419</t>
  </si>
  <si>
    <t>Unglaubliche Geschichten: Das verwunschene Haus und andere wahre Begebenheiten</t>
  </si>
  <si>
    <t>Aufkleber auf der Rückseite teilweise entfernt
ein Zahleneintrag auf der ersten Seite</t>
  </si>
  <si>
    <t>3-485-00668-8</t>
  </si>
  <si>
    <t>BN2420</t>
  </si>
  <si>
    <t>Scott Turow</t>
  </si>
  <si>
    <t>Aus Mangel an Beweisen</t>
  </si>
  <si>
    <t>BN2421</t>
  </si>
  <si>
    <t>Die Toten , die niemand vermisst</t>
  </si>
  <si>
    <t>BN2422</t>
  </si>
  <si>
    <t>Jack Canfield / Mark Victor Hansen / Dan Millman</t>
  </si>
  <si>
    <t>Hühnersuppe für Körper &amp; Seele: Inspiration für ein gutes Leben rundum</t>
  </si>
  <si>
    <t>BN2423</t>
  </si>
  <si>
    <t>Jack Canfield / Mark Victor Hansen</t>
  </si>
  <si>
    <t>Hühnersuppe für die Seele: Geschichten die das Herz erwärmen</t>
  </si>
  <si>
    <t>personalisierter Eintrag</t>
  </si>
  <si>
    <t>BN2424</t>
  </si>
  <si>
    <t>Ferien auf Saltkrokan</t>
  </si>
  <si>
    <t>Das Buch ist einem Guten bis sehr guten Zustand; Der Schutzumschlag hat jedoch deutliche Gebrauchsspuren</t>
  </si>
  <si>
    <t>3-7891-2230-0</t>
  </si>
  <si>
    <t>BN2425</t>
  </si>
  <si>
    <t>BN2426</t>
  </si>
  <si>
    <t>Yangzom Brauen</t>
  </si>
  <si>
    <t>Eisenvogel: Drei Frauen aus Tibet</t>
  </si>
  <si>
    <t>BN2427</t>
  </si>
  <si>
    <t>Herbert Rosendorfer</t>
  </si>
  <si>
    <t>Briefe in die chinesische Vergangenheit</t>
  </si>
  <si>
    <t>27.</t>
  </si>
  <si>
    <t>BN2428</t>
  </si>
  <si>
    <t>Wolf Schneider</t>
  </si>
  <si>
    <t>Speak German: Warum deutsch manchmal besser ist</t>
  </si>
  <si>
    <t>BN2429</t>
  </si>
  <si>
    <t>Sarah Waters</t>
  </si>
  <si>
    <t>Der Besucher</t>
  </si>
  <si>
    <t>BN2430</t>
  </si>
  <si>
    <t>Ute Keil</t>
  </si>
  <si>
    <t>Der Erziehungsroboter</t>
  </si>
  <si>
    <t>Georg Bitter</t>
  </si>
  <si>
    <t>BN2431</t>
  </si>
  <si>
    <t>Marcelo Figueras</t>
  </si>
  <si>
    <t>Kamtschatka</t>
  </si>
  <si>
    <t>Nagel &amp; Kimche</t>
  </si>
  <si>
    <t>BN2432</t>
  </si>
  <si>
    <t>BN2433</t>
  </si>
  <si>
    <t>Fabian Vogt</t>
  </si>
  <si>
    <t>Zurück</t>
  </si>
  <si>
    <t>Schulte &amp; Gerth</t>
  </si>
  <si>
    <t>BN2434</t>
  </si>
  <si>
    <t>Wolfram Fleischhauer</t>
  </si>
  <si>
    <t>Das Buch in dem die Welt verschwand</t>
  </si>
  <si>
    <t>BN2435</t>
  </si>
  <si>
    <t>Dan Simmons</t>
  </si>
  <si>
    <t>Endymion: Pforten der Zeit</t>
  </si>
  <si>
    <t>BN2436</t>
  </si>
  <si>
    <t>Anna Bernstein</t>
  </si>
  <si>
    <t>Götter Nacht</t>
  </si>
  <si>
    <t>BN2437</t>
  </si>
  <si>
    <t>Haruki Murakami</t>
  </si>
  <si>
    <t>Mister Aufziehvogel</t>
  </si>
  <si>
    <t>BN2438</t>
  </si>
  <si>
    <t>Richard Wiseman</t>
  </si>
  <si>
    <t>Wie sie in 60 Sekunden ihr Leben verändern</t>
  </si>
  <si>
    <t>BN2439</t>
  </si>
  <si>
    <t>C. J. Sansom</t>
  </si>
  <si>
    <t>BN2440</t>
  </si>
  <si>
    <t>Steve Blamires</t>
  </si>
  <si>
    <t>Baummagie mit dem keltischen Ogham-Alphabet</t>
  </si>
  <si>
    <t>BN2441</t>
  </si>
  <si>
    <t>Kristof Magnusson</t>
  </si>
  <si>
    <t>Arztroman</t>
  </si>
  <si>
    <t>BN2442</t>
  </si>
  <si>
    <t>Tony Hillerman</t>
  </si>
  <si>
    <t>Tod am heiligen Berg</t>
  </si>
  <si>
    <t>BN2443</t>
  </si>
  <si>
    <t>Andreas Winkelmann</t>
  </si>
  <si>
    <t>Blinder Instinkt</t>
  </si>
  <si>
    <t>BN2444</t>
  </si>
  <si>
    <t>Am Ende war die Tat</t>
  </si>
  <si>
    <t>BN2445</t>
  </si>
  <si>
    <t>Gaby Schuster</t>
  </si>
  <si>
    <t>Zwischentief</t>
  </si>
  <si>
    <t>BN2446</t>
  </si>
  <si>
    <t>Sara Wheeler</t>
  </si>
  <si>
    <t>Terra Incognita: Reisen in der Antarktis</t>
  </si>
  <si>
    <t>Sierra</t>
  </si>
  <si>
    <t>BN2447</t>
  </si>
  <si>
    <t>Elizabeth Corley</t>
  </si>
  <si>
    <t>Sine Culpa</t>
  </si>
  <si>
    <t>BN2448</t>
  </si>
  <si>
    <t>Der Schamane</t>
  </si>
  <si>
    <t>BN2449</t>
  </si>
  <si>
    <t>Zana Muhsen</t>
  </si>
  <si>
    <t>Noch einmal meine Mutter sehen</t>
  </si>
  <si>
    <t>BN2450</t>
  </si>
  <si>
    <t>Rebecca Raisin</t>
  </si>
  <si>
    <t>Mein zauberhafter Buchladen am Ufer der Seine</t>
  </si>
  <si>
    <t>BN2451</t>
  </si>
  <si>
    <t>Peter Härtling</t>
  </si>
  <si>
    <t>Schubert</t>
  </si>
  <si>
    <t>363086791x</t>
  </si>
  <si>
    <t>BN2452</t>
  </si>
  <si>
    <t>Corinna Bomann</t>
  </si>
  <si>
    <t>Die Frauen vom Löwenhof Solveigs Versprechen</t>
  </si>
  <si>
    <t>BN2453</t>
  </si>
  <si>
    <t>Antoine Laurain</t>
  </si>
  <si>
    <t>Liebe mit zwei Unbekannten</t>
  </si>
  <si>
    <t>BN2454</t>
  </si>
  <si>
    <t xml:space="preserve">Elizabeth Haran </t>
  </si>
  <si>
    <t>BN2455</t>
  </si>
  <si>
    <t>DGDL Hab dich ganz doll lieb</t>
  </si>
  <si>
    <t>BN2456</t>
  </si>
  <si>
    <t>Eine ganz heiße Nummer</t>
  </si>
  <si>
    <t>BN2457</t>
  </si>
  <si>
    <t xml:space="preserve">Frühstück um Sechs </t>
  </si>
  <si>
    <t>Markierung im Einband</t>
  </si>
  <si>
    <t>BN2458</t>
  </si>
  <si>
    <t>Carolin Rath</t>
  </si>
  <si>
    <t>Das Erbe der Wintersteins</t>
  </si>
  <si>
    <t>Be Heartbeat</t>
  </si>
  <si>
    <t>BN2459</t>
  </si>
  <si>
    <t>Margaret Weis - Tracy Hickmann</t>
  </si>
  <si>
    <t>Der Quell der Finsternis</t>
  </si>
  <si>
    <t>BN2460</t>
  </si>
  <si>
    <t>^Taschenbuch</t>
  </si>
  <si>
    <t>BN2461</t>
  </si>
  <si>
    <t>Der Ruf des Abendvogels</t>
  </si>
  <si>
    <t>BN0001</t>
  </si>
  <si>
    <t>BN0003</t>
  </si>
  <si>
    <t>BN0004</t>
  </si>
  <si>
    <t>BN0005</t>
  </si>
  <si>
    <t>BN0006</t>
  </si>
  <si>
    <t>BN0007</t>
  </si>
  <si>
    <t>BN0009</t>
  </si>
  <si>
    <t>BN0010</t>
  </si>
  <si>
    <t>BN0011</t>
  </si>
  <si>
    <t>BN0012</t>
  </si>
  <si>
    <t>BN0013</t>
  </si>
  <si>
    <t>BN0014</t>
  </si>
  <si>
    <t>BN0015</t>
  </si>
  <si>
    <t>BN0016</t>
  </si>
  <si>
    <t>BN0017</t>
  </si>
  <si>
    <t>BN0018</t>
  </si>
  <si>
    <t>BN0019</t>
  </si>
  <si>
    <t>BN0020</t>
  </si>
  <si>
    <t>BN0021</t>
  </si>
  <si>
    <t>BN0022</t>
  </si>
  <si>
    <t>BN0023</t>
  </si>
  <si>
    <t>BN0024</t>
  </si>
  <si>
    <t>BN0025</t>
  </si>
  <si>
    <t>BN0026</t>
  </si>
  <si>
    <t>BN0029</t>
  </si>
  <si>
    <t>BN0030</t>
  </si>
  <si>
    <t>BN0031</t>
  </si>
  <si>
    <t>BN0032</t>
  </si>
  <si>
    <t>BN0033</t>
  </si>
  <si>
    <t>BN0034</t>
  </si>
  <si>
    <t>BN0036</t>
  </si>
  <si>
    <t>BN0037</t>
  </si>
  <si>
    <t>BN0038</t>
  </si>
  <si>
    <t>BN0039</t>
  </si>
  <si>
    <t>BN0040</t>
  </si>
  <si>
    <t>BN0041</t>
  </si>
  <si>
    <t>BN0042</t>
  </si>
  <si>
    <t>BN0043</t>
  </si>
  <si>
    <t>BN0044</t>
  </si>
  <si>
    <t>BN0045</t>
  </si>
  <si>
    <t>BN0046</t>
  </si>
  <si>
    <t>BN0047</t>
  </si>
  <si>
    <t>BN0048</t>
  </si>
  <si>
    <t>BN0049</t>
  </si>
  <si>
    <t>BN0050</t>
  </si>
  <si>
    <t>BN0051</t>
  </si>
  <si>
    <t>BN0052</t>
  </si>
  <si>
    <t>BN0053</t>
  </si>
  <si>
    <t>BN0054</t>
  </si>
  <si>
    <t>BN0055</t>
  </si>
  <si>
    <t>BN0056</t>
  </si>
  <si>
    <t>BN0057</t>
  </si>
  <si>
    <t>BN0058</t>
  </si>
  <si>
    <t>BN0059</t>
  </si>
  <si>
    <t>BN0060</t>
  </si>
  <si>
    <t>BN0063</t>
  </si>
  <si>
    <t>BN0064</t>
  </si>
  <si>
    <t>BN0065</t>
  </si>
  <si>
    <t>BN0066</t>
  </si>
  <si>
    <t>BN0068</t>
  </si>
  <si>
    <t>BN0069</t>
  </si>
  <si>
    <t>BN0070</t>
  </si>
  <si>
    <t>BN0071</t>
  </si>
  <si>
    <t>BN0072</t>
  </si>
  <si>
    <t>BN0073</t>
  </si>
  <si>
    <t>BN0074</t>
  </si>
  <si>
    <t>BN0075</t>
  </si>
  <si>
    <t>387070392X</t>
  </si>
  <si>
    <t>Das Russlandhaus</t>
  </si>
  <si>
    <t>Die Pferdebande und das Geheimnis um Zirkus Lombardi</t>
  </si>
  <si>
    <t>Das vierte Opfer / Das falsche Urteil</t>
  </si>
  <si>
    <t>Das Syndikat</t>
  </si>
  <si>
    <t>Das verborgene Haus</t>
  </si>
  <si>
    <t>Alex Morgenstern - Das Rätsel der Spiegelwüste</t>
  </si>
  <si>
    <t>Die Bild-Diät</t>
  </si>
  <si>
    <t>LeCarré, John</t>
  </si>
  <si>
    <t>Müller, Karin</t>
  </si>
  <si>
    <t>Nesser Hakan</t>
  </si>
  <si>
    <t>Ray, Fran</t>
  </si>
  <si>
    <t>Ernestam, Maria</t>
  </si>
  <si>
    <t>Holten, Knud</t>
  </si>
  <si>
    <t>Pospisil-Dymek</t>
  </si>
  <si>
    <t>Adams, Scott</t>
  </si>
  <si>
    <t>Sampedro, José L</t>
  </si>
  <si>
    <t>Lochmann, Marc-Rene</t>
  </si>
  <si>
    <t>Wood Barbara</t>
  </si>
  <si>
    <t>Mackesy Serena</t>
  </si>
  <si>
    <t>Pearse Lesley</t>
  </si>
  <si>
    <t>Kluge Manfred</t>
  </si>
  <si>
    <t>Koch Marianne</t>
  </si>
  <si>
    <t>Das Dilbert Prinzip</t>
  </si>
  <si>
    <t>Das etruskische Lächeln</t>
  </si>
  <si>
    <t>Das geheime Tagebuch eines Pranksters</t>
  </si>
  <si>
    <t>Das Haus der Harmonie</t>
  </si>
  <si>
    <t>Das Haus der verlorenen Kinder</t>
  </si>
  <si>
    <t>Das helle Licht der Sehnsucht</t>
  </si>
  <si>
    <t>Das Herbstlesebuch</t>
  </si>
  <si>
    <t>Das Herz-Buch</t>
  </si>
  <si>
    <t>Sheldon Sidney</t>
  </si>
  <si>
    <t>Franciskowski Hans G</t>
  </si>
  <si>
    <t>Mankell Henning</t>
  </si>
  <si>
    <t>Tügel Hanne</t>
  </si>
  <si>
    <t>Sahm Nina</t>
  </si>
  <si>
    <t>Schmitt Gudrun; Iparraguirre de las Casas</t>
  </si>
  <si>
    <t>Gruber Robert</t>
  </si>
  <si>
    <t>Chang Eileen</t>
  </si>
  <si>
    <t>Cowan Anna</t>
  </si>
  <si>
    <t>Büchner Barbara</t>
  </si>
  <si>
    <t>Hermand Jost</t>
  </si>
  <si>
    <t>Tschirner, Thorsten</t>
  </si>
  <si>
    <t>Wendy / Das Paradies der Reiter</t>
  </si>
  <si>
    <t>Das Auge des Leoparden</t>
  </si>
  <si>
    <t>Das Messias-Phantom</t>
  </si>
  <si>
    <t>Das letzte Polarooid</t>
  </si>
  <si>
    <t>Da schau an!</t>
  </si>
  <si>
    <t>Hansi Hinterseer: Da wo die Berge sind</t>
  </si>
  <si>
    <t>Das Reispflanzerlied</t>
  </si>
  <si>
    <t>Das Geheimnis des Duke of Darlington</t>
  </si>
  <si>
    <t>Das Hotel Agarthi</t>
  </si>
  <si>
    <t>Das junge Deutschland Men's Health: Das Muskel-Manual</t>
  </si>
  <si>
    <t>Moody Bill</t>
  </si>
  <si>
    <t>Richter Justus</t>
  </si>
  <si>
    <t>Spinnen Burkhard</t>
  </si>
  <si>
    <t>Eileen Elias Freeman</t>
  </si>
  <si>
    <t>Gerber Michael</t>
  </si>
  <si>
    <t>Seynsche Gabriele</t>
  </si>
  <si>
    <t>Pirincci Akif</t>
  </si>
  <si>
    <t>Stalmann Franziska</t>
  </si>
  <si>
    <t>Vieten Michael E.</t>
  </si>
  <si>
    <t>Price Richard</t>
  </si>
  <si>
    <t>MacBride Allen R</t>
  </si>
  <si>
    <t>Reading Mario</t>
  </si>
  <si>
    <t>Bergstrom Scott</t>
  </si>
  <si>
    <t>Sahler Martina</t>
  </si>
  <si>
    <t>Pettersson Vicki</t>
  </si>
  <si>
    <t>Dünnebier Anna; Paczensky  Gert von</t>
  </si>
  <si>
    <t>Moulin Rouge, Las Vegas</t>
  </si>
  <si>
    <t>Öffentliche Mülleimer dürfen nicht sexuell belästigt werden</t>
  </si>
  <si>
    <t>Bäume &amp; Co - Kids entdecken den Wald</t>
  </si>
  <si>
    <t>Bewegliche Feiertage</t>
  </si>
  <si>
    <t>Begegnungen mit Schutzengeln</t>
  </si>
  <si>
    <t>Barry Trotter und die schamlose Parodie</t>
  </si>
  <si>
    <t>Café Carl - Lauter ganz normal Verrückte</t>
  </si>
  <si>
    <t>Cave Canem - Ein Felidae Roman</t>
  </si>
  <si>
    <t>Champagner und Kamillentee</t>
  </si>
  <si>
    <t>Christine Bernard Das Eisrosenkind</t>
  </si>
  <si>
    <t>Clemens Brentano</t>
  </si>
  <si>
    <t>Clockers</t>
  </si>
  <si>
    <t>Schultz Hartwig</t>
  </si>
  <si>
    <t>Corellia-Trilogie / Star Wars - Angriff auf Selonia</t>
  </si>
  <si>
    <t>Corpus Maleficus</t>
  </si>
  <si>
    <t>Cruelty - Ab jetzt kämpfst du allein</t>
  </si>
  <si>
    <t>Cry - Meine Rache ist dein Tod</t>
  </si>
  <si>
    <t>Cyberschokolade</t>
  </si>
  <si>
    <t>Das 1. Zeichen des Zodiac</t>
  </si>
  <si>
    <t>Das bewegte Leben der Alice Schwarzer</t>
  </si>
  <si>
    <t>Glambanco V. M.</t>
  </si>
  <si>
    <t>Training 200 Textaufgaben wie in der Schule</t>
  </si>
  <si>
    <t>abgöttisch</t>
  </si>
  <si>
    <t>Amadeus</t>
  </si>
  <si>
    <t>Babywatching</t>
  </si>
  <si>
    <t>Beim nächsten Mann wird alles anders</t>
  </si>
  <si>
    <t>Bridget Jones - verrückt nach ihm</t>
  </si>
  <si>
    <t xml:space="preserve">Bridget Jones Baby </t>
  </si>
  <si>
    <t>Dreizehn Tage</t>
  </si>
  <si>
    <t>Tilly Bagshawe</t>
  </si>
  <si>
    <t>Shaffer Peter</t>
  </si>
  <si>
    <t>Morris Desmond</t>
  </si>
  <si>
    <t>Heller Eva</t>
  </si>
  <si>
    <t>Fielding Helen</t>
  </si>
  <si>
    <t>Ali Tariq</t>
  </si>
  <si>
    <t>Brambilla Rosanna</t>
  </si>
  <si>
    <t>Machenheimer, Detlef</t>
  </si>
  <si>
    <t>Chad Oliver / John Wyndham</t>
  </si>
  <si>
    <t>Raye Kimberly</t>
  </si>
  <si>
    <t>Schwartz Theo</t>
  </si>
  <si>
    <t>Caspari, Tina</t>
  </si>
  <si>
    <t>Divakaruni Chitra B</t>
  </si>
  <si>
    <t>Büchner Preis Reden 1951-1971</t>
  </si>
  <si>
    <t>Bush in Babylon</t>
  </si>
  <si>
    <t>Buongiorno! Ein italienischlehrwerk für Erwachsene</t>
  </si>
  <si>
    <t>Buchführung leicht gemacht</t>
  </si>
  <si>
    <t>Brüder unter fremder Sonne / Wenn der Krake erwacht</t>
  </si>
  <si>
    <t>Beiß mich, wenn du kannst</t>
  </si>
  <si>
    <t>Bibi und Tina</t>
  </si>
  <si>
    <t>Bibi Blocksberg / Wo ist Kartoffelbrei</t>
  </si>
  <si>
    <t>Mit einem Pferd durch dick und dünn</t>
  </si>
  <si>
    <t>Barbie: Eisdrache - Storybook</t>
  </si>
  <si>
    <t>Barbie: Wildes Feuer</t>
  </si>
  <si>
    <t>Clemens Kuby</t>
  </si>
  <si>
    <t>Gesund ohne Medizin Die Kuby Methode</t>
  </si>
  <si>
    <t>BN2462</t>
  </si>
  <si>
    <t>Eoin Colfer</t>
  </si>
  <si>
    <t>Artemis Fowle Der Geheimcode</t>
  </si>
  <si>
    <t>BN2463</t>
  </si>
  <si>
    <t>Caroline Alexander</t>
  </si>
  <si>
    <t>Mrs. Chippys letzte Expedition in die Antarktis</t>
  </si>
  <si>
    <t>BN2464</t>
  </si>
  <si>
    <t>Willy Brandt</t>
  </si>
  <si>
    <t>Erinnerungen</t>
  </si>
  <si>
    <t>Spiegel-Verlag</t>
  </si>
  <si>
    <t>BN2465</t>
  </si>
  <si>
    <t>Ruth Picardie</t>
  </si>
  <si>
    <t>Es wird mir fehlen, das Leben</t>
  </si>
  <si>
    <t>BN2466</t>
  </si>
  <si>
    <t>BN2467</t>
  </si>
  <si>
    <t>Klausbernd Vollmar Konrad Lenz</t>
  </si>
  <si>
    <t>Traumdeutung</t>
  </si>
  <si>
    <t>GU</t>
  </si>
  <si>
    <t>BN2468</t>
  </si>
  <si>
    <t>Richard Horne</t>
  </si>
  <si>
    <t>101 Dinge, die man getan haben sollte, bevor das Leben vorbei ist</t>
  </si>
  <si>
    <t>BN2469</t>
  </si>
  <si>
    <t>Margit Schönberger</t>
  </si>
  <si>
    <t>Mein Chef ist ein Arschloch, ihrer auch</t>
  </si>
  <si>
    <t>BN2470</t>
  </si>
  <si>
    <t>BN2471</t>
  </si>
  <si>
    <t>Natalie Angier</t>
  </si>
  <si>
    <t>Frau Eine intime Geographie des weiblichen Körpers</t>
  </si>
  <si>
    <t>BN2472</t>
  </si>
  <si>
    <t>Frühstück im Bett</t>
  </si>
  <si>
    <t>BN2473</t>
  </si>
  <si>
    <t>Anita Augustin</t>
  </si>
  <si>
    <t>Der Zwerg reinigt den Kittel</t>
  </si>
  <si>
    <t>BN2474</t>
  </si>
  <si>
    <t>Thomas Bogenberger</t>
  </si>
  <si>
    <t>Chiemsee Blues</t>
  </si>
  <si>
    <t>Pendragon Verlag</t>
  </si>
  <si>
    <t>BN2475</t>
  </si>
  <si>
    <t>Booton Herndon</t>
  </si>
  <si>
    <t>Der Held von Hecksaw Ridge: Die ergreifende, wahre Geschichte, die den Kinofilm inspirierte</t>
  </si>
  <si>
    <t>Memento Medien e.V.</t>
  </si>
  <si>
    <t>deusch</t>
  </si>
  <si>
    <t>9783944606040</t>
  </si>
  <si>
    <t>Ellen Berg</t>
  </si>
  <si>
    <t>Alle Tofu, oder was? / Den lass ich gleich an</t>
  </si>
  <si>
    <t>Christian Schwarz-Schilling</t>
  </si>
  <si>
    <t>Unsere Geschichte - Schicksal oder Zufall? Ausblick auf das 21. Jahrhundert</t>
  </si>
  <si>
    <t>E. S. Mittler &amp; Sohn</t>
  </si>
  <si>
    <t>personalisiert: ... mit besten Wünschen ...</t>
  </si>
  <si>
    <t>3813204243</t>
  </si>
  <si>
    <t>Wölfe und Schafe</t>
  </si>
  <si>
    <t>Eintragung von Initialien sonst perfekter Zustand</t>
  </si>
  <si>
    <t>4026411401188</t>
  </si>
  <si>
    <t>Martin Suter</t>
  </si>
  <si>
    <t>Der Koch</t>
  </si>
  <si>
    <t>9783257239997</t>
  </si>
  <si>
    <t>Friedrich Ani</t>
  </si>
  <si>
    <t>Totsein verjährt nicht</t>
  </si>
  <si>
    <t>9783423213080</t>
  </si>
  <si>
    <t>Hans-Josef Ortheil</t>
  </si>
  <si>
    <t>Agenten</t>
  </si>
  <si>
    <t>9783442738144</t>
  </si>
  <si>
    <t>Auf Ehre und Gewissen</t>
  </si>
  <si>
    <t>9783442413508</t>
  </si>
  <si>
    <t>Emile Zola</t>
  </si>
  <si>
    <t>Das Paradies der Damen</t>
  </si>
  <si>
    <t>9783596161553</t>
  </si>
  <si>
    <t>Die italienischen Schuhe</t>
  </si>
  <si>
    <t>9783423211529</t>
  </si>
  <si>
    <t>Hetty van de Rijt und Frans X. Plooij</t>
  </si>
  <si>
    <t>Oje ich wachse! Von den acht Sprüngen in der mentalen Entwicklung ihres Kindes während der ersten 14 Monate und wie sie damit umgehen können</t>
  </si>
  <si>
    <t>9783442161447</t>
  </si>
  <si>
    <t>Das dunkle Feuer der Nacht</t>
  </si>
  <si>
    <t>Preisreduziertes Mängelexemplar
Namenseintrag</t>
  </si>
  <si>
    <t>9783404167050</t>
  </si>
  <si>
    <t>Katja Maria Werker</t>
  </si>
  <si>
    <t>Wo keine Worte sind, da ist Musik</t>
  </si>
  <si>
    <t>9783404614882</t>
  </si>
  <si>
    <t>Bill Bysinger Ken Knight</t>
  </si>
  <si>
    <t>Investing in Information Technology</t>
  </si>
  <si>
    <t>Van Nostrand Reinhold</t>
  </si>
  <si>
    <t>BN2476</t>
  </si>
  <si>
    <t>Toril Brekke</t>
  </si>
  <si>
    <t>Linas Kinder</t>
  </si>
  <si>
    <t>BN2477</t>
  </si>
  <si>
    <t>Andreas Schlieper</t>
  </si>
  <si>
    <t>Bibel für Ungläubige - Ratgeber für alle Lebenslagen</t>
  </si>
  <si>
    <t>BN2478</t>
  </si>
  <si>
    <t>Erwin Seitz</t>
  </si>
  <si>
    <t>Butter, Huhn und Petersilie</t>
  </si>
  <si>
    <t>BN2479</t>
  </si>
  <si>
    <t>Lone Theils</t>
  </si>
  <si>
    <t>Das Meer löscht alle Spuren</t>
  </si>
  <si>
    <t>BN2480</t>
  </si>
  <si>
    <t>Dr. med. Thomas Sautter</t>
  </si>
  <si>
    <t>Wirksame Hilfen bei unerfülltem Kinderwunsch</t>
  </si>
  <si>
    <t>BN2481</t>
  </si>
  <si>
    <t>Kazuo Ishiguro</t>
  </si>
  <si>
    <t>Der Mörder der fließenden Welt</t>
  </si>
  <si>
    <t>BN2482</t>
  </si>
  <si>
    <t>Nicole Steyer</t>
  </si>
  <si>
    <t>Die Hexer von Nassau</t>
  </si>
  <si>
    <t>BN2483</t>
  </si>
  <si>
    <t>Hannelore Westhoff</t>
  </si>
  <si>
    <t>Es kratzt ganz leis an meiner Tür</t>
  </si>
  <si>
    <t>Reihe Hanser</t>
  </si>
  <si>
    <t>BN2484</t>
  </si>
  <si>
    <t>Schnee ist auch nur hübsch gemachtes Wasser</t>
  </si>
  <si>
    <t>BN2485</t>
  </si>
  <si>
    <t>Bettina Hennig</t>
  </si>
  <si>
    <t>Krön dich selbst, sonst krönt dich keiner</t>
  </si>
  <si>
    <t>Eden Books</t>
  </si>
  <si>
    <t>BN2486</t>
  </si>
  <si>
    <t>Du entkommst mir nicht</t>
  </si>
  <si>
    <t>BN2487</t>
  </si>
  <si>
    <t>Friedensfunken</t>
  </si>
  <si>
    <t>Golden Shore</t>
  </si>
  <si>
    <t>deutsch/englisch</t>
  </si>
  <si>
    <t>BN2488</t>
  </si>
  <si>
    <t>Nadia Brönimann und Daniel J. Schütz</t>
  </si>
  <si>
    <t>Die weiße Feder Fremd im eigenen Körper</t>
  </si>
  <si>
    <t>BN2489</t>
  </si>
  <si>
    <t>Andrea Fröhlich</t>
  </si>
  <si>
    <t>Meine russische Schwiegermutter und andere Katastrophen</t>
  </si>
  <si>
    <t>BN2490</t>
  </si>
  <si>
    <t xml:space="preserve">Tabea Bach </t>
  </si>
  <si>
    <t>Die Kamelieninsel</t>
  </si>
  <si>
    <t>BN2491</t>
  </si>
  <si>
    <t>Julia Friedrichs</t>
  </si>
  <si>
    <t>Gestatten: Elite Auf den Spuren der Mächtigen von Morgen</t>
  </si>
  <si>
    <t>BN2492</t>
  </si>
  <si>
    <t>Tobsha Learner</t>
  </si>
  <si>
    <t>Quiver Zwölf erotische Erzählungen</t>
  </si>
  <si>
    <t>VGS</t>
  </si>
  <si>
    <t>BN2493</t>
  </si>
  <si>
    <t>Dr. med. Andrea Schmelz</t>
  </si>
  <si>
    <t>Allergien bei Kindern</t>
  </si>
  <si>
    <t>BN2494</t>
  </si>
  <si>
    <t>Galopp ins Glück</t>
  </si>
  <si>
    <t>BN2495</t>
  </si>
  <si>
    <t>BN2496</t>
  </si>
  <si>
    <t>BN2497</t>
  </si>
  <si>
    <t>BN2498</t>
  </si>
  <si>
    <t>BN2499</t>
  </si>
  <si>
    <t>BN2500</t>
  </si>
  <si>
    <t>BN2501</t>
  </si>
  <si>
    <t>BN2502</t>
  </si>
  <si>
    <t>BN2503</t>
  </si>
  <si>
    <t>BN2504</t>
  </si>
  <si>
    <t>BN2505</t>
  </si>
  <si>
    <t>BN2506</t>
  </si>
  <si>
    <t>BN2507</t>
  </si>
  <si>
    <t>BN2508</t>
  </si>
  <si>
    <t>BN2509</t>
  </si>
  <si>
    <t>BN2510</t>
  </si>
  <si>
    <t>BN2511</t>
  </si>
  <si>
    <t>BN2512</t>
  </si>
  <si>
    <t>BN2513</t>
  </si>
  <si>
    <t>BN2514</t>
  </si>
  <si>
    <t>BN2515</t>
  </si>
  <si>
    <t>BN2516</t>
  </si>
  <si>
    <t>BN2517</t>
  </si>
  <si>
    <t>BN2518</t>
  </si>
  <si>
    <t>BN2519</t>
  </si>
  <si>
    <t>BN2520</t>
  </si>
  <si>
    <t>BN2521</t>
  </si>
  <si>
    <t>BN2522</t>
  </si>
  <si>
    <t>BN2523</t>
  </si>
  <si>
    <t>BN2524</t>
  </si>
  <si>
    <t>BN2525</t>
  </si>
  <si>
    <t>BN2526</t>
  </si>
  <si>
    <t>BN2527</t>
  </si>
  <si>
    <t>BN2528</t>
  </si>
  <si>
    <t>BN2529</t>
  </si>
  <si>
    <t>Vor dem Frost</t>
  </si>
  <si>
    <t>Der Mann, der lächelte</t>
  </si>
  <si>
    <t>9783423205900</t>
  </si>
  <si>
    <t>Ake Edwardson</t>
  </si>
  <si>
    <t>In alle Ewigkeit</t>
  </si>
  <si>
    <t>9783548602936</t>
  </si>
  <si>
    <t>Diana Norman</t>
  </si>
  <si>
    <t>Im Auftrag des Königs</t>
  </si>
  <si>
    <t>9783596505944</t>
  </si>
  <si>
    <t>Denn sie betrügt man nicht</t>
  </si>
  <si>
    <t>9783442444021</t>
  </si>
  <si>
    <t>Patricia Shaw</t>
  </si>
  <si>
    <t>Leuchtendes Land</t>
  </si>
  <si>
    <t>9783404143498</t>
  </si>
  <si>
    <t>Sie weckten das Morgenrot</t>
  </si>
  <si>
    <t>9783401027111</t>
  </si>
  <si>
    <t>Lana McGraw-Boldt</t>
  </si>
  <si>
    <t>Hexensommer</t>
  </si>
  <si>
    <t>9783746618432</t>
  </si>
  <si>
    <t>Das zweite Königreich</t>
  </si>
  <si>
    <t>9783404148080</t>
  </si>
  <si>
    <t>Die Puppenspielerin</t>
  </si>
  <si>
    <t>ink. Lesezeichen</t>
  </si>
  <si>
    <t>Ladylike</t>
  </si>
  <si>
    <t>9783257235968</t>
  </si>
  <si>
    <t>Falsche Zungen</t>
  </si>
  <si>
    <t>9783257235081</t>
  </si>
  <si>
    <t>Namenseintrag</t>
  </si>
  <si>
    <t>Die Häupter meiner Lieben</t>
  </si>
  <si>
    <t>9783257227260</t>
  </si>
  <si>
    <t>Leslie Thomas</t>
  </si>
  <si>
    <t>Die unkeuche Nell</t>
  </si>
  <si>
    <t>9783492115995</t>
  </si>
  <si>
    <t>Lucinda Riley</t>
  </si>
  <si>
    <t>Das Orchideen Haus</t>
  </si>
  <si>
    <t>9783442475544</t>
  </si>
  <si>
    <t>Denn vergeben wird dir nie</t>
  </si>
  <si>
    <t>3-453-86499-9</t>
  </si>
  <si>
    <t>BN2530</t>
  </si>
  <si>
    <t>BN2531</t>
  </si>
  <si>
    <t>BN2532</t>
  </si>
  <si>
    <t>BN2533</t>
  </si>
  <si>
    <t>BN2534</t>
  </si>
  <si>
    <t>BN2535</t>
  </si>
  <si>
    <t>BN2536</t>
  </si>
  <si>
    <t>BN2537</t>
  </si>
  <si>
    <t>BN2538</t>
  </si>
  <si>
    <t>BN2539</t>
  </si>
  <si>
    <t>BN2540</t>
  </si>
  <si>
    <t>Personalisiert: Grüße</t>
  </si>
  <si>
    <t>9783426507681</t>
  </si>
  <si>
    <t>Maja Lunde</t>
  </si>
  <si>
    <t>Die Geschichten der Bienen</t>
  </si>
  <si>
    <t>9783442717415</t>
  </si>
  <si>
    <t>Eric Berg</t>
  </si>
  <si>
    <t>Das Küstengrab</t>
  </si>
  <si>
    <t>9783734102189</t>
  </si>
  <si>
    <t>Fuchsjagd</t>
  </si>
  <si>
    <t>9783442459377</t>
  </si>
  <si>
    <t>Christian Lukas und Sascha Westphal</t>
  </si>
  <si>
    <t>Die Stadt, der Sex und die Frauen</t>
  </si>
  <si>
    <t>9783453500051</t>
  </si>
  <si>
    <t>Jeff Talarigo</t>
  </si>
  <si>
    <t>Die Perlentaucherin</t>
  </si>
  <si>
    <t>9783630872193</t>
  </si>
  <si>
    <t>carl's Book</t>
  </si>
  <si>
    <t>39.</t>
  </si>
  <si>
    <t>Gwen Cooper</t>
  </si>
  <si>
    <t>Homer und ich: Wie mir ein blindes Kätzchen die Freude am Leben zurückgab</t>
  </si>
  <si>
    <t>9783868824896</t>
  </si>
  <si>
    <t>BN2541</t>
  </si>
  <si>
    <t>BN2542</t>
  </si>
  <si>
    <t>BN2543</t>
  </si>
  <si>
    <t>BN2544</t>
  </si>
  <si>
    <t>BN2545</t>
  </si>
  <si>
    <t>BN2546</t>
  </si>
  <si>
    <t>BN2547</t>
  </si>
  <si>
    <t>BN2548</t>
  </si>
  <si>
    <t>BN2549</t>
  </si>
  <si>
    <t>BN2550</t>
  </si>
  <si>
    <t>BN2551</t>
  </si>
  <si>
    <t>BN2552</t>
  </si>
  <si>
    <t>BN2553</t>
  </si>
  <si>
    <t>BN2554</t>
  </si>
  <si>
    <t>BN2555</t>
  </si>
  <si>
    <t>BN2556</t>
  </si>
  <si>
    <t>BN2557</t>
  </si>
  <si>
    <t>BN2558</t>
  </si>
  <si>
    <t>BN2559</t>
  </si>
  <si>
    <t>BN2560</t>
  </si>
  <si>
    <t>BN2561</t>
  </si>
  <si>
    <t>BN2562</t>
  </si>
  <si>
    <t>BN2563</t>
  </si>
  <si>
    <t>BN2564</t>
  </si>
  <si>
    <t>BN2565</t>
  </si>
  <si>
    <t>BN2566</t>
  </si>
  <si>
    <t>BN2567</t>
  </si>
  <si>
    <t>BN2568</t>
  </si>
  <si>
    <t>BN2569</t>
  </si>
  <si>
    <t>BN2570</t>
  </si>
  <si>
    <t>BN2571</t>
  </si>
  <si>
    <t>BN2572</t>
  </si>
  <si>
    <t>BN2573</t>
  </si>
  <si>
    <t>BN2574</t>
  </si>
  <si>
    <t>BN2575</t>
  </si>
  <si>
    <t>BN2576</t>
  </si>
  <si>
    <t>BN2577</t>
  </si>
  <si>
    <t>BN2578</t>
  </si>
  <si>
    <t>BN2579</t>
  </si>
  <si>
    <t>BN2580</t>
  </si>
  <si>
    <t>BN2581</t>
  </si>
  <si>
    <t>BN2582</t>
  </si>
  <si>
    <t>BN2583</t>
  </si>
  <si>
    <t>BN2584</t>
  </si>
  <si>
    <t>BN2585</t>
  </si>
  <si>
    <t>BN2586</t>
  </si>
  <si>
    <t>BN2587</t>
  </si>
  <si>
    <t>BN2588</t>
  </si>
  <si>
    <t>BN2589</t>
  </si>
  <si>
    <t>BN2590</t>
  </si>
  <si>
    <t>BN2591</t>
  </si>
  <si>
    <t>BN2592</t>
  </si>
  <si>
    <t>BN2593</t>
  </si>
  <si>
    <t>BN2594</t>
  </si>
  <si>
    <t>BN2595</t>
  </si>
  <si>
    <t>BN2596</t>
  </si>
  <si>
    <t>BN2597</t>
  </si>
  <si>
    <t>BN2598</t>
  </si>
  <si>
    <t>BN2599</t>
  </si>
  <si>
    <t>BN2600</t>
  </si>
  <si>
    <t>BN2601</t>
  </si>
  <si>
    <t>BN2602</t>
  </si>
  <si>
    <t>BN2603</t>
  </si>
  <si>
    <t>BN2604</t>
  </si>
  <si>
    <t>BN2605</t>
  </si>
  <si>
    <t>BN2606</t>
  </si>
  <si>
    <t>BN2607</t>
  </si>
  <si>
    <t>BN2608</t>
  </si>
  <si>
    <t>BN2609</t>
  </si>
  <si>
    <t>BN2610</t>
  </si>
  <si>
    <t>BN2611</t>
  </si>
  <si>
    <t>BN2612</t>
  </si>
  <si>
    <t>BN2613</t>
  </si>
  <si>
    <t>BN2614</t>
  </si>
  <si>
    <t>BN2615</t>
  </si>
  <si>
    <t>BN2616</t>
  </si>
  <si>
    <t>BN2617</t>
  </si>
  <si>
    <t>BN2618</t>
  </si>
  <si>
    <t>BN2619</t>
  </si>
  <si>
    <t>BN2620</t>
  </si>
  <si>
    <t>BN2621</t>
  </si>
  <si>
    <t>BN2622</t>
  </si>
  <si>
    <t>BN2623</t>
  </si>
  <si>
    <t>BN2624</t>
  </si>
  <si>
    <t>BN2625</t>
  </si>
  <si>
    <t>BN2626</t>
  </si>
  <si>
    <t>BN2627</t>
  </si>
  <si>
    <t>BN2628</t>
  </si>
  <si>
    <t>BN2629</t>
  </si>
  <si>
    <t>BN2630</t>
  </si>
  <si>
    <t>BN2631</t>
  </si>
  <si>
    <t>BN2632</t>
  </si>
  <si>
    <t>BN2633</t>
  </si>
  <si>
    <t>BN2634</t>
  </si>
  <si>
    <t>BN2635</t>
  </si>
  <si>
    <t>BN2636</t>
  </si>
  <si>
    <t>BN2637</t>
  </si>
  <si>
    <t>BN2638</t>
  </si>
  <si>
    <t>BN2639</t>
  </si>
  <si>
    <t>BN2640</t>
  </si>
  <si>
    <t>BN2641</t>
  </si>
  <si>
    <t>BN2642</t>
  </si>
  <si>
    <t>BN2643</t>
  </si>
  <si>
    <t>BN2644</t>
  </si>
  <si>
    <t>BN2645</t>
  </si>
  <si>
    <t>BN2646</t>
  </si>
  <si>
    <t>BN2647</t>
  </si>
  <si>
    <t>BN2648</t>
  </si>
  <si>
    <t>BN2649</t>
  </si>
  <si>
    <t>BN2650</t>
  </si>
  <si>
    <t>BN2651</t>
  </si>
  <si>
    <t>BN2652</t>
  </si>
  <si>
    <t>BN2653</t>
  </si>
  <si>
    <t>BN2654</t>
  </si>
  <si>
    <t>BN2655</t>
  </si>
  <si>
    <t>BN2656</t>
  </si>
  <si>
    <t>BN2657</t>
  </si>
  <si>
    <t>BN2658</t>
  </si>
  <si>
    <t>BN2659</t>
  </si>
  <si>
    <t>BN2660</t>
  </si>
  <si>
    <t>BN2661</t>
  </si>
  <si>
    <t>BN2662</t>
  </si>
  <si>
    <t>BN2663</t>
  </si>
  <si>
    <t>BN2664</t>
  </si>
  <si>
    <t>BN2665</t>
  </si>
  <si>
    <t>BN2666</t>
  </si>
  <si>
    <t>BN2667</t>
  </si>
  <si>
    <t>BN2668</t>
  </si>
  <si>
    <t>BN2669</t>
  </si>
  <si>
    <t>BN2670</t>
  </si>
  <si>
    <t>BN2671</t>
  </si>
  <si>
    <t>BN2672</t>
  </si>
  <si>
    <t>BN2673</t>
  </si>
  <si>
    <t>BN2674</t>
  </si>
  <si>
    <t>BN2675</t>
  </si>
  <si>
    <t>BN2676</t>
  </si>
  <si>
    <t>BN2677</t>
  </si>
  <si>
    <t>BN2678</t>
  </si>
  <si>
    <t>BN2679</t>
  </si>
  <si>
    <t>BN2680</t>
  </si>
  <si>
    <t>BN2681</t>
  </si>
  <si>
    <t>BN2682</t>
  </si>
  <si>
    <t>BN2683</t>
  </si>
  <si>
    <t>BN2684</t>
  </si>
  <si>
    <t>BN2685</t>
  </si>
  <si>
    <t>BN2686</t>
  </si>
  <si>
    <t>BN2687</t>
  </si>
  <si>
    <t>BN2688</t>
  </si>
  <si>
    <t>BN2689</t>
  </si>
  <si>
    <t>BN2690</t>
  </si>
  <si>
    <t>BN2691</t>
  </si>
  <si>
    <t>BN2692</t>
  </si>
  <si>
    <t>BN2693</t>
  </si>
  <si>
    <t>BN2694</t>
  </si>
  <si>
    <t>BN2695</t>
  </si>
  <si>
    <t>BN2696</t>
  </si>
  <si>
    <t>BN2697</t>
  </si>
  <si>
    <t>BN2698</t>
  </si>
  <si>
    <t>BN2699</t>
  </si>
  <si>
    <t>BN2700</t>
  </si>
  <si>
    <t>BN2701</t>
  </si>
  <si>
    <t>BN2702</t>
  </si>
  <si>
    <t>BN2703</t>
  </si>
  <si>
    <t>BN2704</t>
  </si>
  <si>
    <t>BN2705</t>
  </si>
  <si>
    <t>BN2706</t>
  </si>
  <si>
    <t>BN2707</t>
  </si>
  <si>
    <t>BN2708</t>
  </si>
  <si>
    <t>BN2709</t>
  </si>
  <si>
    <t>BN2710</t>
  </si>
  <si>
    <t>BN2711</t>
  </si>
  <si>
    <t>BN2712</t>
  </si>
  <si>
    <t>BN2713</t>
  </si>
  <si>
    <t>BN2714</t>
  </si>
  <si>
    <t>BN2715</t>
  </si>
  <si>
    <t>BN2716</t>
  </si>
  <si>
    <t>BN2717</t>
  </si>
  <si>
    <t>BN2718</t>
  </si>
  <si>
    <t>BN2719</t>
  </si>
  <si>
    <t>BN2720</t>
  </si>
  <si>
    <t>BN2721</t>
  </si>
  <si>
    <t>BN2722</t>
  </si>
  <si>
    <t>BN2723</t>
  </si>
  <si>
    <t>BN2724</t>
  </si>
  <si>
    <t>BN2725</t>
  </si>
  <si>
    <t>BN2726</t>
  </si>
  <si>
    <t>BN2727</t>
  </si>
  <si>
    <t>BN2728</t>
  </si>
  <si>
    <t>BN2729</t>
  </si>
  <si>
    <t>BN2730</t>
  </si>
  <si>
    <t>BN2731</t>
  </si>
  <si>
    <t>BN2732</t>
  </si>
  <si>
    <t>BN2733</t>
  </si>
  <si>
    <t>BN2734</t>
  </si>
  <si>
    <t>BN2735</t>
  </si>
  <si>
    <t>BN2736</t>
  </si>
  <si>
    <t>BN2737</t>
  </si>
  <si>
    <t>BN2738</t>
  </si>
  <si>
    <t>BN2739</t>
  </si>
  <si>
    <t>BN2740</t>
  </si>
  <si>
    <t>BN2741</t>
  </si>
  <si>
    <t>BN2742</t>
  </si>
  <si>
    <t>BN2743</t>
  </si>
  <si>
    <t>BN2744</t>
  </si>
  <si>
    <t>BN2745</t>
  </si>
  <si>
    <t>BN2746</t>
  </si>
  <si>
    <t>BN2747</t>
  </si>
  <si>
    <t>BN2748</t>
  </si>
  <si>
    <t>BN2749</t>
  </si>
  <si>
    <t>BN2750</t>
  </si>
  <si>
    <t>BN2751</t>
  </si>
  <si>
    <t>BN2752</t>
  </si>
  <si>
    <t>BN2753</t>
  </si>
  <si>
    <t>BN2754</t>
  </si>
  <si>
    <t>BN2755</t>
  </si>
  <si>
    <t>BN2756</t>
  </si>
  <si>
    <t>BN2757</t>
  </si>
  <si>
    <t>BN2758</t>
  </si>
  <si>
    <t>BN2759</t>
  </si>
  <si>
    <t>BN2760</t>
  </si>
  <si>
    <t>BN2761</t>
  </si>
  <si>
    <t>BN2762</t>
  </si>
  <si>
    <t>BN2763</t>
  </si>
  <si>
    <t>BN2764</t>
  </si>
  <si>
    <t>BN2765</t>
  </si>
  <si>
    <t>BN2766</t>
  </si>
  <si>
    <t>BN2767</t>
  </si>
  <si>
    <t>BN2768</t>
  </si>
  <si>
    <t>BN2769</t>
  </si>
  <si>
    <t>BN2770</t>
  </si>
  <si>
    <t>BN2771</t>
  </si>
  <si>
    <t>BN2772</t>
  </si>
  <si>
    <t>BN2773</t>
  </si>
  <si>
    <t>BN2774</t>
  </si>
  <si>
    <t>BN2775</t>
  </si>
  <si>
    <t>BN2776</t>
  </si>
  <si>
    <t>BN2777</t>
  </si>
  <si>
    <t>BN2778</t>
  </si>
  <si>
    <t>BN2779</t>
  </si>
  <si>
    <t>BN2780</t>
  </si>
  <si>
    <t>BN2781</t>
  </si>
  <si>
    <t>BN2782</t>
  </si>
  <si>
    <t>BN2783</t>
  </si>
  <si>
    <t>BN2784</t>
  </si>
  <si>
    <t>BN2785</t>
  </si>
  <si>
    <t>BN2786</t>
  </si>
  <si>
    <t>BN2787</t>
  </si>
  <si>
    <t>BN2788</t>
  </si>
  <si>
    <t>BN2789</t>
  </si>
  <si>
    <t>BN2790</t>
  </si>
  <si>
    <t>BN2791</t>
  </si>
  <si>
    <t>BN2792</t>
  </si>
  <si>
    <t>BN2793</t>
  </si>
  <si>
    <t>BN2794</t>
  </si>
  <si>
    <t>BN2795</t>
  </si>
  <si>
    <t>BN2796</t>
  </si>
  <si>
    <t>BN2797</t>
  </si>
  <si>
    <t>BN2798</t>
  </si>
  <si>
    <t>BN2799</t>
  </si>
  <si>
    <t>BN2800</t>
  </si>
  <si>
    <t>BN2801</t>
  </si>
  <si>
    <t>BN2802</t>
  </si>
  <si>
    <t>BN2803</t>
  </si>
  <si>
    <t>BN2804</t>
  </si>
  <si>
    <t>BN2805</t>
  </si>
  <si>
    <t>BN2806</t>
  </si>
  <si>
    <t>BN2807</t>
  </si>
  <si>
    <t>BN2808</t>
  </si>
  <si>
    <t>BN2809</t>
  </si>
  <si>
    <t>BN2810</t>
  </si>
  <si>
    <t>BN2811</t>
  </si>
  <si>
    <t>BN2812</t>
  </si>
  <si>
    <t>BN2813</t>
  </si>
  <si>
    <t>BN2814</t>
  </si>
  <si>
    <t>BN2815</t>
  </si>
  <si>
    <t>BN2816</t>
  </si>
  <si>
    <t>BN2817</t>
  </si>
  <si>
    <t>BN2818</t>
  </si>
  <si>
    <t>BN2819</t>
  </si>
  <si>
    <t>BN2820</t>
  </si>
  <si>
    <t>BN2821</t>
  </si>
  <si>
    <t>BN2822</t>
  </si>
  <si>
    <t>BN2823</t>
  </si>
  <si>
    <t>BN2824</t>
  </si>
  <si>
    <t>BN2825</t>
  </si>
  <si>
    <t>BN2826</t>
  </si>
  <si>
    <t>BN2827</t>
  </si>
  <si>
    <t>BN2828</t>
  </si>
  <si>
    <t>BN2829</t>
  </si>
  <si>
    <t>BN2830</t>
  </si>
  <si>
    <t>BN2831</t>
  </si>
  <si>
    <t>BN2832</t>
  </si>
  <si>
    <t>BN2833</t>
  </si>
  <si>
    <t>BN2834</t>
  </si>
  <si>
    <t>BN2835</t>
  </si>
  <si>
    <t>BN2836</t>
  </si>
  <si>
    <t>BN2837</t>
  </si>
  <si>
    <t>BN2838</t>
  </si>
  <si>
    <t>BN2839</t>
  </si>
  <si>
    <t>BN2840</t>
  </si>
  <si>
    <t>BN2841</t>
  </si>
  <si>
    <t>BN2842</t>
  </si>
  <si>
    <t>BN2843</t>
  </si>
  <si>
    <t>BN2844</t>
  </si>
  <si>
    <t>BN2845</t>
  </si>
  <si>
    <t>BN2846</t>
  </si>
  <si>
    <t>BN2847</t>
  </si>
  <si>
    <t>BN2848</t>
  </si>
  <si>
    <t>BN2849</t>
  </si>
  <si>
    <t>BN2850</t>
  </si>
  <si>
    <t>BN2851</t>
  </si>
  <si>
    <t>BN2852</t>
  </si>
  <si>
    <t>BN2853</t>
  </si>
  <si>
    <t>BN2854</t>
  </si>
  <si>
    <t>BN2855</t>
  </si>
  <si>
    <t>BN2856</t>
  </si>
  <si>
    <t>BN2857</t>
  </si>
  <si>
    <t>BN2858</t>
  </si>
  <si>
    <t>BN2859</t>
  </si>
  <si>
    <t>BN2860</t>
  </si>
  <si>
    <t>BN2861</t>
  </si>
  <si>
    <t>BN2862</t>
  </si>
  <si>
    <t>BN2863</t>
  </si>
  <si>
    <t>BN2864</t>
  </si>
  <si>
    <t>BN2865</t>
  </si>
  <si>
    <t>BN2866</t>
  </si>
  <si>
    <t>BN2867</t>
  </si>
  <si>
    <t>BN2868</t>
  </si>
  <si>
    <t>BN2869</t>
  </si>
  <si>
    <t>BN2870</t>
  </si>
  <si>
    <t>BN2871</t>
  </si>
  <si>
    <t>BN2872</t>
  </si>
  <si>
    <t>BN2873</t>
  </si>
  <si>
    <t>BN2874</t>
  </si>
  <si>
    <t>BN2875</t>
  </si>
  <si>
    <t>BN2876</t>
  </si>
  <si>
    <t>BN2877</t>
  </si>
  <si>
    <t>BN2878</t>
  </si>
  <si>
    <t>BN2879</t>
  </si>
  <si>
    <t>BN2880</t>
  </si>
  <si>
    <t>BN2881</t>
  </si>
  <si>
    <t>BN2882</t>
  </si>
  <si>
    <t>BN2883</t>
  </si>
  <si>
    <t>BN2884</t>
  </si>
  <si>
    <t>BN2885</t>
  </si>
  <si>
    <t>BN2886</t>
  </si>
  <si>
    <t>BN2887</t>
  </si>
  <si>
    <t>BN2888</t>
  </si>
  <si>
    <t>BN2889</t>
  </si>
  <si>
    <t>BN2890</t>
  </si>
  <si>
    <t>BN2891</t>
  </si>
  <si>
    <t>BN2892</t>
  </si>
  <si>
    <t>BN2893</t>
  </si>
  <si>
    <t>BN2894</t>
  </si>
  <si>
    <t>BN2895</t>
  </si>
  <si>
    <t>BN2896</t>
  </si>
  <si>
    <t>BN2897</t>
  </si>
  <si>
    <t>BN2898</t>
  </si>
  <si>
    <t>BN2899</t>
  </si>
  <si>
    <t>BN2900</t>
  </si>
  <si>
    <t>BN2901</t>
  </si>
  <si>
    <t>BN2902</t>
  </si>
  <si>
    <t>BN2903</t>
  </si>
  <si>
    <t>BN2904</t>
  </si>
  <si>
    <t>BN2905</t>
  </si>
  <si>
    <t>BN2906</t>
  </si>
  <si>
    <t>BN2907</t>
  </si>
  <si>
    <t>BN2908</t>
  </si>
  <si>
    <t>BN2909</t>
  </si>
  <si>
    <t>BN2910</t>
  </si>
  <si>
    <t>BN2911</t>
  </si>
  <si>
    <t>BN2912</t>
  </si>
  <si>
    <t>BN2913</t>
  </si>
  <si>
    <t>BN2914</t>
  </si>
  <si>
    <t>BN2915</t>
  </si>
  <si>
    <t>BN2916</t>
  </si>
  <si>
    <t>BN2917</t>
  </si>
  <si>
    <t>BN2918</t>
  </si>
  <si>
    <t>BN2919</t>
  </si>
  <si>
    <t>BN2920</t>
  </si>
  <si>
    <t>BN2921</t>
  </si>
  <si>
    <t>BN2922</t>
  </si>
  <si>
    <t>BN2923</t>
  </si>
  <si>
    <t>BN2924</t>
  </si>
  <si>
    <t>BN2925</t>
  </si>
  <si>
    <t>BN2926</t>
  </si>
  <si>
    <t>BN2927</t>
  </si>
  <si>
    <t>BN2928</t>
  </si>
  <si>
    <t>BN2929</t>
  </si>
  <si>
    <t>BN2930</t>
  </si>
  <si>
    <t>BN2931</t>
  </si>
  <si>
    <t>BN2932</t>
  </si>
  <si>
    <t>BN2933</t>
  </si>
  <si>
    <t>BN2934</t>
  </si>
  <si>
    <t>BN2935</t>
  </si>
  <si>
    <t>BN2936</t>
  </si>
  <si>
    <t>BN2937</t>
  </si>
  <si>
    <t>BN2938</t>
  </si>
  <si>
    <t>BN2939</t>
  </si>
  <si>
    <t>BN2940</t>
  </si>
  <si>
    <t>BN2941</t>
  </si>
  <si>
    <t>BN2942</t>
  </si>
  <si>
    <t>BN2943</t>
  </si>
  <si>
    <t>BN2944</t>
  </si>
  <si>
    <t>BN2945</t>
  </si>
  <si>
    <t>BN2946</t>
  </si>
  <si>
    <t>BN2947</t>
  </si>
  <si>
    <t>BN2948</t>
  </si>
  <si>
    <t>BN2949</t>
  </si>
  <si>
    <t>BN2950</t>
  </si>
  <si>
    <t>BN2951</t>
  </si>
  <si>
    <t>BN2952</t>
  </si>
  <si>
    <t>BN2953</t>
  </si>
  <si>
    <t>BN2954</t>
  </si>
  <si>
    <t>BN2955</t>
  </si>
  <si>
    <t>BN2956</t>
  </si>
  <si>
    <t>BN2957</t>
  </si>
  <si>
    <t>BN2958</t>
  </si>
  <si>
    <t>BN2959</t>
  </si>
  <si>
    <t>BN2960</t>
  </si>
  <si>
    <t>BN2961</t>
  </si>
  <si>
    <t>BN2962</t>
  </si>
  <si>
    <t>BN2963</t>
  </si>
  <si>
    <t>BN2964</t>
  </si>
  <si>
    <t>BN2965</t>
  </si>
  <si>
    <t>BN2966</t>
  </si>
  <si>
    <t>BN2967</t>
  </si>
  <si>
    <t>BN2968</t>
  </si>
  <si>
    <t>BN2969</t>
  </si>
  <si>
    <t>BN2970</t>
  </si>
  <si>
    <t>BN2971</t>
  </si>
  <si>
    <t>BN2972</t>
  </si>
  <si>
    <t>BN2973</t>
  </si>
  <si>
    <t>BN2974</t>
  </si>
  <si>
    <t>BN2975</t>
  </si>
  <si>
    <t>BN2976</t>
  </si>
  <si>
    <t>BN2977</t>
  </si>
  <si>
    <t>BN2978</t>
  </si>
  <si>
    <t>BN2979</t>
  </si>
  <si>
    <t>BN2980</t>
  </si>
  <si>
    <t>BN2981</t>
  </si>
  <si>
    <t>BN2982</t>
  </si>
  <si>
    <t>BN2983</t>
  </si>
  <si>
    <t>BN2984</t>
  </si>
  <si>
    <t>BN2985</t>
  </si>
  <si>
    <t>BN2986</t>
  </si>
  <si>
    <t>BN2987</t>
  </si>
  <si>
    <t>BN2988</t>
  </si>
  <si>
    <t>BN2989</t>
  </si>
  <si>
    <t>BN2990</t>
  </si>
  <si>
    <t>BN2991</t>
  </si>
  <si>
    <t>BN2992</t>
  </si>
  <si>
    <t>BN2993</t>
  </si>
  <si>
    <t>BN2994</t>
  </si>
  <si>
    <t>BN2995</t>
  </si>
  <si>
    <t>BN2996</t>
  </si>
  <si>
    <t>BN2997</t>
  </si>
  <si>
    <t>BN2998</t>
  </si>
  <si>
    <t>BN2999</t>
  </si>
  <si>
    <t>BN3000</t>
  </si>
  <si>
    <t>BN3001</t>
  </si>
  <si>
    <t>BN3002</t>
  </si>
  <si>
    <t>BN3003</t>
  </si>
  <si>
    <t>BN3004</t>
  </si>
  <si>
    <t>BN3005</t>
  </si>
  <si>
    <t>BN3006</t>
  </si>
  <si>
    <t>BN3007</t>
  </si>
  <si>
    <t>BN3008</t>
  </si>
  <si>
    <t>BN3009</t>
  </si>
  <si>
    <t>BN3010</t>
  </si>
  <si>
    <t>BN3011</t>
  </si>
  <si>
    <t>BN3012</t>
  </si>
  <si>
    <t>BN3013</t>
  </si>
  <si>
    <t>BN3014</t>
  </si>
  <si>
    <t>BN3015</t>
  </si>
  <si>
    <t>BN3016</t>
  </si>
  <si>
    <t>BN3017</t>
  </si>
  <si>
    <t>BN3018</t>
  </si>
  <si>
    <t>BN3019</t>
  </si>
  <si>
    <t>BN3020</t>
  </si>
  <si>
    <t>BN3021</t>
  </si>
  <si>
    <t>BN3022</t>
  </si>
  <si>
    <t>BN3023</t>
  </si>
  <si>
    <t>BN3024</t>
  </si>
  <si>
    <t>BN3025</t>
  </si>
  <si>
    <t>BN3026</t>
  </si>
  <si>
    <t>BN3027</t>
  </si>
  <si>
    <t>BN3028</t>
  </si>
  <si>
    <t>BN3029</t>
  </si>
  <si>
    <t>BN3030</t>
  </si>
  <si>
    <t>BN3031</t>
  </si>
  <si>
    <t>BN3032</t>
  </si>
  <si>
    <t>BN3033</t>
  </si>
  <si>
    <t>BN3034</t>
  </si>
  <si>
    <t>BN3035</t>
  </si>
  <si>
    <t>BN3036</t>
  </si>
  <si>
    <t>BN3037</t>
  </si>
  <si>
    <t>BN3038</t>
  </si>
  <si>
    <t>BN3039</t>
  </si>
  <si>
    <t>BN3040</t>
  </si>
  <si>
    <t>BN3041</t>
  </si>
  <si>
    <t>BN3042</t>
  </si>
  <si>
    <t>BN3043</t>
  </si>
  <si>
    <t>BN3044</t>
  </si>
  <si>
    <t>BN3045</t>
  </si>
  <si>
    <t>BN3046</t>
  </si>
  <si>
    <t>BN3047</t>
  </si>
  <si>
    <t>BN3048</t>
  </si>
  <si>
    <t>BN3049</t>
  </si>
  <si>
    <t>BN3050</t>
  </si>
  <si>
    <t>BN3051</t>
  </si>
  <si>
    <t>BN3052</t>
  </si>
  <si>
    <t>BN3053</t>
  </si>
  <si>
    <t>BN3054</t>
  </si>
  <si>
    <t>BN3055</t>
  </si>
  <si>
    <t>BN3056</t>
  </si>
  <si>
    <t>BN3057</t>
  </si>
  <si>
    <t>BN3058</t>
  </si>
  <si>
    <t>BN3059</t>
  </si>
  <si>
    <t>BN3060</t>
  </si>
  <si>
    <t>BN3061</t>
  </si>
  <si>
    <t>BN3062</t>
  </si>
  <si>
    <t>BN3063</t>
  </si>
  <si>
    <t>BN3064</t>
  </si>
  <si>
    <t>BN3065</t>
  </si>
  <si>
    <t>BN3066</t>
  </si>
  <si>
    <t>BN3067</t>
  </si>
  <si>
    <t>BN3068</t>
  </si>
  <si>
    <t>BN3069</t>
  </si>
  <si>
    <t>BN3070</t>
  </si>
  <si>
    <t>BN3071</t>
  </si>
  <si>
    <t>BN3072</t>
  </si>
  <si>
    <t>BN3073</t>
  </si>
  <si>
    <t>BN3074</t>
  </si>
  <si>
    <t>BN3075</t>
  </si>
  <si>
    <t>BN3076</t>
  </si>
  <si>
    <t>BN3077</t>
  </si>
  <si>
    <t>BN3078</t>
  </si>
  <si>
    <t>BN3079</t>
  </si>
  <si>
    <t>BN3080</t>
  </si>
  <si>
    <t>BN3081</t>
  </si>
  <si>
    <t>BN3082</t>
  </si>
  <si>
    <t>BN3083</t>
  </si>
  <si>
    <t>BN3084</t>
  </si>
  <si>
    <t>BN3085</t>
  </si>
  <si>
    <t>BN3086</t>
  </si>
  <si>
    <t>BN3087</t>
  </si>
  <si>
    <t>BN3088</t>
  </si>
  <si>
    <t>BN3089</t>
  </si>
  <si>
    <t>BN3090</t>
  </si>
  <si>
    <t>BN3091</t>
  </si>
  <si>
    <t>BN3092</t>
  </si>
  <si>
    <t>BN3093</t>
  </si>
  <si>
    <t>BN3094</t>
  </si>
  <si>
    <t>BN3095</t>
  </si>
  <si>
    <t>BN3096</t>
  </si>
  <si>
    <t>BN3097</t>
  </si>
  <si>
    <t>BN3098</t>
  </si>
  <si>
    <t>BN3099</t>
  </si>
  <si>
    <t>BN3100</t>
  </si>
  <si>
    <t>BN3101</t>
  </si>
  <si>
    <t>BN3102</t>
  </si>
  <si>
    <t>BN3103</t>
  </si>
  <si>
    <t>BN3104</t>
  </si>
  <si>
    <t>BN3105</t>
  </si>
  <si>
    <t>BN3106</t>
  </si>
  <si>
    <t>BN3107</t>
  </si>
  <si>
    <t>BN3108</t>
  </si>
  <si>
    <t>BN3109</t>
  </si>
  <si>
    <t>BN3110</t>
  </si>
  <si>
    <t>BN3111</t>
  </si>
  <si>
    <t>BN3112</t>
  </si>
  <si>
    <t>BN3113</t>
  </si>
  <si>
    <t>BN3114</t>
  </si>
  <si>
    <t>BN3115</t>
  </si>
  <si>
    <t>BN3116</t>
  </si>
  <si>
    <t>BN3117</t>
  </si>
  <si>
    <t>BN3118</t>
  </si>
  <si>
    <t>BN3119</t>
  </si>
  <si>
    <t>BN3120</t>
  </si>
  <si>
    <t>BN3121</t>
  </si>
  <si>
    <t>BN3122</t>
  </si>
  <si>
    <t>BN3123</t>
  </si>
  <si>
    <t>BN3124</t>
  </si>
  <si>
    <t>BN3125</t>
  </si>
  <si>
    <t>BN3126</t>
  </si>
  <si>
    <t>BN3127</t>
  </si>
  <si>
    <t>BN3128</t>
  </si>
  <si>
    <t>BN3129</t>
  </si>
  <si>
    <t>BN3130</t>
  </si>
  <si>
    <t>BN3131</t>
  </si>
  <si>
    <t>BN3132</t>
  </si>
  <si>
    <t>BN3133</t>
  </si>
  <si>
    <t>BN3134</t>
  </si>
  <si>
    <t>BN3135</t>
  </si>
  <si>
    <t>BN3136</t>
  </si>
  <si>
    <t>BN3137</t>
  </si>
  <si>
    <t>BN3138</t>
  </si>
  <si>
    <t>BN3139</t>
  </si>
  <si>
    <t>BN3140</t>
  </si>
  <si>
    <t>BN3141</t>
  </si>
  <si>
    <t>BN3142</t>
  </si>
  <si>
    <t>BN3143</t>
  </si>
  <si>
    <t>BN3144</t>
  </si>
  <si>
    <t>BN3145</t>
  </si>
  <si>
    <t>BN3146</t>
  </si>
  <si>
    <t>BN3147</t>
  </si>
  <si>
    <t>BN3148</t>
  </si>
  <si>
    <t>BN3149</t>
  </si>
  <si>
    <t>BN3150</t>
  </si>
  <si>
    <t>BN3151</t>
  </si>
  <si>
    <t>BN3152</t>
  </si>
  <si>
    <t>BN3153</t>
  </si>
  <si>
    <t>BN3154</t>
  </si>
  <si>
    <t>BN3155</t>
  </si>
  <si>
    <t>BN3156</t>
  </si>
  <si>
    <t>BN3157</t>
  </si>
  <si>
    <t>BN3158</t>
  </si>
  <si>
    <t>BN3159</t>
  </si>
  <si>
    <t>BN3160</t>
  </si>
  <si>
    <t>BN3161</t>
  </si>
  <si>
    <t>BN3162</t>
  </si>
  <si>
    <t>BN3163</t>
  </si>
  <si>
    <t>BN3164</t>
  </si>
  <si>
    <t>BN3165</t>
  </si>
  <si>
    <t>BN3166</t>
  </si>
  <si>
    <t>BN3167</t>
  </si>
  <si>
    <t>BN3168</t>
  </si>
  <si>
    <t>BN3169</t>
  </si>
  <si>
    <t>BN3170</t>
  </si>
  <si>
    <t>BN3171</t>
  </si>
  <si>
    <t>BN3172</t>
  </si>
  <si>
    <t>BN3173</t>
  </si>
  <si>
    <t>BN3174</t>
  </si>
  <si>
    <t>BN3175</t>
  </si>
  <si>
    <t>BN3176</t>
  </si>
  <si>
    <t>BN3177</t>
  </si>
  <si>
    <t>BN3178</t>
  </si>
  <si>
    <t>BN3179</t>
  </si>
  <si>
    <t>BN3180</t>
  </si>
  <si>
    <t>BN3181</t>
  </si>
  <si>
    <t>BN3182</t>
  </si>
  <si>
    <t>BN3183</t>
  </si>
  <si>
    <t>BN3184</t>
  </si>
  <si>
    <t>BN3185</t>
  </si>
  <si>
    <t>BN3186</t>
  </si>
  <si>
    <t>BN3187</t>
  </si>
  <si>
    <t>BN3188</t>
  </si>
  <si>
    <t>BN3189</t>
  </si>
  <si>
    <t>BN3190</t>
  </si>
  <si>
    <t>BN3191</t>
  </si>
  <si>
    <t>BN3192</t>
  </si>
  <si>
    <t>BN3193</t>
  </si>
  <si>
    <t>BN3194</t>
  </si>
  <si>
    <t>BN3195</t>
  </si>
  <si>
    <t>BN3196</t>
  </si>
  <si>
    <t>BN3197</t>
  </si>
  <si>
    <t>BN3198</t>
  </si>
  <si>
    <t>BN3199</t>
  </si>
  <si>
    <t>BN3200</t>
  </si>
  <si>
    <t>BN3201</t>
  </si>
  <si>
    <t>BN3202</t>
  </si>
  <si>
    <t>BN3203</t>
  </si>
  <si>
    <t>BN3204</t>
  </si>
  <si>
    <t>BN3205</t>
  </si>
  <si>
    <t>BN3206</t>
  </si>
  <si>
    <t>BN3207</t>
  </si>
  <si>
    <t>BN3208</t>
  </si>
  <si>
    <t>BN3209</t>
  </si>
  <si>
    <t>BN3210</t>
  </si>
  <si>
    <t>BN3211</t>
  </si>
  <si>
    <t>BN3212</t>
  </si>
  <si>
    <t>BN3213</t>
  </si>
  <si>
    <t>BN3214</t>
  </si>
  <si>
    <t>BN3215</t>
  </si>
  <si>
    <t>BN3216</t>
  </si>
  <si>
    <t>BN3217</t>
  </si>
  <si>
    <t>BN3218</t>
  </si>
  <si>
    <t>BN3219</t>
  </si>
  <si>
    <t>BN3220</t>
  </si>
  <si>
    <t>BN3221</t>
  </si>
  <si>
    <t>BN3222</t>
  </si>
  <si>
    <t>BN3223</t>
  </si>
  <si>
    <t>BN3224</t>
  </si>
  <si>
    <t>BN3225</t>
  </si>
  <si>
    <t>BN3226</t>
  </si>
  <si>
    <t>BN3227</t>
  </si>
  <si>
    <t>BN3228</t>
  </si>
  <si>
    <t>BN3229</t>
  </si>
  <si>
    <t>BN3230</t>
  </si>
  <si>
    <t>BN3231</t>
  </si>
  <si>
    <t>BN3232</t>
  </si>
  <si>
    <t>BN3233</t>
  </si>
  <si>
    <t>BN3234</t>
  </si>
  <si>
    <t>BN3235</t>
  </si>
  <si>
    <t>BN3236</t>
  </si>
  <si>
    <t>BN3237</t>
  </si>
  <si>
    <t>BN3238</t>
  </si>
  <si>
    <t>BN3239</t>
  </si>
  <si>
    <t>BN3240</t>
  </si>
  <si>
    <t>BN3241</t>
  </si>
  <si>
    <t>BN3242</t>
  </si>
  <si>
    <t>BN3243</t>
  </si>
  <si>
    <t>BN3244</t>
  </si>
  <si>
    <t>BN3245</t>
  </si>
  <si>
    <t>BN3246</t>
  </si>
  <si>
    <t>BN3247</t>
  </si>
  <si>
    <t>BN3248</t>
  </si>
  <si>
    <t>BN3249</t>
  </si>
  <si>
    <t>BN3250</t>
  </si>
  <si>
    <t>BN3251</t>
  </si>
  <si>
    <t>BN3252</t>
  </si>
  <si>
    <t>BN3253</t>
  </si>
  <si>
    <t>BN3254</t>
  </si>
  <si>
    <t>BN3255</t>
  </si>
  <si>
    <t>BN3256</t>
  </si>
  <si>
    <t>BN3257</t>
  </si>
  <si>
    <t>BN3258</t>
  </si>
  <si>
    <t>BN3259</t>
  </si>
  <si>
    <t>BN3260</t>
  </si>
  <si>
    <t>BN3261</t>
  </si>
  <si>
    <t>BN3262</t>
  </si>
  <si>
    <t>BN3263</t>
  </si>
  <si>
    <t>BN3264</t>
  </si>
  <si>
    <t>BN3265</t>
  </si>
  <si>
    <t>BN3266</t>
  </si>
  <si>
    <t>BN3267</t>
  </si>
  <si>
    <t>BN3268</t>
  </si>
  <si>
    <t>BN3269</t>
  </si>
  <si>
    <t>BN3270</t>
  </si>
  <si>
    <t>BN3271</t>
  </si>
  <si>
    <t>BN3272</t>
  </si>
  <si>
    <t>BN3273</t>
  </si>
  <si>
    <t>BN3274</t>
  </si>
  <si>
    <t>BN3275</t>
  </si>
  <si>
    <t>BN3276</t>
  </si>
  <si>
    <t>BN3277</t>
  </si>
  <si>
    <t>BN3278</t>
  </si>
  <si>
    <t>BN3279</t>
  </si>
  <si>
    <t>BN3280</t>
  </si>
  <si>
    <t>BN3281</t>
  </si>
  <si>
    <t>BN3282</t>
  </si>
  <si>
    <t>BN3283</t>
  </si>
  <si>
    <t>BN3284</t>
  </si>
  <si>
    <t>BN3285</t>
  </si>
  <si>
    <t>BN3286</t>
  </si>
  <si>
    <t>BN3287</t>
  </si>
  <si>
    <t>BN3288</t>
  </si>
  <si>
    <t>BN3289</t>
  </si>
  <si>
    <t>BN3290</t>
  </si>
  <si>
    <t>BN3291</t>
  </si>
  <si>
    <t>BN3292</t>
  </si>
  <si>
    <t>BN3293</t>
  </si>
  <si>
    <t>BN3294</t>
  </si>
  <si>
    <t>BN3295</t>
  </si>
  <si>
    <t>BN3296</t>
  </si>
  <si>
    <t>BN3297</t>
  </si>
  <si>
    <t>BN3298</t>
  </si>
  <si>
    <t>BN3299</t>
  </si>
  <si>
    <t>BN3300</t>
  </si>
  <si>
    <t>BN3301</t>
  </si>
  <si>
    <t>BN3302</t>
  </si>
  <si>
    <t>BN3303</t>
  </si>
  <si>
    <t>BN3304</t>
  </si>
  <si>
    <t>BN3305</t>
  </si>
  <si>
    <t>BN3306</t>
  </si>
  <si>
    <t>BN3307</t>
  </si>
  <si>
    <t>BN3308</t>
  </si>
  <si>
    <t>BN3309</t>
  </si>
  <si>
    <t>BN3310</t>
  </si>
  <si>
    <t>BN3311</t>
  </si>
  <si>
    <t>BN3312</t>
  </si>
  <si>
    <t>BN3313</t>
  </si>
  <si>
    <t>BN3314</t>
  </si>
  <si>
    <t>BN3315</t>
  </si>
  <si>
    <t>BN3316</t>
  </si>
  <si>
    <t>BN3317</t>
  </si>
  <si>
    <t>BN3318</t>
  </si>
  <si>
    <t>BN3319</t>
  </si>
  <si>
    <t>BN3320</t>
  </si>
  <si>
    <t>BN3321</t>
  </si>
  <si>
    <t>BN3322</t>
  </si>
  <si>
    <t>BN3323</t>
  </si>
  <si>
    <t>BN3324</t>
  </si>
  <si>
    <t>BN3325</t>
  </si>
  <si>
    <t>BN3326</t>
  </si>
  <si>
    <t>BN3327</t>
  </si>
  <si>
    <t>BN3328</t>
  </si>
  <si>
    <t>BN3329</t>
  </si>
  <si>
    <t>BN3330</t>
  </si>
  <si>
    <t>BN3331</t>
  </si>
  <si>
    <t>BN3332</t>
  </si>
  <si>
    <t>BN3333</t>
  </si>
  <si>
    <t>BN3334</t>
  </si>
  <si>
    <t>BN3335</t>
  </si>
  <si>
    <t>BN3336</t>
  </si>
  <si>
    <t>BN3337</t>
  </si>
  <si>
    <t>BN3338</t>
  </si>
  <si>
    <t>BN3339</t>
  </si>
  <si>
    <t>BN3340</t>
  </si>
  <si>
    <t>BN3341</t>
  </si>
  <si>
    <t>BN3342</t>
  </si>
  <si>
    <t>BN3343</t>
  </si>
  <si>
    <t>BN3344</t>
  </si>
  <si>
    <t>BN3345</t>
  </si>
  <si>
    <t>BN3346</t>
  </si>
  <si>
    <t>BN3347</t>
  </si>
  <si>
    <t>BN3348</t>
  </si>
  <si>
    <t>BN3349</t>
  </si>
  <si>
    <t>BN3350</t>
  </si>
  <si>
    <t>BN3351</t>
  </si>
  <si>
    <t>BN3352</t>
  </si>
  <si>
    <t>BN3353</t>
  </si>
  <si>
    <t>BN3354</t>
  </si>
  <si>
    <t>BN3355</t>
  </si>
  <si>
    <t>BN3356</t>
  </si>
  <si>
    <t>BN3357</t>
  </si>
  <si>
    <t>BN3358</t>
  </si>
  <si>
    <t>BN3359</t>
  </si>
  <si>
    <t>BN3360</t>
  </si>
  <si>
    <t>BN3361</t>
  </si>
  <si>
    <t>BN3362</t>
  </si>
  <si>
    <t>BN3363</t>
  </si>
  <si>
    <t>BN3364</t>
  </si>
  <si>
    <t>BN3365</t>
  </si>
  <si>
    <t>BN3366</t>
  </si>
  <si>
    <t>BN3367</t>
  </si>
  <si>
    <t>BN3368</t>
  </si>
  <si>
    <t>BN3369</t>
  </si>
  <si>
    <t>BN3370</t>
  </si>
  <si>
    <t>BN3371</t>
  </si>
  <si>
    <t>BN3372</t>
  </si>
  <si>
    <t>BN3373</t>
  </si>
  <si>
    <t>BN3374</t>
  </si>
  <si>
    <t>BN3375</t>
  </si>
  <si>
    <t>BN3376</t>
  </si>
  <si>
    <t>BN3377</t>
  </si>
  <si>
    <t>BN3378</t>
  </si>
  <si>
    <t>BN3379</t>
  </si>
  <si>
    <t>BN3380</t>
  </si>
  <si>
    <t>BN3381</t>
  </si>
  <si>
    <t>BN3382</t>
  </si>
  <si>
    <t>BN3383</t>
  </si>
  <si>
    <t>BN3384</t>
  </si>
  <si>
    <t>BN3385</t>
  </si>
  <si>
    <t>BN3386</t>
  </si>
  <si>
    <t>BN3387</t>
  </si>
  <si>
    <t>BN3388</t>
  </si>
  <si>
    <t>BN3389</t>
  </si>
  <si>
    <t>BN3390</t>
  </si>
  <si>
    <t>BN3391</t>
  </si>
  <si>
    <t>BN3392</t>
  </si>
  <si>
    <t>BN3393</t>
  </si>
  <si>
    <t>BN3394</t>
  </si>
  <si>
    <t>BN3395</t>
  </si>
  <si>
    <t>BN3396</t>
  </si>
  <si>
    <t>BN3397</t>
  </si>
  <si>
    <t>BN3398</t>
  </si>
  <si>
    <t>BN3399</t>
  </si>
  <si>
    <t>BN3400</t>
  </si>
  <si>
    <t>BN3401</t>
  </si>
  <si>
    <t>BN3402</t>
  </si>
  <si>
    <t>BN3403</t>
  </si>
  <si>
    <t>BN3404</t>
  </si>
  <si>
    <t>BN3405</t>
  </si>
  <si>
    <t>BN3406</t>
  </si>
  <si>
    <t>BN3407</t>
  </si>
  <si>
    <t>BN3408</t>
  </si>
  <si>
    <t>BN3409</t>
  </si>
  <si>
    <t>BN3410</t>
  </si>
  <si>
    <t>BN3411</t>
  </si>
  <si>
    <t>BN3412</t>
  </si>
  <si>
    <t>BN3413</t>
  </si>
  <si>
    <t>BN3414</t>
  </si>
  <si>
    <t>BN3415</t>
  </si>
  <si>
    <t>BN3416</t>
  </si>
  <si>
    <t>BN3417</t>
  </si>
  <si>
    <t>BN3418</t>
  </si>
  <si>
    <t>BN3419</t>
  </si>
  <si>
    <t>BN3420</t>
  </si>
  <si>
    <t>BN3421</t>
  </si>
  <si>
    <t>BN3422</t>
  </si>
  <si>
    <t>BN3423</t>
  </si>
  <si>
    <t>BN3424</t>
  </si>
  <si>
    <t>BN3425</t>
  </si>
  <si>
    <t>BN3426</t>
  </si>
  <si>
    <t>BN3427</t>
  </si>
  <si>
    <t>BN3428</t>
  </si>
  <si>
    <t>BN3429</t>
  </si>
  <si>
    <t>BN3430</t>
  </si>
  <si>
    <t>BN3431</t>
  </si>
  <si>
    <t>BN3432</t>
  </si>
  <si>
    <t>BN3433</t>
  </si>
  <si>
    <t>BN3434</t>
  </si>
  <si>
    <t>BN3435</t>
  </si>
  <si>
    <t>BN3436</t>
  </si>
  <si>
    <t>BN3437</t>
  </si>
  <si>
    <t>BN3438</t>
  </si>
  <si>
    <t>BN3439</t>
  </si>
  <si>
    <t>BN3440</t>
  </si>
  <si>
    <t>BN3441</t>
  </si>
  <si>
    <t>BN3442</t>
  </si>
  <si>
    <t>BN3443</t>
  </si>
  <si>
    <t>BN3444</t>
  </si>
  <si>
    <t>BN3445</t>
  </si>
  <si>
    <t>BN3446</t>
  </si>
  <si>
    <t>BN3447</t>
  </si>
  <si>
    <t>BN3448</t>
  </si>
  <si>
    <t>BN3449</t>
  </si>
  <si>
    <t>BN3450</t>
  </si>
  <si>
    <t>BN3451</t>
  </si>
  <si>
    <t>BN3452</t>
  </si>
  <si>
    <t>BN3453</t>
  </si>
  <si>
    <t>BN3454</t>
  </si>
  <si>
    <t>BN3455</t>
  </si>
  <si>
    <t>BN3456</t>
  </si>
  <si>
    <t>BN3457</t>
  </si>
  <si>
    <t>BN3458</t>
  </si>
  <si>
    <t>BN3459</t>
  </si>
  <si>
    <t>BN3460</t>
  </si>
  <si>
    <t>BN3461</t>
  </si>
  <si>
    <t>BN3462</t>
  </si>
  <si>
    <t>BN3463</t>
  </si>
  <si>
    <t>BN3464</t>
  </si>
  <si>
    <t>BN3465</t>
  </si>
  <si>
    <t>BN3466</t>
  </si>
  <si>
    <t>BN3467</t>
  </si>
  <si>
    <t>BN3468</t>
  </si>
  <si>
    <t>BN3469</t>
  </si>
  <si>
    <t>BN3470</t>
  </si>
  <si>
    <t>BN3471</t>
  </si>
  <si>
    <t>BN3472</t>
  </si>
  <si>
    <t>BN3473</t>
  </si>
  <si>
    <t>BN3474</t>
  </si>
  <si>
    <t>BN3475</t>
  </si>
  <si>
    <t>BN3476</t>
  </si>
  <si>
    <t>BN3477</t>
  </si>
  <si>
    <t>BN3478</t>
  </si>
  <si>
    <t>BN3479</t>
  </si>
  <si>
    <t>BN3480</t>
  </si>
  <si>
    <t>BN3481</t>
  </si>
  <si>
    <t>BN3482</t>
  </si>
  <si>
    <t>BN3483</t>
  </si>
  <si>
    <t>BN3484</t>
  </si>
  <si>
    <t>BN3485</t>
  </si>
  <si>
    <t>BN3486</t>
  </si>
  <si>
    <t>BN3487</t>
  </si>
  <si>
    <t>BN3488</t>
  </si>
  <si>
    <t>BN3489</t>
  </si>
  <si>
    <t>BN3490</t>
  </si>
  <si>
    <t>BN3491</t>
  </si>
  <si>
    <t>BN3492</t>
  </si>
  <si>
    <t>BN3493</t>
  </si>
  <si>
    <t>BN3494</t>
  </si>
  <si>
    <t>BN3495</t>
  </si>
  <si>
    <t>BN3496</t>
  </si>
  <si>
    <t>BN3497</t>
  </si>
  <si>
    <t>BN3498</t>
  </si>
  <si>
    <t>BN3499</t>
  </si>
  <si>
    <t>BN3500</t>
  </si>
  <si>
    <t>BN3501</t>
  </si>
  <si>
    <t>BN3502</t>
  </si>
  <si>
    <t>BN3503</t>
  </si>
  <si>
    <t>BN3504</t>
  </si>
  <si>
    <t>BN3505</t>
  </si>
  <si>
    <t>BN3506</t>
  </si>
  <si>
    <t>BN3507</t>
  </si>
  <si>
    <t>BN3508</t>
  </si>
  <si>
    <t>BN3509</t>
  </si>
  <si>
    <t>BN3510</t>
  </si>
  <si>
    <t>BN3511</t>
  </si>
  <si>
    <t>BN3512</t>
  </si>
  <si>
    <t>BN3513</t>
  </si>
  <si>
    <t>BN3514</t>
  </si>
  <si>
    <t>BN3515</t>
  </si>
  <si>
    <t>BN3516</t>
  </si>
  <si>
    <t>BN3517</t>
  </si>
  <si>
    <t>BN3518</t>
  </si>
  <si>
    <t>BN3519</t>
  </si>
  <si>
    <t>BN3520</t>
  </si>
  <si>
    <t>BN3521</t>
  </si>
  <si>
    <t>BN3522</t>
  </si>
  <si>
    <t>BN3523</t>
  </si>
  <si>
    <t>BN3524</t>
  </si>
  <si>
    <t>BN3525</t>
  </si>
  <si>
    <t>BN3526</t>
  </si>
  <si>
    <t>BN3527</t>
  </si>
  <si>
    <t>BN3528</t>
  </si>
  <si>
    <t>BN3529</t>
  </si>
  <si>
    <t>BN3530</t>
  </si>
  <si>
    <t>BN3531</t>
  </si>
  <si>
    <t>BN3532</t>
  </si>
  <si>
    <t>BN3533</t>
  </si>
  <si>
    <t>BN3534</t>
  </si>
  <si>
    <t>BN3535</t>
  </si>
  <si>
    <t>BN3536</t>
  </si>
  <si>
    <t>BN3537</t>
  </si>
  <si>
    <t>BN3538</t>
  </si>
  <si>
    <t>BN3539</t>
  </si>
  <si>
    <t>BN3540</t>
  </si>
  <si>
    <t>BN3541</t>
  </si>
  <si>
    <t>BN3542</t>
  </si>
  <si>
    <t>BN3543</t>
  </si>
  <si>
    <t>BN3544</t>
  </si>
  <si>
    <t>BN3545</t>
  </si>
  <si>
    <t>BN3546</t>
  </si>
  <si>
    <t>BN3547</t>
  </si>
  <si>
    <t>BN3548</t>
  </si>
  <si>
    <t>BN3549</t>
  </si>
  <si>
    <t>BN3550</t>
  </si>
  <si>
    <t>BN3551</t>
  </si>
  <si>
    <t>BN3552</t>
  </si>
  <si>
    <t>BN3553</t>
  </si>
  <si>
    <t>BN3554</t>
  </si>
  <si>
    <t>BN3555</t>
  </si>
  <si>
    <t>BN3556</t>
  </si>
  <si>
    <t>BN3557</t>
  </si>
  <si>
    <t>BN3558</t>
  </si>
  <si>
    <t>BN3559</t>
  </si>
  <si>
    <t>BN3560</t>
  </si>
  <si>
    <t>BN3561</t>
  </si>
  <si>
    <t>BN3562</t>
  </si>
  <si>
    <t>BN3563</t>
  </si>
  <si>
    <t>BN3564</t>
  </si>
  <si>
    <t>BN3565</t>
  </si>
  <si>
    <t>BN3566</t>
  </si>
  <si>
    <t>BN3567</t>
  </si>
  <si>
    <t>BN3568</t>
  </si>
  <si>
    <t>BN3569</t>
  </si>
  <si>
    <t>BN3570</t>
  </si>
  <si>
    <t>BN3571</t>
  </si>
  <si>
    <t>BN3572</t>
  </si>
  <si>
    <t>BN3573</t>
  </si>
  <si>
    <t>BN3574</t>
  </si>
  <si>
    <t>BN3575</t>
  </si>
  <si>
    <t>BN3576</t>
  </si>
  <si>
    <t>BN3577</t>
  </si>
  <si>
    <t>BN3578</t>
  </si>
  <si>
    <t>BN3579</t>
  </si>
  <si>
    <t>BN3580</t>
  </si>
  <si>
    <t>BN3581</t>
  </si>
  <si>
    <t>BN3582</t>
  </si>
  <si>
    <t>BN3583</t>
  </si>
  <si>
    <t>BN3584</t>
  </si>
  <si>
    <t>BN3585</t>
  </si>
  <si>
    <t>BN3586</t>
  </si>
  <si>
    <t>BN3587</t>
  </si>
  <si>
    <t>BN3588</t>
  </si>
  <si>
    <t>BN3589</t>
  </si>
  <si>
    <t>BN3590</t>
  </si>
  <si>
    <t>BN3591</t>
  </si>
  <si>
    <t>BN3592</t>
  </si>
  <si>
    <t>BN3593</t>
  </si>
  <si>
    <t>BN3594</t>
  </si>
  <si>
    <t>BN3595</t>
  </si>
  <si>
    <t>BN3596</t>
  </si>
  <si>
    <t>BN3597</t>
  </si>
  <si>
    <t>BN3598</t>
  </si>
  <si>
    <t>BN3599</t>
  </si>
  <si>
    <t>BN3600</t>
  </si>
  <si>
    <t>BN3601</t>
  </si>
  <si>
    <t>BN3602</t>
  </si>
  <si>
    <t>BN3603</t>
  </si>
  <si>
    <t>BN3604</t>
  </si>
  <si>
    <t>BN3605</t>
  </si>
  <si>
    <t>BN3606</t>
  </si>
  <si>
    <t>BN3607</t>
  </si>
  <si>
    <t>BN3608</t>
  </si>
  <si>
    <t>BN3609</t>
  </si>
  <si>
    <t>BN3610</t>
  </si>
  <si>
    <t>BN3611</t>
  </si>
  <si>
    <t>BN3612</t>
  </si>
  <si>
    <t>BN3613</t>
  </si>
  <si>
    <t>BN3614</t>
  </si>
  <si>
    <t>BN3615</t>
  </si>
  <si>
    <t>BN3616</t>
  </si>
  <si>
    <t>BN3617</t>
  </si>
  <si>
    <t>BN3618</t>
  </si>
  <si>
    <t>BN3619</t>
  </si>
  <si>
    <t>BN3620</t>
  </si>
  <si>
    <t>BN3621</t>
  </si>
  <si>
    <t>BN3622</t>
  </si>
  <si>
    <t>BN3623</t>
  </si>
  <si>
    <t>BN3624</t>
  </si>
  <si>
    <t>BN3625</t>
  </si>
  <si>
    <t>BN3626</t>
  </si>
  <si>
    <t>BN3627</t>
  </si>
  <si>
    <t>BN3628</t>
  </si>
  <si>
    <t>BN3629</t>
  </si>
  <si>
    <t>BN3630</t>
  </si>
  <si>
    <t>Erdogan Ercivan</t>
  </si>
  <si>
    <t>verbotene Ägyptologie</t>
  </si>
  <si>
    <t>Kopp</t>
  </si>
  <si>
    <t>9783930219476</t>
  </si>
  <si>
    <t>Johannes Mario Simmel</t>
  </si>
  <si>
    <t>Doch mit dem Clown kamen die Tränen</t>
  </si>
  <si>
    <t>Anno Domini 2007: Das christliche Jahrbuch</t>
  </si>
  <si>
    <t>Agentur des Rauhen Hauses Hamburg</t>
  </si>
  <si>
    <t>9783760060156</t>
  </si>
  <si>
    <t>Alexander Puschkin</t>
  </si>
  <si>
    <t>Die Hauptmanns Tochter</t>
  </si>
  <si>
    <t>Howard Spring</t>
  </si>
  <si>
    <t>geliebte Söhne</t>
  </si>
  <si>
    <t>Buchrücken weist beschädigungen auf, sonst für das Alter guter Zustand; Schutzumschlag fehlt</t>
  </si>
  <si>
    <t>Erich Segal</t>
  </si>
  <si>
    <t>Oliver's Story</t>
  </si>
  <si>
    <t>Manuel Puig</t>
  </si>
  <si>
    <t>Der Kuß der Spinnenfrau</t>
  </si>
  <si>
    <t>Beschädigung auf der Buchrückseite durch Aufkleber</t>
  </si>
  <si>
    <t>3-518-37369-2</t>
  </si>
  <si>
    <t>Andrew Brown</t>
  </si>
  <si>
    <t>Trost</t>
  </si>
  <si>
    <t>preisreduziertes Mängelexemplar</t>
  </si>
  <si>
    <t>9783442713851</t>
  </si>
  <si>
    <t>Erfolgreiche Briefe, Reden und Verträge Band 2</t>
  </si>
  <si>
    <t>Rutkowsky und Repschläger</t>
  </si>
  <si>
    <t>Patricia Matthews + Clayton Matthews</t>
  </si>
  <si>
    <t>Stimmen der Nacht</t>
  </si>
  <si>
    <t>3-453-11338-1</t>
  </si>
  <si>
    <t>Ronald Hahn</t>
  </si>
  <si>
    <t>Piloten durch Zeit &amp; Raum</t>
  </si>
  <si>
    <t>Ensslin &amp; Laiblin</t>
  </si>
  <si>
    <t>3-7709-0527-X</t>
  </si>
  <si>
    <t>Doris Stehr-Rauser</t>
  </si>
  <si>
    <t>Und am Himmel leuchtet für alle der Stern</t>
  </si>
  <si>
    <t>3-7918-2206-3</t>
  </si>
  <si>
    <t>Johanna Paungger und Thomas Poppe</t>
  </si>
  <si>
    <t>Vom richtigen Zeitpunkt: Die Anwendung des Mondkalenders im täglichen Leben</t>
  </si>
  <si>
    <t>9783453097230</t>
  </si>
  <si>
    <t>Unser Spiel</t>
  </si>
  <si>
    <t>9783453116344</t>
  </si>
  <si>
    <t>Uhlenbruck / Skupy / Kersten</t>
  </si>
  <si>
    <t>Ein gebildeter Kranker: Trost- und Trutz-Sprüche für und gegen Ängste und Ärzte</t>
  </si>
  <si>
    <t>Gustav Fischer</t>
  </si>
  <si>
    <t>3-437-10704-6</t>
  </si>
  <si>
    <t>J. W. Hebel</t>
  </si>
  <si>
    <t>Pfälzische Sagen: Schülerausgabe</t>
  </si>
  <si>
    <t>Namenseintragung</t>
  </si>
  <si>
    <t>Poetik in Stichworten: Literaturwissenschaftliche Grundbegriffe</t>
  </si>
  <si>
    <t>Verlag Ferdinand Hirth</t>
  </si>
  <si>
    <t>Ivo Braak</t>
  </si>
  <si>
    <t>Robert Gernhardt</t>
  </si>
  <si>
    <t>Es gibt kein richtiges Leben im valschen: Humoresken aus unseren Kreisen</t>
  </si>
  <si>
    <t>Dem Schutzumschlag sieht man das Alter auf jedenfall an. Ansonsten ist das Buch in einem guten Zustand</t>
  </si>
  <si>
    <t>verblüffende Rekorde des Sports</t>
  </si>
  <si>
    <t>Getroster Tag: Texte zum Nachdenken</t>
  </si>
  <si>
    <t>Burckhardthaus-Laetare</t>
  </si>
  <si>
    <t>3-7664-6046-3</t>
  </si>
  <si>
    <t>Marianne Riemann</t>
  </si>
  <si>
    <t>Der Schwindelschlemihl</t>
  </si>
  <si>
    <t>Auer</t>
  </si>
  <si>
    <t>3-403-02576-4</t>
  </si>
  <si>
    <t>Jürgen Fliege / Fritz Roth</t>
  </si>
  <si>
    <t>Lebendige Trauer: Dem Tod bewusst begegnen</t>
  </si>
  <si>
    <t>Dr. med. vet. Jutta Ziegler</t>
  </si>
  <si>
    <t>Hunde würden länger leben, wenn…</t>
  </si>
  <si>
    <t>9783868822342</t>
  </si>
  <si>
    <t>Joachim Siegerist</t>
  </si>
  <si>
    <t>Was ich noch sagen wollte</t>
  </si>
  <si>
    <t>WPR</t>
  </si>
  <si>
    <t>9783910087156</t>
  </si>
  <si>
    <t>Randa Ghazy</t>
  </si>
  <si>
    <t>Palästina: Träume zwischen den Fronten</t>
  </si>
  <si>
    <t>9783473352425</t>
  </si>
  <si>
    <t>Kirsten Fuchs</t>
  </si>
  <si>
    <t>Mädchenmeute</t>
  </si>
  <si>
    <t>9783499217586</t>
  </si>
  <si>
    <t>Helmut-Maria Glogger</t>
  </si>
  <si>
    <t>Das geheime Leben der Windsors: Die ganze Wahrheit</t>
  </si>
  <si>
    <t>9783426779514</t>
  </si>
  <si>
    <t>Esther  Herry Hicks</t>
  </si>
  <si>
    <t>The Law of Attraction: Das Geset der Anziehung</t>
  </si>
  <si>
    <t>9783793421245</t>
  </si>
  <si>
    <t>Die gute Tochter</t>
  </si>
  <si>
    <t>9783959671897</t>
  </si>
  <si>
    <t>Siegfried Kettling</t>
  </si>
  <si>
    <t>Typisch evangelisch Grundbegriffe des Glaubens</t>
  </si>
  <si>
    <t>3-7655-9537-3</t>
  </si>
  <si>
    <t>Helen Forrester</t>
  </si>
  <si>
    <t>A Cuppa Tea and an Aspirin</t>
  </si>
  <si>
    <t>P. Emil Ritz MS</t>
  </si>
  <si>
    <t>La Salette Verlag</t>
  </si>
  <si>
    <t>La Salette Die Botschaft einer Marienerscheinung</t>
  </si>
  <si>
    <t>Übermalter Namenseintrag im Einband</t>
  </si>
  <si>
    <t>Die Mühle am Fluß</t>
  </si>
  <si>
    <t>Sheila O´Flanagan</t>
  </si>
  <si>
    <t>Ein Bräutigam zuviel</t>
  </si>
  <si>
    <t>Kate Mc Cann</t>
  </si>
  <si>
    <t>Madeleine</t>
  </si>
  <si>
    <t>Ohne Schutzumschlag</t>
  </si>
  <si>
    <t>Ernst Samhaber</t>
  </si>
  <si>
    <t>Kaufleute wandeln die Welt: Handel macht Geschichte</t>
  </si>
  <si>
    <t>3-7973-0314-9</t>
  </si>
  <si>
    <t>Shades of Grey: Gefährliche Liebe</t>
  </si>
  <si>
    <t>Sven Loerzer</t>
  </si>
  <si>
    <t>Visionen und Prophezeihungen: Die berühmtesten Weissagungen der Weltgeschichte</t>
  </si>
  <si>
    <t>9783828949287</t>
  </si>
  <si>
    <t>Irving Wallace</t>
  </si>
  <si>
    <t>Geheimakte R</t>
  </si>
  <si>
    <t>Errol Brathwaite</t>
  </si>
  <si>
    <t>Sipuri</t>
  </si>
  <si>
    <t>Matthias-Grünewald</t>
  </si>
  <si>
    <t>Tanja Janz</t>
  </si>
  <si>
    <t>Friesenherzen und Winterzauber</t>
  </si>
  <si>
    <t>9783956496547</t>
  </si>
  <si>
    <t>Eithne Shortall</t>
  </si>
  <si>
    <t>Liebe in Reihe 27</t>
  </si>
  <si>
    <t>9783453359802</t>
  </si>
  <si>
    <t>Ulrich Mattner</t>
  </si>
  <si>
    <t>Im Frankfurter Bahnhofsviertel: 50 Highlights für Szenegänger</t>
  </si>
  <si>
    <t>9783955420345</t>
  </si>
  <si>
    <t>Kein Lebens Zeichen</t>
  </si>
  <si>
    <t>E. Genz</t>
  </si>
  <si>
    <t>Tragende Schwingen</t>
  </si>
  <si>
    <t>Saatkorn</t>
  </si>
  <si>
    <t>das Buch selbst ist für sein Alter in einem sehr guten Zustand, die Schutzhülle hat jedoch ganz ordentliche Gebrauchspuren</t>
  </si>
  <si>
    <t>Rolf Dircksen</t>
  </si>
  <si>
    <t>Das kleine Vogelbuch</t>
  </si>
  <si>
    <t>kein Schutzumschlag, sonst für das Alter ein guter Zustand</t>
  </si>
  <si>
    <t>Peter Benchley / Ephraim Kishon / Richard Martin Stern / Hans Blickensdörfer</t>
  </si>
  <si>
    <t>Der weisse Hai / Nehmen sie Platz / der Turm / Die Baskenmütze</t>
  </si>
  <si>
    <t>Bestseller Sonderband</t>
  </si>
  <si>
    <t>Die Mühlen Gottes</t>
  </si>
  <si>
    <t>Joy Adamson</t>
  </si>
  <si>
    <t>Frei geboren: Eine Löwin in zwei Welten</t>
  </si>
  <si>
    <t>George Halban</t>
  </si>
  <si>
    <t>Malik der Wolf</t>
  </si>
  <si>
    <t>Schutzumschlag fehlt; Namenseintrag und Kommentar auf dem Inlay.</t>
  </si>
  <si>
    <t>Vicki Baum</t>
  </si>
  <si>
    <t>verpfändetes Leben</t>
  </si>
  <si>
    <t>europäischer Buchclub</t>
  </si>
  <si>
    <t>Schutzumschlag fehlt; Namenseintrag.</t>
  </si>
  <si>
    <t>Erich Kordt</t>
  </si>
  <si>
    <t>Wahn und Wirklichkeit</t>
  </si>
  <si>
    <t>Union Deutsche Verlagsgesellschaft</t>
  </si>
  <si>
    <t>Das Buch hat deutliche Gebrauchsspuren</t>
  </si>
  <si>
    <t>Maria Canossa / Der Wunschbaum</t>
  </si>
  <si>
    <t>Schutzumschlag fehlt, sonst ist das Buch in einem guten Zustand</t>
  </si>
  <si>
    <t>Kay White</t>
  </si>
  <si>
    <t>Geliebter Bastard: Freude mit Mischlingshunden</t>
  </si>
  <si>
    <t>Müller</t>
  </si>
  <si>
    <t>9783275012596</t>
  </si>
  <si>
    <t>Jürgen Höpfl Fabian Frühwirth</t>
  </si>
  <si>
    <t>Einfach Er: Dirk Nowitzki aus Würzburg an die Weltspitze</t>
  </si>
  <si>
    <t>Main Post</t>
  </si>
  <si>
    <t>4139252327378</t>
  </si>
  <si>
    <t>Eifel-Träume</t>
  </si>
  <si>
    <t>GRAFIT</t>
  </si>
  <si>
    <t>9783894252953</t>
  </si>
  <si>
    <t>Thomas Brussig</t>
  </si>
  <si>
    <t>Am kürzeren Ende der Sonnenallee</t>
  </si>
  <si>
    <t>9783596148479</t>
  </si>
  <si>
    <t>Jürgen Chmielek</t>
  </si>
  <si>
    <t>Vemisst</t>
  </si>
  <si>
    <t>Klecks</t>
  </si>
  <si>
    <t>9783942884273</t>
  </si>
  <si>
    <t>Rotraut Susanne Berner</t>
  </si>
  <si>
    <t>Na du, Marabu</t>
  </si>
  <si>
    <t>9783499208256</t>
  </si>
  <si>
    <t>das Buch selbst ist einem super Zustand, leider  hat das Hardcover einige Macken und es fehlt die Schutzhülle</t>
  </si>
  <si>
    <t>Und hinter dir die Finsternis</t>
  </si>
  <si>
    <t>9783453433748</t>
  </si>
  <si>
    <t>Die im Dunkeln sieht man nicht</t>
  </si>
  <si>
    <t>Schutzumschlag fehlt, sonst sehr guter Zustand</t>
  </si>
  <si>
    <t>Todsünde</t>
  </si>
  <si>
    <t>9783442364596</t>
  </si>
  <si>
    <t>verfärbung der Seiten</t>
  </si>
  <si>
    <t>Celia Fremlin</t>
  </si>
  <si>
    <t>Vaters Stolz</t>
  </si>
  <si>
    <t>9783257231618</t>
  </si>
  <si>
    <t>Rachel Renée Russell</t>
  </si>
  <si>
    <t>Dork diaries</t>
  </si>
  <si>
    <t>9783551312099</t>
  </si>
  <si>
    <t>Thomas David</t>
  </si>
  <si>
    <t>Franz Marc: Die blauen Fohlen</t>
  </si>
  <si>
    <t>9783499208416</t>
  </si>
  <si>
    <t>Die Burgunderin</t>
  </si>
  <si>
    <t>9783404156542</t>
  </si>
  <si>
    <t>Katie Fforde</t>
  </si>
  <si>
    <t>Festtagsstimmung</t>
  </si>
  <si>
    <t>Im Kreis des Wolfes</t>
  </si>
  <si>
    <t>9783442448753</t>
  </si>
  <si>
    <t>Christine Brand</t>
  </si>
  <si>
    <t>Es fliegt und ist kein Vogel: Rätsel und Bilder</t>
  </si>
  <si>
    <t>9783407796127</t>
  </si>
  <si>
    <t>Juli A. Wittkamp und Frantz Wittkamp</t>
  </si>
  <si>
    <t>Gute Nacht</t>
  </si>
  <si>
    <t>9783407791351</t>
  </si>
  <si>
    <t>Ursula Marc</t>
  </si>
  <si>
    <t>Nicht wie bei Räubers…</t>
  </si>
  <si>
    <t>D&amp;D Medien</t>
  </si>
  <si>
    <t>Ecken sind geknickt</t>
  </si>
  <si>
    <t>9783932842016</t>
  </si>
  <si>
    <t>Wieder bei Räubers</t>
  </si>
  <si>
    <t>9783932842214</t>
  </si>
  <si>
    <t>Der kleine Tiger braucht ein Fahrrad</t>
  </si>
  <si>
    <t>9783257007336</t>
  </si>
  <si>
    <t>Trostpflaster</t>
  </si>
  <si>
    <t>9783426638699</t>
  </si>
  <si>
    <t>Markierungen vorhanden</t>
  </si>
  <si>
    <t>Andrea Nasemann</t>
  </si>
  <si>
    <t>Arbeitszeugnisse: Rechtslage, Zeugnissprache, Experteninterviews</t>
  </si>
  <si>
    <t>9783806814446</t>
  </si>
  <si>
    <t>Eichsfelder mit Kisten und Kasten Teil 2</t>
  </si>
  <si>
    <t>Gottfried Kunkel</t>
  </si>
  <si>
    <t>John Updike</t>
  </si>
  <si>
    <t>Gegen Ende der Zeit</t>
  </si>
  <si>
    <t>3-498-06876-8</t>
  </si>
  <si>
    <t>Luis Trenker</t>
  </si>
  <si>
    <t>Der Kaiser von Kalifornien</t>
  </si>
  <si>
    <t>Die Zeit der Hundert Königreiche: Die Darkover-Romane; Teil 4</t>
  </si>
  <si>
    <t>Patricia Kennealy</t>
  </si>
  <si>
    <t>Die dreizehn Schätze von Keltia</t>
  </si>
  <si>
    <t>Wilhelm Heyne</t>
  </si>
  <si>
    <t>9783453024298</t>
  </si>
  <si>
    <t>Francoise Sagan</t>
  </si>
  <si>
    <t>Ein verlorenes Profil</t>
  </si>
  <si>
    <t>Grußtext mit besten Wünschen,Namenseintragung, verfärbung der Seiten</t>
  </si>
  <si>
    <t>9783426029558</t>
  </si>
  <si>
    <t>Henri J. M. Nouwen u.a.</t>
  </si>
  <si>
    <t>Auf dem Weg zum Licht</t>
  </si>
  <si>
    <t>9783746226927</t>
  </si>
  <si>
    <t>Bob Brier</t>
  </si>
  <si>
    <t>Der Mordfall Tutanchamun</t>
  </si>
  <si>
    <t>3-492-23448-8</t>
  </si>
  <si>
    <t>Der Judasfluch</t>
  </si>
  <si>
    <t>9783828974814</t>
  </si>
  <si>
    <t>Franz Friese u.a.</t>
  </si>
  <si>
    <t>Das neue große Gesundheitsbuch</t>
  </si>
  <si>
    <t>Weltgeschichte - Lexikon</t>
  </si>
  <si>
    <t>Bogen</t>
  </si>
  <si>
    <t>H. F. Frederik</t>
  </si>
  <si>
    <t>Schutzhülle fehlt</t>
  </si>
  <si>
    <t>Erich Kästner</t>
  </si>
  <si>
    <t>Die kleine Freiheit</t>
  </si>
  <si>
    <t>Dr. Wilhelm Ulrich</t>
  </si>
  <si>
    <t>Der fransöhsche Examinator oder Repetition der franzöhschen Grammatik in Frage und Antwort</t>
  </si>
  <si>
    <t>Berlin und Leipzig</t>
  </si>
  <si>
    <t>deutsch Französisch</t>
  </si>
  <si>
    <t>Anton Tschechow</t>
  </si>
  <si>
    <t>Das Duell und andere Erzählungen</t>
  </si>
  <si>
    <t>Michail Sostschenko</t>
  </si>
  <si>
    <t>Das Himmelblaubuch</t>
  </si>
  <si>
    <t>Herbig</t>
  </si>
  <si>
    <t>Schutzumschlag fehlt, Namenseintragung</t>
  </si>
  <si>
    <t>Elfriede Starke</t>
  </si>
  <si>
    <t>Kostbarkeiten der Lutherhalle Wittenberg</t>
  </si>
  <si>
    <t>Evangelische Verlagsanstalt Berlin</t>
  </si>
  <si>
    <t>Ellen Sonntag</t>
  </si>
  <si>
    <t>Was ich dir von Herzen wünsche</t>
  </si>
  <si>
    <t>Grußtext mit besten Wünschen,Namenseintragung</t>
  </si>
  <si>
    <t>9783890085746</t>
  </si>
  <si>
    <t>Hans Desaga</t>
  </si>
  <si>
    <t>Essen nach der Minimal-Diät mit dem Quarktrick</t>
  </si>
  <si>
    <t>verfärbungen der Seiten vorhanden</t>
  </si>
  <si>
    <t>Eido Shimano Roshi</t>
  </si>
  <si>
    <t>Der Weg der wolkenlosen Klarheit</t>
  </si>
  <si>
    <t>O. W. Barth</t>
  </si>
  <si>
    <t>Arkady Fiedler</t>
  </si>
  <si>
    <t>Orinoko</t>
  </si>
  <si>
    <t>Der erfolgreiche Geschäftsmann</t>
  </si>
  <si>
    <t>Herbert N. Casson</t>
  </si>
  <si>
    <t>Annette Wolter</t>
  </si>
  <si>
    <t>Nymphensittiche richtig pflegen und verstehen</t>
  </si>
  <si>
    <t>9783774259072</t>
  </si>
  <si>
    <t>Gerhart Hauptmann</t>
  </si>
  <si>
    <t>Gesmmelte Werke sechster Band</t>
  </si>
  <si>
    <t>unbekannt</t>
  </si>
  <si>
    <t>Jörg Zink</t>
  </si>
  <si>
    <t>Der Himmel liebt die schwarzen Schafe</t>
  </si>
  <si>
    <t>Kreuz Verlag</t>
  </si>
  <si>
    <t>9783783115185</t>
  </si>
  <si>
    <t>Hans Mann</t>
  </si>
  <si>
    <t>lebendige Geschichte: von 1815 bis zur Gegenwart 3. Teil</t>
  </si>
  <si>
    <t>Ferd. Dümmlers Verlag</t>
  </si>
  <si>
    <t>Vom Edertal zum Edersee</t>
  </si>
  <si>
    <t>Wilhelm Bing</t>
  </si>
  <si>
    <t>Ludwig Bing</t>
  </si>
  <si>
    <t>3-87077-0430</t>
  </si>
  <si>
    <t>Paul de Lagarde</t>
  </si>
  <si>
    <t>Schriften für Deutschland</t>
  </si>
  <si>
    <t>Alfred Kröner</t>
  </si>
  <si>
    <t>Heribert Schmidt</t>
  </si>
  <si>
    <t>Sauerampfer und Jasmin: Verse und Gedichte</t>
  </si>
  <si>
    <t>BBW Josefsheim Bigge</t>
  </si>
  <si>
    <t>3-925680-21-7</t>
  </si>
  <si>
    <t>Eugen Schuhmacher</t>
  </si>
  <si>
    <t>Die letzten Paradiese: auf den Spuren seltener Tiere</t>
  </si>
  <si>
    <t>Buchgemeinschafts-Sonderausgabe</t>
  </si>
  <si>
    <t>Faszinierende Wissenschaft</t>
  </si>
  <si>
    <t>Colin A. Ronan</t>
  </si>
  <si>
    <t>26x27</t>
  </si>
  <si>
    <t>21x27</t>
  </si>
  <si>
    <t>Thomas Pakenham</t>
  </si>
  <si>
    <t>Bäume: Die 60 größten und ältesten Bäume der Welt</t>
  </si>
  <si>
    <t>Christian</t>
  </si>
  <si>
    <t>9783884725450</t>
  </si>
  <si>
    <t>25x30</t>
  </si>
  <si>
    <t>Junior Wissen - Natur</t>
  </si>
  <si>
    <t>9783812232111</t>
  </si>
  <si>
    <t>20x28</t>
  </si>
  <si>
    <t>memo Wissen entdecken - Weltall</t>
  </si>
  <si>
    <t>Robin Kerrod</t>
  </si>
  <si>
    <t>ohne 3D Brille</t>
  </si>
  <si>
    <t>9783831019120</t>
  </si>
  <si>
    <t>22x28,5</t>
  </si>
  <si>
    <t>Grosse Maler berühmte Bilder</t>
  </si>
  <si>
    <t>23x31,5</t>
  </si>
  <si>
    <t>Eine Hundegeschichte mit Rex</t>
  </si>
  <si>
    <t>Ilse V. Bösze und Maria Varga</t>
  </si>
  <si>
    <t>9783700436447</t>
  </si>
  <si>
    <t>21,5x27,5</t>
  </si>
  <si>
    <t>Chiffren einer Epoche: 100 Jahre  100 Kontraste Dresdner Bank 1872-1972</t>
  </si>
  <si>
    <t>Klaus Harpprecht</t>
  </si>
  <si>
    <t>Bruckmann</t>
  </si>
  <si>
    <t>24x27</t>
  </si>
  <si>
    <t>WM Südafrika 2010</t>
  </si>
  <si>
    <t>dpa</t>
  </si>
  <si>
    <t>medienfabrik Gütersloh GmbH</t>
  </si>
  <si>
    <t>2287668026711</t>
  </si>
  <si>
    <t>21x30</t>
  </si>
  <si>
    <t>Gustav Wenz</t>
  </si>
  <si>
    <t>In Urwald Wüste und Steppe</t>
  </si>
  <si>
    <t>16,5x24</t>
  </si>
  <si>
    <t>Das große Hildegard von Bingen Buch: Ihre wichtigsten Lehren zu Ernährung, Gesundheit und Schönheit</t>
  </si>
  <si>
    <t>9783811814790</t>
  </si>
  <si>
    <t>Evelyn Sander</t>
  </si>
  <si>
    <t>Menschenskinder…nicht schon wieder</t>
  </si>
  <si>
    <t>9783426619940</t>
  </si>
  <si>
    <t>11,5x18</t>
  </si>
  <si>
    <t>Schuld und Sühne</t>
  </si>
  <si>
    <t>13,5x21</t>
  </si>
  <si>
    <t>Leon Garfield</t>
  </si>
  <si>
    <t>Wenn der Wind Günstig weht</t>
  </si>
  <si>
    <t>Boje</t>
  </si>
  <si>
    <t>guter Zustand nur der Schutzumschlag hat gelitten</t>
  </si>
  <si>
    <t>3-414-11340-6</t>
  </si>
  <si>
    <t>14x22</t>
  </si>
  <si>
    <t>Rapunzel</t>
  </si>
  <si>
    <t>Eleni Livanios</t>
  </si>
  <si>
    <t>ellermann im Dressler</t>
  </si>
  <si>
    <t>13x17</t>
  </si>
  <si>
    <t>R. A. Stemmle</t>
  </si>
  <si>
    <t>Der Mann der Sherlock Holmes war</t>
  </si>
  <si>
    <t>Schutzumschlag hat Gebrauchsspuren, sonst sehr guter Zustand</t>
  </si>
  <si>
    <t>3-7766-0900-1</t>
  </si>
  <si>
    <t>12x19</t>
  </si>
  <si>
    <t>Paula Modersohn-Becker</t>
  </si>
  <si>
    <t>Aus dem Skizzenbuch</t>
  </si>
  <si>
    <t>Geburtstagsgrüße auf dem Inlay</t>
  </si>
  <si>
    <t>Egon Larsen</t>
  </si>
  <si>
    <t>Abenteuer der Technik</t>
  </si>
  <si>
    <t>verfärbung der Seiten vorhanden</t>
  </si>
  <si>
    <t>13x20</t>
  </si>
  <si>
    <t>Hans H. Pars</t>
  </si>
  <si>
    <t>Noch leuchten die Bilder</t>
  </si>
  <si>
    <t>Holsten</t>
  </si>
  <si>
    <t>13x21</t>
  </si>
  <si>
    <t>kleine Thüringer Bibliothek: Erfurt</t>
  </si>
  <si>
    <t>Fortschritt Erfurt GmbH</t>
  </si>
  <si>
    <t>16x23</t>
  </si>
  <si>
    <t>James A. Michener</t>
  </si>
  <si>
    <t>Mazurka</t>
  </si>
  <si>
    <t>14x21,5</t>
  </si>
  <si>
    <t xml:space="preserve">Die grossen Meister: Europäische Erzähler des 20. Jahrhunderts Band </t>
  </si>
  <si>
    <t>Emanuel Hirsch</t>
  </si>
  <si>
    <t>Die Brautfahrt und andere wunderliche Geschichten</t>
  </si>
  <si>
    <t>Ernst Kaufmann</t>
  </si>
  <si>
    <t>13x19</t>
  </si>
  <si>
    <t>Karl-Heinz Ronecker / Wolfgang Brinkel</t>
  </si>
  <si>
    <t>Wer wälzt uns den Stein?</t>
  </si>
  <si>
    <t>Chr. Kaiser</t>
  </si>
  <si>
    <t>Hammond Innes</t>
  </si>
  <si>
    <t>Der Schiffbruch der "Mary Deare"</t>
  </si>
  <si>
    <t>Die Antwort kennt nur der Wind</t>
  </si>
  <si>
    <t>Glückwünsche für 1001 Gelegenheiten</t>
  </si>
  <si>
    <t>Peter K. Köhler</t>
  </si>
  <si>
    <t>9783629005656</t>
  </si>
  <si>
    <t>12x20</t>
  </si>
  <si>
    <t>Traumsprung: Vorkommnisse aus der Überwelt</t>
  </si>
  <si>
    <t>Rüdiger Hauth</t>
  </si>
  <si>
    <t>Hexen, Gurus, Seelenfänger</t>
  </si>
  <si>
    <t>3-417-24132-4</t>
  </si>
  <si>
    <t>Nuala O'Faolain</t>
  </si>
  <si>
    <t>Nur nicht unsichtbar werden</t>
  </si>
  <si>
    <t>3-87134-377-3</t>
  </si>
  <si>
    <t>15x22</t>
  </si>
  <si>
    <t>Barbara / Stephanie Keating</t>
  </si>
  <si>
    <t>Himmel über Langani: Eine Liebe in Afrika</t>
  </si>
  <si>
    <t>9783426635414</t>
  </si>
  <si>
    <t>Mängelexemplar'</t>
  </si>
  <si>
    <t>12,5x19</t>
  </si>
  <si>
    <t>Wulf Dorn</t>
  </si>
  <si>
    <t>Kalte Stille</t>
  </si>
  <si>
    <t>9783453266865</t>
  </si>
  <si>
    <t>Susan Hastings</t>
  </si>
  <si>
    <t>Die Braut des Wikingers</t>
  </si>
  <si>
    <t>9783947690237</t>
  </si>
  <si>
    <t>12,5x18,5</t>
  </si>
  <si>
    <t>In meinem kleinen Land</t>
  </si>
  <si>
    <t>9783499621994</t>
  </si>
  <si>
    <t>Eta Stern</t>
  </si>
  <si>
    <t>Geistig fällt der Abschied leicht: Schlußrechnung eines Querdenkers</t>
  </si>
  <si>
    <t>Frieling</t>
  </si>
  <si>
    <t>9783828002364</t>
  </si>
  <si>
    <t>Dominique Sylvain</t>
  </si>
  <si>
    <t>Schöne der Nacht</t>
  </si>
  <si>
    <t>9783548680750</t>
  </si>
  <si>
    <t>14x19</t>
  </si>
  <si>
    <t>Georgia Bockoven</t>
  </si>
  <si>
    <t>Frühling der Hoffnung</t>
  </si>
  <si>
    <t>9783868003406</t>
  </si>
  <si>
    <t>Allegra Winter</t>
  </si>
  <si>
    <t>Das stolze Herz der Lady</t>
  </si>
  <si>
    <t>9783947690244</t>
  </si>
  <si>
    <t>Petra Schier</t>
  </si>
  <si>
    <t>Vier Pfoten unter Weihnachtssternen</t>
  </si>
  <si>
    <t>9783959735735</t>
  </si>
  <si>
    <t>Silke Weigang / Joachim Wöhrle</t>
  </si>
  <si>
    <t>Führen in der Sandwichposition: Erfolg im mittleren Management</t>
  </si>
  <si>
    <t>Haufe-Lexware GmbH</t>
  </si>
  <si>
    <t>9783648057001</t>
  </si>
  <si>
    <t>11,5x16,5</t>
  </si>
  <si>
    <t>Dagmar v. Cramm</t>
  </si>
  <si>
    <t>So schmeckt's: Gesundes Eseen für Babys, kleine und große Kinder</t>
  </si>
  <si>
    <t>9783926181374</t>
  </si>
  <si>
    <t>16x21</t>
  </si>
  <si>
    <t>Maria, ihm schmeckt's nicht!</t>
  </si>
  <si>
    <t>Sebastian Faulks</t>
  </si>
  <si>
    <t>Gesang vom großen Feuer</t>
  </si>
  <si>
    <t>9783442443789</t>
  </si>
  <si>
    <t>Hans Graßmann</t>
  </si>
  <si>
    <t>Das Top Quark, Picasso und Mercedes-Benz oder was ist Physik</t>
  </si>
  <si>
    <t>3-87134-328-5</t>
  </si>
  <si>
    <t>15x21,5</t>
  </si>
  <si>
    <t>Das Haus in der Rothschildallee</t>
  </si>
  <si>
    <t>9783453406179</t>
  </si>
  <si>
    <t>Peter Freund</t>
  </si>
  <si>
    <t>Laura und das Geheimnis von Aventerra</t>
  </si>
  <si>
    <t>Verlagsgruppe Lübbe</t>
  </si>
  <si>
    <t>15,5x22</t>
  </si>
  <si>
    <t>An den Feuern von Hastur Teil 9</t>
  </si>
  <si>
    <t>4026411105345</t>
  </si>
  <si>
    <t>Die schwarze Schwesternschaft Teil 8</t>
  </si>
  <si>
    <t>4026411105338</t>
  </si>
  <si>
    <t>Prof. Dr. Milan Rýzl</t>
  </si>
  <si>
    <t>Der Tod ist nicht das Ende: Von der Unsterblichkeit geistiger Energie</t>
  </si>
  <si>
    <t>9783828949010</t>
  </si>
  <si>
    <t>OTTI das Schweinchen</t>
  </si>
  <si>
    <t>14x14</t>
  </si>
  <si>
    <t>Heinrich Böll</t>
  </si>
  <si>
    <t>Du fährst zu oft nach Heidelberg und andere Erzählungen</t>
  </si>
  <si>
    <t>Lamuv</t>
  </si>
  <si>
    <t>15x21</t>
  </si>
  <si>
    <t>HOGLI'S Weibsbilder</t>
  </si>
  <si>
    <t>9783442079537</t>
  </si>
  <si>
    <t>12,5x18</t>
  </si>
  <si>
    <t>Fritz Riemann</t>
  </si>
  <si>
    <t>Grundformen der Angst: Eine tiefenpsychologische Studie</t>
  </si>
  <si>
    <t>Ernst Reinhardt</t>
  </si>
  <si>
    <t>3-497-00749-8</t>
  </si>
  <si>
    <t>9783764510954</t>
  </si>
  <si>
    <t>Hans Peter Bretz</t>
  </si>
  <si>
    <t>Das Auto-Brevier</t>
  </si>
  <si>
    <t>Perlen</t>
  </si>
  <si>
    <t>Barbara Cratzius</t>
  </si>
  <si>
    <t>Laßt uns einschlafen mit guten Gedanken</t>
  </si>
  <si>
    <t>St.-Johannis-Druckerei</t>
  </si>
  <si>
    <t>3-501-00164-9</t>
  </si>
  <si>
    <t>15x16,5</t>
  </si>
  <si>
    <t>Rudolf Baumgardt</t>
  </si>
  <si>
    <t>Die Rodendahls</t>
  </si>
  <si>
    <t>14x21</t>
  </si>
  <si>
    <t>Manfred Mai / Susanne Wechdorn</t>
  </si>
  <si>
    <t>Ein tierischer Schultag</t>
  </si>
  <si>
    <t>9783473360321</t>
  </si>
  <si>
    <t>17,5x24</t>
  </si>
  <si>
    <t>Bernd Kremer</t>
  </si>
  <si>
    <t>Der Kluge Mann baut tief</t>
  </si>
  <si>
    <t>OSANG</t>
  </si>
  <si>
    <t>Graham Green</t>
  </si>
  <si>
    <t>Der stille Amerikaner</t>
  </si>
  <si>
    <t>Marius Baar</t>
  </si>
  <si>
    <t>Das Abendland am Scheideweg</t>
  </si>
  <si>
    <t>Schulte+Gerth</t>
  </si>
  <si>
    <t>3-87739-315-2</t>
  </si>
  <si>
    <t>Rafik Schami</t>
  </si>
  <si>
    <t>Erzähler der Nacht</t>
  </si>
  <si>
    <t>9783423119153</t>
  </si>
  <si>
    <t>11x18</t>
  </si>
  <si>
    <t>Nancy Price</t>
  </si>
  <si>
    <t>Schreie in der Nacht</t>
  </si>
  <si>
    <t>9783404116140</t>
  </si>
  <si>
    <t>Shirley Conran</t>
  </si>
  <si>
    <t>Blutsbande</t>
  </si>
  <si>
    <t>9783404122707</t>
  </si>
  <si>
    <t>Elke Heidenreich und Bernd Schroeder</t>
  </si>
  <si>
    <t xml:space="preserve">Rudernde Hunde </t>
  </si>
  <si>
    <t>9783596158799</t>
  </si>
  <si>
    <t>Frank Schoonmaker</t>
  </si>
  <si>
    <t>Das Weinlexikon: Die Weine der Welt</t>
  </si>
  <si>
    <t>13x19,5</t>
  </si>
  <si>
    <t>Zorn der Engel / Das nackte Gesicht</t>
  </si>
  <si>
    <t>9783442134144</t>
  </si>
  <si>
    <t>13x18</t>
  </si>
  <si>
    <t>Schokolade zum Frühstück</t>
  </si>
  <si>
    <t>9783442448258</t>
  </si>
  <si>
    <t>Rudolf Otto Wiemer</t>
  </si>
  <si>
    <t>Die Schlagzeile</t>
  </si>
  <si>
    <t>3-7918-1702-7</t>
  </si>
  <si>
    <t>Tony Blair</t>
  </si>
  <si>
    <t>Meine Vision</t>
  </si>
  <si>
    <t>Kuki Gallmann</t>
  </si>
  <si>
    <t>Ich träumte von Afrika</t>
  </si>
  <si>
    <t>deutliche Gebrauchsspuren</t>
  </si>
  <si>
    <t>Eva Gesine Baur</t>
  </si>
  <si>
    <t>Entflammt Geschichten vom Verlieben</t>
  </si>
  <si>
    <t>Darwin Gross</t>
  </si>
  <si>
    <t>Erweckte Imagination</t>
  </si>
  <si>
    <t>SOS Publishing</t>
  </si>
  <si>
    <t>Namenseintarg im Einband</t>
  </si>
  <si>
    <t>Colette Dowling</t>
  </si>
  <si>
    <t>Der Cinderella Komplex</t>
  </si>
  <si>
    <t>Bill Bryson</t>
  </si>
  <si>
    <t>Streiflichter aus Amerika</t>
  </si>
  <si>
    <t>Gisela Maler-Sieber</t>
  </si>
  <si>
    <t>Völkerkunde die uns angeht</t>
  </si>
  <si>
    <t>Günter Stein</t>
  </si>
  <si>
    <t>Katzen Ein fröhliches Wörterbuch</t>
  </si>
  <si>
    <t>Sigismund Rauh</t>
  </si>
  <si>
    <t>Deutsches Christentum</t>
  </si>
  <si>
    <t>Vandenhoed &amp; Ruprecht</t>
  </si>
  <si>
    <t>3.-5. Tausend</t>
  </si>
  <si>
    <t>Heinz-G. Konsalik</t>
  </si>
  <si>
    <t>Transsibirien-Express</t>
  </si>
  <si>
    <t>Otto Werkmeister</t>
  </si>
  <si>
    <t>Die Axt im Haus Ein Handbuch für Geschickte und Ungeschickte</t>
  </si>
  <si>
    <t>Verlag Mensch und Arbeit</t>
  </si>
  <si>
    <t>Sabine Werz</t>
  </si>
  <si>
    <t>Beste Freundin Beste Feindin Ein Zickengesang auf die Frauenfreundschaft</t>
  </si>
  <si>
    <t>Michel Montignac</t>
  </si>
  <si>
    <t>Essen abnehmen schlank bleiben</t>
  </si>
  <si>
    <t>Volketswil</t>
  </si>
  <si>
    <t>Dr. Jörg Zittlau</t>
  </si>
  <si>
    <t>otbuschtee für Gesundheit und Schönheit</t>
  </si>
  <si>
    <t>Ludwig</t>
  </si>
  <si>
    <t>Dr. Otto Kostenzer</t>
  </si>
  <si>
    <t>Das kleine Buch vom Gold</t>
  </si>
  <si>
    <t>Umschau Verlag</t>
  </si>
  <si>
    <t>Prof. Dr. Heinz Ryborz</t>
  </si>
  <si>
    <t>Jeder kann es schaffen</t>
  </si>
  <si>
    <t>Schweizer Verlagshaus Zürich</t>
  </si>
  <si>
    <t>Einige Stellen sind mit Textmarker markiert</t>
  </si>
  <si>
    <t>Alfred Neumann</t>
  </si>
  <si>
    <t>Der Teufel</t>
  </si>
  <si>
    <t>Daphne Du Maurier</t>
  </si>
  <si>
    <t>Die Bucht des Franzosen</t>
  </si>
  <si>
    <t>Sieg des Herzens / Gesang der Rosen</t>
  </si>
  <si>
    <t xml:space="preserve">Andrea Cordes </t>
  </si>
  <si>
    <t>Haus der Träume</t>
  </si>
  <si>
    <t>Donald McCaig</t>
  </si>
  <si>
    <t>Rhett</t>
  </si>
  <si>
    <t>9783563405899</t>
  </si>
  <si>
    <t>Michele Giuttari</t>
  </si>
  <si>
    <t>schwarze Rosen</t>
  </si>
  <si>
    <t>9783404167487</t>
  </si>
  <si>
    <t>Das Buch vom 2. Januar: Ein ganz besonderer Tag</t>
  </si>
  <si>
    <t>Chronik</t>
  </si>
  <si>
    <t>Dorothee Wiktorin</t>
  </si>
  <si>
    <t>9783577301022</t>
  </si>
  <si>
    <t>11x17</t>
  </si>
  <si>
    <t>Brinx/Kömmerling</t>
  </si>
  <si>
    <t>Eins, zwei, wachgeküsst</t>
  </si>
  <si>
    <t>9783522178631</t>
  </si>
  <si>
    <t>12,5x20,5</t>
  </si>
  <si>
    <t>Francine Martindale</t>
  </si>
  <si>
    <t>Dreißig Kerzen sind eine zuviel</t>
  </si>
  <si>
    <t>9783442354740</t>
  </si>
  <si>
    <t>Máire Brüning</t>
  </si>
  <si>
    <t>Wie ein Siegel auf dein Herz</t>
  </si>
  <si>
    <t>S K</t>
  </si>
  <si>
    <t>9783741806520</t>
  </si>
  <si>
    <t>9781490491875</t>
  </si>
  <si>
    <t>Wie ein Siegel auf dein Herz Teil 2</t>
  </si>
  <si>
    <t>2000034294039</t>
  </si>
  <si>
    <t>Blinder Eifer</t>
  </si>
  <si>
    <t>9783442457724</t>
  </si>
  <si>
    <t>Sigrid Leo</t>
  </si>
  <si>
    <t>Zauberworte über Kinder</t>
  </si>
  <si>
    <t>9783760719078</t>
  </si>
  <si>
    <t>Nobiltà: Commissario Brunettis siebter Fall</t>
  </si>
  <si>
    <t>9783257232608</t>
  </si>
  <si>
    <t>Die Hakima</t>
  </si>
  <si>
    <t>9783453124714</t>
  </si>
  <si>
    <t>Rubert Isaacson</t>
  </si>
  <si>
    <t>Der Pferdejunge</t>
  </si>
  <si>
    <t>9783596179206</t>
  </si>
  <si>
    <t>Albrecht Gralle</t>
  </si>
  <si>
    <t>Der Mönch und die Königin</t>
  </si>
  <si>
    <t>9783941329331</t>
  </si>
  <si>
    <t>Bo Fowler</t>
  </si>
  <si>
    <t>Alles verrückte</t>
  </si>
  <si>
    <t>3-421-05130-5</t>
  </si>
  <si>
    <t>Kate Thompson</t>
  </si>
  <si>
    <t>Die blaue Stunde</t>
  </si>
  <si>
    <t>Einladung zum Mord</t>
  </si>
  <si>
    <t>Horst Stern</t>
  </si>
  <si>
    <t>So verdient man sich die Sporen</t>
  </si>
  <si>
    <t>9783440073230</t>
  </si>
  <si>
    <t>18x25</t>
  </si>
  <si>
    <t>Dr. med. Harald Stossier</t>
  </si>
  <si>
    <t>Allergien erfolgreich behandeln mit der F.X. Mayr-Kur</t>
  </si>
  <si>
    <t>Haug</t>
  </si>
  <si>
    <t>9783830420613</t>
  </si>
  <si>
    <t>16x21,5</t>
  </si>
  <si>
    <t>Jessica Brody</t>
  </si>
  <si>
    <t>Flirt Verdacht: Willst du wissen ob er anbeißt</t>
  </si>
  <si>
    <t>9783453407770</t>
  </si>
  <si>
    <t>12x18,5</t>
  </si>
  <si>
    <t>Sibylle Weischenberg</t>
  </si>
  <si>
    <t>Meine 30 Lippenstifte und ich</t>
  </si>
  <si>
    <t>9783442370597</t>
  </si>
  <si>
    <t>11,5x18,5</t>
  </si>
  <si>
    <t>Tödliche unschuld</t>
  </si>
  <si>
    <t>9783442365999</t>
  </si>
  <si>
    <t>Susan Mallery</t>
  </si>
  <si>
    <t>Drum küsse, wer sich ewig bindet</t>
  </si>
  <si>
    <t>9783956491030</t>
  </si>
  <si>
    <t>Charlotte Thomas</t>
  </si>
  <si>
    <t>Das ferne Land</t>
  </si>
  <si>
    <t>9783404172894</t>
  </si>
  <si>
    <t>Kain und Abel</t>
  </si>
  <si>
    <t>3-552-03302-5</t>
  </si>
  <si>
    <t>14,5x12</t>
  </si>
  <si>
    <t>Die Hunde des Krieges</t>
  </si>
  <si>
    <t>3-492-02070-4</t>
  </si>
  <si>
    <t>Johann Christoph Hampe</t>
  </si>
  <si>
    <t>Die Nacht mit dem Buddha</t>
  </si>
  <si>
    <t>3-7918-1100-2</t>
  </si>
  <si>
    <t>Die Winde der Wahrheit Band 2: Die grossen Schriften über die wahrhaftigkeit Gottes</t>
  </si>
  <si>
    <t>Ernst Wunder</t>
  </si>
  <si>
    <t>Der schwarze Abt</t>
  </si>
  <si>
    <t>3-442-00069-6</t>
  </si>
  <si>
    <t>Paul White</t>
  </si>
  <si>
    <t>Paul White alias Dschungeldoktor</t>
  </si>
  <si>
    <t>3-417-12152-3</t>
  </si>
  <si>
    <t>13x20,5</t>
  </si>
  <si>
    <t>Victoria Holt</t>
  </si>
  <si>
    <t>Die schöne des Hofes</t>
  </si>
  <si>
    <t>9783453032873</t>
  </si>
  <si>
    <t>Utta Danella</t>
  </si>
  <si>
    <t>Das verpaßte Schiff: Die Geschichte einer turbulenten Traumreise</t>
  </si>
  <si>
    <t>9783453024601</t>
  </si>
  <si>
    <t>Lilli Palmer</t>
  </si>
  <si>
    <t>Wenn der Nachtvogel schreit</t>
  </si>
  <si>
    <t>4016491015399</t>
  </si>
  <si>
    <t>Hans Herlin</t>
  </si>
  <si>
    <t>Die schweigenden Kanäle</t>
  </si>
  <si>
    <t>Heinz G. Konsalik</t>
  </si>
  <si>
    <t>3-442-02579-6</t>
  </si>
  <si>
    <t>H. -U. Horster</t>
  </si>
  <si>
    <t>Ein Herz spielt falsch</t>
  </si>
  <si>
    <t>personalisiert durch einen Gruß</t>
  </si>
  <si>
    <t>Dagmar Scherf</t>
  </si>
  <si>
    <t>Das Geisterradio</t>
  </si>
  <si>
    <t>9783499208577</t>
  </si>
  <si>
    <t>Gloria D. Miklowitz</t>
  </si>
  <si>
    <t>The war between the classes</t>
  </si>
  <si>
    <t>Klett</t>
  </si>
  <si>
    <t>Eintragungen vom Vorbesitzer vorhanden</t>
  </si>
  <si>
    <t>9783125781108</t>
  </si>
  <si>
    <t>Margret Steenfatt</t>
  </si>
  <si>
    <t>Ein Zimmer für Stella</t>
  </si>
  <si>
    <t>9783499208768</t>
  </si>
  <si>
    <t>Emil Ludwig</t>
  </si>
  <si>
    <t>Kleopatra</t>
  </si>
  <si>
    <t>Der neue Grimsehl Physik 1</t>
  </si>
  <si>
    <t>Ernst Klett</t>
  </si>
  <si>
    <t>Dr. Wilhelm German</t>
  </si>
  <si>
    <t>16,5x23</t>
  </si>
  <si>
    <t>Das Oxford Schulwörterbuch</t>
  </si>
  <si>
    <t>Cornelsen &amp; Oxford</t>
  </si>
  <si>
    <t>kartoniert</t>
  </si>
  <si>
    <t>deutsch englisch
englisch deutsch</t>
  </si>
  <si>
    <t>3-8109-2742-2</t>
  </si>
  <si>
    <t>Joseph Conrad</t>
  </si>
  <si>
    <t>Der Geheimagent</t>
  </si>
  <si>
    <t>Erich von Däniken</t>
  </si>
  <si>
    <t>Zurück zu den Sternen</t>
  </si>
  <si>
    <t>Rolf Althof</t>
  </si>
  <si>
    <t>Englisch in vier Wochen: Ein kompakt-Sprachkurs</t>
  </si>
  <si>
    <t>9783632989561</t>
  </si>
  <si>
    <t>10,5x14</t>
  </si>
  <si>
    <t>Robert Mawson</t>
  </si>
  <si>
    <t>Das Lazarus Kind</t>
  </si>
  <si>
    <t>Jacobs Frauen</t>
  </si>
  <si>
    <t>Rembrandt</t>
  </si>
  <si>
    <t>Das Evangelium: 28 Zeichnungen und 25. Radierungen zum neuen Testament</t>
  </si>
  <si>
    <t>Rufer</t>
  </si>
  <si>
    <t>Isaac B. Singer</t>
  </si>
  <si>
    <t>Der Kabbalist vom East Broadway Geschichten</t>
  </si>
  <si>
    <t>3-423-01393-1</t>
  </si>
  <si>
    <t>Grosses Universal Lexikon für die Familie Band 1-5</t>
  </si>
  <si>
    <t>xxx</t>
  </si>
  <si>
    <t>Hans-Otto Meissner</t>
  </si>
  <si>
    <t>Kundschafter am St. Lorenzstrom: Die Abenteuer des Samuel de Champlain</t>
  </si>
  <si>
    <t>Buchgemeinschaft Donauland</t>
  </si>
  <si>
    <t>14,5x21,5</t>
  </si>
  <si>
    <t>Manfred Hausmann</t>
  </si>
  <si>
    <t>Einer muss wachen: Betrachtung, Briefe, Gedanken, Reden</t>
  </si>
  <si>
    <t>S. FIscher</t>
  </si>
  <si>
    <t>Prof. H. E. Köhler</t>
  </si>
  <si>
    <t>Kenn'ste den…? Das große Buch der Witze</t>
  </si>
  <si>
    <t>Robert T.Odeman</t>
  </si>
  <si>
    <t>Der kleine Zauberberg</t>
  </si>
  <si>
    <t>11,5x19,5</t>
  </si>
  <si>
    <t>Top-Wissen</t>
  </si>
  <si>
    <t>Große Erfindungen: Alle wichtigen Fakten in Frage und Antwort</t>
  </si>
  <si>
    <t>14x18</t>
  </si>
  <si>
    <t>Kraftstoffleitungssystemn: Grundlagen, Anforderungen, Lösungen</t>
  </si>
  <si>
    <t>Verlag moderne industrie</t>
  </si>
  <si>
    <t>Hans-Josef Ludwig, Joachim Geimer, Ligia Ludwig, Andreas Seyler, Heinrich Sielemann</t>
  </si>
  <si>
    <t>9783478931991</t>
  </si>
  <si>
    <t>Gordon A. Graig</t>
  </si>
  <si>
    <t>Königgrätz</t>
  </si>
  <si>
    <t>11x17,5</t>
  </si>
  <si>
    <t>Hildegard von Bingen</t>
  </si>
  <si>
    <t>Schönheitspflege</t>
  </si>
  <si>
    <t>NEFF</t>
  </si>
  <si>
    <t>9783811858923</t>
  </si>
  <si>
    <t>Franz Kurowski</t>
  </si>
  <si>
    <t>Vier Freunde auf Safari: Im Geländewagen durch Afrikanische Wildparks</t>
  </si>
  <si>
    <t>Titania</t>
  </si>
  <si>
    <t>3-7996-5102-0</t>
  </si>
  <si>
    <t>Was blüht denn da</t>
  </si>
  <si>
    <t>Dr. Alois Kosch</t>
  </si>
  <si>
    <t>14x20</t>
  </si>
  <si>
    <t>Gruppenbild mit Dame</t>
  </si>
  <si>
    <t>9783462023817</t>
  </si>
  <si>
    <t>Jörg Blech</t>
  </si>
  <si>
    <t>Heillose Medizin: Fragwürdige Therapien und wie sie sich davor schützen können</t>
  </si>
  <si>
    <t>9783596179169</t>
  </si>
  <si>
    <t>Karen Rose</t>
  </si>
  <si>
    <t>Todesschrei</t>
  </si>
  <si>
    <t>9783942656016</t>
  </si>
  <si>
    <t>Kea Kristina Röder</t>
  </si>
  <si>
    <t>Der lange Weg zur Krone</t>
  </si>
  <si>
    <t>Books on Demand</t>
  </si>
  <si>
    <t>3833448237</t>
  </si>
  <si>
    <t>9783426662519</t>
  </si>
  <si>
    <t>Monika Eschborn</t>
  </si>
  <si>
    <t>Wo sind die Männer, vor denen uns unsere Mütter immer gewarnt haben?</t>
  </si>
  <si>
    <t>9783502793533</t>
  </si>
  <si>
    <t>Paola Mastrocola</t>
  </si>
  <si>
    <t>Ich dachte, ich wär ein panther: Die Geschichte einer Ente auf der Suche nach sich selbst</t>
  </si>
  <si>
    <t>9783492253031</t>
  </si>
  <si>
    <t>Pamela Jekel</t>
  </si>
  <si>
    <t>Bayou</t>
  </si>
  <si>
    <t>4026411102634</t>
  </si>
  <si>
    <t>Pilger des Hasses</t>
  </si>
  <si>
    <t>9783453053113</t>
  </si>
  <si>
    <t>Mark Stichler</t>
  </si>
  <si>
    <t>verkauftes Land</t>
  </si>
  <si>
    <t>9783800183371</t>
  </si>
  <si>
    <t>Matthias Politycki</t>
  </si>
  <si>
    <t>In 180 Tagen um die Welt: das Logbuch des Herrn Johann Gottlieb Fichtl</t>
  </si>
  <si>
    <t>mare</t>
  </si>
  <si>
    <t>9783866480803</t>
  </si>
  <si>
    <t>Kathryn Stockett</t>
  </si>
  <si>
    <t>Gute Geister</t>
  </si>
  <si>
    <t>9783442745081</t>
  </si>
  <si>
    <t>Helen Black</t>
  </si>
  <si>
    <t>Schweigepflicht</t>
  </si>
  <si>
    <t>9783596177806</t>
  </si>
  <si>
    <t>Du mich auch</t>
  </si>
  <si>
    <t>atb</t>
  </si>
  <si>
    <t>9783746627465</t>
  </si>
  <si>
    <t>Schattenblume</t>
  </si>
  <si>
    <t>9783499240737</t>
  </si>
  <si>
    <t>Charlotte Labouche</t>
  </si>
  <si>
    <t>Der ultimative Sex: so bringen sie ihren Partner um den Verstand</t>
  </si>
  <si>
    <t>9783868820072</t>
  </si>
  <si>
    <t>Schmusemord: ein Baltasar-Matzbach-Roman</t>
  </si>
  <si>
    <t>9783442540914</t>
  </si>
  <si>
    <t>Marco Polo: Lanzarote</t>
  </si>
  <si>
    <t>9783829704687</t>
  </si>
  <si>
    <t>Deva Vanish A. Weidenbach</t>
  </si>
  <si>
    <t>Herzensbeziehungen: Eine Reise durch mein Seelenhaus</t>
  </si>
  <si>
    <t>9783868055986</t>
  </si>
  <si>
    <t>Die Schatten der Vergangenheit</t>
  </si>
  <si>
    <t>9783704321077</t>
  </si>
  <si>
    <t>Udo Hahn</t>
  </si>
  <si>
    <t>Segen: Grundbegriffe Christentum</t>
  </si>
  <si>
    <t>GTB</t>
  </si>
  <si>
    <t>9783579006888</t>
  </si>
  <si>
    <t>Jean-Christophe Grangé</t>
  </si>
  <si>
    <t>Die Purpurnen Flüsse</t>
  </si>
  <si>
    <t>9783404144037</t>
  </si>
  <si>
    <t>meine Familie &amp; ich</t>
  </si>
  <si>
    <t>Die 100 besten Spaghetti Gerichte</t>
  </si>
  <si>
    <t>4390004608507</t>
  </si>
  <si>
    <t>Ich werde gerne alt</t>
  </si>
  <si>
    <t>9783783109696</t>
  </si>
  <si>
    <t>Adam J. Bitsch</t>
  </si>
  <si>
    <t>Bunte Blumen</t>
  </si>
  <si>
    <t>Wort im Bild</t>
  </si>
  <si>
    <t>3886543161</t>
  </si>
  <si>
    <t>Ruth Flensburg</t>
  </si>
  <si>
    <t>Pardon, ich komme wohl etwas überraschend: ein freudiges Ereignis</t>
  </si>
  <si>
    <t>3789323187</t>
  </si>
  <si>
    <t>Barry Long</t>
  </si>
  <si>
    <t>Sexuelle Liebe auf göttliche Weise</t>
  </si>
  <si>
    <t>9783980750912</t>
  </si>
  <si>
    <t>Teresa Simon</t>
  </si>
  <si>
    <t>Die Oleander Frauen</t>
  </si>
  <si>
    <t>9783453421158</t>
  </si>
  <si>
    <t>Georg Haddenbach</t>
  </si>
  <si>
    <t>Der strebsame Steinbock</t>
  </si>
  <si>
    <t>9783806815405</t>
  </si>
  <si>
    <t>Der phantasievolle Wassermann</t>
  </si>
  <si>
    <t>9783809408475</t>
  </si>
  <si>
    <t>Die harmonische Waage</t>
  </si>
  <si>
    <t>9783809408437</t>
  </si>
  <si>
    <t>Der hilfsbereite Stier</t>
  </si>
  <si>
    <t>9783809408383</t>
  </si>
  <si>
    <t>Jorge Bucay</t>
  </si>
  <si>
    <t>Komm, ich erzähl dir eine Geschichte</t>
  </si>
  <si>
    <t>9783596170920</t>
  </si>
  <si>
    <t>Eva-Maria Zurhorst</t>
  </si>
  <si>
    <t>Liebe dich selbst und es ist egal, wen du heiratest</t>
  </si>
  <si>
    <t>Heute fängt der Himmel an</t>
  </si>
  <si>
    <t>9783734102899</t>
  </si>
  <si>
    <t>Udo Grube</t>
  </si>
  <si>
    <t>Bleep oder wie man Spiritualität mit 3 Whisky-Cola verbindet</t>
  </si>
  <si>
    <t>Integral</t>
  </si>
  <si>
    <t>9783778792292</t>
  </si>
  <si>
    <t>Florian Tausch</t>
  </si>
  <si>
    <t>und es hat om gemacht</t>
  </si>
  <si>
    <t>9783442478736</t>
  </si>
  <si>
    <t>Anthony Doerr</t>
  </si>
  <si>
    <t>Alles Licht, das wir nicht sehen</t>
  </si>
  <si>
    <t>9783442749850</t>
  </si>
  <si>
    <t>Seelenfeuer</t>
  </si>
  <si>
    <t>9783828900264</t>
  </si>
  <si>
    <t>Kevin Henkes</t>
  </si>
  <si>
    <t>…und dann kam Joselle</t>
  </si>
  <si>
    <t>9783423703963</t>
  </si>
  <si>
    <t>9783862652198</t>
  </si>
  <si>
    <t>Was vom Tage übrig blieb</t>
  </si>
  <si>
    <t>9783453421608</t>
  </si>
  <si>
    <t>Helga Hammer</t>
  </si>
  <si>
    <t>Durch alle Zeiten</t>
  </si>
  <si>
    <t>9783548290706</t>
  </si>
  <si>
    <t>Hannah Richell</t>
  </si>
  <si>
    <t>Das Jahr der Schatten</t>
  </si>
  <si>
    <t>9783453358805</t>
  </si>
  <si>
    <t>Lena Christ</t>
  </si>
  <si>
    <t>Die Rumpelhanni</t>
  </si>
  <si>
    <t>9781482371468</t>
  </si>
  <si>
    <t>Nina Ohland</t>
  </si>
  <si>
    <t>Möwenschrei</t>
  </si>
  <si>
    <t>9783404171361</t>
  </si>
  <si>
    <t>Yann Martel</t>
  </si>
  <si>
    <t>Schiffbruch mit Tiger</t>
  </si>
  <si>
    <t>9783596156658</t>
  </si>
  <si>
    <t>Eine unbeliebte Frau</t>
  </si>
  <si>
    <t>9783548608877</t>
  </si>
  <si>
    <t>Patrick Robinson</t>
  </si>
  <si>
    <t>Jagd in der Tiefe</t>
  </si>
  <si>
    <t>9783453433199</t>
  </si>
  <si>
    <t>Mary Kay Andrews</t>
  </si>
  <si>
    <t>Ein ja im Sommer</t>
  </si>
  <si>
    <t>9783596032334</t>
  </si>
  <si>
    <t>9783404151325</t>
  </si>
  <si>
    <t>Joséphine</t>
  </si>
  <si>
    <t>Emma Sternberg</t>
  </si>
  <si>
    <t>Fünf am Meer</t>
  </si>
  <si>
    <t>9783453421639</t>
  </si>
  <si>
    <t>Gillian Flynn</t>
  </si>
  <si>
    <t>Gone Girl: das perfekte Opfer</t>
  </si>
  <si>
    <t>9783596188789</t>
  </si>
  <si>
    <t>Martin Schüller</t>
  </si>
  <si>
    <t>Tod in Garmisch</t>
  </si>
  <si>
    <t>9783897056565</t>
  </si>
  <si>
    <t>Der Traum vom Paradies</t>
  </si>
  <si>
    <t>9783596148738</t>
  </si>
  <si>
    <t>Morpheus</t>
  </si>
  <si>
    <t>9783499236914</t>
  </si>
  <si>
    <t>Du sollst nicht begehren</t>
  </si>
  <si>
    <t>9783442442782</t>
  </si>
  <si>
    <t>Martin Conrath</t>
  </si>
  <si>
    <t>Der Schmerzsammler</t>
  </si>
  <si>
    <t>9783404168071</t>
  </si>
  <si>
    <t>9783442473496</t>
  </si>
  <si>
    <t>Rania Al-Baz</t>
  </si>
  <si>
    <t>Entstellt: Sie erlebt einen Alptraum und wurde die mutigste Frau Saudi-Arabiens</t>
  </si>
  <si>
    <t>9783404616497</t>
  </si>
  <si>
    <t>Meg Cabot</t>
  </si>
  <si>
    <t>Um die Ecke geküsst</t>
  </si>
  <si>
    <t>9783442375417</t>
  </si>
  <si>
    <t>Sophie Winter</t>
  </si>
  <si>
    <t>Filou Ein Kater sucht das Glück</t>
  </si>
  <si>
    <t>9783442478743</t>
  </si>
  <si>
    <t>T. Coraghessan Boyle</t>
  </si>
  <si>
    <t>Wassermusik</t>
  </si>
  <si>
    <t>9783499125805</t>
  </si>
  <si>
    <t>Gertraud Radke</t>
  </si>
  <si>
    <t>Yoga als Weg zur Seele: Von der Materie zum Geist</t>
  </si>
  <si>
    <t>Aquamarin</t>
  </si>
  <si>
    <t>9783894275013</t>
  </si>
  <si>
    <t>Ich schreib dir morgen wieder</t>
  </si>
  <si>
    <t>9783596173198</t>
  </si>
  <si>
    <t>Joan Lingard</t>
  </si>
  <si>
    <t>Der zwölfte Juli</t>
  </si>
  <si>
    <t>9783473581092</t>
  </si>
  <si>
    <t>Jenny Bünnig</t>
  </si>
  <si>
    <t>Es muss dunkel sein, damit man die Sterne sieht</t>
  </si>
  <si>
    <t>9783746631349</t>
  </si>
  <si>
    <t>Petra Hülsmann</t>
  </si>
  <si>
    <t>Hummeln im Herzen</t>
  </si>
  <si>
    <t>9783404175840</t>
  </si>
  <si>
    <t>Ella Kensington</t>
  </si>
  <si>
    <t>Mary Die unbändige, göttliche Lebenslust</t>
  </si>
  <si>
    <t>9783442218240</t>
  </si>
  <si>
    <t>Meredith Wild</t>
  </si>
  <si>
    <t>Hardline verfallen</t>
  </si>
  <si>
    <t>9783736301283</t>
  </si>
  <si>
    <t>25.</t>
  </si>
  <si>
    <t>9783499129605</t>
  </si>
  <si>
    <t>Leni Behrendt</t>
  </si>
  <si>
    <t>Wenn Abends die Heide träumt</t>
  </si>
  <si>
    <t>4026411391991</t>
  </si>
  <si>
    <t>Das war vorauszusehen</t>
  </si>
  <si>
    <t>4026411391458</t>
  </si>
  <si>
    <t>9783426633472</t>
  </si>
  <si>
    <t>Das Jesus Papier</t>
  </si>
  <si>
    <t>9783453431720</t>
  </si>
  <si>
    <t>Nick McDonell</t>
  </si>
  <si>
    <t>Zwölf</t>
  </si>
  <si>
    <t>Kiepenheuer&amp;Witsch</t>
  </si>
  <si>
    <t>das Buch ist gebogen</t>
  </si>
  <si>
    <t>9783462032284</t>
  </si>
  <si>
    <t>Roland Kopp-Wichmann</t>
  </si>
  <si>
    <t>Frauen wollen erwachsene Männer: Warum Männer sich ablösen müssen, um lieben zu können</t>
  </si>
  <si>
    <t>9783451063824</t>
  </si>
  <si>
    <t>Katrin Keil</t>
  </si>
  <si>
    <t>Die Liebe der Bildweberin</t>
  </si>
  <si>
    <t>4026411116747</t>
  </si>
  <si>
    <t>Tennessee Williams</t>
  </si>
  <si>
    <t>Cat on a Hot Tin Roof</t>
  </si>
  <si>
    <t>9783150090398</t>
  </si>
  <si>
    <t>Paul Maar</t>
  </si>
  <si>
    <t>Lippels Traum</t>
  </si>
  <si>
    <t>9783841505385</t>
  </si>
  <si>
    <t>Wladimir Kaminer</t>
  </si>
  <si>
    <t>Karaoke</t>
  </si>
  <si>
    <t>3442545757</t>
  </si>
  <si>
    <t>Erich Koch</t>
  </si>
  <si>
    <t>Das Beste aus Telefonsex und 100 andere Sachen zum Lachen</t>
  </si>
  <si>
    <t>Info</t>
  </si>
  <si>
    <t>mit Widmung des Autors</t>
  </si>
  <si>
    <t>3939931697</t>
  </si>
  <si>
    <t>Unsichtbare Spuren</t>
  </si>
  <si>
    <t>9783426635070</t>
  </si>
  <si>
    <t>Hans-Peter Vertacnik</t>
  </si>
  <si>
    <t>Abfangjäger</t>
  </si>
  <si>
    <t>9783956741258</t>
  </si>
  <si>
    <t>Das Flammende Kreuz</t>
  </si>
  <si>
    <t>9783764500566</t>
  </si>
  <si>
    <t>Der Ruf der Trommel</t>
  </si>
  <si>
    <t>9783764501693</t>
  </si>
  <si>
    <t>Ferne Ufer</t>
  </si>
  <si>
    <t>9783764501686</t>
  </si>
  <si>
    <t>Die geliehene Zeit</t>
  </si>
  <si>
    <t>9783764501679</t>
  </si>
  <si>
    <t>Ein Schatten von Verrat und Liebe</t>
  </si>
  <si>
    <t>9783764503048</t>
  </si>
  <si>
    <t>Anne Sanders</t>
  </si>
  <si>
    <t>Sommerhaus zum Glück</t>
  </si>
  <si>
    <t>9783764506308</t>
  </si>
  <si>
    <t>Rick Riordan</t>
  </si>
  <si>
    <t>Percy Jackson: Diebe im Olymp</t>
  </si>
  <si>
    <t>9783551554376</t>
  </si>
  <si>
    <t>Gina Ruck-Pauquèt</t>
  </si>
  <si>
    <t>Sandmännchens Geschichten Buch</t>
  </si>
  <si>
    <t>2014?</t>
  </si>
  <si>
    <t>9783473373055</t>
  </si>
  <si>
    <t>auf den ersten beiden Seiten ist die untere Ecke beschädigt. Wurde so geklebt, dass die Stelle dennoch Lesbar ist. Im Inlay fehlt die Ecke. Ansonsten ist das Buch in einem Top Zustand</t>
  </si>
  <si>
    <t>Schneewittchens Abenteuer im Wald</t>
  </si>
  <si>
    <t>Bambi wird erwachsen</t>
  </si>
  <si>
    <t>Max Leu</t>
  </si>
  <si>
    <t>Weisspelz Abenteuerliche Erlebnisse eines Marders</t>
  </si>
  <si>
    <t>3426362010</t>
  </si>
  <si>
    <t>Herbert I. Schrader</t>
  </si>
  <si>
    <t>Der achte Tag der Schöpfung</t>
  </si>
  <si>
    <t>Hanna und Ilse Jursch</t>
  </si>
  <si>
    <t>Hände als Symbol und Gestalt</t>
  </si>
  <si>
    <t>Arno Jansen</t>
  </si>
  <si>
    <t>Aus dem Tagebuch eines Dackels</t>
  </si>
  <si>
    <t>Aj Verlag</t>
  </si>
  <si>
    <t>Frankfurt</t>
  </si>
  <si>
    <t>Aad de Jong und Peter van der Westen</t>
  </si>
  <si>
    <t>Kindergeschenke verpacken</t>
  </si>
  <si>
    <t>Mosaik Kreativ</t>
  </si>
  <si>
    <t>München</t>
  </si>
  <si>
    <t>9783576100695</t>
  </si>
  <si>
    <t>Ilse Walter</t>
  </si>
  <si>
    <t>Im Kerzenschein Geschichten zum Träumen</t>
  </si>
  <si>
    <t>Michail Scholochow</t>
  </si>
  <si>
    <t>Der stille Don</t>
  </si>
  <si>
    <t>Steffi Steigemann</t>
  </si>
  <si>
    <t>Die großen Geheimbünde</t>
  </si>
  <si>
    <t>VMA Verlag</t>
  </si>
  <si>
    <t>Wiesbaden</t>
  </si>
  <si>
    <t>Peter Gording</t>
  </si>
  <si>
    <t>Freibeuter am Ende der Welt - Meuterei</t>
  </si>
  <si>
    <t>Engelbert</t>
  </si>
  <si>
    <t>Signiert von Peter Gording 1977</t>
  </si>
  <si>
    <t>3536003788</t>
  </si>
  <si>
    <t>Liebe, Zeugung und Geburt - Ihre Wunder und Probleme</t>
  </si>
  <si>
    <t>Die Mitternachts Rose</t>
  </si>
  <si>
    <t>Kathleen E. Woodiwiss</t>
  </si>
  <si>
    <t>Shanna</t>
  </si>
  <si>
    <t>Die Jury</t>
  </si>
  <si>
    <t xml:space="preserve">Bertelsmann </t>
  </si>
  <si>
    <t>Handschriftlicher Eintrag im Einband, Schutzumschlag fehlt</t>
  </si>
  <si>
    <t>Der Regenmacher</t>
  </si>
  <si>
    <t>Anne Golon</t>
  </si>
  <si>
    <t>Angelique die Siegerin</t>
  </si>
  <si>
    <t xml:space="preserve">Deutscher Bücherbund </t>
  </si>
  <si>
    <t>Alexander Dumas</t>
  </si>
  <si>
    <t>Der Graf von Monte Christo</t>
  </si>
  <si>
    <t>Alles was glücklich macht</t>
  </si>
  <si>
    <t>A.J. Cronin</t>
  </si>
  <si>
    <t>Die Zitadelle</t>
  </si>
  <si>
    <t>Erich Maria Remarque</t>
  </si>
  <si>
    <t>Die Nacht von Lissabon</t>
  </si>
  <si>
    <t>Julius Hackethal</t>
  </si>
  <si>
    <t>Keine Angst vor Krebs</t>
  </si>
  <si>
    <t>Molden</t>
  </si>
  <si>
    <t>3217003667</t>
  </si>
  <si>
    <t>Depesche aus dem Jenseits</t>
  </si>
  <si>
    <t>Weltbild Verlag</t>
  </si>
  <si>
    <t>389350320x</t>
  </si>
  <si>
    <t>Janet und Colin Bord</t>
  </si>
  <si>
    <t>X-Akte Ausserirdische</t>
  </si>
  <si>
    <t>9783811813823</t>
  </si>
  <si>
    <t>Malachi Martin</t>
  </si>
  <si>
    <t>Der letzte Pabst</t>
  </si>
  <si>
    <t>9783828974586</t>
  </si>
  <si>
    <t>Die Entstehung des Repräsentanten von Planet 8</t>
  </si>
  <si>
    <t>3100439090</t>
  </si>
  <si>
    <t>Anna McPartlin</t>
  </si>
  <si>
    <t>So was wie Liebe</t>
  </si>
  <si>
    <t>9783499246869</t>
  </si>
  <si>
    <t>Peter Brenkmann</t>
  </si>
  <si>
    <t>Die Geheimnisvollen 4 und das Siegel der Rüsselwesen</t>
  </si>
  <si>
    <t>Bimax</t>
  </si>
  <si>
    <t>9783932540356</t>
  </si>
  <si>
    <t>Vienna</t>
  </si>
  <si>
    <t>9783442732531</t>
  </si>
  <si>
    <t>Wolfgang Kraus</t>
  </si>
  <si>
    <t>Buddha Worte der Vollendung</t>
  </si>
  <si>
    <t>9783257224795</t>
  </si>
  <si>
    <t>Endlich ohne Alkohol</t>
  </si>
  <si>
    <t>9783442165032</t>
  </si>
  <si>
    <t>Antoine de Saint Exupery</t>
  </si>
  <si>
    <t>Nikol</t>
  </si>
  <si>
    <t>9783868203516</t>
  </si>
  <si>
    <t>Alex Aabe</t>
  </si>
  <si>
    <t>Der große farbige Freizeitführer für Deutschland</t>
  </si>
  <si>
    <t>Unterwegs Verlag</t>
  </si>
  <si>
    <t>9783861121282</t>
  </si>
  <si>
    <t>Hugh de Beer</t>
  </si>
  <si>
    <t>Liebesspiele</t>
  </si>
  <si>
    <t>9783442168873</t>
  </si>
  <si>
    <t>Hans-Joachim Aubert</t>
  </si>
  <si>
    <t>Yucatan und Chiapas</t>
  </si>
  <si>
    <t>9783770158317</t>
  </si>
  <si>
    <t>Anni Deckner</t>
  </si>
  <si>
    <t>Die Krabbenfischerin</t>
  </si>
  <si>
    <t>Forever</t>
  </si>
  <si>
    <t>9783958183865</t>
  </si>
  <si>
    <t>Siggi Flegel</t>
  </si>
  <si>
    <t>Lieben verboten</t>
  </si>
  <si>
    <t>9783522179256</t>
  </si>
  <si>
    <t>Suzanne Frank</t>
  </si>
  <si>
    <t>Die Seherin von Knossos</t>
  </si>
  <si>
    <t>9783442357048</t>
  </si>
  <si>
    <t>Brian Van Reet</t>
  </si>
  <si>
    <t>Beute</t>
  </si>
  <si>
    <t>9783498058081</t>
  </si>
  <si>
    <t>Tana French</t>
  </si>
  <si>
    <t>Gefrorener Schrei</t>
  </si>
  <si>
    <t>9783651024472</t>
  </si>
  <si>
    <t>Daniel Glattauer</t>
  </si>
  <si>
    <t>Gut gegen Nordwind</t>
  </si>
  <si>
    <t>9783442465866</t>
  </si>
  <si>
    <t>Alle sieben Wellen</t>
  </si>
  <si>
    <t>9783442472444</t>
  </si>
  <si>
    <t>Elisabeth Mittelstädt</t>
  </si>
  <si>
    <t>Größer als meine Träume</t>
  </si>
  <si>
    <t>9783865915832</t>
  </si>
  <si>
    <t>Jane Corry</t>
  </si>
  <si>
    <t>Perlentöchter</t>
  </si>
  <si>
    <t>9783442380817</t>
  </si>
  <si>
    <t>Eins, zwei, drei und du bist frei</t>
  </si>
  <si>
    <t>3442445817</t>
  </si>
  <si>
    <t>Pierre Ouellette</t>
  </si>
  <si>
    <t>Die Deus Maschine</t>
  </si>
  <si>
    <t>Miranda Dickinson</t>
  </si>
  <si>
    <t>Und dann küsste er mich</t>
  </si>
  <si>
    <t>9783453409811</t>
  </si>
  <si>
    <t>Catherine Clement</t>
  </si>
  <si>
    <t>Eine Liebe in Indien</t>
  </si>
  <si>
    <t>9783453152779</t>
  </si>
  <si>
    <t>Happy Family</t>
  </si>
  <si>
    <t>9783463406183</t>
  </si>
  <si>
    <t>Thomas Eckerle</t>
  </si>
  <si>
    <t>Reiner Zufall? Smaragd</t>
  </si>
  <si>
    <t>393425456x</t>
  </si>
  <si>
    <t>Susanne Oswald</t>
  </si>
  <si>
    <t>Ein Jahr Inselglück</t>
  </si>
  <si>
    <t>9783745700084</t>
  </si>
  <si>
    <t>Mhairi McFarlane</t>
  </si>
  <si>
    <t>Vielleicht mag ich diech morgen</t>
  </si>
  <si>
    <t>9783426516478</t>
  </si>
  <si>
    <t>Ana T. Forrest</t>
  </si>
  <si>
    <t>Dia Yoga Kriegerin</t>
  </si>
  <si>
    <t>Allegria</t>
  </si>
  <si>
    <t>9783793422297</t>
  </si>
  <si>
    <t>Ralf Husmann</t>
  </si>
  <si>
    <t>Nicht mein Tag</t>
  </si>
  <si>
    <t>9783502110385</t>
  </si>
  <si>
    <t>Diana Cooper</t>
  </si>
  <si>
    <t>Der spirituelle Lebens-Ratgeber</t>
  </si>
  <si>
    <t>Ansata</t>
  </si>
  <si>
    <t>9783778772980</t>
  </si>
  <si>
    <t>Bote der Nacht</t>
  </si>
  <si>
    <t>3453868609</t>
  </si>
  <si>
    <t>Carlos Ruiz Zafon</t>
  </si>
  <si>
    <t>Der Schatten des Windes</t>
  </si>
  <si>
    <t>9783518458006</t>
  </si>
  <si>
    <t>Ahmad von Denffer</t>
  </si>
  <si>
    <t>Islam hier und heute</t>
  </si>
  <si>
    <t>Islamische Bibliothek</t>
  </si>
  <si>
    <t>3821700823</t>
  </si>
  <si>
    <t>Michael Winterhoff</t>
  </si>
  <si>
    <t>Warum unsere Kinder Tyrannen werden</t>
  </si>
  <si>
    <t>Gütersloher Verlagshaus</t>
  </si>
  <si>
    <t>9783579069807</t>
  </si>
  <si>
    <t>Tessa de Loo</t>
  </si>
  <si>
    <t xml:space="preserve">Die Zwillinge </t>
  </si>
  <si>
    <t>9783442721610</t>
  </si>
  <si>
    <t>Tracy Bloom</t>
  </si>
  <si>
    <t>I will marry George Clooney</t>
  </si>
  <si>
    <t>Arrow Books</t>
  </si>
  <si>
    <t>9780099594734</t>
  </si>
  <si>
    <t>Die unwahrscheinlich Pilgerreise des Harold Fry</t>
  </si>
  <si>
    <t>Anziehungskraft - Stil kennt keine Größe</t>
  </si>
  <si>
    <t>9783841902399</t>
  </si>
  <si>
    <t>Wolfgang Haug</t>
  </si>
  <si>
    <t>Angriff auf die Freiheit?</t>
  </si>
  <si>
    <t>Trotzdem Verlag</t>
  </si>
  <si>
    <t>3931786250</t>
  </si>
  <si>
    <t>Blanca Busquets</t>
  </si>
  <si>
    <t>Die Woll-Lust der Maria Dolores</t>
  </si>
  <si>
    <t>9783423214070</t>
  </si>
  <si>
    <t>Nynke Klompmaker</t>
  </si>
  <si>
    <t>Ich bin ich und du bist du</t>
  </si>
  <si>
    <t>dtv Junior</t>
  </si>
  <si>
    <t>9783423706803</t>
  </si>
  <si>
    <t>Susy McPhee</t>
  </si>
  <si>
    <t>Weil dein Herz noch immer schlägt</t>
  </si>
  <si>
    <t>Weltbild Taschenbuch</t>
  </si>
  <si>
    <t>9783868007800</t>
  </si>
  <si>
    <t>Osho</t>
  </si>
  <si>
    <t>Mann und Frau</t>
  </si>
  <si>
    <t>Arkana</t>
  </si>
  <si>
    <t>9783442132805</t>
  </si>
  <si>
    <t>Juliet Naked</t>
  </si>
  <si>
    <t>9783462042450</t>
  </si>
  <si>
    <t>Lisa Tucker</t>
  </si>
  <si>
    <t>The Song Reader</t>
  </si>
  <si>
    <t>Pocket Books</t>
  </si>
  <si>
    <t>9780743483780</t>
  </si>
  <si>
    <t>Thilo Schleip</t>
  </si>
  <si>
    <t>Laktose-Intoleranz Wenn Milchzucker krank macht</t>
  </si>
  <si>
    <t>9783830432401</t>
  </si>
  <si>
    <t>Florian Illies</t>
  </si>
  <si>
    <t>Generation Golf 2</t>
  </si>
  <si>
    <t>Goldmannn</t>
  </si>
  <si>
    <t>9783442459674</t>
  </si>
  <si>
    <t>Griessnockerl Affäre</t>
  </si>
  <si>
    <t>9783423214988</t>
  </si>
  <si>
    <t>Denis Theriault</t>
  </si>
  <si>
    <t>Siebzehn Silben Ewigkeit</t>
  </si>
  <si>
    <t>9783423247436</t>
  </si>
  <si>
    <t>Die Sehnsucht der Schwalbe</t>
  </si>
  <si>
    <t>9783423129916</t>
  </si>
  <si>
    <t>Volker Klüpfel/Michael Kobr</t>
  </si>
  <si>
    <t>Rauhnacht: Kluftingers neuer Fall</t>
  </si>
  <si>
    <t>9783492052047</t>
  </si>
  <si>
    <t>Schuldig</t>
  </si>
  <si>
    <t>9783492274845</t>
  </si>
  <si>
    <t>Hannes Nygaard</t>
  </si>
  <si>
    <t>Das Dorf in der Marsch</t>
  </si>
  <si>
    <t>9783954511754</t>
  </si>
  <si>
    <t>Karl Albrecht Schachtschneider</t>
  </si>
  <si>
    <t>Die souveränität Deutschlands: Souverän ist, wer frei ist</t>
  </si>
  <si>
    <t>9783864450433</t>
  </si>
  <si>
    <t>Grossmama packt aus</t>
  </si>
  <si>
    <t>3763256792</t>
  </si>
  <si>
    <t>Christa Kössner</t>
  </si>
  <si>
    <t>Handbuch für Singles, die es nicht länger bleiben wollen</t>
  </si>
  <si>
    <t>Windpferd</t>
  </si>
  <si>
    <t>9793893851521</t>
  </si>
  <si>
    <t>Dustin Thomason</t>
  </si>
  <si>
    <t>Virus</t>
  </si>
  <si>
    <t>9783404167630</t>
  </si>
  <si>
    <t>Robert M. Talmar</t>
  </si>
  <si>
    <t>Der verlorene Brief: Gilwenzeit</t>
  </si>
  <si>
    <t>9783404207503</t>
  </si>
  <si>
    <t>Daisy Sisters</t>
  </si>
  <si>
    <t>9783423212885</t>
  </si>
  <si>
    <t>Schwarzkopf&amp;Schwarzkopf</t>
  </si>
  <si>
    <t>Stephan Reimertz</t>
  </si>
  <si>
    <t>Woddy Allen eine Biographie</t>
  </si>
  <si>
    <t>9783499611452</t>
  </si>
  <si>
    <t>Burke Hedges</t>
  </si>
  <si>
    <t>Die Parabel von der Pipline: Wie auch sie sich ein kontinuirlich fließendes Einkommen erschließen</t>
  </si>
  <si>
    <t>9783902114242</t>
  </si>
  <si>
    <t>Prof. Dr. med. Dipl. Psych. Hartmut Göbel</t>
  </si>
  <si>
    <t>Migräne: Neue Wege zur effektiven Vorbeugung und Behandlung</t>
  </si>
  <si>
    <t>9783517066745</t>
  </si>
  <si>
    <t>Englisch: Prüfungs- und Basiswissen der Oberstufe</t>
  </si>
  <si>
    <t>9783833103551</t>
  </si>
  <si>
    <t>Dieter Otten</t>
  </si>
  <si>
    <t>Alles ok wirklich Meinungen Erfahrungen Antworten</t>
  </si>
  <si>
    <t>3-89397-297-7</t>
  </si>
  <si>
    <t>Sauerkraut Koma</t>
  </si>
  <si>
    <t>9783423249874</t>
  </si>
  <si>
    <t xml:space="preserve">Detlef Bluhm </t>
  </si>
  <si>
    <t>Schiffskatzen</t>
  </si>
  <si>
    <t>9783458360117</t>
  </si>
  <si>
    <t>Michael Stark Peter Sandmeyer</t>
  </si>
  <si>
    <t>Wenn die Seele S.O.S. Funkt Flitneßkur gegen Streß und Überlastung</t>
  </si>
  <si>
    <t>3498063367</t>
  </si>
  <si>
    <t>Schweinskopf al Dente</t>
  </si>
  <si>
    <t>9783423214254</t>
  </si>
  <si>
    <t>Schwarzer Humor der große Zitatenschatz - scharfzüngig, boshaft, politisch unkorrekt</t>
  </si>
  <si>
    <t>9783897369177</t>
  </si>
  <si>
    <t>Katja Reider Betina Gotzen-Beek</t>
  </si>
  <si>
    <t>Finchen die Zaubermaus</t>
  </si>
  <si>
    <t>9783473360864</t>
  </si>
  <si>
    <t>Käthe Recheis</t>
  </si>
  <si>
    <t>Sinopah und das Pony</t>
  </si>
  <si>
    <t>9783473520138</t>
  </si>
  <si>
    <t>Anita Ganeri</t>
  </si>
  <si>
    <t>Wahnsinns Wissen Brandheiß die Vulkane</t>
  </si>
  <si>
    <t>9783785538081</t>
  </si>
  <si>
    <t>Lucy Hepburn</t>
  </si>
  <si>
    <t>Kleider machen Bräute</t>
  </si>
  <si>
    <t>9783453410251</t>
  </si>
  <si>
    <t>Der Gefälschte Geldschein: 50 Rätselkrimis</t>
  </si>
  <si>
    <t>Santo Cilauro Tom Gleisner Rob Sitch</t>
  </si>
  <si>
    <t>Molwanien Land des schadhaften Lächelns</t>
  </si>
  <si>
    <t>9783453120136</t>
  </si>
  <si>
    <t>Annelie Botes</t>
  </si>
  <si>
    <t>Berg der verlorenen Träume</t>
  </si>
  <si>
    <t>4026411113401</t>
  </si>
  <si>
    <t>Agustin Sanchez Vidal</t>
  </si>
  <si>
    <t>Kryptum</t>
  </si>
  <si>
    <t>9783423210867</t>
  </si>
  <si>
    <t>Dr. med. S. Schonert-Hirz</t>
  </si>
  <si>
    <t>Alles wollen alles können alles schaffen ENERGY</t>
  </si>
  <si>
    <t>3774232296</t>
  </si>
  <si>
    <t>Rache am Chef Die unterschätzte Macht der Mitarbeiter</t>
  </si>
  <si>
    <t>Jean Little</t>
  </si>
  <si>
    <t>Auf nach Kanada</t>
  </si>
  <si>
    <t>9783791512075</t>
  </si>
  <si>
    <t>Testtraining für Ausbildungsplatzsuchende der 90er Jahre</t>
  </si>
  <si>
    <t>9783821812939</t>
  </si>
  <si>
    <t>Hook</t>
  </si>
  <si>
    <t>Heinz Pollay</t>
  </si>
  <si>
    <t>Das Reiterabzeichen leicht gemacht</t>
  </si>
  <si>
    <t>BLV</t>
  </si>
  <si>
    <t>3405119316</t>
  </si>
  <si>
    <t>Operation Rainbow</t>
  </si>
  <si>
    <t>9783453171862</t>
  </si>
  <si>
    <t>Susannah Kells</t>
  </si>
  <si>
    <t>Das Hexenamulett</t>
  </si>
  <si>
    <t>9783499246500</t>
  </si>
  <si>
    <t>Dan Burstein</t>
  </si>
  <si>
    <t>Die Wahrheit über den Da-Vinci-Code Das Sakrileg entschlüsselt</t>
  </si>
  <si>
    <t>9783442153305</t>
  </si>
  <si>
    <t>Barbara Schlüter</t>
  </si>
  <si>
    <t>Rhetorik für Frauen</t>
  </si>
  <si>
    <t>9783478812047</t>
  </si>
  <si>
    <t>Jack London</t>
  </si>
  <si>
    <t>Wolfsblut Ruf der Wildnis</t>
  </si>
  <si>
    <t>Herrnberger</t>
  </si>
  <si>
    <t>Hannah Green</t>
  </si>
  <si>
    <t>Ich hab dir nie einen Rosengarten versprochen</t>
  </si>
  <si>
    <t>3499141558</t>
  </si>
  <si>
    <t>Alexandra Cordes</t>
  </si>
  <si>
    <t>Und draußen sang der Wind</t>
  </si>
  <si>
    <t>Aldous Huxley</t>
  </si>
  <si>
    <t>Schöne neue Welt</t>
  </si>
  <si>
    <t>3596200261</t>
  </si>
  <si>
    <t>Dieter Boßmann</t>
  </si>
  <si>
    <t>Schüler über die Einheit der Nation</t>
  </si>
  <si>
    <t>3596219361</t>
  </si>
  <si>
    <t>Deutsche Lehrerversammlung Düsseldorf 1927</t>
  </si>
  <si>
    <t>Ortsausschuß</t>
  </si>
  <si>
    <t>Taylor Caldwell</t>
  </si>
  <si>
    <t>Der Anwalt des Teufels</t>
  </si>
  <si>
    <t>3453015827</t>
  </si>
  <si>
    <t>Marcel Pagnol</t>
  </si>
  <si>
    <t>Eine Kindheit in der Provence</t>
  </si>
  <si>
    <t>3784413633</t>
  </si>
  <si>
    <t>Lucy Moore</t>
  </si>
  <si>
    <t>Schloß Wildenstein</t>
  </si>
  <si>
    <t>Hoch Verlag</t>
  </si>
  <si>
    <t>Düsseldorf</t>
  </si>
  <si>
    <t>Deb Loughead</t>
  </si>
  <si>
    <t>Marti und die Wilddiebe</t>
  </si>
  <si>
    <t>Stabenfeldt AB</t>
  </si>
  <si>
    <t>9783941443297</t>
  </si>
  <si>
    <t>Heinrich Albertz</t>
  </si>
  <si>
    <t xml:space="preserve">Nachträge </t>
  </si>
  <si>
    <t>Radius-Verlag</t>
  </si>
  <si>
    <t>3871736643</t>
  </si>
  <si>
    <t>Was heißt schon frigid - Intimtatsachen, die auch jeder Mann kennen sollte</t>
  </si>
  <si>
    <t xml:space="preserve">1. </t>
  </si>
  <si>
    <t>3720512673</t>
  </si>
  <si>
    <t>Michael Weaver</t>
  </si>
  <si>
    <t>Trugbild des Todes</t>
  </si>
  <si>
    <t>9783426604731</t>
  </si>
  <si>
    <t>Henrik Scharling</t>
  </si>
  <si>
    <t>Sverre der Priester - Eine norwegische Kriegsgeschichte aus alter Zeit</t>
  </si>
  <si>
    <t>altdeutsch</t>
  </si>
  <si>
    <t>Frisch gepreßt</t>
  </si>
  <si>
    <t>9783548255880</t>
  </si>
  <si>
    <t>Werner Hofmann</t>
  </si>
  <si>
    <t>Abschied vom Bürgertum - Essays und Reden</t>
  </si>
  <si>
    <t>Edition Suhrkamp</t>
  </si>
  <si>
    <t>Preisreduziertes Mängelexemplar und Namenseintrag auf 1. Seite</t>
  </si>
  <si>
    <t xml:space="preserve">Carl Amery </t>
  </si>
  <si>
    <t>Das Ende der Vorsehung - die gnadenlosen Folgen des Christentums</t>
  </si>
  <si>
    <t>349916874x</t>
  </si>
  <si>
    <t>Johann Heinrich Voß</t>
  </si>
  <si>
    <t>Homers Alias</t>
  </si>
  <si>
    <t>Verlag der Gottaschen Buchhandlung</t>
  </si>
  <si>
    <t>Stuttgart</t>
  </si>
  <si>
    <t>Ursula und Yussuf Assaf-Nowak</t>
  </si>
  <si>
    <t>Arabische Gespenstergeschichten</t>
  </si>
  <si>
    <t>3596228263</t>
  </si>
  <si>
    <t>Klaus Freiherr von Schleinitz</t>
  </si>
  <si>
    <t>Auf Augenhöhe - Ein Lese- und Bilderbuch für Hundefreunde</t>
  </si>
  <si>
    <t>Haag und Herchen</t>
  </si>
  <si>
    <t>9783898463201</t>
  </si>
  <si>
    <t>Sukie Colegrave</t>
  </si>
  <si>
    <t>Yin und Yang</t>
  </si>
  <si>
    <t>Otto Wilhelm Barth Verlag</t>
  </si>
  <si>
    <t>3502671060</t>
  </si>
  <si>
    <t>Francine Prose</t>
  </si>
  <si>
    <t>Die heilige Hausfrau</t>
  </si>
  <si>
    <t>9783442422883</t>
  </si>
  <si>
    <t>Lockruf der Gefahr</t>
  </si>
  <si>
    <t>9783453290846</t>
  </si>
  <si>
    <t>Truddi Chase</t>
  </si>
  <si>
    <t>Aufschrei</t>
  </si>
  <si>
    <t>9783404611331</t>
  </si>
  <si>
    <t>Jon Katz</t>
  </si>
  <si>
    <t>Ein Engel auf vier Pfoten</t>
  </si>
  <si>
    <t>personalisiert mit einem Stempel auf den Äußeren Seitenrändern</t>
  </si>
  <si>
    <t>9783492273510</t>
  </si>
  <si>
    <t>Willi Heinrich</t>
  </si>
  <si>
    <t>Schmetterlinge weinen nicht</t>
  </si>
  <si>
    <t>Richard Wagner</t>
  </si>
  <si>
    <t>Die Walküre der Ring des Nibelungen Erster Tag</t>
  </si>
  <si>
    <t>Tacticus Germania</t>
  </si>
  <si>
    <t>Wilfried Berghahn</t>
  </si>
  <si>
    <t>Die Meistersinger von Nürnberg</t>
  </si>
  <si>
    <t>vereinzelte Seiten weisen Anmerlkungen und zu Beginn unterstreichungen auf</t>
  </si>
  <si>
    <t>Ulla Küster</t>
  </si>
  <si>
    <t>Kleine Geschichten für zwischendurch</t>
  </si>
  <si>
    <t>Engelhorn</t>
  </si>
  <si>
    <t>9783872031822</t>
  </si>
  <si>
    <t>Wanda Bronska Pampuch</t>
  </si>
  <si>
    <t>Ohne Mass und Ende</t>
  </si>
  <si>
    <t>Sonderausgabe Europäischer Buchklub</t>
  </si>
  <si>
    <t>Wiedersehen bei Brenda</t>
  </si>
  <si>
    <t>3426627671</t>
  </si>
  <si>
    <t>Norman Vincent Peale</t>
  </si>
  <si>
    <t>Lebe positiv - was die aktive Vorstellungskraft bewirkt</t>
  </si>
  <si>
    <t>9783404661688</t>
  </si>
  <si>
    <t>Yvette Z´Graggen</t>
  </si>
  <si>
    <t>Zerbrechendes Glas</t>
  </si>
  <si>
    <t>9783596247370</t>
  </si>
  <si>
    <t>Alain</t>
  </si>
  <si>
    <t>Die Pflicht, glücklich zu sein</t>
  </si>
  <si>
    <t>Suhrkamp Verlag</t>
  </si>
  <si>
    <t>3518014706</t>
  </si>
  <si>
    <t>Petra Reski</t>
  </si>
  <si>
    <t>Ein Land so weit</t>
  </si>
  <si>
    <t>Kurt Koszyk</t>
  </si>
  <si>
    <t>Dokumente und Materialien zur Kulturgeschichte der deutschen Arbeiterbewegung 1848-1918</t>
  </si>
  <si>
    <t>Büchergilde</t>
  </si>
  <si>
    <t>Schutzumschlag an ein paar Stellen eingerissen, Zustand sonst altersgemäß sehr gut</t>
  </si>
  <si>
    <t>3763222030</t>
  </si>
  <si>
    <t>Warte, ruhest auch du</t>
  </si>
  <si>
    <t>9783404143757</t>
  </si>
  <si>
    <t>W. Sommerset Maugham</t>
  </si>
  <si>
    <t>Der Menschen Hörigkeit</t>
  </si>
  <si>
    <t>9783257202984</t>
  </si>
  <si>
    <t>Die Muschelsucher</t>
  </si>
  <si>
    <t>9783499131806</t>
  </si>
  <si>
    <t>Sara Paretsky</t>
  </si>
  <si>
    <t>Schadenersatz</t>
  </si>
  <si>
    <t>Stern Krimi Bibliothek</t>
  </si>
  <si>
    <t>9783570068298</t>
  </si>
  <si>
    <t>Peter Ramsauer</t>
  </si>
  <si>
    <t>Olympia in der Tasche - Treffpunkt München 1972</t>
  </si>
  <si>
    <t>3550064411</t>
  </si>
  <si>
    <t>Alice Ekert-Rotholz</t>
  </si>
  <si>
    <t>Füchse in Kamakura</t>
  </si>
  <si>
    <t>Tal der Träume</t>
  </si>
  <si>
    <t>3404147863</t>
  </si>
  <si>
    <t>Eine Chance für Stella</t>
  </si>
  <si>
    <t>3473347043</t>
  </si>
  <si>
    <t>Commissario Brunettis fünfter Fall</t>
  </si>
  <si>
    <t>9783257231182</t>
  </si>
  <si>
    <t>Albert Engelhardt</t>
  </si>
  <si>
    <t>Keine Startbahn West - Protestbewegung in einem überlasteten Ballungsraum</t>
  </si>
  <si>
    <t>Marxismus aktuell</t>
  </si>
  <si>
    <t>3880126542</t>
  </si>
  <si>
    <t>Frau aus Glas</t>
  </si>
  <si>
    <t>ausgeschiedenes Büchereibuch, sonst sehr guter Zustand</t>
  </si>
  <si>
    <t>3453180445</t>
  </si>
  <si>
    <t>Elisabeth Kislinger und Helga Hofmann</t>
  </si>
  <si>
    <t>Feng Shui im Garten</t>
  </si>
  <si>
    <t>9783809420750</t>
  </si>
  <si>
    <t>Cornelia Adam und andere</t>
  </si>
  <si>
    <t>Hackfleisch - Rezepte aus aller Welt</t>
  </si>
  <si>
    <t>Bellavista</t>
  </si>
  <si>
    <t>9783898935333</t>
  </si>
  <si>
    <t>Eleonore Höfner</t>
  </si>
  <si>
    <t>Das bewegte Paar - Ein Survival-Guide im Beziehungsdschungel</t>
  </si>
  <si>
    <t>3805207069</t>
  </si>
  <si>
    <t>Harm de Jonge</t>
  </si>
  <si>
    <t>Peers Insel</t>
  </si>
  <si>
    <t>Momnibus Verlag</t>
  </si>
  <si>
    <t>3570206386</t>
  </si>
  <si>
    <t>Werner Fläschendräger</t>
  </si>
  <si>
    <t>Martin Luther</t>
  </si>
  <si>
    <t>3323002857</t>
  </si>
  <si>
    <t>Elisabeth Lavold</t>
  </si>
  <si>
    <t>Stricken mit Wikingermustern</t>
  </si>
  <si>
    <t>9783828923218</t>
  </si>
  <si>
    <t>Annelore Wilke und Bernd Haß</t>
  </si>
  <si>
    <t>Geburtstagsfeste mitgestalten - originelle Ideen für Freunde, Verwandte und Nachbarn</t>
  </si>
  <si>
    <t>9783806818765</t>
  </si>
  <si>
    <t>Janusz Piekalkiewicz</t>
  </si>
  <si>
    <t>Die Schlacht von Monte Casino</t>
  </si>
  <si>
    <t>Bechtermünz Verlag</t>
  </si>
  <si>
    <t>9783860479094</t>
  </si>
  <si>
    <t>Richard Mason</t>
  </si>
  <si>
    <t>Denn der Wind kann nicht lesen</t>
  </si>
  <si>
    <t>Charles Dickens</t>
  </si>
  <si>
    <t>Oliver Twist</t>
  </si>
  <si>
    <t>Dennis L. McKiernan</t>
  </si>
  <si>
    <t>Elfen Schiffe</t>
  </si>
  <si>
    <t>9783453532472</t>
  </si>
  <si>
    <t>Emma McLaughlin Nicola Kraus</t>
  </si>
  <si>
    <t>Liebe auf eigene Gefahr</t>
  </si>
  <si>
    <t>9783442466528</t>
  </si>
  <si>
    <t>Jill Dawson</t>
  </si>
  <si>
    <t>Edith &amp; Fred</t>
  </si>
  <si>
    <t>9783499230844</t>
  </si>
  <si>
    <t>Mäuse im Klavier und andere liebe Gäste</t>
  </si>
  <si>
    <t>Marcel Proust</t>
  </si>
  <si>
    <t>A L'ombre des jeunes filles en fleurs</t>
  </si>
  <si>
    <t>Gallimard</t>
  </si>
  <si>
    <t>Kurt G. Blüchel</t>
  </si>
  <si>
    <t>Heilen verboten - töten erlaubt: Die organisierte Kriminalität im Gesundheitswesen</t>
  </si>
  <si>
    <t>9783442153275</t>
  </si>
  <si>
    <t>Die Rückkehr des Tanzlehrers</t>
  </si>
  <si>
    <t>Giambanco, V. M.</t>
  </si>
  <si>
    <t>Knaur Taschenbuch</t>
  </si>
  <si>
    <t>de</t>
  </si>
  <si>
    <t>240x170 mm</t>
  </si>
  <si>
    <t>RM Buch u. Medien Vertriebsges.</t>
  </si>
  <si>
    <t>noch Original eingeschweißt, wurde somit nie gelesen</t>
  </si>
  <si>
    <t>Shaffer, Peter</t>
  </si>
  <si>
    <t>Amadeus - (Fremdsprachentexte)</t>
  </si>
  <si>
    <t>Reclam, Philipp</t>
  </si>
  <si>
    <t>en</t>
  </si>
  <si>
    <t>Morris, Desmond</t>
  </si>
  <si>
    <t>Heyne, W</t>
  </si>
  <si>
    <t>215x140 mm</t>
  </si>
  <si>
    <t>Heller, Eva</t>
  </si>
  <si>
    <t>FISCHER Taschenbuch</t>
  </si>
  <si>
    <t>120x190 mm</t>
  </si>
  <si>
    <t>Fielding, Helen</t>
  </si>
  <si>
    <t>Bridget Jones - Verrückt nach ihm</t>
  </si>
  <si>
    <t>Bridget Jones' Baby - Die Bridget-Jones-Serie 3 - Roman</t>
  </si>
  <si>
    <t>206x135 mm</t>
  </si>
  <si>
    <t>Büchner-Preis-Reden 1951-1971</t>
  </si>
  <si>
    <t>Ali, Tariq</t>
  </si>
  <si>
    <t>187x120 mm</t>
  </si>
  <si>
    <t>Brambilla, Rosanna; Crotti, Alessandra; Albertini, Lucia von; DiFonzo-Weil, Teresa; Forner, Werner; Hörburger, Michael</t>
  </si>
  <si>
    <t>Buongiorno!. Ein Italienischlehrwerk für Erwachsene (Für den Erwerb des VHS-Zertifikats Italienisch) / Tl 1: Italienisch für Anfänger</t>
  </si>
  <si>
    <t>245x175 mm</t>
  </si>
  <si>
    <t>Machenheimer, Detlef; Kersten, Reinhold</t>
  </si>
  <si>
    <t>Bassermann, F</t>
  </si>
  <si>
    <t>235x165 mm</t>
  </si>
  <si>
    <t>Raye, Kimberly</t>
  </si>
  <si>
    <t>Egmont LYX</t>
  </si>
  <si>
    <t>180x124 mm</t>
  </si>
  <si>
    <t>Schwartz, Theo</t>
  </si>
  <si>
    <t>SchneiderBuch</t>
  </si>
  <si>
    <t>181x121 mm</t>
  </si>
  <si>
    <t>Mit einem Pferd durch dick und dünn /Applaus für Bille und Zottel</t>
  </si>
  <si>
    <t>187x125 mm</t>
  </si>
  <si>
    <t>Parragon Books Ltd Bath</t>
  </si>
  <si>
    <t>Barbie - Wildes Feuer</t>
  </si>
  <si>
    <t>Divakaruni, Chitra B</t>
  </si>
  <si>
    <t>Bengalische Sterne</t>
  </si>
  <si>
    <t>Diana TB</t>
  </si>
  <si>
    <t>Moody, Bill</t>
  </si>
  <si>
    <t>Moulin Rouge, Las Vegas - Kriminalroman. Ein Fall für Evan Horne (2)</t>
  </si>
  <si>
    <t>Richter, Justus</t>
  </si>
  <si>
    <t>Öffentliche Mülleimer dürfen nicht sexuell belästigt werden - Die wahnwitzigsten Gesetze aus aller Welt</t>
  </si>
  <si>
    <t>186x125 mm</t>
  </si>
  <si>
    <t>Polyglott</t>
  </si>
  <si>
    <t>197x112 mm</t>
  </si>
  <si>
    <t>Bäume und Co - Kids entdecken den Wald</t>
  </si>
  <si>
    <t>Spinnen, Burkhard</t>
  </si>
  <si>
    <t>Schöffling</t>
  </si>
  <si>
    <t>Gerber, Michael</t>
  </si>
  <si>
    <t>183x115 mm</t>
  </si>
  <si>
    <t>Seynsche, Gabriele</t>
  </si>
  <si>
    <t>Café Carl - Lauter ganz normal Verrückte - Die Geschichte eines Kaffeehauses und seines Wirts Carl, ein Frankfurt-Roman</t>
  </si>
  <si>
    <t>Dielmann, Axel</t>
  </si>
  <si>
    <t>Pirinçci, Akif</t>
  </si>
  <si>
    <t>Cave Canem - Ein Felidae-Roman</t>
  </si>
  <si>
    <t>Stalmann, Franziska</t>
  </si>
  <si>
    <t>Vieten, Michael E.</t>
  </si>
  <si>
    <t>Christine Bernard. Das Eisrosenkind</t>
  </si>
  <si>
    <t>Acabus Verlag</t>
  </si>
  <si>
    <t>Schultz, Hartwig</t>
  </si>
  <si>
    <t>Clemens Brentano - (Literaturstudium)</t>
  </si>
  <si>
    <t>Price, Richard</t>
  </si>
  <si>
    <t>188x124x41 mm</t>
  </si>
  <si>
    <t>MacBride, Allen R</t>
  </si>
  <si>
    <t>Reading, Mario</t>
  </si>
  <si>
    <t>Corpus maleficus</t>
  </si>
  <si>
    <t>Blanvalet Taschenbuch Verlag</t>
  </si>
  <si>
    <t>Bergstrom, Scott</t>
  </si>
  <si>
    <t>ROWOHLT Taschenbuch</t>
  </si>
  <si>
    <t>210x135 mm</t>
  </si>
  <si>
    <t>Sahler, Martina</t>
  </si>
  <si>
    <t>Pettersson, Vicki</t>
  </si>
  <si>
    <t>Dünnebier, Anna; Paczensky, Gert von</t>
  </si>
  <si>
    <t>190x125 mm</t>
  </si>
  <si>
    <t>Verlag Herder</t>
  </si>
  <si>
    <t>Baumhaus</t>
  </si>
  <si>
    <t>Wood, Barbara</t>
  </si>
  <si>
    <t>Mackesy, Serena</t>
  </si>
  <si>
    <t>Pearse, Lesley</t>
  </si>
  <si>
    <t>Kluge, Manfred</t>
  </si>
  <si>
    <t>Koch, Marianne</t>
  </si>
  <si>
    <t>228x153 mm</t>
  </si>
  <si>
    <t>Sheldon, Sidney</t>
  </si>
  <si>
    <t>Franciskowsky, Hans G</t>
  </si>
  <si>
    <t>121x181 mm</t>
  </si>
  <si>
    <t>Mankell, Henning</t>
  </si>
  <si>
    <t>dtv Verlagsgesellschaft</t>
  </si>
  <si>
    <t>191x120 mm</t>
  </si>
  <si>
    <t>Tügel, Hanne</t>
  </si>
  <si>
    <t>180x115 mm</t>
  </si>
  <si>
    <t>Sahm, Nina</t>
  </si>
  <si>
    <t>Das letzte Polaroid</t>
  </si>
  <si>
    <t>Schmitt, Gudrun; Iparraguirre de las Casas, Ute</t>
  </si>
  <si>
    <t>210x145 mm</t>
  </si>
  <si>
    <t>Gruber, Robert</t>
  </si>
  <si>
    <t>Pabel-Moewig</t>
  </si>
  <si>
    <t>188x123 mm</t>
  </si>
  <si>
    <t>Chang, Eileen</t>
  </si>
  <si>
    <t>Ullstein Taschenbuch Verlag</t>
  </si>
  <si>
    <t>Cowan, Anna</t>
  </si>
  <si>
    <t>Büchner, Barbara</t>
  </si>
  <si>
    <t>Hermand, Jost</t>
  </si>
  <si>
    <t>Das Junge Deutschland</t>
  </si>
  <si>
    <t>Men's Health: Das Muskel-Manual - Der ultimative Trainings-Guide</t>
  </si>
  <si>
    <t>213x150 mm</t>
  </si>
  <si>
    <t>Egmont Schneiderbuch</t>
  </si>
  <si>
    <t>210x148 mm</t>
  </si>
  <si>
    <t>Nesser, Håkan</t>
  </si>
  <si>
    <t>Das vierte Opfer/Das falsche Urteil - Zwei Romane in einem Band</t>
  </si>
  <si>
    <t>btb Verlag (TB)</t>
  </si>
  <si>
    <t>187x118 mm</t>
  </si>
  <si>
    <t>Pospisil-Dymek, Edita</t>
  </si>
  <si>
    <t>Die BILD-Diät</t>
  </si>
  <si>
    <t>Südwest Verlag</t>
  </si>
  <si>
    <t>240x180 mm</t>
  </si>
  <si>
    <t>Das erfolgreiche Trio vom Niederrhein mit einem mitreißenden Krimi Was der Schänzer Bauer Dellmann in seiner Erntemaschine findet, ist gewiss nicht auf dem Feld gewachsen. Es ist ein schauerlicher Fund, ein menschlicher Fuß im Herrenschuh. Toppe und sein Team vom KLever Kommisariat 11 müssen, um diesen Mord zu enträtseln, ihre Ermittlungen in alle Richtungen ausdehnen. So krempeln sie auch auf der Schanz das Unterste zuoberst, was die mürrischen Dörfler nur noch abweisender werden lässt. Selbst als das Rheinhochwasser bedrohlich steigt, verharren die Schänzer nach alter Sitte eingeschlossen hinter Flutmauern. Unter ihnen ist der Mörder</t>
  </si>
  <si>
    <t>ausgeschiedenes Büchereiexemplar Im ehemals mondänen Badeort Brighton ereignet sich eine groteske Mordserie an Frauen. Allen Opfern wurde ihr Ableben auf Zetteln der Pathologie angekündigt. Darauf ist sowohl Todesart als auch - zeitpunkt vermerkt. Für die unkonventionelle Polizistin Inspector Dorothy Marley wird der Fall bald zur Bewährungsprobe. Immer wieder hat sie mit den Anfeindungen ihres Konkurrenten Inspector Peter Bloomfield zu kämpfen. Dann erhält Dorothy einen Hinweis auf ein Verbrechen, das sich vor Jahren in Long Weldon ereignet hat - einem Ort, in dem Peter Bloomfield kein unbekannter ist... In bester britischer Erzähltradition, mit einer atemberaubenden Handlung skurrilen Charakteren und einem dramatischen Showdown an der Steilküste von Südengland</t>
  </si>
  <si>
    <t>- MÄNGELEXEMPLAR - Ein kleiner Buchladen, ein dunkles Geheimnis und eine unvergessliche Liebesgeschichte Roberta liebt Bücher. Sie liebt es, in alten Ausgaben zu stöbern und dabei unerwartete Entdeckungen zu machen: Briefe, Notizen oder Postkarten, die die Vorbesitzer zwischen den Seiten vergessen haben. Als sie in einem alten Koffer ihrer Großmutter einen wahren Bpcherschatz findet, stößt sie auf einen Liebesbrief, der all ihre birherigen Fundstücke in den Schatten stellt. Es ist ein Brief ihres im Krieg gefallenen Großvaters - doch datiert er aus einer Zeit, als dieser schon längst hätte tot sein müssen. Roberta ahnt, dass ihre geliebte Großmutter etwas Ungeheuerliches vor der Familie verborgen hat. Sie begibt sich auf die Spur eines Geheimnisses, dessen Wurzeln in die Vierzigerjahre zurückreichen - auf eine entlegene Farm, wo eine Frau in den Wirren des Krieges eine folgenschwere Entscheidung trifft...</t>
  </si>
  <si>
    <t>Im kleinen Städtchen Nazareth fing die Geschichte an: Dort freite um Maria Joseph, der Zimmermann. Der Braut erschien ein Engel vom Himmel, hell und rein, der sagte zu Maria:"Du sollst nicht furchtsam sein!" Das erste Weihnachtsfest erzählt die Geschichte vonder beschwerlichen Reise, die Maria und Joseph nach Bethlehem führt, und von Jesu Geburt in einem bescheidenen Stall. Die liebevoll illustrierte Nachdichtung des Weihnachtsevangeliums ruft uns ins Gedächtnis, warum wir alle Jahre wieder Weihnachten feiern."</t>
  </si>
  <si>
    <t>- MÄNGELEXEMPLAR - Cass Bainbridge hat Angst. Die Flut an anonymen Anrufen und Mails reißt nicht ab. Den ersten Anruf hatte sie noch als Zufall abgetan, die ersten Mails einfach gelöscht. Doch jetzt fühlt sie sich beobachtet und verfolgt. Als die junge Beth in Ihr Leben tritt, ist Cass erleichtert. Denn indem sie sich um die scheinbar hilflose Studentin kümmert, kann sie ihre Ängste verdrängen. Aber dann entsteht eine Nähe, von der Cass sich ebenfalls bedroht fühlt...</t>
  </si>
  <si>
    <t>Ana Aslan - das Leben der weltberühmten Wissenschaftlerin, ihre Formel, ihr mysteriöses Verschwinden Seit dem tragischen Tod ihrer großen Liebe Michael wiidmet die junge Ärztin und leidenschaftliche Wissenschaftlerin Prof. Dr. Ana Aslan ihre Forschung nur noch einem Ziel: das menschlche Leben zu verlängern - und sie hat erfolg: sie entwickelt eine spektakuläre Regenerationstherapie und sie glaubt, die Formel für das ewige Leben entdeckt zu haben. Doch ana Asla hat einen gefährlichen Gegner, das kommunistische Regiem, das ihr das Leben und Forschen zur Hölle macht. 1985: Ana Aslan ist jetzt überzeugt, dass sie das Geheimnis der unsterblichkeit gelöst hat und plant ihre Flucht aus Rumänien, damit die Formel nicht in die Hände des verbrecherischen Ceausescu-Regiems fällt. Sie weiß, dass sie in höchster Gefahr schwebt, wenn die Securitate von ihrem Plan erfährt...</t>
  </si>
  <si>
    <t>Was weißt du über Pferde und Ponys? Egal ob du dich sehr gut oder noch kaum auskennst - willst du deine Lieblingstiere besser kennenlernen? Sandy Ransford erklärt dir in ihrem neuen Faktenbuch alles, was du über Pferde und Ponys wissen solltest. Erfahre... ...wie sie denken und fühlen, wie sie kommunizieren - und wie du sie besser verstehst, wie sie leben sollten, wie sie sich entwickelt haben und vieles mehr! Lies dieses Buch und du bist ein Pferdeexperte!</t>
  </si>
  <si>
    <t>"Die Welt wäre eine Unsinn, die ganze Schöpfung ein Unding, ohne unsterblichkeit!" Carl Friedrich Gauß (1777-1855) aus Braunschweis, eines der größten mathematischen Genies aller Zeiten, lebte als Professor für Astronomie in Göttingen den schlichten Arbeitsalltag jener großen Menschen, die stets mehr zu geben als zu fordern bereit sind. Horst Mischling (1909-2003), Initiator und Mitbegründer der Göttinger Gauß-Gesellschaft, hat im vorliegenden Buch die interessantesten Episoden und Ereignisse aus dem Leben des "Princeps Mathematcorum" zusammengestellt und gibt durch die Aneinanderreihung von Anekdoten, Briefauszügen, Kommentaren und Berichten ein lebendiges, leicht lesbares, aber dennoch mit großer Sachkenntnis verfasstes Lebensbild des großen Wissenschaftlers. Es führt den Leser von den Schultagen des kleinen Gauß bis zu den Sternstunden und auch zu den letzten Stunden seines Lebens</t>
  </si>
  <si>
    <t>Highlights der Rechtsprechung Die spektakulärsten Rechtsfälle, Klagen, Urteile und die kuriosesten Geschichten aus der Welt des Rechts. Ein Buch zwischen Schmerzensgeld und Schadenfreude, zwischen BGB und Bayrischer Verfassung, zwischen Gesetz und Richter, Kläger und Angeklagten. Mit großem juristischem Quiz</t>
  </si>
  <si>
    <t>Rat und Hilfe rund um den Hund Der Hund ist das älteste Haustier. Er ist ein lebendiges Wesen, das seiner menschlichen Familie treu ergeben ist und einen Anspruch auf artgerechte Haltung und Zuwendung hat. Dieses Buch hilft Ihnen dabei. Es informiert ausführlich über: die richtige Ernährung des Hundes, Fell- und Nagelpflege, Reisen mit dem Hund, das Jagd- und Spielverhalten, Krankheiten und die richtige Behandlung, die wichtigsten Hunderassen mit ihren Wesensmerkmalen und vieles mehr. Zahlreiche Illustrationen, Frage- und Antworten-Rubriken, ausführliche Checklisten und Übersichten runden diesen umfassenden Ratgeber ab.</t>
  </si>
  <si>
    <t>Der Ferienjob Was führt Chrissy im Schilde? Auch während der Sommerferien muss Amanda für die Schule lernen. Deswegen stellen ihre Eltern Chrissy als Babysitter für Amandas Geschwister ein. Auf den ersten Blick scheint sie perfekt, doch Amanda traut ihr nicht. Und dann beobachtet sie etwas, das Beweis genug sein sollte, dass mit Chrissy etwas nicht stimmt - doch niemand glaubt Amanda Blutiges Casting Eine Modenschau im Kaufhaus ihres Vaters: Das ist Revas Chance. Wenn sie es schafft eine glamuröse Show zu organisieren, wird sie allein im Mittelpunkt der Aufmerksamkeit aller stehen. Doch plötzlich läuft nichts mehr wie es soll. Eine Reihe mysteriöser Mordfälle durchkreuzt Revas Pläne und schlielich muss sie selbst um ihr Leben fürchten</t>
  </si>
  <si>
    <t>personalisiert, Adresse des Vorbesitzers Der Aufbau und die Funktionsweise des Körpers, seine Organe vom Herzen bis zur Haut, Sinne, Nerven und Gehirn, Gesundheitsvorsorge und Medizin - all diese Themen werden in kurzen Fragen und klaren Antworten für Kinder und Jugendliche verständlich erklärt</t>
  </si>
  <si>
    <t>personaliesiert mit Namen leichte Gebrauchsspuren auf dem Hardcover 'Dellen klein' ansonsten Zustand wie neu</t>
  </si>
  <si>
    <t>deutliche Gebrauchsspuren am Schutzumschlag Seiten vergilbt</t>
  </si>
  <si>
    <t>personalisierte Geburtstagsgrüße "Herzlichen Glückwunsch zu deinem Geburtstag wünscht dir Joachim" ansonsten leichte Gebrauchspuren an den Ecken vom Hardcover</t>
  </si>
  <si>
    <t>an der Unterseite befindet sich ein schmaler schwarzer Streifen die Buchecken des Covers sind geknickt</t>
  </si>
  <si>
    <t>ehemaliges Büchereibuch, entsprechende Aufkleber vorhanden altersbedingte Gebrauchsspuren</t>
  </si>
  <si>
    <t>personalisierte Geburtstagsgrüße "30.06.1995 Alles Liebe zum Geburtstag…und ein paar gute Tips können ja nie schaden… Britta und Holger" ansonsten wie neu</t>
  </si>
  <si>
    <t>personalisiert "Für Marina von Iris Freiburg d. 11.5.1989 mit großem Dank für die telephonischen Ratschläge, Kopfwaschaktionen und Ermunterungen."</t>
  </si>
  <si>
    <t>K)ein Mann für Mutti</t>
  </si>
  <si>
    <t>Turms der Unsterbliche</t>
  </si>
  <si>
    <t>Jochen Till</t>
  </si>
  <si>
    <t>Cover am unteren Rand beschädigt, erste Seite fleckig und personalisiert mit dem Vornahmen anonsten sehr guter Zustand</t>
  </si>
  <si>
    <t>Sehr guter Zustand inkl.Zusatzheft "Rätsel und  Fragen rund um die Ponyhofgeschichten</t>
  </si>
  <si>
    <t>jedoch personalisiert "Zur Erinnerung an die Kommunion Oma+Opa"</t>
  </si>
  <si>
    <t>sehr guter Zustand - MÄNGELEXEMPLAR -</t>
  </si>
  <si>
    <t>personaliserte Signierung "Für Birgitt! Alles gute Tine Wittler"</t>
  </si>
  <si>
    <t>guter Zustand Außenseiten fleckig</t>
  </si>
  <si>
    <t>Guter bis sehr guter Zustand, jedoch verfärbung der Seiten vorhanden ehemaliges Büchereibuch</t>
  </si>
  <si>
    <t>pl</t>
  </si>
  <si>
    <t>fr</t>
  </si>
  <si>
    <t>es</t>
  </si>
  <si>
    <t>nl</t>
  </si>
  <si>
    <t>ehem. Bibliotheksbuch entsprechende Aufkleber / Stempel vorhanden Das Buch ist in einem einwandfreien Zustand</t>
  </si>
  <si>
    <t>Original eingeschweißt Buch stammt aus einem Abverkauf Restposten einer Buchhandlung - ungelesen Sollte wieder erwarten Gebrauchsspuren vorhanden sein, stammen diese von der Lagerung bzw. Transport</t>
  </si>
  <si>
    <t>Warum sagen sie nicht, was Sie meinen?" Jobtalk: Wie sie lernen, am Arbeitsplatz miteinander zu reden</t>
  </si>
  <si>
    <t>Konstantin Richter</t>
  </si>
  <si>
    <t>Ausgesondert aus einer Schulbücherei entsprechender Stempel auf der ersten Seite</t>
  </si>
  <si>
    <t>ohne Zugabe</t>
  </si>
  <si>
    <t>Als unser Kunde tot umfiel…" 25 knifflige Führungsprobleme und ihre nachhaltigen Lösungen</t>
  </si>
  <si>
    <t>Manchmal wünschte ich mir Flügel</t>
  </si>
  <si>
    <t>Kommissar Kugelblitz: Die rote Socke</t>
  </si>
  <si>
    <t>Die Sekte</t>
  </si>
  <si>
    <t>ready for boarding" Fliegen mit Tomatensaft und Turbulenzen</t>
  </si>
  <si>
    <t>Franz haiß ich, Franz pleib ich" Das Sickingen-Lesebuch</t>
  </si>
  <si>
    <t>Aufkleber auf der Rückseite teilweise entfernt ein Zahleneintrag auf der ersten Seite</t>
  </si>
  <si>
    <t>Frühstück um Sechs</t>
  </si>
  <si>
    <t>Tabea Bach</t>
  </si>
  <si>
    <t>Preisreduziertes Mängelexemplar Namenseintrag</t>
  </si>
  <si>
    <t>Scott MvBain</t>
  </si>
  <si>
    <t>Die grossen Meister: Europäische Erzähler des 20. Jahrhunderts Band</t>
  </si>
  <si>
    <t>Andrea Cordes</t>
  </si>
  <si>
    <t>Rudernde Hunde</t>
  </si>
  <si>
    <t>und dann kam Joselle</t>
  </si>
  <si>
    <t>Nachträge</t>
  </si>
  <si>
    <t>Carl Amery</t>
  </si>
  <si>
    <t>Die Zwillinge</t>
  </si>
  <si>
    <t>Detlef Bluhm</t>
  </si>
  <si>
    <t>Kategorie</t>
  </si>
  <si>
    <t>booklokker</t>
  </si>
  <si>
    <t>momox</t>
  </si>
  <si>
    <t>rebuy</t>
  </si>
  <si>
    <t>Datum</t>
  </si>
  <si>
    <t>Bestell-Nummer</t>
  </si>
  <si>
    <t>Einzelpreis</t>
  </si>
  <si>
    <t>Brandherd - Band 9 - Ein Kay-Scarpetta-Roman</t>
  </si>
  <si>
    <t>Seegrund Kluftingers dritter Fall</t>
  </si>
  <si>
    <t>Herzblut Kluftingers siebter Fall</t>
  </si>
  <si>
    <t>Ludwig Wittgenstein Tractatus logico-philosophicus - Logische-philosophische Abhandlung</t>
  </si>
  <si>
    <t>Bretonische Brandung</t>
  </si>
  <si>
    <t>Cupido</t>
  </si>
  <si>
    <t>Auf dem Jakobsweg - Tagebuch einer Pilgerreise nach Santiago de Compostela</t>
  </si>
  <si>
    <t>Das Ende der Geduld - Konsequent gegen jugendliche Gewalttäter</t>
  </si>
  <si>
    <t>Wilhelm Fischer</t>
  </si>
  <si>
    <t>Fußball Weltmeisterschaft England 1966</t>
  </si>
  <si>
    <t>Fischer Verlag</t>
  </si>
  <si>
    <t>Selma Lagerlöf</t>
  </si>
  <si>
    <t>Wunderbare Reise des Nils Holgersson mit den Wildgänsen</t>
  </si>
  <si>
    <t>Riss im Papierschutz Umschlag</t>
  </si>
  <si>
    <t>Otto Betz  und Rainer Riesner</t>
  </si>
  <si>
    <t>Jesus Qumran und der Vatikan Klarstellungen</t>
  </si>
  <si>
    <t>Brunnen Verlag</t>
  </si>
  <si>
    <t>Orhan Pamuk</t>
  </si>
  <si>
    <t>Das neue Leben</t>
  </si>
  <si>
    <t>Reeper Wahn</t>
  </si>
  <si>
    <t>9783596165889</t>
  </si>
  <si>
    <t>Wolfgang Schmidbauer</t>
  </si>
  <si>
    <t>Du verstehst mich nicht Die Semantik der Geschlechter</t>
  </si>
  <si>
    <t>3498062581</t>
  </si>
  <si>
    <t>Aneva Stout</t>
  </si>
  <si>
    <t>Die Liste ein Liebesroman in781 Kapiteln</t>
  </si>
  <si>
    <t>9783453352285</t>
  </si>
  <si>
    <t>Nina Deissler</t>
  </si>
  <si>
    <t>So verlieben sie sich richtig</t>
  </si>
  <si>
    <t>humboldt</t>
  </si>
  <si>
    <t>9783869104751</t>
  </si>
  <si>
    <t>Lale Akgün</t>
  </si>
  <si>
    <t>Tante Semra im Leberkäseland</t>
  </si>
  <si>
    <t>9783596181230</t>
  </si>
  <si>
    <t>Christine Nöstliinger</t>
  </si>
  <si>
    <t>Lollipop</t>
  </si>
  <si>
    <t>Beltz und Gelberg</t>
  </si>
  <si>
    <t>3407780087</t>
  </si>
  <si>
    <t>Siba Shakib</t>
  </si>
  <si>
    <t>Nach Afghanistan kommt Gott nur noch zum weinen</t>
  </si>
  <si>
    <t>9783828970946</t>
  </si>
  <si>
    <t>GrabesGrün</t>
  </si>
  <si>
    <t>9783596175420</t>
  </si>
  <si>
    <t>Norder Moor</t>
  </si>
  <si>
    <t>9783404148578</t>
  </si>
  <si>
    <t>Udo Ulfkotte</t>
  </si>
  <si>
    <t>Wirtschaftskrieg - Wie Geheimdienste deutsche Arbeitsplätze vernichten</t>
  </si>
  <si>
    <t>einige wenige Stellen mit gelbem Textmarker markiert, sonst sehr guter Zustand</t>
  </si>
  <si>
    <t>9783942016346</t>
  </si>
  <si>
    <t>Max Frisch</t>
  </si>
  <si>
    <t>Andorra</t>
  </si>
  <si>
    <t>9783518367773</t>
  </si>
  <si>
    <t>John Griesemer</t>
  </si>
  <si>
    <t>Rausch</t>
  </si>
  <si>
    <t>9783492242264</t>
  </si>
  <si>
    <t>Allie kommt groß raus</t>
  </si>
  <si>
    <t>9783570135310</t>
  </si>
  <si>
    <t>Allie setzt sich durch</t>
  </si>
  <si>
    <t>9783570135303</t>
  </si>
  <si>
    <t>Eine Freundin für Allie</t>
  </si>
  <si>
    <t>9783570135297</t>
  </si>
  <si>
    <t>Jon Krakauer</t>
  </si>
  <si>
    <t>In eisige Höhen</t>
  </si>
  <si>
    <t>Malik</t>
  </si>
  <si>
    <t>3890291104</t>
  </si>
  <si>
    <t>Bruno Bandulet</t>
  </si>
  <si>
    <t>Beuteland - Die systematische Plünderung Deutschlands seit 1945</t>
  </si>
  <si>
    <t>Einige Stellen sind mit gelbem Textmarker markiert, sonst top Zustand</t>
  </si>
  <si>
    <t>9783864453076</t>
  </si>
  <si>
    <t>Der ultimative Ratgeber für alles</t>
  </si>
  <si>
    <t>9783785760550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</si>
</sst>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Red]\-#,##0.00\ &quot;€&quot;"/>
    <numFmt numFmtId="164" formatCode="#,##0.00&quot; €&quot;"/>
    <numFmt numFmtId="165" formatCode="#,##0.00&quot; DM&quot;"/>
    <numFmt numFmtId="166" formatCode="#,##0.00\ [$€-1]"/>
    <numFmt numFmtId="167" formatCode="#,##0.00\ &quot;€&quot;"/>
    <numFmt numFmtId="168" formatCode="#,##0.00\ _€"/>
    <numFmt numFmtId="169" formatCode="0.00_ ;[Red]\-0.00\ "/>
  </numFmts>
  <fonts count="18" x14ac:knownFonts="1">
    <font>
      <sz val="10"/>
      <name val="Arial"/>
      <family val="2"/>
    </font>
    <font>
      <b/>
      <sz val="11"/>
      <color indexed="8"/>
      <name val="Calibri"/>
      <family val="2"/>
    </font>
    <font>
      <b/>
      <sz val="18"/>
      <color indexed="56"/>
      <name val="Cambria"/>
      <family val="2"/>
    </font>
    <font>
      <b/>
      <sz val="15"/>
      <color indexed="56"/>
      <name val="Calibri"/>
      <family val="2"/>
    </font>
    <font>
      <b/>
      <sz val="10"/>
      <name val="Arial"/>
      <family val="2"/>
    </font>
    <font>
      <b/>
      <sz val="10"/>
      <color indexed="10"/>
      <name val="Arial"/>
      <family val="2"/>
    </font>
    <font>
      <b/>
      <sz val="10"/>
      <color indexed="8"/>
      <name val="Arial"/>
      <family val="2"/>
    </font>
    <font>
      <b/>
      <sz val="12"/>
      <color indexed="10"/>
      <name val="Arial"/>
      <family val="2"/>
    </font>
    <font>
      <sz val="8"/>
      <color indexed="8"/>
      <name val="Arial"/>
      <family val="2"/>
    </font>
    <font>
      <sz val="10"/>
      <color indexed="8"/>
      <name val="Arial"/>
      <family val="2"/>
    </font>
    <font>
      <b/>
      <sz val="12"/>
      <color indexed="8"/>
      <name val="Arial"/>
      <family val="2"/>
    </font>
    <font>
      <b/>
      <sz val="10"/>
      <color indexed="60"/>
      <name val="Arial"/>
      <family val="2"/>
    </font>
    <font>
      <sz val="8"/>
      <color indexed="8"/>
      <name val="Verdana"/>
      <family val="2"/>
    </font>
    <font>
      <sz val="10"/>
      <color rgb="FF1F2024"/>
      <name val="Arial"/>
      <family val="2"/>
    </font>
    <font>
      <sz val="8"/>
      <name val="Arial"/>
      <family val="2"/>
    </font>
    <font>
      <sz val="10"/>
      <name val="Arial"/>
      <family val="2"/>
    </font>
    <font>
      <sz val="14"/>
      <name val="Arial"/>
      <family val="2"/>
    </font>
    <font>
      <sz val="18"/>
      <name val="Arial"/>
      <family val="2"/>
    </font>
  </fonts>
  <fills count="15">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7"/>
        <bgColor indexed="64"/>
      </patternFill>
    </fill>
    <fill>
      <patternFill patternType="solid">
        <fgColor theme="0"/>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8CBAD"/>
        <bgColor rgb="FF000000"/>
      </patternFill>
    </fill>
    <fill>
      <patternFill patternType="solid">
        <fgColor rgb="FFFFFF00"/>
        <bgColor rgb="FF000000"/>
      </patternFill>
    </fill>
    <fill>
      <patternFill patternType="solid">
        <fgColor theme="0" tint="-0.14999847407452621"/>
        <bgColor indexed="64"/>
      </patternFill>
    </fill>
  </fills>
  <borders count="12">
    <border>
      <left/>
      <right/>
      <top/>
      <bottom/>
      <diagonal/>
    </border>
    <border>
      <left/>
      <right/>
      <top style="thin">
        <color indexed="62"/>
      </top>
      <bottom style="double">
        <color indexed="62"/>
      </bottom>
      <diagonal/>
    </border>
    <border>
      <left/>
      <right/>
      <top/>
      <bottom style="thick">
        <color indexed="62"/>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hair">
        <color indexed="8"/>
      </left>
      <right style="hair">
        <color indexed="8"/>
      </right>
      <top style="hair">
        <color indexed="8"/>
      </top>
      <bottom style="hair">
        <color indexed="8"/>
      </bottom>
      <diagonal/>
    </border>
  </borders>
  <cellStyleXfs count="8">
    <xf numFmtId="0" fontId="0" fillId="0" borderId="0"/>
    <xf numFmtId="0" fontId="1" fillId="0" borderId="1" applyNumberFormat="0" applyFill="0" applyAlignment="0" applyProtection="0"/>
    <xf numFmtId="0" fontId="1" fillId="0" borderId="1" applyNumberFormat="0" applyFill="0" applyAlignment="0" applyProtection="0"/>
    <xf numFmtId="0" fontId="1" fillId="0" borderId="1"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2" applyNumberFormat="0" applyFill="0" applyAlignment="0" applyProtection="0"/>
    <xf numFmtId="0" fontId="15" fillId="0" borderId="0"/>
  </cellStyleXfs>
  <cellXfs count="310">
    <xf numFmtId="0" fontId="0" fillId="0" borderId="0" xfId="0"/>
    <xf numFmtId="0" fontId="0" fillId="0" borderId="0" xfId="0" applyFont="1" applyBorder="1"/>
    <xf numFmtId="0" fontId="0" fillId="0" borderId="0" xfId="0" applyFont="1"/>
    <xf numFmtId="0" fontId="4" fillId="0" borderId="3" xfId="0" applyFont="1" applyBorder="1"/>
    <xf numFmtId="0" fontId="0" fillId="0" borderId="4" xfId="0" applyFont="1" applyBorder="1"/>
    <xf numFmtId="0" fontId="0" fillId="0" borderId="5" xfId="0" applyFont="1" applyBorder="1"/>
    <xf numFmtId="0" fontId="0" fillId="0" borderId="6" xfId="0" applyFont="1" applyBorder="1"/>
    <xf numFmtId="0" fontId="0" fillId="0" borderId="7" xfId="0" applyFont="1" applyBorder="1"/>
    <xf numFmtId="0" fontId="5" fillId="0" borderId="6" xfId="0" applyFont="1" applyBorder="1"/>
    <xf numFmtId="0" fontId="4" fillId="0" borderId="6" xfId="0" applyFont="1" applyBorder="1"/>
    <xf numFmtId="0" fontId="0" fillId="0" borderId="6" xfId="0" applyFont="1" applyFill="1" applyBorder="1" applyAlignment="1">
      <alignment wrapText="1"/>
    </xf>
    <xf numFmtId="0" fontId="0" fillId="0" borderId="6" xfId="0" applyFont="1" applyFill="1" applyBorder="1"/>
    <xf numFmtId="0" fontId="4" fillId="0" borderId="6" xfId="0" applyFont="1" applyFill="1" applyBorder="1"/>
    <xf numFmtId="0" fontId="0" fillId="0" borderId="8" xfId="0" applyFont="1" applyBorder="1"/>
    <xf numFmtId="0" fontId="0" fillId="0" borderId="9" xfId="0" applyFont="1" applyBorder="1"/>
    <xf numFmtId="0" fontId="0" fillId="0" borderId="10" xfId="0" applyFont="1" applyBorder="1"/>
    <xf numFmtId="49" fontId="0" fillId="0" borderId="0" xfId="0" applyNumberFormat="1" applyFont="1" applyBorder="1"/>
    <xf numFmtId="1" fontId="0" fillId="0" borderId="0" xfId="0" applyNumberFormat="1" applyFont="1" applyBorder="1"/>
    <xf numFmtId="164" fontId="0" fillId="0" borderId="0" xfId="0" applyNumberFormat="1" applyFont="1" applyBorder="1"/>
    <xf numFmtId="165" fontId="0" fillId="0" borderId="0" xfId="0" applyNumberFormat="1" applyFont="1" applyBorder="1"/>
    <xf numFmtId="166" fontId="0" fillId="0" borderId="0" xfId="0" applyNumberFormat="1" applyFont="1" applyBorder="1"/>
    <xf numFmtId="0" fontId="4" fillId="0" borderId="0" xfId="0" applyFont="1" applyBorder="1" applyAlignment="1">
      <alignment horizontal="center"/>
    </xf>
    <xf numFmtId="0" fontId="6" fillId="0" borderId="0" xfId="0" applyFont="1" applyBorder="1" applyAlignment="1">
      <alignment horizontal="center"/>
    </xf>
    <xf numFmtId="0" fontId="5" fillId="0" borderId="0" xfId="0" applyFont="1" applyBorder="1" applyAlignment="1">
      <alignment horizontal="center"/>
    </xf>
    <xf numFmtId="49" fontId="5" fillId="0" borderId="0" xfId="0" applyNumberFormat="1" applyFont="1" applyBorder="1" applyAlignment="1">
      <alignment horizontal="center"/>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164" fontId="5" fillId="0" borderId="0" xfId="0" applyNumberFormat="1" applyFont="1" applyBorder="1" applyAlignment="1">
      <alignment horizontal="center"/>
    </xf>
    <xf numFmtId="165" fontId="0" fillId="0" borderId="0" xfId="0" applyNumberFormat="1" applyFont="1" applyBorder="1" applyAlignment="1">
      <alignment horizontal="center"/>
    </xf>
    <xf numFmtId="166" fontId="0" fillId="0" borderId="0" xfId="0" applyNumberFormat="1" applyFont="1" applyBorder="1" applyAlignment="1">
      <alignment horizontal="center"/>
    </xf>
    <xf numFmtId="164" fontId="0" fillId="0" borderId="0" xfId="0" applyNumberFormat="1"/>
    <xf numFmtId="164" fontId="0" fillId="0" borderId="0" xfId="0" applyNumberFormat="1" applyFont="1" applyBorder="1" applyAlignment="1">
      <alignment horizontal="center"/>
    </xf>
    <xf numFmtId="49" fontId="0" fillId="0" borderId="0" xfId="0" applyNumberFormat="1" applyFont="1"/>
    <xf numFmtId="49" fontId="0" fillId="0" borderId="0" xfId="0" applyNumberFormat="1" applyFont="1" applyFill="1" applyBorder="1"/>
    <xf numFmtId="0" fontId="7" fillId="0" borderId="0" xfId="0" applyFont="1" applyBorder="1"/>
    <xf numFmtId="0" fontId="8" fillId="0" borderId="0" xfId="0" applyFont="1" applyBorder="1"/>
    <xf numFmtId="0" fontId="9" fillId="0" borderId="0" xfId="0" applyFont="1" applyBorder="1"/>
    <xf numFmtId="0" fontId="10" fillId="0" borderId="11" xfId="0" applyFont="1" applyFill="1" applyBorder="1" applyAlignment="1">
      <alignment horizontal="left"/>
    </xf>
    <xf numFmtId="0" fontId="4" fillId="0" borderId="0" xfId="0" applyFont="1" applyBorder="1"/>
    <xf numFmtId="0" fontId="11" fillId="0" borderId="0" xfId="0" applyFont="1" applyBorder="1"/>
    <xf numFmtId="0" fontId="7" fillId="0" borderId="0" xfId="0" applyFont="1" applyAlignment="1">
      <alignment wrapText="1"/>
    </xf>
    <xf numFmtId="0" fontId="0" fillId="0" borderId="0" xfId="0" applyAlignment="1">
      <alignment wrapText="1"/>
    </xf>
    <xf numFmtId="0" fontId="7" fillId="0" borderId="0" xfId="0" applyFont="1"/>
    <xf numFmtId="0" fontId="9" fillId="0" borderId="0" xfId="0" applyFont="1"/>
    <xf numFmtId="0" fontId="7" fillId="0" borderId="11" xfId="0" applyFont="1" applyBorder="1" applyAlignment="1">
      <alignment wrapText="1"/>
    </xf>
    <xf numFmtId="0" fontId="9" fillId="0" borderId="11" xfId="0" applyFont="1" applyBorder="1"/>
    <xf numFmtId="0" fontId="7" fillId="0" borderId="11" xfId="0" applyFont="1" applyBorder="1"/>
    <xf numFmtId="0" fontId="9" fillId="0" borderId="11" xfId="0" applyFont="1" applyBorder="1" applyAlignment="1">
      <alignment wrapText="1"/>
    </xf>
    <xf numFmtId="0" fontId="12" fillId="0" borderId="0" xfId="0" applyFont="1" applyBorder="1"/>
    <xf numFmtId="0" fontId="0" fillId="0" borderId="0" xfId="0" applyFont="1" applyFill="1" applyBorder="1"/>
    <xf numFmtId="0" fontId="0" fillId="0" borderId="0" xfId="0" applyFont="1" applyBorder="1" applyAlignment="1">
      <alignment wrapText="1"/>
    </xf>
    <xf numFmtId="0" fontId="0" fillId="0" borderId="0" xfId="0" quotePrefix="1" applyFont="1" applyBorder="1" applyAlignment="1">
      <alignment wrapText="1"/>
    </xf>
    <xf numFmtId="0" fontId="0" fillId="0" borderId="0" xfId="0" quotePrefix="1" applyFont="1" applyFill="1" applyBorder="1" applyAlignment="1">
      <alignment wrapText="1"/>
    </xf>
    <xf numFmtId="164" fontId="0" fillId="0" borderId="0" xfId="0" applyNumberFormat="1" applyFont="1" applyFill="1" applyBorder="1"/>
    <xf numFmtId="0" fontId="0" fillId="0" borderId="0" xfId="0" quotePrefix="1" applyFont="1" applyBorder="1"/>
    <xf numFmtId="167" fontId="0" fillId="0" borderId="0" xfId="0" applyNumberFormat="1" applyFont="1" applyBorder="1"/>
    <xf numFmtId="167" fontId="0" fillId="0" borderId="0" xfId="0" applyNumberFormat="1"/>
    <xf numFmtId="0" fontId="0" fillId="3" borderId="0" xfId="0" applyFont="1" applyFill="1" applyBorder="1"/>
    <xf numFmtId="49" fontId="0" fillId="3" borderId="0" xfId="0" applyNumberFormat="1" applyFont="1" applyFill="1" applyBorder="1"/>
    <xf numFmtId="1" fontId="0" fillId="3" borderId="0" xfId="0" applyNumberFormat="1" applyFont="1" applyFill="1" applyBorder="1"/>
    <xf numFmtId="164" fontId="0" fillId="3" borderId="0" xfId="0" applyNumberFormat="1" applyFont="1" applyFill="1" applyBorder="1"/>
    <xf numFmtId="167" fontId="0" fillId="3" borderId="0" xfId="0" applyNumberFormat="1" applyFill="1"/>
    <xf numFmtId="0" fontId="0" fillId="3" borderId="0" xfId="0" applyFont="1" applyFill="1"/>
    <xf numFmtId="166" fontId="0" fillId="3" borderId="0" xfId="0" applyNumberFormat="1" applyFont="1" applyFill="1" applyBorder="1"/>
    <xf numFmtId="167" fontId="0" fillId="0" borderId="0" xfId="0" applyNumberFormat="1" applyFill="1"/>
    <xf numFmtId="0" fontId="0" fillId="0" borderId="0" xfId="0" applyFont="1" applyFill="1"/>
    <xf numFmtId="0" fontId="0" fillId="0" borderId="0" xfId="0" applyFill="1"/>
    <xf numFmtId="8" fontId="0" fillId="3" borderId="0" xfId="0" applyNumberFormat="1" applyFont="1" applyFill="1" applyBorder="1"/>
    <xf numFmtId="8" fontId="0" fillId="0" borderId="0" xfId="0" applyNumberFormat="1" applyFont="1" applyFill="1" applyBorder="1"/>
    <xf numFmtId="0" fontId="0" fillId="3" borderId="0" xfId="0" quotePrefix="1" applyFont="1" applyFill="1" applyBorder="1"/>
    <xf numFmtId="8" fontId="0" fillId="3" borderId="0" xfId="0" applyNumberFormat="1" applyFill="1"/>
    <xf numFmtId="0" fontId="0" fillId="3" borderId="0" xfId="0" applyFill="1"/>
    <xf numFmtId="8" fontId="0" fillId="0" borderId="0" xfId="0" applyNumberFormat="1" applyFill="1"/>
    <xf numFmtId="0" fontId="13" fillId="0" borderId="0" xfId="0" applyFont="1" applyFill="1"/>
    <xf numFmtId="0" fontId="0" fillId="3" borderId="0" xfId="0" applyFont="1" applyFill="1" applyBorder="1" applyAlignment="1">
      <alignment wrapText="1"/>
    </xf>
    <xf numFmtId="0" fontId="13" fillId="3" borderId="0" xfId="0" applyFont="1" applyFill="1"/>
    <xf numFmtId="17" fontId="4" fillId="0" borderId="0" xfId="0" applyNumberFormat="1" applyFont="1" applyBorder="1" applyAlignment="1">
      <alignment horizontal="center"/>
    </xf>
    <xf numFmtId="167" fontId="0" fillId="3" borderId="0" xfId="0" applyNumberFormat="1" applyFont="1" applyFill="1" applyBorder="1"/>
    <xf numFmtId="167" fontId="0" fillId="0" borderId="0" xfId="0" applyNumberFormat="1" applyFont="1" applyFill="1" applyBorder="1"/>
    <xf numFmtId="0" fontId="0" fillId="3" borderId="0" xfId="0" quotePrefix="1" applyFont="1" applyFill="1" applyBorder="1" applyAlignment="1">
      <alignment wrapText="1"/>
    </xf>
    <xf numFmtId="40" fontId="0" fillId="0" borderId="0" xfId="0" applyNumberFormat="1" applyFill="1"/>
    <xf numFmtId="40" fontId="0" fillId="3" borderId="0" xfId="0" applyNumberFormat="1" applyFill="1"/>
    <xf numFmtId="40" fontId="0" fillId="3" borderId="0" xfId="0" applyNumberFormat="1" applyFont="1" applyFill="1"/>
    <xf numFmtId="40" fontId="0" fillId="3" borderId="0" xfId="0" applyNumberFormat="1" applyFont="1" applyFill="1" applyBorder="1"/>
    <xf numFmtId="40" fontId="0" fillId="0" borderId="0" xfId="0" applyNumberFormat="1"/>
    <xf numFmtId="40" fontId="0" fillId="0" borderId="0" xfId="0" applyNumberFormat="1" applyFont="1" applyFill="1"/>
    <xf numFmtId="40" fontId="0" fillId="0" borderId="0" xfId="0" applyNumberFormat="1" applyFont="1" applyBorder="1"/>
    <xf numFmtId="40" fontId="0" fillId="0" borderId="0" xfId="0" applyNumberFormat="1" applyFont="1" applyFill="1" applyBorder="1"/>
    <xf numFmtId="0" fontId="0" fillId="4" borderId="0" xfId="0" applyFont="1" applyFill="1" applyBorder="1"/>
    <xf numFmtId="49" fontId="0" fillId="4" borderId="0" xfId="0" applyNumberFormat="1" applyFont="1" applyFill="1" applyBorder="1"/>
    <xf numFmtId="0" fontId="0" fillId="4" borderId="0" xfId="0" quotePrefix="1" applyFont="1" applyFill="1" applyBorder="1" applyAlignment="1">
      <alignment wrapText="1"/>
    </xf>
    <xf numFmtId="1" fontId="0" fillId="4" borderId="0" xfId="0" applyNumberFormat="1" applyFont="1" applyFill="1" applyBorder="1"/>
    <xf numFmtId="167" fontId="0" fillId="4" borderId="0" xfId="0" applyNumberFormat="1" applyFill="1"/>
    <xf numFmtId="164" fontId="0" fillId="4" borderId="0" xfId="0" applyNumberFormat="1" applyFont="1" applyFill="1" applyBorder="1"/>
    <xf numFmtId="8" fontId="0" fillId="4" borderId="0" xfId="0" applyNumberFormat="1" applyFont="1" applyFill="1" applyBorder="1"/>
    <xf numFmtId="8" fontId="0" fillId="4" borderId="0" xfId="0" applyNumberFormat="1" applyFill="1"/>
    <xf numFmtId="0" fontId="0" fillId="4" borderId="0" xfId="0" applyFill="1"/>
    <xf numFmtId="40" fontId="0" fillId="4" borderId="0" xfId="0" applyNumberFormat="1" applyFill="1"/>
    <xf numFmtId="0" fontId="0" fillId="4" borderId="0" xfId="0" applyFont="1" applyFill="1"/>
    <xf numFmtId="166" fontId="0" fillId="4" borderId="0" xfId="0" applyNumberFormat="1" applyFont="1" applyFill="1" applyBorder="1"/>
    <xf numFmtId="0" fontId="0" fillId="2" borderId="0" xfId="0" quotePrefix="1" applyFont="1" applyFill="1" applyBorder="1" applyAlignment="1">
      <alignment wrapText="1"/>
    </xf>
    <xf numFmtId="1" fontId="0" fillId="0" borderId="0" xfId="0" applyNumberFormat="1"/>
    <xf numFmtId="4" fontId="0" fillId="0" borderId="0" xfId="0" applyNumberFormat="1"/>
    <xf numFmtId="165" fontId="0" fillId="0" borderId="0" xfId="0" applyNumberFormat="1" applyFont="1" applyFill="1" applyBorder="1"/>
    <xf numFmtId="0" fontId="0" fillId="5" borderId="0" xfId="0" applyFont="1" applyFill="1" applyBorder="1"/>
    <xf numFmtId="49" fontId="0" fillId="5" borderId="0" xfId="0" applyNumberFormat="1" applyFont="1" applyFill="1" applyBorder="1"/>
    <xf numFmtId="1" fontId="0" fillId="5" borderId="0" xfId="0" applyNumberFormat="1" applyFont="1" applyFill="1" applyBorder="1"/>
    <xf numFmtId="167" fontId="0" fillId="5" borderId="0" xfId="0" applyNumberFormat="1" applyFill="1"/>
    <xf numFmtId="164" fontId="0" fillId="5" borderId="0" xfId="0" applyNumberFormat="1" applyFont="1" applyFill="1" applyBorder="1"/>
    <xf numFmtId="8" fontId="0" fillId="5" borderId="0" xfId="0" applyNumberFormat="1" applyFont="1" applyFill="1" applyBorder="1"/>
    <xf numFmtId="8" fontId="0" fillId="5" borderId="0" xfId="0" applyNumberFormat="1" applyFill="1"/>
    <xf numFmtId="0" fontId="0" fillId="5" borderId="0" xfId="0" applyFill="1"/>
    <xf numFmtId="40" fontId="0" fillId="5" borderId="0" xfId="0" applyNumberFormat="1" applyFill="1"/>
    <xf numFmtId="0" fontId="0" fillId="5" borderId="0" xfId="0" applyFont="1" applyFill="1"/>
    <xf numFmtId="166" fontId="0" fillId="5" borderId="0" xfId="0" applyNumberFormat="1" applyFont="1" applyFill="1" applyBorder="1"/>
    <xf numFmtId="0" fontId="0" fillId="5" borderId="0" xfId="0" quotePrefix="1" applyFont="1" applyFill="1" applyBorder="1"/>
    <xf numFmtId="0" fontId="0" fillId="6" borderId="0" xfId="0" applyFont="1" applyFill="1" applyBorder="1"/>
    <xf numFmtId="49" fontId="0" fillId="6" borderId="0" xfId="0" applyNumberFormat="1" applyFont="1" applyFill="1" applyBorder="1"/>
    <xf numFmtId="1" fontId="0" fillId="6" borderId="0" xfId="0" applyNumberFormat="1" applyFont="1" applyFill="1" applyBorder="1"/>
    <xf numFmtId="167" fontId="0" fillId="6" borderId="0" xfId="0" applyNumberFormat="1" applyFill="1"/>
    <xf numFmtId="164" fontId="0" fillId="6" borderId="0" xfId="0" applyNumberFormat="1" applyFont="1" applyFill="1" applyBorder="1"/>
    <xf numFmtId="8" fontId="0" fillId="6" borderId="0" xfId="0" applyNumberFormat="1" applyFont="1" applyFill="1" applyBorder="1"/>
    <xf numFmtId="8" fontId="0" fillId="6" borderId="0" xfId="0" applyNumberFormat="1" applyFill="1"/>
    <xf numFmtId="0" fontId="0" fillId="6" borderId="0" xfId="0" applyFill="1"/>
    <xf numFmtId="40" fontId="0" fillId="6" borderId="0" xfId="0" applyNumberFormat="1" applyFill="1"/>
    <xf numFmtId="0" fontId="0" fillId="6" borderId="0" xfId="0" applyFont="1" applyFill="1"/>
    <xf numFmtId="166" fontId="0" fillId="6" borderId="0" xfId="0" applyNumberFormat="1" applyFont="1" applyFill="1" applyBorder="1"/>
    <xf numFmtId="8" fontId="0" fillId="0" borderId="0" xfId="0" applyNumberFormat="1" applyFont="1" applyBorder="1" applyAlignment="1">
      <alignment horizontal="left"/>
    </xf>
    <xf numFmtId="0" fontId="0" fillId="7" borderId="0" xfId="0" applyFont="1" applyFill="1" applyBorder="1"/>
    <xf numFmtId="49" fontId="0" fillId="7" borderId="0" xfId="0" applyNumberFormat="1" applyFont="1" applyFill="1" applyBorder="1"/>
    <xf numFmtId="1" fontId="0" fillId="7" borderId="0" xfId="0" applyNumberFormat="1" applyFont="1" applyFill="1" applyBorder="1"/>
    <xf numFmtId="164" fontId="0" fillId="7" borderId="0" xfId="0" applyNumberFormat="1" applyFont="1" applyFill="1" applyBorder="1"/>
    <xf numFmtId="8" fontId="0" fillId="7" borderId="0" xfId="0" applyNumberFormat="1" applyFont="1" applyFill="1" applyBorder="1"/>
    <xf numFmtId="8" fontId="0" fillId="7" borderId="0" xfId="0" applyNumberFormat="1" applyFill="1"/>
    <xf numFmtId="40" fontId="0" fillId="7" borderId="0" xfId="0" applyNumberFormat="1" applyFill="1"/>
    <xf numFmtId="0" fontId="0" fillId="7" borderId="0" xfId="0" applyFont="1" applyFill="1"/>
    <xf numFmtId="166" fontId="0" fillId="7" borderId="0" xfId="0" applyNumberFormat="1" applyFont="1" applyFill="1" applyBorder="1"/>
    <xf numFmtId="8" fontId="0" fillId="8" borderId="0" xfId="0" applyNumberFormat="1" applyFont="1" applyFill="1" applyBorder="1"/>
    <xf numFmtId="0" fontId="0" fillId="0" borderId="0" xfId="0" applyFill="1" applyAlignment="1">
      <alignment wrapText="1"/>
    </xf>
    <xf numFmtId="2" fontId="0" fillId="0" borderId="0" xfId="0" applyNumberFormat="1"/>
    <xf numFmtId="2" fontId="0" fillId="0" borderId="0" xfId="0" applyNumberFormat="1" applyFont="1" applyFill="1" applyBorder="1"/>
    <xf numFmtId="49" fontId="0" fillId="0" borderId="0" xfId="0" applyNumberFormat="1" applyFont="1" applyFill="1" applyBorder="1"/>
    <xf numFmtId="0" fontId="0" fillId="0" borderId="0" xfId="0" applyFont="1" applyFill="1" applyBorder="1" applyAlignment="1">
      <alignment wrapText="1"/>
    </xf>
    <xf numFmtId="0" fontId="0" fillId="0" borderId="0" xfId="0" quotePrefix="1" applyFont="1" applyFill="1" applyBorder="1"/>
    <xf numFmtId="1" fontId="0" fillId="0" borderId="0" xfId="0" applyNumberFormat="1" applyFont="1" applyFill="1" applyBorder="1"/>
    <xf numFmtId="167" fontId="0" fillId="0" borderId="0" xfId="0" applyNumberFormat="1" applyFill="1"/>
    <xf numFmtId="0" fontId="0" fillId="0" borderId="0" xfId="0" applyFont="1" applyFill="1"/>
    <xf numFmtId="166" fontId="0" fillId="0" borderId="0" xfId="0" applyNumberFormat="1" applyFont="1" applyFill="1" applyBorder="1"/>
    <xf numFmtId="0" fontId="0" fillId="0" borderId="0" xfId="0" applyFill="1"/>
    <xf numFmtId="8" fontId="0" fillId="0" borderId="0" xfId="0" applyNumberFormat="1" applyFont="1" applyBorder="1"/>
    <xf numFmtId="8" fontId="0" fillId="0" borderId="0" xfId="0" applyNumberFormat="1"/>
    <xf numFmtId="8" fontId="0" fillId="0" borderId="0" xfId="0" applyNumberFormat="1" applyFont="1" applyFill="1" applyBorder="1"/>
    <xf numFmtId="8" fontId="0" fillId="0" borderId="0" xfId="0" applyNumberFormat="1" applyFill="1"/>
    <xf numFmtId="40" fontId="0" fillId="0" borderId="0" xfId="0" applyNumberFormat="1" applyFill="1"/>
    <xf numFmtId="40" fontId="0" fillId="0" borderId="0" xfId="0" applyNumberFormat="1"/>
    <xf numFmtId="0" fontId="0" fillId="0" borderId="0" xfId="0"/>
    <xf numFmtId="0" fontId="0" fillId="0" borderId="0" xfId="0" applyFont="1"/>
    <xf numFmtId="0" fontId="9" fillId="0" borderId="11" xfId="0" applyFont="1" applyBorder="1" applyAlignment="1">
      <alignment wrapText="1"/>
    </xf>
    <xf numFmtId="1" fontId="0" fillId="0" borderId="0" xfId="0" applyNumberFormat="1"/>
    <xf numFmtId="0" fontId="0" fillId="0" borderId="0" xfId="0"/>
    <xf numFmtId="0" fontId="0" fillId="0" borderId="0" xfId="0" applyFont="1" applyBorder="1"/>
    <xf numFmtId="0" fontId="0" fillId="0" borderId="0" xfId="0" applyFont="1"/>
    <xf numFmtId="0" fontId="9" fillId="0" borderId="11" xfId="0" applyFont="1" applyBorder="1" applyAlignment="1">
      <alignment wrapText="1"/>
    </xf>
    <xf numFmtId="0" fontId="0" fillId="0" borderId="0" xfId="0" applyFont="1" applyFill="1" applyBorder="1"/>
    <xf numFmtId="0" fontId="0" fillId="0" borderId="0" xfId="0" applyFont="1" applyBorder="1"/>
    <xf numFmtId="49" fontId="0" fillId="0" borderId="0" xfId="0" applyNumberFormat="1" applyFont="1" applyBorder="1"/>
    <xf numFmtId="0" fontId="0" fillId="0" borderId="0" xfId="0" applyFont="1" applyFill="1" applyBorder="1"/>
    <xf numFmtId="0" fontId="0" fillId="0" borderId="0" xfId="0" applyFont="1"/>
    <xf numFmtId="164" fontId="0" fillId="0" borderId="0" xfId="0" applyNumberFormat="1" applyFont="1" applyBorder="1"/>
    <xf numFmtId="49" fontId="0" fillId="0" borderId="0" xfId="0" applyNumberFormat="1" applyFont="1"/>
    <xf numFmtId="0" fontId="0" fillId="0" borderId="0" xfId="0"/>
    <xf numFmtId="0" fontId="0" fillId="0" borderId="0" xfId="0" applyFont="1"/>
    <xf numFmtId="164" fontId="0" fillId="0" borderId="0" xfId="0" applyNumberFormat="1" applyFont="1" applyBorder="1"/>
    <xf numFmtId="0" fontId="0" fillId="0" borderId="0" xfId="0" applyFont="1" applyFill="1" applyBorder="1"/>
    <xf numFmtId="164" fontId="0" fillId="2" borderId="0" xfId="0" applyNumberFormat="1" applyFont="1" applyFill="1" applyBorder="1"/>
    <xf numFmtId="167" fontId="0" fillId="0" borderId="0" xfId="0" applyNumberFormat="1"/>
    <xf numFmtId="0" fontId="0" fillId="2" borderId="0" xfId="0" applyFont="1" applyFill="1" applyBorder="1"/>
    <xf numFmtId="49" fontId="0" fillId="2" borderId="0" xfId="0" applyNumberFormat="1" applyFont="1" applyFill="1" applyBorder="1"/>
    <xf numFmtId="0" fontId="0" fillId="2" borderId="0" xfId="0" applyFont="1" applyFill="1"/>
    <xf numFmtId="0" fontId="0" fillId="2" borderId="0" xfId="0" applyFill="1"/>
    <xf numFmtId="49" fontId="0" fillId="2" borderId="0" xfId="0" applyNumberFormat="1" applyFont="1" applyFill="1"/>
    <xf numFmtId="0" fontId="0" fillId="0" borderId="0" xfId="0"/>
    <xf numFmtId="0" fontId="0" fillId="0" borderId="0" xfId="0" applyFont="1" applyBorder="1"/>
    <xf numFmtId="0" fontId="0" fillId="0" borderId="0" xfId="0" applyFont="1"/>
    <xf numFmtId="49" fontId="0" fillId="0" borderId="0" xfId="0" applyNumberFormat="1" applyFont="1" applyBorder="1"/>
    <xf numFmtId="164" fontId="0" fillId="0" borderId="0" xfId="0" applyNumberFormat="1" applyFont="1" applyBorder="1"/>
    <xf numFmtId="0" fontId="4" fillId="0" borderId="0" xfId="0" applyFont="1" applyBorder="1" applyAlignment="1">
      <alignment horizontal="center"/>
    </xf>
    <xf numFmtId="0" fontId="6" fillId="0" borderId="0" xfId="0" applyFont="1" applyBorder="1" applyAlignment="1">
      <alignment horizontal="center"/>
    </xf>
    <xf numFmtId="0" fontId="5" fillId="0" borderId="0" xfId="0" applyFont="1" applyBorder="1" applyAlignment="1">
      <alignment horizontal="center"/>
    </xf>
    <xf numFmtId="49" fontId="5" fillId="0" borderId="0" xfId="0" applyNumberFormat="1" applyFont="1" applyBorder="1" applyAlignment="1">
      <alignment horizontal="center"/>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164" fontId="5" fillId="0" borderId="0" xfId="0" applyNumberFormat="1" applyFont="1" applyBorder="1" applyAlignment="1">
      <alignment horizontal="center"/>
    </xf>
    <xf numFmtId="164" fontId="0" fillId="0" borderId="0" xfId="0" applyNumberFormat="1"/>
    <xf numFmtId="164" fontId="0" fillId="0" borderId="0" xfId="0" applyNumberFormat="1" applyFont="1" applyBorder="1" applyAlignment="1">
      <alignment horizontal="center"/>
    </xf>
    <xf numFmtId="49" fontId="0" fillId="0" borderId="0" xfId="0" applyNumberFormat="1" applyFont="1"/>
    <xf numFmtId="0" fontId="0" fillId="0" borderId="0" xfId="0" applyFont="1" applyFill="1" applyBorder="1"/>
    <xf numFmtId="0" fontId="0" fillId="0" borderId="0" xfId="0"/>
    <xf numFmtId="0" fontId="0" fillId="0" borderId="0" xfId="0" applyFont="1"/>
    <xf numFmtId="164" fontId="0" fillId="0" borderId="0" xfId="0" applyNumberFormat="1" applyFont="1" applyBorder="1"/>
    <xf numFmtId="0" fontId="4" fillId="0" borderId="0" xfId="0" applyFont="1" applyBorder="1" applyAlignment="1">
      <alignment horizontal="center"/>
    </xf>
    <xf numFmtId="164" fontId="0" fillId="0" borderId="0" xfId="0" applyNumberFormat="1"/>
    <xf numFmtId="164" fontId="0" fillId="2" borderId="0" xfId="0" applyNumberFormat="1" applyFont="1" applyFill="1" applyBorder="1"/>
    <xf numFmtId="164" fontId="0" fillId="0" borderId="0" xfId="0" applyNumberFormat="1" applyFont="1" applyFill="1" applyBorder="1"/>
    <xf numFmtId="0" fontId="0" fillId="3" borderId="0" xfId="0" applyFont="1" applyFill="1" applyBorder="1"/>
    <xf numFmtId="49" fontId="0" fillId="3" borderId="0" xfId="0" applyNumberFormat="1" applyFont="1" applyFill="1" applyBorder="1"/>
    <xf numFmtId="1" fontId="0" fillId="3" borderId="0" xfId="0" applyNumberFormat="1" applyFont="1" applyFill="1" applyBorder="1"/>
    <xf numFmtId="164" fontId="0" fillId="3" borderId="0" xfId="0" applyNumberFormat="1" applyFont="1" applyFill="1" applyBorder="1"/>
    <xf numFmtId="167" fontId="0" fillId="3" borderId="0" xfId="0" applyNumberFormat="1" applyFill="1"/>
    <xf numFmtId="0" fontId="0" fillId="3" borderId="0" xfId="0" applyFont="1" applyFill="1"/>
    <xf numFmtId="166" fontId="0" fillId="3" borderId="0" xfId="0" applyNumberFormat="1" applyFont="1" applyFill="1" applyBorder="1"/>
    <xf numFmtId="8" fontId="0" fillId="2" borderId="0" xfId="0" applyNumberFormat="1" applyFont="1" applyFill="1" applyBorder="1"/>
    <xf numFmtId="0" fontId="0" fillId="3" borderId="0" xfId="0" applyFill="1"/>
    <xf numFmtId="40" fontId="0" fillId="3" borderId="0" xfId="0" applyNumberFormat="1" applyFill="1"/>
    <xf numFmtId="0" fontId="0" fillId="2" borderId="0" xfId="0" applyFont="1" applyFill="1" applyBorder="1"/>
    <xf numFmtId="49" fontId="0" fillId="2" borderId="0" xfId="0" applyNumberFormat="1" applyFont="1" applyFill="1" applyBorder="1"/>
    <xf numFmtId="1" fontId="0" fillId="2" borderId="0" xfId="0" applyNumberFormat="1" applyFont="1" applyFill="1" applyBorder="1"/>
    <xf numFmtId="167" fontId="0" fillId="2" borderId="0" xfId="0" applyNumberFormat="1" applyFill="1"/>
    <xf numFmtId="8" fontId="0" fillId="2" borderId="0" xfId="0" applyNumberFormat="1" applyFill="1"/>
    <xf numFmtId="40" fontId="0" fillId="2" borderId="0" xfId="0" applyNumberFormat="1" applyFill="1"/>
    <xf numFmtId="0" fontId="0" fillId="2" borderId="0" xfId="0" applyFont="1" applyFill="1"/>
    <xf numFmtId="166" fontId="0" fillId="2" borderId="0" xfId="0" applyNumberFormat="1" applyFont="1" applyFill="1" applyBorder="1"/>
    <xf numFmtId="1" fontId="0" fillId="0" borderId="0" xfId="0" applyNumberFormat="1"/>
    <xf numFmtId="2" fontId="0" fillId="0" borderId="0" xfId="0" applyNumberFormat="1" applyFont="1"/>
    <xf numFmtId="167" fontId="0" fillId="0" borderId="0" xfId="0" applyNumberFormat="1" applyFont="1"/>
    <xf numFmtId="17" fontId="0" fillId="0" borderId="0" xfId="0" applyNumberFormat="1"/>
    <xf numFmtId="168" fontId="0" fillId="0" borderId="0" xfId="0" applyNumberFormat="1"/>
    <xf numFmtId="1" fontId="0" fillId="3" borderId="0" xfId="0" applyNumberFormat="1" applyFill="1"/>
    <xf numFmtId="164" fontId="0" fillId="3" borderId="0" xfId="0" applyNumberFormat="1" applyFill="1"/>
    <xf numFmtId="4" fontId="0" fillId="3" borderId="0" xfId="0" applyNumberFormat="1" applyFill="1"/>
    <xf numFmtId="2" fontId="0" fillId="3" borderId="0" xfId="0" applyNumberFormat="1" applyFill="1"/>
    <xf numFmtId="2" fontId="0" fillId="3" borderId="0" xfId="0" applyNumberFormat="1" applyFont="1" applyFill="1" applyBorder="1"/>
    <xf numFmtId="169" fontId="0" fillId="3" borderId="0" xfId="0" applyNumberFormat="1" applyFill="1"/>
    <xf numFmtId="169" fontId="0" fillId="3" borderId="0" xfId="0" applyNumberFormat="1" applyFont="1" applyFill="1"/>
    <xf numFmtId="169" fontId="0" fillId="3" borderId="0" xfId="0" applyNumberFormat="1" applyFont="1" applyFill="1" applyBorder="1"/>
    <xf numFmtId="169" fontId="0" fillId="5" borderId="0" xfId="0" applyNumberFormat="1" applyFill="1"/>
    <xf numFmtId="169" fontId="0" fillId="6" borderId="0" xfId="0" applyNumberFormat="1" applyFill="1"/>
    <xf numFmtId="0" fontId="0" fillId="3" borderId="0" xfId="0" applyFill="1" applyAlignment="1">
      <alignment wrapText="1"/>
    </xf>
    <xf numFmtId="165" fontId="0" fillId="3" borderId="0" xfId="0" applyNumberFormat="1" applyFont="1" applyFill="1" applyBorder="1"/>
    <xf numFmtId="1" fontId="0" fillId="0" borderId="0" xfId="0" applyNumberFormat="1" applyFont="1" applyBorder="1" applyAlignment="1">
      <alignment horizontal="left"/>
    </xf>
    <xf numFmtId="1" fontId="0" fillId="0" borderId="0" xfId="0" applyNumberFormat="1" applyFont="1" applyFill="1" applyBorder="1" applyAlignment="1">
      <alignment horizontal="left"/>
    </xf>
    <xf numFmtId="1" fontId="0" fillId="0" borderId="0" xfId="0" applyNumberFormat="1" applyFill="1" applyAlignment="1">
      <alignment horizontal="left"/>
    </xf>
    <xf numFmtId="4" fontId="0" fillId="0" borderId="0" xfId="0" applyNumberFormat="1" applyFill="1"/>
    <xf numFmtId="8" fontId="0" fillId="0" borderId="0" xfId="0" applyNumberFormat="1" applyFont="1" applyFill="1" applyBorder="1" applyAlignment="1">
      <alignment horizontal="left"/>
    </xf>
    <xf numFmtId="2" fontId="0" fillId="0" borderId="0" xfId="0" applyNumberFormat="1" applyFill="1"/>
    <xf numFmtId="164" fontId="0" fillId="0" borderId="0" xfId="0" applyNumberFormat="1" applyFill="1"/>
    <xf numFmtId="169" fontId="0" fillId="0" borderId="0" xfId="0" applyNumberFormat="1" applyFill="1"/>
    <xf numFmtId="1" fontId="15" fillId="0" borderId="0" xfId="7" applyNumberFormat="1" applyBorder="1"/>
    <xf numFmtId="0" fontId="0" fillId="2" borderId="0" xfId="0" applyFill="1" applyAlignment="1">
      <alignment wrapText="1"/>
    </xf>
    <xf numFmtId="49" fontId="0" fillId="2" borderId="0" xfId="0" applyNumberFormat="1" applyFill="1"/>
    <xf numFmtId="1" fontId="0" fillId="2" borderId="0" xfId="0" applyNumberFormat="1" applyFill="1" applyAlignment="1">
      <alignment horizontal="left"/>
    </xf>
    <xf numFmtId="1" fontId="0" fillId="2" borderId="0" xfId="0" applyNumberFormat="1" applyFill="1"/>
    <xf numFmtId="164" fontId="0" fillId="2" borderId="0" xfId="0" applyNumberFormat="1" applyFill="1"/>
    <xf numFmtId="165" fontId="0" fillId="2" borderId="0" xfId="0" applyNumberFormat="1" applyFill="1"/>
    <xf numFmtId="166" fontId="0" fillId="2" borderId="0" xfId="0" applyNumberFormat="1" applyFill="1"/>
    <xf numFmtId="49" fontId="0" fillId="0" borderId="0" xfId="0" applyNumberFormat="1"/>
    <xf numFmtId="1" fontId="0" fillId="0" borderId="0" xfId="0" applyNumberFormat="1" applyAlignment="1">
      <alignment horizontal="left"/>
    </xf>
    <xf numFmtId="0" fontId="0" fillId="9" borderId="0" xfId="0" applyFill="1"/>
    <xf numFmtId="164" fontId="0" fillId="10" borderId="0" xfId="0" applyNumberFormat="1" applyFill="1"/>
    <xf numFmtId="165" fontId="0" fillId="0" borderId="0" xfId="0" applyNumberFormat="1"/>
    <xf numFmtId="166" fontId="0" fillId="0" borderId="0" xfId="0" applyNumberFormat="1"/>
    <xf numFmtId="165" fontId="0" fillId="2" borderId="0" xfId="0" applyNumberFormat="1" applyFont="1" applyFill="1" applyBorder="1"/>
    <xf numFmtId="1" fontId="0" fillId="3" borderId="0" xfId="0" applyNumberFormat="1" applyFont="1" applyFill="1" applyBorder="1" applyAlignment="1">
      <alignment horizontal="left"/>
    </xf>
    <xf numFmtId="0" fontId="16" fillId="0" borderId="0" xfId="0" applyFont="1"/>
    <xf numFmtId="0" fontId="17" fillId="0" borderId="0" xfId="0" applyFont="1"/>
    <xf numFmtId="1" fontId="0" fillId="3" borderId="0" xfId="0" applyNumberFormat="1" applyFill="1" applyAlignment="1">
      <alignment horizontal="left"/>
    </xf>
    <xf numFmtId="1" fontId="0" fillId="0" borderId="0" xfId="0" applyNumberFormat="1" applyFill="1"/>
    <xf numFmtId="0" fontId="0" fillId="11" borderId="0" xfId="0" applyFill="1"/>
    <xf numFmtId="0" fontId="0" fillId="12" borderId="0" xfId="0" applyFill="1"/>
    <xf numFmtId="0" fontId="0" fillId="0" borderId="0" xfId="0" applyAlignment="1"/>
    <xf numFmtId="0" fontId="0" fillId="2" borderId="0" xfId="0" applyFill="1" applyAlignment="1"/>
    <xf numFmtId="0" fontId="0" fillId="13" borderId="0" xfId="0" applyFill="1"/>
    <xf numFmtId="1" fontId="0" fillId="5" borderId="0" xfId="0" applyNumberFormat="1" applyFill="1"/>
    <xf numFmtId="164" fontId="0" fillId="5" borderId="0" xfId="0" applyNumberFormat="1" applyFill="1"/>
    <xf numFmtId="4" fontId="0" fillId="5" borderId="0" xfId="0" applyNumberFormat="1" applyFill="1"/>
    <xf numFmtId="0" fontId="0" fillId="0" borderId="0" xfId="0"/>
    <xf numFmtId="0" fontId="0" fillId="4" borderId="0" xfId="0" applyFont="1" applyFill="1" applyBorder="1" applyAlignment="1">
      <alignment wrapText="1"/>
    </xf>
    <xf numFmtId="0" fontId="0" fillId="4" borderId="0" xfId="0" applyFill="1" applyAlignment="1">
      <alignment wrapText="1"/>
    </xf>
    <xf numFmtId="0" fontId="0" fillId="0" borderId="0" xfId="0"/>
    <xf numFmtId="49" fontId="0" fillId="0" borderId="0" xfId="0" applyNumberFormat="1" applyFont="1" applyBorder="1"/>
    <xf numFmtId="1" fontId="0" fillId="0" borderId="0" xfId="0" applyNumberFormat="1" applyFont="1" applyBorder="1"/>
    <xf numFmtId="0" fontId="0" fillId="0" borderId="0" xfId="0" applyAlignment="1">
      <alignment wrapText="1"/>
    </xf>
    <xf numFmtId="0" fontId="0" fillId="0" borderId="0" xfId="0" applyFont="1" applyFill="1" applyBorder="1"/>
    <xf numFmtId="164" fontId="0" fillId="2" borderId="0" xfId="0" applyNumberFormat="1" applyFont="1" applyFill="1" applyBorder="1"/>
    <xf numFmtId="0" fontId="0" fillId="2" borderId="0" xfId="0" applyFont="1" applyFill="1" applyBorder="1"/>
    <xf numFmtId="49" fontId="0" fillId="2" borderId="0" xfId="0" applyNumberFormat="1" applyFont="1" applyFill="1" applyBorder="1"/>
    <xf numFmtId="1" fontId="0" fillId="2" borderId="0" xfId="0" applyNumberFormat="1" applyFont="1" applyFill="1" applyBorder="1"/>
    <xf numFmtId="0" fontId="0" fillId="2" borderId="0" xfId="0" applyFont="1" applyFill="1"/>
    <xf numFmtId="166" fontId="0" fillId="2" borderId="0" xfId="0" applyNumberFormat="1" applyFont="1" applyFill="1" applyBorder="1"/>
    <xf numFmtId="0" fontId="0" fillId="2" borderId="0" xfId="0" applyFill="1"/>
    <xf numFmtId="0" fontId="0" fillId="2" borderId="0" xfId="0" applyFont="1" applyFill="1" applyBorder="1" applyAlignment="1">
      <alignment wrapText="1"/>
    </xf>
    <xf numFmtId="165" fontId="0" fillId="2" borderId="0" xfId="0" applyNumberFormat="1" applyFont="1" applyFill="1" applyBorder="1"/>
    <xf numFmtId="164" fontId="0" fillId="2" borderId="0" xfId="0" applyNumberFormat="1" applyFill="1"/>
    <xf numFmtId="0" fontId="0" fillId="4" borderId="0" xfId="0" applyFont="1" applyFill="1" applyBorder="1"/>
    <xf numFmtId="49" fontId="0" fillId="4" borderId="0" xfId="0" applyNumberFormat="1" applyFont="1" applyFill="1" applyBorder="1"/>
    <xf numFmtId="1" fontId="0" fillId="4" borderId="0" xfId="0" applyNumberFormat="1" applyFont="1" applyFill="1" applyBorder="1"/>
    <xf numFmtId="0" fontId="0" fillId="4" borderId="0" xfId="0" applyFill="1"/>
    <xf numFmtId="0" fontId="0" fillId="0" borderId="0" xfId="0"/>
    <xf numFmtId="0" fontId="0" fillId="14" borderId="0" xfId="0" applyFont="1" applyFill="1" applyBorder="1"/>
    <xf numFmtId="49" fontId="0" fillId="14" borderId="0" xfId="0" applyNumberFormat="1" applyFont="1" applyFill="1" applyBorder="1"/>
    <xf numFmtId="0" fontId="0" fillId="14" borderId="0" xfId="0" applyFill="1"/>
    <xf numFmtId="1" fontId="0" fillId="14" borderId="0" xfId="0" applyNumberFormat="1" applyFont="1" applyFill="1" applyBorder="1"/>
    <xf numFmtId="164" fontId="0" fillId="14" borderId="0" xfId="0" applyNumberFormat="1" applyFill="1"/>
    <xf numFmtId="4" fontId="0" fillId="2" borderId="0" xfId="0" applyNumberFormat="1" applyFill="1"/>
    <xf numFmtId="0" fontId="0" fillId="0" borderId="0" xfId="0"/>
    <xf numFmtId="16" fontId="0" fillId="0" borderId="0" xfId="0" applyNumberFormat="1"/>
    <xf numFmtId="22" fontId="0" fillId="0" borderId="0" xfId="0" applyNumberFormat="1"/>
    <xf numFmtId="0" fontId="0" fillId="0" borderId="0" xfId="0"/>
    <xf numFmtId="164" fontId="0" fillId="4" borderId="0" xfId="0" applyNumberFormat="1" applyFill="1"/>
    <xf numFmtId="165" fontId="0" fillId="4" borderId="0" xfId="0" applyNumberFormat="1" applyFont="1" applyFill="1" applyBorder="1"/>
  </cellXfs>
  <cellStyles count="8">
    <cellStyle name="Ergebnis 1" xfId="1" xr:uid="{00000000-0005-0000-0000-000000000000}"/>
    <cellStyle name="Ergebnis 1 1" xfId="2" xr:uid="{00000000-0005-0000-0000-000001000000}"/>
    <cellStyle name="Ergebnis 1 1 1" xfId="3" xr:uid="{00000000-0005-0000-0000-000002000000}"/>
    <cellStyle name="Normal 10 2" xfId="7" xr:uid="{E31E461A-8F80-4A55-BDE7-3AD62FC972AC}"/>
    <cellStyle name="Standard" xfId="0" builtinId="0"/>
    <cellStyle name="Überschrift 1 1" xfId="4" xr:uid="{00000000-0005-0000-0000-000004000000}"/>
    <cellStyle name="Überschrift 1 1 1" xfId="5" xr:uid="{00000000-0005-0000-0000-000005000000}"/>
    <cellStyle name="Überschrift 1 1 1 1" xfId="6"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'Verkauft gesamt'!$A$5</c:f>
              <c:strCache>
                <c:ptCount val="1"/>
                <c:pt idx="0">
                  <c:v>Bücher</c:v>
                </c:pt>
              </c:strCache>
            </c:strRef>
          </c:tx>
          <c:spPr>
            <a:ln w="28575" cap="rnd">
              <a:solidFill>
                <a:schemeClr val="accent2"/>
              </a:solidFill>
              <a:round/>
            </a:ln>
            <a:effectLst/>
          </c:spPr>
          <c:marker>
            <c:symbol val="none"/>
          </c:marker>
          <c:cat>
            <c:numRef>
              <c:f>'Verkauft gesamt'!$B$3:$G$3</c:f>
              <c:numCache>
                <c:formatCode>mmm\-yy</c:formatCode>
                <c:ptCount val="6"/>
                <c:pt idx="0">
                  <c:v>43739</c:v>
                </c:pt>
                <c:pt idx="1">
                  <c:v>43770</c:v>
                </c:pt>
                <c:pt idx="2">
                  <c:v>43800</c:v>
                </c:pt>
                <c:pt idx="3">
                  <c:v>43831</c:v>
                </c:pt>
                <c:pt idx="4">
                  <c:v>43862</c:v>
                </c:pt>
                <c:pt idx="5">
                  <c:v>43891</c:v>
                </c:pt>
              </c:numCache>
            </c:numRef>
          </c:cat>
          <c:val>
            <c:numRef>
              <c:f>'Verkauft gesamt'!$B$5:$G$5</c:f>
              <c:numCache>
                <c:formatCode>#,##0.00\ _€</c:formatCode>
                <c:ptCount val="6"/>
                <c:pt idx="0">
                  <c:v>87.21</c:v>
                </c:pt>
                <c:pt idx="1">
                  <c:v>106.72999999999999</c:v>
                </c:pt>
                <c:pt idx="2">
                  <c:v>161.33999999999992</c:v>
                </c:pt>
                <c:pt idx="3">
                  <c:v>66.16</c:v>
                </c:pt>
                <c:pt idx="4">
                  <c:v>0</c:v>
                </c:pt>
                <c:pt idx="5">
                  <c:v>0</c:v>
                </c:pt>
              </c:numCache>
            </c:numRef>
          </c:val>
          <c:smooth val="0"/>
          <c:extLst>
            <c:ext xmlns:c16="http://schemas.microsoft.com/office/drawing/2014/chart" uri="{C3380CC4-5D6E-409C-BE32-E72D297353CC}">
              <c16:uniqueId val="{00000001-8EFD-4012-A49C-2DDFC655EA13}"/>
            </c:ext>
          </c:extLst>
        </c:ser>
        <c:ser>
          <c:idx val="2"/>
          <c:order val="2"/>
          <c:tx>
            <c:strRef>
              <c:f>'Verkauft gesamt'!$A$6</c:f>
              <c:strCache>
                <c:ptCount val="1"/>
                <c:pt idx="0">
                  <c:v>Hörbücher</c:v>
                </c:pt>
              </c:strCache>
            </c:strRef>
          </c:tx>
          <c:spPr>
            <a:ln w="28575" cap="rnd">
              <a:solidFill>
                <a:schemeClr val="accent3"/>
              </a:solidFill>
              <a:round/>
            </a:ln>
            <a:effectLst/>
          </c:spPr>
          <c:marker>
            <c:symbol val="none"/>
          </c:marker>
          <c:cat>
            <c:numRef>
              <c:f>'Verkauft gesamt'!$B$3:$G$3</c:f>
              <c:numCache>
                <c:formatCode>mmm\-yy</c:formatCode>
                <c:ptCount val="6"/>
                <c:pt idx="0">
                  <c:v>43739</c:v>
                </c:pt>
                <c:pt idx="1">
                  <c:v>43770</c:v>
                </c:pt>
                <c:pt idx="2">
                  <c:v>43800</c:v>
                </c:pt>
                <c:pt idx="3">
                  <c:v>43831</c:v>
                </c:pt>
                <c:pt idx="4">
                  <c:v>43862</c:v>
                </c:pt>
                <c:pt idx="5">
                  <c:v>43891</c:v>
                </c:pt>
              </c:numCache>
            </c:numRef>
          </c:cat>
          <c:val>
            <c:numRef>
              <c:f>'Verkauft gesamt'!$B$6:$G$6</c:f>
              <c:numCache>
                <c:formatCode>#,##0.00\ _€</c:formatCode>
                <c:ptCount val="6"/>
                <c:pt idx="0">
                  <c:v>0</c:v>
                </c:pt>
                <c:pt idx="1">
                  <c:v>0</c:v>
                </c:pt>
                <c:pt idx="2">
                  <c:v>0</c:v>
                </c:pt>
              </c:numCache>
            </c:numRef>
          </c:val>
          <c:smooth val="0"/>
          <c:extLst>
            <c:ext xmlns:c16="http://schemas.microsoft.com/office/drawing/2014/chart" uri="{C3380CC4-5D6E-409C-BE32-E72D297353CC}">
              <c16:uniqueId val="{00000002-8EFD-4012-A49C-2DDFC655EA13}"/>
            </c:ext>
          </c:extLst>
        </c:ser>
        <c:ser>
          <c:idx val="3"/>
          <c:order val="3"/>
          <c:tx>
            <c:strRef>
              <c:f>'Verkauft gesamt'!$A$7</c:f>
              <c:strCache>
                <c:ptCount val="1"/>
                <c:pt idx="0">
                  <c:v>Filme</c:v>
                </c:pt>
              </c:strCache>
            </c:strRef>
          </c:tx>
          <c:spPr>
            <a:ln w="28575" cap="rnd">
              <a:solidFill>
                <a:schemeClr val="accent4"/>
              </a:solidFill>
              <a:round/>
            </a:ln>
            <a:effectLst/>
          </c:spPr>
          <c:marker>
            <c:symbol val="none"/>
          </c:marker>
          <c:cat>
            <c:numRef>
              <c:f>'Verkauft gesamt'!$B$3:$G$3</c:f>
              <c:numCache>
                <c:formatCode>mmm\-yy</c:formatCode>
                <c:ptCount val="6"/>
                <c:pt idx="0">
                  <c:v>43739</c:v>
                </c:pt>
                <c:pt idx="1">
                  <c:v>43770</c:v>
                </c:pt>
                <c:pt idx="2">
                  <c:v>43800</c:v>
                </c:pt>
                <c:pt idx="3">
                  <c:v>43831</c:v>
                </c:pt>
                <c:pt idx="4">
                  <c:v>43862</c:v>
                </c:pt>
                <c:pt idx="5">
                  <c:v>43891</c:v>
                </c:pt>
              </c:numCache>
            </c:numRef>
          </c:cat>
          <c:val>
            <c:numRef>
              <c:f>'Verkauft gesamt'!$B$7:$G$7</c:f>
              <c:numCache>
                <c:formatCode>#,##0.00\ _€</c:formatCode>
                <c:ptCount val="6"/>
                <c:pt idx="0">
                  <c:v>0</c:v>
                </c:pt>
                <c:pt idx="1">
                  <c:v>0</c:v>
                </c:pt>
                <c:pt idx="2">
                  <c:v>0</c:v>
                </c:pt>
              </c:numCache>
            </c:numRef>
          </c:val>
          <c:smooth val="0"/>
          <c:extLst>
            <c:ext xmlns:c16="http://schemas.microsoft.com/office/drawing/2014/chart" uri="{C3380CC4-5D6E-409C-BE32-E72D297353CC}">
              <c16:uniqueId val="{00000003-8EFD-4012-A49C-2DDFC655EA13}"/>
            </c:ext>
          </c:extLst>
        </c:ser>
        <c:ser>
          <c:idx val="4"/>
          <c:order val="4"/>
          <c:tx>
            <c:strRef>
              <c:f>'Verkauft gesamt'!$A$8</c:f>
              <c:strCache>
                <c:ptCount val="1"/>
                <c:pt idx="0">
                  <c:v>Musik</c:v>
                </c:pt>
              </c:strCache>
            </c:strRef>
          </c:tx>
          <c:spPr>
            <a:ln w="28575" cap="rnd">
              <a:solidFill>
                <a:schemeClr val="accent5"/>
              </a:solidFill>
              <a:round/>
            </a:ln>
            <a:effectLst/>
          </c:spPr>
          <c:marker>
            <c:symbol val="none"/>
          </c:marker>
          <c:cat>
            <c:numRef>
              <c:f>'Verkauft gesamt'!$B$3:$G$3</c:f>
              <c:numCache>
                <c:formatCode>mmm\-yy</c:formatCode>
                <c:ptCount val="6"/>
                <c:pt idx="0">
                  <c:v>43739</c:v>
                </c:pt>
                <c:pt idx="1">
                  <c:v>43770</c:v>
                </c:pt>
                <c:pt idx="2">
                  <c:v>43800</c:v>
                </c:pt>
                <c:pt idx="3">
                  <c:v>43831</c:v>
                </c:pt>
                <c:pt idx="4">
                  <c:v>43862</c:v>
                </c:pt>
                <c:pt idx="5">
                  <c:v>43891</c:v>
                </c:pt>
              </c:numCache>
            </c:numRef>
          </c:cat>
          <c:val>
            <c:numRef>
              <c:f>'Verkauft gesamt'!$B$8:$G$8</c:f>
              <c:numCache>
                <c:formatCode>#,##0.00\ _€</c:formatCode>
                <c:ptCount val="6"/>
                <c:pt idx="0">
                  <c:v>0</c:v>
                </c:pt>
                <c:pt idx="1">
                  <c:v>0</c:v>
                </c:pt>
                <c:pt idx="2">
                  <c:v>0</c:v>
                </c:pt>
              </c:numCache>
            </c:numRef>
          </c:val>
          <c:smooth val="0"/>
          <c:extLst>
            <c:ext xmlns:c16="http://schemas.microsoft.com/office/drawing/2014/chart" uri="{C3380CC4-5D6E-409C-BE32-E72D297353CC}">
              <c16:uniqueId val="{00000004-8EFD-4012-A49C-2DDFC655EA13}"/>
            </c:ext>
          </c:extLst>
        </c:ser>
        <c:ser>
          <c:idx val="5"/>
          <c:order val="5"/>
          <c:tx>
            <c:strRef>
              <c:f>'Verkauft gesamt'!$A$9</c:f>
              <c:strCache>
                <c:ptCount val="1"/>
                <c:pt idx="0">
                  <c:v>Spiele</c:v>
                </c:pt>
              </c:strCache>
            </c:strRef>
          </c:tx>
          <c:spPr>
            <a:ln w="28575" cap="rnd">
              <a:solidFill>
                <a:schemeClr val="accent6"/>
              </a:solidFill>
              <a:round/>
            </a:ln>
            <a:effectLst/>
          </c:spPr>
          <c:marker>
            <c:symbol val="none"/>
          </c:marker>
          <c:cat>
            <c:numRef>
              <c:f>'Verkauft gesamt'!$B$3:$G$3</c:f>
              <c:numCache>
                <c:formatCode>mmm\-yy</c:formatCode>
                <c:ptCount val="6"/>
                <c:pt idx="0">
                  <c:v>43739</c:v>
                </c:pt>
                <c:pt idx="1">
                  <c:v>43770</c:v>
                </c:pt>
                <c:pt idx="2">
                  <c:v>43800</c:v>
                </c:pt>
                <c:pt idx="3">
                  <c:v>43831</c:v>
                </c:pt>
                <c:pt idx="4">
                  <c:v>43862</c:v>
                </c:pt>
                <c:pt idx="5">
                  <c:v>43891</c:v>
                </c:pt>
              </c:numCache>
            </c:numRef>
          </c:cat>
          <c:val>
            <c:numRef>
              <c:f>'Verkauft gesamt'!$B$9:$G$9</c:f>
              <c:numCache>
                <c:formatCode>#,##0.00\ _€</c:formatCode>
                <c:ptCount val="6"/>
                <c:pt idx="0">
                  <c:v>0</c:v>
                </c:pt>
                <c:pt idx="1">
                  <c:v>1.7099999999999997</c:v>
                </c:pt>
                <c:pt idx="2">
                  <c:v>23.54</c:v>
                </c:pt>
              </c:numCache>
            </c:numRef>
          </c:val>
          <c:smooth val="0"/>
          <c:extLst>
            <c:ext xmlns:c16="http://schemas.microsoft.com/office/drawing/2014/chart" uri="{C3380CC4-5D6E-409C-BE32-E72D297353CC}">
              <c16:uniqueId val="{00000005-8EFD-4012-A49C-2DDFC655EA13}"/>
            </c:ext>
          </c:extLst>
        </c:ser>
        <c:dLbls>
          <c:showLegendKey val="0"/>
          <c:showVal val="0"/>
          <c:showCatName val="0"/>
          <c:showSerName val="0"/>
          <c:showPercent val="0"/>
          <c:showBubbleSize val="0"/>
        </c:dLbls>
        <c:smooth val="0"/>
        <c:axId val="816021048"/>
        <c:axId val="816015800"/>
        <c:extLst>
          <c:ext xmlns:c15="http://schemas.microsoft.com/office/drawing/2012/chart" uri="{02D57815-91ED-43cb-92C2-25804820EDAC}">
            <c15:filteredLineSeries>
              <c15:ser>
                <c:idx val="0"/>
                <c:order val="0"/>
                <c:tx>
                  <c:strRef>
                    <c:extLst>
                      <c:ext uri="{02D57815-91ED-43cb-92C2-25804820EDAC}">
                        <c15:formulaRef>
                          <c15:sqref>'Verkauft gesamt'!$A$4</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'Verkauft gesamt'!$B$3:$G$3</c15:sqref>
                        </c15:formulaRef>
                      </c:ext>
                    </c:extLst>
                    <c:numCache>
                      <c:formatCode>mmm\-yy</c:formatCode>
                      <c:ptCount val="6"/>
                      <c:pt idx="0">
                        <c:v>43739</c:v>
                      </c:pt>
                      <c:pt idx="1">
                        <c:v>43770</c:v>
                      </c:pt>
                      <c:pt idx="2">
                        <c:v>43800</c:v>
                      </c:pt>
                      <c:pt idx="3">
                        <c:v>43831</c:v>
                      </c:pt>
                      <c:pt idx="4">
                        <c:v>43862</c:v>
                      </c:pt>
                      <c:pt idx="5">
                        <c:v>43891</c:v>
                      </c:pt>
                    </c:numCache>
                  </c:numRef>
                </c:cat>
                <c:val>
                  <c:numRef>
                    <c:extLst>
                      <c:ext uri="{02D57815-91ED-43cb-92C2-25804820EDAC}">
                        <c15:formulaRef>
                          <c15:sqref>'Verkauft gesamt'!$B$4:$G$4</c15:sqref>
                        </c15:formulaRef>
                      </c:ext>
                    </c:extLst>
                    <c:numCache>
                      <c:formatCode>General</c:formatCode>
                      <c:ptCount val="6"/>
                    </c:numCache>
                  </c:numRef>
                </c:val>
                <c:smooth val="0"/>
                <c:extLst>
                  <c:ext xmlns:c16="http://schemas.microsoft.com/office/drawing/2014/chart" uri="{C3380CC4-5D6E-409C-BE32-E72D297353CC}">
                    <c16:uniqueId val="{00000000-8EFD-4012-A49C-2DDFC655EA13}"/>
                  </c:ext>
                </c:extLst>
              </c15:ser>
            </c15:filteredLineSeries>
          </c:ext>
        </c:extLst>
      </c:lineChart>
      <c:dateAx>
        <c:axId val="8160210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16015800"/>
        <c:crosses val="autoZero"/>
        <c:auto val="0"/>
        <c:lblOffset val="100"/>
        <c:baseTimeUnit val="months"/>
      </c:dateAx>
      <c:valAx>
        <c:axId val="816015800"/>
        <c:scaling>
          <c:orientation val="minMax"/>
        </c:scaling>
        <c:delete val="0"/>
        <c:axPos val="l"/>
        <c:majorGridlines>
          <c:spPr>
            <a:ln w="9525" cap="flat" cmpd="sng" algn="ctr">
              <a:solidFill>
                <a:schemeClr val="tx1">
                  <a:lumMod val="15000"/>
                  <a:lumOff val="85000"/>
                </a:schemeClr>
              </a:solidFill>
              <a:round/>
            </a:ln>
            <a:effectLst/>
          </c:spPr>
        </c:majorGridlines>
        <c:numFmt formatCode="#,##0.00\ 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16021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863438296"/>
        <c:axId val="863439936"/>
      </c:lineChart>
      <c:catAx>
        <c:axId val="863438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63439936"/>
        <c:crosses val="autoZero"/>
        <c:auto val="1"/>
        <c:lblAlgn val="ctr"/>
        <c:lblOffset val="100"/>
        <c:noMultiLvlLbl val="0"/>
      </c:catAx>
      <c:valAx>
        <c:axId val="863439936"/>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63438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0</xdr:rowOff>
    </xdr:from>
    <xdr:to>
      <xdr:col>21</xdr:col>
      <xdr:colOff>685800</xdr:colOff>
      <xdr:row>57</xdr:row>
      <xdr:rowOff>133350</xdr:rowOff>
    </xdr:to>
    <xdr:graphicFrame macro="">
      <xdr:nvGraphicFramePr>
        <xdr:cNvPr id="7" name="Diagramm 6">
          <a:extLst>
            <a:ext uri="{FF2B5EF4-FFF2-40B4-BE49-F238E27FC236}">
              <a16:creationId xmlns:a16="http://schemas.microsoft.com/office/drawing/2014/main" id="{48023FC7-CDB8-4E24-AF37-9D9A12392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xdr:row>
      <xdr:rowOff>9525</xdr:rowOff>
    </xdr:from>
    <xdr:to>
      <xdr:col>22</xdr:col>
      <xdr:colOff>28575</xdr:colOff>
      <xdr:row>48</xdr:row>
      <xdr:rowOff>142875</xdr:rowOff>
    </xdr:to>
    <xdr:graphicFrame macro="">
      <xdr:nvGraphicFramePr>
        <xdr:cNvPr id="2" name="Diagramm 1">
          <a:extLst>
            <a:ext uri="{FF2B5EF4-FFF2-40B4-BE49-F238E27FC236}">
              <a16:creationId xmlns:a16="http://schemas.microsoft.com/office/drawing/2014/main" id="{43794BA9-34CA-4CCA-8339-8852B2D6A6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booklooker.de/B%C3%BCcher/Angebote/verlag=Naumann+%2526+G%C3%B6bel+Verlagsgesellschaft" TargetMode="External"/><Relationship Id="rId13" Type="http://schemas.openxmlformats.org/officeDocument/2006/relationships/hyperlink" Target="https://www.booklooker.de/B%C3%BCcher/Angebote/titel=Gespr%C3%A4che+Lun-y%C3%BC+Bibliothek+der+Philosophie+Band" TargetMode="External"/><Relationship Id="rId3" Type="http://schemas.openxmlformats.org/officeDocument/2006/relationships/hyperlink" Target="https://www.booklooker.de/B%C3%BCcher/Angebote/titel=Kreuzwortr%C3%A4tsellexikon+-+000+Begriffe" TargetMode="External"/><Relationship Id="rId7" Type="http://schemas.openxmlformats.org/officeDocument/2006/relationships/hyperlink" Target="https://www.booklooker.de/B%C3%BCcher/Angebote/autor=Finke+Gisela%252F+Schweizer+Ursula%252F+Wiedemann+Bernhard" TargetMode="External"/><Relationship Id="rId12" Type="http://schemas.openxmlformats.org/officeDocument/2006/relationships/hyperlink" Target="https://www.booklooker.de/B%C3%BCcher/Angebote/autor=Konfuzius" TargetMode="External"/><Relationship Id="rId2" Type="http://schemas.openxmlformats.org/officeDocument/2006/relationships/hyperlink" Target="https://www.booklooker.de/B%C3%BCcher/Angebote/autor=Klaus+Hammerschmidt" TargetMode="External"/><Relationship Id="rId1" Type="http://schemas.openxmlformats.org/officeDocument/2006/relationships/hyperlink" Target="https://www.booklooker.de/B%C3%BCcher/Angebote/autor=Nurosi+Aki+und+Mark+Shulman" TargetMode="External"/><Relationship Id="rId6" Type="http://schemas.openxmlformats.org/officeDocument/2006/relationships/hyperlink" Target="https://www.booklooker.de/B%C3%BCcher/Angebote/autor=Drolshagen+Ebba+D%3B+Els%C3%A4sser+Regine" TargetMode="External"/><Relationship Id="rId11" Type="http://schemas.openxmlformats.org/officeDocument/2006/relationships/hyperlink" Target="https://www.booklooker.de/B%C3%BCcher/Angebote/isbn=342662933X" TargetMode="External"/><Relationship Id="rId5" Type="http://schemas.openxmlformats.org/officeDocument/2006/relationships/hyperlink" Target="https://www.booklooker.de/B%C3%BCcher/Angebote/autor=falken+%252B+ohara" TargetMode="External"/><Relationship Id="rId15" Type="http://schemas.openxmlformats.org/officeDocument/2006/relationships/printerSettings" Target="../printerSettings/printerSettings3.bin"/><Relationship Id="rId10" Type="http://schemas.openxmlformats.org/officeDocument/2006/relationships/hyperlink" Target="https://www.booklooker.de/B%C3%BCcher/Angebote/autor=Harder+Gustav+Susi+Harder+und+Sigi+Sirtl" TargetMode="External"/><Relationship Id="rId4" Type="http://schemas.openxmlformats.org/officeDocument/2006/relationships/hyperlink" Target="https://www.booklooker.de/B%C3%BCcher/Angebote/autor=Richard+Blank" TargetMode="External"/><Relationship Id="rId9" Type="http://schemas.openxmlformats.org/officeDocument/2006/relationships/hyperlink" Target="https://www.booklooker.de/B%C3%BCcher/Angebote/autor=Eichendorff+Joseph+von" TargetMode="External"/><Relationship Id="rId14" Type="http://schemas.openxmlformats.org/officeDocument/2006/relationships/hyperlink" Target="https://www.booklooker.de/B%C3%BCcher/Angebote/isbn=978386997239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booklooker.de/B%C3%BCcher/Angebote/verlag=Naumann+%2526+G%C3%B6bel+Verlagsgesellschaft" TargetMode="External"/><Relationship Id="rId13" Type="http://schemas.openxmlformats.org/officeDocument/2006/relationships/hyperlink" Target="https://www.booklooker.de/B%C3%BCcher/Angebote/titel=Gespr%C3%A4che+Lun-y%C3%BC+Bibliothek+der+Philosophie+Band" TargetMode="External"/><Relationship Id="rId3" Type="http://schemas.openxmlformats.org/officeDocument/2006/relationships/hyperlink" Target="https://www.booklooker.de/B%C3%BCcher/Angebote/titel=Kreuzwortr%C3%A4tsellexikon+-+000+Begriffe" TargetMode="External"/><Relationship Id="rId7" Type="http://schemas.openxmlformats.org/officeDocument/2006/relationships/hyperlink" Target="https://www.booklooker.de/B%C3%BCcher/Angebote/autor=Finke+Gisela%252F+Schweizer+Ursula%252F+Wiedemann+Bernhard" TargetMode="External"/><Relationship Id="rId12" Type="http://schemas.openxmlformats.org/officeDocument/2006/relationships/hyperlink" Target="https://www.booklooker.de/B%C3%BCcher/Angebote/autor=Konfuzius" TargetMode="External"/><Relationship Id="rId2" Type="http://schemas.openxmlformats.org/officeDocument/2006/relationships/hyperlink" Target="https://www.booklooker.de/B%C3%BCcher/Angebote/autor=Klaus+Hammerschmidt" TargetMode="External"/><Relationship Id="rId1" Type="http://schemas.openxmlformats.org/officeDocument/2006/relationships/hyperlink" Target="https://www.booklooker.de/B%C3%BCcher/Angebote/autor=Nurosi+Aki+und+Mark+Shulman" TargetMode="External"/><Relationship Id="rId6" Type="http://schemas.openxmlformats.org/officeDocument/2006/relationships/hyperlink" Target="https://www.booklooker.de/B%C3%BCcher/Angebote/autor=Drolshagen+Ebba+D%3B+Els%C3%A4sser+Regine" TargetMode="External"/><Relationship Id="rId11" Type="http://schemas.openxmlformats.org/officeDocument/2006/relationships/hyperlink" Target="https://www.booklooker.de/B%C3%BCcher/Angebote/isbn=342662933X" TargetMode="External"/><Relationship Id="rId5" Type="http://schemas.openxmlformats.org/officeDocument/2006/relationships/hyperlink" Target="https://www.booklooker.de/B%C3%BCcher/Angebote/autor=falken+%252B+ohara" TargetMode="External"/><Relationship Id="rId15" Type="http://schemas.openxmlformats.org/officeDocument/2006/relationships/printerSettings" Target="../printerSettings/printerSettings6.bin"/><Relationship Id="rId10" Type="http://schemas.openxmlformats.org/officeDocument/2006/relationships/hyperlink" Target="https://www.booklooker.de/B%C3%BCcher/Angebote/autor=Harder+Gustav+Susi+Harder+und+Sigi+Sirtl" TargetMode="External"/><Relationship Id="rId4" Type="http://schemas.openxmlformats.org/officeDocument/2006/relationships/hyperlink" Target="https://www.booklooker.de/B%C3%BCcher/Angebote/autor=Richard+Blank" TargetMode="External"/><Relationship Id="rId9" Type="http://schemas.openxmlformats.org/officeDocument/2006/relationships/hyperlink" Target="https://www.booklooker.de/B%C3%BCcher/Angebote/autor=Eichendorff+Joseph+von" TargetMode="External"/><Relationship Id="rId14" Type="http://schemas.openxmlformats.org/officeDocument/2006/relationships/hyperlink" Target="https://www.booklooker.de/B%C3%BCcher/Angebote/isbn=9783869972398"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0"/>
  <sheetViews>
    <sheetView workbookViewId="0"/>
  </sheetViews>
  <sheetFormatPr baseColWidth="10" defaultColWidth="11" defaultRowHeight="13.2" x14ac:dyDescent="0.25"/>
  <cols>
    <col min="1" max="1" width="139.5546875" style="1" customWidth="1"/>
    <col min="2" max="2" width="59" style="1" customWidth="1"/>
    <col min="3" max="16384" width="11" style="2"/>
  </cols>
  <sheetData>
    <row r="1" spans="1:7" ht="15.75" customHeight="1" x14ac:dyDescent="0.25">
      <c r="A1" s="3" t="s">
        <v>0</v>
      </c>
      <c r="B1" s="4"/>
      <c r="C1" s="4"/>
      <c r="D1" s="4"/>
      <c r="E1" s="4"/>
      <c r="F1" s="4"/>
      <c r="G1" s="5"/>
    </row>
    <row r="2" spans="1:7" x14ac:dyDescent="0.25">
      <c r="A2" s="6"/>
      <c r="C2" s="1"/>
      <c r="D2" s="1"/>
      <c r="E2" s="1"/>
      <c r="F2" s="1"/>
      <c r="G2" s="7"/>
    </row>
    <row r="3" spans="1:7" x14ac:dyDescent="0.25">
      <c r="A3" s="8" t="s">
        <v>1</v>
      </c>
      <c r="C3" s="1"/>
      <c r="D3" s="1"/>
      <c r="E3" s="1"/>
      <c r="F3" s="1"/>
      <c r="G3" s="7"/>
    </row>
    <row r="5" spans="1:7" x14ac:dyDescent="0.25">
      <c r="A5" s="9" t="s">
        <v>2</v>
      </c>
    </row>
    <row r="6" spans="1:7" x14ac:dyDescent="0.25">
      <c r="A6" s="9" t="s">
        <v>3</v>
      </c>
    </row>
    <row r="7" spans="1:7" x14ac:dyDescent="0.25">
      <c r="A7" s="6" t="s">
        <v>4</v>
      </c>
    </row>
    <row r="8" spans="1:7" x14ac:dyDescent="0.25">
      <c r="A8" s="6" t="s">
        <v>5</v>
      </c>
    </row>
    <row r="9" spans="1:7" x14ac:dyDescent="0.25">
      <c r="A9" s="6"/>
    </row>
    <row r="10" spans="1:7" x14ac:dyDescent="0.25">
      <c r="A10" s="9" t="s">
        <v>6</v>
      </c>
    </row>
    <row r="11" spans="1:7" x14ac:dyDescent="0.25">
      <c r="A11" s="6" t="s">
        <v>7</v>
      </c>
    </row>
    <row r="12" spans="1:7" x14ac:dyDescent="0.25">
      <c r="A12" s="6" t="s">
        <v>8</v>
      </c>
    </row>
    <row r="13" spans="1:7" x14ac:dyDescent="0.25">
      <c r="A13" s="6" t="s">
        <v>9</v>
      </c>
    </row>
    <row r="14" spans="1:7" x14ac:dyDescent="0.25">
      <c r="A14" s="6" t="s">
        <v>10</v>
      </c>
    </row>
    <row r="15" spans="1:7" x14ac:dyDescent="0.25">
      <c r="A15" s="6" t="s">
        <v>11</v>
      </c>
    </row>
    <row r="16" spans="1:7" x14ac:dyDescent="0.25">
      <c r="A16" s="6" t="s">
        <v>12</v>
      </c>
    </row>
    <row r="17" spans="1:7" x14ac:dyDescent="0.25">
      <c r="A17" s="6"/>
    </row>
    <row r="18" spans="1:7" x14ac:dyDescent="0.25">
      <c r="A18" s="9" t="s">
        <v>13</v>
      </c>
    </row>
    <row r="19" spans="1:7" x14ac:dyDescent="0.25">
      <c r="A19" s="6" t="s">
        <v>14</v>
      </c>
    </row>
    <row r="20" spans="1:7" x14ac:dyDescent="0.25">
      <c r="A20" s="9"/>
    </row>
    <row r="21" spans="1:7" x14ac:dyDescent="0.25">
      <c r="A21" s="9" t="s">
        <v>15</v>
      </c>
    </row>
    <row r="22" spans="1:7" x14ac:dyDescent="0.25">
      <c r="A22" s="6" t="s">
        <v>16</v>
      </c>
      <c r="C22" s="1"/>
      <c r="D22" s="1"/>
      <c r="E22" s="1"/>
      <c r="F22" s="1"/>
      <c r="G22" s="7"/>
    </row>
    <row r="23" spans="1:7" ht="12" customHeight="1" x14ac:dyDescent="0.25">
      <c r="A23" s="6" t="s">
        <v>17</v>
      </c>
      <c r="C23" s="1"/>
      <c r="D23" s="1"/>
      <c r="E23" s="1"/>
      <c r="F23" s="1"/>
      <c r="G23" s="1"/>
    </row>
    <row r="24" spans="1:7" x14ac:dyDescent="0.25">
      <c r="A24" s="6"/>
      <c r="C24" s="1"/>
      <c r="D24" s="1"/>
      <c r="E24" s="1"/>
      <c r="F24" s="1"/>
      <c r="G24" s="1"/>
    </row>
    <row r="25" spans="1:7" x14ac:dyDescent="0.25">
      <c r="A25" s="9" t="s">
        <v>18</v>
      </c>
      <c r="C25" s="1"/>
      <c r="D25" s="1"/>
      <c r="E25" s="1"/>
      <c r="F25" s="1"/>
      <c r="G25" s="1"/>
    </row>
    <row r="26" spans="1:7" x14ac:dyDescent="0.25">
      <c r="A26" s="6" t="s">
        <v>19</v>
      </c>
      <c r="C26" s="1"/>
      <c r="D26" s="1"/>
      <c r="E26" s="1"/>
      <c r="F26" s="1"/>
      <c r="G26" s="1"/>
    </row>
    <row r="27" spans="1:7" x14ac:dyDescent="0.25">
      <c r="A27" s="6" t="s">
        <v>20</v>
      </c>
      <c r="C27" s="1"/>
      <c r="D27" s="1"/>
      <c r="E27" s="1"/>
      <c r="F27" s="1"/>
      <c r="G27" s="1"/>
    </row>
    <row r="28" spans="1:7" x14ac:dyDescent="0.25">
      <c r="A28" s="6" t="s">
        <v>21</v>
      </c>
      <c r="C28" s="1"/>
      <c r="D28" s="1"/>
      <c r="E28" s="1"/>
      <c r="F28" s="1"/>
      <c r="G28" s="1"/>
    </row>
    <row r="29" spans="1:7" x14ac:dyDescent="0.25">
      <c r="A29" s="6" t="s">
        <v>22</v>
      </c>
      <c r="C29" s="1"/>
      <c r="D29" s="1"/>
      <c r="E29" s="1"/>
      <c r="F29" s="1"/>
      <c r="G29" s="1"/>
    </row>
    <row r="30" spans="1:7" x14ac:dyDescent="0.25">
      <c r="A30" s="6" t="s">
        <v>23</v>
      </c>
      <c r="C30" s="1"/>
      <c r="D30" s="1"/>
      <c r="E30" s="1"/>
      <c r="F30" s="1"/>
      <c r="G30" s="1"/>
    </row>
    <row r="31" spans="1:7" x14ac:dyDescent="0.25">
      <c r="A31" s="10" t="s">
        <v>24</v>
      </c>
      <c r="C31" s="1"/>
      <c r="D31" s="1"/>
      <c r="E31" s="1"/>
      <c r="F31" s="1"/>
      <c r="G31" s="7"/>
    </row>
    <row r="32" spans="1:7" x14ac:dyDescent="0.25">
      <c r="A32" s="11"/>
      <c r="C32" s="1"/>
      <c r="D32" s="1"/>
      <c r="E32" s="1"/>
      <c r="F32" s="1"/>
      <c r="G32" s="7"/>
    </row>
    <row r="33" spans="1:7" x14ac:dyDescent="0.25">
      <c r="A33" s="12"/>
      <c r="C33" s="1"/>
      <c r="D33" s="1"/>
      <c r="E33" s="1"/>
      <c r="F33" s="1"/>
      <c r="G33" s="7"/>
    </row>
    <row r="34" spans="1:7" x14ac:dyDescent="0.25">
      <c r="A34" s="11"/>
      <c r="C34" s="1"/>
      <c r="D34" s="1"/>
      <c r="E34" s="1"/>
      <c r="F34" s="1"/>
      <c r="G34" s="7"/>
    </row>
    <row r="35" spans="1:7" x14ac:dyDescent="0.25">
      <c r="A35" s="6"/>
      <c r="C35" s="1"/>
      <c r="D35" s="1"/>
      <c r="E35" s="1"/>
      <c r="F35" s="1"/>
      <c r="G35" s="7"/>
    </row>
    <row r="36" spans="1:7" x14ac:dyDescent="0.25">
      <c r="A36" s="6"/>
      <c r="C36" s="1"/>
      <c r="D36" s="1"/>
      <c r="E36" s="1"/>
      <c r="F36" s="1"/>
      <c r="G36" s="7"/>
    </row>
    <row r="37" spans="1:7" x14ac:dyDescent="0.25">
      <c r="A37" s="6"/>
      <c r="C37" s="1"/>
      <c r="D37" s="1"/>
      <c r="E37" s="1"/>
      <c r="F37" s="1"/>
      <c r="G37" s="7"/>
    </row>
    <row r="38" spans="1:7" x14ac:dyDescent="0.25">
      <c r="A38" s="6"/>
      <c r="C38" s="1"/>
      <c r="D38" s="1"/>
      <c r="E38" s="1"/>
      <c r="F38" s="1"/>
      <c r="G38" s="7"/>
    </row>
    <row r="39" spans="1:7" x14ac:dyDescent="0.25">
      <c r="A39" s="6"/>
      <c r="C39" s="1"/>
      <c r="D39" s="1"/>
      <c r="E39" s="1"/>
      <c r="F39" s="1"/>
      <c r="G39" s="7"/>
    </row>
    <row r="40" spans="1:7" x14ac:dyDescent="0.25">
      <c r="A40" s="13" t="s">
        <v>25</v>
      </c>
      <c r="B40" s="14"/>
      <c r="C40" s="14"/>
      <c r="D40" s="14"/>
      <c r="E40" s="14"/>
      <c r="F40" s="14"/>
      <c r="G40" s="15"/>
    </row>
  </sheetData>
  <sheetProtection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C329-213C-48E4-8DDD-A391F9F92BCE}">
  <dimension ref="A1:AF2224"/>
  <sheetViews>
    <sheetView topLeftCell="K1" workbookViewId="0">
      <selection activeCell="V3" sqref="V3"/>
    </sheetView>
  </sheetViews>
  <sheetFormatPr baseColWidth="10" defaultColWidth="11.5546875" defaultRowHeight="13.2" x14ac:dyDescent="0.25"/>
  <cols>
    <col min="6" max="6" width="15.44140625" customWidth="1"/>
    <col min="7" max="7" width="16.44140625" customWidth="1"/>
    <col min="8" max="8" width="14.88671875" customWidth="1"/>
    <col min="9" max="9" width="21.6640625" customWidth="1"/>
    <col min="13" max="13" width="14.88671875" customWidth="1"/>
    <col min="15" max="15" width="14.44140625" customWidth="1"/>
    <col min="16" max="16" width="15" customWidth="1"/>
    <col min="17" max="17" width="27.109375" style="18" bestFit="1" customWidth="1"/>
    <col min="18" max="18" width="7.109375" style="18" customWidth="1"/>
    <col min="19" max="19" width="9.44140625" style="19" customWidth="1"/>
    <col min="20" max="20" width="20.44140625" style="19" bestFit="1" customWidth="1"/>
    <col min="21" max="21" width="21.44140625" style="18" bestFit="1" customWidth="1"/>
    <col min="22" max="23" width="11"/>
    <col min="24" max="24" width="18.5546875" bestFit="1" customWidth="1"/>
    <col min="25" max="26" width="11"/>
    <col min="27" max="27" width="11.5546875" style="197"/>
    <col min="30" max="31" width="23.109375" customWidth="1"/>
    <col min="32" max="32" width="42.33203125" style="2" customWidth="1"/>
  </cols>
  <sheetData>
    <row r="1" spans="1:32" x14ac:dyDescent="0.25">
      <c r="A1" s="21" t="s">
        <v>26</v>
      </c>
      <c r="B1" s="22" t="s">
        <v>27</v>
      </c>
      <c r="C1" s="23" t="s">
        <v>28</v>
      </c>
      <c r="D1" s="21" t="s">
        <v>29</v>
      </c>
      <c r="E1" s="21" t="s">
        <v>31</v>
      </c>
      <c r="F1" s="21" t="s">
        <v>52</v>
      </c>
      <c r="G1" s="23" t="s">
        <v>53</v>
      </c>
      <c r="H1" s="24" t="s">
        <v>34</v>
      </c>
      <c r="I1" s="21" t="s">
        <v>35</v>
      </c>
      <c r="J1" s="21" t="s">
        <v>36</v>
      </c>
      <c r="K1" s="25" t="s">
        <v>54</v>
      </c>
      <c r="L1" s="21" t="s">
        <v>55</v>
      </c>
      <c r="M1" s="21" t="s">
        <v>37</v>
      </c>
      <c r="N1" s="21" t="s">
        <v>40</v>
      </c>
      <c r="O1" s="26" t="s">
        <v>41</v>
      </c>
      <c r="P1" s="27" t="s">
        <v>42</v>
      </c>
      <c r="Q1" s="21" t="s">
        <v>6555</v>
      </c>
      <c r="R1" s="21" t="s">
        <v>6356</v>
      </c>
      <c r="S1" s="21" t="s">
        <v>4882</v>
      </c>
      <c r="T1" s="21" t="s">
        <v>8641</v>
      </c>
      <c r="U1" s="21" t="s">
        <v>6554</v>
      </c>
      <c r="V1" s="21" t="s">
        <v>6556</v>
      </c>
      <c r="W1" s="21" t="s">
        <v>8607</v>
      </c>
      <c r="X1" s="21" t="s">
        <v>8608</v>
      </c>
      <c r="Y1" s="76">
        <v>43739</v>
      </c>
      <c r="Z1" s="76">
        <v>43770</v>
      </c>
      <c r="AA1" s="76">
        <v>43800</v>
      </c>
      <c r="AB1" s="21" t="s">
        <v>44</v>
      </c>
      <c r="AC1" s="21" t="s">
        <v>45</v>
      </c>
      <c r="AD1" s="21" t="s">
        <v>46</v>
      </c>
      <c r="AE1" s="21" t="s">
        <v>47</v>
      </c>
      <c r="AF1" s="21" t="s">
        <v>50</v>
      </c>
    </row>
    <row r="2" spans="1:32" x14ac:dyDescent="0.25">
      <c r="C2" t="s">
        <v>8931</v>
      </c>
      <c r="D2" t="s">
        <v>8932</v>
      </c>
      <c r="F2" s="2" t="s">
        <v>8933</v>
      </c>
      <c r="G2" s="2" t="s">
        <v>8905</v>
      </c>
      <c r="H2">
        <v>1</v>
      </c>
      <c r="J2" t="s">
        <v>1881</v>
      </c>
      <c r="L2">
        <v>30</v>
      </c>
      <c r="N2" t="s">
        <v>8934</v>
      </c>
      <c r="O2">
        <v>25</v>
      </c>
      <c r="P2" s="30">
        <f>X2</f>
        <v>3.8687999999999998</v>
      </c>
      <c r="Q2" s="53">
        <v>3.9</v>
      </c>
      <c r="R2" s="68"/>
      <c r="S2" s="68" t="str">
        <f>IF(O2&lt;501,"1,90","2,20")</f>
        <v>1,90</v>
      </c>
      <c r="T2" s="68">
        <v>0.34</v>
      </c>
      <c r="U2" s="68">
        <v>1.5</v>
      </c>
      <c r="V2" s="72">
        <f t="shared" ref="V2:V38" si="0">(R2+U2+T2)/100*7</f>
        <v>0.1288</v>
      </c>
      <c r="W2" s="72">
        <f>Q2</f>
        <v>3.9</v>
      </c>
      <c r="X2" s="72">
        <f>R2+S2+T2+U2+V2</f>
        <v>3.8687999999999998</v>
      </c>
      <c r="Y2" s="80"/>
      <c r="Z2" s="80"/>
      <c r="AA2" s="153"/>
      <c r="AD2" s="2" t="s">
        <v>51</v>
      </c>
      <c r="AE2" s="2" t="s">
        <v>51</v>
      </c>
      <c r="AF2" s="18"/>
    </row>
    <row r="3" spans="1:32" x14ac:dyDescent="0.25">
      <c r="B3" t="s">
        <v>8936</v>
      </c>
      <c r="C3" t="s">
        <v>8937</v>
      </c>
      <c r="D3" t="s">
        <v>8939</v>
      </c>
      <c r="E3">
        <v>2015</v>
      </c>
      <c r="F3" s="2" t="s">
        <v>8933</v>
      </c>
      <c r="G3" s="2" t="s">
        <v>8905</v>
      </c>
      <c r="H3">
        <v>1</v>
      </c>
      <c r="J3" t="s">
        <v>1881</v>
      </c>
      <c r="K3" t="s">
        <v>8938</v>
      </c>
      <c r="L3">
        <v>390</v>
      </c>
      <c r="M3" s="101">
        <v>9783455310313</v>
      </c>
      <c r="N3" t="s">
        <v>8935</v>
      </c>
      <c r="O3">
        <v>141</v>
      </c>
      <c r="P3" s="30">
        <f t="shared" ref="P3:P38" si="1">X3</f>
        <v>5.0992999999999995</v>
      </c>
      <c r="Q3" s="53">
        <v>5.0999999999999996</v>
      </c>
      <c r="R3" s="68"/>
      <c r="S3" s="68" t="str">
        <f t="shared" ref="S3:S38" si="2">IF(O3&lt;501,"1,90","2,20")</f>
        <v>1,90</v>
      </c>
      <c r="T3" s="68">
        <v>0.34</v>
      </c>
      <c r="U3" s="68">
        <v>2.65</v>
      </c>
      <c r="V3" s="72">
        <f>(R3+U3+T3)/100*7</f>
        <v>0.20929999999999999</v>
      </c>
      <c r="W3" s="72">
        <f t="shared" ref="W3:W38" si="3">Q3</f>
        <v>5.0999999999999996</v>
      </c>
      <c r="X3" s="72">
        <f t="shared" ref="X3:X38" si="4">R3+S3+T3+U3+V3</f>
        <v>5.0992999999999995</v>
      </c>
      <c r="Y3" s="80"/>
      <c r="Z3" s="80"/>
      <c r="AA3" s="153"/>
      <c r="AD3" s="2" t="s">
        <v>51</v>
      </c>
      <c r="AE3" s="2" t="s">
        <v>51</v>
      </c>
      <c r="AF3" s="18"/>
    </row>
    <row r="4" spans="1:32" x14ac:dyDescent="0.25">
      <c r="A4" s="2"/>
      <c r="B4" s="2"/>
      <c r="C4" s="2" t="s">
        <v>8980</v>
      </c>
      <c r="D4" s="2"/>
      <c r="E4" s="1"/>
      <c r="F4" s="2" t="s">
        <v>8933</v>
      </c>
      <c r="G4" s="2" t="s">
        <v>8905</v>
      </c>
      <c r="H4" s="16" t="s">
        <v>1879</v>
      </c>
      <c r="I4" s="1"/>
      <c r="J4" s="2" t="s">
        <v>1881</v>
      </c>
      <c r="K4" s="16"/>
      <c r="L4" s="2"/>
      <c r="M4" s="18"/>
      <c r="N4" t="s">
        <v>9007</v>
      </c>
      <c r="O4" s="49">
        <v>88</v>
      </c>
      <c r="P4" s="30">
        <f t="shared" si="1"/>
        <v>3.8152999999999997</v>
      </c>
      <c r="Q4" s="53">
        <f>3+0.85</f>
        <v>3.85</v>
      </c>
      <c r="R4" s="1"/>
      <c r="S4" s="68" t="str">
        <f t="shared" si="2"/>
        <v>1,90</v>
      </c>
      <c r="T4" s="68">
        <v>0.34</v>
      </c>
      <c r="U4" s="68">
        <v>1.45</v>
      </c>
      <c r="V4" s="72">
        <f t="shared" si="0"/>
        <v>0.12529999999999999</v>
      </c>
      <c r="W4" s="72">
        <f t="shared" si="3"/>
        <v>3.85</v>
      </c>
      <c r="X4" s="72">
        <f t="shared" si="4"/>
        <v>3.8152999999999997</v>
      </c>
      <c r="Y4" s="2"/>
      <c r="Z4" s="18"/>
      <c r="AA4" s="199"/>
      <c r="AF4"/>
    </row>
    <row r="5" spans="1:32" x14ac:dyDescent="0.25">
      <c r="A5" s="157">
        <v>2219</v>
      </c>
      <c r="B5" s="155" t="s">
        <v>9576</v>
      </c>
      <c r="C5" s="155" t="s">
        <v>9577</v>
      </c>
      <c r="D5" s="155" t="s">
        <v>9578</v>
      </c>
      <c r="E5" s="155">
        <v>2015</v>
      </c>
      <c r="F5" s="156" t="s">
        <v>9579</v>
      </c>
      <c r="G5" s="156" t="s">
        <v>8905</v>
      </c>
      <c r="H5" s="155">
        <v>2</v>
      </c>
      <c r="I5" s="155"/>
      <c r="J5" s="155" t="s">
        <v>1881</v>
      </c>
      <c r="K5" s="155"/>
      <c r="L5" s="155">
        <v>60</v>
      </c>
      <c r="M5" s="158">
        <v>4260264434300</v>
      </c>
      <c r="N5" s="155" t="s">
        <v>9584</v>
      </c>
      <c r="O5" s="159">
        <v>90</v>
      </c>
      <c r="P5" s="30">
        <f t="shared" si="1"/>
        <v>2.2637999999999998</v>
      </c>
      <c r="Q5" s="53">
        <v>3.68</v>
      </c>
      <c r="R5" s="68"/>
      <c r="S5" s="68" t="str">
        <f t="shared" si="2"/>
        <v>1,90</v>
      </c>
      <c r="T5" s="68">
        <v>0.34</v>
      </c>
      <c r="U5" s="68"/>
      <c r="V5" s="72">
        <f t="shared" si="0"/>
        <v>2.3800000000000002E-2</v>
      </c>
      <c r="W5" s="72">
        <f t="shared" si="3"/>
        <v>3.68</v>
      </c>
      <c r="X5" s="72">
        <f t="shared" si="4"/>
        <v>2.2637999999999998</v>
      </c>
      <c r="Y5" s="80"/>
      <c r="Z5" s="80"/>
      <c r="AA5" s="153"/>
      <c r="AD5" s="2" t="s">
        <v>51</v>
      </c>
      <c r="AE5" s="2" t="s">
        <v>51</v>
      </c>
      <c r="AF5" s="18"/>
    </row>
    <row r="6" spans="1:32" x14ac:dyDescent="0.25">
      <c r="A6" s="155">
        <v>2219</v>
      </c>
      <c r="B6" s="155" t="s">
        <v>9576</v>
      </c>
      <c r="C6" s="155" t="s">
        <v>9580</v>
      </c>
      <c r="D6" s="155" t="s">
        <v>9578</v>
      </c>
      <c r="E6" s="155">
        <v>2012</v>
      </c>
      <c r="F6" s="156" t="s">
        <v>9579</v>
      </c>
      <c r="G6" s="156" t="s">
        <v>8905</v>
      </c>
      <c r="H6" s="155">
        <v>2</v>
      </c>
      <c r="I6" s="155"/>
      <c r="J6" s="155" t="s">
        <v>1881</v>
      </c>
      <c r="K6" s="155"/>
      <c r="L6" s="155">
        <v>60</v>
      </c>
      <c r="M6" s="158">
        <v>4260009915897</v>
      </c>
      <c r="N6" s="155" t="s">
        <v>9585</v>
      </c>
      <c r="O6" s="159">
        <v>90</v>
      </c>
      <c r="P6" s="30">
        <f t="shared" si="1"/>
        <v>2.2637999999999998</v>
      </c>
      <c r="Q6" s="64">
        <v>1.99</v>
      </c>
      <c r="R6" s="68"/>
      <c r="S6" s="68" t="str">
        <f t="shared" si="2"/>
        <v>1,90</v>
      </c>
      <c r="T6" s="68">
        <v>0.34</v>
      </c>
      <c r="U6" s="68"/>
      <c r="V6" s="72">
        <f t="shared" si="0"/>
        <v>2.3800000000000002E-2</v>
      </c>
      <c r="W6" s="72">
        <f t="shared" si="3"/>
        <v>1.99</v>
      </c>
      <c r="X6" s="72">
        <f t="shared" si="4"/>
        <v>2.2637999999999998</v>
      </c>
      <c r="Y6" s="80"/>
      <c r="Z6" s="80"/>
      <c r="AA6" s="153"/>
      <c r="AD6" s="2" t="s">
        <v>51</v>
      </c>
      <c r="AE6" s="2" t="s">
        <v>51</v>
      </c>
      <c r="AF6" s="18"/>
    </row>
    <row r="7" spans="1:32" x14ac:dyDescent="0.25">
      <c r="A7" s="155">
        <v>2219</v>
      </c>
      <c r="B7" s="155" t="s">
        <v>9576</v>
      </c>
      <c r="C7" s="155" t="s">
        <v>9581</v>
      </c>
      <c r="D7" s="155" t="s">
        <v>9578</v>
      </c>
      <c r="E7" s="155">
        <v>2017</v>
      </c>
      <c r="F7" s="156" t="s">
        <v>9579</v>
      </c>
      <c r="G7" s="156" t="s">
        <v>8905</v>
      </c>
      <c r="H7" s="155">
        <v>2</v>
      </c>
      <c r="I7" s="155"/>
      <c r="J7" s="155" t="s">
        <v>1881</v>
      </c>
      <c r="K7" s="155"/>
      <c r="L7" s="155">
        <v>70</v>
      </c>
      <c r="M7" s="158">
        <v>4260264435086</v>
      </c>
      <c r="N7" s="155" t="s">
        <v>9586</v>
      </c>
      <c r="O7" s="159">
        <v>88</v>
      </c>
      <c r="P7" s="30">
        <f t="shared" si="1"/>
        <v>2.2637999999999998</v>
      </c>
      <c r="Q7" s="53">
        <v>0.97</v>
      </c>
      <c r="R7" s="68"/>
      <c r="S7" s="68" t="str">
        <f t="shared" si="2"/>
        <v>1,90</v>
      </c>
      <c r="T7" s="68">
        <v>0.34</v>
      </c>
      <c r="U7" s="68"/>
      <c r="V7" s="72">
        <f t="shared" si="0"/>
        <v>2.3800000000000002E-2</v>
      </c>
      <c r="W7" s="72">
        <f t="shared" si="3"/>
        <v>0.97</v>
      </c>
      <c r="X7" s="72">
        <f t="shared" si="4"/>
        <v>2.2637999999999998</v>
      </c>
      <c r="Y7" s="80"/>
      <c r="Z7" s="80"/>
      <c r="AA7" s="153"/>
      <c r="AD7" s="2" t="s">
        <v>51</v>
      </c>
      <c r="AE7" s="2" t="s">
        <v>51</v>
      </c>
      <c r="AF7" s="18"/>
    </row>
    <row r="8" spans="1:32" x14ac:dyDescent="0.25">
      <c r="A8" s="155">
        <v>2219</v>
      </c>
      <c r="B8" s="155" t="s">
        <v>9576</v>
      </c>
      <c r="C8" s="155" t="s">
        <v>9582</v>
      </c>
      <c r="D8" s="155" t="s">
        <v>9578</v>
      </c>
      <c r="E8" s="155">
        <v>2015</v>
      </c>
      <c r="F8" s="156" t="s">
        <v>9579</v>
      </c>
      <c r="G8" s="156" t="s">
        <v>8905</v>
      </c>
      <c r="H8" s="155">
        <v>3</v>
      </c>
      <c r="I8" s="155"/>
      <c r="J8" s="155" t="s">
        <v>1881</v>
      </c>
      <c r="K8" s="155"/>
      <c r="L8" s="155">
        <v>60</v>
      </c>
      <c r="M8" s="158">
        <v>4260264434317</v>
      </c>
      <c r="N8" s="155" t="s">
        <v>9587</v>
      </c>
      <c r="O8" s="159">
        <v>88</v>
      </c>
      <c r="P8" s="30">
        <f t="shared" si="1"/>
        <v>2.2637999999999998</v>
      </c>
      <c r="Q8" s="53">
        <v>0.78</v>
      </c>
      <c r="R8" s="68"/>
      <c r="S8" s="68" t="str">
        <f t="shared" si="2"/>
        <v>1,90</v>
      </c>
      <c r="T8" s="68">
        <v>0.34</v>
      </c>
      <c r="U8" s="68"/>
      <c r="V8" s="72">
        <f t="shared" si="0"/>
        <v>2.3800000000000002E-2</v>
      </c>
      <c r="W8" s="72">
        <f t="shared" si="3"/>
        <v>0.78</v>
      </c>
      <c r="X8" s="72">
        <f t="shared" si="4"/>
        <v>2.2637999999999998</v>
      </c>
      <c r="Y8" s="80"/>
      <c r="Z8" s="80"/>
      <c r="AA8" s="153"/>
      <c r="AD8" s="2" t="s">
        <v>51</v>
      </c>
      <c r="AE8" s="2" t="s">
        <v>51</v>
      </c>
      <c r="AF8" s="18"/>
    </row>
    <row r="9" spans="1:32" x14ac:dyDescent="0.25">
      <c r="A9" s="155">
        <v>2219</v>
      </c>
      <c r="B9" s="155" t="s">
        <v>9576</v>
      </c>
      <c r="C9" s="155" t="s">
        <v>9583</v>
      </c>
      <c r="D9" s="155" t="s">
        <v>9578</v>
      </c>
      <c r="E9" s="155">
        <v>2016</v>
      </c>
      <c r="F9" s="156" t="s">
        <v>9579</v>
      </c>
      <c r="G9" s="156" t="s">
        <v>8905</v>
      </c>
      <c r="H9" s="158">
        <v>2</v>
      </c>
      <c r="I9" s="155"/>
      <c r="J9" s="155" t="s">
        <v>1881</v>
      </c>
      <c r="K9" s="155"/>
      <c r="L9" s="155">
        <v>70</v>
      </c>
      <c r="M9" s="158">
        <v>4260264434348</v>
      </c>
      <c r="N9" s="155" t="s">
        <v>9588</v>
      </c>
      <c r="O9" s="159">
        <v>88</v>
      </c>
      <c r="P9" s="30">
        <f t="shared" si="1"/>
        <v>2.2637999999999998</v>
      </c>
      <c r="Q9" s="53">
        <v>1.99</v>
      </c>
      <c r="R9" s="68"/>
      <c r="S9" s="68" t="str">
        <f t="shared" si="2"/>
        <v>1,90</v>
      </c>
      <c r="T9" s="68">
        <v>0.34</v>
      </c>
      <c r="U9" s="68"/>
      <c r="V9" s="72">
        <f t="shared" si="0"/>
        <v>2.3800000000000002E-2</v>
      </c>
      <c r="W9" s="72">
        <f t="shared" si="3"/>
        <v>1.99</v>
      </c>
      <c r="X9" s="72">
        <f t="shared" si="4"/>
        <v>2.2637999999999998</v>
      </c>
      <c r="Y9" s="80"/>
      <c r="Z9" s="80"/>
      <c r="AA9" s="153"/>
      <c r="AD9" s="2" t="s">
        <v>51</v>
      </c>
      <c r="AE9" s="2" t="s">
        <v>51</v>
      </c>
      <c r="AF9" s="18"/>
    </row>
    <row r="10" spans="1:32" x14ac:dyDescent="0.25">
      <c r="F10" s="2" t="s">
        <v>56</v>
      </c>
      <c r="G10" s="2" t="s">
        <v>56</v>
      </c>
      <c r="P10" s="30">
        <f t="shared" si="1"/>
        <v>2.2637999999999998</v>
      </c>
      <c r="Q10" s="53"/>
      <c r="R10" s="68"/>
      <c r="S10" s="68" t="str">
        <f t="shared" si="2"/>
        <v>1,90</v>
      </c>
      <c r="T10" s="68">
        <v>0.34</v>
      </c>
      <c r="U10" s="68"/>
      <c r="V10" s="72">
        <f t="shared" si="0"/>
        <v>2.3800000000000002E-2</v>
      </c>
      <c r="W10" s="72">
        <f t="shared" si="3"/>
        <v>0</v>
      </c>
      <c r="X10" s="72">
        <f t="shared" si="4"/>
        <v>2.2637999999999998</v>
      </c>
      <c r="Y10" s="80"/>
      <c r="Z10" s="80"/>
      <c r="AA10" s="153"/>
      <c r="AD10" s="2" t="s">
        <v>51</v>
      </c>
      <c r="AE10" s="2" t="s">
        <v>51</v>
      </c>
      <c r="AF10" s="18"/>
    </row>
    <row r="11" spans="1:32" x14ac:dyDescent="0.25">
      <c r="F11" s="2" t="s">
        <v>56</v>
      </c>
      <c r="G11" s="2" t="s">
        <v>56</v>
      </c>
      <c r="P11" s="30">
        <f t="shared" si="1"/>
        <v>2.2637999999999998</v>
      </c>
      <c r="Q11" s="53"/>
      <c r="R11" s="68"/>
      <c r="S11" s="68" t="str">
        <f t="shared" si="2"/>
        <v>1,90</v>
      </c>
      <c r="T11" s="68">
        <v>0.34</v>
      </c>
      <c r="U11" s="68"/>
      <c r="V11" s="72">
        <f t="shared" si="0"/>
        <v>2.3800000000000002E-2</v>
      </c>
      <c r="W11" s="72">
        <f t="shared" si="3"/>
        <v>0</v>
      </c>
      <c r="X11" s="72">
        <f t="shared" si="4"/>
        <v>2.2637999999999998</v>
      </c>
      <c r="Y11" s="80"/>
      <c r="Z11" s="80"/>
      <c r="AA11" s="153"/>
      <c r="AD11" s="2" t="s">
        <v>51</v>
      </c>
      <c r="AE11" s="2" t="s">
        <v>51</v>
      </c>
      <c r="AF11" s="18"/>
    </row>
    <row r="12" spans="1:32" x14ac:dyDescent="0.25">
      <c r="F12" s="2" t="s">
        <v>56</v>
      </c>
      <c r="G12" s="2" t="s">
        <v>56</v>
      </c>
      <c r="P12" s="30">
        <f t="shared" si="1"/>
        <v>2.2637999999999998</v>
      </c>
      <c r="Q12" s="53"/>
      <c r="R12" s="68"/>
      <c r="S12" s="68" t="str">
        <f t="shared" si="2"/>
        <v>1,90</v>
      </c>
      <c r="T12" s="68">
        <v>0.34</v>
      </c>
      <c r="U12" s="68"/>
      <c r="V12" s="72">
        <f t="shared" si="0"/>
        <v>2.3800000000000002E-2</v>
      </c>
      <c r="W12" s="72">
        <f t="shared" si="3"/>
        <v>0</v>
      </c>
      <c r="X12" s="72">
        <f t="shared" si="4"/>
        <v>2.2637999999999998</v>
      </c>
      <c r="Y12" s="80"/>
      <c r="Z12" s="80"/>
      <c r="AA12" s="153"/>
      <c r="AD12" s="2" t="s">
        <v>51</v>
      </c>
      <c r="AE12" s="2" t="s">
        <v>51</v>
      </c>
      <c r="AF12" s="18"/>
    </row>
    <row r="13" spans="1:32" x14ac:dyDescent="0.25">
      <c r="F13" s="2" t="s">
        <v>56</v>
      </c>
      <c r="G13" s="2" t="s">
        <v>56</v>
      </c>
      <c r="P13" s="30">
        <f t="shared" si="1"/>
        <v>2.2637999999999998</v>
      </c>
      <c r="Q13" s="53"/>
      <c r="R13" s="68"/>
      <c r="S13" s="68" t="str">
        <f t="shared" si="2"/>
        <v>1,90</v>
      </c>
      <c r="T13" s="68">
        <v>0.34</v>
      </c>
      <c r="U13" s="68"/>
      <c r="V13" s="72">
        <f t="shared" si="0"/>
        <v>2.3800000000000002E-2</v>
      </c>
      <c r="W13" s="72">
        <f t="shared" si="3"/>
        <v>0</v>
      </c>
      <c r="X13" s="72">
        <f t="shared" si="4"/>
        <v>2.2637999999999998</v>
      </c>
      <c r="Y13" s="85"/>
      <c r="Z13" s="85"/>
      <c r="AA13" s="85"/>
      <c r="AD13" s="2" t="s">
        <v>51</v>
      </c>
      <c r="AE13" s="2" t="s">
        <v>51</v>
      </c>
      <c r="AF13" s="18"/>
    </row>
    <row r="14" spans="1:32" x14ac:dyDescent="0.25">
      <c r="F14" s="2" t="s">
        <v>56</v>
      </c>
      <c r="G14" s="2" t="s">
        <v>56</v>
      </c>
      <c r="P14" s="30">
        <f t="shared" si="1"/>
        <v>2.2637999999999998</v>
      </c>
      <c r="Q14" s="53"/>
      <c r="R14" s="68"/>
      <c r="S14" s="68" t="str">
        <f t="shared" si="2"/>
        <v>1,90</v>
      </c>
      <c r="T14" s="68">
        <v>0.34</v>
      </c>
      <c r="U14" s="68"/>
      <c r="V14" s="72">
        <f t="shared" si="0"/>
        <v>2.3800000000000002E-2</v>
      </c>
      <c r="W14" s="72">
        <f t="shared" si="3"/>
        <v>0</v>
      </c>
      <c r="X14" s="72">
        <f t="shared" si="4"/>
        <v>2.2637999999999998</v>
      </c>
      <c r="Y14" s="80"/>
      <c r="Z14" s="80"/>
      <c r="AA14" s="153"/>
      <c r="AD14" s="2" t="s">
        <v>51</v>
      </c>
      <c r="AE14" s="2" t="s">
        <v>51</v>
      </c>
      <c r="AF14" s="18"/>
    </row>
    <row r="15" spans="1:32" x14ac:dyDescent="0.25">
      <c r="F15" s="2" t="s">
        <v>56</v>
      </c>
      <c r="G15" s="2" t="s">
        <v>56</v>
      </c>
      <c r="P15" s="30">
        <f t="shared" si="1"/>
        <v>2.2637999999999998</v>
      </c>
      <c r="Q15" s="53"/>
      <c r="R15" s="68"/>
      <c r="S15" s="68" t="str">
        <f t="shared" si="2"/>
        <v>1,90</v>
      </c>
      <c r="T15" s="68">
        <v>0.34</v>
      </c>
      <c r="U15" s="68"/>
      <c r="V15" s="72">
        <f t="shared" si="0"/>
        <v>2.3800000000000002E-2</v>
      </c>
      <c r="W15" s="72">
        <f t="shared" si="3"/>
        <v>0</v>
      </c>
      <c r="X15" s="72">
        <f t="shared" si="4"/>
        <v>2.2637999999999998</v>
      </c>
      <c r="Y15" s="85"/>
      <c r="Z15" s="85"/>
      <c r="AA15" s="85"/>
      <c r="AD15" s="2" t="s">
        <v>51</v>
      </c>
      <c r="AE15" s="2" t="s">
        <v>51</v>
      </c>
      <c r="AF15" s="18"/>
    </row>
    <row r="16" spans="1:32" x14ac:dyDescent="0.25">
      <c r="F16" s="2" t="s">
        <v>56</v>
      </c>
      <c r="G16" s="2" t="s">
        <v>56</v>
      </c>
      <c r="P16" s="30">
        <f t="shared" si="1"/>
        <v>2.2637999999999998</v>
      </c>
      <c r="Q16" s="53"/>
      <c r="R16" s="68"/>
      <c r="S16" s="68" t="str">
        <f t="shared" si="2"/>
        <v>1,90</v>
      </c>
      <c r="T16" s="68">
        <v>0.34</v>
      </c>
      <c r="U16" s="68"/>
      <c r="V16" s="72">
        <f t="shared" si="0"/>
        <v>2.3800000000000002E-2</v>
      </c>
      <c r="W16" s="72">
        <f t="shared" si="3"/>
        <v>0</v>
      </c>
      <c r="X16" s="72">
        <f t="shared" si="4"/>
        <v>2.2637999999999998</v>
      </c>
      <c r="Y16" s="80"/>
      <c r="Z16" s="80"/>
      <c r="AA16" s="153"/>
      <c r="AD16" s="2" t="s">
        <v>51</v>
      </c>
      <c r="AE16" s="2" t="s">
        <v>51</v>
      </c>
      <c r="AF16" s="18"/>
    </row>
    <row r="17" spans="6:32" x14ac:dyDescent="0.25">
      <c r="F17" s="2" t="s">
        <v>56</v>
      </c>
      <c r="G17" s="2" t="s">
        <v>56</v>
      </c>
      <c r="P17" s="30">
        <f t="shared" si="1"/>
        <v>2.2637999999999998</v>
      </c>
      <c r="Q17" s="53"/>
      <c r="R17" s="68"/>
      <c r="S17" s="68" t="str">
        <f t="shared" si="2"/>
        <v>1,90</v>
      </c>
      <c r="T17" s="68">
        <v>0.34</v>
      </c>
      <c r="U17" s="68"/>
      <c r="V17" s="72">
        <f t="shared" si="0"/>
        <v>2.3800000000000002E-2</v>
      </c>
      <c r="W17" s="72">
        <f t="shared" si="3"/>
        <v>0</v>
      </c>
      <c r="X17" s="72">
        <f t="shared" si="4"/>
        <v>2.2637999999999998</v>
      </c>
      <c r="Y17" s="80"/>
      <c r="Z17" s="80"/>
      <c r="AA17" s="153"/>
      <c r="AD17" s="2" t="s">
        <v>51</v>
      </c>
      <c r="AE17" s="2" t="s">
        <v>51</v>
      </c>
      <c r="AF17" s="18"/>
    </row>
    <row r="18" spans="6:32" x14ac:dyDescent="0.25">
      <c r="F18" s="2" t="s">
        <v>56</v>
      </c>
      <c r="G18" s="2" t="s">
        <v>56</v>
      </c>
      <c r="P18" s="30">
        <f t="shared" si="1"/>
        <v>2.2637999999999998</v>
      </c>
      <c r="Q18" s="53"/>
      <c r="R18" s="68"/>
      <c r="S18" s="68" t="str">
        <f t="shared" si="2"/>
        <v>1,90</v>
      </c>
      <c r="T18" s="68">
        <v>0.34</v>
      </c>
      <c r="U18" s="68"/>
      <c r="V18" s="72">
        <f t="shared" si="0"/>
        <v>2.3800000000000002E-2</v>
      </c>
      <c r="W18" s="72">
        <f t="shared" si="3"/>
        <v>0</v>
      </c>
      <c r="X18" s="72">
        <f t="shared" si="4"/>
        <v>2.2637999999999998</v>
      </c>
      <c r="Y18" s="80"/>
      <c r="Z18" s="80"/>
      <c r="AA18" s="153"/>
      <c r="AD18" s="2" t="s">
        <v>51</v>
      </c>
      <c r="AE18" s="2" t="s">
        <v>51</v>
      </c>
      <c r="AF18" s="18"/>
    </row>
    <row r="19" spans="6:32" x14ac:dyDescent="0.25">
      <c r="F19" s="2" t="s">
        <v>56</v>
      </c>
      <c r="G19" s="2" t="s">
        <v>56</v>
      </c>
      <c r="P19" s="30">
        <f t="shared" si="1"/>
        <v>2.2637999999999998</v>
      </c>
      <c r="Q19" s="53"/>
      <c r="R19" s="68"/>
      <c r="S19" s="68" t="str">
        <f t="shared" si="2"/>
        <v>1,90</v>
      </c>
      <c r="T19" s="68">
        <v>0.34</v>
      </c>
      <c r="U19" s="68"/>
      <c r="V19" s="72">
        <f t="shared" si="0"/>
        <v>2.3800000000000002E-2</v>
      </c>
      <c r="W19" s="72">
        <f t="shared" si="3"/>
        <v>0</v>
      </c>
      <c r="X19" s="72">
        <f t="shared" si="4"/>
        <v>2.2637999999999998</v>
      </c>
      <c r="Y19" s="80"/>
      <c r="Z19" s="80"/>
      <c r="AA19" s="153"/>
      <c r="AD19" s="2" t="s">
        <v>51</v>
      </c>
      <c r="AE19" s="2" t="s">
        <v>51</v>
      </c>
      <c r="AF19" s="18"/>
    </row>
    <row r="20" spans="6:32" x14ac:dyDescent="0.25">
      <c r="F20" s="2" t="s">
        <v>56</v>
      </c>
      <c r="G20" s="2" t="s">
        <v>56</v>
      </c>
      <c r="P20" s="30">
        <f t="shared" si="1"/>
        <v>2.2637999999999998</v>
      </c>
      <c r="Q20" s="53"/>
      <c r="R20" s="68"/>
      <c r="S20" s="68" t="str">
        <f t="shared" si="2"/>
        <v>1,90</v>
      </c>
      <c r="T20" s="68">
        <v>0.34</v>
      </c>
      <c r="U20" s="68"/>
      <c r="V20" s="72">
        <f t="shared" si="0"/>
        <v>2.3800000000000002E-2</v>
      </c>
      <c r="W20" s="72">
        <f t="shared" si="3"/>
        <v>0</v>
      </c>
      <c r="X20" s="72">
        <f t="shared" si="4"/>
        <v>2.2637999999999998</v>
      </c>
      <c r="Y20" s="85"/>
      <c r="Z20" s="85"/>
      <c r="AA20" s="85"/>
      <c r="AD20" s="2" t="s">
        <v>51</v>
      </c>
      <c r="AE20" s="2" t="s">
        <v>51</v>
      </c>
      <c r="AF20" s="18"/>
    </row>
    <row r="21" spans="6:32" x14ac:dyDescent="0.25">
      <c r="F21" s="2" t="s">
        <v>56</v>
      </c>
      <c r="G21" s="2" t="s">
        <v>56</v>
      </c>
      <c r="P21" s="30">
        <f t="shared" si="1"/>
        <v>2.2637999999999998</v>
      </c>
      <c r="Q21" s="53"/>
      <c r="R21" s="68"/>
      <c r="S21" s="68" t="str">
        <f t="shared" si="2"/>
        <v>1,90</v>
      </c>
      <c r="T21" s="68">
        <v>0.34</v>
      </c>
      <c r="U21" s="68"/>
      <c r="V21" s="72">
        <f t="shared" si="0"/>
        <v>2.3800000000000002E-2</v>
      </c>
      <c r="W21" s="72">
        <f t="shared" si="3"/>
        <v>0</v>
      </c>
      <c r="X21" s="72">
        <f t="shared" si="4"/>
        <v>2.2637999999999998</v>
      </c>
      <c r="Y21" s="80"/>
      <c r="Z21" s="80"/>
      <c r="AA21" s="153"/>
      <c r="AD21" s="2" t="s">
        <v>51</v>
      </c>
      <c r="AE21" s="2" t="s">
        <v>51</v>
      </c>
      <c r="AF21" s="18"/>
    </row>
    <row r="22" spans="6:32" x14ac:dyDescent="0.25">
      <c r="F22" s="2" t="s">
        <v>56</v>
      </c>
      <c r="G22" s="2" t="s">
        <v>56</v>
      </c>
      <c r="P22" s="30">
        <f t="shared" si="1"/>
        <v>2.2637999999999998</v>
      </c>
      <c r="Q22" s="53"/>
      <c r="R22" s="68"/>
      <c r="S22" s="68" t="str">
        <f t="shared" si="2"/>
        <v>1,90</v>
      </c>
      <c r="T22" s="68">
        <v>0.34</v>
      </c>
      <c r="U22" s="68"/>
      <c r="V22" s="72">
        <f t="shared" si="0"/>
        <v>2.3800000000000002E-2</v>
      </c>
      <c r="W22" s="72">
        <f t="shared" si="3"/>
        <v>0</v>
      </c>
      <c r="X22" s="72">
        <f t="shared" si="4"/>
        <v>2.2637999999999998</v>
      </c>
      <c r="Y22" s="80"/>
      <c r="Z22" s="80"/>
      <c r="AA22" s="153"/>
      <c r="AD22" s="2" t="s">
        <v>51</v>
      </c>
      <c r="AE22" s="2" t="s">
        <v>51</v>
      </c>
      <c r="AF22" s="18"/>
    </row>
    <row r="23" spans="6:32" x14ac:dyDescent="0.25">
      <c r="F23" s="2" t="s">
        <v>56</v>
      </c>
      <c r="G23" s="2" t="s">
        <v>56</v>
      </c>
      <c r="P23" s="30">
        <f t="shared" si="1"/>
        <v>2.2637999999999998</v>
      </c>
      <c r="Q23" s="53"/>
      <c r="R23" s="68"/>
      <c r="S23" s="68" t="str">
        <f t="shared" si="2"/>
        <v>1,90</v>
      </c>
      <c r="T23" s="68">
        <v>0.34</v>
      </c>
      <c r="U23" s="68"/>
      <c r="V23" s="72">
        <f t="shared" si="0"/>
        <v>2.3800000000000002E-2</v>
      </c>
      <c r="W23" s="72">
        <f t="shared" si="3"/>
        <v>0</v>
      </c>
      <c r="X23" s="72">
        <f t="shared" si="4"/>
        <v>2.2637999999999998</v>
      </c>
      <c r="Y23" s="80"/>
      <c r="Z23" s="80"/>
      <c r="AA23" s="153"/>
      <c r="AD23" s="2" t="s">
        <v>51</v>
      </c>
      <c r="AE23" s="2" t="s">
        <v>51</v>
      </c>
      <c r="AF23" s="18"/>
    </row>
    <row r="24" spans="6:32" x14ac:dyDescent="0.25">
      <c r="F24" s="2" t="s">
        <v>56</v>
      </c>
      <c r="G24" s="2" t="s">
        <v>56</v>
      </c>
      <c r="P24" s="30">
        <f t="shared" si="1"/>
        <v>2.2637999999999998</v>
      </c>
      <c r="Q24" s="53"/>
      <c r="R24" s="68"/>
      <c r="S24" s="68" t="str">
        <f t="shared" si="2"/>
        <v>1,90</v>
      </c>
      <c r="T24" s="68">
        <v>0.34</v>
      </c>
      <c r="U24" s="68"/>
      <c r="V24" s="72">
        <f t="shared" si="0"/>
        <v>2.3800000000000002E-2</v>
      </c>
      <c r="W24" s="72">
        <f t="shared" si="3"/>
        <v>0</v>
      </c>
      <c r="X24" s="72">
        <f t="shared" si="4"/>
        <v>2.2637999999999998</v>
      </c>
      <c r="Y24" s="80"/>
      <c r="Z24" s="80"/>
      <c r="AA24" s="153"/>
      <c r="AD24" s="2" t="s">
        <v>51</v>
      </c>
      <c r="AE24" s="2" t="s">
        <v>51</v>
      </c>
      <c r="AF24" s="18"/>
    </row>
    <row r="25" spans="6:32" x14ac:dyDescent="0.25">
      <c r="F25" s="2" t="s">
        <v>56</v>
      </c>
      <c r="G25" s="2" t="s">
        <v>56</v>
      </c>
      <c r="P25" s="30">
        <f t="shared" si="1"/>
        <v>2.2637999999999998</v>
      </c>
      <c r="Q25" s="53"/>
      <c r="R25" s="68"/>
      <c r="S25" s="68" t="str">
        <f t="shared" si="2"/>
        <v>1,90</v>
      </c>
      <c r="T25" s="68">
        <v>0.34</v>
      </c>
      <c r="U25" s="68"/>
      <c r="V25" s="72">
        <f t="shared" si="0"/>
        <v>2.3800000000000002E-2</v>
      </c>
      <c r="W25" s="72">
        <f t="shared" si="3"/>
        <v>0</v>
      </c>
      <c r="X25" s="72">
        <f t="shared" si="4"/>
        <v>2.2637999999999998</v>
      </c>
      <c r="Y25" s="80"/>
      <c r="Z25" s="80"/>
      <c r="AA25" s="153"/>
      <c r="AD25" s="2" t="s">
        <v>51</v>
      </c>
      <c r="AE25" s="2" t="s">
        <v>51</v>
      </c>
      <c r="AF25" s="18"/>
    </row>
    <row r="26" spans="6:32" x14ac:dyDescent="0.25">
      <c r="F26" s="2" t="s">
        <v>56</v>
      </c>
      <c r="G26" s="2" t="s">
        <v>56</v>
      </c>
      <c r="P26" s="30">
        <f t="shared" si="1"/>
        <v>2.2637999999999998</v>
      </c>
      <c r="Q26" s="53"/>
      <c r="R26" s="68"/>
      <c r="S26" s="68" t="str">
        <f t="shared" si="2"/>
        <v>1,90</v>
      </c>
      <c r="T26" s="68">
        <v>0.34</v>
      </c>
      <c r="U26" s="68"/>
      <c r="V26" s="72">
        <f t="shared" si="0"/>
        <v>2.3800000000000002E-2</v>
      </c>
      <c r="W26" s="72">
        <f t="shared" si="3"/>
        <v>0</v>
      </c>
      <c r="X26" s="72">
        <f t="shared" si="4"/>
        <v>2.2637999999999998</v>
      </c>
      <c r="Y26" s="80"/>
      <c r="Z26" s="80"/>
      <c r="AA26" s="153"/>
      <c r="AD26" s="2" t="s">
        <v>51</v>
      </c>
      <c r="AE26" s="2" t="s">
        <v>51</v>
      </c>
      <c r="AF26" s="18"/>
    </row>
    <row r="27" spans="6:32" x14ac:dyDescent="0.25">
      <c r="F27" s="2" t="s">
        <v>56</v>
      </c>
      <c r="G27" s="2" t="s">
        <v>56</v>
      </c>
      <c r="P27" s="30">
        <f t="shared" si="1"/>
        <v>2.2637999999999998</v>
      </c>
      <c r="Q27" s="53"/>
      <c r="R27" s="68"/>
      <c r="S27" s="68" t="str">
        <f t="shared" si="2"/>
        <v>1,90</v>
      </c>
      <c r="T27" s="68">
        <v>0.34</v>
      </c>
      <c r="U27" s="68"/>
      <c r="V27" s="72">
        <f t="shared" si="0"/>
        <v>2.3800000000000002E-2</v>
      </c>
      <c r="W27" s="72">
        <f t="shared" si="3"/>
        <v>0</v>
      </c>
      <c r="X27" s="72">
        <f t="shared" si="4"/>
        <v>2.2637999999999998</v>
      </c>
      <c r="Y27" s="80"/>
      <c r="Z27" s="80"/>
      <c r="AA27" s="153"/>
      <c r="AD27" s="2" t="s">
        <v>51</v>
      </c>
      <c r="AE27" s="2" t="s">
        <v>51</v>
      </c>
      <c r="AF27" s="18"/>
    </row>
    <row r="28" spans="6:32" x14ac:dyDescent="0.25">
      <c r="F28" s="2" t="s">
        <v>56</v>
      </c>
      <c r="G28" s="2" t="s">
        <v>56</v>
      </c>
      <c r="P28" s="30">
        <f t="shared" si="1"/>
        <v>2.2637999999999998</v>
      </c>
      <c r="Q28" s="53"/>
      <c r="R28" s="68"/>
      <c r="S28" s="68" t="str">
        <f t="shared" si="2"/>
        <v>1,90</v>
      </c>
      <c r="T28" s="68">
        <v>0.34</v>
      </c>
      <c r="U28" s="68"/>
      <c r="V28" s="72">
        <f t="shared" si="0"/>
        <v>2.3800000000000002E-2</v>
      </c>
      <c r="W28" s="72">
        <f t="shared" si="3"/>
        <v>0</v>
      </c>
      <c r="X28" s="72">
        <f t="shared" si="4"/>
        <v>2.2637999999999998</v>
      </c>
      <c r="Y28" s="80"/>
      <c r="Z28" s="80"/>
      <c r="AA28" s="153"/>
      <c r="AD28" s="2" t="s">
        <v>51</v>
      </c>
      <c r="AE28" s="2" t="s">
        <v>51</v>
      </c>
      <c r="AF28" s="18"/>
    </row>
    <row r="29" spans="6:32" x14ac:dyDescent="0.25">
      <c r="F29" s="2" t="s">
        <v>56</v>
      </c>
      <c r="G29" s="2" t="s">
        <v>56</v>
      </c>
      <c r="P29" s="30">
        <f t="shared" si="1"/>
        <v>2.2637999999999998</v>
      </c>
      <c r="Q29" s="53"/>
      <c r="R29" s="68"/>
      <c r="S29" s="68" t="str">
        <f t="shared" si="2"/>
        <v>1,90</v>
      </c>
      <c r="T29" s="68">
        <v>0.34</v>
      </c>
      <c r="U29" s="68"/>
      <c r="V29" s="72">
        <f t="shared" si="0"/>
        <v>2.3800000000000002E-2</v>
      </c>
      <c r="W29" s="72">
        <f t="shared" si="3"/>
        <v>0</v>
      </c>
      <c r="X29" s="72">
        <f t="shared" si="4"/>
        <v>2.2637999999999998</v>
      </c>
      <c r="Y29" s="80"/>
      <c r="Z29" s="80"/>
      <c r="AA29" s="153"/>
      <c r="AD29" s="2" t="s">
        <v>51</v>
      </c>
      <c r="AE29" s="2" t="s">
        <v>51</v>
      </c>
      <c r="AF29" s="18"/>
    </row>
    <row r="30" spans="6:32" x14ac:dyDescent="0.25">
      <c r="F30" s="2" t="s">
        <v>56</v>
      </c>
      <c r="G30" s="2" t="s">
        <v>56</v>
      </c>
      <c r="P30" s="30">
        <f t="shared" si="1"/>
        <v>2.2637999999999998</v>
      </c>
      <c r="Q30" s="53"/>
      <c r="R30" s="68"/>
      <c r="S30" s="68" t="str">
        <f t="shared" si="2"/>
        <v>1,90</v>
      </c>
      <c r="T30" s="68">
        <v>0.34</v>
      </c>
      <c r="U30" s="68"/>
      <c r="V30" s="72">
        <f t="shared" si="0"/>
        <v>2.3800000000000002E-2</v>
      </c>
      <c r="W30" s="72">
        <f t="shared" si="3"/>
        <v>0</v>
      </c>
      <c r="X30" s="72">
        <f t="shared" si="4"/>
        <v>2.2637999999999998</v>
      </c>
      <c r="Y30" s="80"/>
      <c r="Z30" s="80"/>
      <c r="AA30" s="153"/>
      <c r="AD30" s="2" t="s">
        <v>51</v>
      </c>
      <c r="AE30" s="2" t="s">
        <v>51</v>
      </c>
      <c r="AF30" s="18"/>
    </row>
    <row r="31" spans="6:32" x14ac:dyDescent="0.25">
      <c r="F31" s="2" t="s">
        <v>56</v>
      </c>
      <c r="G31" s="2" t="s">
        <v>56</v>
      </c>
      <c r="P31" s="30">
        <f t="shared" si="1"/>
        <v>2.2637999999999998</v>
      </c>
      <c r="Q31" s="53"/>
      <c r="R31" s="68"/>
      <c r="S31" s="68" t="str">
        <f t="shared" si="2"/>
        <v>1,90</v>
      </c>
      <c r="T31" s="68">
        <v>0.34</v>
      </c>
      <c r="U31" s="68"/>
      <c r="V31" s="72">
        <f t="shared" si="0"/>
        <v>2.3800000000000002E-2</v>
      </c>
      <c r="W31" s="72">
        <f t="shared" si="3"/>
        <v>0</v>
      </c>
      <c r="X31" s="72">
        <f t="shared" si="4"/>
        <v>2.2637999999999998</v>
      </c>
      <c r="Y31" s="80"/>
      <c r="Z31" s="80"/>
      <c r="AA31" s="153"/>
      <c r="AD31" s="2" t="s">
        <v>51</v>
      </c>
      <c r="AE31" s="2" t="s">
        <v>51</v>
      </c>
      <c r="AF31" s="18"/>
    </row>
    <row r="32" spans="6:32" x14ac:dyDescent="0.25">
      <c r="F32" s="2" t="s">
        <v>56</v>
      </c>
      <c r="G32" s="2" t="s">
        <v>56</v>
      </c>
      <c r="P32" s="30">
        <f t="shared" si="1"/>
        <v>2.2637999999999998</v>
      </c>
      <c r="Q32" s="53"/>
      <c r="R32" s="68"/>
      <c r="S32" s="68" t="str">
        <f t="shared" si="2"/>
        <v>1,90</v>
      </c>
      <c r="T32" s="68">
        <v>0.34</v>
      </c>
      <c r="U32" s="68"/>
      <c r="V32" s="72">
        <f t="shared" si="0"/>
        <v>2.3800000000000002E-2</v>
      </c>
      <c r="W32" s="72">
        <f t="shared" si="3"/>
        <v>0</v>
      </c>
      <c r="X32" s="72">
        <f t="shared" si="4"/>
        <v>2.2637999999999998</v>
      </c>
      <c r="Y32" s="80"/>
      <c r="Z32" s="80"/>
      <c r="AA32" s="153"/>
      <c r="AD32" s="2" t="s">
        <v>51</v>
      </c>
      <c r="AE32" s="2" t="s">
        <v>51</v>
      </c>
      <c r="AF32" s="18"/>
    </row>
    <row r="33" spans="6:32" x14ac:dyDescent="0.25">
      <c r="F33" s="2" t="s">
        <v>56</v>
      </c>
      <c r="G33" s="2" t="s">
        <v>56</v>
      </c>
      <c r="P33" s="30">
        <f t="shared" si="1"/>
        <v>2.2637999999999998</v>
      </c>
      <c r="Q33" s="53"/>
      <c r="R33" s="68"/>
      <c r="S33" s="68" t="str">
        <f t="shared" si="2"/>
        <v>1,90</v>
      </c>
      <c r="T33" s="68">
        <v>0.34</v>
      </c>
      <c r="U33" s="68"/>
      <c r="V33" s="72">
        <f t="shared" si="0"/>
        <v>2.3800000000000002E-2</v>
      </c>
      <c r="W33" s="72">
        <f t="shared" si="3"/>
        <v>0</v>
      </c>
      <c r="X33" s="72">
        <f t="shared" si="4"/>
        <v>2.2637999999999998</v>
      </c>
      <c r="Y33" s="80"/>
      <c r="Z33" s="80"/>
      <c r="AA33" s="153"/>
      <c r="AD33" s="2" t="s">
        <v>51</v>
      </c>
      <c r="AE33" s="2" t="s">
        <v>51</v>
      </c>
      <c r="AF33" s="18"/>
    </row>
    <row r="34" spans="6:32" x14ac:dyDescent="0.25">
      <c r="F34" s="2" t="s">
        <v>56</v>
      </c>
      <c r="G34" s="2" t="s">
        <v>56</v>
      </c>
      <c r="P34" s="30">
        <f t="shared" si="1"/>
        <v>2.2637999999999998</v>
      </c>
      <c r="Q34" s="53"/>
      <c r="R34" s="68"/>
      <c r="S34" s="68" t="str">
        <f t="shared" si="2"/>
        <v>1,90</v>
      </c>
      <c r="T34" s="68">
        <v>0.34</v>
      </c>
      <c r="U34" s="68"/>
      <c r="V34" s="72">
        <f t="shared" si="0"/>
        <v>2.3800000000000002E-2</v>
      </c>
      <c r="W34" s="72">
        <f t="shared" si="3"/>
        <v>0</v>
      </c>
      <c r="X34" s="72">
        <f t="shared" si="4"/>
        <v>2.2637999999999998</v>
      </c>
      <c r="Y34" s="80"/>
      <c r="Z34" s="80"/>
      <c r="AA34" s="153"/>
      <c r="AD34" s="2" t="s">
        <v>51</v>
      </c>
      <c r="AE34" s="2" t="s">
        <v>51</v>
      </c>
      <c r="AF34" s="18"/>
    </row>
    <row r="35" spans="6:32" x14ac:dyDescent="0.25">
      <c r="F35" s="2" t="s">
        <v>56</v>
      </c>
      <c r="G35" s="2" t="s">
        <v>56</v>
      </c>
      <c r="P35" s="30">
        <f t="shared" si="1"/>
        <v>2.2637999999999998</v>
      </c>
      <c r="Q35" s="53"/>
      <c r="R35" s="68"/>
      <c r="S35" s="68" t="str">
        <f t="shared" si="2"/>
        <v>1,90</v>
      </c>
      <c r="T35" s="68">
        <v>0.34</v>
      </c>
      <c r="U35" s="68"/>
      <c r="V35" s="72">
        <f t="shared" si="0"/>
        <v>2.3800000000000002E-2</v>
      </c>
      <c r="W35" s="72">
        <f t="shared" si="3"/>
        <v>0</v>
      </c>
      <c r="X35" s="72">
        <f t="shared" si="4"/>
        <v>2.2637999999999998</v>
      </c>
      <c r="Y35" s="80"/>
      <c r="Z35" s="80"/>
      <c r="AA35" s="153"/>
      <c r="AD35" s="2" t="s">
        <v>51</v>
      </c>
      <c r="AE35" s="2" t="s">
        <v>51</v>
      </c>
      <c r="AF35" s="18"/>
    </row>
    <row r="36" spans="6:32" x14ac:dyDescent="0.25">
      <c r="F36" s="2" t="s">
        <v>56</v>
      </c>
      <c r="G36" s="2" t="s">
        <v>56</v>
      </c>
      <c r="P36" s="30">
        <f t="shared" si="1"/>
        <v>2.2637999999999998</v>
      </c>
      <c r="Q36" s="53"/>
      <c r="R36" s="68"/>
      <c r="S36" s="68" t="str">
        <f t="shared" si="2"/>
        <v>1,90</v>
      </c>
      <c r="T36" s="68">
        <v>0.34</v>
      </c>
      <c r="U36" s="68"/>
      <c r="V36" s="72">
        <f t="shared" si="0"/>
        <v>2.3800000000000002E-2</v>
      </c>
      <c r="W36" s="72">
        <f t="shared" si="3"/>
        <v>0</v>
      </c>
      <c r="X36" s="72">
        <f t="shared" si="4"/>
        <v>2.2637999999999998</v>
      </c>
      <c r="Y36" s="80"/>
      <c r="Z36" s="80"/>
      <c r="AA36" s="153"/>
      <c r="AD36" s="2" t="s">
        <v>51</v>
      </c>
      <c r="AE36" s="2" t="s">
        <v>51</v>
      </c>
      <c r="AF36" s="18"/>
    </row>
    <row r="37" spans="6:32" x14ac:dyDescent="0.25">
      <c r="F37" s="2" t="s">
        <v>56</v>
      </c>
      <c r="G37" s="2" t="s">
        <v>56</v>
      </c>
      <c r="P37" s="30">
        <f t="shared" si="1"/>
        <v>2.2637999999999998</v>
      </c>
      <c r="Q37" s="53"/>
      <c r="R37" s="68"/>
      <c r="S37" s="68" t="str">
        <f t="shared" si="2"/>
        <v>1,90</v>
      </c>
      <c r="T37" s="68">
        <v>0.34</v>
      </c>
      <c r="U37" s="68"/>
      <c r="V37" s="72">
        <f t="shared" si="0"/>
        <v>2.3800000000000002E-2</v>
      </c>
      <c r="W37" s="72">
        <f t="shared" si="3"/>
        <v>0</v>
      </c>
      <c r="X37" s="72">
        <f t="shared" si="4"/>
        <v>2.2637999999999998</v>
      </c>
      <c r="Y37" s="80"/>
      <c r="Z37" s="80"/>
      <c r="AA37" s="153"/>
      <c r="AD37" s="2" t="s">
        <v>51</v>
      </c>
      <c r="AE37" s="2" t="s">
        <v>51</v>
      </c>
      <c r="AF37" s="18"/>
    </row>
    <row r="38" spans="6:32" x14ac:dyDescent="0.25">
      <c r="F38" s="2" t="s">
        <v>56</v>
      </c>
      <c r="G38" s="2" t="s">
        <v>56</v>
      </c>
      <c r="P38" s="30">
        <f t="shared" si="1"/>
        <v>2.2637999999999998</v>
      </c>
      <c r="Q38" s="53"/>
      <c r="R38" s="68"/>
      <c r="S38" s="68" t="str">
        <f t="shared" si="2"/>
        <v>1,90</v>
      </c>
      <c r="T38" s="68">
        <v>0.34</v>
      </c>
      <c r="U38" s="68"/>
      <c r="V38" s="72">
        <f t="shared" si="0"/>
        <v>2.3800000000000002E-2</v>
      </c>
      <c r="W38" s="72">
        <f t="shared" si="3"/>
        <v>0</v>
      </c>
      <c r="X38" s="72">
        <f t="shared" si="4"/>
        <v>2.2637999999999998</v>
      </c>
      <c r="Y38" s="80"/>
      <c r="Z38" s="80"/>
      <c r="AA38" s="153"/>
      <c r="AD38" s="2" t="s">
        <v>51</v>
      </c>
      <c r="AE38" s="2" t="s">
        <v>51</v>
      </c>
      <c r="AF38" s="18"/>
    </row>
    <row r="39" spans="6:32" x14ac:dyDescent="0.25">
      <c r="F39" s="2" t="s">
        <v>56</v>
      </c>
      <c r="G39" s="2" t="s">
        <v>56</v>
      </c>
      <c r="P39" s="30"/>
      <c r="Q39" s="53"/>
      <c r="R39" s="68"/>
      <c r="S39" s="68"/>
      <c r="T39" s="68"/>
      <c r="U39" s="68"/>
      <c r="V39" s="72"/>
      <c r="W39" s="72"/>
      <c r="X39" s="66"/>
      <c r="Y39" s="80"/>
      <c r="Z39" s="80"/>
      <c r="AA39" s="153"/>
      <c r="AD39" s="2" t="s">
        <v>51</v>
      </c>
      <c r="AE39" s="2" t="s">
        <v>51</v>
      </c>
      <c r="AF39" s="18"/>
    </row>
    <row r="40" spans="6:32" x14ac:dyDescent="0.25">
      <c r="F40" s="2" t="s">
        <v>56</v>
      </c>
      <c r="G40" s="2" t="s">
        <v>56</v>
      </c>
      <c r="P40" s="30"/>
      <c r="Q40" s="53"/>
      <c r="R40" s="68"/>
      <c r="S40" s="68"/>
      <c r="T40" s="68"/>
      <c r="U40" s="68"/>
      <c r="V40" s="72"/>
      <c r="W40" s="72"/>
      <c r="X40" s="66"/>
      <c r="Y40" s="80"/>
      <c r="Z40" s="80"/>
      <c r="AA40" s="153"/>
      <c r="AD40" s="2" t="s">
        <v>51</v>
      </c>
      <c r="AE40" s="2" t="s">
        <v>51</v>
      </c>
      <c r="AF40" s="18"/>
    </row>
    <row r="41" spans="6:32" x14ac:dyDescent="0.25">
      <c r="F41" s="2" t="s">
        <v>56</v>
      </c>
      <c r="G41" s="2" t="s">
        <v>56</v>
      </c>
      <c r="P41" s="30"/>
      <c r="Q41" s="53"/>
      <c r="R41" s="68"/>
      <c r="S41" s="68"/>
      <c r="T41" s="68"/>
      <c r="U41" s="68"/>
      <c r="V41" s="72"/>
      <c r="W41" s="72"/>
      <c r="X41" s="66"/>
      <c r="Y41" s="80"/>
      <c r="Z41" s="80"/>
      <c r="AA41" s="153"/>
      <c r="AD41" s="2" t="s">
        <v>51</v>
      </c>
      <c r="AE41" s="2" t="s">
        <v>51</v>
      </c>
      <c r="AF41" s="18"/>
    </row>
    <row r="42" spans="6:32" x14ac:dyDescent="0.25">
      <c r="F42" s="2" t="s">
        <v>56</v>
      </c>
      <c r="G42" s="2" t="s">
        <v>56</v>
      </c>
      <c r="P42" s="30"/>
      <c r="Q42" s="53"/>
      <c r="R42" s="68"/>
      <c r="S42" s="68"/>
      <c r="T42" s="68"/>
      <c r="U42" s="68"/>
      <c r="V42" s="72"/>
      <c r="W42" s="72"/>
      <c r="X42" s="66"/>
      <c r="Y42" s="80"/>
      <c r="Z42" s="80"/>
      <c r="AA42" s="153"/>
      <c r="AD42" s="2" t="s">
        <v>51</v>
      </c>
      <c r="AE42" s="2" t="s">
        <v>51</v>
      </c>
      <c r="AF42" s="18"/>
    </row>
    <row r="43" spans="6:32" x14ac:dyDescent="0.25">
      <c r="F43" s="2" t="s">
        <v>56</v>
      </c>
      <c r="G43" s="2" t="s">
        <v>56</v>
      </c>
      <c r="P43" s="30"/>
      <c r="Q43" s="53"/>
      <c r="R43" s="68"/>
      <c r="S43" s="68"/>
      <c r="T43" s="68"/>
      <c r="U43" s="68"/>
      <c r="V43" s="72"/>
      <c r="W43" s="72"/>
      <c r="X43" s="66"/>
      <c r="Y43" s="80"/>
      <c r="Z43" s="80"/>
      <c r="AA43" s="153"/>
      <c r="AD43" s="2" t="s">
        <v>51</v>
      </c>
      <c r="AE43" s="2" t="s">
        <v>51</v>
      </c>
      <c r="AF43" s="18"/>
    </row>
    <row r="44" spans="6:32" x14ac:dyDescent="0.25">
      <c r="F44" s="2" t="s">
        <v>56</v>
      </c>
      <c r="G44" s="2" t="s">
        <v>56</v>
      </c>
      <c r="P44" s="30"/>
      <c r="Q44" s="53"/>
      <c r="R44" s="68"/>
      <c r="S44" s="68"/>
      <c r="T44" s="68"/>
      <c r="U44" s="68"/>
      <c r="V44" s="72"/>
      <c r="W44" s="72"/>
      <c r="X44" s="66"/>
      <c r="Y44" s="80"/>
      <c r="Z44" s="80"/>
      <c r="AA44" s="153"/>
      <c r="AD44" s="2" t="s">
        <v>51</v>
      </c>
      <c r="AE44" s="2" t="s">
        <v>51</v>
      </c>
      <c r="AF44" s="18"/>
    </row>
    <row r="45" spans="6:32" x14ac:dyDescent="0.25">
      <c r="F45" s="2" t="s">
        <v>56</v>
      </c>
      <c r="G45" s="2" t="s">
        <v>56</v>
      </c>
      <c r="P45" s="30"/>
      <c r="Q45" s="53"/>
      <c r="R45" s="68"/>
      <c r="S45" s="68"/>
      <c r="T45" s="68"/>
      <c r="U45" s="68"/>
      <c r="V45" s="72"/>
      <c r="W45" s="72"/>
      <c r="X45" s="66"/>
      <c r="Y45" s="80"/>
      <c r="Z45" s="80"/>
      <c r="AA45" s="153"/>
      <c r="AD45" s="2" t="s">
        <v>51</v>
      </c>
      <c r="AE45" s="2" t="s">
        <v>51</v>
      </c>
      <c r="AF45" s="18"/>
    </row>
    <row r="46" spans="6:32" x14ac:dyDescent="0.25">
      <c r="F46" s="2" t="s">
        <v>56</v>
      </c>
      <c r="G46" s="2" t="s">
        <v>56</v>
      </c>
      <c r="P46" s="30"/>
      <c r="Q46" s="53"/>
      <c r="R46" s="68"/>
      <c r="S46" s="68"/>
      <c r="T46" s="68"/>
      <c r="U46" s="68"/>
      <c r="V46" s="72"/>
      <c r="W46" s="72"/>
      <c r="X46" s="66"/>
      <c r="Y46" s="80"/>
      <c r="Z46" s="80"/>
      <c r="AA46" s="153"/>
      <c r="AD46" s="2" t="s">
        <v>51</v>
      </c>
      <c r="AE46" s="2" t="s">
        <v>51</v>
      </c>
      <c r="AF46" s="18"/>
    </row>
    <row r="47" spans="6:32" x14ac:dyDescent="0.25">
      <c r="F47" s="2" t="s">
        <v>56</v>
      </c>
      <c r="G47" s="2" t="s">
        <v>56</v>
      </c>
      <c r="P47" s="30"/>
      <c r="Q47" s="53"/>
      <c r="R47" s="78"/>
      <c r="S47" s="68"/>
      <c r="T47" s="68"/>
      <c r="U47" s="68"/>
      <c r="V47" s="72"/>
      <c r="W47" s="72"/>
      <c r="X47" s="66"/>
      <c r="Y47" s="87"/>
      <c r="Z47" s="87"/>
      <c r="AA47" s="87"/>
      <c r="AD47" s="2" t="s">
        <v>51</v>
      </c>
      <c r="AE47" s="2" t="s">
        <v>51</v>
      </c>
      <c r="AF47" s="18"/>
    </row>
    <row r="48" spans="6:32" x14ac:dyDescent="0.25">
      <c r="F48" s="2" t="s">
        <v>56</v>
      </c>
      <c r="G48" s="2" t="s">
        <v>56</v>
      </c>
      <c r="P48" s="30"/>
      <c r="Q48" s="53"/>
      <c r="R48" s="68"/>
      <c r="S48" s="68"/>
      <c r="T48" s="68"/>
      <c r="U48" s="68"/>
      <c r="V48" s="72"/>
      <c r="W48" s="72"/>
      <c r="X48" s="66"/>
      <c r="Y48" s="80"/>
      <c r="Z48" s="80"/>
      <c r="AA48" s="153"/>
      <c r="AD48" s="2" t="s">
        <v>51</v>
      </c>
      <c r="AE48" s="2" t="s">
        <v>51</v>
      </c>
      <c r="AF48" s="18"/>
    </row>
    <row r="49" spans="6:32" x14ac:dyDescent="0.25">
      <c r="F49" s="2" t="s">
        <v>56</v>
      </c>
      <c r="G49" s="2" t="s">
        <v>56</v>
      </c>
      <c r="P49" s="30"/>
      <c r="Q49" s="53"/>
      <c r="R49" s="68"/>
      <c r="S49" s="68"/>
      <c r="T49" s="68"/>
      <c r="U49" s="68"/>
      <c r="V49" s="72"/>
      <c r="W49" s="72"/>
      <c r="X49" s="66"/>
      <c r="Y49" s="80"/>
      <c r="Z49" s="80"/>
      <c r="AA49" s="153"/>
      <c r="AD49" s="2" t="s">
        <v>51</v>
      </c>
      <c r="AE49" s="2" t="s">
        <v>51</v>
      </c>
      <c r="AF49" s="18"/>
    </row>
    <row r="50" spans="6:32" x14ac:dyDescent="0.25">
      <c r="F50" s="2" t="s">
        <v>56</v>
      </c>
      <c r="G50" s="2" t="s">
        <v>56</v>
      </c>
      <c r="P50" s="30"/>
      <c r="Q50" s="53"/>
      <c r="R50" s="68"/>
      <c r="S50" s="68"/>
      <c r="T50" s="68"/>
      <c r="U50" s="68"/>
      <c r="V50" s="72"/>
      <c r="W50" s="72"/>
      <c r="X50" s="66"/>
      <c r="Y50" s="80"/>
      <c r="Z50" s="80"/>
      <c r="AA50" s="153"/>
      <c r="AD50" s="2" t="s">
        <v>51</v>
      </c>
      <c r="AE50" s="2" t="s">
        <v>51</v>
      </c>
      <c r="AF50" s="18"/>
    </row>
    <row r="51" spans="6:32" x14ac:dyDescent="0.25">
      <c r="F51" s="2" t="s">
        <v>56</v>
      </c>
      <c r="G51" s="2" t="s">
        <v>56</v>
      </c>
      <c r="P51" s="30"/>
      <c r="Q51" s="53"/>
      <c r="R51" s="68"/>
      <c r="S51" s="68"/>
      <c r="T51" s="68"/>
      <c r="U51" s="68"/>
      <c r="V51" s="72"/>
      <c r="W51" s="72"/>
      <c r="X51" s="66"/>
      <c r="Y51" s="80"/>
      <c r="Z51" s="80"/>
      <c r="AA51" s="153"/>
      <c r="AD51" s="2" t="s">
        <v>51</v>
      </c>
      <c r="AE51" s="2" t="s">
        <v>51</v>
      </c>
      <c r="AF51" s="18"/>
    </row>
    <row r="52" spans="6:32" x14ac:dyDescent="0.25">
      <c r="F52" s="2" t="s">
        <v>56</v>
      </c>
      <c r="G52" s="2" t="s">
        <v>56</v>
      </c>
      <c r="P52" s="30"/>
      <c r="Q52" s="53"/>
      <c r="R52" s="68"/>
      <c r="S52" s="68"/>
      <c r="T52" s="68"/>
      <c r="U52" s="68"/>
      <c r="V52" s="72"/>
      <c r="W52" s="72"/>
      <c r="X52" s="66"/>
      <c r="Y52" s="80"/>
      <c r="Z52" s="80"/>
      <c r="AA52" s="153"/>
      <c r="AD52" s="2" t="s">
        <v>51</v>
      </c>
      <c r="AE52" s="2" t="s">
        <v>51</v>
      </c>
      <c r="AF52" s="18"/>
    </row>
    <row r="53" spans="6:32" x14ac:dyDescent="0.25">
      <c r="F53" s="2" t="s">
        <v>56</v>
      </c>
      <c r="G53" s="2" t="s">
        <v>56</v>
      </c>
      <c r="P53" s="30"/>
      <c r="Q53" s="53"/>
      <c r="R53" s="68"/>
      <c r="S53" s="68"/>
      <c r="T53" s="68"/>
      <c r="U53" s="68"/>
      <c r="V53" s="72"/>
      <c r="W53" s="72"/>
      <c r="X53" s="66"/>
      <c r="Y53" s="80"/>
      <c r="Z53" s="80"/>
      <c r="AA53" s="153"/>
      <c r="AD53" s="2" t="s">
        <v>51</v>
      </c>
      <c r="AE53" s="2" t="s">
        <v>51</v>
      </c>
      <c r="AF53" s="18"/>
    </row>
    <row r="54" spans="6:32" x14ac:dyDescent="0.25">
      <c r="F54" s="2" t="s">
        <v>56</v>
      </c>
      <c r="G54" s="2" t="s">
        <v>56</v>
      </c>
      <c r="P54" s="30"/>
      <c r="Q54" s="53"/>
      <c r="R54" s="68"/>
      <c r="S54" s="68"/>
      <c r="T54" s="68"/>
      <c r="U54" s="68"/>
      <c r="V54" s="72"/>
      <c r="W54" s="72"/>
      <c r="X54" s="66"/>
      <c r="Y54" s="80"/>
      <c r="Z54" s="80"/>
      <c r="AA54" s="153"/>
      <c r="AD54" s="2" t="s">
        <v>51</v>
      </c>
      <c r="AE54" s="2" t="s">
        <v>51</v>
      </c>
      <c r="AF54" s="18"/>
    </row>
    <row r="55" spans="6:32" x14ac:dyDescent="0.25">
      <c r="F55" s="2" t="s">
        <v>56</v>
      </c>
      <c r="G55" s="2" t="s">
        <v>56</v>
      </c>
      <c r="P55" s="30"/>
      <c r="Q55" s="53"/>
      <c r="R55" s="68"/>
      <c r="S55" s="68"/>
      <c r="T55" s="68"/>
      <c r="U55" s="68"/>
      <c r="V55" s="72"/>
      <c r="W55" s="72"/>
      <c r="X55" s="66"/>
      <c r="Y55" s="80"/>
      <c r="Z55" s="80"/>
      <c r="AA55" s="153"/>
      <c r="AD55" s="2" t="s">
        <v>51</v>
      </c>
      <c r="AE55" s="2" t="s">
        <v>51</v>
      </c>
      <c r="AF55" s="18"/>
    </row>
    <row r="56" spans="6:32" x14ac:dyDescent="0.25">
      <c r="F56" s="2" t="s">
        <v>56</v>
      </c>
      <c r="G56" s="2" t="s">
        <v>56</v>
      </c>
      <c r="P56" s="30"/>
      <c r="Q56" s="53"/>
      <c r="R56" s="68"/>
      <c r="S56" s="68"/>
      <c r="T56" s="68"/>
      <c r="U56" s="68"/>
      <c r="V56" s="72"/>
      <c r="W56" s="72"/>
      <c r="X56" s="66"/>
      <c r="Y56" s="80"/>
      <c r="Z56" s="80"/>
      <c r="AA56" s="153"/>
      <c r="AD56" s="2" t="s">
        <v>51</v>
      </c>
      <c r="AE56" s="2" t="s">
        <v>51</v>
      </c>
      <c r="AF56" s="18"/>
    </row>
    <row r="57" spans="6:32" x14ac:dyDescent="0.25">
      <c r="F57" s="2" t="s">
        <v>56</v>
      </c>
      <c r="G57" s="2" t="s">
        <v>56</v>
      </c>
      <c r="P57" s="30"/>
      <c r="Q57" s="53"/>
      <c r="R57" s="68"/>
      <c r="S57" s="68"/>
      <c r="T57" s="68"/>
      <c r="U57" s="68"/>
      <c r="V57" s="72"/>
      <c r="W57" s="72"/>
      <c r="X57" s="66"/>
      <c r="Y57" s="80"/>
      <c r="Z57" s="80"/>
      <c r="AA57" s="153"/>
      <c r="AD57" s="2" t="s">
        <v>51</v>
      </c>
      <c r="AE57" s="2" t="s">
        <v>51</v>
      </c>
      <c r="AF57" s="18"/>
    </row>
    <row r="58" spans="6:32" x14ac:dyDescent="0.25">
      <c r="F58" s="2" t="s">
        <v>56</v>
      </c>
      <c r="G58" s="2" t="s">
        <v>56</v>
      </c>
      <c r="P58" s="30"/>
      <c r="Q58" s="53"/>
      <c r="R58" s="68"/>
      <c r="S58" s="68"/>
      <c r="T58" s="68"/>
      <c r="U58" s="68"/>
      <c r="V58" s="72"/>
      <c r="W58" s="72"/>
      <c r="X58" s="66"/>
      <c r="Y58" s="80"/>
      <c r="Z58" s="80"/>
      <c r="AA58" s="153"/>
      <c r="AD58" s="2" t="s">
        <v>51</v>
      </c>
      <c r="AE58" s="2" t="s">
        <v>51</v>
      </c>
      <c r="AF58" s="18"/>
    </row>
    <row r="59" spans="6:32" x14ac:dyDescent="0.25">
      <c r="F59" s="2" t="s">
        <v>56</v>
      </c>
      <c r="G59" s="2" t="s">
        <v>56</v>
      </c>
      <c r="P59" s="30"/>
      <c r="Q59" s="53"/>
      <c r="R59" s="68"/>
      <c r="S59" s="68"/>
      <c r="T59" s="68"/>
      <c r="U59" s="68"/>
      <c r="V59" s="72"/>
      <c r="W59" s="72"/>
      <c r="X59" s="66"/>
      <c r="Y59" s="80"/>
      <c r="Z59" s="80"/>
      <c r="AA59" s="153"/>
      <c r="AD59" s="2" t="s">
        <v>51</v>
      </c>
      <c r="AE59" s="2" t="s">
        <v>51</v>
      </c>
      <c r="AF59" s="18"/>
    </row>
    <row r="60" spans="6:32" x14ac:dyDescent="0.25">
      <c r="F60" s="2" t="s">
        <v>56</v>
      </c>
      <c r="G60" s="2" t="s">
        <v>56</v>
      </c>
      <c r="P60" s="30"/>
      <c r="Q60" s="53"/>
      <c r="R60" s="68"/>
      <c r="S60" s="68"/>
      <c r="T60" s="68"/>
      <c r="U60" s="68"/>
      <c r="V60" s="72"/>
      <c r="W60" s="72"/>
      <c r="X60" s="66"/>
      <c r="Y60" s="80"/>
      <c r="Z60" s="80"/>
      <c r="AA60" s="153"/>
      <c r="AD60" s="2" t="s">
        <v>51</v>
      </c>
      <c r="AE60" s="2" t="s">
        <v>51</v>
      </c>
      <c r="AF60" s="18"/>
    </row>
    <row r="61" spans="6:32" x14ac:dyDescent="0.25">
      <c r="F61" s="2" t="s">
        <v>56</v>
      </c>
      <c r="G61" s="2" t="s">
        <v>56</v>
      </c>
      <c r="P61" s="30"/>
      <c r="Q61" s="53"/>
      <c r="R61" s="68"/>
      <c r="S61" s="68"/>
      <c r="T61" s="68"/>
      <c r="U61" s="68"/>
      <c r="V61" s="72"/>
      <c r="W61" s="72"/>
      <c r="X61" s="66"/>
      <c r="Y61" s="80"/>
      <c r="Z61" s="80"/>
      <c r="AA61" s="153"/>
      <c r="AD61" s="2" t="s">
        <v>51</v>
      </c>
      <c r="AE61" s="2" t="s">
        <v>51</v>
      </c>
      <c r="AF61" s="18"/>
    </row>
    <row r="62" spans="6:32" x14ac:dyDescent="0.25">
      <c r="F62" s="2" t="s">
        <v>56</v>
      </c>
      <c r="G62" s="2" t="s">
        <v>56</v>
      </c>
      <c r="P62" s="30"/>
      <c r="Q62" s="53"/>
      <c r="R62" s="68"/>
      <c r="S62" s="68"/>
      <c r="T62" s="68"/>
      <c r="U62" s="68"/>
      <c r="V62" s="72"/>
      <c r="W62" s="72"/>
      <c r="X62" s="66"/>
      <c r="Y62" s="80"/>
      <c r="Z62" s="80"/>
      <c r="AA62" s="153"/>
      <c r="AD62" s="2" t="s">
        <v>51</v>
      </c>
      <c r="AE62" s="2" t="s">
        <v>51</v>
      </c>
      <c r="AF62" s="18"/>
    </row>
    <row r="63" spans="6:32" x14ac:dyDescent="0.25">
      <c r="F63" s="2" t="s">
        <v>56</v>
      </c>
      <c r="G63" s="2" t="s">
        <v>56</v>
      </c>
      <c r="P63" s="30"/>
      <c r="Q63" s="53"/>
      <c r="R63" s="68"/>
      <c r="S63" s="68"/>
      <c r="T63" s="68"/>
      <c r="U63" s="68"/>
      <c r="V63" s="72"/>
      <c r="W63" s="72"/>
      <c r="X63" s="66"/>
      <c r="Y63" s="80"/>
      <c r="Z63" s="80"/>
      <c r="AA63" s="153"/>
      <c r="AD63" s="2" t="s">
        <v>51</v>
      </c>
      <c r="AE63" s="2" t="s">
        <v>51</v>
      </c>
      <c r="AF63" s="18"/>
    </row>
    <row r="64" spans="6:32" x14ac:dyDescent="0.25">
      <c r="F64" s="2" t="s">
        <v>56</v>
      </c>
      <c r="G64" s="2" t="s">
        <v>56</v>
      </c>
      <c r="P64" s="30"/>
      <c r="Q64" s="53"/>
      <c r="R64" s="68"/>
      <c r="S64" s="68"/>
      <c r="T64" s="68"/>
      <c r="U64" s="68"/>
      <c r="V64" s="72"/>
      <c r="W64" s="72"/>
      <c r="X64" s="66"/>
      <c r="Y64" s="80"/>
      <c r="Z64" s="80"/>
      <c r="AA64" s="153"/>
      <c r="AD64" s="2" t="s">
        <v>51</v>
      </c>
      <c r="AE64" s="2" t="s">
        <v>51</v>
      </c>
      <c r="AF64" s="18"/>
    </row>
    <row r="65" spans="6:32" x14ac:dyDescent="0.25">
      <c r="F65" s="2" t="s">
        <v>56</v>
      </c>
      <c r="G65" s="2" t="s">
        <v>56</v>
      </c>
      <c r="P65" s="30"/>
      <c r="Q65" s="53"/>
      <c r="R65" s="68"/>
      <c r="S65" s="68"/>
      <c r="T65" s="68"/>
      <c r="U65" s="68"/>
      <c r="V65" s="72"/>
      <c r="W65" s="72"/>
      <c r="X65" s="66"/>
      <c r="Y65" s="80"/>
      <c r="Z65" s="80"/>
      <c r="AA65" s="153"/>
      <c r="AD65" s="2" t="s">
        <v>51</v>
      </c>
      <c r="AE65" s="2" t="s">
        <v>51</v>
      </c>
      <c r="AF65" s="18"/>
    </row>
    <row r="66" spans="6:32" x14ac:dyDescent="0.25">
      <c r="F66" s="2" t="s">
        <v>56</v>
      </c>
      <c r="G66" s="2" t="s">
        <v>56</v>
      </c>
      <c r="P66" s="30"/>
      <c r="Q66" s="53"/>
      <c r="R66" s="68"/>
      <c r="S66" s="68"/>
      <c r="T66" s="68"/>
      <c r="U66" s="68"/>
      <c r="V66" s="72"/>
      <c r="W66" s="72"/>
      <c r="X66" s="66"/>
      <c r="Y66" s="80"/>
      <c r="Z66" s="80"/>
      <c r="AA66" s="153"/>
      <c r="AD66" s="2" t="s">
        <v>51</v>
      </c>
      <c r="AE66" s="2" t="s">
        <v>51</v>
      </c>
      <c r="AF66" s="18"/>
    </row>
    <row r="67" spans="6:32" x14ac:dyDescent="0.25">
      <c r="F67" s="2" t="s">
        <v>56</v>
      </c>
      <c r="G67" s="2" t="s">
        <v>56</v>
      </c>
      <c r="P67" s="30"/>
      <c r="Q67" s="53"/>
      <c r="R67" s="68"/>
      <c r="S67" s="68"/>
      <c r="T67" s="68"/>
      <c r="U67" s="68"/>
      <c r="V67" s="72"/>
      <c r="W67" s="72"/>
      <c r="X67" s="66"/>
      <c r="Y67" s="80"/>
      <c r="Z67" s="80"/>
      <c r="AA67" s="153"/>
      <c r="AD67" s="2" t="s">
        <v>51</v>
      </c>
      <c r="AE67" s="2" t="s">
        <v>51</v>
      </c>
      <c r="AF67" s="18"/>
    </row>
    <row r="68" spans="6:32" x14ac:dyDescent="0.25">
      <c r="F68" s="2" t="s">
        <v>56</v>
      </c>
      <c r="G68" s="2" t="s">
        <v>56</v>
      </c>
      <c r="P68" s="30"/>
      <c r="Q68" s="53"/>
      <c r="R68" s="68"/>
      <c r="S68" s="68"/>
      <c r="T68" s="68"/>
      <c r="U68" s="68"/>
      <c r="V68" s="72"/>
      <c r="W68" s="72"/>
      <c r="X68" s="66"/>
      <c r="Y68" s="80"/>
      <c r="Z68" s="80"/>
      <c r="AA68" s="153"/>
      <c r="AD68" s="2" t="s">
        <v>51</v>
      </c>
      <c r="AE68" s="2" t="s">
        <v>51</v>
      </c>
      <c r="AF68" s="18"/>
    </row>
    <row r="69" spans="6:32" x14ac:dyDescent="0.25">
      <c r="F69" s="2" t="s">
        <v>56</v>
      </c>
      <c r="G69" s="2" t="s">
        <v>56</v>
      </c>
      <c r="P69" s="30"/>
      <c r="Q69" s="53"/>
      <c r="R69" s="68"/>
      <c r="S69" s="68"/>
      <c r="T69" s="68"/>
      <c r="U69" s="68"/>
      <c r="V69" s="72"/>
      <c r="W69" s="72"/>
      <c r="X69" s="66"/>
      <c r="Y69" s="80"/>
      <c r="Z69" s="80"/>
      <c r="AA69" s="153"/>
      <c r="AD69" s="2" t="s">
        <v>51</v>
      </c>
      <c r="AE69" s="2" t="s">
        <v>51</v>
      </c>
      <c r="AF69" s="18"/>
    </row>
    <row r="70" spans="6:32" x14ac:dyDescent="0.25">
      <c r="F70" s="2" t="s">
        <v>56</v>
      </c>
      <c r="G70" s="2" t="s">
        <v>56</v>
      </c>
      <c r="P70" s="30"/>
      <c r="Q70" s="53"/>
      <c r="R70" s="68"/>
      <c r="S70" s="68"/>
      <c r="T70" s="68"/>
      <c r="U70" s="68"/>
      <c r="V70" s="72"/>
      <c r="W70" s="72"/>
      <c r="X70" s="66"/>
      <c r="Y70" s="80"/>
      <c r="Z70" s="80"/>
      <c r="AA70" s="153"/>
      <c r="AD70" s="2" t="s">
        <v>51</v>
      </c>
      <c r="AE70" s="2" t="s">
        <v>51</v>
      </c>
      <c r="AF70" s="18"/>
    </row>
    <row r="71" spans="6:32" x14ac:dyDescent="0.25">
      <c r="F71" s="2" t="s">
        <v>56</v>
      </c>
      <c r="G71" s="2" t="s">
        <v>56</v>
      </c>
      <c r="P71" s="30"/>
      <c r="Q71" s="53"/>
      <c r="R71" s="68"/>
      <c r="S71" s="68"/>
      <c r="T71" s="68"/>
      <c r="U71" s="68"/>
      <c r="V71" s="72"/>
      <c r="W71" s="72"/>
      <c r="X71" s="66"/>
      <c r="Y71" s="80"/>
      <c r="Z71" s="80"/>
      <c r="AA71" s="153"/>
      <c r="AD71" s="2" t="s">
        <v>51</v>
      </c>
      <c r="AE71" s="2" t="s">
        <v>51</v>
      </c>
      <c r="AF71" s="18"/>
    </row>
    <row r="72" spans="6:32" x14ac:dyDescent="0.25">
      <c r="F72" s="2" t="s">
        <v>56</v>
      </c>
      <c r="G72" s="2" t="s">
        <v>56</v>
      </c>
      <c r="P72" s="30"/>
      <c r="Q72" s="53"/>
      <c r="R72" s="68"/>
      <c r="S72" s="68"/>
      <c r="T72" s="68"/>
      <c r="U72" s="68"/>
      <c r="V72" s="72"/>
      <c r="W72" s="72"/>
      <c r="X72" s="66"/>
      <c r="Y72" s="80"/>
      <c r="Z72" s="80"/>
      <c r="AA72" s="153"/>
      <c r="AD72" s="2" t="s">
        <v>51</v>
      </c>
      <c r="AE72" s="2" t="s">
        <v>51</v>
      </c>
      <c r="AF72" s="18"/>
    </row>
    <row r="73" spans="6:32" x14ac:dyDescent="0.25">
      <c r="F73" s="2" t="s">
        <v>56</v>
      </c>
      <c r="G73" s="2" t="s">
        <v>56</v>
      </c>
      <c r="P73" s="30"/>
      <c r="Q73" s="53"/>
      <c r="R73" s="68"/>
      <c r="S73" s="68"/>
      <c r="T73" s="68"/>
      <c r="U73" s="68"/>
      <c r="V73" s="72"/>
      <c r="W73" s="72"/>
      <c r="X73" s="66"/>
      <c r="Y73" s="80"/>
      <c r="Z73" s="80"/>
      <c r="AA73" s="153"/>
      <c r="AD73" s="2" t="s">
        <v>51</v>
      </c>
      <c r="AE73" s="2" t="s">
        <v>51</v>
      </c>
      <c r="AF73" s="18"/>
    </row>
    <row r="74" spans="6:32" x14ac:dyDescent="0.25">
      <c r="F74" s="2" t="s">
        <v>56</v>
      </c>
      <c r="G74" s="2" t="s">
        <v>56</v>
      </c>
      <c r="P74" s="30"/>
      <c r="Q74" s="53"/>
      <c r="R74" s="68"/>
      <c r="S74" s="68"/>
      <c r="T74" s="68"/>
      <c r="U74" s="68"/>
      <c r="V74" s="72"/>
      <c r="W74" s="72"/>
      <c r="X74" s="66"/>
      <c r="Y74" s="80"/>
      <c r="Z74" s="80"/>
      <c r="AA74" s="153"/>
      <c r="AD74" s="2" t="s">
        <v>51</v>
      </c>
      <c r="AE74" s="2" t="s">
        <v>51</v>
      </c>
      <c r="AF74" s="18"/>
    </row>
    <row r="75" spans="6:32" x14ac:dyDescent="0.25">
      <c r="F75" s="2" t="s">
        <v>56</v>
      </c>
      <c r="G75" s="2" t="s">
        <v>56</v>
      </c>
      <c r="P75" s="30"/>
      <c r="Q75" s="53"/>
      <c r="R75" s="68"/>
      <c r="S75" s="68"/>
      <c r="T75" s="68"/>
      <c r="U75" s="68"/>
      <c r="V75" s="72"/>
      <c r="W75" s="72"/>
      <c r="X75" s="66"/>
      <c r="Y75" s="80"/>
      <c r="Z75" s="80"/>
      <c r="AA75" s="153"/>
      <c r="AD75" s="2" t="s">
        <v>51</v>
      </c>
      <c r="AE75" s="2" t="s">
        <v>51</v>
      </c>
      <c r="AF75" s="18"/>
    </row>
    <row r="76" spans="6:32" x14ac:dyDescent="0.25">
      <c r="F76" s="2" t="s">
        <v>56</v>
      </c>
      <c r="G76" s="2" t="s">
        <v>56</v>
      </c>
      <c r="P76" s="30"/>
      <c r="Q76" s="53"/>
      <c r="R76" s="68"/>
      <c r="S76" s="68"/>
      <c r="T76" s="68"/>
      <c r="U76" s="68"/>
      <c r="V76" s="72"/>
      <c r="W76" s="72"/>
      <c r="X76" s="66"/>
      <c r="Y76" s="80"/>
      <c r="Z76" s="80"/>
      <c r="AA76" s="153"/>
      <c r="AD76" s="2" t="s">
        <v>51</v>
      </c>
      <c r="AE76" s="2" t="s">
        <v>51</v>
      </c>
      <c r="AF76" s="18"/>
    </row>
    <row r="77" spans="6:32" x14ac:dyDescent="0.25">
      <c r="F77" s="2" t="s">
        <v>56</v>
      </c>
      <c r="G77" s="2" t="s">
        <v>56</v>
      </c>
      <c r="P77" s="30"/>
      <c r="Q77" s="53"/>
      <c r="R77" s="68"/>
      <c r="S77" s="68"/>
      <c r="T77" s="68"/>
      <c r="U77" s="68"/>
      <c r="V77" s="72"/>
      <c r="W77" s="72"/>
      <c r="X77" s="66"/>
      <c r="Y77" s="80"/>
      <c r="Z77" s="80"/>
      <c r="AA77" s="153"/>
      <c r="AD77" s="2" t="s">
        <v>51</v>
      </c>
      <c r="AE77" s="2" t="s">
        <v>51</v>
      </c>
      <c r="AF77" s="18"/>
    </row>
    <row r="78" spans="6:32" x14ac:dyDescent="0.25">
      <c r="F78" s="2" t="s">
        <v>56</v>
      </c>
      <c r="G78" s="2" t="s">
        <v>56</v>
      </c>
      <c r="P78" s="30"/>
      <c r="Q78" s="53"/>
      <c r="R78" s="68"/>
      <c r="S78" s="68"/>
      <c r="T78" s="68"/>
      <c r="U78" s="68"/>
      <c r="V78" s="72"/>
      <c r="W78" s="72"/>
      <c r="X78" s="66"/>
      <c r="Y78" s="80"/>
      <c r="Z78" s="80"/>
      <c r="AA78" s="153"/>
      <c r="AD78" s="2" t="s">
        <v>51</v>
      </c>
      <c r="AE78" s="2" t="s">
        <v>51</v>
      </c>
      <c r="AF78" s="18"/>
    </row>
    <row r="79" spans="6:32" x14ac:dyDescent="0.25">
      <c r="F79" s="2" t="s">
        <v>56</v>
      </c>
      <c r="G79" s="2" t="s">
        <v>56</v>
      </c>
      <c r="P79" s="30"/>
      <c r="Q79" s="53"/>
      <c r="R79" s="68"/>
      <c r="S79" s="68"/>
      <c r="T79" s="68"/>
      <c r="U79" s="68"/>
      <c r="V79" s="72"/>
      <c r="W79" s="72"/>
      <c r="X79" s="66"/>
      <c r="Y79" s="80"/>
      <c r="Z79" s="80"/>
      <c r="AA79" s="153"/>
      <c r="AD79" s="2" t="s">
        <v>51</v>
      </c>
      <c r="AE79" s="2" t="s">
        <v>51</v>
      </c>
      <c r="AF79" s="18"/>
    </row>
    <row r="80" spans="6:32" x14ac:dyDescent="0.25">
      <c r="F80" s="2" t="s">
        <v>56</v>
      </c>
      <c r="G80" s="2" t="s">
        <v>56</v>
      </c>
      <c r="P80" s="30"/>
      <c r="Q80" s="53"/>
      <c r="R80" s="68"/>
      <c r="S80" s="68"/>
      <c r="T80" s="68"/>
      <c r="U80" s="68"/>
      <c r="V80" s="72"/>
      <c r="W80" s="72"/>
      <c r="X80" s="66"/>
      <c r="Y80" s="80"/>
      <c r="Z80" s="80"/>
      <c r="AA80" s="153"/>
      <c r="AD80" s="2" t="s">
        <v>51</v>
      </c>
      <c r="AE80" s="2" t="s">
        <v>51</v>
      </c>
      <c r="AF80" s="18"/>
    </row>
    <row r="81" spans="6:32" x14ac:dyDescent="0.25">
      <c r="F81" s="2" t="s">
        <v>56</v>
      </c>
      <c r="G81" s="2" t="s">
        <v>56</v>
      </c>
      <c r="P81" s="30"/>
      <c r="Q81" s="53"/>
      <c r="R81" s="68"/>
      <c r="S81" s="68"/>
      <c r="T81" s="68"/>
      <c r="U81" s="68"/>
      <c r="V81" s="72"/>
      <c r="W81" s="72"/>
      <c r="X81" s="66"/>
      <c r="Y81" s="80"/>
      <c r="Z81" s="80"/>
      <c r="AA81" s="153"/>
      <c r="AD81" s="2" t="s">
        <v>51</v>
      </c>
      <c r="AE81" s="2" t="s">
        <v>51</v>
      </c>
      <c r="AF81" s="18"/>
    </row>
    <row r="82" spans="6:32" x14ac:dyDescent="0.25">
      <c r="F82" s="2" t="s">
        <v>56</v>
      </c>
      <c r="G82" s="2" t="s">
        <v>56</v>
      </c>
      <c r="P82" s="30"/>
      <c r="Q82" s="53"/>
      <c r="R82" s="68"/>
      <c r="S82" s="68"/>
      <c r="T82" s="68"/>
      <c r="U82" s="68"/>
      <c r="V82" s="72"/>
      <c r="W82" s="72"/>
      <c r="X82" s="66"/>
      <c r="Y82" s="80"/>
      <c r="Z82" s="80"/>
      <c r="AA82" s="153"/>
      <c r="AD82" s="2" t="s">
        <v>51</v>
      </c>
      <c r="AE82" s="2" t="s">
        <v>51</v>
      </c>
      <c r="AF82" s="18"/>
    </row>
    <row r="83" spans="6:32" x14ac:dyDescent="0.25">
      <c r="F83" s="2" t="s">
        <v>56</v>
      </c>
      <c r="G83" s="2" t="s">
        <v>56</v>
      </c>
      <c r="P83" s="30"/>
      <c r="Q83" s="53"/>
      <c r="R83" s="68"/>
      <c r="S83" s="68"/>
      <c r="T83" s="68"/>
      <c r="U83" s="68"/>
      <c r="V83" s="72"/>
      <c r="W83" s="72"/>
      <c r="X83" s="66"/>
      <c r="Y83" s="80"/>
      <c r="Z83" s="80"/>
      <c r="AA83" s="153"/>
      <c r="AD83" s="2" t="s">
        <v>51</v>
      </c>
      <c r="AE83" s="2" t="s">
        <v>51</v>
      </c>
      <c r="AF83" s="18"/>
    </row>
    <row r="84" spans="6:32" x14ac:dyDescent="0.25">
      <c r="F84" s="2" t="s">
        <v>56</v>
      </c>
      <c r="G84" s="2" t="s">
        <v>56</v>
      </c>
      <c r="P84" s="30"/>
      <c r="Q84" s="53"/>
      <c r="R84" s="68"/>
      <c r="S84" s="68"/>
      <c r="T84" s="68"/>
      <c r="U84" s="68"/>
      <c r="V84" s="72"/>
      <c r="W84" s="72"/>
      <c r="X84" s="66"/>
      <c r="Y84" s="80"/>
      <c r="Z84" s="80"/>
      <c r="AA84" s="153"/>
      <c r="AD84" s="2" t="s">
        <v>51</v>
      </c>
      <c r="AE84" s="2" t="s">
        <v>51</v>
      </c>
      <c r="AF84" s="18"/>
    </row>
    <row r="85" spans="6:32" x14ac:dyDescent="0.25">
      <c r="F85" s="2" t="s">
        <v>56</v>
      </c>
      <c r="G85" s="2" t="s">
        <v>56</v>
      </c>
      <c r="P85" s="30"/>
      <c r="Q85" s="53"/>
      <c r="R85" s="68"/>
      <c r="S85" s="68"/>
      <c r="T85" s="68"/>
      <c r="U85" s="68"/>
      <c r="V85" s="72"/>
      <c r="W85" s="72"/>
      <c r="X85" s="66"/>
      <c r="Y85" s="80"/>
      <c r="Z85" s="80"/>
      <c r="AA85" s="153"/>
      <c r="AD85" s="2" t="s">
        <v>51</v>
      </c>
      <c r="AE85" s="2" t="s">
        <v>51</v>
      </c>
      <c r="AF85" s="18"/>
    </row>
    <row r="86" spans="6:32" x14ac:dyDescent="0.25">
      <c r="F86" s="2" t="s">
        <v>56</v>
      </c>
      <c r="G86" s="2" t="s">
        <v>56</v>
      </c>
      <c r="P86" s="30"/>
      <c r="Q86" s="53"/>
      <c r="R86" s="68"/>
      <c r="S86" s="68"/>
      <c r="T86" s="68"/>
      <c r="U86" s="68"/>
      <c r="V86" s="72"/>
      <c r="W86" s="72"/>
      <c r="X86" s="66"/>
      <c r="Y86" s="80"/>
      <c r="Z86" s="80"/>
      <c r="AA86" s="153"/>
      <c r="AD86" s="2" t="s">
        <v>51</v>
      </c>
      <c r="AE86" s="2" t="s">
        <v>51</v>
      </c>
      <c r="AF86" s="18"/>
    </row>
    <row r="87" spans="6:32" x14ac:dyDescent="0.25">
      <c r="F87" s="2" t="s">
        <v>56</v>
      </c>
      <c r="G87" s="2" t="s">
        <v>56</v>
      </c>
      <c r="P87" s="30"/>
      <c r="Q87" s="53"/>
      <c r="R87" s="68"/>
      <c r="S87" s="68"/>
      <c r="T87" s="68"/>
      <c r="U87" s="68"/>
      <c r="V87" s="72"/>
      <c r="W87" s="72"/>
      <c r="X87" s="66"/>
      <c r="Y87" s="80"/>
      <c r="Z87" s="80"/>
      <c r="AA87" s="153"/>
      <c r="AD87" s="2" t="s">
        <v>51</v>
      </c>
      <c r="AE87" s="2" t="s">
        <v>51</v>
      </c>
      <c r="AF87" s="18"/>
    </row>
    <row r="88" spans="6:32" x14ac:dyDescent="0.25">
      <c r="F88" s="2" t="s">
        <v>56</v>
      </c>
      <c r="G88" s="2" t="s">
        <v>56</v>
      </c>
      <c r="P88" s="30"/>
      <c r="Q88" s="53"/>
      <c r="R88" s="68"/>
      <c r="S88" s="68"/>
      <c r="T88" s="68"/>
      <c r="U88" s="68"/>
      <c r="V88" s="72"/>
      <c r="W88" s="72"/>
      <c r="X88" s="66"/>
      <c r="Y88" s="80"/>
      <c r="Z88" s="80"/>
      <c r="AA88" s="153"/>
      <c r="AD88" s="2" t="s">
        <v>51</v>
      </c>
      <c r="AE88" s="2" t="s">
        <v>51</v>
      </c>
      <c r="AF88" s="18"/>
    </row>
    <row r="89" spans="6:32" x14ac:dyDescent="0.25">
      <c r="F89" s="2" t="s">
        <v>56</v>
      </c>
      <c r="G89" s="2" t="s">
        <v>56</v>
      </c>
      <c r="P89" s="30"/>
      <c r="Q89" s="53"/>
      <c r="R89" s="68"/>
      <c r="S89" s="68"/>
      <c r="T89" s="68"/>
      <c r="U89" s="68"/>
      <c r="V89" s="72"/>
      <c r="W89" s="72"/>
      <c r="X89" s="66"/>
      <c r="Y89" s="80"/>
      <c r="Z89" s="80"/>
      <c r="AA89" s="153"/>
      <c r="AD89" s="2" t="s">
        <v>51</v>
      </c>
      <c r="AE89" s="2" t="s">
        <v>51</v>
      </c>
      <c r="AF89" s="18"/>
    </row>
    <row r="90" spans="6:32" x14ac:dyDescent="0.25">
      <c r="F90" s="2" t="s">
        <v>56</v>
      </c>
      <c r="G90" s="2" t="s">
        <v>56</v>
      </c>
      <c r="P90" s="30"/>
      <c r="Q90" s="53"/>
      <c r="R90" s="68"/>
      <c r="S90" s="68"/>
      <c r="T90" s="68"/>
      <c r="U90" s="68"/>
      <c r="V90" s="72"/>
      <c r="W90" s="72"/>
      <c r="X90" s="66"/>
      <c r="Y90" s="80"/>
      <c r="Z90" s="80"/>
      <c r="AA90" s="153"/>
      <c r="AD90" s="2" t="s">
        <v>51</v>
      </c>
      <c r="AE90" s="2" t="s">
        <v>51</v>
      </c>
      <c r="AF90" s="18"/>
    </row>
    <row r="91" spans="6:32" x14ac:dyDescent="0.25">
      <c r="F91" s="2" t="s">
        <v>56</v>
      </c>
      <c r="G91" s="2" t="s">
        <v>56</v>
      </c>
      <c r="P91" s="30"/>
      <c r="Q91" s="53"/>
      <c r="R91" s="68"/>
      <c r="S91" s="68"/>
      <c r="T91" s="68"/>
      <c r="U91" s="68"/>
      <c r="V91" s="72"/>
      <c r="W91" s="72"/>
      <c r="X91" s="66"/>
      <c r="Y91" s="80"/>
      <c r="Z91" s="80"/>
      <c r="AA91" s="153"/>
      <c r="AD91" s="2" t="s">
        <v>51</v>
      </c>
      <c r="AE91" s="2" t="s">
        <v>51</v>
      </c>
      <c r="AF91" s="18"/>
    </row>
    <row r="92" spans="6:32" x14ac:dyDescent="0.25">
      <c r="F92" s="2" t="s">
        <v>56</v>
      </c>
      <c r="G92" s="2" t="s">
        <v>56</v>
      </c>
      <c r="P92" s="30"/>
      <c r="Q92" s="53"/>
      <c r="R92" s="68"/>
      <c r="S92" s="68"/>
      <c r="T92" s="68"/>
      <c r="U92" s="68"/>
      <c r="V92" s="72"/>
      <c r="W92" s="72"/>
      <c r="X92" s="66"/>
      <c r="Y92" s="80"/>
      <c r="Z92" s="80"/>
      <c r="AA92" s="153"/>
      <c r="AD92" s="2" t="s">
        <v>51</v>
      </c>
      <c r="AE92" s="2" t="s">
        <v>51</v>
      </c>
      <c r="AF92" s="18"/>
    </row>
    <row r="93" spans="6:32" x14ac:dyDescent="0.25">
      <c r="F93" s="2" t="s">
        <v>56</v>
      </c>
      <c r="G93" s="2" t="s">
        <v>56</v>
      </c>
      <c r="P93" s="30"/>
      <c r="Q93" s="53"/>
      <c r="R93" s="68"/>
      <c r="S93" s="68"/>
      <c r="T93" s="68"/>
      <c r="U93" s="68"/>
      <c r="V93" s="72"/>
      <c r="W93" s="72"/>
      <c r="X93" s="66"/>
      <c r="Y93" s="80"/>
      <c r="Z93" s="80"/>
      <c r="AA93" s="153"/>
      <c r="AD93" s="2" t="s">
        <v>51</v>
      </c>
      <c r="AE93" s="2" t="s">
        <v>51</v>
      </c>
      <c r="AF93" s="18"/>
    </row>
    <row r="94" spans="6:32" x14ac:dyDescent="0.25">
      <c r="F94" s="2" t="s">
        <v>56</v>
      </c>
      <c r="G94" s="2" t="s">
        <v>56</v>
      </c>
      <c r="P94" s="30"/>
      <c r="Q94" s="53"/>
      <c r="R94" s="68"/>
      <c r="S94" s="68"/>
      <c r="T94" s="68"/>
      <c r="U94" s="68"/>
      <c r="V94" s="72"/>
      <c r="W94" s="72"/>
      <c r="X94" s="66"/>
      <c r="Y94" s="80"/>
      <c r="Z94" s="80"/>
      <c r="AA94" s="153"/>
      <c r="AD94" s="2" t="s">
        <v>51</v>
      </c>
      <c r="AE94" s="2" t="s">
        <v>51</v>
      </c>
      <c r="AF94" s="18"/>
    </row>
    <row r="95" spans="6:32" x14ac:dyDescent="0.25">
      <c r="F95" s="2" t="s">
        <v>56</v>
      </c>
      <c r="G95" s="2" t="s">
        <v>56</v>
      </c>
      <c r="P95" s="30"/>
      <c r="Q95" s="53"/>
      <c r="R95" s="68"/>
      <c r="S95" s="68"/>
      <c r="T95" s="68"/>
      <c r="U95" s="68"/>
      <c r="V95" s="72"/>
      <c r="W95" s="72"/>
      <c r="X95" s="66"/>
      <c r="Y95" s="80"/>
      <c r="Z95" s="80"/>
      <c r="AA95" s="153"/>
      <c r="AD95" s="2" t="s">
        <v>51</v>
      </c>
      <c r="AE95" s="2" t="s">
        <v>51</v>
      </c>
      <c r="AF95" s="18"/>
    </row>
    <row r="96" spans="6:32" x14ac:dyDescent="0.25">
      <c r="F96" s="2" t="s">
        <v>56</v>
      </c>
      <c r="G96" s="2" t="s">
        <v>56</v>
      </c>
      <c r="P96" s="30"/>
      <c r="Q96" s="53"/>
      <c r="R96" s="68"/>
      <c r="S96" s="68"/>
      <c r="T96" s="68"/>
      <c r="U96" s="68"/>
      <c r="V96" s="72"/>
      <c r="W96" s="72"/>
      <c r="X96" s="66"/>
      <c r="Y96" s="80"/>
      <c r="Z96" s="80"/>
      <c r="AA96" s="153"/>
      <c r="AD96" s="2" t="s">
        <v>51</v>
      </c>
      <c r="AE96" s="2" t="s">
        <v>51</v>
      </c>
      <c r="AF96" s="18"/>
    </row>
    <row r="97" spans="6:32" x14ac:dyDescent="0.25">
      <c r="F97" s="2" t="s">
        <v>56</v>
      </c>
      <c r="G97" s="2" t="s">
        <v>56</v>
      </c>
      <c r="P97" s="30"/>
      <c r="Q97" s="53"/>
      <c r="R97" s="68"/>
      <c r="S97" s="68"/>
      <c r="T97" s="68"/>
      <c r="U97" s="68"/>
      <c r="V97" s="72"/>
      <c r="W97" s="72"/>
      <c r="X97" s="66"/>
      <c r="Y97" s="80"/>
      <c r="Z97" s="80"/>
      <c r="AA97" s="153"/>
      <c r="AD97" s="2" t="s">
        <v>51</v>
      </c>
      <c r="AE97" s="2" t="s">
        <v>51</v>
      </c>
      <c r="AF97" s="18"/>
    </row>
    <row r="98" spans="6:32" x14ac:dyDescent="0.25">
      <c r="F98" s="2" t="s">
        <v>56</v>
      </c>
      <c r="G98" s="2" t="s">
        <v>56</v>
      </c>
      <c r="P98" s="30"/>
      <c r="Q98" s="53"/>
      <c r="R98" s="68"/>
      <c r="S98" s="68"/>
      <c r="T98" s="68"/>
      <c r="U98" s="68"/>
      <c r="V98" s="72"/>
      <c r="W98" s="72"/>
      <c r="X98" s="66"/>
      <c r="Y98" s="80"/>
      <c r="Z98" s="80"/>
      <c r="AA98" s="153"/>
      <c r="AD98" s="2" t="s">
        <v>51</v>
      </c>
      <c r="AE98" s="2" t="s">
        <v>51</v>
      </c>
      <c r="AF98" s="18"/>
    </row>
    <row r="99" spans="6:32" x14ac:dyDescent="0.25">
      <c r="F99" s="2" t="s">
        <v>56</v>
      </c>
      <c r="G99" s="2" t="s">
        <v>56</v>
      </c>
      <c r="P99" s="30"/>
      <c r="Q99" s="53"/>
      <c r="R99" s="68"/>
      <c r="S99" s="68"/>
      <c r="T99" s="68"/>
      <c r="U99" s="68"/>
      <c r="V99" s="72"/>
      <c r="W99" s="72"/>
      <c r="X99" s="66"/>
      <c r="Y99" s="80"/>
      <c r="Z99" s="80"/>
      <c r="AA99" s="153"/>
      <c r="AD99" s="2" t="s">
        <v>51</v>
      </c>
      <c r="AE99" s="2" t="s">
        <v>51</v>
      </c>
      <c r="AF99" s="18"/>
    </row>
    <row r="100" spans="6:32" x14ac:dyDescent="0.25">
      <c r="Q100" s="53"/>
      <c r="R100" s="68"/>
      <c r="S100" s="68"/>
      <c r="T100" s="68"/>
      <c r="U100" s="68"/>
      <c r="V100" s="72"/>
      <c r="W100" s="72"/>
      <c r="X100" s="66"/>
      <c r="Y100" s="80"/>
      <c r="Z100" s="80"/>
      <c r="AA100" s="153"/>
    </row>
    <row r="101" spans="6:32" x14ac:dyDescent="0.25">
      <c r="Q101" s="53"/>
      <c r="R101" s="68"/>
      <c r="S101" s="68"/>
      <c r="T101" s="68"/>
      <c r="U101" s="68"/>
      <c r="V101" s="72"/>
      <c r="W101" s="72"/>
      <c r="X101" s="66"/>
      <c r="Y101" s="80"/>
      <c r="Z101" s="80"/>
      <c r="AA101" s="153"/>
    </row>
    <row r="102" spans="6:32" x14ac:dyDescent="0.25">
      <c r="Q102" s="53"/>
      <c r="R102" s="68"/>
      <c r="S102" s="68"/>
      <c r="T102" s="68"/>
      <c r="U102" s="68"/>
      <c r="V102" s="72"/>
      <c r="W102" s="72"/>
      <c r="X102" s="66"/>
      <c r="Y102" s="80"/>
      <c r="Z102" s="80"/>
      <c r="AA102" s="153"/>
    </row>
    <row r="103" spans="6:32" x14ac:dyDescent="0.25">
      <c r="Q103" s="53"/>
      <c r="R103" s="68"/>
      <c r="S103" s="68"/>
      <c r="T103" s="68"/>
      <c r="U103" s="68"/>
      <c r="V103" s="72"/>
      <c r="W103" s="72"/>
      <c r="X103" s="66"/>
      <c r="Y103" s="80"/>
      <c r="Z103" s="80"/>
      <c r="AA103" s="153"/>
    </row>
    <row r="104" spans="6:32" x14ac:dyDescent="0.25">
      <c r="Q104" s="53"/>
      <c r="R104" s="68"/>
      <c r="S104" s="68"/>
      <c r="T104" s="68"/>
      <c r="U104" s="68"/>
      <c r="V104" s="72"/>
      <c r="W104" s="72"/>
      <c r="X104" s="66"/>
      <c r="Y104" s="80"/>
      <c r="Z104" s="80"/>
      <c r="AA104" s="153"/>
    </row>
    <row r="105" spans="6:32" x14ac:dyDescent="0.25">
      <c r="Q105" s="53"/>
      <c r="R105" s="68"/>
      <c r="S105" s="68"/>
      <c r="T105" s="68"/>
      <c r="U105" s="68"/>
      <c r="V105" s="72"/>
      <c r="W105" s="72"/>
      <c r="X105" s="66"/>
      <c r="Y105" s="80"/>
      <c r="Z105" s="80"/>
      <c r="AA105" s="153"/>
    </row>
    <row r="106" spans="6:32" x14ac:dyDescent="0.25">
      <c r="Q106" s="53"/>
      <c r="R106" s="68"/>
      <c r="S106" s="68"/>
      <c r="T106" s="68"/>
      <c r="U106" s="68"/>
      <c r="V106" s="72"/>
      <c r="W106" s="72"/>
      <c r="X106" s="66"/>
      <c r="Y106" s="80"/>
      <c r="Z106" s="80"/>
      <c r="AA106" s="153"/>
    </row>
    <row r="107" spans="6:32" x14ac:dyDescent="0.25">
      <c r="Q107" s="53"/>
      <c r="R107" s="68"/>
      <c r="S107" s="68"/>
      <c r="T107" s="68"/>
      <c r="U107" s="68"/>
      <c r="V107" s="72"/>
      <c r="W107" s="72"/>
      <c r="X107" s="66"/>
      <c r="Y107" s="80"/>
      <c r="Z107" s="80"/>
      <c r="AA107" s="153"/>
    </row>
    <row r="108" spans="6:32" x14ac:dyDescent="0.25">
      <c r="Q108" s="53"/>
      <c r="R108" s="68"/>
      <c r="S108" s="68"/>
      <c r="T108" s="68"/>
      <c r="U108" s="68"/>
      <c r="V108" s="72"/>
      <c r="W108" s="72"/>
      <c r="X108" s="66"/>
      <c r="Y108" s="80"/>
      <c r="Z108" s="80"/>
      <c r="AA108" s="153"/>
    </row>
    <row r="109" spans="6:32" x14ac:dyDescent="0.25">
      <c r="Q109" s="53"/>
      <c r="R109" s="68"/>
      <c r="S109" s="68"/>
      <c r="T109" s="68"/>
      <c r="U109" s="68"/>
      <c r="V109" s="72"/>
      <c r="W109" s="72"/>
      <c r="X109" s="66"/>
      <c r="Y109" s="80"/>
      <c r="Z109" s="80"/>
      <c r="AA109" s="153"/>
    </row>
    <row r="110" spans="6:32" x14ac:dyDescent="0.25">
      <c r="Q110" s="53"/>
      <c r="R110" s="68"/>
      <c r="S110" s="68"/>
      <c r="T110" s="68"/>
      <c r="U110" s="68"/>
      <c r="V110" s="72"/>
      <c r="W110" s="72"/>
      <c r="X110" s="66"/>
      <c r="Y110" s="80"/>
      <c r="Z110" s="80"/>
      <c r="AA110" s="153"/>
    </row>
    <row r="111" spans="6:32" x14ac:dyDescent="0.25">
      <c r="Q111" s="53"/>
      <c r="R111" s="68"/>
      <c r="S111" s="68"/>
      <c r="T111" s="68"/>
      <c r="U111" s="68"/>
      <c r="V111" s="72"/>
      <c r="W111" s="72"/>
      <c r="X111" s="66"/>
      <c r="Y111" s="80"/>
      <c r="Z111" s="80"/>
      <c r="AA111" s="153"/>
    </row>
    <row r="112" spans="6:32" x14ac:dyDescent="0.25">
      <c r="Q112" s="53"/>
      <c r="R112" s="68"/>
      <c r="S112" s="68"/>
      <c r="T112" s="68"/>
      <c r="U112" s="68"/>
      <c r="V112" s="72"/>
      <c r="W112" s="72"/>
      <c r="X112" s="66"/>
      <c r="Y112" s="80"/>
      <c r="Z112" s="80"/>
      <c r="AA112" s="153"/>
    </row>
    <row r="113" spans="17:27" x14ac:dyDescent="0.25">
      <c r="Q113" s="53"/>
      <c r="R113" s="68"/>
      <c r="S113" s="68"/>
      <c r="T113" s="68"/>
      <c r="U113" s="68"/>
      <c r="V113" s="72"/>
      <c r="W113" s="72"/>
      <c r="X113" s="66"/>
      <c r="Y113" s="80"/>
      <c r="Z113" s="80"/>
      <c r="AA113" s="153"/>
    </row>
    <row r="114" spans="17:27" x14ac:dyDescent="0.25">
      <c r="Q114" s="53"/>
      <c r="R114" s="68"/>
      <c r="S114" s="68"/>
      <c r="T114" s="68"/>
      <c r="U114" s="68"/>
      <c r="V114" s="72"/>
      <c r="W114" s="72"/>
      <c r="X114" s="66"/>
      <c r="Y114" s="80"/>
      <c r="Z114" s="80"/>
      <c r="AA114" s="153"/>
    </row>
    <row r="115" spans="17:27" x14ac:dyDescent="0.25">
      <c r="Q115" s="53"/>
      <c r="R115" s="68"/>
      <c r="S115" s="68"/>
      <c r="T115" s="68"/>
      <c r="U115" s="68"/>
      <c r="V115" s="72"/>
      <c r="W115" s="72"/>
      <c r="X115" s="66"/>
      <c r="Y115" s="80"/>
      <c r="Z115" s="80"/>
      <c r="AA115" s="153"/>
    </row>
    <row r="116" spans="17:27" x14ac:dyDescent="0.25">
      <c r="Q116" s="53"/>
      <c r="R116" s="68"/>
      <c r="S116" s="68"/>
      <c r="T116" s="68"/>
      <c r="U116" s="68"/>
      <c r="V116" s="72"/>
      <c r="W116" s="72"/>
      <c r="X116" s="66"/>
      <c r="Y116" s="80"/>
      <c r="Z116" s="80"/>
      <c r="AA116" s="153"/>
    </row>
    <row r="117" spans="17:27" x14ac:dyDescent="0.25">
      <c r="Q117" s="53"/>
      <c r="R117" s="68"/>
      <c r="S117" s="68"/>
      <c r="T117" s="68"/>
      <c r="U117" s="68"/>
      <c r="V117" s="72"/>
      <c r="W117" s="72"/>
      <c r="X117" s="66"/>
      <c r="Y117" s="80"/>
      <c r="Z117" s="80"/>
      <c r="AA117" s="153"/>
    </row>
    <row r="118" spans="17:27" x14ac:dyDescent="0.25">
      <c r="Q118" s="53"/>
      <c r="R118" s="68"/>
      <c r="S118" s="68"/>
      <c r="T118" s="68"/>
      <c r="U118" s="68"/>
      <c r="V118" s="72"/>
      <c r="W118" s="72"/>
      <c r="X118" s="66"/>
      <c r="Y118" s="80"/>
      <c r="Z118" s="80"/>
      <c r="AA118" s="153"/>
    </row>
    <row r="119" spans="17:27" x14ac:dyDescent="0.25">
      <c r="Q119" s="53"/>
      <c r="R119" s="68"/>
      <c r="S119" s="68"/>
      <c r="T119" s="68"/>
      <c r="U119" s="68"/>
      <c r="V119" s="72"/>
      <c r="W119" s="72"/>
      <c r="X119" s="66"/>
      <c r="Y119" s="80"/>
      <c r="Z119" s="80"/>
      <c r="AA119" s="153"/>
    </row>
    <row r="120" spans="17:27" x14ac:dyDescent="0.25">
      <c r="Q120" s="53"/>
      <c r="R120" s="68"/>
      <c r="S120" s="68"/>
      <c r="T120" s="68"/>
      <c r="U120" s="68"/>
      <c r="V120" s="72"/>
      <c r="W120" s="72"/>
      <c r="X120" s="66"/>
      <c r="Y120" s="80"/>
      <c r="Z120" s="80"/>
      <c r="AA120" s="153"/>
    </row>
    <row r="121" spans="17:27" x14ac:dyDescent="0.25">
      <c r="Q121" s="53"/>
      <c r="R121" s="68"/>
      <c r="S121" s="68"/>
      <c r="T121" s="68"/>
      <c r="U121" s="68"/>
      <c r="V121" s="72"/>
      <c r="W121" s="72"/>
      <c r="X121" s="66"/>
      <c r="Y121" s="80"/>
      <c r="Z121" s="80"/>
      <c r="AA121" s="153"/>
    </row>
    <row r="122" spans="17:27" x14ac:dyDescent="0.25">
      <c r="Q122" s="53"/>
      <c r="R122" s="68"/>
      <c r="S122" s="68"/>
      <c r="T122" s="68"/>
      <c r="U122" s="68"/>
      <c r="V122" s="72"/>
      <c r="W122" s="72"/>
      <c r="X122" s="66"/>
      <c r="Y122" s="80"/>
      <c r="Z122" s="80"/>
      <c r="AA122" s="153"/>
    </row>
    <row r="123" spans="17:27" x14ac:dyDescent="0.25">
      <c r="Q123" s="53"/>
      <c r="R123" s="68"/>
      <c r="S123" s="68"/>
      <c r="T123" s="68"/>
      <c r="U123" s="68"/>
      <c r="V123" s="72"/>
      <c r="W123" s="72"/>
      <c r="X123" s="66"/>
      <c r="Y123" s="80"/>
      <c r="Z123" s="80"/>
      <c r="AA123" s="153"/>
    </row>
    <row r="124" spans="17:27" x14ac:dyDescent="0.25">
      <c r="Q124" s="53"/>
      <c r="R124" s="68"/>
      <c r="S124" s="68"/>
      <c r="T124" s="68"/>
      <c r="U124" s="68"/>
      <c r="V124" s="72"/>
      <c r="W124" s="72"/>
      <c r="X124" s="66"/>
      <c r="Y124" s="80"/>
      <c r="Z124" s="80"/>
      <c r="AA124" s="153"/>
    </row>
    <row r="125" spans="17:27" x14ac:dyDescent="0.25">
      <c r="Q125" s="53"/>
      <c r="R125" s="68"/>
      <c r="S125" s="68"/>
      <c r="T125" s="68"/>
      <c r="U125" s="68"/>
      <c r="V125" s="72"/>
      <c r="W125" s="72"/>
      <c r="X125" s="66"/>
      <c r="Y125" s="80"/>
      <c r="Z125" s="80"/>
      <c r="AA125" s="153"/>
    </row>
    <row r="126" spans="17:27" x14ac:dyDescent="0.25">
      <c r="Q126" s="53"/>
      <c r="R126" s="68"/>
      <c r="S126" s="68"/>
      <c r="T126" s="68"/>
      <c r="U126" s="68"/>
      <c r="V126" s="72"/>
      <c r="W126" s="72"/>
      <c r="X126" s="66"/>
      <c r="Y126" s="80"/>
      <c r="Z126" s="80"/>
      <c r="AA126" s="153"/>
    </row>
    <row r="127" spans="17:27" x14ac:dyDescent="0.25">
      <c r="Q127" s="53"/>
      <c r="R127" s="68"/>
      <c r="S127" s="68"/>
      <c r="T127" s="68"/>
      <c r="U127" s="68"/>
      <c r="V127" s="72"/>
      <c r="W127" s="72"/>
      <c r="X127" s="66"/>
      <c r="Y127" s="80"/>
      <c r="Z127" s="80"/>
      <c r="AA127" s="153"/>
    </row>
    <row r="128" spans="17:27" x14ac:dyDescent="0.25">
      <c r="Q128" s="53"/>
      <c r="R128" s="68"/>
      <c r="S128" s="68"/>
      <c r="T128" s="68"/>
      <c r="U128" s="68"/>
      <c r="V128" s="72"/>
      <c r="W128" s="72"/>
      <c r="X128" s="66"/>
      <c r="Y128" s="80"/>
      <c r="Z128" s="80"/>
      <c r="AA128" s="153"/>
    </row>
    <row r="129" spans="17:27" x14ac:dyDescent="0.25">
      <c r="Q129" s="53"/>
      <c r="R129" s="68"/>
      <c r="S129" s="68"/>
      <c r="T129" s="68"/>
      <c r="U129" s="68"/>
      <c r="V129" s="72"/>
      <c r="W129" s="72"/>
      <c r="X129" s="66"/>
      <c r="Y129" s="80"/>
      <c r="Z129" s="80"/>
      <c r="AA129" s="153"/>
    </row>
    <row r="130" spans="17:27" x14ac:dyDescent="0.25">
      <c r="Q130" s="53"/>
      <c r="R130" s="68"/>
      <c r="S130" s="68"/>
      <c r="T130" s="68"/>
      <c r="U130" s="68"/>
      <c r="V130" s="72"/>
      <c r="W130" s="72"/>
      <c r="X130" s="66"/>
      <c r="Y130" s="80"/>
      <c r="Z130" s="80"/>
      <c r="AA130" s="153"/>
    </row>
    <row r="131" spans="17:27" x14ac:dyDescent="0.25">
      <c r="Q131" s="53"/>
      <c r="R131" s="68"/>
      <c r="S131" s="68"/>
      <c r="T131" s="68"/>
      <c r="U131" s="68"/>
      <c r="V131" s="72"/>
      <c r="W131" s="72"/>
      <c r="X131" s="66"/>
      <c r="Y131" s="80"/>
      <c r="Z131" s="80"/>
      <c r="AA131" s="153"/>
    </row>
    <row r="132" spans="17:27" x14ac:dyDescent="0.25">
      <c r="Q132" s="53"/>
      <c r="R132" s="68"/>
      <c r="S132" s="68"/>
      <c r="T132" s="68"/>
      <c r="U132" s="68"/>
      <c r="V132" s="72"/>
      <c r="W132" s="72"/>
      <c r="X132" s="66"/>
      <c r="Y132" s="80"/>
      <c r="Z132" s="80"/>
      <c r="AA132" s="153"/>
    </row>
    <row r="133" spans="17:27" x14ac:dyDescent="0.25">
      <c r="Q133" s="53"/>
      <c r="R133" s="68"/>
      <c r="S133" s="68"/>
      <c r="T133" s="68"/>
      <c r="U133" s="68"/>
      <c r="V133" s="72"/>
      <c r="W133" s="72"/>
      <c r="X133" s="66"/>
      <c r="Y133" s="80"/>
      <c r="Z133" s="80"/>
      <c r="AA133" s="153"/>
    </row>
    <row r="134" spans="17:27" x14ac:dyDescent="0.25">
      <c r="Q134" s="53"/>
      <c r="R134" s="68"/>
      <c r="S134" s="68"/>
      <c r="T134" s="68"/>
      <c r="U134" s="68"/>
      <c r="V134" s="72"/>
      <c r="W134" s="72"/>
      <c r="X134" s="66"/>
      <c r="Y134" s="80"/>
      <c r="Z134" s="80"/>
      <c r="AA134" s="153"/>
    </row>
    <row r="135" spans="17:27" x14ac:dyDescent="0.25">
      <c r="Q135" s="53"/>
      <c r="R135" s="68"/>
      <c r="S135" s="68"/>
      <c r="T135" s="68"/>
      <c r="U135" s="68"/>
      <c r="V135" s="72"/>
      <c r="W135" s="72"/>
      <c r="X135" s="66"/>
      <c r="Y135" s="80"/>
      <c r="Z135" s="80"/>
      <c r="AA135" s="153"/>
    </row>
    <row r="136" spans="17:27" x14ac:dyDescent="0.25">
      <c r="Q136" s="53"/>
      <c r="R136" s="68"/>
      <c r="S136" s="68"/>
      <c r="T136" s="68"/>
      <c r="U136" s="68"/>
      <c r="V136" s="72"/>
      <c r="W136" s="72"/>
      <c r="X136" s="66"/>
      <c r="Y136" s="80"/>
      <c r="Z136" s="80"/>
      <c r="AA136" s="153"/>
    </row>
    <row r="137" spans="17:27" x14ac:dyDescent="0.25">
      <c r="Q137" s="53"/>
      <c r="R137" s="68"/>
      <c r="S137" s="68"/>
      <c r="T137" s="68"/>
      <c r="U137" s="68"/>
      <c r="V137" s="72"/>
      <c r="W137" s="72"/>
      <c r="X137" s="66"/>
      <c r="Y137" s="80"/>
      <c r="Z137" s="80"/>
      <c r="AA137" s="153"/>
    </row>
    <row r="138" spans="17:27" x14ac:dyDescent="0.25">
      <c r="Q138" s="53"/>
      <c r="R138" s="68"/>
      <c r="S138" s="68"/>
      <c r="T138" s="68"/>
      <c r="U138" s="68"/>
      <c r="V138" s="72"/>
      <c r="W138" s="72"/>
      <c r="X138" s="66"/>
      <c r="Y138" s="80"/>
      <c r="Z138" s="80"/>
      <c r="AA138" s="153"/>
    </row>
    <row r="139" spans="17:27" x14ac:dyDescent="0.25">
      <c r="Q139" s="53"/>
      <c r="R139" s="68"/>
      <c r="S139" s="68"/>
      <c r="T139" s="68"/>
      <c r="U139" s="68"/>
      <c r="V139" s="72"/>
      <c r="W139" s="72"/>
      <c r="X139" s="66"/>
      <c r="Y139" s="80"/>
      <c r="Z139" s="80"/>
      <c r="AA139" s="153"/>
    </row>
    <row r="140" spans="17:27" x14ac:dyDescent="0.25">
      <c r="Q140" s="53"/>
      <c r="R140" s="68"/>
      <c r="S140" s="68"/>
      <c r="T140" s="68"/>
      <c r="U140" s="68"/>
      <c r="V140" s="72"/>
      <c r="W140" s="72"/>
      <c r="X140" s="66"/>
      <c r="Y140" s="80"/>
      <c r="Z140" s="80"/>
      <c r="AA140" s="153"/>
    </row>
    <row r="141" spans="17:27" x14ac:dyDescent="0.25">
      <c r="Q141" s="53"/>
      <c r="R141" s="68"/>
      <c r="S141" s="68"/>
      <c r="T141" s="68"/>
      <c r="U141" s="68"/>
      <c r="V141" s="72"/>
      <c r="W141" s="72"/>
      <c r="X141" s="66"/>
      <c r="Y141" s="80"/>
      <c r="Z141" s="80"/>
      <c r="AA141" s="153"/>
    </row>
    <row r="142" spans="17:27" x14ac:dyDescent="0.25">
      <c r="Q142" s="53"/>
      <c r="R142" s="68"/>
      <c r="S142" s="68"/>
      <c r="T142" s="68"/>
      <c r="U142" s="68"/>
      <c r="V142" s="72"/>
      <c r="W142" s="72"/>
      <c r="X142" s="66"/>
      <c r="Y142" s="80"/>
      <c r="Z142" s="80"/>
      <c r="AA142" s="153"/>
    </row>
    <row r="143" spans="17:27" x14ac:dyDescent="0.25">
      <c r="Q143" s="53"/>
      <c r="R143" s="68"/>
      <c r="S143" s="68"/>
      <c r="T143" s="68"/>
      <c r="U143" s="68"/>
      <c r="V143" s="72"/>
      <c r="W143" s="72"/>
      <c r="X143" s="66"/>
      <c r="Y143" s="80"/>
      <c r="Z143" s="80"/>
      <c r="AA143" s="153"/>
    </row>
    <row r="144" spans="17:27" x14ac:dyDescent="0.25">
      <c r="Q144" s="53"/>
      <c r="R144" s="68"/>
      <c r="S144" s="68"/>
      <c r="T144" s="68"/>
      <c r="U144" s="68"/>
      <c r="V144" s="72"/>
      <c r="W144" s="72"/>
      <c r="X144" s="66"/>
      <c r="Y144" s="80"/>
      <c r="Z144" s="80"/>
      <c r="AA144" s="153"/>
    </row>
    <row r="145" spans="17:27" x14ac:dyDescent="0.25">
      <c r="Q145" s="53"/>
      <c r="R145" s="68"/>
      <c r="S145" s="68"/>
      <c r="T145" s="68"/>
      <c r="U145" s="68"/>
      <c r="V145" s="72"/>
      <c r="W145" s="72"/>
      <c r="X145" s="66"/>
      <c r="Y145" s="80"/>
      <c r="Z145" s="80"/>
      <c r="AA145" s="153"/>
    </row>
    <row r="146" spans="17:27" x14ac:dyDescent="0.25">
      <c r="Q146" s="53"/>
      <c r="R146" s="68"/>
      <c r="S146" s="68"/>
      <c r="T146" s="68"/>
      <c r="U146" s="68"/>
      <c r="V146" s="72"/>
      <c r="W146" s="72"/>
      <c r="X146" s="66"/>
      <c r="Y146" s="80"/>
      <c r="Z146" s="80"/>
      <c r="AA146" s="153"/>
    </row>
    <row r="147" spans="17:27" x14ac:dyDescent="0.25">
      <c r="Q147" s="53"/>
      <c r="R147" s="68"/>
      <c r="S147" s="68"/>
      <c r="T147" s="68"/>
      <c r="U147" s="68"/>
      <c r="V147" s="72"/>
      <c r="W147" s="72"/>
      <c r="X147" s="66"/>
      <c r="Y147" s="80"/>
      <c r="Z147" s="80"/>
      <c r="AA147" s="153"/>
    </row>
    <row r="148" spans="17:27" x14ac:dyDescent="0.25">
      <c r="Q148" s="53"/>
      <c r="R148" s="68"/>
      <c r="S148" s="68"/>
      <c r="T148" s="68"/>
      <c r="U148" s="68"/>
      <c r="V148" s="72"/>
      <c r="W148" s="72"/>
      <c r="X148" s="66"/>
      <c r="Y148" s="80"/>
      <c r="Z148" s="80"/>
      <c r="AA148" s="153"/>
    </row>
    <row r="149" spans="17:27" x14ac:dyDescent="0.25">
      <c r="Q149" s="53"/>
      <c r="R149" s="68"/>
      <c r="S149" s="68"/>
      <c r="T149" s="68"/>
      <c r="U149" s="68"/>
      <c r="V149" s="72"/>
      <c r="W149" s="72"/>
      <c r="X149" s="66"/>
      <c r="Y149" s="80"/>
      <c r="Z149" s="80"/>
      <c r="AA149" s="153"/>
    </row>
    <row r="150" spans="17:27" x14ac:dyDescent="0.25">
      <c r="Q150" s="53"/>
      <c r="R150" s="68"/>
      <c r="S150" s="68"/>
      <c r="T150" s="68"/>
      <c r="U150" s="68"/>
      <c r="V150" s="72"/>
      <c r="W150" s="72"/>
      <c r="X150" s="66"/>
      <c r="Y150" s="80"/>
      <c r="Z150" s="80"/>
      <c r="AA150" s="153"/>
    </row>
    <row r="151" spans="17:27" x14ac:dyDescent="0.25">
      <c r="Q151" s="53"/>
      <c r="R151" s="68"/>
      <c r="S151" s="68"/>
      <c r="T151" s="68"/>
      <c r="U151" s="68"/>
      <c r="V151" s="72"/>
      <c r="W151" s="72"/>
      <c r="X151" s="66"/>
      <c r="Y151" s="80"/>
      <c r="Z151" s="80"/>
      <c r="AA151" s="153"/>
    </row>
    <row r="152" spans="17:27" x14ac:dyDescent="0.25">
      <c r="Q152" s="53"/>
      <c r="R152" s="68"/>
      <c r="S152" s="68"/>
      <c r="T152" s="68"/>
      <c r="U152" s="68"/>
      <c r="V152" s="72"/>
      <c r="W152" s="72"/>
      <c r="X152" s="66"/>
      <c r="Y152" s="80"/>
      <c r="Z152" s="80"/>
      <c r="AA152" s="153"/>
    </row>
    <row r="153" spans="17:27" x14ac:dyDescent="0.25">
      <c r="Q153" s="53"/>
      <c r="R153" s="68"/>
      <c r="S153" s="68"/>
      <c r="T153" s="68"/>
      <c r="U153" s="68"/>
      <c r="V153" s="72"/>
      <c r="W153" s="72"/>
      <c r="X153" s="66"/>
      <c r="Y153" s="80"/>
      <c r="Z153" s="80"/>
      <c r="AA153" s="153"/>
    </row>
    <row r="154" spans="17:27" x14ac:dyDescent="0.25">
      <c r="Q154" s="53"/>
      <c r="R154" s="68"/>
      <c r="S154" s="68"/>
      <c r="T154" s="68"/>
      <c r="U154" s="68"/>
      <c r="V154" s="72"/>
      <c r="W154" s="72"/>
      <c r="X154" s="66"/>
      <c r="Y154" s="80"/>
      <c r="Z154" s="80"/>
      <c r="AA154" s="153"/>
    </row>
    <row r="155" spans="17:27" x14ac:dyDescent="0.25">
      <c r="Q155" s="53"/>
      <c r="R155" s="68"/>
      <c r="S155" s="68"/>
      <c r="T155" s="68"/>
      <c r="U155" s="68"/>
      <c r="V155" s="72"/>
      <c r="W155" s="72"/>
      <c r="X155" s="66"/>
      <c r="Y155" s="80"/>
      <c r="Z155" s="80"/>
      <c r="AA155" s="153"/>
    </row>
    <row r="156" spans="17:27" x14ac:dyDescent="0.25">
      <c r="Q156" s="53"/>
      <c r="R156" s="68"/>
      <c r="S156" s="68"/>
      <c r="T156" s="68"/>
      <c r="U156" s="68"/>
      <c r="V156" s="72"/>
      <c r="W156" s="72"/>
      <c r="X156" s="66"/>
      <c r="Y156" s="80"/>
      <c r="Z156" s="80"/>
      <c r="AA156" s="153"/>
    </row>
    <row r="157" spans="17:27" x14ac:dyDescent="0.25">
      <c r="Q157" s="53"/>
      <c r="R157" s="68"/>
      <c r="S157" s="68"/>
      <c r="T157" s="68"/>
      <c r="U157" s="68"/>
      <c r="V157" s="72"/>
      <c r="W157" s="72"/>
      <c r="X157" s="66"/>
      <c r="Y157" s="80"/>
      <c r="Z157" s="80"/>
      <c r="AA157" s="153"/>
    </row>
    <row r="158" spans="17:27" x14ac:dyDescent="0.25">
      <c r="Q158" s="53"/>
      <c r="R158" s="68"/>
      <c r="S158" s="68"/>
      <c r="T158" s="68"/>
      <c r="U158" s="68"/>
      <c r="V158" s="72"/>
      <c r="W158" s="72"/>
      <c r="X158" s="66"/>
      <c r="Y158" s="80"/>
      <c r="Z158" s="80"/>
      <c r="AA158" s="153"/>
    </row>
    <row r="159" spans="17:27" x14ac:dyDescent="0.25">
      <c r="Q159" s="53"/>
      <c r="R159" s="68"/>
      <c r="S159" s="68"/>
      <c r="T159" s="68"/>
      <c r="U159" s="68"/>
      <c r="V159" s="72"/>
      <c r="W159" s="72"/>
      <c r="X159" s="66"/>
      <c r="Y159" s="80"/>
      <c r="Z159" s="80"/>
      <c r="AA159" s="153"/>
    </row>
    <row r="160" spans="17:27" x14ac:dyDescent="0.25">
      <c r="Q160" s="53"/>
      <c r="R160" s="68"/>
      <c r="S160" s="68"/>
      <c r="T160" s="68"/>
      <c r="U160" s="68"/>
      <c r="V160" s="72"/>
      <c r="W160" s="72"/>
      <c r="X160" s="66"/>
      <c r="Y160" s="80"/>
      <c r="Z160" s="80"/>
      <c r="AA160" s="153"/>
    </row>
    <row r="161" spans="17:27" x14ac:dyDescent="0.25">
      <c r="Q161" s="53"/>
      <c r="R161" s="68"/>
      <c r="S161" s="68"/>
      <c r="T161" s="68"/>
      <c r="U161" s="68"/>
      <c r="V161" s="72"/>
      <c r="W161" s="72"/>
      <c r="X161" s="66"/>
      <c r="Y161" s="80"/>
      <c r="Z161" s="80"/>
      <c r="AA161" s="153"/>
    </row>
    <row r="162" spans="17:27" x14ac:dyDescent="0.25">
      <c r="Q162" s="53"/>
      <c r="R162" s="68"/>
      <c r="S162" s="68"/>
      <c r="T162" s="68"/>
      <c r="U162" s="68"/>
      <c r="V162" s="72"/>
      <c r="W162" s="72"/>
      <c r="X162" s="66"/>
      <c r="Y162" s="80"/>
      <c r="Z162" s="80"/>
      <c r="AA162" s="153"/>
    </row>
    <row r="163" spans="17:27" x14ac:dyDescent="0.25">
      <c r="Q163" s="53"/>
      <c r="R163" s="68"/>
      <c r="S163" s="68"/>
      <c r="T163" s="68"/>
      <c r="U163" s="68"/>
      <c r="V163" s="72"/>
      <c r="W163" s="72"/>
      <c r="X163" s="66"/>
      <c r="Y163" s="80"/>
      <c r="Z163" s="80"/>
      <c r="AA163" s="153"/>
    </row>
    <row r="164" spans="17:27" x14ac:dyDescent="0.25">
      <c r="Q164" s="53"/>
      <c r="R164" s="68"/>
      <c r="S164" s="68"/>
      <c r="T164" s="68"/>
      <c r="U164" s="68"/>
      <c r="V164" s="72"/>
      <c r="W164" s="72"/>
      <c r="X164" s="66"/>
      <c r="Y164" s="80"/>
      <c r="Z164" s="80"/>
      <c r="AA164" s="153"/>
    </row>
    <row r="165" spans="17:27" x14ac:dyDescent="0.25">
      <c r="Q165" s="53"/>
      <c r="R165" s="68"/>
      <c r="S165" s="68"/>
      <c r="T165" s="68"/>
      <c r="U165" s="68"/>
      <c r="V165" s="72"/>
      <c r="W165" s="72"/>
      <c r="X165" s="66"/>
      <c r="Y165" s="80"/>
      <c r="Z165" s="80"/>
      <c r="AA165" s="153"/>
    </row>
    <row r="166" spans="17:27" x14ac:dyDescent="0.25">
      <c r="Q166" s="53"/>
      <c r="R166" s="68"/>
      <c r="S166" s="68"/>
      <c r="T166" s="68"/>
      <c r="U166" s="68"/>
      <c r="V166" s="72"/>
      <c r="W166" s="72"/>
      <c r="X166" s="66"/>
      <c r="Y166" s="80"/>
      <c r="Z166" s="80"/>
      <c r="AA166" s="153"/>
    </row>
    <row r="167" spans="17:27" x14ac:dyDescent="0.25">
      <c r="Q167" s="53"/>
      <c r="R167" s="68"/>
      <c r="S167" s="68"/>
      <c r="T167" s="68"/>
      <c r="U167" s="68"/>
      <c r="V167" s="72"/>
      <c r="W167" s="72"/>
      <c r="X167" s="66"/>
      <c r="Y167" s="80"/>
      <c r="Z167" s="80"/>
      <c r="AA167" s="153"/>
    </row>
    <row r="168" spans="17:27" x14ac:dyDescent="0.25">
      <c r="Q168" s="53"/>
      <c r="R168" s="68"/>
      <c r="S168" s="68"/>
      <c r="T168" s="68"/>
      <c r="U168" s="68"/>
      <c r="V168" s="72"/>
      <c r="W168" s="72"/>
      <c r="X168" s="66"/>
      <c r="Y168" s="80"/>
      <c r="Z168" s="80"/>
      <c r="AA168" s="153"/>
    </row>
    <row r="169" spans="17:27" x14ac:dyDescent="0.25">
      <c r="Q169" s="53"/>
      <c r="R169" s="68"/>
      <c r="S169" s="68"/>
      <c r="T169" s="68"/>
      <c r="U169" s="68"/>
      <c r="V169" s="72"/>
      <c r="W169" s="72"/>
      <c r="X169" s="66"/>
      <c r="Y169" s="80"/>
      <c r="Z169" s="80"/>
      <c r="AA169" s="153"/>
    </row>
    <row r="170" spans="17:27" x14ac:dyDescent="0.25">
      <c r="Q170" s="53"/>
      <c r="R170" s="68"/>
      <c r="S170" s="68"/>
      <c r="T170" s="68"/>
      <c r="U170" s="68"/>
      <c r="V170" s="72"/>
      <c r="W170" s="72"/>
      <c r="X170" s="66"/>
      <c r="Y170" s="80"/>
      <c r="Z170" s="80"/>
      <c r="AA170" s="153"/>
    </row>
    <row r="171" spans="17:27" x14ac:dyDescent="0.25">
      <c r="Q171" s="53"/>
      <c r="R171" s="68"/>
      <c r="S171" s="68"/>
      <c r="T171" s="68"/>
      <c r="U171" s="68"/>
      <c r="V171" s="72"/>
      <c r="W171" s="72"/>
      <c r="X171" s="66"/>
      <c r="Y171" s="80"/>
      <c r="Z171" s="80"/>
      <c r="AA171" s="153"/>
    </row>
    <row r="172" spans="17:27" x14ac:dyDescent="0.25">
      <c r="Q172" s="53"/>
      <c r="R172" s="68"/>
      <c r="S172" s="68"/>
      <c r="T172" s="68"/>
      <c r="U172" s="68"/>
      <c r="V172" s="72"/>
      <c r="W172" s="72"/>
      <c r="X172" s="66"/>
      <c r="Y172" s="80"/>
      <c r="Z172" s="80"/>
      <c r="AA172" s="153"/>
    </row>
    <row r="173" spans="17:27" x14ac:dyDescent="0.25">
      <c r="Q173" s="53"/>
      <c r="R173" s="68"/>
      <c r="S173" s="68"/>
      <c r="T173" s="68"/>
      <c r="U173" s="68"/>
      <c r="V173" s="72"/>
      <c r="W173" s="72"/>
      <c r="X173" s="66"/>
      <c r="Y173" s="80"/>
      <c r="Z173" s="80"/>
      <c r="AA173" s="153"/>
    </row>
    <row r="174" spans="17:27" x14ac:dyDescent="0.25">
      <c r="Q174" s="53"/>
      <c r="R174" s="68"/>
      <c r="S174" s="68"/>
      <c r="T174" s="68"/>
      <c r="U174" s="68"/>
      <c r="V174" s="72"/>
      <c r="W174" s="72"/>
      <c r="X174" s="66"/>
      <c r="Y174" s="80"/>
      <c r="Z174" s="80"/>
      <c r="AA174" s="153"/>
    </row>
    <row r="175" spans="17:27" x14ac:dyDescent="0.25">
      <c r="Q175" s="53"/>
      <c r="R175" s="68"/>
      <c r="S175" s="68"/>
      <c r="T175" s="68"/>
      <c r="U175" s="68"/>
      <c r="V175" s="72"/>
      <c r="W175" s="72"/>
      <c r="X175" s="66"/>
      <c r="Y175" s="80"/>
      <c r="Z175" s="80"/>
      <c r="AA175" s="153"/>
    </row>
    <row r="176" spans="17:27" x14ac:dyDescent="0.25">
      <c r="Q176" s="53"/>
      <c r="R176" s="68"/>
      <c r="S176" s="68"/>
      <c r="T176" s="68"/>
      <c r="U176" s="68"/>
      <c r="V176" s="72"/>
      <c r="W176" s="72"/>
      <c r="X176" s="66"/>
      <c r="Y176" s="80"/>
      <c r="Z176" s="80"/>
      <c r="AA176" s="153"/>
    </row>
    <row r="177" spans="17:27" x14ac:dyDescent="0.25">
      <c r="Q177" s="53"/>
      <c r="R177" s="68"/>
      <c r="S177" s="68"/>
      <c r="T177" s="68"/>
      <c r="U177" s="68"/>
      <c r="V177" s="72"/>
      <c r="W177" s="72"/>
      <c r="X177" s="66"/>
      <c r="Y177" s="80"/>
      <c r="Z177" s="80"/>
      <c r="AA177" s="153"/>
    </row>
    <row r="178" spans="17:27" x14ac:dyDescent="0.25">
      <c r="Q178" s="53"/>
      <c r="R178" s="68"/>
      <c r="S178" s="68"/>
      <c r="T178" s="68"/>
      <c r="U178" s="68"/>
      <c r="V178" s="72"/>
      <c r="W178" s="72"/>
      <c r="X178" s="66"/>
      <c r="Y178" s="80"/>
      <c r="Z178" s="80"/>
      <c r="AA178" s="153"/>
    </row>
    <row r="179" spans="17:27" x14ac:dyDescent="0.25">
      <c r="Q179" s="53"/>
      <c r="R179" s="68"/>
      <c r="S179" s="68"/>
      <c r="T179" s="68"/>
      <c r="U179" s="68"/>
      <c r="V179" s="72"/>
      <c r="W179" s="72"/>
      <c r="X179" s="66"/>
      <c r="Y179" s="80"/>
      <c r="Z179" s="80"/>
      <c r="AA179" s="153"/>
    </row>
    <row r="180" spans="17:27" x14ac:dyDescent="0.25">
      <c r="Q180" s="53"/>
      <c r="R180" s="68"/>
      <c r="S180" s="68"/>
      <c r="T180" s="68"/>
      <c r="U180" s="68"/>
      <c r="V180" s="72"/>
      <c r="W180" s="72"/>
      <c r="X180" s="66"/>
      <c r="Y180" s="80"/>
      <c r="Z180" s="80"/>
      <c r="AA180" s="153"/>
    </row>
    <row r="181" spans="17:27" x14ac:dyDescent="0.25">
      <c r="Q181" s="53"/>
      <c r="R181" s="68"/>
      <c r="S181" s="68"/>
      <c r="T181" s="68"/>
      <c r="U181" s="68"/>
      <c r="V181" s="72"/>
      <c r="W181" s="72"/>
      <c r="X181" s="66"/>
      <c r="Y181" s="80"/>
      <c r="Z181" s="80"/>
      <c r="AA181" s="153"/>
    </row>
    <row r="182" spans="17:27" x14ac:dyDescent="0.25">
      <c r="Q182" s="53"/>
      <c r="R182" s="68"/>
      <c r="S182" s="68"/>
      <c r="T182" s="68"/>
      <c r="U182" s="68"/>
      <c r="V182" s="72"/>
      <c r="W182" s="72"/>
      <c r="X182" s="66"/>
      <c r="Y182" s="80"/>
      <c r="Z182" s="80"/>
      <c r="AA182" s="153"/>
    </row>
    <row r="183" spans="17:27" x14ac:dyDescent="0.25">
      <c r="Q183" s="53"/>
      <c r="R183" s="68"/>
      <c r="S183" s="68"/>
      <c r="T183" s="68"/>
      <c r="U183" s="68"/>
      <c r="V183" s="72"/>
      <c r="W183" s="72"/>
      <c r="X183" s="66"/>
      <c r="Y183" s="80"/>
      <c r="Z183" s="80"/>
      <c r="AA183" s="153"/>
    </row>
    <row r="184" spans="17:27" x14ac:dyDescent="0.25">
      <c r="Q184" s="53"/>
      <c r="R184" s="68"/>
      <c r="S184" s="68"/>
      <c r="T184" s="68"/>
      <c r="U184" s="68"/>
      <c r="V184" s="72"/>
      <c r="W184" s="72"/>
      <c r="X184" s="66"/>
      <c r="Y184" s="80"/>
      <c r="Z184" s="80"/>
      <c r="AA184" s="153"/>
    </row>
    <row r="185" spans="17:27" x14ac:dyDescent="0.25">
      <c r="Q185" s="53"/>
      <c r="R185" s="68"/>
      <c r="S185" s="68"/>
      <c r="T185" s="68"/>
      <c r="U185" s="68"/>
      <c r="V185" s="72"/>
      <c r="W185" s="72"/>
      <c r="X185" s="66"/>
      <c r="Y185" s="80"/>
      <c r="Z185" s="80"/>
      <c r="AA185" s="153"/>
    </row>
    <row r="186" spans="17:27" x14ac:dyDescent="0.25">
      <c r="Q186" s="53"/>
      <c r="R186" s="68"/>
      <c r="S186" s="68"/>
      <c r="T186" s="68"/>
      <c r="U186" s="68"/>
      <c r="V186" s="72"/>
      <c r="W186" s="72"/>
      <c r="X186" s="66"/>
      <c r="Y186" s="80"/>
      <c r="Z186" s="80"/>
      <c r="AA186" s="153"/>
    </row>
    <row r="187" spans="17:27" x14ac:dyDescent="0.25">
      <c r="Q187" s="53"/>
      <c r="R187" s="68"/>
      <c r="S187" s="68"/>
      <c r="T187" s="68"/>
      <c r="U187" s="68"/>
      <c r="V187" s="72"/>
      <c r="W187" s="72"/>
      <c r="X187" s="66"/>
      <c r="Y187" s="80"/>
      <c r="Z187" s="80"/>
      <c r="AA187" s="153"/>
    </row>
    <row r="188" spans="17:27" x14ac:dyDescent="0.25">
      <c r="Q188" s="53"/>
      <c r="R188" s="68"/>
      <c r="S188" s="68"/>
      <c r="T188" s="68"/>
      <c r="U188" s="68"/>
      <c r="V188" s="72"/>
      <c r="W188" s="72"/>
      <c r="X188" s="66"/>
      <c r="Y188" s="80"/>
      <c r="Z188" s="80"/>
      <c r="AA188" s="153"/>
    </row>
    <row r="189" spans="17:27" x14ac:dyDescent="0.25">
      <c r="Q189" s="53"/>
      <c r="R189" s="68"/>
      <c r="S189" s="68"/>
      <c r="T189" s="68"/>
      <c r="U189" s="68"/>
      <c r="V189" s="72"/>
      <c r="W189" s="72"/>
      <c r="X189" s="66"/>
      <c r="Y189" s="80"/>
      <c r="Z189" s="80"/>
      <c r="AA189" s="153"/>
    </row>
    <row r="190" spans="17:27" x14ac:dyDescent="0.25">
      <c r="Q190" s="53"/>
      <c r="R190" s="68"/>
      <c r="S190" s="68"/>
      <c r="T190" s="68"/>
      <c r="U190" s="68"/>
      <c r="V190" s="72"/>
      <c r="W190" s="72"/>
      <c r="X190" s="66"/>
      <c r="Y190" s="80"/>
      <c r="Z190" s="80"/>
      <c r="AA190" s="153"/>
    </row>
    <row r="191" spans="17:27" x14ac:dyDescent="0.25">
      <c r="Q191" s="53"/>
      <c r="R191" s="68"/>
      <c r="S191" s="68"/>
      <c r="T191" s="68"/>
      <c r="U191" s="68"/>
      <c r="V191" s="72"/>
      <c r="W191" s="72"/>
      <c r="X191" s="66"/>
      <c r="Y191" s="80"/>
      <c r="Z191" s="80"/>
      <c r="AA191" s="153"/>
    </row>
    <row r="192" spans="17:27" x14ac:dyDescent="0.25">
      <c r="Q192" s="53"/>
      <c r="R192" s="68"/>
      <c r="S192" s="68"/>
      <c r="T192" s="68"/>
      <c r="U192" s="68"/>
      <c r="V192" s="72"/>
      <c r="W192" s="72"/>
      <c r="X192" s="66"/>
      <c r="Y192" s="80"/>
      <c r="Z192" s="80"/>
      <c r="AA192" s="153"/>
    </row>
    <row r="193" spans="17:27" x14ac:dyDescent="0.25">
      <c r="Q193" s="53"/>
      <c r="R193" s="68"/>
      <c r="S193" s="68"/>
      <c r="T193" s="68"/>
      <c r="U193" s="68"/>
      <c r="V193" s="72"/>
      <c r="W193" s="72"/>
      <c r="X193" s="66"/>
      <c r="Y193" s="80"/>
      <c r="Z193" s="80"/>
      <c r="AA193" s="153"/>
    </row>
    <row r="194" spans="17:27" x14ac:dyDescent="0.25">
      <c r="Q194" s="53"/>
      <c r="R194" s="68"/>
      <c r="S194" s="68"/>
      <c r="T194" s="68"/>
      <c r="U194" s="68"/>
      <c r="V194" s="72"/>
      <c r="W194" s="72"/>
      <c r="X194" s="66"/>
      <c r="Y194" s="80"/>
      <c r="Z194" s="80"/>
      <c r="AA194" s="153"/>
    </row>
    <row r="195" spans="17:27" x14ac:dyDescent="0.25">
      <c r="Q195" s="53"/>
      <c r="R195" s="68"/>
      <c r="S195" s="68"/>
      <c r="T195" s="68"/>
      <c r="U195" s="68"/>
      <c r="V195" s="72"/>
      <c r="W195" s="72"/>
      <c r="X195" s="66"/>
      <c r="Y195" s="80"/>
      <c r="Z195" s="80"/>
      <c r="AA195" s="153"/>
    </row>
    <row r="196" spans="17:27" x14ac:dyDescent="0.25">
      <c r="Q196" s="53"/>
      <c r="R196" s="68"/>
      <c r="S196" s="68"/>
      <c r="T196" s="68"/>
      <c r="U196" s="68"/>
      <c r="V196" s="72"/>
      <c r="W196" s="72"/>
      <c r="X196" s="66"/>
      <c r="Y196" s="80"/>
      <c r="Z196" s="80"/>
      <c r="AA196" s="153"/>
    </row>
    <row r="197" spans="17:27" x14ac:dyDescent="0.25">
      <c r="Q197" s="53"/>
      <c r="R197" s="68"/>
      <c r="S197" s="68"/>
      <c r="T197" s="68"/>
      <c r="U197" s="68"/>
      <c r="V197" s="72"/>
      <c r="W197" s="72"/>
      <c r="X197" s="66"/>
      <c r="Y197" s="80"/>
      <c r="Z197" s="80"/>
      <c r="AA197" s="153"/>
    </row>
    <row r="198" spans="17:27" x14ac:dyDescent="0.25">
      <c r="Q198" s="53"/>
      <c r="R198" s="68"/>
      <c r="S198" s="68"/>
      <c r="T198" s="68"/>
      <c r="U198" s="68"/>
      <c r="V198" s="72"/>
      <c r="W198" s="72"/>
      <c r="X198" s="66"/>
      <c r="Y198" s="80"/>
      <c r="Z198" s="80"/>
      <c r="AA198" s="153"/>
    </row>
    <row r="199" spans="17:27" x14ac:dyDescent="0.25">
      <c r="Q199" s="53"/>
      <c r="R199" s="68"/>
      <c r="S199" s="68"/>
      <c r="T199" s="68"/>
      <c r="U199" s="68"/>
      <c r="V199" s="72"/>
      <c r="W199" s="72"/>
      <c r="X199" s="66"/>
      <c r="Y199" s="80"/>
      <c r="Z199" s="80"/>
      <c r="AA199" s="153"/>
    </row>
    <row r="200" spans="17:27" x14ac:dyDescent="0.25">
      <c r="Q200" s="53"/>
      <c r="R200" s="68"/>
      <c r="S200" s="68"/>
      <c r="T200" s="68"/>
      <c r="U200" s="68"/>
      <c r="V200" s="72"/>
      <c r="W200" s="72"/>
      <c r="X200" s="66"/>
      <c r="Y200" s="80"/>
      <c r="Z200" s="80"/>
      <c r="AA200" s="153"/>
    </row>
    <row r="201" spans="17:27" x14ac:dyDescent="0.25">
      <c r="Q201" s="53"/>
      <c r="R201" s="68"/>
      <c r="S201" s="68"/>
      <c r="T201" s="68"/>
      <c r="U201" s="68"/>
      <c r="V201" s="72"/>
      <c r="W201" s="72"/>
      <c r="X201" s="66"/>
      <c r="Y201" s="80"/>
      <c r="Z201" s="80"/>
      <c r="AA201" s="153"/>
    </row>
    <row r="202" spans="17:27" x14ac:dyDescent="0.25">
      <c r="Q202" s="53"/>
      <c r="R202" s="68"/>
      <c r="S202" s="68"/>
      <c r="T202" s="68"/>
      <c r="U202" s="68"/>
      <c r="V202" s="72"/>
      <c r="W202" s="72"/>
      <c r="X202" s="66"/>
      <c r="Y202" s="80"/>
      <c r="Z202" s="80"/>
      <c r="AA202" s="153"/>
    </row>
    <row r="203" spans="17:27" x14ac:dyDescent="0.25">
      <c r="Q203" s="53"/>
      <c r="R203" s="68"/>
      <c r="S203" s="68"/>
      <c r="T203" s="68"/>
      <c r="U203" s="68"/>
      <c r="V203" s="72"/>
      <c r="W203" s="72"/>
      <c r="X203" s="66"/>
      <c r="Y203" s="80"/>
      <c r="Z203" s="80"/>
      <c r="AA203" s="153"/>
    </row>
    <row r="204" spans="17:27" x14ac:dyDescent="0.25">
      <c r="Q204" s="53"/>
      <c r="R204" s="68"/>
      <c r="S204" s="68"/>
      <c r="T204" s="68"/>
      <c r="U204" s="68"/>
      <c r="V204" s="72"/>
      <c r="W204" s="72"/>
      <c r="X204" s="66"/>
      <c r="Y204" s="80"/>
      <c r="Z204" s="80"/>
      <c r="AA204" s="153"/>
    </row>
    <row r="205" spans="17:27" x14ac:dyDescent="0.25">
      <c r="Q205" s="53"/>
      <c r="R205" s="68"/>
      <c r="S205" s="68"/>
      <c r="T205" s="68"/>
      <c r="U205" s="68"/>
      <c r="V205" s="72"/>
      <c r="W205" s="72"/>
      <c r="X205" s="66"/>
      <c r="Y205" s="80"/>
      <c r="Z205" s="80"/>
      <c r="AA205" s="153"/>
    </row>
    <row r="206" spans="17:27" x14ac:dyDescent="0.25">
      <c r="Q206" s="53"/>
      <c r="R206" s="68"/>
      <c r="S206" s="68"/>
      <c r="T206" s="68"/>
      <c r="U206" s="68"/>
      <c r="V206" s="72"/>
      <c r="W206" s="72"/>
      <c r="X206" s="66"/>
      <c r="Y206" s="80"/>
      <c r="Z206" s="80"/>
      <c r="AA206" s="153"/>
    </row>
    <row r="207" spans="17:27" x14ac:dyDescent="0.25">
      <c r="Q207" s="53"/>
      <c r="R207" s="68"/>
      <c r="S207" s="68"/>
      <c r="T207" s="68"/>
      <c r="U207" s="68"/>
      <c r="V207" s="72"/>
      <c r="W207" s="72"/>
      <c r="X207" s="66"/>
      <c r="Y207" s="80"/>
      <c r="Z207" s="80"/>
      <c r="AA207" s="153"/>
    </row>
    <row r="208" spans="17:27" x14ac:dyDescent="0.25">
      <c r="Q208" s="53"/>
      <c r="R208" s="68"/>
      <c r="S208" s="68"/>
      <c r="T208" s="68"/>
      <c r="U208" s="68"/>
      <c r="V208" s="72"/>
      <c r="W208" s="72"/>
      <c r="X208" s="66"/>
      <c r="Y208" s="80"/>
      <c r="Z208" s="80"/>
      <c r="AA208" s="153"/>
    </row>
    <row r="209" spans="17:27" x14ac:dyDescent="0.25">
      <c r="Q209" s="53"/>
      <c r="R209" s="68"/>
      <c r="S209" s="68"/>
      <c r="T209" s="68"/>
      <c r="U209" s="68"/>
      <c r="V209" s="72"/>
      <c r="W209" s="72"/>
      <c r="X209" s="66"/>
      <c r="Y209" s="80"/>
      <c r="Z209" s="80"/>
      <c r="AA209" s="153"/>
    </row>
    <row r="210" spans="17:27" x14ac:dyDescent="0.25">
      <c r="Q210" s="53"/>
      <c r="R210" s="68"/>
      <c r="S210" s="68"/>
      <c r="T210" s="68"/>
      <c r="U210" s="68"/>
      <c r="V210" s="72"/>
      <c r="W210" s="72"/>
      <c r="X210" s="66"/>
      <c r="Y210" s="80"/>
      <c r="Z210" s="80"/>
      <c r="AA210" s="153"/>
    </row>
    <row r="211" spans="17:27" x14ac:dyDescent="0.25">
      <c r="Q211" s="53"/>
      <c r="R211" s="68"/>
      <c r="S211" s="68"/>
      <c r="T211" s="68"/>
      <c r="U211" s="68"/>
      <c r="V211" s="72"/>
      <c r="W211" s="72"/>
      <c r="X211" s="66"/>
      <c r="Y211" s="80"/>
      <c r="Z211" s="80"/>
      <c r="AA211" s="153"/>
    </row>
    <row r="212" spans="17:27" x14ac:dyDescent="0.25">
      <c r="Q212" s="53"/>
      <c r="R212" s="68"/>
      <c r="S212" s="68"/>
      <c r="T212" s="68"/>
      <c r="U212" s="68"/>
      <c r="V212" s="72"/>
      <c r="W212" s="72"/>
      <c r="X212" s="66"/>
      <c r="Y212" s="80"/>
      <c r="Z212" s="80"/>
      <c r="AA212" s="153"/>
    </row>
    <row r="213" spans="17:27" x14ac:dyDescent="0.25">
      <c r="Q213" s="53"/>
      <c r="R213" s="68"/>
      <c r="S213" s="68"/>
      <c r="T213" s="68"/>
      <c r="U213" s="68"/>
      <c r="V213" s="72"/>
      <c r="W213" s="72"/>
      <c r="X213" s="66"/>
      <c r="Y213" s="80"/>
      <c r="Z213" s="80"/>
      <c r="AA213" s="153"/>
    </row>
    <row r="214" spans="17:27" x14ac:dyDescent="0.25">
      <c r="Q214" s="53"/>
      <c r="R214" s="68"/>
      <c r="S214" s="68"/>
      <c r="T214" s="68"/>
      <c r="U214" s="68"/>
      <c r="V214" s="72"/>
      <c r="W214" s="72"/>
      <c r="X214" s="66"/>
      <c r="Y214" s="80"/>
      <c r="Z214" s="80"/>
      <c r="AA214" s="153"/>
    </row>
    <row r="215" spans="17:27" x14ac:dyDescent="0.25">
      <c r="Q215" s="53"/>
      <c r="R215" s="68"/>
      <c r="S215" s="68"/>
      <c r="T215" s="68"/>
      <c r="U215" s="68"/>
      <c r="V215" s="72"/>
      <c r="W215" s="72"/>
      <c r="X215" s="66"/>
      <c r="Y215" s="80"/>
      <c r="Z215" s="80"/>
      <c r="AA215" s="153"/>
    </row>
    <row r="216" spans="17:27" x14ac:dyDescent="0.25">
      <c r="Q216" s="53"/>
      <c r="R216" s="68"/>
      <c r="S216" s="68"/>
      <c r="T216" s="68"/>
      <c r="U216" s="68"/>
      <c r="V216" s="72"/>
      <c r="W216" s="72"/>
      <c r="X216" s="66"/>
      <c r="Y216" s="80"/>
      <c r="Z216" s="80"/>
      <c r="AA216" s="153"/>
    </row>
    <row r="217" spans="17:27" x14ac:dyDescent="0.25">
      <c r="Q217" s="53"/>
      <c r="R217" s="68"/>
      <c r="S217" s="68"/>
      <c r="T217" s="68"/>
      <c r="U217" s="68"/>
      <c r="V217" s="72"/>
      <c r="W217" s="72"/>
      <c r="X217" s="66"/>
      <c r="Y217" s="80"/>
      <c r="Z217" s="80"/>
      <c r="AA217" s="153"/>
    </row>
    <row r="218" spans="17:27" x14ac:dyDescent="0.25">
      <c r="Q218" s="53"/>
      <c r="R218" s="68"/>
      <c r="S218" s="68"/>
      <c r="T218" s="68"/>
      <c r="U218" s="68"/>
      <c r="V218" s="72"/>
      <c r="W218" s="72"/>
      <c r="X218" s="66"/>
      <c r="Y218" s="80"/>
      <c r="Z218" s="80"/>
      <c r="AA218" s="153"/>
    </row>
    <row r="219" spans="17:27" x14ac:dyDescent="0.25">
      <c r="Q219" s="53"/>
      <c r="R219" s="68"/>
      <c r="S219" s="68"/>
      <c r="T219" s="68"/>
      <c r="U219" s="68"/>
      <c r="V219" s="72"/>
      <c r="W219" s="72"/>
      <c r="X219" s="66"/>
      <c r="Y219" s="80"/>
      <c r="Z219" s="80"/>
      <c r="AA219" s="153"/>
    </row>
    <row r="220" spans="17:27" x14ac:dyDescent="0.25">
      <c r="Q220" s="53"/>
      <c r="R220" s="68"/>
      <c r="S220" s="68"/>
      <c r="T220" s="68"/>
      <c r="U220" s="68"/>
      <c r="V220" s="72"/>
      <c r="W220" s="72"/>
      <c r="X220" s="66"/>
      <c r="Y220" s="80"/>
      <c r="Z220" s="80"/>
      <c r="AA220" s="153"/>
    </row>
    <row r="221" spans="17:27" x14ac:dyDescent="0.25">
      <c r="Q221" s="53"/>
      <c r="R221" s="68"/>
      <c r="S221" s="68"/>
      <c r="T221" s="68"/>
      <c r="U221" s="68"/>
      <c r="V221" s="72"/>
      <c r="W221" s="72"/>
      <c r="X221" s="66"/>
      <c r="Y221" s="80"/>
      <c r="Z221" s="80"/>
      <c r="AA221" s="153"/>
    </row>
    <row r="222" spans="17:27" x14ac:dyDescent="0.25">
      <c r="Q222" s="53"/>
      <c r="R222" s="68"/>
      <c r="S222" s="68"/>
      <c r="T222" s="68"/>
      <c r="U222" s="68"/>
      <c r="V222" s="72"/>
      <c r="W222" s="72"/>
      <c r="X222" s="66"/>
      <c r="Y222" s="80"/>
      <c r="Z222" s="80"/>
      <c r="AA222" s="153"/>
    </row>
    <row r="223" spans="17:27" x14ac:dyDescent="0.25">
      <c r="Q223" s="53"/>
      <c r="R223" s="68"/>
      <c r="S223" s="68"/>
      <c r="T223" s="68"/>
      <c r="U223" s="68"/>
      <c r="V223" s="72"/>
      <c r="W223" s="72"/>
      <c r="X223" s="66"/>
      <c r="Y223" s="80"/>
      <c r="Z223" s="80"/>
      <c r="AA223" s="153"/>
    </row>
    <row r="224" spans="17:27" x14ac:dyDescent="0.25">
      <c r="Q224" s="53"/>
      <c r="R224" s="68"/>
      <c r="S224" s="68"/>
      <c r="T224" s="68"/>
      <c r="U224" s="68"/>
      <c r="V224" s="72"/>
      <c r="W224" s="72"/>
      <c r="X224" s="66"/>
      <c r="Y224" s="80"/>
      <c r="Z224" s="80"/>
      <c r="AA224" s="153"/>
    </row>
    <row r="225" spans="17:27" x14ac:dyDescent="0.25">
      <c r="Q225" s="53"/>
      <c r="R225" s="68"/>
      <c r="S225" s="68"/>
      <c r="T225" s="68"/>
      <c r="U225" s="68"/>
      <c r="V225" s="72"/>
      <c r="W225" s="72"/>
      <c r="X225" s="66"/>
      <c r="Y225" s="80"/>
      <c r="Z225" s="80"/>
      <c r="AA225" s="153"/>
    </row>
    <row r="226" spans="17:27" x14ac:dyDescent="0.25">
      <c r="Q226" s="53"/>
      <c r="R226" s="68"/>
      <c r="S226" s="68"/>
      <c r="T226" s="68"/>
      <c r="U226" s="68"/>
      <c r="V226" s="72"/>
      <c r="W226" s="72"/>
      <c r="X226" s="66"/>
      <c r="Y226" s="80"/>
      <c r="Z226" s="80"/>
      <c r="AA226" s="153"/>
    </row>
    <row r="227" spans="17:27" x14ac:dyDescent="0.25">
      <c r="Q227" s="53"/>
      <c r="R227" s="68"/>
      <c r="S227" s="68"/>
      <c r="T227" s="68"/>
      <c r="U227" s="68"/>
      <c r="V227" s="72"/>
      <c r="W227" s="72"/>
      <c r="X227" s="66"/>
      <c r="Y227" s="80"/>
      <c r="Z227" s="80"/>
      <c r="AA227" s="153"/>
    </row>
    <row r="228" spans="17:27" x14ac:dyDescent="0.25">
      <c r="Q228" s="53"/>
      <c r="R228" s="68"/>
      <c r="S228" s="68"/>
      <c r="T228" s="68"/>
      <c r="U228" s="68"/>
      <c r="V228" s="72"/>
      <c r="W228" s="72"/>
      <c r="X228" s="66"/>
      <c r="Y228" s="80"/>
      <c r="Z228" s="80"/>
      <c r="AA228" s="153"/>
    </row>
    <row r="229" spans="17:27" x14ac:dyDescent="0.25">
      <c r="Q229" s="53"/>
      <c r="R229" s="68"/>
      <c r="S229" s="68"/>
      <c r="T229" s="68"/>
      <c r="U229" s="68"/>
      <c r="V229" s="72"/>
      <c r="W229" s="72"/>
      <c r="X229" s="66"/>
      <c r="Y229" s="80"/>
      <c r="Z229" s="80"/>
      <c r="AA229" s="153"/>
    </row>
    <row r="230" spans="17:27" x14ac:dyDescent="0.25">
      <c r="Q230" s="53"/>
      <c r="R230" s="68"/>
      <c r="S230" s="68"/>
      <c r="T230" s="68"/>
      <c r="U230" s="68"/>
      <c r="V230" s="72"/>
      <c r="W230" s="72"/>
      <c r="X230" s="66"/>
      <c r="Y230" s="80"/>
      <c r="Z230" s="80"/>
      <c r="AA230" s="153"/>
    </row>
    <row r="231" spans="17:27" x14ac:dyDescent="0.25">
      <c r="Q231" s="53"/>
      <c r="R231" s="68"/>
      <c r="S231" s="68"/>
      <c r="T231" s="68"/>
      <c r="U231" s="68"/>
      <c r="V231" s="72"/>
      <c r="W231" s="72"/>
      <c r="X231" s="66"/>
      <c r="Y231" s="80"/>
      <c r="Z231" s="80"/>
      <c r="AA231" s="153"/>
    </row>
    <row r="232" spans="17:27" x14ac:dyDescent="0.25">
      <c r="Q232" s="53"/>
      <c r="R232" s="68"/>
      <c r="S232" s="68"/>
      <c r="T232" s="68"/>
      <c r="U232" s="68"/>
      <c r="V232" s="72"/>
      <c r="W232" s="72"/>
      <c r="X232" s="66"/>
      <c r="Y232" s="80"/>
      <c r="Z232" s="80"/>
      <c r="AA232" s="153"/>
    </row>
    <row r="233" spans="17:27" x14ac:dyDescent="0.25">
      <c r="Q233" s="53"/>
      <c r="R233" s="68"/>
      <c r="S233" s="68"/>
      <c r="T233" s="68"/>
      <c r="U233" s="68"/>
      <c r="V233" s="72"/>
      <c r="W233" s="72"/>
      <c r="X233" s="66"/>
      <c r="Y233" s="80"/>
      <c r="Z233" s="80"/>
      <c r="AA233" s="153"/>
    </row>
    <row r="234" spans="17:27" x14ac:dyDescent="0.25">
      <c r="Q234" s="53"/>
      <c r="R234" s="68"/>
      <c r="S234" s="68"/>
      <c r="T234" s="68"/>
      <c r="U234" s="68"/>
      <c r="V234" s="72"/>
      <c r="W234" s="72"/>
      <c r="X234" s="66"/>
      <c r="Y234" s="80"/>
      <c r="Z234" s="80"/>
      <c r="AA234" s="153"/>
    </row>
    <row r="235" spans="17:27" x14ac:dyDescent="0.25">
      <c r="Q235" s="53"/>
      <c r="R235" s="68"/>
      <c r="S235" s="68"/>
      <c r="T235" s="68"/>
      <c r="U235" s="68"/>
      <c r="V235" s="72"/>
      <c r="W235" s="72"/>
      <c r="X235" s="66"/>
      <c r="Y235" s="80"/>
      <c r="Z235" s="80"/>
      <c r="AA235" s="153"/>
    </row>
    <row r="236" spans="17:27" x14ac:dyDescent="0.25">
      <c r="Q236" s="53"/>
      <c r="R236" s="68"/>
      <c r="S236" s="68"/>
      <c r="T236" s="68"/>
      <c r="U236" s="68"/>
      <c r="V236" s="72"/>
      <c r="W236" s="72"/>
      <c r="X236" s="66"/>
      <c r="Y236" s="80"/>
      <c r="Z236" s="80"/>
      <c r="AA236" s="153"/>
    </row>
    <row r="237" spans="17:27" x14ac:dyDescent="0.25">
      <c r="Q237" s="53"/>
      <c r="R237" s="68"/>
      <c r="S237" s="68"/>
      <c r="T237" s="68"/>
      <c r="U237" s="68"/>
      <c r="V237" s="72"/>
      <c r="W237" s="72"/>
      <c r="X237" s="66"/>
      <c r="Y237" s="80"/>
      <c r="Z237" s="80"/>
      <c r="AA237" s="153"/>
    </row>
    <row r="238" spans="17:27" x14ac:dyDescent="0.25">
      <c r="Q238" s="53"/>
      <c r="R238" s="68"/>
      <c r="S238" s="68"/>
      <c r="T238" s="68"/>
      <c r="U238" s="68"/>
      <c r="V238" s="72"/>
      <c r="W238" s="72"/>
      <c r="X238" s="66"/>
      <c r="Y238" s="80"/>
      <c r="Z238" s="80"/>
      <c r="AA238" s="153"/>
    </row>
    <row r="239" spans="17:27" x14ac:dyDescent="0.25">
      <c r="Q239" s="53"/>
      <c r="R239" s="68"/>
      <c r="S239" s="68"/>
      <c r="T239" s="68"/>
      <c r="U239" s="68"/>
      <c r="V239" s="72"/>
      <c r="W239" s="72"/>
      <c r="X239" s="66"/>
      <c r="Y239" s="80"/>
      <c r="Z239" s="80"/>
      <c r="AA239" s="153"/>
    </row>
    <row r="240" spans="17:27" x14ac:dyDescent="0.25">
      <c r="Q240" s="53"/>
      <c r="R240" s="68"/>
      <c r="S240" s="68"/>
      <c r="T240" s="68"/>
      <c r="U240" s="68"/>
      <c r="V240" s="72"/>
      <c r="W240" s="72"/>
      <c r="X240" s="66"/>
      <c r="Y240" s="80"/>
      <c r="Z240" s="80"/>
      <c r="AA240" s="153"/>
    </row>
    <row r="241" spans="17:27" x14ac:dyDescent="0.25">
      <c r="Q241" s="53"/>
      <c r="R241" s="68"/>
      <c r="S241" s="68"/>
      <c r="T241" s="68"/>
      <c r="U241" s="68"/>
      <c r="V241" s="72"/>
      <c r="W241" s="72"/>
      <c r="X241" s="66"/>
      <c r="Y241" s="80"/>
      <c r="Z241" s="80"/>
      <c r="AA241" s="153"/>
    </row>
    <row r="242" spans="17:27" x14ac:dyDescent="0.25">
      <c r="Q242" s="53"/>
      <c r="R242" s="68"/>
      <c r="S242" s="68"/>
      <c r="T242" s="68"/>
      <c r="U242" s="68"/>
      <c r="V242" s="72"/>
      <c r="W242" s="72"/>
      <c r="X242" s="66"/>
      <c r="Y242" s="80"/>
      <c r="Z242" s="80"/>
      <c r="AA242" s="153"/>
    </row>
    <row r="243" spans="17:27" x14ac:dyDescent="0.25">
      <c r="Q243" s="53"/>
      <c r="R243" s="68"/>
      <c r="S243" s="68"/>
      <c r="T243" s="68"/>
      <c r="U243" s="68"/>
      <c r="V243" s="72"/>
      <c r="W243" s="72"/>
      <c r="X243" s="66"/>
      <c r="Y243" s="80"/>
      <c r="Z243" s="80"/>
      <c r="AA243" s="153"/>
    </row>
    <row r="244" spans="17:27" x14ac:dyDescent="0.25">
      <c r="Q244" s="53"/>
      <c r="R244" s="68"/>
      <c r="S244" s="68"/>
      <c r="T244" s="68"/>
      <c r="U244" s="68"/>
      <c r="V244" s="72"/>
      <c r="W244" s="72"/>
      <c r="X244" s="66"/>
      <c r="Y244" s="80"/>
      <c r="Z244" s="80"/>
      <c r="AA244" s="153"/>
    </row>
    <row r="245" spans="17:27" x14ac:dyDescent="0.25">
      <c r="Q245" s="53"/>
      <c r="R245" s="68"/>
      <c r="S245" s="68"/>
      <c r="T245" s="68"/>
      <c r="U245" s="68"/>
      <c r="V245" s="72"/>
      <c r="W245" s="72"/>
      <c r="X245" s="66"/>
      <c r="Y245" s="80"/>
      <c r="Z245" s="80"/>
      <c r="AA245" s="153"/>
    </row>
    <row r="246" spans="17:27" x14ac:dyDescent="0.25">
      <c r="Q246" s="53"/>
      <c r="R246" s="68"/>
      <c r="S246" s="68"/>
      <c r="T246" s="68"/>
      <c r="U246" s="68"/>
      <c r="V246" s="72"/>
      <c r="W246" s="72"/>
      <c r="X246" s="66"/>
      <c r="Y246" s="80"/>
      <c r="Z246" s="80"/>
      <c r="AA246" s="153"/>
    </row>
    <row r="247" spans="17:27" x14ac:dyDescent="0.25">
      <c r="Q247" s="53"/>
      <c r="R247" s="68"/>
      <c r="S247" s="68"/>
      <c r="T247" s="68"/>
      <c r="U247" s="68"/>
      <c r="V247" s="72"/>
      <c r="W247" s="72"/>
      <c r="X247" s="66"/>
      <c r="Y247" s="80"/>
      <c r="Z247" s="80"/>
      <c r="AA247" s="153"/>
    </row>
    <row r="248" spans="17:27" x14ac:dyDescent="0.25">
      <c r="Q248" s="53"/>
      <c r="R248" s="68"/>
      <c r="S248" s="68"/>
      <c r="T248" s="68"/>
      <c r="U248" s="68"/>
      <c r="V248" s="72"/>
      <c r="W248" s="72"/>
      <c r="X248" s="66"/>
      <c r="Y248" s="80"/>
      <c r="Z248" s="80"/>
      <c r="AA248" s="153"/>
    </row>
    <row r="249" spans="17:27" x14ac:dyDescent="0.25">
      <c r="Q249" s="53"/>
      <c r="R249" s="68"/>
      <c r="S249" s="68"/>
      <c r="T249" s="68"/>
      <c r="U249" s="68"/>
      <c r="V249" s="72"/>
      <c r="W249" s="72"/>
      <c r="X249" s="66"/>
      <c r="Y249" s="80"/>
      <c r="Z249" s="80"/>
      <c r="AA249" s="153"/>
    </row>
    <row r="250" spans="17:27" x14ac:dyDescent="0.25">
      <c r="Q250" s="53"/>
      <c r="R250" s="68"/>
      <c r="S250" s="68"/>
      <c r="T250" s="68"/>
      <c r="U250" s="68"/>
      <c r="V250" s="72"/>
      <c r="W250" s="72"/>
      <c r="X250" s="66"/>
      <c r="Y250" s="80"/>
      <c r="Z250" s="80"/>
      <c r="AA250" s="153"/>
    </row>
    <row r="251" spans="17:27" x14ac:dyDescent="0.25">
      <c r="Q251" s="53"/>
      <c r="R251" s="68"/>
      <c r="S251" s="68"/>
      <c r="T251" s="68"/>
      <c r="U251" s="68"/>
      <c r="V251" s="72"/>
      <c r="W251" s="72"/>
      <c r="X251" s="66"/>
      <c r="Y251" s="80"/>
      <c r="Z251" s="80"/>
      <c r="AA251" s="153"/>
    </row>
    <row r="252" spans="17:27" x14ac:dyDescent="0.25">
      <c r="Q252" s="53"/>
      <c r="R252" s="68"/>
      <c r="S252" s="68"/>
      <c r="T252" s="68"/>
      <c r="U252" s="68"/>
      <c r="V252" s="72"/>
      <c r="W252" s="72"/>
      <c r="X252" s="66"/>
      <c r="Y252" s="80"/>
      <c r="Z252" s="80"/>
      <c r="AA252" s="153"/>
    </row>
    <row r="253" spans="17:27" x14ac:dyDescent="0.25">
      <c r="Q253" s="53"/>
      <c r="R253" s="68"/>
      <c r="S253" s="68"/>
      <c r="T253" s="68"/>
      <c r="U253" s="68"/>
      <c r="V253" s="72"/>
      <c r="W253" s="72"/>
      <c r="X253" s="66"/>
      <c r="Y253" s="80"/>
      <c r="Z253" s="80"/>
      <c r="AA253" s="153"/>
    </row>
    <row r="254" spans="17:27" x14ac:dyDescent="0.25">
      <c r="Q254" s="53"/>
      <c r="R254" s="68"/>
      <c r="S254" s="68"/>
      <c r="T254" s="68"/>
      <c r="U254" s="68"/>
      <c r="V254" s="72"/>
      <c r="W254" s="72"/>
      <c r="X254" s="66"/>
      <c r="Y254" s="80"/>
      <c r="Z254" s="80"/>
      <c r="AA254" s="153"/>
    </row>
    <row r="255" spans="17:27" x14ac:dyDescent="0.25">
      <c r="Q255" s="53"/>
      <c r="R255" s="68"/>
      <c r="S255" s="68"/>
      <c r="T255" s="68"/>
      <c r="U255" s="68"/>
      <c r="V255" s="72"/>
      <c r="W255" s="72"/>
      <c r="X255" s="66"/>
      <c r="Y255" s="80"/>
      <c r="Z255" s="80"/>
      <c r="AA255" s="153"/>
    </row>
    <row r="256" spans="17:27" x14ac:dyDescent="0.25">
      <c r="Q256" s="53"/>
      <c r="R256" s="68"/>
      <c r="S256" s="68"/>
      <c r="T256" s="68"/>
      <c r="U256" s="68"/>
      <c r="V256" s="72"/>
      <c r="W256" s="72"/>
      <c r="X256" s="66"/>
      <c r="Y256" s="80"/>
      <c r="Z256" s="80"/>
      <c r="AA256" s="153"/>
    </row>
    <row r="257" spans="17:27" x14ac:dyDescent="0.25">
      <c r="Q257" s="53"/>
      <c r="R257" s="68"/>
      <c r="S257" s="68"/>
      <c r="T257" s="68"/>
      <c r="U257" s="68"/>
      <c r="V257" s="72"/>
      <c r="W257" s="72"/>
      <c r="X257" s="66"/>
      <c r="Y257" s="80"/>
      <c r="Z257" s="80"/>
      <c r="AA257" s="153"/>
    </row>
    <row r="258" spans="17:27" x14ac:dyDescent="0.25">
      <c r="Q258" s="53"/>
      <c r="R258" s="68"/>
      <c r="S258" s="68"/>
      <c r="T258" s="68"/>
      <c r="U258" s="68"/>
      <c r="V258" s="72"/>
      <c r="W258" s="72"/>
      <c r="X258" s="66"/>
      <c r="Y258" s="80"/>
      <c r="Z258" s="80"/>
      <c r="AA258" s="153"/>
    </row>
    <row r="259" spans="17:27" x14ac:dyDescent="0.25">
      <c r="Q259" s="53"/>
      <c r="R259" s="68"/>
      <c r="S259" s="68"/>
      <c r="T259" s="68"/>
      <c r="U259" s="68"/>
      <c r="V259" s="72"/>
      <c r="W259" s="72"/>
      <c r="X259" s="66"/>
      <c r="Y259" s="80"/>
      <c r="Z259" s="80"/>
      <c r="AA259" s="153"/>
    </row>
    <row r="260" spans="17:27" x14ac:dyDescent="0.25">
      <c r="Q260" s="53"/>
      <c r="R260" s="68"/>
      <c r="S260" s="68"/>
      <c r="T260" s="68"/>
      <c r="U260" s="68"/>
      <c r="V260" s="72"/>
      <c r="W260" s="72"/>
      <c r="X260" s="66"/>
      <c r="Y260" s="80"/>
      <c r="Z260" s="80"/>
      <c r="AA260" s="153"/>
    </row>
    <row r="261" spans="17:27" x14ac:dyDescent="0.25">
      <c r="Q261" s="53"/>
      <c r="R261" s="68"/>
      <c r="S261" s="68"/>
      <c r="T261" s="68"/>
      <c r="U261" s="68"/>
      <c r="V261" s="72"/>
      <c r="W261" s="72"/>
      <c r="X261" s="66"/>
      <c r="Y261" s="80"/>
      <c r="Z261" s="80"/>
      <c r="AA261" s="153"/>
    </row>
    <row r="262" spans="17:27" x14ac:dyDescent="0.25">
      <c r="Q262" s="53"/>
      <c r="R262" s="68"/>
      <c r="S262" s="68"/>
      <c r="T262" s="68"/>
      <c r="U262" s="68"/>
      <c r="V262" s="72"/>
      <c r="W262" s="72"/>
      <c r="X262" s="66"/>
      <c r="Y262" s="80"/>
      <c r="Z262" s="80"/>
      <c r="AA262" s="153"/>
    </row>
    <row r="263" spans="17:27" x14ac:dyDescent="0.25">
      <c r="Q263" s="53"/>
      <c r="R263" s="68"/>
      <c r="S263" s="68"/>
      <c r="T263" s="68"/>
      <c r="U263" s="68"/>
      <c r="V263" s="72"/>
      <c r="W263" s="72"/>
      <c r="X263" s="66"/>
      <c r="Y263" s="80"/>
      <c r="Z263" s="80"/>
      <c r="AA263" s="153"/>
    </row>
    <row r="264" spans="17:27" x14ac:dyDescent="0.25">
      <c r="Q264" s="53"/>
      <c r="R264" s="68"/>
      <c r="S264" s="68"/>
      <c r="T264" s="68"/>
      <c r="U264" s="68"/>
      <c r="V264" s="72"/>
      <c r="W264" s="72"/>
      <c r="X264" s="66"/>
      <c r="Y264" s="80"/>
      <c r="Z264" s="80"/>
      <c r="AA264" s="153"/>
    </row>
    <row r="265" spans="17:27" x14ac:dyDescent="0.25">
      <c r="Q265" s="53"/>
      <c r="R265" s="68"/>
      <c r="S265" s="68"/>
      <c r="T265" s="68"/>
      <c r="U265" s="68"/>
      <c r="V265" s="72"/>
      <c r="W265" s="72"/>
      <c r="X265" s="66"/>
      <c r="Y265" s="80"/>
      <c r="Z265" s="80"/>
      <c r="AA265" s="153"/>
    </row>
    <row r="266" spans="17:27" x14ac:dyDescent="0.25">
      <c r="Q266" s="53"/>
      <c r="R266" s="68"/>
      <c r="S266" s="68"/>
      <c r="T266" s="68"/>
      <c r="U266" s="68"/>
      <c r="V266" s="72"/>
      <c r="W266" s="72"/>
      <c r="X266" s="66"/>
      <c r="Y266" s="80"/>
      <c r="Z266" s="80"/>
      <c r="AA266" s="153"/>
    </row>
    <row r="267" spans="17:27" x14ac:dyDescent="0.25">
      <c r="Q267" s="53"/>
      <c r="R267" s="68"/>
      <c r="S267" s="68"/>
      <c r="T267" s="68"/>
      <c r="U267" s="68"/>
      <c r="V267" s="72"/>
      <c r="W267" s="72"/>
      <c r="X267" s="66"/>
      <c r="Y267" s="80"/>
      <c r="Z267" s="80"/>
      <c r="AA267" s="153"/>
    </row>
    <row r="268" spans="17:27" x14ac:dyDescent="0.25">
      <c r="Q268" s="53"/>
      <c r="R268" s="68"/>
      <c r="S268" s="68"/>
      <c r="T268" s="68"/>
      <c r="U268" s="68"/>
      <c r="V268" s="72"/>
      <c r="W268" s="72"/>
      <c r="X268" s="66"/>
      <c r="Y268" s="80"/>
      <c r="Z268" s="80"/>
      <c r="AA268" s="153"/>
    </row>
    <row r="269" spans="17:27" x14ac:dyDescent="0.25">
      <c r="Q269" s="53"/>
      <c r="R269" s="68"/>
      <c r="S269" s="68"/>
      <c r="T269" s="68"/>
      <c r="U269" s="68"/>
      <c r="V269" s="72"/>
      <c r="W269" s="72"/>
      <c r="X269" s="66"/>
      <c r="Y269" s="80"/>
      <c r="Z269" s="80"/>
      <c r="AA269" s="153"/>
    </row>
    <row r="270" spans="17:27" x14ac:dyDescent="0.25">
      <c r="Q270" s="53"/>
      <c r="R270" s="68"/>
      <c r="S270" s="68"/>
      <c r="T270" s="68"/>
      <c r="U270" s="68"/>
      <c r="V270" s="72"/>
      <c r="W270" s="72"/>
      <c r="X270" s="66"/>
      <c r="Y270" s="80"/>
      <c r="Z270" s="80"/>
      <c r="AA270" s="153"/>
    </row>
    <row r="271" spans="17:27" x14ac:dyDescent="0.25">
      <c r="Q271" s="53"/>
      <c r="R271" s="68"/>
      <c r="S271" s="68"/>
      <c r="T271" s="68"/>
      <c r="U271" s="68"/>
      <c r="V271" s="72"/>
      <c r="W271" s="72"/>
      <c r="X271" s="66"/>
      <c r="Y271" s="80"/>
      <c r="Z271" s="80"/>
      <c r="AA271" s="153"/>
    </row>
    <row r="272" spans="17:27" x14ac:dyDescent="0.25">
      <c r="Q272" s="53"/>
      <c r="R272" s="68"/>
      <c r="S272" s="68"/>
      <c r="T272" s="68"/>
      <c r="U272" s="68"/>
      <c r="V272" s="72"/>
      <c r="W272" s="72"/>
      <c r="X272" s="66"/>
      <c r="Y272" s="80"/>
      <c r="Z272" s="80"/>
      <c r="AA272" s="153"/>
    </row>
    <row r="273" spans="17:27" x14ac:dyDescent="0.25">
      <c r="Q273" s="53"/>
      <c r="R273" s="68"/>
      <c r="S273" s="68"/>
      <c r="T273" s="68"/>
      <c r="U273" s="68"/>
      <c r="V273" s="72"/>
      <c r="W273" s="72"/>
      <c r="X273" s="66"/>
      <c r="Y273" s="80"/>
      <c r="Z273" s="80"/>
      <c r="AA273" s="153"/>
    </row>
    <row r="274" spans="17:27" x14ac:dyDescent="0.25">
      <c r="Q274" s="53"/>
      <c r="R274" s="68"/>
      <c r="S274" s="68"/>
      <c r="T274" s="68"/>
      <c r="U274" s="68"/>
      <c r="V274" s="72"/>
      <c r="W274" s="72"/>
      <c r="X274" s="66"/>
      <c r="Y274" s="80"/>
      <c r="Z274" s="80"/>
      <c r="AA274" s="153"/>
    </row>
    <row r="275" spans="17:27" x14ac:dyDescent="0.25">
      <c r="Q275" s="53"/>
      <c r="R275" s="68"/>
      <c r="S275" s="68"/>
      <c r="T275" s="68"/>
      <c r="U275" s="68"/>
      <c r="V275" s="72"/>
      <c r="W275" s="72"/>
      <c r="X275" s="66"/>
      <c r="Y275" s="80"/>
      <c r="Z275" s="80"/>
      <c r="AA275" s="153"/>
    </row>
    <row r="276" spans="17:27" x14ac:dyDescent="0.25">
      <c r="Q276" s="53"/>
      <c r="R276" s="68"/>
      <c r="S276" s="68"/>
      <c r="T276" s="68"/>
      <c r="U276" s="68"/>
      <c r="V276" s="72"/>
      <c r="W276" s="72"/>
      <c r="X276" s="66"/>
      <c r="Y276" s="80"/>
      <c r="Z276" s="80"/>
      <c r="AA276" s="153"/>
    </row>
    <row r="277" spans="17:27" x14ac:dyDescent="0.25">
      <c r="Q277" s="53"/>
      <c r="R277" s="68"/>
      <c r="S277" s="68"/>
      <c r="T277" s="68"/>
      <c r="U277" s="68"/>
      <c r="V277" s="72"/>
      <c r="W277" s="72"/>
      <c r="X277" s="66"/>
      <c r="Y277" s="80"/>
      <c r="Z277" s="80"/>
      <c r="AA277" s="153"/>
    </row>
    <row r="278" spans="17:27" x14ac:dyDescent="0.25">
      <c r="Q278" s="53"/>
      <c r="R278" s="68"/>
      <c r="S278" s="68"/>
      <c r="T278" s="68"/>
      <c r="U278" s="68"/>
      <c r="V278" s="72"/>
      <c r="W278" s="72"/>
      <c r="X278" s="66"/>
      <c r="Y278" s="80"/>
      <c r="Z278" s="80"/>
      <c r="AA278" s="153"/>
    </row>
    <row r="279" spans="17:27" x14ac:dyDescent="0.25">
      <c r="Q279" s="53"/>
      <c r="R279" s="68"/>
      <c r="S279" s="68"/>
      <c r="T279" s="68"/>
      <c r="U279" s="68"/>
      <c r="V279" s="72"/>
      <c r="W279" s="72"/>
      <c r="X279" s="66"/>
      <c r="Y279" s="80"/>
      <c r="Z279" s="80"/>
      <c r="AA279" s="153"/>
    </row>
    <row r="280" spans="17:27" x14ac:dyDescent="0.25">
      <c r="Q280" s="53"/>
      <c r="R280" s="68"/>
      <c r="S280" s="68"/>
      <c r="T280" s="68"/>
      <c r="U280" s="68"/>
      <c r="V280" s="72"/>
      <c r="W280" s="72"/>
      <c r="X280" s="66"/>
      <c r="Y280" s="80"/>
      <c r="Z280" s="80"/>
      <c r="AA280" s="153"/>
    </row>
    <row r="281" spans="17:27" x14ac:dyDescent="0.25">
      <c r="Q281" s="53"/>
      <c r="R281" s="68"/>
      <c r="S281" s="68"/>
      <c r="T281" s="68"/>
      <c r="U281" s="68"/>
      <c r="V281" s="72"/>
      <c r="W281" s="72"/>
      <c r="X281" s="66"/>
      <c r="Y281" s="80"/>
      <c r="Z281" s="80"/>
      <c r="AA281" s="153"/>
    </row>
    <row r="282" spans="17:27" x14ac:dyDescent="0.25">
      <c r="Q282" s="53"/>
      <c r="R282" s="68"/>
      <c r="S282" s="68"/>
      <c r="T282" s="68"/>
      <c r="U282" s="68"/>
      <c r="V282" s="72"/>
      <c r="W282" s="72"/>
      <c r="X282" s="66"/>
      <c r="Y282" s="80"/>
      <c r="Z282" s="80"/>
      <c r="AA282" s="153"/>
    </row>
    <row r="283" spans="17:27" x14ac:dyDescent="0.25">
      <c r="Q283" s="53"/>
      <c r="R283" s="68"/>
      <c r="S283" s="68"/>
      <c r="T283" s="68"/>
      <c r="U283" s="68"/>
      <c r="V283" s="72"/>
      <c r="W283" s="72"/>
      <c r="X283" s="66"/>
      <c r="Y283" s="80"/>
      <c r="Z283" s="80"/>
      <c r="AA283" s="153"/>
    </row>
    <row r="284" spans="17:27" x14ac:dyDescent="0.25">
      <c r="Q284" s="53"/>
      <c r="R284" s="68"/>
      <c r="S284" s="68"/>
      <c r="T284" s="68"/>
      <c r="U284" s="68"/>
      <c r="V284" s="72"/>
      <c r="W284" s="72"/>
      <c r="X284" s="66"/>
      <c r="Y284" s="80"/>
      <c r="Z284" s="80"/>
      <c r="AA284" s="153"/>
    </row>
    <row r="285" spans="17:27" x14ac:dyDescent="0.25">
      <c r="Q285" s="53"/>
      <c r="R285" s="68"/>
      <c r="S285" s="68"/>
      <c r="T285" s="68"/>
      <c r="U285" s="68"/>
      <c r="V285" s="72"/>
      <c r="W285" s="72"/>
      <c r="X285" s="66"/>
      <c r="Y285" s="80"/>
      <c r="Z285" s="80"/>
      <c r="AA285" s="153"/>
    </row>
    <row r="286" spans="17:27" x14ac:dyDescent="0.25">
      <c r="Q286" s="53"/>
      <c r="R286" s="68"/>
      <c r="S286" s="68"/>
      <c r="T286" s="68"/>
      <c r="U286" s="68"/>
      <c r="V286" s="72"/>
      <c r="W286" s="72"/>
      <c r="X286" s="66"/>
      <c r="Y286" s="80"/>
      <c r="Z286" s="80"/>
      <c r="AA286" s="153"/>
    </row>
    <row r="287" spans="17:27" x14ac:dyDescent="0.25">
      <c r="Q287" s="53"/>
      <c r="R287" s="68"/>
      <c r="S287" s="68"/>
      <c r="T287" s="68"/>
      <c r="U287" s="68"/>
      <c r="V287" s="72"/>
      <c r="W287" s="72"/>
      <c r="X287" s="66"/>
      <c r="Y287" s="80"/>
      <c r="Z287" s="80"/>
      <c r="AA287" s="153"/>
    </row>
    <row r="288" spans="17:27" x14ac:dyDescent="0.25">
      <c r="Q288" s="53"/>
      <c r="R288" s="68"/>
      <c r="S288" s="68"/>
      <c r="T288" s="68"/>
      <c r="U288" s="68"/>
      <c r="V288" s="72"/>
      <c r="W288" s="72"/>
      <c r="X288" s="66"/>
      <c r="Y288" s="80"/>
      <c r="Z288" s="80"/>
      <c r="AA288" s="153"/>
    </row>
    <row r="289" spans="17:27" x14ac:dyDescent="0.25">
      <c r="Q289" s="53"/>
      <c r="R289" s="68"/>
      <c r="S289" s="68"/>
      <c r="T289" s="68"/>
      <c r="U289" s="68"/>
      <c r="V289" s="72"/>
      <c r="W289" s="72"/>
      <c r="X289" s="66"/>
      <c r="Y289" s="80"/>
      <c r="Z289" s="80"/>
      <c r="AA289" s="153"/>
    </row>
    <row r="290" spans="17:27" x14ac:dyDescent="0.25">
      <c r="Q290" s="53"/>
      <c r="R290" s="68"/>
      <c r="S290" s="68"/>
      <c r="T290" s="68"/>
      <c r="U290" s="68"/>
      <c r="V290" s="72"/>
      <c r="W290" s="72"/>
      <c r="X290" s="66"/>
      <c r="Y290" s="80"/>
      <c r="Z290" s="80"/>
      <c r="AA290" s="153"/>
    </row>
    <row r="291" spans="17:27" x14ac:dyDescent="0.25">
      <c r="Q291" s="53"/>
      <c r="R291" s="68"/>
      <c r="S291" s="68"/>
      <c r="T291" s="68"/>
      <c r="U291" s="68"/>
      <c r="V291" s="72"/>
      <c r="W291" s="72"/>
      <c r="X291" s="66"/>
      <c r="Y291" s="80"/>
      <c r="Z291" s="80"/>
      <c r="AA291" s="153"/>
    </row>
    <row r="292" spans="17:27" x14ac:dyDescent="0.25">
      <c r="Q292" s="53"/>
      <c r="R292" s="68"/>
      <c r="S292" s="68"/>
      <c r="T292" s="68"/>
      <c r="U292" s="68"/>
      <c r="V292" s="72"/>
      <c r="W292" s="72"/>
      <c r="X292" s="66"/>
      <c r="Y292" s="80"/>
      <c r="Z292" s="80"/>
      <c r="AA292" s="153"/>
    </row>
    <row r="293" spans="17:27" x14ac:dyDescent="0.25">
      <c r="Q293" s="53"/>
      <c r="R293" s="68"/>
      <c r="S293" s="68"/>
      <c r="T293" s="68"/>
      <c r="U293" s="68"/>
      <c r="V293" s="72"/>
      <c r="W293" s="72"/>
      <c r="X293" s="66"/>
      <c r="Y293" s="80"/>
      <c r="Z293" s="80"/>
      <c r="AA293" s="153"/>
    </row>
    <row r="294" spans="17:27" x14ac:dyDescent="0.25">
      <c r="Q294" s="53"/>
      <c r="R294" s="68"/>
      <c r="S294" s="68"/>
      <c r="T294" s="68"/>
      <c r="U294" s="68"/>
      <c r="V294" s="72"/>
      <c r="W294" s="72"/>
      <c r="X294" s="66"/>
      <c r="Y294" s="80"/>
      <c r="Z294" s="80"/>
      <c r="AA294" s="153"/>
    </row>
    <row r="295" spans="17:27" x14ac:dyDescent="0.25">
      <c r="Q295" s="53"/>
      <c r="R295" s="68"/>
      <c r="S295" s="68"/>
      <c r="T295" s="68"/>
      <c r="U295" s="68"/>
      <c r="V295" s="72"/>
      <c r="W295" s="72"/>
      <c r="X295" s="66"/>
      <c r="Y295" s="80"/>
      <c r="Z295" s="80"/>
      <c r="AA295" s="153"/>
    </row>
    <row r="296" spans="17:27" x14ac:dyDescent="0.25">
      <c r="Q296" s="53"/>
      <c r="R296" s="68"/>
      <c r="S296" s="68"/>
      <c r="T296" s="68"/>
      <c r="U296" s="68"/>
      <c r="V296" s="72"/>
      <c r="W296" s="72"/>
      <c r="X296" s="66"/>
      <c r="Y296" s="80"/>
      <c r="Z296" s="80"/>
      <c r="AA296" s="153"/>
    </row>
    <row r="297" spans="17:27" x14ac:dyDescent="0.25">
      <c r="Q297" s="53"/>
      <c r="R297" s="68"/>
      <c r="S297" s="68"/>
      <c r="T297" s="68"/>
      <c r="U297" s="68"/>
      <c r="V297" s="72"/>
      <c r="W297" s="72"/>
      <c r="X297" s="66"/>
      <c r="Y297" s="80"/>
      <c r="Z297" s="80"/>
      <c r="AA297" s="153"/>
    </row>
    <row r="298" spans="17:27" x14ac:dyDescent="0.25">
      <c r="Q298" s="53"/>
      <c r="R298" s="68"/>
      <c r="S298" s="68"/>
      <c r="T298" s="68"/>
      <c r="U298" s="68"/>
      <c r="V298" s="72"/>
      <c r="W298" s="72"/>
      <c r="X298" s="66"/>
      <c r="Y298" s="80"/>
      <c r="Z298" s="80"/>
      <c r="AA298" s="153"/>
    </row>
    <row r="299" spans="17:27" x14ac:dyDescent="0.25">
      <c r="Q299" s="53"/>
      <c r="R299" s="68"/>
      <c r="S299" s="68"/>
      <c r="T299" s="68"/>
      <c r="U299" s="68"/>
      <c r="V299" s="72"/>
      <c r="W299" s="72"/>
      <c r="X299" s="66"/>
      <c r="Y299" s="80"/>
      <c r="Z299" s="80"/>
      <c r="AA299" s="153"/>
    </row>
    <row r="300" spans="17:27" x14ac:dyDescent="0.25">
      <c r="Q300" s="53"/>
      <c r="R300" s="53"/>
      <c r="S300" s="103"/>
      <c r="T300" s="103"/>
      <c r="U300" s="53"/>
      <c r="V300" s="66"/>
      <c r="W300" s="66"/>
      <c r="X300" s="66"/>
      <c r="Y300" s="80"/>
      <c r="Z300" s="80"/>
      <c r="AA300" s="153"/>
    </row>
    <row r="301" spans="17:27" x14ac:dyDescent="0.25">
      <c r="Q301" s="53"/>
      <c r="R301" s="68"/>
      <c r="S301" s="68"/>
      <c r="T301" s="68"/>
      <c r="U301" s="68"/>
      <c r="V301" s="72"/>
      <c r="W301" s="72"/>
      <c r="X301" s="66"/>
      <c r="Y301" s="80"/>
      <c r="Z301" s="80"/>
      <c r="AA301" s="153"/>
    </row>
    <row r="302" spans="17:27" x14ac:dyDescent="0.25">
      <c r="Q302" s="53"/>
      <c r="R302" s="68"/>
      <c r="S302" s="68"/>
      <c r="T302" s="68"/>
      <c r="U302" s="68"/>
      <c r="V302" s="72"/>
      <c r="W302" s="72"/>
      <c r="X302" s="66"/>
      <c r="Y302" s="80"/>
      <c r="Z302" s="80"/>
      <c r="AA302" s="153"/>
    </row>
    <row r="303" spans="17:27" x14ac:dyDescent="0.25">
      <c r="Q303" s="53"/>
      <c r="R303" s="68"/>
      <c r="S303" s="68"/>
      <c r="T303" s="68"/>
      <c r="U303" s="68"/>
      <c r="V303" s="72"/>
      <c r="W303" s="72"/>
      <c r="X303" s="66"/>
      <c r="Y303" s="80"/>
      <c r="Z303" s="80"/>
      <c r="AA303" s="153"/>
    </row>
    <row r="304" spans="17:27" x14ac:dyDescent="0.25">
      <c r="Q304" s="53"/>
      <c r="R304" s="68"/>
      <c r="S304" s="68"/>
      <c r="T304" s="68"/>
      <c r="U304" s="68"/>
      <c r="V304" s="72"/>
      <c r="W304" s="72"/>
      <c r="X304" s="66"/>
      <c r="Y304" s="80"/>
      <c r="Z304" s="80"/>
      <c r="AA304" s="153"/>
    </row>
    <row r="305" spans="17:27" x14ac:dyDescent="0.25">
      <c r="Q305" s="53"/>
      <c r="R305" s="68"/>
      <c r="S305" s="68"/>
      <c r="T305" s="68"/>
      <c r="U305" s="68"/>
      <c r="V305" s="72"/>
      <c r="W305" s="72"/>
      <c r="X305" s="66"/>
      <c r="Y305" s="80"/>
      <c r="Z305" s="80"/>
      <c r="AA305" s="153"/>
    </row>
    <row r="306" spans="17:27" x14ac:dyDescent="0.25">
      <c r="Q306" s="53"/>
      <c r="R306" s="68"/>
      <c r="S306" s="68"/>
      <c r="T306" s="68"/>
      <c r="U306" s="68"/>
      <c r="V306" s="72"/>
      <c r="W306" s="72"/>
      <c r="X306" s="66"/>
      <c r="Y306" s="80"/>
      <c r="Z306" s="80"/>
      <c r="AA306" s="153"/>
    </row>
    <row r="307" spans="17:27" x14ac:dyDescent="0.25">
      <c r="Q307" s="53"/>
      <c r="R307" s="68"/>
      <c r="S307" s="68"/>
      <c r="T307" s="68"/>
      <c r="U307" s="68"/>
      <c r="V307" s="72"/>
      <c r="W307" s="72"/>
      <c r="X307" s="66"/>
      <c r="Y307" s="80"/>
      <c r="Z307" s="80"/>
      <c r="AA307" s="153"/>
    </row>
    <row r="308" spans="17:27" x14ac:dyDescent="0.25">
      <c r="Q308" s="53"/>
      <c r="R308" s="68"/>
      <c r="S308" s="68"/>
      <c r="T308" s="68"/>
      <c r="U308" s="68"/>
      <c r="V308" s="72"/>
      <c r="W308" s="72"/>
      <c r="X308" s="66"/>
      <c r="Y308" s="80"/>
      <c r="Z308" s="80"/>
      <c r="AA308" s="153"/>
    </row>
    <row r="309" spans="17:27" x14ac:dyDescent="0.25">
      <c r="Q309" s="53"/>
      <c r="R309" s="68"/>
      <c r="S309" s="68"/>
      <c r="T309" s="68"/>
      <c r="U309" s="68"/>
      <c r="V309" s="72"/>
      <c r="W309" s="72"/>
      <c r="X309" s="66"/>
      <c r="Y309" s="80"/>
      <c r="Z309" s="80"/>
      <c r="AA309" s="153"/>
    </row>
    <row r="310" spans="17:27" x14ac:dyDescent="0.25">
      <c r="Q310" s="53"/>
      <c r="R310" s="68"/>
      <c r="S310" s="68"/>
      <c r="T310" s="68"/>
      <c r="U310" s="68"/>
      <c r="V310" s="72"/>
      <c r="W310" s="72"/>
      <c r="X310" s="66"/>
      <c r="Y310" s="80"/>
      <c r="Z310" s="80"/>
      <c r="AA310" s="153"/>
    </row>
    <row r="311" spans="17:27" x14ac:dyDescent="0.25">
      <c r="Q311" s="53"/>
      <c r="R311" s="68"/>
      <c r="S311" s="68"/>
      <c r="T311" s="68"/>
      <c r="U311" s="68"/>
      <c r="V311" s="72"/>
      <c r="W311" s="72"/>
      <c r="X311" s="66"/>
      <c r="Y311" s="80"/>
      <c r="Z311" s="80"/>
      <c r="AA311" s="153"/>
    </row>
    <row r="312" spans="17:27" x14ac:dyDescent="0.25">
      <c r="Q312" s="53"/>
      <c r="R312" s="68"/>
      <c r="S312" s="68"/>
      <c r="T312" s="68"/>
      <c r="U312" s="68"/>
      <c r="V312" s="72"/>
      <c r="W312" s="72"/>
      <c r="X312" s="66"/>
      <c r="Y312" s="80"/>
      <c r="Z312" s="80"/>
      <c r="AA312" s="153"/>
    </row>
    <row r="313" spans="17:27" x14ac:dyDescent="0.25">
      <c r="Q313" s="53"/>
      <c r="R313" s="68"/>
      <c r="S313" s="68"/>
      <c r="T313" s="68"/>
      <c r="U313" s="68"/>
      <c r="V313" s="72"/>
      <c r="W313" s="72"/>
      <c r="X313" s="66"/>
      <c r="Y313" s="80"/>
      <c r="Z313" s="80"/>
      <c r="AA313" s="153"/>
    </row>
    <row r="314" spans="17:27" x14ac:dyDescent="0.25">
      <c r="Q314" s="53"/>
      <c r="R314" s="68"/>
      <c r="S314" s="68"/>
      <c r="T314" s="68"/>
      <c r="U314" s="68"/>
      <c r="V314" s="72"/>
      <c r="W314" s="72"/>
      <c r="X314" s="66"/>
      <c r="Y314" s="80"/>
      <c r="Z314" s="80"/>
      <c r="AA314" s="153"/>
    </row>
    <row r="315" spans="17:27" x14ac:dyDescent="0.25">
      <c r="Q315" s="53"/>
      <c r="R315" s="68"/>
      <c r="S315" s="68"/>
      <c r="T315" s="68"/>
      <c r="U315" s="68"/>
      <c r="V315" s="72"/>
      <c r="W315" s="72"/>
      <c r="X315" s="66"/>
      <c r="Y315" s="80"/>
      <c r="Z315" s="80"/>
      <c r="AA315" s="153"/>
    </row>
    <row r="316" spans="17:27" x14ac:dyDescent="0.25">
      <c r="Q316" s="53"/>
      <c r="R316" s="68"/>
      <c r="S316" s="68"/>
      <c r="T316" s="68"/>
      <c r="U316" s="68"/>
      <c r="V316" s="72"/>
      <c r="W316" s="72"/>
      <c r="X316" s="66"/>
      <c r="Y316" s="80"/>
      <c r="Z316" s="80"/>
      <c r="AA316" s="153"/>
    </row>
    <row r="317" spans="17:27" x14ac:dyDescent="0.25">
      <c r="Q317" s="53"/>
      <c r="R317" s="68"/>
      <c r="S317" s="68"/>
      <c r="T317" s="68"/>
      <c r="U317" s="68"/>
      <c r="V317" s="72"/>
      <c r="W317" s="72"/>
      <c r="X317" s="66"/>
      <c r="Y317" s="80"/>
      <c r="Z317" s="80"/>
      <c r="AA317" s="153"/>
    </row>
    <row r="318" spans="17:27" x14ac:dyDescent="0.25">
      <c r="Q318" s="53"/>
      <c r="R318" s="68"/>
      <c r="S318" s="68"/>
      <c r="T318" s="68"/>
      <c r="U318" s="68"/>
      <c r="V318" s="72"/>
      <c r="W318" s="72"/>
      <c r="X318" s="66"/>
      <c r="Y318" s="80"/>
      <c r="Z318" s="80"/>
      <c r="AA318" s="153"/>
    </row>
    <row r="319" spans="17:27" x14ac:dyDescent="0.25">
      <c r="Q319" s="53"/>
      <c r="R319" s="68"/>
      <c r="S319" s="68"/>
      <c r="T319" s="68"/>
      <c r="U319" s="68"/>
      <c r="V319" s="72"/>
      <c r="W319" s="72"/>
      <c r="X319" s="66"/>
      <c r="Y319" s="80"/>
      <c r="Z319" s="80"/>
      <c r="AA319" s="153"/>
    </row>
    <row r="320" spans="17:27" x14ac:dyDescent="0.25">
      <c r="Q320" s="53"/>
      <c r="R320" s="68"/>
      <c r="S320" s="68"/>
      <c r="T320" s="68"/>
      <c r="U320" s="68"/>
      <c r="V320" s="72"/>
      <c r="W320" s="72"/>
      <c r="X320" s="66"/>
      <c r="Y320" s="80"/>
      <c r="Z320" s="80"/>
      <c r="AA320" s="153"/>
    </row>
    <row r="321" spans="17:27" x14ac:dyDescent="0.25">
      <c r="Q321" s="53"/>
      <c r="R321" s="68"/>
      <c r="S321" s="68"/>
      <c r="T321" s="68"/>
      <c r="U321" s="68"/>
      <c r="V321" s="72"/>
      <c r="W321" s="72"/>
      <c r="X321" s="66"/>
      <c r="Y321" s="80"/>
      <c r="Z321" s="80"/>
      <c r="AA321" s="153"/>
    </row>
    <row r="322" spans="17:27" x14ac:dyDescent="0.25">
      <c r="Q322" s="53"/>
      <c r="R322" s="68"/>
      <c r="S322" s="68"/>
      <c r="T322" s="68"/>
      <c r="U322" s="68"/>
      <c r="V322" s="72"/>
      <c r="W322" s="72"/>
      <c r="X322" s="66"/>
      <c r="Y322" s="80"/>
      <c r="Z322" s="80"/>
      <c r="AA322" s="153"/>
    </row>
    <row r="323" spans="17:27" x14ac:dyDescent="0.25">
      <c r="Q323" s="53"/>
      <c r="R323" s="68"/>
      <c r="S323" s="68"/>
      <c r="T323" s="68"/>
      <c r="U323" s="68"/>
      <c r="V323" s="72"/>
      <c r="W323" s="72"/>
      <c r="X323" s="66"/>
      <c r="Y323" s="80"/>
      <c r="Z323" s="80"/>
      <c r="AA323" s="153"/>
    </row>
    <row r="324" spans="17:27" x14ac:dyDescent="0.25">
      <c r="Q324" s="53"/>
      <c r="R324" s="68"/>
      <c r="S324" s="68"/>
      <c r="T324" s="68"/>
      <c r="U324" s="68"/>
      <c r="V324" s="72"/>
      <c r="W324" s="72"/>
      <c r="X324" s="66"/>
      <c r="Y324" s="80"/>
      <c r="Z324" s="80"/>
      <c r="AA324" s="153"/>
    </row>
    <row r="325" spans="17:27" x14ac:dyDescent="0.25">
      <c r="Q325" s="53"/>
      <c r="R325" s="68"/>
      <c r="S325" s="68"/>
      <c r="T325" s="68"/>
      <c r="U325" s="68"/>
      <c r="V325" s="72"/>
      <c r="W325" s="72"/>
      <c r="X325" s="66"/>
      <c r="Y325" s="80"/>
      <c r="Z325" s="80"/>
      <c r="AA325" s="153"/>
    </row>
    <row r="326" spans="17:27" x14ac:dyDescent="0.25">
      <c r="Q326" s="53"/>
      <c r="R326" s="68"/>
      <c r="S326" s="68"/>
      <c r="T326" s="68"/>
      <c r="U326" s="68"/>
      <c r="V326" s="72"/>
      <c r="W326" s="72"/>
      <c r="X326" s="65"/>
      <c r="Y326" s="85"/>
      <c r="Z326" s="85"/>
      <c r="AA326" s="85"/>
    </row>
    <row r="327" spans="17:27" x14ac:dyDescent="0.25">
      <c r="Q327" s="53"/>
      <c r="R327" s="68"/>
      <c r="S327" s="68"/>
      <c r="T327" s="68"/>
      <c r="U327" s="68"/>
      <c r="V327" s="72"/>
      <c r="W327" s="72"/>
      <c r="X327" s="66"/>
      <c r="Y327" s="80"/>
      <c r="Z327" s="80"/>
      <c r="AA327" s="153"/>
    </row>
    <row r="328" spans="17:27" x14ac:dyDescent="0.25">
      <c r="Q328" s="53"/>
      <c r="R328" s="68"/>
      <c r="S328" s="68"/>
      <c r="T328" s="68"/>
      <c r="U328" s="68"/>
      <c r="V328" s="72"/>
      <c r="W328" s="72"/>
      <c r="X328" s="66"/>
      <c r="Y328" s="80"/>
      <c r="Z328" s="80"/>
      <c r="AA328" s="153"/>
    </row>
    <row r="329" spans="17:27" x14ac:dyDescent="0.25">
      <c r="Q329" s="53"/>
      <c r="R329" s="68"/>
      <c r="S329" s="68"/>
      <c r="T329" s="68"/>
      <c r="U329" s="68"/>
      <c r="V329" s="72"/>
      <c r="W329" s="72"/>
      <c r="X329" s="66"/>
      <c r="Y329" s="80"/>
      <c r="Z329" s="80"/>
      <c r="AA329" s="153"/>
    </row>
    <row r="330" spans="17:27" x14ac:dyDescent="0.25">
      <c r="Q330" s="53"/>
      <c r="R330" s="68"/>
      <c r="S330" s="68"/>
      <c r="T330" s="68"/>
      <c r="U330" s="68"/>
      <c r="V330" s="72"/>
      <c r="W330" s="72"/>
      <c r="X330" s="66"/>
      <c r="Y330" s="80"/>
      <c r="Z330" s="80"/>
      <c r="AA330" s="153"/>
    </row>
    <row r="331" spans="17:27" x14ac:dyDescent="0.25">
      <c r="Q331" s="53"/>
      <c r="R331" s="68"/>
      <c r="S331" s="68"/>
      <c r="T331" s="68"/>
      <c r="U331" s="68"/>
      <c r="V331" s="72"/>
      <c r="W331" s="72"/>
      <c r="X331" s="66"/>
      <c r="Y331" s="80"/>
      <c r="Z331" s="80"/>
      <c r="AA331" s="153"/>
    </row>
    <row r="332" spans="17:27" x14ac:dyDescent="0.25">
      <c r="Q332" s="53"/>
      <c r="R332" s="68"/>
      <c r="S332" s="68"/>
      <c r="T332" s="68"/>
      <c r="U332" s="68"/>
      <c r="V332" s="72"/>
      <c r="W332" s="72"/>
      <c r="X332" s="66"/>
      <c r="Y332" s="80"/>
      <c r="Z332" s="80"/>
      <c r="AA332" s="153"/>
    </row>
    <row r="333" spans="17:27" x14ac:dyDescent="0.25">
      <c r="Q333" s="53"/>
      <c r="R333" s="68"/>
      <c r="S333" s="68"/>
      <c r="T333" s="68"/>
      <c r="U333" s="68"/>
      <c r="V333" s="72"/>
      <c r="W333" s="72"/>
      <c r="X333" s="66"/>
      <c r="Y333" s="80"/>
      <c r="Z333" s="80"/>
      <c r="AA333" s="153"/>
    </row>
    <row r="334" spans="17:27" x14ac:dyDescent="0.25">
      <c r="Q334" s="53"/>
      <c r="R334" s="68"/>
      <c r="S334" s="68"/>
      <c r="T334" s="68"/>
      <c r="U334" s="68"/>
      <c r="V334" s="72"/>
      <c r="W334" s="72"/>
      <c r="X334" s="66"/>
      <c r="Y334" s="80"/>
      <c r="Z334" s="80"/>
      <c r="AA334" s="153"/>
    </row>
    <row r="335" spans="17:27" x14ac:dyDescent="0.25">
      <c r="Q335" s="53"/>
      <c r="R335" s="68"/>
      <c r="S335" s="68"/>
      <c r="T335" s="68"/>
      <c r="U335" s="68"/>
      <c r="V335" s="72"/>
      <c r="W335" s="72"/>
      <c r="X335" s="66"/>
      <c r="Y335" s="80"/>
      <c r="Z335" s="80"/>
      <c r="AA335" s="153"/>
    </row>
    <row r="336" spans="17:27" x14ac:dyDescent="0.25">
      <c r="Q336" s="53"/>
      <c r="R336" s="68"/>
      <c r="S336" s="68"/>
      <c r="T336" s="68"/>
      <c r="U336" s="68"/>
      <c r="V336" s="72"/>
      <c r="W336" s="72"/>
      <c r="X336" s="66"/>
      <c r="Y336" s="80"/>
      <c r="Z336" s="80"/>
      <c r="AA336" s="153"/>
    </row>
    <row r="337" spans="17:27" x14ac:dyDescent="0.25">
      <c r="Q337" s="53"/>
      <c r="R337" s="68"/>
      <c r="S337" s="68"/>
      <c r="T337" s="68"/>
      <c r="U337" s="68"/>
      <c r="V337" s="72"/>
      <c r="W337" s="72"/>
      <c r="X337" s="66"/>
      <c r="Y337" s="80"/>
      <c r="Z337" s="80"/>
      <c r="AA337" s="153"/>
    </row>
    <row r="338" spans="17:27" x14ac:dyDescent="0.25">
      <c r="Q338" s="53"/>
      <c r="R338" s="68"/>
      <c r="S338" s="68"/>
      <c r="T338" s="68"/>
      <c r="U338" s="68"/>
      <c r="V338" s="72"/>
      <c r="W338" s="72"/>
      <c r="X338" s="66"/>
      <c r="Y338" s="80"/>
      <c r="Z338" s="80"/>
      <c r="AA338" s="153"/>
    </row>
    <row r="339" spans="17:27" x14ac:dyDescent="0.25">
      <c r="Q339" s="53"/>
      <c r="R339" s="68"/>
      <c r="S339" s="68"/>
      <c r="T339" s="68"/>
      <c r="U339" s="68"/>
      <c r="V339" s="72"/>
      <c r="W339" s="72"/>
      <c r="X339" s="66"/>
      <c r="Y339" s="80"/>
      <c r="Z339" s="80"/>
      <c r="AA339" s="153"/>
    </row>
    <row r="340" spans="17:27" x14ac:dyDescent="0.25">
      <c r="Q340" s="53"/>
      <c r="R340" s="68"/>
      <c r="S340" s="68"/>
      <c r="T340" s="68"/>
      <c r="U340" s="68"/>
      <c r="V340" s="72"/>
      <c r="W340" s="72"/>
      <c r="X340" s="66"/>
      <c r="Y340" s="80"/>
      <c r="Z340" s="80"/>
      <c r="AA340" s="153"/>
    </row>
    <row r="341" spans="17:27" x14ac:dyDescent="0.25">
      <c r="Q341" s="53"/>
      <c r="R341" s="68"/>
      <c r="S341" s="68"/>
      <c r="T341" s="68"/>
      <c r="U341" s="68"/>
      <c r="V341" s="72"/>
      <c r="W341" s="72"/>
      <c r="X341" s="66"/>
      <c r="Y341" s="80"/>
      <c r="Z341" s="80"/>
      <c r="AA341" s="153"/>
    </row>
    <row r="342" spans="17:27" x14ac:dyDescent="0.25">
      <c r="Q342" s="53"/>
      <c r="R342" s="68"/>
      <c r="S342" s="68"/>
      <c r="T342" s="68"/>
      <c r="U342" s="68"/>
      <c r="V342" s="72"/>
      <c r="W342" s="72"/>
      <c r="X342" s="66"/>
      <c r="Y342" s="80"/>
      <c r="Z342" s="80"/>
      <c r="AA342" s="153"/>
    </row>
    <row r="343" spans="17:27" x14ac:dyDescent="0.25">
      <c r="Q343" s="53"/>
      <c r="R343" s="68"/>
      <c r="S343" s="68"/>
      <c r="T343" s="68"/>
      <c r="U343" s="68"/>
      <c r="V343" s="72"/>
      <c r="W343" s="72"/>
      <c r="X343" s="66"/>
      <c r="Y343" s="80"/>
      <c r="Z343" s="80"/>
      <c r="AA343" s="153"/>
    </row>
    <row r="344" spans="17:27" x14ac:dyDescent="0.25">
      <c r="Q344" s="53"/>
      <c r="R344" s="68"/>
      <c r="S344" s="68"/>
      <c r="T344" s="68"/>
      <c r="U344" s="68"/>
      <c r="V344" s="72"/>
      <c r="W344" s="72"/>
      <c r="X344" s="66"/>
      <c r="Y344" s="80"/>
      <c r="Z344" s="80"/>
      <c r="AA344" s="153"/>
    </row>
    <row r="345" spans="17:27" x14ac:dyDescent="0.25">
      <c r="Q345" s="53"/>
      <c r="R345" s="68"/>
      <c r="S345" s="68"/>
      <c r="T345" s="68"/>
      <c r="U345" s="68"/>
      <c r="V345" s="72"/>
      <c r="W345" s="72"/>
      <c r="X345" s="66"/>
      <c r="Y345" s="80"/>
      <c r="Z345" s="80"/>
      <c r="AA345" s="153"/>
    </row>
    <row r="346" spans="17:27" x14ac:dyDescent="0.25">
      <c r="Q346" s="53"/>
      <c r="R346" s="68"/>
      <c r="S346" s="68"/>
      <c r="T346" s="68"/>
      <c r="U346" s="68"/>
      <c r="V346" s="72"/>
      <c r="W346" s="72"/>
      <c r="X346" s="66"/>
      <c r="Y346" s="80"/>
      <c r="Z346" s="80"/>
      <c r="AA346" s="153"/>
    </row>
    <row r="347" spans="17:27" x14ac:dyDescent="0.25">
      <c r="Q347" s="53"/>
      <c r="R347" s="68"/>
      <c r="S347" s="68"/>
      <c r="T347" s="68"/>
      <c r="U347" s="68"/>
      <c r="V347" s="72"/>
      <c r="W347" s="72"/>
      <c r="X347" s="66"/>
      <c r="Y347" s="80"/>
      <c r="Z347" s="80"/>
      <c r="AA347" s="153"/>
    </row>
    <row r="348" spans="17:27" x14ac:dyDescent="0.25">
      <c r="Q348" s="53"/>
      <c r="R348" s="68"/>
      <c r="S348" s="68"/>
      <c r="T348" s="68"/>
      <c r="U348" s="68"/>
      <c r="V348" s="72"/>
      <c r="W348" s="72"/>
      <c r="X348" s="66"/>
      <c r="Y348" s="80"/>
      <c r="Z348" s="80"/>
      <c r="AA348" s="153"/>
    </row>
    <row r="349" spans="17:27" x14ac:dyDescent="0.25">
      <c r="Q349" s="53"/>
      <c r="R349" s="68"/>
      <c r="S349" s="68"/>
      <c r="T349" s="68"/>
      <c r="U349" s="68"/>
      <c r="V349" s="72"/>
      <c r="W349" s="72"/>
      <c r="X349" s="66"/>
      <c r="Y349" s="80"/>
      <c r="Z349" s="80"/>
      <c r="AA349" s="153"/>
    </row>
    <row r="350" spans="17:27" x14ac:dyDescent="0.25">
      <c r="Q350" s="53"/>
      <c r="R350" s="68"/>
      <c r="S350" s="68"/>
      <c r="T350" s="68"/>
      <c r="U350" s="68"/>
      <c r="V350" s="72"/>
      <c r="W350" s="72"/>
      <c r="X350" s="66"/>
      <c r="Y350" s="80"/>
      <c r="Z350" s="80"/>
      <c r="AA350" s="153"/>
    </row>
    <row r="351" spans="17:27" x14ac:dyDescent="0.25">
      <c r="Q351" s="53"/>
      <c r="R351" s="68"/>
      <c r="S351" s="68"/>
      <c r="T351" s="68"/>
      <c r="U351" s="68"/>
      <c r="V351" s="72"/>
      <c r="W351" s="72"/>
      <c r="X351" s="66"/>
      <c r="Y351" s="80"/>
      <c r="Z351" s="80"/>
      <c r="AA351" s="153"/>
    </row>
    <row r="352" spans="17:27" x14ac:dyDescent="0.25">
      <c r="Q352" s="53"/>
      <c r="R352" s="68"/>
      <c r="S352" s="68"/>
      <c r="T352" s="68"/>
      <c r="U352" s="68"/>
      <c r="V352" s="72"/>
      <c r="W352" s="72"/>
      <c r="X352" s="66"/>
      <c r="Y352" s="80"/>
      <c r="Z352" s="80"/>
      <c r="AA352" s="153"/>
    </row>
    <row r="353" spans="17:27" x14ac:dyDescent="0.25">
      <c r="Q353" s="53"/>
      <c r="R353" s="68"/>
      <c r="S353" s="68"/>
      <c r="T353" s="68"/>
      <c r="U353" s="68"/>
      <c r="V353" s="72"/>
      <c r="W353" s="72"/>
      <c r="X353" s="66"/>
      <c r="Y353" s="80"/>
      <c r="Z353" s="80"/>
      <c r="AA353" s="153"/>
    </row>
    <row r="354" spans="17:27" x14ac:dyDescent="0.25">
      <c r="Q354" s="53"/>
      <c r="R354" s="68"/>
      <c r="S354" s="68"/>
      <c r="T354" s="68"/>
      <c r="U354" s="68"/>
      <c r="V354" s="72"/>
      <c r="W354" s="72"/>
      <c r="X354" s="66"/>
      <c r="Y354" s="80"/>
      <c r="Z354" s="80"/>
      <c r="AA354" s="153"/>
    </row>
    <row r="355" spans="17:27" x14ac:dyDescent="0.25">
      <c r="Q355" s="53"/>
      <c r="R355" s="68"/>
      <c r="S355" s="68"/>
      <c r="T355" s="68"/>
      <c r="U355" s="68"/>
      <c r="V355" s="72"/>
      <c r="W355" s="72"/>
      <c r="X355" s="66"/>
      <c r="Y355" s="80"/>
      <c r="Z355" s="80"/>
      <c r="AA355" s="153"/>
    </row>
    <row r="356" spans="17:27" x14ac:dyDescent="0.25">
      <c r="Q356" s="53"/>
      <c r="R356" s="68"/>
      <c r="S356" s="68"/>
      <c r="T356" s="68"/>
      <c r="U356" s="68"/>
      <c r="V356" s="72"/>
      <c r="W356" s="72"/>
      <c r="X356" s="66"/>
      <c r="Y356" s="80"/>
      <c r="Z356" s="80"/>
      <c r="AA356" s="153"/>
    </row>
    <row r="357" spans="17:27" x14ac:dyDescent="0.25">
      <c r="Q357" s="53"/>
      <c r="R357" s="68"/>
      <c r="S357" s="68"/>
      <c r="T357" s="68"/>
      <c r="U357" s="68"/>
      <c r="V357" s="72"/>
      <c r="W357" s="72"/>
      <c r="X357" s="66"/>
      <c r="Y357" s="80"/>
      <c r="Z357" s="80"/>
      <c r="AA357" s="153"/>
    </row>
    <row r="358" spans="17:27" x14ac:dyDescent="0.25">
      <c r="Q358" s="53"/>
      <c r="R358" s="68"/>
      <c r="S358" s="68"/>
      <c r="T358" s="68"/>
      <c r="U358" s="68"/>
      <c r="V358" s="72"/>
      <c r="W358" s="72"/>
      <c r="X358" s="66"/>
      <c r="Y358" s="80"/>
      <c r="Z358" s="80"/>
      <c r="AA358" s="153"/>
    </row>
    <row r="359" spans="17:27" x14ac:dyDescent="0.25">
      <c r="Q359" s="53"/>
      <c r="R359" s="68"/>
      <c r="S359" s="68"/>
      <c r="T359" s="68"/>
      <c r="U359" s="68"/>
      <c r="V359" s="72"/>
      <c r="W359" s="72"/>
      <c r="X359" s="66"/>
      <c r="Y359" s="80"/>
      <c r="Z359" s="80"/>
      <c r="AA359" s="153"/>
    </row>
    <row r="360" spans="17:27" x14ac:dyDescent="0.25">
      <c r="Q360" s="53"/>
      <c r="R360" s="68"/>
      <c r="S360" s="68"/>
      <c r="T360" s="68"/>
      <c r="U360" s="68"/>
      <c r="V360" s="72"/>
      <c r="W360" s="72"/>
      <c r="X360" s="66"/>
      <c r="Y360" s="80"/>
      <c r="Z360" s="80"/>
      <c r="AA360" s="153"/>
    </row>
    <row r="361" spans="17:27" x14ac:dyDescent="0.25">
      <c r="Q361" s="53"/>
      <c r="R361" s="68"/>
      <c r="S361" s="68"/>
      <c r="T361" s="68"/>
      <c r="U361" s="68"/>
      <c r="V361" s="72"/>
      <c r="W361" s="72"/>
      <c r="X361" s="66"/>
      <c r="Y361" s="80"/>
      <c r="Z361" s="80"/>
      <c r="AA361" s="153"/>
    </row>
    <row r="362" spans="17:27" x14ac:dyDescent="0.25">
      <c r="Q362" s="53"/>
      <c r="R362" s="53"/>
      <c r="S362" s="103"/>
      <c r="T362" s="103"/>
      <c r="U362" s="53"/>
      <c r="V362" s="66"/>
      <c r="W362" s="66"/>
      <c r="X362" s="66"/>
      <c r="Y362" s="80"/>
      <c r="Z362" s="80"/>
      <c r="AA362" s="153"/>
    </row>
    <row r="363" spans="17:27" x14ac:dyDescent="0.25">
      <c r="Q363" s="53"/>
      <c r="R363" s="68"/>
      <c r="S363" s="68"/>
      <c r="T363" s="68"/>
      <c r="U363" s="68"/>
      <c r="V363" s="72"/>
      <c r="W363" s="72"/>
      <c r="X363" s="66"/>
      <c r="Y363" s="80"/>
      <c r="Z363" s="80"/>
      <c r="AA363" s="153"/>
    </row>
    <row r="364" spans="17:27" x14ac:dyDescent="0.25">
      <c r="Q364" s="53"/>
      <c r="R364" s="68"/>
      <c r="S364" s="68"/>
      <c r="T364" s="68"/>
      <c r="U364" s="68"/>
      <c r="V364" s="72"/>
      <c r="W364" s="72"/>
      <c r="X364" s="66"/>
      <c r="Y364" s="80"/>
      <c r="Z364" s="80"/>
      <c r="AA364" s="153"/>
    </row>
    <row r="365" spans="17:27" x14ac:dyDescent="0.25">
      <c r="Q365" s="53"/>
      <c r="R365" s="68"/>
      <c r="S365" s="68"/>
      <c r="T365" s="68"/>
      <c r="U365" s="68"/>
      <c r="V365" s="72"/>
      <c r="W365" s="72"/>
      <c r="X365" s="66"/>
      <c r="Y365" s="80"/>
      <c r="Z365" s="80"/>
      <c r="AA365" s="153"/>
    </row>
    <row r="366" spans="17:27" x14ac:dyDescent="0.25">
      <c r="Q366" s="53"/>
      <c r="R366" s="68"/>
      <c r="S366" s="68"/>
      <c r="T366" s="68"/>
      <c r="U366" s="68"/>
      <c r="V366" s="72"/>
      <c r="W366" s="72"/>
      <c r="X366" s="66"/>
      <c r="Y366" s="80"/>
      <c r="Z366" s="80"/>
      <c r="AA366" s="153"/>
    </row>
    <row r="367" spans="17:27" x14ac:dyDescent="0.25">
      <c r="Q367" s="53"/>
      <c r="R367" s="68"/>
      <c r="S367" s="68"/>
      <c r="T367" s="68"/>
      <c r="U367" s="68"/>
      <c r="V367" s="72"/>
      <c r="W367" s="72"/>
      <c r="X367" s="66"/>
      <c r="Y367" s="80"/>
      <c r="Z367" s="80"/>
      <c r="AA367" s="153"/>
    </row>
    <row r="368" spans="17:27" x14ac:dyDescent="0.25">
      <c r="Q368" s="53"/>
      <c r="R368" s="68"/>
      <c r="S368" s="68"/>
      <c r="T368" s="68"/>
      <c r="U368" s="68"/>
      <c r="V368" s="72"/>
      <c r="W368" s="72"/>
      <c r="X368" s="66"/>
      <c r="Y368" s="80"/>
      <c r="Z368" s="80"/>
      <c r="AA368" s="153"/>
    </row>
    <row r="369" spans="17:27" x14ac:dyDescent="0.25">
      <c r="Q369" s="53"/>
      <c r="R369" s="68"/>
      <c r="S369" s="68"/>
      <c r="T369" s="68"/>
      <c r="U369" s="68"/>
      <c r="V369" s="72"/>
      <c r="W369" s="72"/>
      <c r="X369" s="66"/>
      <c r="Y369" s="80"/>
      <c r="Z369" s="80"/>
      <c r="AA369" s="153"/>
    </row>
    <row r="370" spans="17:27" x14ac:dyDescent="0.25">
      <c r="Q370" s="53"/>
      <c r="R370" s="68"/>
      <c r="S370" s="68"/>
      <c r="T370" s="68"/>
      <c r="U370" s="68"/>
      <c r="V370" s="72"/>
      <c r="W370" s="72"/>
      <c r="X370" s="66"/>
      <c r="Y370" s="80"/>
      <c r="Z370" s="80"/>
      <c r="AA370" s="153"/>
    </row>
    <row r="371" spans="17:27" x14ac:dyDescent="0.25">
      <c r="Q371" s="53"/>
      <c r="R371" s="68"/>
      <c r="S371" s="68"/>
      <c r="T371" s="68"/>
      <c r="U371" s="68"/>
      <c r="V371" s="72"/>
      <c r="W371" s="72"/>
      <c r="X371" s="66"/>
      <c r="Y371" s="80"/>
      <c r="Z371" s="80"/>
      <c r="AA371" s="153"/>
    </row>
    <row r="372" spans="17:27" x14ac:dyDescent="0.25">
      <c r="Q372" s="53"/>
      <c r="R372" s="68"/>
      <c r="S372" s="68"/>
      <c r="T372" s="68"/>
      <c r="U372" s="68"/>
      <c r="V372" s="72"/>
      <c r="W372" s="72"/>
      <c r="X372" s="66"/>
      <c r="Y372" s="80"/>
      <c r="Z372" s="80"/>
      <c r="AA372" s="153"/>
    </row>
    <row r="373" spans="17:27" x14ac:dyDescent="0.25">
      <c r="Q373" s="53"/>
      <c r="R373" s="68"/>
      <c r="S373" s="68"/>
      <c r="T373" s="68"/>
      <c r="U373" s="68"/>
      <c r="V373" s="72"/>
      <c r="W373" s="72"/>
      <c r="X373" s="66"/>
      <c r="Y373" s="80"/>
      <c r="Z373" s="80"/>
      <c r="AA373" s="153"/>
    </row>
    <row r="374" spans="17:27" x14ac:dyDescent="0.25">
      <c r="Q374" s="53"/>
      <c r="R374" s="68"/>
      <c r="S374" s="68"/>
      <c r="T374" s="68"/>
      <c r="U374" s="68"/>
      <c r="V374" s="72"/>
      <c r="W374" s="72"/>
      <c r="X374" s="66"/>
      <c r="Y374" s="80"/>
      <c r="Z374" s="80"/>
      <c r="AA374" s="153"/>
    </row>
    <row r="375" spans="17:27" x14ac:dyDescent="0.25">
      <c r="Q375" s="53"/>
      <c r="R375" s="68"/>
      <c r="S375" s="68"/>
      <c r="T375" s="68"/>
      <c r="U375" s="68"/>
      <c r="V375" s="72"/>
      <c r="W375" s="72"/>
      <c r="X375" s="66"/>
      <c r="Y375" s="80"/>
      <c r="Z375" s="80"/>
      <c r="AA375" s="153"/>
    </row>
    <row r="376" spans="17:27" x14ac:dyDescent="0.25">
      <c r="Q376" s="53"/>
      <c r="R376" s="68"/>
      <c r="S376" s="68"/>
      <c r="T376" s="68"/>
      <c r="U376" s="68"/>
      <c r="V376" s="72"/>
      <c r="W376" s="72"/>
      <c r="X376" s="66"/>
      <c r="Y376" s="80"/>
      <c r="Z376" s="80"/>
      <c r="AA376" s="153"/>
    </row>
    <row r="377" spans="17:27" x14ac:dyDescent="0.25">
      <c r="Q377" s="53"/>
      <c r="R377" s="68"/>
      <c r="S377" s="68"/>
      <c r="T377" s="68"/>
      <c r="U377" s="68"/>
      <c r="V377" s="72"/>
      <c r="W377" s="72"/>
      <c r="X377" s="66"/>
      <c r="Y377" s="80"/>
      <c r="Z377" s="80"/>
      <c r="AA377" s="153"/>
    </row>
    <row r="378" spans="17:27" x14ac:dyDescent="0.25">
      <c r="Q378" s="53"/>
      <c r="R378" s="68"/>
      <c r="S378" s="68"/>
      <c r="T378" s="68"/>
      <c r="U378" s="68"/>
      <c r="V378" s="72"/>
      <c r="W378" s="72"/>
      <c r="X378" s="66"/>
      <c r="Y378" s="80"/>
      <c r="Z378" s="80"/>
      <c r="AA378" s="153"/>
    </row>
    <row r="379" spans="17:27" x14ac:dyDescent="0.25">
      <c r="Q379" s="53"/>
      <c r="R379" s="68"/>
      <c r="S379" s="68"/>
      <c r="T379" s="68"/>
      <c r="U379" s="68"/>
      <c r="V379" s="72"/>
      <c r="W379" s="72"/>
      <c r="X379" s="66"/>
      <c r="Y379" s="80"/>
      <c r="Z379" s="80"/>
      <c r="AA379" s="153"/>
    </row>
    <row r="380" spans="17:27" x14ac:dyDescent="0.25">
      <c r="Q380" s="53"/>
      <c r="R380" s="68"/>
      <c r="S380" s="68"/>
      <c r="T380" s="68"/>
      <c r="U380" s="68"/>
      <c r="V380" s="72"/>
      <c r="W380" s="72"/>
      <c r="X380" s="66"/>
      <c r="Y380" s="80"/>
      <c r="Z380" s="80"/>
      <c r="AA380" s="153"/>
    </row>
    <row r="381" spans="17:27" x14ac:dyDescent="0.25">
      <c r="Q381" s="53"/>
      <c r="R381" s="68"/>
      <c r="S381" s="68"/>
      <c r="T381" s="68"/>
      <c r="U381" s="68"/>
      <c r="V381" s="72"/>
      <c r="W381" s="72"/>
      <c r="X381" s="66"/>
      <c r="Y381" s="80"/>
      <c r="Z381" s="80"/>
      <c r="AA381" s="153"/>
    </row>
    <row r="382" spans="17:27" x14ac:dyDescent="0.25">
      <c r="Q382" s="53"/>
      <c r="R382" s="68"/>
      <c r="S382" s="68"/>
      <c r="T382" s="68"/>
      <c r="U382" s="68"/>
      <c r="V382" s="72"/>
      <c r="W382" s="72"/>
      <c r="X382" s="66"/>
      <c r="Y382" s="80"/>
      <c r="Z382" s="80"/>
      <c r="AA382" s="153"/>
    </row>
    <row r="383" spans="17:27" x14ac:dyDescent="0.25">
      <c r="Q383" s="53"/>
      <c r="R383" s="68"/>
      <c r="S383" s="68"/>
      <c r="T383" s="68"/>
      <c r="U383" s="68"/>
      <c r="V383" s="72"/>
      <c r="W383" s="72"/>
      <c r="X383" s="66"/>
      <c r="Y383" s="80"/>
      <c r="Z383" s="80"/>
      <c r="AA383" s="153"/>
    </row>
    <row r="384" spans="17:27" x14ac:dyDescent="0.25">
      <c r="Q384" s="53"/>
      <c r="R384" s="68"/>
      <c r="S384" s="68"/>
      <c r="T384" s="68"/>
      <c r="U384" s="68"/>
      <c r="V384" s="72"/>
      <c r="W384" s="72"/>
      <c r="X384" s="66"/>
      <c r="Y384" s="80"/>
      <c r="Z384" s="80"/>
      <c r="AA384" s="153"/>
    </row>
    <row r="385" spans="17:27" x14ac:dyDescent="0.25">
      <c r="Q385" s="53"/>
      <c r="R385" s="68"/>
      <c r="S385" s="68"/>
      <c r="T385" s="68"/>
      <c r="U385" s="68"/>
      <c r="V385" s="72"/>
      <c r="W385" s="72"/>
      <c r="X385" s="66"/>
      <c r="Y385" s="80"/>
      <c r="Z385" s="80"/>
      <c r="AA385" s="153"/>
    </row>
    <row r="386" spans="17:27" x14ac:dyDescent="0.25">
      <c r="Q386" s="53"/>
      <c r="R386" s="68"/>
      <c r="S386" s="68"/>
      <c r="T386" s="68"/>
      <c r="U386" s="68"/>
      <c r="V386" s="72"/>
      <c r="W386" s="72"/>
      <c r="X386" s="66"/>
      <c r="Y386" s="80"/>
      <c r="Z386" s="80"/>
      <c r="AA386" s="153"/>
    </row>
    <row r="387" spans="17:27" x14ac:dyDescent="0.25">
      <c r="Q387" s="53"/>
      <c r="R387" s="68"/>
      <c r="S387" s="68"/>
      <c r="T387" s="68"/>
      <c r="U387" s="68"/>
      <c r="V387" s="72"/>
      <c r="W387" s="72"/>
      <c r="X387" s="66"/>
      <c r="Y387" s="80"/>
      <c r="Z387" s="80"/>
      <c r="AA387" s="153"/>
    </row>
    <row r="388" spans="17:27" x14ac:dyDescent="0.25">
      <c r="Q388" s="53"/>
      <c r="R388" s="68"/>
      <c r="S388" s="68"/>
      <c r="T388" s="68"/>
      <c r="U388" s="68"/>
      <c r="V388" s="72"/>
      <c r="W388" s="72"/>
      <c r="X388" s="66"/>
      <c r="Y388" s="80"/>
      <c r="Z388" s="80"/>
      <c r="AA388" s="153"/>
    </row>
    <row r="389" spans="17:27" x14ac:dyDescent="0.25">
      <c r="Q389" s="53"/>
      <c r="R389" s="68"/>
      <c r="S389" s="68"/>
      <c r="T389" s="68"/>
      <c r="U389" s="68"/>
      <c r="V389" s="72"/>
      <c r="W389" s="72"/>
      <c r="X389" s="66"/>
      <c r="Y389" s="80"/>
      <c r="Z389" s="80"/>
      <c r="AA389" s="153"/>
    </row>
    <row r="390" spans="17:27" x14ac:dyDescent="0.25">
      <c r="Q390" s="53"/>
      <c r="R390" s="68"/>
      <c r="S390" s="68"/>
      <c r="T390" s="68"/>
      <c r="U390" s="68"/>
      <c r="V390" s="72"/>
      <c r="W390" s="72"/>
      <c r="X390" s="66"/>
      <c r="Y390" s="80"/>
      <c r="Z390" s="80"/>
      <c r="AA390" s="153"/>
    </row>
    <row r="391" spans="17:27" x14ac:dyDescent="0.25">
      <c r="Q391" s="53"/>
      <c r="R391" s="68"/>
      <c r="S391" s="68"/>
      <c r="T391" s="68"/>
      <c r="U391" s="68"/>
      <c r="V391" s="72"/>
      <c r="W391" s="72"/>
      <c r="X391" s="66"/>
      <c r="Y391" s="80"/>
      <c r="Z391" s="80"/>
      <c r="AA391" s="153"/>
    </row>
    <row r="392" spans="17:27" x14ac:dyDescent="0.25">
      <c r="Q392" s="53"/>
      <c r="R392" s="68"/>
      <c r="S392" s="68"/>
      <c r="T392" s="68"/>
      <c r="U392" s="68"/>
      <c r="V392" s="72"/>
      <c r="W392" s="72"/>
      <c r="X392" s="66"/>
      <c r="Y392" s="80"/>
      <c r="Z392" s="80"/>
      <c r="AA392" s="153"/>
    </row>
    <row r="393" spans="17:27" x14ac:dyDescent="0.25">
      <c r="Q393" s="53"/>
      <c r="R393" s="68"/>
      <c r="S393" s="68"/>
      <c r="T393" s="68"/>
      <c r="U393" s="68"/>
      <c r="V393" s="72"/>
      <c r="W393" s="72"/>
      <c r="X393" s="66"/>
      <c r="Y393" s="80"/>
      <c r="Z393" s="80"/>
      <c r="AA393" s="153"/>
    </row>
    <row r="394" spans="17:27" x14ac:dyDescent="0.25">
      <c r="Q394" s="53"/>
      <c r="R394" s="68"/>
      <c r="S394" s="68"/>
      <c r="T394" s="68"/>
      <c r="U394" s="68"/>
      <c r="V394" s="72"/>
      <c r="W394" s="72"/>
      <c r="X394" s="66"/>
      <c r="Y394" s="80"/>
      <c r="Z394" s="80"/>
      <c r="AA394" s="153"/>
    </row>
    <row r="395" spans="17:27" x14ac:dyDescent="0.25">
      <c r="Q395" s="53"/>
      <c r="R395" s="53"/>
      <c r="S395" s="103"/>
      <c r="T395" s="103"/>
      <c r="U395" s="53"/>
      <c r="V395" s="66"/>
      <c r="W395" s="66"/>
      <c r="X395" s="66"/>
      <c r="Y395" s="80"/>
      <c r="Z395" s="80"/>
      <c r="AA395" s="153"/>
    </row>
    <row r="396" spans="17:27" x14ac:dyDescent="0.25">
      <c r="Q396" s="53"/>
      <c r="R396" s="68"/>
      <c r="S396" s="68"/>
      <c r="T396" s="68"/>
      <c r="U396" s="68"/>
      <c r="V396" s="72"/>
      <c r="W396" s="72"/>
      <c r="X396" s="66"/>
      <c r="Y396" s="80"/>
      <c r="Z396" s="80"/>
      <c r="AA396" s="153"/>
    </row>
    <row r="397" spans="17:27" x14ac:dyDescent="0.25">
      <c r="Q397" s="53"/>
      <c r="R397" s="68"/>
      <c r="S397" s="68"/>
      <c r="T397" s="68"/>
      <c r="U397" s="68"/>
      <c r="V397" s="72"/>
      <c r="W397" s="72"/>
      <c r="X397" s="66"/>
      <c r="Y397" s="80"/>
      <c r="Z397" s="80"/>
      <c r="AA397" s="153"/>
    </row>
    <row r="398" spans="17:27" x14ac:dyDescent="0.25">
      <c r="Q398" s="53"/>
      <c r="R398" s="68"/>
      <c r="S398" s="68"/>
      <c r="T398" s="68"/>
      <c r="U398" s="68"/>
      <c r="V398" s="72"/>
      <c r="W398" s="72"/>
      <c r="X398" s="66"/>
      <c r="Y398" s="80"/>
      <c r="Z398" s="80"/>
      <c r="AA398" s="153"/>
    </row>
    <row r="399" spans="17:27" x14ac:dyDescent="0.25">
      <c r="Q399" s="53"/>
      <c r="R399" s="68"/>
      <c r="S399" s="68"/>
      <c r="T399" s="68"/>
      <c r="U399" s="68"/>
      <c r="V399" s="72"/>
      <c r="W399" s="72"/>
      <c r="X399" s="66"/>
      <c r="Y399" s="80"/>
      <c r="Z399" s="80"/>
      <c r="AA399" s="153"/>
    </row>
    <row r="400" spans="17:27" x14ac:dyDescent="0.25">
      <c r="Q400" s="53"/>
      <c r="R400" s="68"/>
      <c r="S400" s="68"/>
      <c r="T400" s="68"/>
      <c r="U400" s="68"/>
      <c r="V400" s="72"/>
      <c r="W400" s="72"/>
      <c r="X400" s="66"/>
      <c r="Y400" s="80"/>
      <c r="Z400" s="80"/>
      <c r="AA400" s="153"/>
    </row>
    <row r="401" spans="17:27" x14ac:dyDescent="0.25">
      <c r="Q401" s="53"/>
      <c r="R401" s="68"/>
      <c r="S401" s="68"/>
      <c r="T401" s="68"/>
      <c r="U401" s="68"/>
      <c r="V401" s="72"/>
      <c r="W401" s="72"/>
      <c r="X401" s="66"/>
      <c r="Y401" s="80"/>
      <c r="Z401" s="80"/>
      <c r="AA401" s="153"/>
    </row>
    <row r="402" spans="17:27" x14ac:dyDescent="0.25">
      <c r="Q402" s="53"/>
      <c r="R402" s="68"/>
      <c r="S402" s="68"/>
      <c r="T402" s="68"/>
      <c r="U402" s="68"/>
      <c r="V402" s="72"/>
      <c r="W402" s="72"/>
      <c r="X402" s="66"/>
      <c r="Y402" s="80"/>
      <c r="Z402" s="80"/>
      <c r="AA402" s="153"/>
    </row>
    <row r="403" spans="17:27" x14ac:dyDescent="0.25">
      <c r="Q403" s="53"/>
      <c r="R403" s="68"/>
      <c r="S403" s="68"/>
      <c r="T403" s="68"/>
      <c r="U403" s="68"/>
      <c r="V403" s="72"/>
      <c r="W403" s="72"/>
      <c r="X403" s="66"/>
      <c r="Y403" s="80"/>
      <c r="Z403" s="80"/>
      <c r="AA403" s="153"/>
    </row>
    <row r="404" spans="17:27" x14ac:dyDescent="0.25">
      <c r="Q404" s="53"/>
      <c r="R404" s="68"/>
      <c r="S404" s="68"/>
      <c r="T404" s="68"/>
      <c r="U404" s="68"/>
      <c r="V404" s="72"/>
      <c r="W404" s="72"/>
      <c r="X404" s="66"/>
      <c r="Y404" s="80"/>
      <c r="Z404" s="80"/>
      <c r="AA404" s="153"/>
    </row>
    <row r="405" spans="17:27" x14ac:dyDescent="0.25">
      <c r="Q405" s="53"/>
      <c r="R405" s="68"/>
      <c r="S405" s="68"/>
      <c r="T405" s="68"/>
      <c r="U405" s="68"/>
      <c r="V405" s="72"/>
      <c r="W405" s="72"/>
      <c r="X405" s="66"/>
      <c r="Y405" s="80"/>
      <c r="Z405" s="80"/>
      <c r="AA405" s="153"/>
    </row>
    <row r="406" spans="17:27" x14ac:dyDescent="0.25">
      <c r="Q406" s="53"/>
      <c r="R406" s="68"/>
      <c r="S406" s="68"/>
      <c r="T406" s="68"/>
      <c r="U406" s="68"/>
      <c r="V406" s="72"/>
      <c r="W406" s="72"/>
      <c r="X406" s="66"/>
      <c r="Y406" s="80"/>
      <c r="Z406" s="80"/>
      <c r="AA406" s="153"/>
    </row>
    <row r="407" spans="17:27" x14ac:dyDescent="0.25">
      <c r="Q407" s="53"/>
      <c r="R407" s="68"/>
      <c r="S407" s="68"/>
      <c r="T407" s="68"/>
      <c r="U407" s="68"/>
      <c r="V407" s="72"/>
      <c r="W407" s="72"/>
      <c r="X407" s="66"/>
      <c r="Y407" s="80"/>
      <c r="Z407" s="80"/>
      <c r="AA407" s="153"/>
    </row>
    <row r="408" spans="17:27" x14ac:dyDescent="0.25">
      <c r="Q408" s="53"/>
      <c r="R408" s="68"/>
      <c r="S408" s="68"/>
      <c r="T408" s="68"/>
      <c r="U408" s="68"/>
      <c r="V408" s="72"/>
      <c r="W408" s="72"/>
      <c r="X408" s="66"/>
      <c r="Y408" s="80"/>
      <c r="Z408" s="80"/>
      <c r="AA408" s="153"/>
    </row>
    <row r="409" spans="17:27" x14ac:dyDescent="0.25">
      <c r="Q409" s="53"/>
      <c r="R409" s="68"/>
      <c r="S409" s="68"/>
      <c r="T409" s="68"/>
      <c r="U409" s="68"/>
      <c r="V409" s="72"/>
      <c r="W409" s="72"/>
      <c r="X409" s="66"/>
      <c r="Y409" s="80"/>
      <c r="Z409" s="80"/>
      <c r="AA409" s="153"/>
    </row>
    <row r="410" spans="17:27" x14ac:dyDescent="0.25">
      <c r="Q410" s="53"/>
      <c r="R410" s="68"/>
      <c r="S410" s="68"/>
      <c r="T410" s="68"/>
      <c r="U410" s="68"/>
      <c r="V410" s="72"/>
      <c r="W410" s="72"/>
      <c r="X410" s="66"/>
      <c r="Y410" s="80"/>
      <c r="Z410" s="80"/>
      <c r="AA410" s="153"/>
    </row>
    <row r="411" spans="17:27" x14ac:dyDescent="0.25">
      <c r="Q411" s="53"/>
      <c r="R411" s="68"/>
      <c r="S411" s="68"/>
      <c r="T411" s="68"/>
      <c r="U411" s="68"/>
      <c r="V411" s="72"/>
      <c r="W411" s="72"/>
      <c r="X411" s="66"/>
      <c r="Y411" s="80"/>
      <c r="Z411" s="80"/>
      <c r="AA411" s="153"/>
    </row>
    <row r="412" spans="17:27" x14ac:dyDescent="0.25">
      <c r="Q412" s="53"/>
      <c r="R412" s="68"/>
      <c r="S412" s="68"/>
      <c r="T412" s="68"/>
      <c r="U412" s="68"/>
      <c r="V412" s="72"/>
      <c r="W412" s="72"/>
      <c r="X412" s="66"/>
      <c r="Y412" s="80"/>
      <c r="Z412" s="80"/>
      <c r="AA412" s="153"/>
    </row>
    <row r="413" spans="17:27" x14ac:dyDescent="0.25">
      <c r="Q413" s="53"/>
      <c r="R413" s="68"/>
      <c r="S413" s="68"/>
      <c r="T413" s="68"/>
      <c r="U413" s="68"/>
      <c r="V413" s="72"/>
      <c r="W413" s="72"/>
      <c r="X413" s="66"/>
      <c r="Y413" s="80"/>
      <c r="Z413" s="80"/>
      <c r="AA413" s="153"/>
    </row>
    <row r="414" spans="17:27" x14ac:dyDescent="0.25">
      <c r="Q414" s="53"/>
      <c r="R414" s="68"/>
      <c r="S414" s="68"/>
      <c r="T414" s="68"/>
      <c r="U414" s="68"/>
      <c r="V414" s="72"/>
      <c r="W414" s="72"/>
      <c r="X414" s="66"/>
      <c r="Y414" s="80"/>
      <c r="Z414" s="80"/>
      <c r="AA414" s="153"/>
    </row>
    <row r="415" spans="17:27" x14ac:dyDescent="0.25">
      <c r="Q415" s="53"/>
      <c r="R415" s="68"/>
      <c r="S415" s="68"/>
      <c r="T415" s="68"/>
      <c r="U415" s="68"/>
      <c r="V415" s="72"/>
      <c r="W415" s="72"/>
      <c r="X415" s="66"/>
      <c r="Y415" s="80"/>
      <c r="Z415" s="80"/>
      <c r="AA415" s="153"/>
    </row>
    <row r="416" spans="17:27" x14ac:dyDescent="0.25">
      <c r="Q416" s="53"/>
      <c r="R416" s="68"/>
      <c r="S416" s="68"/>
      <c r="T416" s="68"/>
      <c r="U416" s="68"/>
      <c r="V416" s="72"/>
      <c r="W416" s="72"/>
      <c r="X416" s="66"/>
      <c r="Y416" s="80"/>
      <c r="Z416" s="80"/>
      <c r="AA416" s="153"/>
    </row>
    <row r="417" spans="17:27" x14ac:dyDescent="0.25">
      <c r="Q417" s="53"/>
      <c r="R417" s="68"/>
      <c r="S417" s="68"/>
      <c r="T417" s="68"/>
      <c r="U417" s="68"/>
      <c r="V417" s="72"/>
      <c r="W417" s="72"/>
      <c r="X417" s="66"/>
      <c r="Y417" s="80"/>
      <c r="Z417" s="80"/>
      <c r="AA417" s="153"/>
    </row>
    <row r="418" spans="17:27" x14ac:dyDescent="0.25">
      <c r="Q418" s="53"/>
      <c r="R418" s="68"/>
      <c r="S418" s="68"/>
      <c r="T418" s="68"/>
      <c r="U418" s="68"/>
      <c r="V418" s="72"/>
      <c r="W418" s="72"/>
      <c r="X418" s="66"/>
      <c r="Y418" s="80"/>
      <c r="Z418" s="80"/>
      <c r="AA418" s="153"/>
    </row>
    <row r="419" spans="17:27" x14ac:dyDescent="0.25">
      <c r="Q419" s="53"/>
      <c r="R419" s="68"/>
      <c r="S419" s="68"/>
      <c r="T419" s="68"/>
      <c r="U419" s="68"/>
      <c r="V419" s="72"/>
      <c r="W419" s="72"/>
      <c r="X419" s="66"/>
      <c r="Y419" s="80"/>
      <c r="Z419" s="80"/>
      <c r="AA419" s="153"/>
    </row>
    <row r="420" spans="17:27" x14ac:dyDescent="0.25">
      <c r="Q420" s="53"/>
      <c r="R420" s="68"/>
      <c r="S420" s="68"/>
      <c r="T420" s="68"/>
      <c r="U420" s="68"/>
      <c r="V420" s="72"/>
      <c r="W420" s="72"/>
      <c r="X420" s="66"/>
      <c r="Y420" s="80"/>
      <c r="Z420" s="80"/>
      <c r="AA420" s="153"/>
    </row>
    <row r="421" spans="17:27" x14ac:dyDescent="0.25">
      <c r="Q421" s="53"/>
      <c r="R421" s="68"/>
      <c r="S421" s="68"/>
      <c r="T421" s="68"/>
      <c r="U421" s="68"/>
      <c r="V421" s="72"/>
      <c r="W421" s="72"/>
      <c r="X421" s="66"/>
      <c r="Y421" s="80"/>
      <c r="Z421" s="80"/>
      <c r="AA421" s="153"/>
    </row>
    <row r="422" spans="17:27" x14ac:dyDescent="0.25">
      <c r="Q422" s="53"/>
      <c r="R422" s="68"/>
      <c r="S422" s="68"/>
      <c r="T422" s="68"/>
      <c r="U422" s="68"/>
      <c r="V422" s="72"/>
      <c r="W422" s="72"/>
      <c r="X422" s="66"/>
      <c r="Y422" s="80"/>
      <c r="Z422" s="80"/>
      <c r="AA422" s="153"/>
    </row>
    <row r="423" spans="17:27" x14ac:dyDescent="0.25">
      <c r="Q423" s="53"/>
      <c r="R423" s="68"/>
      <c r="S423" s="68"/>
      <c r="T423" s="68"/>
      <c r="U423" s="68"/>
      <c r="V423" s="72"/>
      <c r="W423" s="72"/>
      <c r="X423" s="66"/>
      <c r="Y423" s="80"/>
      <c r="Z423" s="80"/>
      <c r="AA423" s="153"/>
    </row>
    <row r="424" spans="17:27" x14ac:dyDescent="0.25">
      <c r="Q424" s="53"/>
      <c r="R424" s="68"/>
      <c r="S424" s="68"/>
      <c r="T424" s="68"/>
      <c r="U424" s="68"/>
      <c r="V424" s="72"/>
      <c r="W424" s="72"/>
      <c r="X424" s="66"/>
      <c r="Y424" s="80"/>
      <c r="Z424" s="80"/>
      <c r="AA424" s="153"/>
    </row>
    <row r="425" spans="17:27" x14ac:dyDescent="0.25">
      <c r="Q425" s="53"/>
      <c r="R425" s="68"/>
      <c r="S425" s="68"/>
      <c r="T425" s="68"/>
      <c r="U425" s="68"/>
      <c r="V425" s="72"/>
      <c r="W425" s="72"/>
      <c r="X425" s="66"/>
      <c r="Y425" s="80"/>
      <c r="Z425" s="80"/>
      <c r="AA425" s="153"/>
    </row>
    <row r="426" spans="17:27" x14ac:dyDescent="0.25">
      <c r="Q426" s="53"/>
      <c r="R426" s="68"/>
      <c r="S426" s="68"/>
      <c r="T426" s="68"/>
      <c r="U426" s="68"/>
      <c r="V426" s="72"/>
      <c r="W426" s="72"/>
      <c r="X426" s="66"/>
      <c r="Y426" s="80"/>
      <c r="Z426" s="80"/>
      <c r="AA426" s="153"/>
    </row>
    <row r="427" spans="17:27" x14ac:dyDescent="0.25">
      <c r="Q427" s="53"/>
      <c r="R427" s="68"/>
      <c r="S427" s="68"/>
      <c r="T427" s="68"/>
      <c r="U427" s="68"/>
      <c r="V427" s="72"/>
      <c r="W427" s="72"/>
      <c r="X427" s="66"/>
      <c r="Y427" s="80"/>
      <c r="Z427" s="80"/>
      <c r="AA427" s="153"/>
    </row>
    <row r="428" spans="17:27" x14ac:dyDescent="0.25">
      <c r="Q428" s="53"/>
      <c r="R428" s="68"/>
      <c r="S428" s="68"/>
      <c r="T428" s="68"/>
      <c r="U428" s="68"/>
      <c r="V428" s="72"/>
      <c r="W428" s="72"/>
      <c r="X428" s="66"/>
      <c r="Y428" s="80"/>
      <c r="Z428" s="80"/>
      <c r="AA428" s="153"/>
    </row>
    <row r="429" spans="17:27" x14ac:dyDescent="0.25">
      <c r="Q429" s="53"/>
      <c r="R429" s="68"/>
      <c r="S429" s="68"/>
      <c r="T429" s="68"/>
      <c r="U429" s="68"/>
      <c r="V429" s="72"/>
      <c r="W429" s="72"/>
      <c r="X429" s="66"/>
      <c r="Y429" s="80"/>
      <c r="Z429" s="80"/>
      <c r="AA429" s="153"/>
    </row>
    <row r="430" spans="17:27" x14ac:dyDescent="0.25">
      <c r="Q430" s="53"/>
      <c r="R430" s="68"/>
      <c r="S430" s="68"/>
      <c r="T430" s="68"/>
      <c r="U430" s="68"/>
      <c r="V430" s="72"/>
      <c r="W430" s="72"/>
      <c r="X430" s="66"/>
      <c r="Y430" s="80"/>
      <c r="Z430" s="80"/>
      <c r="AA430" s="153"/>
    </row>
    <row r="431" spans="17:27" x14ac:dyDescent="0.25">
      <c r="Q431" s="53"/>
      <c r="R431" s="68"/>
      <c r="S431" s="68"/>
      <c r="T431" s="68"/>
      <c r="U431" s="68"/>
      <c r="V431" s="72"/>
      <c r="W431" s="72"/>
      <c r="X431" s="66"/>
      <c r="Y431" s="80"/>
      <c r="Z431" s="80"/>
      <c r="AA431" s="153"/>
    </row>
    <row r="432" spans="17:27" x14ac:dyDescent="0.25">
      <c r="Q432" s="53"/>
      <c r="R432" s="68"/>
      <c r="S432" s="68"/>
      <c r="T432" s="68"/>
      <c r="U432" s="68"/>
      <c r="V432" s="72"/>
      <c r="W432" s="72"/>
      <c r="X432" s="66"/>
      <c r="Y432" s="80"/>
      <c r="Z432" s="80"/>
      <c r="AA432" s="153"/>
    </row>
    <row r="433" spans="17:27" x14ac:dyDescent="0.25">
      <c r="Q433" s="53"/>
      <c r="R433" s="68"/>
      <c r="S433" s="68"/>
      <c r="T433" s="68"/>
      <c r="U433" s="68"/>
      <c r="V433" s="72"/>
      <c r="W433" s="72"/>
      <c r="X433" s="66"/>
      <c r="Y433" s="80"/>
      <c r="Z433" s="80"/>
      <c r="AA433" s="153"/>
    </row>
    <row r="434" spans="17:27" x14ac:dyDescent="0.25">
      <c r="Q434" s="53"/>
      <c r="R434" s="68"/>
      <c r="S434" s="68"/>
      <c r="T434" s="68"/>
      <c r="U434" s="68"/>
      <c r="V434" s="72"/>
      <c r="W434" s="72"/>
      <c r="X434" s="66"/>
      <c r="Y434" s="80"/>
      <c r="Z434" s="80"/>
      <c r="AA434" s="153"/>
    </row>
    <row r="435" spans="17:27" x14ac:dyDescent="0.25">
      <c r="Q435" s="53"/>
      <c r="R435" s="68"/>
      <c r="S435" s="68"/>
      <c r="T435" s="68"/>
      <c r="U435" s="68"/>
      <c r="V435" s="72"/>
      <c r="W435" s="72"/>
      <c r="X435" s="66"/>
      <c r="Y435" s="80"/>
      <c r="Z435" s="80"/>
      <c r="AA435" s="153"/>
    </row>
    <row r="436" spans="17:27" x14ac:dyDescent="0.25">
      <c r="Q436" s="53"/>
      <c r="R436" s="68"/>
      <c r="S436" s="68"/>
      <c r="T436" s="68"/>
      <c r="U436" s="68"/>
      <c r="V436" s="72"/>
      <c r="W436" s="72"/>
      <c r="X436" s="66"/>
      <c r="Y436" s="80"/>
      <c r="Z436" s="80"/>
      <c r="AA436" s="153"/>
    </row>
    <row r="437" spans="17:27" x14ac:dyDescent="0.25">
      <c r="Q437" s="53"/>
      <c r="R437" s="68"/>
      <c r="S437" s="68"/>
      <c r="T437" s="68"/>
      <c r="U437" s="68"/>
      <c r="V437" s="72"/>
      <c r="W437" s="72"/>
      <c r="X437" s="66"/>
      <c r="Y437" s="80"/>
      <c r="Z437" s="80"/>
      <c r="AA437" s="153"/>
    </row>
    <row r="438" spans="17:27" x14ac:dyDescent="0.25">
      <c r="Q438" s="53"/>
      <c r="R438" s="68"/>
      <c r="S438" s="68"/>
      <c r="T438" s="68"/>
      <c r="U438" s="68"/>
      <c r="V438" s="72"/>
      <c r="W438" s="72"/>
      <c r="X438" s="66"/>
      <c r="Y438" s="80"/>
      <c r="Z438" s="80"/>
      <c r="AA438" s="153"/>
    </row>
    <row r="439" spans="17:27" x14ac:dyDescent="0.25">
      <c r="Q439" s="53"/>
      <c r="R439" s="68"/>
      <c r="S439" s="68"/>
      <c r="T439" s="68"/>
      <c r="U439" s="68"/>
      <c r="V439" s="72"/>
      <c r="W439" s="72"/>
      <c r="X439" s="66"/>
      <c r="Y439" s="80"/>
      <c r="Z439" s="80"/>
      <c r="AA439" s="153"/>
    </row>
    <row r="440" spans="17:27" x14ac:dyDescent="0.25">
      <c r="Q440" s="53"/>
      <c r="R440" s="68"/>
      <c r="S440" s="68"/>
      <c r="T440" s="68"/>
      <c r="U440" s="68"/>
      <c r="V440" s="72"/>
      <c r="W440" s="72"/>
      <c r="X440" s="66"/>
      <c r="Y440" s="80"/>
      <c r="Z440" s="80"/>
      <c r="AA440" s="153"/>
    </row>
    <row r="441" spans="17:27" x14ac:dyDescent="0.25">
      <c r="Q441" s="53"/>
      <c r="R441" s="68"/>
      <c r="S441" s="68"/>
      <c r="T441" s="68"/>
      <c r="U441" s="68"/>
      <c r="V441" s="72"/>
      <c r="W441" s="72"/>
      <c r="X441" s="66"/>
      <c r="Y441" s="80"/>
      <c r="Z441" s="80"/>
      <c r="AA441" s="153"/>
    </row>
    <row r="442" spans="17:27" x14ac:dyDescent="0.25">
      <c r="Q442" s="53"/>
      <c r="R442" s="68"/>
      <c r="S442" s="68"/>
      <c r="T442" s="68"/>
      <c r="U442" s="68"/>
      <c r="V442" s="72"/>
      <c r="W442" s="72"/>
      <c r="X442" s="66"/>
      <c r="Y442" s="80"/>
      <c r="Z442" s="80"/>
      <c r="AA442" s="153"/>
    </row>
    <row r="443" spans="17:27" x14ac:dyDescent="0.25">
      <c r="Q443" s="53"/>
      <c r="R443" s="68"/>
      <c r="S443" s="68"/>
      <c r="T443" s="68"/>
      <c r="U443" s="68"/>
      <c r="V443" s="72"/>
      <c r="W443" s="72"/>
      <c r="X443" s="66"/>
      <c r="Y443" s="80"/>
      <c r="Z443" s="80"/>
      <c r="AA443" s="153"/>
    </row>
    <row r="444" spans="17:27" x14ac:dyDescent="0.25">
      <c r="Q444" s="53"/>
      <c r="R444" s="68"/>
      <c r="S444" s="68"/>
      <c r="T444" s="68"/>
      <c r="U444" s="68"/>
      <c r="V444" s="72"/>
      <c r="W444" s="72"/>
      <c r="X444" s="66"/>
      <c r="Y444" s="80"/>
      <c r="Z444" s="80"/>
      <c r="AA444" s="153"/>
    </row>
    <row r="445" spans="17:27" x14ac:dyDescent="0.25">
      <c r="Q445" s="53"/>
      <c r="R445" s="68"/>
      <c r="S445" s="68"/>
      <c r="T445" s="68"/>
      <c r="U445" s="68"/>
      <c r="V445" s="72"/>
      <c r="W445" s="72"/>
      <c r="X445" s="66"/>
      <c r="Y445" s="80"/>
      <c r="Z445" s="80"/>
      <c r="AA445" s="153"/>
    </row>
    <row r="446" spans="17:27" x14ac:dyDescent="0.25">
      <c r="Q446" s="53"/>
      <c r="R446" s="68"/>
      <c r="S446" s="68"/>
      <c r="T446" s="68"/>
      <c r="U446" s="68"/>
      <c r="V446" s="72"/>
      <c r="W446" s="72"/>
      <c r="X446" s="66"/>
      <c r="Y446" s="80"/>
      <c r="Z446" s="80"/>
      <c r="AA446" s="153"/>
    </row>
    <row r="447" spans="17:27" x14ac:dyDescent="0.25">
      <c r="Q447" s="53"/>
      <c r="R447" s="68"/>
      <c r="S447" s="68"/>
      <c r="T447" s="68"/>
      <c r="U447" s="68"/>
      <c r="V447" s="72"/>
      <c r="W447" s="72"/>
      <c r="X447" s="66"/>
      <c r="Y447" s="80"/>
      <c r="Z447" s="80"/>
      <c r="AA447" s="153"/>
    </row>
    <row r="448" spans="17:27" x14ac:dyDescent="0.25">
      <c r="Q448" s="53"/>
      <c r="R448" s="68"/>
      <c r="S448" s="68"/>
      <c r="T448" s="68"/>
      <c r="U448" s="68"/>
      <c r="V448" s="72"/>
      <c r="W448" s="72"/>
      <c r="X448" s="66"/>
      <c r="Y448" s="80"/>
      <c r="Z448" s="80"/>
      <c r="AA448" s="153"/>
    </row>
    <row r="449" spans="17:27" x14ac:dyDescent="0.25">
      <c r="Q449" s="53"/>
      <c r="R449" s="68"/>
      <c r="S449" s="68"/>
      <c r="T449" s="68"/>
      <c r="U449" s="68"/>
      <c r="V449" s="72"/>
      <c r="W449" s="72"/>
      <c r="X449" s="66"/>
      <c r="Y449" s="80"/>
      <c r="Z449" s="80"/>
      <c r="AA449" s="153"/>
    </row>
    <row r="450" spans="17:27" x14ac:dyDescent="0.25">
      <c r="Q450" s="53"/>
      <c r="R450" s="68"/>
      <c r="S450" s="68"/>
      <c r="T450" s="68"/>
      <c r="U450" s="68"/>
      <c r="V450" s="72"/>
      <c r="W450" s="72"/>
      <c r="X450" s="66"/>
      <c r="Y450" s="80"/>
      <c r="Z450" s="80"/>
      <c r="AA450" s="153"/>
    </row>
    <row r="451" spans="17:27" x14ac:dyDescent="0.25">
      <c r="Q451" s="53"/>
      <c r="R451" s="68"/>
      <c r="S451" s="68"/>
      <c r="T451" s="68"/>
      <c r="U451" s="68"/>
      <c r="V451" s="72"/>
      <c r="W451" s="72"/>
      <c r="X451" s="66"/>
      <c r="Y451" s="80"/>
      <c r="Z451" s="80"/>
      <c r="AA451" s="153"/>
    </row>
    <row r="452" spans="17:27" x14ac:dyDescent="0.25">
      <c r="Q452" s="53"/>
      <c r="R452" s="68"/>
      <c r="S452" s="68"/>
      <c r="T452" s="68"/>
      <c r="U452" s="68"/>
      <c r="V452" s="72"/>
      <c r="W452" s="72"/>
      <c r="X452" s="66"/>
      <c r="Y452" s="80"/>
      <c r="Z452" s="80"/>
      <c r="AA452" s="153"/>
    </row>
    <row r="453" spans="17:27" x14ac:dyDescent="0.25">
      <c r="Q453" s="53"/>
      <c r="R453" s="68"/>
      <c r="S453" s="68"/>
      <c r="T453" s="68"/>
      <c r="U453" s="68"/>
      <c r="V453" s="72"/>
      <c r="W453" s="72"/>
      <c r="X453" s="66"/>
      <c r="Y453" s="80"/>
      <c r="Z453" s="80"/>
      <c r="AA453" s="153"/>
    </row>
    <row r="454" spans="17:27" x14ac:dyDescent="0.25">
      <c r="Q454" s="53"/>
      <c r="R454" s="68"/>
      <c r="S454" s="68"/>
      <c r="T454" s="68"/>
      <c r="U454" s="68"/>
      <c r="V454" s="72"/>
      <c r="W454" s="72"/>
      <c r="X454" s="66"/>
      <c r="Y454" s="80"/>
      <c r="Z454" s="80"/>
      <c r="AA454" s="153"/>
    </row>
    <row r="455" spans="17:27" x14ac:dyDescent="0.25">
      <c r="Q455" s="53"/>
      <c r="R455" s="68"/>
      <c r="S455" s="68"/>
      <c r="T455" s="68"/>
      <c r="U455" s="68"/>
      <c r="V455" s="72"/>
      <c r="W455" s="72"/>
      <c r="X455" s="66"/>
      <c r="Y455" s="80"/>
      <c r="Z455" s="80"/>
      <c r="AA455" s="153"/>
    </row>
    <row r="456" spans="17:27" x14ac:dyDescent="0.25">
      <c r="Q456" s="53"/>
      <c r="R456" s="68"/>
      <c r="S456" s="68"/>
      <c r="T456" s="68"/>
      <c r="U456" s="68"/>
      <c r="V456" s="72"/>
      <c r="W456" s="72"/>
      <c r="X456" s="66"/>
      <c r="Y456" s="80"/>
      <c r="Z456" s="80"/>
      <c r="AA456" s="153"/>
    </row>
    <row r="457" spans="17:27" x14ac:dyDescent="0.25">
      <c r="Q457" s="53"/>
      <c r="R457" s="68"/>
      <c r="S457" s="68"/>
      <c r="T457" s="68"/>
      <c r="U457" s="68"/>
      <c r="V457" s="72"/>
      <c r="W457" s="72"/>
      <c r="X457" s="66"/>
      <c r="Y457" s="80"/>
      <c r="Z457" s="80"/>
      <c r="AA457" s="153"/>
    </row>
    <row r="458" spans="17:27" x14ac:dyDescent="0.25">
      <c r="Q458" s="53"/>
      <c r="R458" s="68"/>
      <c r="S458" s="68"/>
      <c r="T458" s="68"/>
      <c r="U458" s="68"/>
      <c r="V458" s="72"/>
      <c r="W458" s="72"/>
      <c r="X458" s="66"/>
      <c r="Y458" s="80"/>
      <c r="Z458" s="80"/>
      <c r="AA458" s="153"/>
    </row>
    <row r="459" spans="17:27" x14ac:dyDescent="0.25">
      <c r="Q459" s="53"/>
      <c r="R459" s="68"/>
      <c r="S459" s="68"/>
      <c r="T459" s="68"/>
      <c r="U459" s="68"/>
      <c r="V459" s="72"/>
      <c r="W459" s="72"/>
      <c r="X459" s="66"/>
      <c r="Y459" s="80"/>
      <c r="Z459" s="80"/>
      <c r="AA459" s="153"/>
    </row>
    <row r="460" spans="17:27" x14ac:dyDescent="0.25">
      <c r="Q460" s="53"/>
      <c r="R460" s="68"/>
      <c r="S460" s="68"/>
      <c r="T460" s="68"/>
      <c r="U460" s="68"/>
      <c r="V460" s="72"/>
      <c r="W460" s="72"/>
      <c r="X460" s="66"/>
      <c r="Y460" s="80"/>
      <c r="Z460" s="80"/>
      <c r="AA460" s="153"/>
    </row>
    <row r="461" spans="17:27" x14ac:dyDescent="0.25">
      <c r="Q461" s="53"/>
      <c r="R461" s="68"/>
      <c r="S461" s="68"/>
      <c r="T461" s="68"/>
      <c r="U461" s="68"/>
      <c r="V461" s="72"/>
      <c r="W461" s="72"/>
      <c r="X461" s="66"/>
      <c r="Y461" s="80"/>
      <c r="Z461" s="80"/>
      <c r="AA461" s="153"/>
    </row>
    <row r="462" spans="17:27" x14ac:dyDescent="0.25">
      <c r="Q462" s="53"/>
      <c r="R462" s="68"/>
      <c r="S462" s="68"/>
      <c r="T462" s="68"/>
      <c r="U462" s="68"/>
      <c r="V462" s="72"/>
      <c r="W462" s="72"/>
      <c r="X462" s="66"/>
      <c r="Y462" s="80"/>
      <c r="Z462" s="80"/>
      <c r="AA462" s="153"/>
    </row>
    <row r="463" spans="17:27" x14ac:dyDescent="0.25">
      <c r="Q463" s="53"/>
      <c r="R463" s="68"/>
      <c r="S463" s="68"/>
      <c r="T463" s="68"/>
      <c r="U463" s="68"/>
      <c r="V463" s="72"/>
      <c r="W463" s="72"/>
      <c r="X463" s="66"/>
      <c r="Y463" s="80"/>
      <c r="Z463" s="80"/>
      <c r="AA463" s="153"/>
    </row>
    <row r="464" spans="17:27" x14ac:dyDescent="0.25">
      <c r="Q464" s="53"/>
      <c r="R464" s="68"/>
      <c r="S464" s="68"/>
      <c r="T464" s="68"/>
      <c r="U464" s="68"/>
      <c r="V464" s="72"/>
      <c r="W464" s="72"/>
      <c r="X464" s="66"/>
      <c r="Y464" s="80"/>
      <c r="Z464" s="80"/>
      <c r="AA464" s="153"/>
    </row>
    <row r="465" spans="17:27" x14ac:dyDescent="0.25">
      <c r="Q465" s="53"/>
      <c r="R465" s="68"/>
      <c r="S465" s="68"/>
      <c r="T465" s="68"/>
      <c r="U465" s="68"/>
      <c r="V465" s="72"/>
      <c r="W465" s="72"/>
      <c r="X465" s="66"/>
      <c r="Y465" s="80"/>
      <c r="Z465" s="80"/>
      <c r="AA465" s="153"/>
    </row>
    <row r="466" spans="17:27" x14ac:dyDescent="0.25">
      <c r="Q466" s="53"/>
      <c r="R466" s="68"/>
      <c r="S466" s="68"/>
      <c r="T466" s="68"/>
      <c r="U466" s="68"/>
      <c r="V466" s="72"/>
      <c r="W466" s="72"/>
      <c r="X466" s="66"/>
      <c r="Y466" s="80"/>
      <c r="Z466" s="80"/>
      <c r="AA466" s="153"/>
    </row>
    <row r="467" spans="17:27" x14ac:dyDescent="0.25">
      <c r="Q467" s="53"/>
      <c r="R467" s="68"/>
      <c r="S467" s="68"/>
      <c r="T467" s="68"/>
      <c r="U467" s="68"/>
      <c r="V467" s="72"/>
      <c r="W467" s="72"/>
      <c r="X467" s="66"/>
      <c r="Y467" s="80"/>
      <c r="Z467" s="80"/>
      <c r="AA467" s="153"/>
    </row>
    <row r="468" spans="17:27" x14ac:dyDescent="0.25">
      <c r="Q468" s="53"/>
      <c r="R468" s="68"/>
      <c r="S468" s="68"/>
      <c r="T468" s="68"/>
      <c r="U468" s="68"/>
      <c r="V468" s="72"/>
      <c r="W468" s="72"/>
      <c r="X468" s="66"/>
      <c r="Y468" s="80"/>
      <c r="Z468" s="80"/>
      <c r="AA468" s="153"/>
    </row>
    <row r="469" spans="17:27" x14ac:dyDescent="0.25">
      <c r="Q469" s="53"/>
      <c r="R469" s="68"/>
      <c r="S469" s="68"/>
      <c r="T469" s="68"/>
      <c r="U469" s="68"/>
      <c r="V469" s="72"/>
      <c r="W469" s="72"/>
      <c r="X469" s="66"/>
      <c r="Y469" s="80"/>
      <c r="Z469" s="80"/>
      <c r="AA469" s="153"/>
    </row>
    <row r="470" spans="17:27" x14ac:dyDescent="0.25">
      <c r="Q470" s="53"/>
      <c r="R470" s="68"/>
      <c r="S470" s="68"/>
      <c r="T470" s="68"/>
      <c r="U470" s="68"/>
      <c r="V470" s="72"/>
      <c r="W470" s="72"/>
      <c r="X470" s="66"/>
      <c r="Y470" s="80"/>
      <c r="Z470" s="80"/>
      <c r="AA470" s="153"/>
    </row>
    <row r="471" spans="17:27" x14ac:dyDescent="0.25">
      <c r="Q471" s="53"/>
      <c r="R471" s="68"/>
      <c r="S471" s="68"/>
      <c r="T471" s="68"/>
      <c r="U471" s="68"/>
      <c r="V471" s="72"/>
      <c r="W471" s="72"/>
      <c r="X471" s="66"/>
      <c r="Y471" s="80"/>
      <c r="Z471" s="80"/>
      <c r="AA471" s="153"/>
    </row>
    <row r="472" spans="17:27" x14ac:dyDescent="0.25">
      <c r="Q472" s="53"/>
      <c r="R472" s="68"/>
      <c r="S472" s="68"/>
      <c r="T472" s="68"/>
      <c r="U472" s="68"/>
      <c r="V472" s="72"/>
      <c r="W472" s="72"/>
      <c r="X472" s="66"/>
      <c r="Y472" s="80"/>
      <c r="Z472" s="80"/>
      <c r="AA472" s="153"/>
    </row>
    <row r="473" spans="17:27" x14ac:dyDescent="0.25">
      <c r="Q473" s="53"/>
      <c r="R473" s="68"/>
      <c r="S473" s="68"/>
      <c r="T473" s="68"/>
      <c r="U473" s="68"/>
      <c r="V473" s="72"/>
      <c r="W473" s="72"/>
      <c r="X473" s="66"/>
      <c r="Y473" s="80"/>
      <c r="Z473" s="80"/>
      <c r="AA473" s="153"/>
    </row>
    <row r="474" spans="17:27" x14ac:dyDescent="0.25">
      <c r="Q474" s="53"/>
      <c r="R474" s="68"/>
      <c r="S474" s="68"/>
      <c r="T474" s="68"/>
      <c r="U474" s="68"/>
      <c r="V474" s="72"/>
      <c r="W474" s="72"/>
      <c r="X474" s="66"/>
      <c r="Y474" s="80"/>
      <c r="Z474" s="80"/>
      <c r="AA474" s="153"/>
    </row>
    <row r="475" spans="17:27" x14ac:dyDescent="0.25">
      <c r="Q475" s="53"/>
      <c r="R475" s="68"/>
      <c r="S475" s="68"/>
      <c r="T475" s="68"/>
      <c r="U475" s="68"/>
      <c r="V475" s="72"/>
      <c r="W475" s="72"/>
      <c r="X475" s="66"/>
      <c r="Y475" s="80"/>
      <c r="Z475" s="80"/>
      <c r="AA475" s="153"/>
    </row>
    <row r="476" spans="17:27" x14ac:dyDescent="0.25">
      <c r="Q476" s="53"/>
      <c r="R476" s="68"/>
      <c r="S476" s="68"/>
      <c r="T476" s="68"/>
      <c r="U476" s="68"/>
      <c r="V476" s="72"/>
      <c r="W476" s="72"/>
      <c r="X476" s="66"/>
      <c r="Y476" s="80"/>
      <c r="Z476" s="80"/>
      <c r="AA476" s="153"/>
    </row>
    <row r="477" spans="17:27" x14ac:dyDescent="0.25">
      <c r="Q477" s="53"/>
      <c r="R477" s="68"/>
      <c r="S477" s="68"/>
      <c r="T477" s="68"/>
      <c r="U477" s="68"/>
      <c r="V477" s="72"/>
      <c r="W477" s="72"/>
      <c r="X477" s="66"/>
      <c r="Y477" s="80"/>
      <c r="Z477" s="80"/>
      <c r="AA477" s="153"/>
    </row>
    <row r="478" spans="17:27" x14ac:dyDescent="0.25">
      <c r="Q478" s="53"/>
      <c r="R478" s="68"/>
      <c r="S478" s="68"/>
      <c r="T478" s="68"/>
      <c r="U478" s="68"/>
      <c r="V478" s="72"/>
      <c r="W478" s="72"/>
      <c r="X478" s="66"/>
      <c r="Y478" s="80"/>
      <c r="Z478" s="80"/>
      <c r="AA478" s="153"/>
    </row>
    <row r="479" spans="17:27" x14ac:dyDescent="0.25">
      <c r="Q479" s="53"/>
      <c r="R479" s="68"/>
      <c r="S479" s="68"/>
      <c r="T479" s="68"/>
      <c r="U479" s="68"/>
      <c r="V479" s="72"/>
      <c r="W479" s="72"/>
      <c r="X479" s="66"/>
      <c r="Y479" s="80"/>
      <c r="Z479" s="80"/>
      <c r="AA479" s="153"/>
    </row>
    <row r="480" spans="17:27" x14ac:dyDescent="0.25">
      <c r="Q480" s="53"/>
      <c r="R480" s="68"/>
      <c r="S480" s="68"/>
      <c r="T480" s="68"/>
      <c r="U480" s="68"/>
      <c r="V480" s="72"/>
      <c r="W480" s="72"/>
      <c r="X480" s="66"/>
      <c r="Y480" s="80"/>
      <c r="Z480" s="80"/>
      <c r="AA480" s="153"/>
    </row>
    <row r="481" spans="17:27" x14ac:dyDescent="0.25">
      <c r="Q481" s="53"/>
      <c r="R481" s="68"/>
      <c r="S481" s="68"/>
      <c r="T481" s="68"/>
      <c r="U481" s="68"/>
      <c r="V481" s="72"/>
      <c r="W481" s="72"/>
      <c r="X481" s="66"/>
      <c r="Y481" s="80"/>
      <c r="Z481" s="80"/>
      <c r="AA481" s="153"/>
    </row>
    <row r="482" spans="17:27" x14ac:dyDescent="0.25">
      <c r="Q482" s="53"/>
      <c r="R482" s="68"/>
      <c r="S482" s="68"/>
      <c r="T482" s="68"/>
      <c r="U482" s="68"/>
      <c r="V482" s="72"/>
      <c r="W482" s="72"/>
      <c r="X482" s="66"/>
      <c r="Y482" s="80"/>
      <c r="Z482" s="80"/>
      <c r="AA482" s="153"/>
    </row>
    <row r="483" spans="17:27" x14ac:dyDescent="0.25">
      <c r="Q483" s="53"/>
      <c r="R483" s="53"/>
      <c r="S483" s="103"/>
      <c r="T483" s="103"/>
      <c r="U483" s="53"/>
      <c r="V483" s="66"/>
      <c r="W483" s="66"/>
      <c r="X483" s="66"/>
      <c r="Y483" s="80"/>
      <c r="Z483" s="80"/>
      <c r="AA483" s="153"/>
    </row>
    <row r="484" spans="17:27" x14ac:dyDescent="0.25">
      <c r="Q484" s="53"/>
      <c r="R484" s="68"/>
      <c r="S484" s="68"/>
      <c r="T484" s="68"/>
      <c r="U484" s="68"/>
      <c r="V484" s="72"/>
      <c r="W484" s="72"/>
      <c r="X484" s="66"/>
      <c r="Y484" s="80"/>
      <c r="Z484" s="80"/>
      <c r="AA484" s="153"/>
    </row>
    <row r="485" spans="17:27" x14ac:dyDescent="0.25">
      <c r="Q485" s="53"/>
      <c r="R485" s="68"/>
      <c r="S485" s="68"/>
      <c r="T485" s="68"/>
      <c r="U485" s="68"/>
      <c r="V485" s="72"/>
      <c r="W485" s="72"/>
      <c r="X485" s="66"/>
      <c r="Y485" s="80"/>
      <c r="Z485" s="80"/>
      <c r="AA485" s="153"/>
    </row>
    <row r="486" spans="17:27" x14ac:dyDescent="0.25">
      <c r="Q486" s="53"/>
      <c r="R486" s="68"/>
      <c r="S486" s="68"/>
      <c r="T486" s="68"/>
      <c r="U486" s="68"/>
      <c r="V486" s="72"/>
      <c r="W486" s="72"/>
      <c r="X486" s="66"/>
      <c r="Y486" s="80"/>
      <c r="Z486" s="80"/>
      <c r="AA486" s="153"/>
    </row>
    <row r="487" spans="17:27" x14ac:dyDescent="0.25">
      <c r="Q487" s="53"/>
      <c r="R487" s="68"/>
      <c r="S487" s="68"/>
      <c r="T487" s="68"/>
      <c r="U487" s="68"/>
      <c r="V487" s="72"/>
      <c r="W487" s="72"/>
      <c r="X487" s="66"/>
      <c r="Y487" s="80"/>
      <c r="Z487" s="80"/>
      <c r="AA487" s="153"/>
    </row>
    <row r="488" spans="17:27" x14ac:dyDescent="0.25">
      <c r="Q488" s="53"/>
      <c r="R488" s="68"/>
      <c r="S488" s="68"/>
      <c r="T488" s="68"/>
      <c r="U488" s="68"/>
      <c r="V488" s="72"/>
      <c r="W488" s="72"/>
      <c r="X488" s="66"/>
      <c r="Y488" s="80"/>
      <c r="Z488" s="80"/>
      <c r="AA488" s="153"/>
    </row>
    <row r="489" spans="17:27" x14ac:dyDescent="0.25">
      <c r="Q489" s="53"/>
      <c r="R489" s="68"/>
      <c r="S489" s="68"/>
      <c r="T489" s="68"/>
      <c r="U489" s="68"/>
      <c r="V489" s="72"/>
      <c r="W489" s="72"/>
      <c r="X489" s="66"/>
      <c r="Y489" s="80"/>
      <c r="Z489" s="80"/>
      <c r="AA489" s="153"/>
    </row>
    <row r="490" spans="17:27" x14ac:dyDescent="0.25">
      <c r="Q490" s="53"/>
      <c r="R490" s="68"/>
      <c r="S490" s="68"/>
      <c r="T490" s="68"/>
      <c r="U490" s="68"/>
      <c r="V490" s="72"/>
      <c r="W490" s="72"/>
      <c r="X490" s="66"/>
      <c r="Y490" s="80"/>
      <c r="Z490" s="80"/>
      <c r="AA490" s="153"/>
    </row>
    <row r="491" spans="17:27" x14ac:dyDescent="0.25">
      <c r="Q491" s="53"/>
      <c r="R491" s="68"/>
      <c r="S491" s="68"/>
      <c r="T491" s="68"/>
      <c r="U491" s="68"/>
      <c r="V491" s="72"/>
      <c r="W491" s="72"/>
      <c r="X491" s="66"/>
      <c r="Y491" s="80"/>
      <c r="Z491" s="80"/>
      <c r="AA491" s="153"/>
    </row>
    <row r="492" spans="17:27" x14ac:dyDescent="0.25">
      <c r="Q492" s="53"/>
      <c r="R492" s="68"/>
      <c r="S492" s="68"/>
      <c r="T492" s="68"/>
      <c r="U492" s="68"/>
      <c r="V492" s="72"/>
      <c r="W492" s="72"/>
      <c r="X492" s="66"/>
      <c r="Y492" s="80"/>
      <c r="Z492" s="80"/>
      <c r="AA492" s="153"/>
    </row>
    <row r="493" spans="17:27" x14ac:dyDescent="0.25">
      <c r="Q493" s="53"/>
      <c r="R493" s="68"/>
      <c r="S493" s="68"/>
      <c r="T493" s="68"/>
      <c r="U493" s="68"/>
      <c r="V493" s="72"/>
      <c r="W493" s="72"/>
      <c r="X493" s="66"/>
      <c r="Y493" s="80"/>
      <c r="Z493" s="80"/>
      <c r="AA493" s="153"/>
    </row>
    <row r="494" spans="17:27" x14ac:dyDescent="0.25">
      <c r="Q494" s="53"/>
      <c r="R494" s="68"/>
      <c r="S494" s="68"/>
      <c r="T494" s="68"/>
      <c r="U494" s="68"/>
      <c r="V494" s="72"/>
      <c r="W494" s="72"/>
      <c r="X494" s="66"/>
      <c r="Y494" s="80"/>
      <c r="Z494" s="80"/>
      <c r="AA494" s="153"/>
    </row>
    <row r="495" spans="17:27" x14ac:dyDescent="0.25">
      <c r="Q495" s="53"/>
      <c r="R495" s="68"/>
      <c r="S495" s="68"/>
      <c r="T495" s="68"/>
      <c r="U495" s="68"/>
      <c r="V495" s="72"/>
      <c r="W495" s="72"/>
      <c r="X495" s="66"/>
      <c r="Y495" s="80"/>
      <c r="Z495" s="80"/>
      <c r="AA495" s="153"/>
    </row>
    <row r="496" spans="17:27" x14ac:dyDescent="0.25">
      <c r="Q496" s="53"/>
      <c r="R496" s="68"/>
      <c r="S496" s="68"/>
      <c r="T496" s="68"/>
      <c r="U496" s="68"/>
      <c r="V496" s="72"/>
      <c r="W496" s="72"/>
      <c r="X496" s="66"/>
      <c r="Y496" s="80"/>
      <c r="Z496" s="80"/>
      <c r="AA496" s="153"/>
    </row>
    <row r="497" spans="17:27" x14ac:dyDescent="0.25">
      <c r="Q497" s="53"/>
      <c r="R497" s="68"/>
      <c r="S497" s="68"/>
      <c r="T497" s="68"/>
      <c r="U497" s="68"/>
      <c r="V497" s="72"/>
      <c r="W497" s="72"/>
      <c r="X497" s="66"/>
      <c r="Y497" s="80"/>
      <c r="Z497" s="80"/>
      <c r="AA497" s="153"/>
    </row>
    <row r="498" spans="17:27" x14ac:dyDescent="0.25">
      <c r="Q498" s="53"/>
      <c r="R498" s="68"/>
      <c r="S498" s="68"/>
      <c r="T498" s="68"/>
      <c r="U498" s="68"/>
      <c r="V498" s="72"/>
      <c r="W498" s="72"/>
      <c r="X498" s="66"/>
      <c r="Y498" s="80"/>
      <c r="Z498" s="80"/>
      <c r="AA498" s="153"/>
    </row>
    <row r="499" spans="17:27" x14ac:dyDescent="0.25">
      <c r="Q499" s="53"/>
      <c r="R499" s="68"/>
      <c r="S499" s="68"/>
      <c r="T499" s="68"/>
      <c r="U499" s="68"/>
      <c r="V499" s="72"/>
      <c r="W499" s="72"/>
      <c r="X499" s="66"/>
      <c r="Y499" s="80"/>
      <c r="Z499" s="80"/>
      <c r="AA499" s="153"/>
    </row>
    <row r="500" spans="17:27" x14ac:dyDescent="0.25">
      <c r="Q500" s="53"/>
      <c r="R500" s="68"/>
      <c r="S500" s="68"/>
      <c r="T500" s="68"/>
      <c r="U500" s="68"/>
      <c r="V500" s="72"/>
      <c r="W500" s="72"/>
      <c r="X500" s="66"/>
      <c r="Y500" s="80"/>
      <c r="Z500" s="80"/>
      <c r="AA500" s="153"/>
    </row>
    <row r="501" spans="17:27" x14ac:dyDescent="0.25">
      <c r="Q501" s="53"/>
      <c r="R501" s="53"/>
      <c r="S501" s="103"/>
      <c r="T501" s="103"/>
      <c r="U501" s="53"/>
      <c r="V501" s="66"/>
      <c r="W501" s="66"/>
      <c r="X501" s="66"/>
      <c r="Y501" s="80"/>
      <c r="Z501" s="80"/>
      <c r="AA501" s="153"/>
    </row>
    <row r="502" spans="17:27" x14ac:dyDescent="0.25">
      <c r="Q502" s="53"/>
      <c r="R502" s="68"/>
      <c r="S502" s="68"/>
      <c r="T502" s="68"/>
      <c r="U502" s="68"/>
      <c r="V502" s="72"/>
      <c r="W502" s="72"/>
      <c r="X502" s="66"/>
      <c r="Y502" s="80"/>
      <c r="Z502" s="80"/>
      <c r="AA502" s="153"/>
    </row>
    <row r="503" spans="17:27" x14ac:dyDescent="0.25">
      <c r="Q503" s="53"/>
      <c r="R503" s="68"/>
      <c r="S503" s="68"/>
      <c r="T503" s="68"/>
      <c r="U503" s="68"/>
      <c r="V503" s="72"/>
      <c r="W503" s="72"/>
      <c r="X503" s="66"/>
      <c r="Y503" s="80"/>
      <c r="Z503" s="80"/>
      <c r="AA503" s="153"/>
    </row>
    <row r="504" spans="17:27" x14ac:dyDescent="0.25">
      <c r="Q504" s="53"/>
      <c r="R504" s="68"/>
      <c r="S504" s="68"/>
      <c r="T504" s="68"/>
      <c r="U504" s="68"/>
      <c r="V504" s="72"/>
      <c r="W504" s="72"/>
      <c r="X504" s="66"/>
      <c r="Y504" s="80"/>
      <c r="Z504" s="80"/>
      <c r="AA504" s="153"/>
    </row>
    <row r="505" spans="17:27" x14ac:dyDescent="0.25">
      <c r="Q505" s="53"/>
      <c r="R505" s="68"/>
      <c r="S505" s="68"/>
      <c r="T505" s="68"/>
      <c r="U505" s="68"/>
      <c r="V505" s="72"/>
      <c r="W505" s="72"/>
      <c r="X505" s="66"/>
      <c r="Y505" s="80"/>
      <c r="Z505" s="80"/>
      <c r="AA505" s="153"/>
    </row>
    <row r="506" spans="17:27" x14ac:dyDescent="0.25">
      <c r="Q506" s="53"/>
      <c r="R506" s="68"/>
      <c r="S506" s="68"/>
      <c r="T506" s="68"/>
      <c r="U506" s="68"/>
      <c r="V506" s="72"/>
      <c r="W506" s="72"/>
      <c r="X506" s="66"/>
      <c r="Y506" s="80"/>
      <c r="Z506" s="80"/>
      <c r="AA506" s="153"/>
    </row>
    <row r="507" spans="17:27" x14ac:dyDescent="0.25">
      <c r="Q507" s="53"/>
      <c r="R507" s="68"/>
      <c r="S507" s="68"/>
      <c r="T507" s="68"/>
      <c r="U507" s="68"/>
      <c r="V507" s="72"/>
      <c r="W507" s="72"/>
      <c r="X507" s="66"/>
      <c r="Y507" s="80"/>
      <c r="Z507" s="80"/>
      <c r="AA507" s="153"/>
    </row>
    <row r="508" spans="17:27" x14ac:dyDescent="0.25">
      <c r="Q508" s="53"/>
      <c r="R508" s="68"/>
      <c r="S508" s="68"/>
      <c r="T508" s="68"/>
      <c r="U508" s="68"/>
      <c r="V508" s="72"/>
      <c r="W508" s="72"/>
      <c r="X508" s="66"/>
      <c r="Y508" s="80"/>
      <c r="Z508" s="80"/>
      <c r="AA508" s="153"/>
    </row>
    <row r="509" spans="17:27" x14ac:dyDescent="0.25">
      <c r="Q509" s="53"/>
      <c r="R509" s="68"/>
      <c r="S509" s="68"/>
      <c r="T509" s="68"/>
      <c r="U509" s="68"/>
      <c r="V509" s="72"/>
      <c r="W509" s="72"/>
      <c r="X509" s="66"/>
      <c r="Y509" s="80"/>
      <c r="Z509" s="80"/>
      <c r="AA509" s="153"/>
    </row>
    <row r="510" spans="17:27" x14ac:dyDescent="0.25">
      <c r="Q510" s="53"/>
      <c r="R510" s="68"/>
      <c r="S510" s="68"/>
      <c r="T510" s="68"/>
      <c r="U510" s="68"/>
      <c r="V510" s="72"/>
      <c r="W510" s="72"/>
      <c r="X510" s="66"/>
      <c r="Y510" s="80"/>
      <c r="Z510" s="80"/>
      <c r="AA510" s="153"/>
    </row>
    <row r="511" spans="17:27" x14ac:dyDescent="0.25">
      <c r="Q511" s="53"/>
      <c r="R511" s="68"/>
      <c r="S511" s="68"/>
      <c r="T511" s="68"/>
      <c r="U511" s="68"/>
      <c r="V511" s="72"/>
      <c r="W511" s="72"/>
      <c r="X511" s="66"/>
      <c r="Y511" s="80"/>
      <c r="Z511" s="80"/>
      <c r="AA511" s="153"/>
    </row>
    <row r="512" spans="17:27" x14ac:dyDescent="0.25">
      <c r="Q512" s="53"/>
      <c r="R512" s="68"/>
      <c r="S512" s="68"/>
      <c r="T512" s="68"/>
      <c r="U512" s="68"/>
      <c r="V512" s="72"/>
      <c r="W512" s="72"/>
      <c r="X512" s="66"/>
      <c r="Y512" s="80"/>
      <c r="Z512" s="80"/>
      <c r="AA512" s="153"/>
    </row>
    <row r="513" spans="17:27" x14ac:dyDescent="0.25">
      <c r="Q513" s="53"/>
      <c r="R513" s="68"/>
      <c r="S513" s="68"/>
      <c r="T513" s="68"/>
      <c r="U513" s="68"/>
      <c r="V513" s="72"/>
      <c r="W513" s="72"/>
      <c r="X513" s="66"/>
      <c r="Y513" s="80"/>
      <c r="Z513" s="80"/>
      <c r="AA513" s="153"/>
    </row>
    <row r="514" spans="17:27" x14ac:dyDescent="0.25">
      <c r="Q514" s="53"/>
      <c r="R514" s="68"/>
      <c r="S514" s="68"/>
      <c r="T514" s="68"/>
      <c r="U514" s="68"/>
      <c r="V514" s="72"/>
      <c r="W514" s="72"/>
      <c r="X514" s="66"/>
      <c r="Y514" s="80"/>
      <c r="Z514" s="80"/>
      <c r="AA514" s="153"/>
    </row>
    <row r="515" spans="17:27" x14ac:dyDescent="0.25">
      <c r="Q515" s="53"/>
      <c r="R515" s="68"/>
      <c r="S515" s="68"/>
      <c r="T515" s="68"/>
      <c r="U515" s="68"/>
      <c r="V515" s="72"/>
      <c r="W515" s="72"/>
      <c r="X515" s="66"/>
      <c r="Y515" s="80"/>
      <c r="Z515" s="80"/>
      <c r="AA515" s="153"/>
    </row>
    <row r="516" spans="17:27" x14ac:dyDescent="0.25">
      <c r="Q516" s="53"/>
      <c r="R516" s="68"/>
      <c r="S516" s="68"/>
      <c r="T516" s="68"/>
      <c r="U516" s="68"/>
      <c r="V516" s="72"/>
      <c r="W516" s="72"/>
      <c r="X516" s="66"/>
      <c r="Y516" s="80"/>
      <c r="Z516" s="80"/>
      <c r="AA516" s="153"/>
    </row>
    <row r="517" spans="17:27" x14ac:dyDescent="0.25">
      <c r="Q517" s="53"/>
      <c r="R517" s="68"/>
      <c r="S517" s="68"/>
      <c r="T517" s="68"/>
      <c r="U517" s="68"/>
      <c r="V517" s="72"/>
      <c r="W517" s="72"/>
      <c r="X517" s="66"/>
      <c r="Y517" s="80"/>
      <c r="Z517" s="80"/>
      <c r="AA517" s="153"/>
    </row>
    <row r="518" spans="17:27" x14ac:dyDescent="0.25">
      <c r="Q518" s="53"/>
      <c r="R518" s="68"/>
      <c r="S518" s="68"/>
      <c r="T518" s="68"/>
      <c r="U518" s="68"/>
      <c r="V518" s="72"/>
      <c r="W518" s="72"/>
      <c r="X518" s="66"/>
      <c r="Y518" s="80"/>
      <c r="Z518" s="80"/>
      <c r="AA518" s="153"/>
    </row>
    <row r="519" spans="17:27" x14ac:dyDescent="0.25">
      <c r="Q519" s="53"/>
      <c r="R519" s="68"/>
      <c r="S519" s="68"/>
      <c r="T519" s="68"/>
      <c r="U519" s="68"/>
      <c r="V519" s="72"/>
      <c r="W519" s="72"/>
      <c r="X519" s="66"/>
      <c r="Y519" s="80"/>
      <c r="Z519" s="80"/>
      <c r="AA519" s="153"/>
    </row>
    <row r="520" spans="17:27" x14ac:dyDescent="0.25">
      <c r="Q520" s="53"/>
      <c r="R520" s="68"/>
      <c r="S520" s="68"/>
      <c r="T520" s="68"/>
      <c r="U520" s="68"/>
      <c r="V520" s="72"/>
      <c r="W520" s="72"/>
      <c r="X520" s="66"/>
      <c r="Y520" s="80"/>
      <c r="Z520" s="80"/>
      <c r="AA520" s="153"/>
    </row>
    <row r="521" spans="17:27" x14ac:dyDescent="0.25">
      <c r="Q521" s="53"/>
      <c r="R521" s="68"/>
      <c r="S521" s="68"/>
      <c r="T521" s="68"/>
      <c r="U521" s="68"/>
      <c r="V521" s="72"/>
      <c r="W521" s="72"/>
      <c r="X521" s="66"/>
      <c r="Y521" s="80"/>
      <c r="Z521" s="80"/>
      <c r="AA521" s="153"/>
    </row>
    <row r="522" spans="17:27" x14ac:dyDescent="0.25">
      <c r="Q522" s="53"/>
      <c r="R522" s="68"/>
      <c r="S522" s="68"/>
      <c r="T522" s="68"/>
      <c r="U522" s="68"/>
      <c r="V522" s="72"/>
      <c r="W522" s="72"/>
      <c r="X522" s="66"/>
      <c r="Y522" s="80"/>
      <c r="Z522" s="80"/>
      <c r="AA522" s="153"/>
    </row>
    <row r="523" spans="17:27" x14ac:dyDescent="0.25">
      <c r="Q523" s="53"/>
      <c r="R523" s="68"/>
      <c r="S523" s="68"/>
      <c r="T523" s="68"/>
      <c r="U523" s="68"/>
      <c r="V523" s="72"/>
      <c r="W523" s="72"/>
      <c r="X523" s="66"/>
      <c r="Y523" s="80"/>
      <c r="Z523" s="80"/>
      <c r="AA523" s="153"/>
    </row>
    <row r="524" spans="17:27" x14ac:dyDescent="0.25">
      <c r="Q524" s="53"/>
      <c r="R524" s="68"/>
      <c r="S524" s="68"/>
      <c r="T524" s="68"/>
      <c r="U524" s="68"/>
      <c r="V524" s="72"/>
      <c r="W524" s="72"/>
      <c r="X524" s="66"/>
      <c r="Y524" s="80"/>
      <c r="Z524" s="80"/>
      <c r="AA524" s="153"/>
    </row>
    <row r="525" spans="17:27" x14ac:dyDescent="0.25">
      <c r="Q525" s="53"/>
      <c r="R525" s="68"/>
      <c r="S525" s="68"/>
      <c r="T525" s="68"/>
      <c r="U525" s="68"/>
      <c r="V525" s="72"/>
      <c r="W525" s="72"/>
      <c r="X525" s="66"/>
      <c r="Y525" s="80"/>
      <c r="Z525" s="80"/>
      <c r="AA525" s="153"/>
    </row>
    <row r="526" spans="17:27" x14ac:dyDescent="0.25">
      <c r="Q526" s="53"/>
      <c r="R526" s="68"/>
      <c r="S526" s="68"/>
      <c r="T526" s="68"/>
      <c r="U526" s="68"/>
      <c r="V526" s="72"/>
      <c r="W526" s="72"/>
      <c r="X526" s="66"/>
      <c r="Y526" s="80"/>
      <c r="Z526" s="80"/>
      <c r="AA526" s="153"/>
    </row>
    <row r="527" spans="17:27" x14ac:dyDescent="0.25">
      <c r="Q527" s="53"/>
      <c r="R527" s="68"/>
      <c r="S527" s="68"/>
      <c r="T527" s="68"/>
      <c r="U527" s="68"/>
      <c r="V527" s="72"/>
      <c r="W527" s="72"/>
      <c r="X527" s="66"/>
      <c r="Y527" s="80"/>
      <c r="Z527" s="80"/>
      <c r="AA527" s="153"/>
    </row>
    <row r="528" spans="17:27" x14ac:dyDescent="0.25">
      <c r="Q528" s="53"/>
      <c r="R528" s="68"/>
      <c r="S528" s="68"/>
      <c r="T528" s="68"/>
      <c r="U528" s="68"/>
      <c r="V528" s="72"/>
      <c r="W528" s="72"/>
      <c r="X528" s="66"/>
      <c r="Y528" s="80"/>
      <c r="Z528" s="80"/>
      <c r="AA528" s="153"/>
    </row>
    <row r="529" spans="17:27" x14ac:dyDescent="0.25">
      <c r="Q529" s="53"/>
      <c r="R529" s="68"/>
      <c r="S529" s="68"/>
      <c r="T529" s="68"/>
      <c r="U529" s="68"/>
      <c r="V529" s="72"/>
      <c r="W529" s="72"/>
      <c r="X529" s="66"/>
      <c r="Y529" s="80"/>
      <c r="Z529" s="80"/>
      <c r="AA529" s="153"/>
    </row>
    <row r="530" spans="17:27" x14ac:dyDescent="0.25">
      <c r="Q530" s="53"/>
      <c r="R530" s="68"/>
      <c r="S530" s="68"/>
      <c r="T530" s="68"/>
      <c r="U530" s="68"/>
      <c r="V530" s="72"/>
      <c r="W530" s="72"/>
      <c r="X530" s="66"/>
      <c r="Y530" s="80"/>
      <c r="Z530" s="80"/>
      <c r="AA530" s="153"/>
    </row>
    <row r="531" spans="17:27" x14ac:dyDescent="0.25">
      <c r="Q531" s="53"/>
      <c r="R531" s="68"/>
      <c r="S531" s="68"/>
      <c r="T531" s="68"/>
      <c r="U531" s="68"/>
      <c r="V531" s="72"/>
      <c r="W531" s="72"/>
      <c r="X531" s="66"/>
      <c r="Y531" s="80"/>
      <c r="Z531" s="80"/>
      <c r="AA531" s="153"/>
    </row>
    <row r="532" spans="17:27" x14ac:dyDescent="0.25">
      <c r="Q532" s="53"/>
      <c r="R532" s="68"/>
      <c r="S532" s="68"/>
      <c r="T532" s="68"/>
      <c r="U532" s="68"/>
      <c r="V532" s="72"/>
      <c r="W532" s="72"/>
      <c r="X532" s="66"/>
      <c r="Y532" s="80"/>
      <c r="Z532" s="80"/>
      <c r="AA532" s="153"/>
    </row>
    <row r="533" spans="17:27" x14ac:dyDescent="0.25">
      <c r="Q533" s="53"/>
      <c r="R533" s="68"/>
      <c r="S533" s="68"/>
      <c r="T533" s="68"/>
      <c r="U533" s="68"/>
      <c r="V533" s="72"/>
      <c r="W533" s="72"/>
      <c r="X533" s="66"/>
      <c r="Y533" s="80"/>
      <c r="Z533" s="80"/>
      <c r="AA533" s="153"/>
    </row>
    <row r="534" spans="17:27" x14ac:dyDescent="0.25">
      <c r="Q534" s="53"/>
      <c r="R534" s="68"/>
      <c r="S534" s="68"/>
      <c r="T534" s="68"/>
      <c r="U534" s="68"/>
      <c r="V534" s="72"/>
      <c r="W534" s="72"/>
      <c r="X534" s="66"/>
      <c r="Y534" s="80"/>
      <c r="Z534" s="80"/>
      <c r="AA534" s="153"/>
    </row>
    <row r="535" spans="17:27" x14ac:dyDescent="0.25">
      <c r="Q535" s="53"/>
      <c r="R535" s="68"/>
      <c r="S535" s="68"/>
      <c r="T535" s="68"/>
      <c r="U535" s="68"/>
      <c r="V535" s="72"/>
      <c r="W535" s="72"/>
      <c r="X535" s="66"/>
      <c r="Y535" s="80"/>
      <c r="Z535" s="80"/>
      <c r="AA535" s="153"/>
    </row>
    <row r="536" spans="17:27" x14ac:dyDescent="0.25">
      <c r="Q536" s="53"/>
      <c r="R536" s="68"/>
      <c r="S536" s="68"/>
      <c r="T536" s="68"/>
      <c r="U536" s="68"/>
      <c r="V536" s="72"/>
      <c r="W536" s="72"/>
      <c r="X536" s="66"/>
      <c r="Y536" s="80"/>
      <c r="Z536" s="80"/>
      <c r="AA536" s="153"/>
    </row>
    <row r="537" spans="17:27" x14ac:dyDescent="0.25">
      <c r="Q537" s="53"/>
      <c r="R537" s="68"/>
      <c r="S537" s="68"/>
      <c r="T537" s="68"/>
      <c r="U537" s="68"/>
      <c r="V537" s="72"/>
      <c r="W537" s="72"/>
      <c r="X537" s="66"/>
      <c r="Y537" s="80"/>
      <c r="Z537" s="80"/>
      <c r="AA537" s="153"/>
    </row>
    <row r="538" spans="17:27" x14ac:dyDescent="0.25">
      <c r="Q538" s="53"/>
      <c r="R538" s="68"/>
      <c r="S538" s="68"/>
      <c r="T538" s="68"/>
      <c r="U538" s="68"/>
      <c r="V538" s="72"/>
      <c r="W538" s="72"/>
      <c r="X538" s="66"/>
      <c r="Y538" s="80"/>
      <c r="Z538" s="80"/>
      <c r="AA538" s="153"/>
    </row>
    <row r="539" spans="17:27" x14ac:dyDescent="0.25">
      <c r="Q539" s="53"/>
      <c r="R539" s="68"/>
      <c r="S539" s="68"/>
      <c r="T539" s="68"/>
      <c r="U539" s="68"/>
      <c r="V539" s="72"/>
      <c r="W539" s="72"/>
      <c r="X539" s="66"/>
      <c r="Y539" s="80"/>
      <c r="Z539" s="80"/>
      <c r="AA539" s="153"/>
    </row>
    <row r="540" spans="17:27" x14ac:dyDescent="0.25">
      <c r="Q540" s="53"/>
      <c r="R540" s="68"/>
      <c r="S540" s="68"/>
      <c r="T540" s="68"/>
      <c r="U540" s="68"/>
      <c r="V540" s="72"/>
      <c r="W540" s="72"/>
      <c r="X540" s="66"/>
      <c r="Y540" s="80"/>
      <c r="Z540" s="80"/>
      <c r="AA540" s="153"/>
    </row>
    <row r="541" spans="17:27" x14ac:dyDescent="0.25">
      <c r="Q541" s="53"/>
      <c r="R541" s="68"/>
      <c r="S541" s="68"/>
      <c r="T541" s="68"/>
      <c r="U541" s="68"/>
      <c r="V541" s="72"/>
      <c r="W541" s="72"/>
      <c r="X541" s="66"/>
      <c r="Y541" s="80"/>
      <c r="Z541" s="80"/>
      <c r="AA541" s="153"/>
    </row>
    <row r="542" spans="17:27" x14ac:dyDescent="0.25">
      <c r="Q542" s="53"/>
      <c r="R542" s="68"/>
      <c r="S542" s="68"/>
      <c r="T542" s="68"/>
      <c r="U542" s="68"/>
      <c r="V542" s="72"/>
      <c r="W542" s="72"/>
      <c r="X542" s="66"/>
      <c r="Y542" s="80"/>
      <c r="Z542" s="80"/>
      <c r="AA542" s="153"/>
    </row>
    <row r="543" spans="17:27" x14ac:dyDescent="0.25">
      <c r="Q543" s="53"/>
      <c r="R543" s="68"/>
      <c r="S543" s="68"/>
      <c r="T543" s="68"/>
      <c r="U543" s="68"/>
      <c r="V543" s="72"/>
      <c r="W543" s="72"/>
      <c r="X543" s="66"/>
      <c r="Y543" s="80"/>
      <c r="Z543" s="80"/>
      <c r="AA543" s="153"/>
    </row>
    <row r="544" spans="17:27" x14ac:dyDescent="0.25">
      <c r="Q544" s="53"/>
      <c r="R544" s="68"/>
      <c r="S544" s="68"/>
      <c r="T544" s="68"/>
      <c r="U544" s="68"/>
      <c r="V544" s="72"/>
      <c r="W544" s="72"/>
      <c r="X544" s="66"/>
      <c r="Y544" s="80"/>
      <c r="Z544" s="80"/>
      <c r="AA544" s="153"/>
    </row>
    <row r="545" spans="17:27" x14ac:dyDescent="0.25">
      <c r="Q545" s="53"/>
      <c r="R545" s="68"/>
      <c r="S545" s="68"/>
      <c r="T545" s="68"/>
      <c r="U545" s="68"/>
      <c r="V545" s="72"/>
      <c r="W545" s="72"/>
      <c r="X545" s="66"/>
      <c r="Y545" s="80"/>
      <c r="Z545" s="80"/>
      <c r="AA545" s="153"/>
    </row>
    <row r="546" spans="17:27" x14ac:dyDescent="0.25">
      <c r="Q546" s="53"/>
      <c r="R546" s="68"/>
      <c r="S546" s="68"/>
      <c r="T546" s="68"/>
      <c r="U546" s="68"/>
      <c r="V546" s="72"/>
      <c r="W546" s="72"/>
      <c r="X546" s="66"/>
      <c r="Y546" s="80"/>
      <c r="Z546" s="80"/>
      <c r="AA546" s="153"/>
    </row>
    <row r="547" spans="17:27" x14ac:dyDescent="0.25">
      <c r="Q547" s="53"/>
      <c r="R547" s="68"/>
      <c r="S547" s="68"/>
      <c r="T547" s="68"/>
      <c r="U547" s="68"/>
      <c r="V547" s="72"/>
      <c r="W547" s="72"/>
      <c r="X547" s="66"/>
      <c r="Y547" s="80"/>
      <c r="Z547" s="80"/>
      <c r="AA547" s="153"/>
    </row>
    <row r="548" spans="17:27" x14ac:dyDescent="0.25">
      <c r="Q548" s="53"/>
      <c r="R548" s="68"/>
      <c r="S548" s="68"/>
      <c r="T548" s="68"/>
      <c r="U548" s="68"/>
      <c r="V548" s="72"/>
      <c r="W548" s="72"/>
      <c r="X548" s="66"/>
      <c r="Y548" s="80"/>
      <c r="Z548" s="80"/>
      <c r="AA548" s="153"/>
    </row>
    <row r="549" spans="17:27" x14ac:dyDescent="0.25">
      <c r="Q549" s="53"/>
      <c r="R549" s="68"/>
      <c r="S549" s="68"/>
      <c r="T549" s="68"/>
      <c r="U549" s="68"/>
      <c r="V549" s="72"/>
      <c r="W549" s="72"/>
      <c r="X549" s="66"/>
      <c r="Y549" s="80"/>
      <c r="Z549" s="80"/>
      <c r="AA549" s="153"/>
    </row>
    <row r="550" spans="17:27" x14ac:dyDescent="0.25">
      <c r="Q550" s="53"/>
      <c r="R550" s="68"/>
      <c r="S550" s="68"/>
      <c r="T550" s="68"/>
      <c r="U550" s="68"/>
      <c r="V550" s="72"/>
      <c r="W550" s="72"/>
      <c r="X550" s="66"/>
      <c r="Y550" s="80"/>
      <c r="Z550" s="80"/>
      <c r="AA550" s="153"/>
    </row>
    <row r="551" spans="17:27" x14ac:dyDescent="0.25">
      <c r="Q551" s="53"/>
      <c r="R551" s="68"/>
      <c r="S551" s="68"/>
      <c r="T551" s="68"/>
      <c r="U551" s="68"/>
      <c r="V551" s="72"/>
      <c r="W551" s="72"/>
      <c r="X551" s="66"/>
      <c r="Y551" s="80"/>
      <c r="Z551" s="80"/>
      <c r="AA551" s="153"/>
    </row>
    <row r="552" spans="17:27" x14ac:dyDescent="0.25">
      <c r="Q552" s="53"/>
      <c r="R552" s="68"/>
      <c r="S552" s="68"/>
      <c r="T552" s="68"/>
      <c r="U552" s="68"/>
      <c r="V552" s="72"/>
      <c r="W552" s="72"/>
      <c r="X552" s="66"/>
      <c r="Y552" s="80"/>
      <c r="Z552" s="80"/>
      <c r="AA552" s="153"/>
    </row>
    <row r="553" spans="17:27" x14ac:dyDescent="0.25">
      <c r="Q553" s="53"/>
      <c r="R553" s="68"/>
      <c r="S553" s="68"/>
      <c r="T553" s="68"/>
      <c r="U553" s="68"/>
      <c r="V553" s="72"/>
      <c r="W553" s="72"/>
      <c r="X553" s="66"/>
      <c r="Y553" s="80"/>
      <c r="Z553" s="80"/>
      <c r="AA553" s="153"/>
    </row>
    <row r="554" spans="17:27" x14ac:dyDescent="0.25">
      <c r="Q554" s="53"/>
      <c r="R554" s="68"/>
      <c r="S554" s="68"/>
      <c r="T554" s="68"/>
      <c r="U554" s="68"/>
      <c r="V554" s="72"/>
      <c r="W554" s="72"/>
      <c r="X554" s="66"/>
      <c r="Y554" s="80"/>
      <c r="Z554" s="80"/>
      <c r="AA554" s="153"/>
    </row>
    <row r="555" spans="17:27" x14ac:dyDescent="0.25">
      <c r="Q555" s="53"/>
      <c r="R555" s="68"/>
      <c r="S555" s="68"/>
      <c r="T555" s="68"/>
      <c r="U555" s="68"/>
      <c r="V555" s="72"/>
      <c r="W555" s="72"/>
      <c r="X555" s="66"/>
      <c r="Y555" s="80"/>
      <c r="Z555" s="80"/>
      <c r="AA555" s="153"/>
    </row>
    <row r="556" spans="17:27" x14ac:dyDescent="0.25">
      <c r="Q556" s="53"/>
      <c r="R556" s="68"/>
      <c r="S556" s="68"/>
      <c r="T556" s="68"/>
      <c r="U556" s="68"/>
      <c r="V556" s="72"/>
      <c r="W556" s="72"/>
      <c r="X556" s="66"/>
      <c r="Y556" s="80"/>
      <c r="Z556" s="80"/>
      <c r="AA556" s="153"/>
    </row>
    <row r="557" spans="17:27" x14ac:dyDescent="0.25">
      <c r="Q557" s="53"/>
      <c r="R557" s="68"/>
      <c r="S557" s="68"/>
      <c r="T557" s="68"/>
      <c r="U557" s="68"/>
      <c r="V557" s="72"/>
      <c r="W557" s="72"/>
      <c r="X557" s="66"/>
      <c r="Y557" s="80"/>
      <c r="Z557" s="80"/>
      <c r="AA557" s="153"/>
    </row>
    <row r="558" spans="17:27" x14ac:dyDescent="0.25">
      <c r="Q558" s="53"/>
      <c r="R558" s="68"/>
      <c r="S558" s="68"/>
      <c r="T558" s="68"/>
      <c r="U558" s="68"/>
      <c r="V558" s="72"/>
      <c r="W558" s="72"/>
      <c r="X558" s="66"/>
      <c r="Y558" s="80"/>
      <c r="Z558" s="80"/>
      <c r="AA558" s="153"/>
    </row>
    <row r="559" spans="17:27" x14ac:dyDescent="0.25">
      <c r="Q559" s="53"/>
      <c r="R559" s="68"/>
      <c r="S559" s="68"/>
      <c r="T559" s="68"/>
      <c r="U559" s="68"/>
      <c r="V559" s="72"/>
      <c r="W559" s="72"/>
      <c r="X559" s="66"/>
      <c r="Y559" s="80"/>
      <c r="Z559" s="80"/>
      <c r="AA559" s="153"/>
    </row>
    <row r="560" spans="17:27" x14ac:dyDescent="0.25">
      <c r="Q560" s="53"/>
      <c r="R560" s="68"/>
      <c r="S560" s="68"/>
      <c r="T560" s="68"/>
      <c r="U560" s="68"/>
      <c r="V560" s="72"/>
      <c r="W560" s="72"/>
      <c r="X560" s="66"/>
      <c r="Y560" s="80"/>
      <c r="Z560" s="80"/>
      <c r="AA560" s="153"/>
    </row>
    <row r="561" spans="17:27" x14ac:dyDescent="0.25">
      <c r="Q561" s="53"/>
      <c r="R561" s="68"/>
      <c r="S561" s="68"/>
      <c r="T561" s="68"/>
      <c r="U561" s="68"/>
      <c r="V561" s="72"/>
      <c r="W561" s="72"/>
      <c r="X561" s="66"/>
      <c r="Y561" s="80"/>
      <c r="Z561" s="80"/>
      <c r="AA561" s="153"/>
    </row>
    <row r="562" spans="17:27" x14ac:dyDescent="0.25">
      <c r="Q562" s="53"/>
      <c r="R562" s="68"/>
      <c r="S562" s="68"/>
      <c r="T562" s="68"/>
      <c r="U562" s="68"/>
      <c r="V562" s="72"/>
      <c r="W562" s="72"/>
      <c r="X562" s="66"/>
      <c r="Y562" s="80"/>
      <c r="Z562" s="80"/>
      <c r="AA562" s="153"/>
    </row>
    <row r="563" spans="17:27" x14ac:dyDescent="0.25">
      <c r="Q563" s="53"/>
      <c r="R563" s="68"/>
      <c r="S563" s="68"/>
      <c r="T563" s="68"/>
      <c r="U563" s="68"/>
      <c r="V563" s="72"/>
      <c r="W563" s="72"/>
      <c r="X563" s="66"/>
      <c r="Y563" s="80"/>
      <c r="Z563" s="80"/>
      <c r="AA563" s="153"/>
    </row>
    <row r="564" spans="17:27" x14ac:dyDescent="0.25">
      <c r="Q564" s="53"/>
      <c r="R564" s="68"/>
      <c r="S564" s="68"/>
      <c r="T564" s="68"/>
      <c r="U564" s="68"/>
      <c r="V564" s="72"/>
      <c r="W564" s="72"/>
      <c r="X564" s="66"/>
      <c r="Y564" s="80"/>
      <c r="Z564" s="80"/>
      <c r="AA564" s="153"/>
    </row>
    <row r="565" spans="17:27" x14ac:dyDescent="0.25">
      <c r="Q565" s="53"/>
      <c r="R565" s="68"/>
      <c r="S565" s="68"/>
      <c r="T565" s="68"/>
      <c r="U565" s="68"/>
      <c r="V565" s="72"/>
      <c r="W565" s="72"/>
      <c r="X565" s="66"/>
      <c r="Y565" s="80"/>
      <c r="Z565" s="80"/>
      <c r="AA565" s="153"/>
    </row>
    <row r="566" spans="17:27" x14ac:dyDescent="0.25">
      <c r="Q566" s="53"/>
      <c r="R566" s="68"/>
      <c r="S566" s="68"/>
      <c r="T566" s="68"/>
      <c r="U566" s="68"/>
      <c r="V566" s="72"/>
      <c r="W566" s="72"/>
      <c r="X566" s="66"/>
      <c r="Y566" s="80"/>
      <c r="Z566" s="80"/>
      <c r="AA566" s="153"/>
    </row>
    <row r="567" spans="17:27" x14ac:dyDescent="0.25">
      <c r="Q567" s="53"/>
      <c r="R567" s="68"/>
      <c r="S567" s="68"/>
      <c r="T567" s="68"/>
      <c r="U567" s="68"/>
      <c r="V567" s="72"/>
      <c r="W567" s="72"/>
      <c r="X567" s="66"/>
      <c r="Y567" s="80"/>
      <c r="Z567" s="80"/>
      <c r="AA567" s="153"/>
    </row>
    <row r="568" spans="17:27" x14ac:dyDescent="0.25">
      <c r="Q568" s="53"/>
      <c r="R568" s="68"/>
      <c r="S568" s="68"/>
      <c r="T568" s="68"/>
      <c r="U568" s="68"/>
      <c r="V568" s="72"/>
      <c r="W568" s="72"/>
      <c r="X568" s="66"/>
      <c r="Y568" s="80"/>
      <c r="Z568" s="80"/>
      <c r="AA568" s="153"/>
    </row>
    <row r="569" spans="17:27" x14ac:dyDescent="0.25">
      <c r="Q569" s="53"/>
      <c r="R569" s="68"/>
      <c r="S569" s="68"/>
      <c r="T569" s="68"/>
      <c r="U569" s="68"/>
      <c r="V569" s="72"/>
      <c r="W569" s="72"/>
      <c r="X569" s="66"/>
      <c r="Y569" s="80"/>
      <c r="Z569" s="80"/>
      <c r="AA569" s="153"/>
    </row>
    <row r="570" spans="17:27" x14ac:dyDescent="0.25">
      <c r="Q570" s="53"/>
      <c r="R570" s="68"/>
      <c r="S570" s="68"/>
      <c r="T570" s="68"/>
      <c r="U570" s="68"/>
      <c r="V570" s="72"/>
      <c r="W570" s="72"/>
      <c r="X570" s="66"/>
      <c r="Y570" s="80"/>
      <c r="Z570" s="80"/>
      <c r="AA570" s="153"/>
    </row>
    <row r="571" spans="17:27" x14ac:dyDescent="0.25">
      <c r="Q571" s="53"/>
      <c r="R571" s="68"/>
      <c r="S571" s="68"/>
      <c r="T571" s="68"/>
      <c r="U571" s="68"/>
      <c r="V571" s="72"/>
      <c r="W571" s="72"/>
      <c r="X571" s="66"/>
      <c r="Y571" s="80"/>
      <c r="Z571" s="80"/>
      <c r="AA571" s="153"/>
    </row>
    <row r="572" spans="17:27" x14ac:dyDescent="0.25">
      <c r="Q572" s="53"/>
      <c r="R572" s="68"/>
      <c r="S572" s="68"/>
      <c r="T572" s="68"/>
      <c r="U572" s="68"/>
      <c r="V572" s="72"/>
      <c r="W572" s="72"/>
      <c r="X572" s="66"/>
      <c r="Y572" s="80"/>
      <c r="Z572" s="80"/>
      <c r="AA572" s="153"/>
    </row>
    <row r="573" spans="17:27" x14ac:dyDescent="0.25">
      <c r="Q573" s="53"/>
      <c r="R573" s="68"/>
      <c r="S573" s="68"/>
      <c r="T573" s="68"/>
      <c r="U573" s="68"/>
      <c r="V573" s="72"/>
      <c r="W573" s="72"/>
      <c r="X573" s="66"/>
      <c r="Y573" s="80"/>
      <c r="Z573" s="80"/>
      <c r="AA573" s="153"/>
    </row>
    <row r="574" spans="17:27" x14ac:dyDescent="0.25">
      <c r="Q574" s="53"/>
      <c r="R574" s="68"/>
      <c r="S574" s="68"/>
      <c r="T574" s="68"/>
      <c r="U574" s="68"/>
      <c r="V574" s="72"/>
      <c r="W574" s="72"/>
      <c r="X574" s="66"/>
      <c r="Y574" s="80"/>
      <c r="Z574" s="80"/>
      <c r="AA574" s="153"/>
    </row>
    <row r="575" spans="17:27" x14ac:dyDescent="0.25">
      <c r="Q575" s="53"/>
      <c r="R575" s="68"/>
      <c r="S575" s="68"/>
      <c r="T575" s="68"/>
      <c r="U575" s="68"/>
      <c r="V575" s="72"/>
      <c r="W575" s="72"/>
      <c r="X575" s="66"/>
      <c r="Y575" s="80"/>
      <c r="Z575" s="80"/>
      <c r="AA575" s="153"/>
    </row>
    <row r="576" spans="17:27" x14ac:dyDescent="0.25">
      <c r="Q576" s="53"/>
      <c r="R576" s="68"/>
      <c r="S576" s="68"/>
      <c r="T576" s="68"/>
      <c r="U576" s="68"/>
      <c r="V576" s="72"/>
      <c r="W576" s="72"/>
      <c r="X576" s="66"/>
      <c r="Y576" s="80"/>
      <c r="Z576" s="80"/>
      <c r="AA576" s="153"/>
    </row>
    <row r="577" spans="17:27" x14ac:dyDescent="0.25">
      <c r="Q577" s="53"/>
      <c r="R577" s="68"/>
      <c r="S577" s="68"/>
      <c r="T577" s="68"/>
      <c r="U577" s="68"/>
      <c r="V577" s="72"/>
      <c r="W577" s="72"/>
      <c r="X577" s="66"/>
      <c r="Y577" s="80"/>
      <c r="Z577" s="80"/>
      <c r="AA577" s="153"/>
    </row>
    <row r="578" spans="17:27" x14ac:dyDescent="0.25">
      <c r="Q578" s="53"/>
      <c r="R578" s="68"/>
      <c r="S578" s="68"/>
      <c r="T578" s="68"/>
      <c r="U578" s="68"/>
      <c r="V578" s="72"/>
      <c r="W578" s="72"/>
      <c r="X578" s="66"/>
      <c r="Y578" s="80"/>
      <c r="Z578" s="80"/>
      <c r="AA578" s="153"/>
    </row>
    <row r="579" spans="17:27" x14ac:dyDescent="0.25">
      <c r="Q579" s="53"/>
      <c r="R579" s="68"/>
      <c r="S579" s="68"/>
      <c r="T579" s="68"/>
      <c r="U579" s="68"/>
      <c r="V579" s="72"/>
      <c r="W579" s="72"/>
      <c r="X579" s="66"/>
      <c r="Y579" s="80"/>
      <c r="Z579" s="80"/>
      <c r="AA579" s="153"/>
    </row>
    <row r="580" spans="17:27" x14ac:dyDescent="0.25">
      <c r="Q580" s="53"/>
      <c r="R580" s="68"/>
      <c r="S580" s="68"/>
      <c r="T580" s="68"/>
      <c r="U580" s="68"/>
      <c r="V580" s="72"/>
      <c r="W580" s="72"/>
      <c r="X580" s="66"/>
      <c r="Y580" s="80"/>
      <c r="Z580" s="80"/>
      <c r="AA580" s="153"/>
    </row>
    <row r="581" spans="17:27" x14ac:dyDescent="0.25">
      <c r="Q581" s="53"/>
      <c r="R581" s="68"/>
      <c r="S581" s="68"/>
      <c r="T581" s="68"/>
      <c r="U581" s="68"/>
      <c r="V581" s="72"/>
      <c r="W581" s="72"/>
      <c r="X581" s="66"/>
      <c r="Y581" s="80"/>
      <c r="Z581" s="80"/>
      <c r="AA581" s="153"/>
    </row>
    <row r="582" spans="17:27" x14ac:dyDescent="0.25">
      <c r="Q582" s="53"/>
      <c r="R582" s="68"/>
      <c r="S582" s="68"/>
      <c r="T582" s="68"/>
      <c r="U582" s="68"/>
      <c r="V582" s="72"/>
      <c r="W582" s="72"/>
      <c r="X582" s="66"/>
      <c r="Y582" s="80"/>
      <c r="Z582" s="80"/>
      <c r="AA582" s="153"/>
    </row>
    <row r="583" spans="17:27" x14ac:dyDescent="0.25">
      <c r="Q583" s="53"/>
      <c r="R583" s="68"/>
      <c r="S583" s="68"/>
      <c r="T583" s="68"/>
      <c r="U583" s="68"/>
      <c r="V583" s="72"/>
      <c r="W583" s="72"/>
      <c r="X583" s="66"/>
      <c r="Y583" s="80"/>
      <c r="Z583" s="80"/>
      <c r="AA583" s="153"/>
    </row>
    <row r="584" spans="17:27" x14ac:dyDescent="0.25">
      <c r="Q584" s="53"/>
      <c r="R584" s="68"/>
      <c r="S584" s="68"/>
      <c r="T584" s="68"/>
      <c r="U584" s="68"/>
      <c r="V584" s="72"/>
      <c r="W584" s="72"/>
      <c r="X584" s="66"/>
      <c r="Y584" s="80"/>
      <c r="Z584" s="80"/>
      <c r="AA584" s="153"/>
    </row>
    <row r="585" spans="17:27" x14ac:dyDescent="0.25">
      <c r="Q585" s="53"/>
      <c r="R585" s="68"/>
      <c r="S585" s="68"/>
      <c r="T585" s="68"/>
      <c r="U585" s="68"/>
      <c r="V585" s="72"/>
      <c r="W585" s="72"/>
      <c r="X585" s="66"/>
      <c r="Y585" s="80"/>
      <c r="Z585" s="80"/>
      <c r="AA585" s="153"/>
    </row>
    <row r="586" spans="17:27" x14ac:dyDescent="0.25">
      <c r="Q586" s="53"/>
      <c r="R586" s="68"/>
      <c r="S586" s="68"/>
      <c r="T586" s="68"/>
      <c r="U586" s="68"/>
      <c r="V586" s="72"/>
      <c r="W586" s="72"/>
      <c r="X586" s="66"/>
      <c r="Y586" s="80"/>
      <c r="Z586" s="80"/>
      <c r="AA586" s="153"/>
    </row>
    <row r="587" spans="17:27" x14ac:dyDescent="0.25">
      <c r="Q587" s="53"/>
      <c r="R587" s="68"/>
      <c r="S587" s="68"/>
      <c r="T587" s="68"/>
      <c r="U587" s="68"/>
      <c r="V587" s="72"/>
      <c r="W587" s="72"/>
      <c r="X587" s="66"/>
      <c r="Y587" s="80"/>
      <c r="Z587" s="80"/>
      <c r="AA587" s="153"/>
    </row>
    <row r="588" spans="17:27" x14ac:dyDescent="0.25">
      <c r="Q588" s="53"/>
      <c r="R588" s="68"/>
      <c r="S588" s="68"/>
      <c r="T588" s="68"/>
      <c r="U588" s="68"/>
      <c r="V588" s="72"/>
      <c r="W588" s="72"/>
      <c r="X588" s="66"/>
      <c r="Y588" s="80"/>
      <c r="Z588" s="80"/>
      <c r="AA588" s="153"/>
    </row>
    <row r="589" spans="17:27" x14ac:dyDescent="0.25">
      <c r="Q589" s="53"/>
      <c r="R589" s="68"/>
      <c r="S589" s="68"/>
      <c r="T589" s="68"/>
      <c r="U589" s="68"/>
      <c r="V589" s="72"/>
      <c r="W589" s="72"/>
      <c r="X589" s="66"/>
      <c r="Y589" s="80"/>
      <c r="Z589" s="80"/>
      <c r="AA589" s="153"/>
    </row>
    <row r="590" spans="17:27" x14ac:dyDescent="0.25">
      <c r="Q590" s="53"/>
      <c r="R590" s="68"/>
      <c r="S590" s="68"/>
      <c r="T590" s="68"/>
      <c r="U590" s="68"/>
      <c r="V590" s="72"/>
      <c r="W590" s="72"/>
      <c r="X590" s="66"/>
      <c r="Y590" s="80"/>
      <c r="Z590" s="80"/>
      <c r="AA590" s="153"/>
    </row>
    <row r="591" spans="17:27" x14ac:dyDescent="0.25">
      <c r="Q591" s="53"/>
      <c r="R591" s="68"/>
      <c r="S591" s="68"/>
      <c r="T591" s="68"/>
      <c r="U591" s="68"/>
      <c r="V591" s="72"/>
      <c r="W591" s="72"/>
      <c r="X591" s="66"/>
      <c r="Y591" s="80"/>
      <c r="Z591" s="80"/>
      <c r="AA591" s="153"/>
    </row>
    <row r="592" spans="17:27" x14ac:dyDescent="0.25">
      <c r="Q592" s="53"/>
      <c r="R592" s="68"/>
      <c r="S592" s="68"/>
      <c r="T592" s="68"/>
      <c r="U592" s="68"/>
      <c r="V592" s="72"/>
      <c r="W592" s="72"/>
      <c r="X592" s="66"/>
      <c r="Y592" s="80"/>
      <c r="Z592" s="80"/>
      <c r="AA592" s="153"/>
    </row>
    <row r="593" spans="17:27" x14ac:dyDescent="0.25">
      <c r="Q593" s="53"/>
      <c r="R593" s="68"/>
      <c r="S593" s="68"/>
      <c r="T593" s="68"/>
      <c r="U593" s="68"/>
      <c r="V593" s="72"/>
      <c r="W593" s="72"/>
      <c r="X593" s="66"/>
      <c r="Y593" s="80"/>
      <c r="Z593" s="80"/>
      <c r="AA593" s="153"/>
    </row>
    <row r="594" spans="17:27" x14ac:dyDescent="0.25">
      <c r="Q594" s="53"/>
      <c r="R594" s="68"/>
      <c r="S594" s="68"/>
      <c r="T594" s="68"/>
      <c r="U594" s="68"/>
      <c r="V594" s="72"/>
      <c r="W594" s="72"/>
      <c r="X594" s="66"/>
      <c r="Y594" s="80"/>
      <c r="Z594" s="80"/>
      <c r="AA594" s="153"/>
    </row>
    <row r="595" spans="17:27" x14ac:dyDescent="0.25">
      <c r="Q595" s="53"/>
      <c r="R595" s="68"/>
      <c r="S595" s="68"/>
      <c r="T595" s="68"/>
      <c r="U595" s="68"/>
      <c r="V595" s="72"/>
      <c r="W595" s="72"/>
      <c r="X595" s="66"/>
      <c r="Y595" s="80"/>
      <c r="Z595" s="80"/>
      <c r="AA595" s="153"/>
    </row>
    <row r="596" spans="17:27" x14ac:dyDescent="0.25">
      <c r="Q596" s="53"/>
      <c r="R596" s="68"/>
      <c r="S596" s="68"/>
      <c r="T596" s="68"/>
      <c r="U596" s="68"/>
      <c r="V596" s="72"/>
      <c r="W596" s="72"/>
      <c r="X596" s="66"/>
      <c r="Y596" s="80"/>
      <c r="Z596" s="80"/>
      <c r="AA596" s="153"/>
    </row>
    <row r="597" spans="17:27" x14ac:dyDescent="0.25">
      <c r="Q597" s="53"/>
      <c r="R597" s="68"/>
      <c r="S597" s="68"/>
      <c r="T597" s="68"/>
      <c r="U597" s="68"/>
      <c r="V597" s="72"/>
      <c r="W597" s="72"/>
      <c r="X597" s="66"/>
      <c r="Y597" s="80"/>
      <c r="Z597" s="80"/>
      <c r="AA597" s="153"/>
    </row>
    <row r="598" spans="17:27" x14ac:dyDescent="0.25">
      <c r="Q598" s="53"/>
      <c r="R598" s="68"/>
      <c r="S598" s="68"/>
      <c r="T598" s="68"/>
      <c r="U598" s="68"/>
      <c r="V598" s="72"/>
      <c r="W598" s="72"/>
      <c r="X598" s="66"/>
      <c r="Y598" s="80"/>
      <c r="Z598" s="80"/>
      <c r="AA598" s="153"/>
    </row>
    <row r="599" spans="17:27" x14ac:dyDescent="0.25">
      <c r="Q599" s="53"/>
      <c r="R599" s="68"/>
      <c r="S599" s="68"/>
      <c r="T599" s="68"/>
      <c r="U599" s="68"/>
      <c r="V599" s="72"/>
      <c r="W599" s="72"/>
      <c r="X599" s="66"/>
      <c r="Y599" s="80"/>
      <c r="Z599" s="80"/>
      <c r="AA599" s="153"/>
    </row>
    <row r="600" spans="17:27" x14ac:dyDescent="0.25">
      <c r="Q600" s="53"/>
      <c r="R600" s="68"/>
      <c r="S600" s="68"/>
      <c r="T600" s="68"/>
      <c r="U600" s="68"/>
      <c r="V600" s="72"/>
      <c r="W600" s="72"/>
      <c r="X600" s="66"/>
      <c r="Y600" s="80"/>
      <c r="Z600" s="80"/>
      <c r="AA600" s="153"/>
    </row>
    <row r="601" spans="17:27" x14ac:dyDescent="0.25">
      <c r="Q601" s="53"/>
      <c r="R601" s="68"/>
      <c r="S601" s="68"/>
      <c r="T601" s="68"/>
      <c r="U601" s="68"/>
      <c r="V601" s="72"/>
      <c r="W601" s="72"/>
      <c r="X601" s="66"/>
      <c r="Y601" s="80"/>
      <c r="Z601" s="80"/>
      <c r="AA601" s="153"/>
    </row>
    <row r="602" spans="17:27" x14ac:dyDescent="0.25">
      <c r="Q602" s="53"/>
      <c r="R602" s="68"/>
      <c r="S602" s="68"/>
      <c r="T602" s="68"/>
      <c r="U602" s="68"/>
      <c r="V602" s="72"/>
      <c r="W602" s="72"/>
      <c r="X602" s="66"/>
      <c r="Y602" s="80"/>
      <c r="Z602" s="80"/>
      <c r="AA602" s="153"/>
    </row>
    <row r="603" spans="17:27" x14ac:dyDescent="0.25">
      <c r="Q603" s="53"/>
      <c r="R603" s="68"/>
      <c r="S603" s="68"/>
      <c r="T603" s="68"/>
      <c r="U603" s="68"/>
      <c r="V603" s="72"/>
      <c r="W603" s="72"/>
      <c r="X603" s="66"/>
      <c r="Y603" s="80"/>
      <c r="Z603" s="80"/>
      <c r="AA603" s="153"/>
    </row>
    <row r="604" spans="17:27" x14ac:dyDescent="0.25">
      <c r="Q604" s="53"/>
      <c r="R604" s="68"/>
      <c r="S604" s="68"/>
      <c r="T604" s="68"/>
      <c r="U604" s="68"/>
      <c r="V604" s="72"/>
      <c r="W604" s="72"/>
      <c r="X604" s="66"/>
      <c r="Y604" s="80"/>
      <c r="Z604" s="80"/>
      <c r="AA604" s="153"/>
    </row>
    <row r="605" spans="17:27" x14ac:dyDescent="0.25">
      <c r="Q605" s="53"/>
      <c r="R605" s="68"/>
      <c r="S605" s="68"/>
      <c r="T605" s="68"/>
      <c r="U605" s="68"/>
      <c r="V605" s="72"/>
      <c r="W605" s="72"/>
      <c r="X605" s="66"/>
      <c r="Y605" s="80"/>
      <c r="Z605" s="80"/>
      <c r="AA605" s="153"/>
    </row>
    <row r="606" spans="17:27" x14ac:dyDescent="0.25">
      <c r="Q606" s="53"/>
      <c r="R606" s="68"/>
      <c r="S606" s="68"/>
      <c r="T606" s="68"/>
      <c r="U606" s="68"/>
      <c r="V606" s="72"/>
      <c r="W606" s="72"/>
      <c r="X606" s="66"/>
      <c r="Y606" s="80"/>
      <c r="Z606" s="80"/>
      <c r="AA606" s="153"/>
    </row>
    <row r="607" spans="17:27" x14ac:dyDescent="0.25">
      <c r="Q607" s="53"/>
      <c r="R607" s="68"/>
      <c r="S607" s="68"/>
      <c r="T607" s="68"/>
      <c r="U607" s="68"/>
      <c r="V607" s="72"/>
      <c r="W607" s="72"/>
      <c r="X607" s="66"/>
      <c r="Y607" s="80"/>
      <c r="Z607" s="80"/>
      <c r="AA607" s="153"/>
    </row>
    <row r="608" spans="17:27" x14ac:dyDescent="0.25">
      <c r="Q608" s="53"/>
      <c r="R608" s="68"/>
      <c r="S608" s="68"/>
      <c r="T608" s="68"/>
      <c r="U608" s="68"/>
      <c r="V608" s="72"/>
      <c r="W608" s="72"/>
      <c r="X608" s="66"/>
      <c r="Y608" s="80"/>
      <c r="Z608" s="80"/>
      <c r="AA608" s="153"/>
    </row>
    <row r="609" spans="17:27" x14ac:dyDescent="0.25">
      <c r="Q609" s="53"/>
      <c r="R609" s="68"/>
      <c r="S609" s="68"/>
      <c r="T609" s="68"/>
      <c r="U609" s="68"/>
      <c r="V609" s="72"/>
      <c r="W609" s="72"/>
      <c r="X609" s="66"/>
      <c r="Y609" s="80"/>
      <c r="Z609" s="80"/>
      <c r="AA609" s="153"/>
    </row>
    <row r="610" spans="17:27" x14ac:dyDescent="0.25">
      <c r="Q610" s="53"/>
      <c r="R610" s="68"/>
      <c r="S610" s="68"/>
      <c r="T610" s="68"/>
      <c r="U610" s="68"/>
      <c r="V610" s="72"/>
      <c r="W610" s="72"/>
      <c r="X610" s="66"/>
      <c r="Y610" s="80"/>
      <c r="Z610" s="80"/>
      <c r="AA610" s="153"/>
    </row>
    <row r="611" spans="17:27" x14ac:dyDescent="0.25">
      <c r="Q611" s="53"/>
      <c r="R611" s="68"/>
      <c r="S611" s="68"/>
      <c r="T611" s="68"/>
      <c r="U611" s="68"/>
      <c r="V611" s="72"/>
      <c r="W611" s="72"/>
      <c r="X611" s="66"/>
      <c r="Y611" s="80"/>
      <c r="Z611" s="80"/>
      <c r="AA611" s="153"/>
    </row>
    <row r="612" spans="17:27" x14ac:dyDescent="0.25">
      <c r="Q612" s="53"/>
      <c r="R612" s="68"/>
      <c r="S612" s="68"/>
      <c r="T612" s="68"/>
      <c r="U612" s="68"/>
      <c r="V612" s="72"/>
      <c r="W612" s="72"/>
      <c r="X612" s="66"/>
      <c r="Y612" s="80"/>
      <c r="Z612" s="80"/>
      <c r="AA612" s="153"/>
    </row>
    <row r="613" spans="17:27" x14ac:dyDescent="0.25">
      <c r="Q613" s="53"/>
      <c r="R613" s="68"/>
      <c r="S613" s="68"/>
      <c r="T613" s="68"/>
      <c r="U613" s="68"/>
      <c r="V613" s="72"/>
      <c r="W613" s="72"/>
      <c r="X613" s="66"/>
      <c r="Y613" s="80"/>
      <c r="Z613" s="80"/>
      <c r="AA613" s="153"/>
    </row>
    <row r="614" spans="17:27" x14ac:dyDescent="0.25">
      <c r="Q614" s="53"/>
      <c r="R614" s="68"/>
      <c r="S614" s="68"/>
      <c r="T614" s="68"/>
      <c r="U614" s="68"/>
      <c r="V614" s="72"/>
      <c r="W614" s="72"/>
      <c r="X614" s="66"/>
      <c r="Y614" s="80"/>
      <c r="Z614" s="80"/>
      <c r="AA614" s="153"/>
    </row>
    <row r="615" spans="17:27" x14ac:dyDescent="0.25">
      <c r="Q615" s="53"/>
      <c r="R615" s="68"/>
      <c r="S615" s="68"/>
      <c r="T615" s="68"/>
      <c r="U615" s="68"/>
      <c r="V615" s="72"/>
      <c r="W615" s="72"/>
      <c r="X615" s="66"/>
      <c r="Y615" s="80"/>
      <c r="Z615" s="80"/>
      <c r="AA615" s="153"/>
    </row>
    <row r="616" spans="17:27" x14ac:dyDescent="0.25">
      <c r="Q616" s="53"/>
      <c r="R616" s="68"/>
      <c r="S616" s="68"/>
      <c r="T616" s="68"/>
      <c r="U616" s="68"/>
      <c r="V616" s="72"/>
      <c r="W616" s="72"/>
      <c r="X616" s="66"/>
      <c r="Y616" s="80"/>
      <c r="Z616" s="80"/>
      <c r="AA616" s="153"/>
    </row>
    <row r="617" spans="17:27" x14ac:dyDescent="0.25">
      <c r="Q617" s="53"/>
      <c r="R617" s="68"/>
      <c r="S617" s="68"/>
      <c r="T617" s="68"/>
      <c r="U617" s="68"/>
      <c r="V617" s="72"/>
      <c r="W617" s="72"/>
      <c r="X617" s="66"/>
      <c r="Y617" s="80"/>
      <c r="Z617" s="80"/>
      <c r="AA617" s="153"/>
    </row>
    <row r="618" spans="17:27" x14ac:dyDescent="0.25">
      <c r="Q618" s="53"/>
      <c r="R618" s="68"/>
      <c r="S618" s="68"/>
      <c r="T618" s="68"/>
      <c r="U618" s="68"/>
      <c r="V618" s="72"/>
      <c r="W618" s="72"/>
      <c r="X618" s="66"/>
      <c r="Y618" s="80"/>
      <c r="Z618" s="80"/>
      <c r="AA618" s="153"/>
    </row>
    <row r="619" spans="17:27" x14ac:dyDescent="0.25">
      <c r="Q619" s="53"/>
      <c r="R619" s="68"/>
      <c r="S619" s="68"/>
      <c r="T619" s="68"/>
      <c r="U619" s="68"/>
      <c r="V619" s="72"/>
      <c r="W619" s="72"/>
      <c r="X619" s="66"/>
      <c r="Y619" s="80"/>
      <c r="Z619" s="80"/>
      <c r="AA619" s="153"/>
    </row>
    <row r="620" spans="17:27" x14ac:dyDescent="0.25">
      <c r="Q620" s="53"/>
      <c r="R620" s="68"/>
      <c r="S620" s="68"/>
      <c r="T620" s="68"/>
      <c r="U620" s="68"/>
      <c r="V620" s="72"/>
      <c r="W620" s="72"/>
      <c r="X620" s="66"/>
      <c r="Y620" s="80"/>
      <c r="Z620" s="80"/>
      <c r="AA620" s="153"/>
    </row>
    <row r="621" spans="17:27" x14ac:dyDescent="0.25">
      <c r="Q621" s="53"/>
      <c r="R621" s="68"/>
      <c r="S621" s="68"/>
      <c r="T621" s="68"/>
      <c r="U621" s="68"/>
      <c r="V621" s="72"/>
      <c r="W621" s="72"/>
      <c r="X621" s="66"/>
      <c r="Y621" s="80"/>
      <c r="Z621" s="80"/>
      <c r="AA621" s="153"/>
    </row>
    <row r="622" spans="17:27" x14ac:dyDescent="0.25">
      <c r="Q622" s="53"/>
      <c r="R622" s="68"/>
      <c r="S622" s="68"/>
      <c r="T622" s="68"/>
      <c r="U622" s="68"/>
      <c r="V622" s="72"/>
      <c r="W622" s="72"/>
      <c r="X622" s="66"/>
      <c r="Y622" s="80"/>
      <c r="Z622" s="80"/>
      <c r="AA622" s="153"/>
    </row>
    <row r="623" spans="17:27" x14ac:dyDescent="0.25">
      <c r="Q623" s="53"/>
      <c r="R623" s="68"/>
      <c r="S623" s="68"/>
      <c r="T623" s="68"/>
      <c r="U623" s="68"/>
      <c r="V623" s="72"/>
      <c r="W623" s="72"/>
      <c r="X623" s="66"/>
      <c r="Y623" s="80"/>
      <c r="Z623" s="80"/>
      <c r="AA623" s="153"/>
    </row>
    <row r="624" spans="17:27" x14ac:dyDescent="0.25">
      <c r="Q624" s="53"/>
      <c r="R624" s="68"/>
      <c r="S624" s="68"/>
      <c r="T624" s="68"/>
      <c r="U624" s="68"/>
      <c r="V624" s="72"/>
      <c r="W624" s="72"/>
      <c r="X624" s="66"/>
      <c r="Y624" s="80"/>
      <c r="Z624" s="80"/>
      <c r="AA624" s="153"/>
    </row>
    <row r="625" spans="17:27" x14ac:dyDescent="0.25">
      <c r="Q625" s="53"/>
      <c r="R625" s="68"/>
      <c r="S625" s="68"/>
      <c r="T625" s="68"/>
      <c r="U625" s="68"/>
      <c r="V625" s="72"/>
      <c r="W625" s="72"/>
      <c r="X625" s="66"/>
      <c r="Y625" s="80"/>
      <c r="Z625" s="80"/>
      <c r="AA625" s="153"/>
    </row>
    <row r="626" spans="17:27" x14ac:dyDescent="0.25">
      <c r="Q626" s="53"/>
      <c r="R626" s="68"/>
      <c r="S626" s="68"/>
      <c r="T626" s="68"/>
      <c r="U626" s="68"/>
      <c r="V626" s="72"/>
      <c r="W626" s="72"/>
      <c r="X626" s="66"/>
      <c r="Y626" s="80"/>
      <c r="Z626" s="80"/>
      <c r="AA626" s="153"/>
    </row>
    <row r="627" spans="17:27" x14ac:dyDescent="0.25">
      <c r="Q627" s="53"/>
      <c r="R627" s="68"/>
      <c r="S627" s="68"/>
      <c r="T627" s="68"/>
      <c r="U627" s="68"/>
      <c r="V627" s="72"/>
      <c r="W627" s="72"/>
      <c r="X627" s="66"/>
      <c r="Y627" s="80"/>
      <c r="Z627" s="80"/>
      <c r="AA627" s="153"/>
    </row>
    <row r="628" spans="17:27" x14ac:dyDescent="0.25">
      <c r="Q628" s="53"/>
      <c r="R628" s="68"/>
      <c r="S628" s="68"/>
      <c r="T628" s="68"/>
      <c r="U628" s="68"/>
      <c r="V628" s="72"/>
      <c r="W628" s="72"/>
      <c r="X628" s="66"/>
      <c r="Y628" s="80"/>
      <c r="Z628" s="80"/>
      <c r="AA628" s="153"/>
    </row>
    <row r="629" spans="17:27" x14ac:dyDescent="0.25">
      <c r="Q629" s="53"/>
      <c r="R629" s="68"/>
      <c r="S629" s="68"/>
      <c r="T629" s="68"/>
      <c r="U629" s="68"/>
      <c r="V629" s="72"/>
      <c r="W629" s="72"/>
      <c r="X629" s="66"/>
      <c r="Y629" s="80"/>
      <c r="Z629" s="80"/>
      <c r="AA629" s="153"/>
    </row>
    <row r="630" spans="17:27" x14ac:dyDescent="0.25">
      <c r="Q630" s="53"/>
      <c r="R630" s="68"/>
      <c r="S630" s="68"/>
      <c r="T630" s="68"/>
      <c r="U630" s="68"/>
      <c r="V630" s="72"/>
      <c r="W630" s="72"/>
      <c r="X630" s="66"/>
      <c r="Y630" s="80"/>
      <c r="Z630" s="80"/>
      <c r="AA630" s="153"/>
    </row>
    <row r="631" spans="17:27" x14ac:dyDescent="0.25">
      <c r="Q631" s="53"/>
      <c r="R631" s="68"/>
      <c r="S631" s="68"/>
      <c r="T631" s="68"/>
      <c r="U631" s="68"/>
      <c r="V631" s="72"/>
      <c r="W631" s="72"/>
      <c r="X631" s="66"/>
      <c r="Y631" s="80"/>
      <c r="Z631" s="80"/>
      <c r="AA631" s="153"/>
    </row>
    <row r="632" spans="17:27" x14ac:dyDescent="0.25">
      <c r="Q632" s="53"/>
      <c r="R632" s="68"/>
      <c r="S632" s="68"/>
      <c r="T632" s="68"/>
      <c r="U632" s="68"/>
      <c r="V632" s="72"/>
      <c r="W632" s="72"/>
      <c r="X632" s="66"/>
      <c r="Y632" s="80"/>
      <c r="Z632" s="80"/>
      <c r="AA632" s="153"/>
    </row>
    <row r="633" spans="17:27" x14ac:dyDescent="0.25">
      <c r="Q633" s="53"/>
      <c r="R633" s="68"/>
      <c r="S633" s="68"/>
      <c r="T633" s="68"/>
      <c r="U633" s="68"/>
      <c r="V633" s="72"/>
      <c r="W633" s="72"/>
      <c r="X633" s="66"/>
      <c r="Y633" s="80"/>
      <c r="Z633" s="80"/>
      <c r="AA633" s="153"/>
    </row>
    <row r="634" spans="17:27" x14ac:dyDescent="0.25">
      <c r="Q634" s="53"/>
      <c r="R634" s="68"/>
      <c r="S634" s="68"/>
      <c r="T634" s="68"/>
      <c r="U634" s="68"/>
      <c r="V634" s="72"/>
      <c r="W634" s="72"/>
      <c r="X634" s="66"/>
      <c r="Y634" s="80"/>
      <c r="Z634" s="80"/>
      <c r="AA634" s="153"/>
    </row>
    <row r="635" spans="17:27" x14ac:dyDescent="0.25">
      <c r="Q635" s="53"/>
      <c r="R635" s="68"/>
      <c r="S635" s="68"/>
      <c r="T635" s="68"/>
      <c r="U635" s="68"/>
      <c r="V635" s="72"/>
      <c r="W635" s="72"/>
      <c r="X635" s="66"/>
      <c r="Y635" s="80"/>
      <c r="Z635" s="80"/>
      <c r="AA635" s="153"/>
    </row>
    <row r="636" spans="17:27" x14ac:dyDescent="0.25">
      <c r="Q636" s="53"/>
      <c r="R636" s="68"/>
      <c r="S636" s="68"/>
      <c r="T636" s="68"/>
      <c r="U636" s="68"/>
      <c r="V636" s="72"/>
      <c r="W636" s="72"/>
      <c r="X636" s="66"/>
      <c r="Y636" s="80"/>
      <c r="Z636" s="80"/>
      <c r="AA636" s="153"/>
    </row>
    <row r="637" spans="17:27" x14ac:dyDescent="0.25">
      <c r="Q637" s="53"/>
      <c r="R637" s="68"/>
      <c r="S637" s="68"/>
      <c r="T637" s="68"/>
      <c r="U637" s="68"/>
      <c r="V637" s="72"/>
      <c r="W637" s="72"/>
      <c r="X637" s="66"/>
      <c r="Y637" s="80"/>
      <c r="Z637" s="80"/>
      <c r="AA637" s="153"/>
    </row>
    <row r="638" spans="17:27" x14ac:dyDescent="0.25">
      <c r="Q638" s="53"/>
      <c r="R638" s="68"/>
      <c r="S638" s="68"/>
      <c r="T638" s="68"/>
      <c r="U638" s="68"/>
      <c r="V638" s="72"/>
      <c r="W638" s="72"/>
      <c r="X638" s="66"/>
      <c r="Y638" s="80"/>
      <c r="Z638" s="80"/>
      <c r="AA638" s="153"/>
    </row>
    <row r="639" spans="17:27" x14ac:dyDescent="0.25">
      <c r="Q639" s="53"/>
      <c r="R639" s="68"/>
      <c r="S639" s="68"/>
      <c r="T639" s="68"/>
      <c r="U639" s="68"/>
      <c r="V639" s="72"/>
      <c r="W639" s="72"/>
      <c r="X639" s="66"/>
      <c r="Y639" s="80"/>
      <c r="Z639" s="80"/>
      <c r="AA639" s="153"/>
    </row>
    <row r="640" spans="17:27" x14ac:dyDescent="0.25">
      <c r="Q640" s="53"/>
      <c r="R640" s="68"/>
      <c r="S640" s="68"/>
      <c r="T640" s="68"/>
      <c r="U640" s="68"/>
      <c r="V640" s="72"/>
      <c r="W640" s="72"/>
      <c r="X640" s="66"/>
      <c r="Y640" s="80"/>
      <c r="Z640" s="80"/>
      <c r="AA640" s="153"/>
    </row>
    <row r="641" spans="17:27" x14ac:dyDescent="0.25">
      <c r="Q641" s="53"/>
      <c r="R641" s="68"/>
      <c r="S641" s="68"/>
      <c r="T641" s="68"/>
      <c r="U641" s="68"/>
      <c r="V641" s="72"/>
      <c r="W641" s="72"/>
      <c r="X641" s="66"/>
      <c r="Y641" s="80"/>
      <c r="Z641" s="80"/>
      <c r="AA641" s="153"/>
    </row>
    <row r="642" spans="17:27" x14ac:dyDescent="0.25">
      <c r="Q642" s="53"/>
      <c r="R642" s="68"/>
      <c r="S642" s="68"/>
      <c r="T642" s="68"/>
      <c r="U642" s="68"/>
      <c r="V642" s="72"/>
      <c r="W642" s="72"/>
      <c r="X642" s="66"/>
      <c r="Y642" s="80"/>
      <c r="Z642" s="80"/>
      <c r="AA642" s="153"/>
    </row>
    <row r="643" spans="17:27" x14ac:dyDescent="0.25">
      <c r="Q643" s="53"/>
      <c r="R643" s="68"/>
      <c r="S643" s="68"/>
      <c r="T643" s="68"/>
      <c r="U643" s="68"/>
      <c r="V643" s="72"/>
      <c r="W643" s="72"/>
      <c r="X643" s="66"/>
      <c r="Y643" s="80"/>
      <c r="Z643" s="80"/>
      <c r="AA643" s="153"/>
    </row>
    <row r="644" spans="17:27" x14ac:dyDescent="0.25">
      <c r="Q644" s="53"/>
      <c r="R644" s="68"/>
      <c r="S644" s="68"/>
      <c r="T644" s="68"/>
      <c r="U644" s="68"/>
      <c r="V644" s="72"/>
      <c r="W644" s="72"/>
      <c r="X644" s="66"/>
      <c r="Y644" s="80"/>
      <c r="Z644" s="80"/>
      <c r="AA644" s="153"/>
    </row>
    <row r="645" spans="17:27" x14ac:dyDescent="0.25">
      <c r="Q645" s="53"/>
      <c r="R645" s="68"/>
      <c r="S645" s="68"/>
      <c r="T645" s="68"/>
      <c r="U645" s="68"/>
      <c r="V645" s="72"/>
      <c r="W645" s="72"/>
      <c r="X645" s="66"/>
      <c r="Y645" s="80"/>
      <c r="Z645" s="80"/>
      <c r="AA645" s="153"/>
    </row>
    <row r="646" spans="17:27" x14ac:dyDescent="0.25">
      <c r="Q646" s="53"/>
      <c r="R646" s="68"/>
      <c r="S646" s="68"/>
      <c r="T646" s="68"/>
      <c r="U646" s="68"/>
      <c r="V646" s="72"/>
      <c r="W646" s="72"/>
      <c r="X646" s="66"/>
      <c r="Y646" s="80"/>
      <c r="Z646" s="80"/>
      <c r="AA646" s="153"/>
    </row>
    <row r="647" spans="17:27" x14ac:dyDescent="0.25">
      <c r="Q647" s="53"/>
      <c r="R647" s="68"/>
      <c r="S647" s="68"/>
      <c r="T647" s="68"/>
      <c r="U647" s="68"/>
      <c r="V647" s="72"/>
      <c r="W647" s="72"/>
      <c r="X647" s="66"/>
      <c r="Y647" s="80"/>
      <c r="Z647" s="80"/>
      <c r="AA647" s="153"/>
    </row>
    <row r="648" spans="17:27" x14ac:dyDescent="0.25">
      <c r="Q648" s="53"/>
      <c r="R648" s="68"/>
      <c r="S648" s="68"/>
      <c r="T648" s="68"/>
      <c r="U648" s="68"/>
      <c r="V648" s="72"/>
      <c r="W648" s="72"/>
      <c r="X648" s="66"/>
      <c r="Y648" s="80"/>
      <c r="Z648" s="80"/>
      <c r="AA648" s="153"/>
    </row>
    <row r="649" spans="17:27" x14ac:dyDescent="0.25">
      <c r="Q649" s="53"/>
      <c r="R649" s="68"/>
      <c r="S649" s="68"/>
      <c r="T649" s="68"/>
      <c r="U649" s="68"/>
      <c r="V649" s="72"/>
      <c r="W649" s="72"/>
      <c r="X649" s="66"/>
      <c r="Y649" s="80"/>
      <c r="Z649" s="80"/>
      <c r="AA649" s="153"/>
    </row>
    <row r="650" spans="17:27" x14ac:dyDescent="0.25">
      <c r="Q650" s="53"/>
      <c r="R650" s="68"/>
      <c r="S650" s="68"/>
      <c r="T650" s="68"/>
      <c r="U650" s="68"/>
      <c r="V650" s="72"/>
      <c r="W650" s="72"/>
      <c r="X650" s="66"/>
      <c r="Y650" s="80"/>
      <c r="Z650" s="80"/>
      <c r="AA650" s="153"/>
    </row>
    <row r="651" spans="17:27" x14ac:dyDescent="0.25">
      <c r="Q651" s="53"/>
      <c r="R651" s="68"/>
      <c r="S651" s="68"/>
      <c r="T651" s="68"/>
      <c r="U651" s="68"/>
      <c r="V651" s="72"/>
      <c r="W651" s="72"/>
      <c r="X651" s="66"/>
      <c r="Y651" s="80"/>
      <c r="Z651" s="80"/>
      <c r="AA651" s="153"/>
    </row>
    <row r="652" spans="17:27" x14ac:dyDescent="0.25">
      <c r="Q652" s="53"/>
      <c r="R652" s="68"/>
      <c r="S652" s="68"/>
      <c r="T652" s="68"/>
      <c r="U652" s="68"/>
      <c r="V652" s="72"/>
      <c r="W652" s="72"/>
      <c r="X652" s="66"/>
      <c r="Y652" s="80"/>
      <c r="Z652" s="80"/>
      <c r="AA652" s="153"/>
    </row>
    <row r="653" spans="17:27" x14ac:dyDescent="0.25">
      <c r="Q653" s="53"/>
      <c r="R653" s="68"/>
      <c r="S653" s="68"/>
      <c r="T653" s="68"/>
      <c r="U653" s="68"/>
      <c r="V653" s="72"/>
      <c r="W653" s="72"/>
      <c r="X653" s="66"/>
      <c r="Y653" s="80"/>
      <c r="Z653" s="80"/>
      <c r="AA653" s="153"/>
    </row>
    <row r="654" spans="17:27" x14ac:dyDescent="0.25">
      <c r="Q654" s="53"/>
      <c r="R654" s="68"/>
      <c r="S654" s="68"/>
      <c r="T654" s="68"/>
      <c r="U654" s="68"/>
      <c r="V654" s="72"/>
      <c r="W654" s="72"/>
      <c r="X654" s="66"/>
      <c r="Y654" s="80"/>
      <c r="Z654" s="80"/>
      <c r="AA654" s="153"/>
    </row>
    <row r="655" spans="17:27" x14ac:dyDescent="0.25">
      <c r="Q655" s="53"/>
      <c r="R655" s="68"/>
      <c r="S655" s="68"/>
      <c r="T655" s="68"/>
      <c r="U655" s="68"/>
      <c r="V655" s="72"/>
      <c r="W655" s="72"/>
      <c r="X655" s="66"/>
      <c r="Y655" s="80"/>
      <c r="Z655" s="80"/>
      <c r="AA655" s="153"/>
    </row>
    <row r="656" spans="17:27" x14ac:dyDescent="0.25">
      <c r="Q656" s="53"/>
      <c r="R656" s="68"/>
      <c r="S656" s="68"/>
      <c r="T656" s="68"/>
      <c r="U656" s="68"/>
      <c r="V656" s="72"/>
      <c r="W656" s="72"/>
      <c r="X656" s="66"/>
      <c r="Y656" s="80"/>
      <c r="Z656" s="80"/>
      <c r="AA656" s="153"/>
    </row>
    <row r="657" spans="17:27" x14ac:dyDescent="0.25">
      <c r="Q657" s="53"/>
      <c r="R657" s="68"/>
      <c r="S657" s="68"/>
      <c r="T657" s="68"/>
      <c r="U657" s="68"/>
      <c r="V657" s="72"/>
      <c r="W657" s="72"/>
      <c r="X657" s="66"/>
      <c r="Y657" s="80"/>
      <c r="Z657" s="80"/>
      <c r="AA657" s="153"/>
    </row>
    <row r="658" spans="17:27" x14ac:dyDescent="0.25">
      <c r="Q658" s="53"/>
      <c r="R658" s="68"/>
      <c r="S658" s="68"/>
      <c r="T658" s="68"/>
      <c r="U658" s="68"/>
      <c r="V658" s="72"/>
      <c r="W658" s="72"/>
      <c r="X658" s="66"/>
      <c r="Y658" s="80"/>
      <c r="Z658" s="80"/>
      <c r="AA658" s="153"/>
    </row>
    <row r="659" spans="17:27" x14ac:dyDescent="0.25">
      <c r="Q659" s="53"/>
      <c r="R659" s="68"/>
      <c r="S659" s="68"/>
      <c r="T659" s="68"/>
      <c r="U659" s="68"/>
      <c r="V659" s="72"/>
      <c r="W659" s="72"/>
      <c r="X659" s="66"/>
      <c r="Y659" s="80"/>
      <c r="Z659" s="80"/>
      <c r="AA659" s="153"/>
    </row>
    <row r="660" spans="17:27" x14ac:dyDescent="0.25">
      <c r="Q660" s="53"/>
      <c r="R660" s="68"/>
      <c r="S660" s="68"/>
      <c r="T660" s="68"/>
      <c r="U660" s="68"/>
      <c r="V660" s="72"/>
      <c r="W660" s="72"/>
      <c r="X660" s="66"/>
      <c r="Y660" s="80"/>
      <c r="Z660" s="80"/>
      <c r="AA660" s="153"/>
    </row>
    <row r="661" spans="17:27" x14ac:dyDescent="0.25">
      <c r="Q661" s="53"/>
      <c r="R661" s="68"/>
      <c r="S661" s="68"/>
      <c r="T661" s="68"/>
      <c r="U661" s="68"/>
      <c r="V661" s="72"/>
      <c r="W661" s="72"/>
      <c r="X661" s="66"/>
      <c r="Y661" s="80"/>
      <c r="Z661" s="80"/>
      <c r="AA661" s="153"/>
    </row>
    <row r="662" spans="17:27" x14ac:dyDescent="0.25">
      <c r="Q662" s="53"/>
      <c r="R662" s="68"/>
      <c r="S662" s="68"/>
      <c r="T662" s="68"/>
      <c r="U662" s="68"/>
      <c r="V662" s="72"/>
      <c r="W662" s="72"/>
      <c r="X662" s="66"/>
      <c r="Y662" s="80"/>
      <c r="Z662" s="80"/>
      <c r="AA662" s="153"/>
    </row>
    <row r="663" spans="17:27" x14ac:dyDescent="0.25">
      <c r="Q663" s="53"/>
      <c r="R663" s="68"/>
      <c r="S663" s="68"/>
      <c r="T663" s="68"/>
      <c r="U663" s="68"/>
      <c r="V663" s="72"/>
      <c r="W663" s="72"/>
      <c r="X663" s="66"/>
      <c r="Y663" s="80"/>
      <c r="Z663" s="80"/>
      <c r="AA663" s="153"/>
    </row>
    <row r="664" spans="17:27" x14ac:dyDescent="0.25">
      <c r="Q664" s="53"/>
      <c r="R664" s="68"/>
      <c r="S664" s="68"/>
      <c r="T664" s="68"/>
      <c r="U664" s="68"/>
      <c r="V664" s="72"/>
      <c r="W664" s="72"/>
      <c r="X664" s="66"/>
      <c r="Y664" s="80"/>
      <c r="Z664" s="80"/>
      <c r="AA664" s="153"/>
    </row>
    <row r="665" spans="17:27" x14ac:dyDescent="0.25">
      <c r="Q665" s="53"/>
      <c r="R665" s="68"/>
      <c r="S665" s="68"/>
      <c r="T665" s="68"/>
      <c r="U665" s="68"/>
      <c r="V665" s="72"/>
      <c r="W665" s="72"/>
      <c r="X665" s="66"/>
      <c r="Y665" s="80"/>
      <c r="Z665" s="80"/>
      <c r="AA665" s="153"/>
    </row>
    <row r="666" spans="17:27" x14ac:dyDescent="0.25">
      <c r="Q666" s="53"/>
      <c r="R666" s="68"/>
      <c r="S666" s="68"/>
      <c r="T666" s="68"/>
      <c r="U666" s="68"/>
      <c r="V666" s="72"/>
      <c r="W666" s="72"/>
      <c r="X666" s="66"/>
      <c r="Y666" s="80"/>
      <c r="Z666" s="80"/>
      <c r="AA666" s="153"/>
    </row>
    <row r="667" spans="17:27" x14ac:dyDescent="0.25">
      <c r="Q667" s="53"/>
      <c r="R667" s="68"/>
      <c r="S667" s="68"/>
      <c r="T667" s="68"/>
      <c r="U667" s="68"/>
      <c r="V667" s="72"/>
      <c r="W667" s="72"/>
      <c r="X667" s="66"/>
      <c r="Y667" s="80"/>
      <c r="Z667" s="80"/>
      <c r="AA667" s="153"/>
    </row>
    <row r="668" spans="17:27" x14ac:dyDescent="0.25">
      <c r="Q668" s="53"/>
      <c r="R668" s="53"/>
      <c r="S668" s="103"/>
      <c r="T668" s="103"/>
      <c r="U668" s="53"/>
      <c r="V668" s="66"/>
      <c r="W668" s="66"/>
      <c r="X668" s="66"/>
      <c r="Y668" s="80"/>
      <c r="Z668" s="80"/>
      <c r="AA668" s="153"/>
    </row>
    <row r="669" spans="17:27" x14ac:dyDescent="0.25">
      <c r="Q669" s="53"/>
      <c r="R669" s="68"/>
      <c r="S669" s="68"/>
      <c r="T669" s="68"/>
      <c r="U669" s="68"/>
      <c r="V669" s="72"/>
      <c r="W669" s="72"/>
      <c r="X669" s="66"/>
      <c r="Y669" s="80"/>
      <c r="Z669" s="80"/>
      <c r="AA669" s="153"/>
    </row>
    <row r="670" spans="17:27" x14ac:dyDescent="0.25">
      <c r="Q670" s="53"/>
      <c r="R670" s="68"/>
      <c r="S670" s="68"/>
      <c r="T670" s="68"/>
      <c r="U670" s="68"/>
      <c r="V670" s="72"/>
      <c r="W670" s="72"/>
      <c r="X670" s="66"/>
      <c r="Y670" s="80"/>
      <c r="Z670" s="80"/>
      <c r="AA670" s="153"/>
    </row>
    <row r="671" spans="17:27" x14ac:dyDescent="0.25">
      <c r="Q671" s="53"/>
      <c r="R671" s="68"/>
      <c r="S671" s="68"/>
      <c r="T671" s="68"/>
      <c r="U671" s="68"/>
      <c r="V671" s="72"/>
      <c r="W671" s="72"/>
      <c r="X671" s="66"/>
      <c r="Y671" s="80"/>
      <c r="Z671" s="80"/>
      <c r="AA671" s="153"/>
    </row>
    <row r="672" spans="17:27" x14ac:dyDescent="0.25">
      <c r="Q672" s="53"/>
      <c r="R672" s="68"/>
      <c r="S672" s="68"/>
      <c r="T672" s="68"/>
      <c r="U672" s="68"/>
      <c r="V672" s="72"/>
      <c r="W672" s="72"/>
      <c r="X672" s="66"/>
      <c r="Y672" s="80"/>
      <c r="Z672" s="80"/>
      <c r="AA672" s="153"/>
    </row>
    <row r="673" spans="17:27" x14ac:dyDescent="0.25">
      <c r="Q673" s="53"/>
      <c r="R673" s="68"/>
      <c r="S673" s="68"/>
      <c r="T673" s="68"/>
      <c r="U673" s="68"/>
      <c r="V673" s="72"/>
      <c r="W673" s="72"/>
      <c r="X673" s="66"/>
      <c r="Y673" s="80"/>
      <c r="Z673" s="80"/>
      <c r="AA673" s="153"/>
    </row>
    <row r="674" spans="17:27" x14ac:dyDescent="0.25">
      <c r="Q674" s="53"/>
      <c r="R674" s="68"/>
      <c r="S674" s="68"/>
      <c r="T674" s="68"/>
      <c r="U674" s="68"/>
      <c r="V674" s="72"/>
      <c r="W674" s="72"/>
      <c r="X674" s="66"/>
      <c r="Y674" s="80"/>
      <c r="Z674" s="80"/>
      <c r="AA674" s="153"/>
    </row>
    <row r="675" spans="17:27" x14ac:dyDescent="0.25">
      <c r="Q675" s="53"/>
      <c r="R675" s="68"/>
      <c r="S675" s="68"/>
      <c r="T675" s="68"/>
      <c r="U675" s="68"/>
      <c r="V675" s="72"/>
      <c r="W675" s="72"/>
      <c r="X675" s="66"/>
      <c r="Y675" s="80"/>
      <c r="Z675" s="80"/>
      <c r="AA675" s="153"/>
    </row>
    <row r="676" spans="17:27" x14ac:dyDescent="0.25">
      <c r="Q676" s="53"/>
      <c r="R676" s="68"/>
      <c r="S676" s="68"/>
      <c r="T676" s="68"/>
      <c r="U676" s="68"/>
      <c r="V676" s="72"/>
      <c r="W676" s="72"/>
      <c r="X676" s="66"/>
      <c r="Y676" s="80"/>
      <c r="Z676" s="80"/>
      <c r="AA676" s="153"/>
    </row>
    <row r="677" spans="17:27" x14ac:dyDescent="0.25">
      <c r="Q677" s="53"/>
      <c r="R677" s="68"/>
      <c r="S677" s="68"/>
      <c r="T677" s="68"/>
      <c r="U677" s="68"/>
      <c r="V677" s="72"/>
      <c r="W677" s="72"/>
      <c r="X677" s="66"/>
      <c r="Y677" s="80"/>
      <c r="Z677" s="80"/>
      <c r="AA677" s="153"/>
    </row>
    <row r="678" spans="17:27" x14ac:dyDescent="0.25">
      <c r="Q678" s="53"/>
      <c r="R678" s="68"/>
      <c r="S678" s="68"/>
      <c r="T678" s="68"/>
      <c r="U678" s="68"/>
      <c r="V678" s="72"/>
      <c r="W678" s="72"/>
      <c r="X678" s="66"/>
      <c r="Y678" s="80"/>
      <c r="Z678" s="80"/>
      <c r="AA678" s="153"/>
    </row>
    <row r="679" spans="17:27" x14ac:dyDescent="0.25">
      <c r="Q679" s="53"/>
      <c r="R679" s="68"/>
      <c r="S679" s="68"/>
      <c r="T679" s="68"/>
      <c r="U679" s="68"/>
      <c r="V679" s="72"/>
      <c r="W679" s="72"/>
      <c r="X679" s="66"/>
      <c r="Y679" s="80"/>
      <c r="Z679" s="80"/>
      <c r="AA679" s="153"/>
    </row>
    <row r="680" spans="17:27" x14ac:dyDescent="0.25">
      <c r="Q680" s="53"/>
      <c r="R680" s="68"/>
      <c r="S680" s="68"/>
      <c r="T680" s="68"/>
      <c r="U680" s="68"/>
      <c r="V680" s="72"/>
      <c r="W680" s="72"/>
      <c r="X680" s="66"/>
      <c r="Y680" s="80"/>
      <c r="Z680" s="80"/>
      <c r="AA680" s="153"/>
    </row>
    <row r="681" spans="17:27" x14ac:dyDescent="0.25">
      <c r="Q681" s="53"/>
      <c r="R681" s="68"/>
      <c r="S681" s="68"/>
      <c r="T681" s="68"/>
      <c r="U681" s="68"/>
      <c r="V681" s="72"/>
      <c r="W681" s="72"/>
      <c r="X681" s="66"/>
      <c r="Y681" s="80"/>
      <c r="Z681" s="80"/>
      <c r="AA681" s="153"/>
    </row>
    <row r="682" spans="17:27" x14ac:dyDescent="0.25">
      <c r="Q682" s="53"/>
      <c r="R682" s="68"/>
      <c r="S682" s="68"/>
      <c r="T682" s="68"/>
      <c r="U682" s="68"/>
      <c r="V682" s="72"/>
      <c r="W682" s="72"/>
      <c r="X682" s="66"/>
      <c r="Y682" s="80"/>
      <c r="Z682" s="80"/>
      <c r="AA682" s="153"/>
    </row>
    <row r="683" spans="17:27" x14ac:dyDescent="0.25">
      <c r="Q683" s="53"/>
      <c r="R683" s="68"/>
      <c r="S683" s="68"/>
      <c r="T683" s="68"/>
      <c r="U683" s="68"/>
      <c r="V683" s="72"/>
      <c r="W683" s="72"/>
      <c r="X683" s="66"/>
      <c r="Y683" s="80"/>
      <c r="Z683" s="80"/>
      <c r="AA683" s="153"/>
    </row>
    <row r="684" spans="17:27" x14ac:dyDescent="0.25">
      <c r="Q684" s="53"/>
      <c r="R684" s="68"/>
      <c r="S684" s="68"/>
      <c r="T684" s="68"/>
      <c r="U684" s="68"/>
      <c r="V684" s="72"/>
      <c r="W684" s="72"/>
      <c r="X684" s="66"/>
      <c r="Y684" s="80"/>
      <c r="Z684" s="80"/>
      <c r="AA684" s="153"/>
    </row>
    <row r="685" spans="17:27" x14ac:dyDescent="0.25">
      <c r="Q685" s="53"/>
      <c r="R685" s="68"/>
      <c r="S685" s="68"/>
      <c r="T685" s="68"/>
      <c r="U685" s="68"/>
      <c r="V685" s="72"/>
      <c r="W685" s="72"/>
      <c r="X685" s="66"/>
      <c r="Y685" s="80"/>
      <c r="Z685" s="80"/>
      <c r="AA685" s="153"/>
    </row>
    <row r="686" spans="17:27" x14ac:dyDescent="0.25">
      <c r="Q686" s="53"/>
      <c r="R686" s="68"/>
      <c r="S686" s="68"/>
      <c r="T686" s="68"/>
      <c r="U686" s="68"/>
      <c r="V686" s="72"/>
      <c r="W686" s="72"/>
      <c r="X686" s="66"/>
      <c r="Y686" s="80"/>
      <c r="Z686" s="80"/>
      <c r="AA686" s="153"/>
    </row>
    <row r="687" spans="17:27" x14ac:dyDescent="0.25">
      <c r="Q687" s="53"/>
      <c r="R687" s="68"/>
      <c r="S687" s="68"/>
      <c r="T687" s="68"/>
      <c r="U687" s="68"/>
      <c r="V687" s="72"/>
      <c r="W687" s="72"/>
      <c r="X687" s="66"/>
      <c r="Y687" s="80"/>
      <c r="Z687" s="80"/>
      <c r="AA687" s="153"/>
    </row>
    <row r="688" spans="17:27" x14ac:dyDescent="0.25">
      <c r="Q688" s="53"/>
      <c r="R688" s="68"/>
      <c r="S688" s="68"/>
      <c r="T688" s="68"/>
      <c r="U688" s="68"/>
      <c r="V688" s="72"/>
      <c r="W688" s="72"/>
      <c r="X688" s="66"/>
      <c r="Y688" s="80"/>
      <c r="Z688" s="80"/>
      <c r="AA688" s="153"/>
    </row>
    <row r="689" spans="17:27" x14ac:dyDescent="0.25">
      <c r="Q689" s="53"/>
      <c r="R689" s="68"/>
      <c r="S689" s="68"/>
      <c r="T689" s="68"/>
      <c r="U689" s="68"/>
      <c r="V689" s="72"/>
      <c r="W689" s="72"/>
      <c r="X689" s="66"/>
      <c r="Y689" s="80"/>
      <c r="Z689" s="80"/>
      <c r="AA689" s="153"/>
    </row>
    <row r="690" spans="17:27" x14ac:dyDescent="0.25">
      <c r="Q690" s="53"/>
      <c r="R690" s="68"/>
      <c r="S690" s="68"/>
      <c r="T690" s="68"/>
      <c r="U690" s="68"/>
      <c r="V690" s="72"/>
      <c r="W690" s="72"/>
      <c r="X690" s="66"/>
      <c r="Y690" s="80"/>
      <c r="Z690" s="80"/>
      <c r="AA690" s="153"/>
    </row>
    <row r="691" spans="17:27" x14ac:dyDescent="0.25">
      <c r="Q691" s="53"/>
      <c r="R691" s="68"/>
      <c r="S691" s="68"/>
      <c r="T691" s="68"/>
      <c r="U691" s="68"/>
      <c r="V691" s="72"/>
      <c r="W691" s="72"/>
      <c r="X691" s="66"/>
      <c r="Y691" s="80"/>
      <c r="Z691" s="80"/>
      <c r="AA691" s="153"/>
    </row>
    <row r="692" spans="17:27" x14ac:dyDescent="0.25">
      <c r="Q692" s="53"/>
      <c r="R692" s="68"/>
      <c r="S692" s="68"/>
      <c r="T692" s="68"/>
      <c r="U692" s="68"/>
      <c r="V692" s="72"/>
      <c r="W692" s="72"/>
      <c r="X692" s="66"/>
      <c r="Y692" s="80"/>
      <c r="Z692" s="80"/>
      <c r="AA692" s="153"/>
    </row>
    <row r="693" spans="17:27" x14ac:dyDescent="0.25">
      <c r="Q693" s="53"/>
      <c r="R693" s="68"/>
      <c r="S693" s="68"/>
      <c r="T693" s="68"/>
      <c r="U693" s="68"/>
      <c r="V693" s="72"/>
      <c r="W693" s="72"/>
      <c r="X693" s="66"/>
      <c r="Y693" s="80"/>
      <c r="Z693" s="80"/>
      <c r="AA693" s="153"/>
    </row>
    <row r="694" spans="17:27" x14ac:dyDescent="0.25">
      <c r="Q694" s="53"/>
      <c r="R694" s="68"/>
      <c r="S694" s="68"/>
      <c r="T694" s="68"/>
      <c r="U694" s="68"/>
      <c r="V694" s="72"/>
      <c r="W694" s="72"/>
      <c r="X694" s="66"/>
      <c r="Y694" s="80"/>
      <c r="Z694" s="80"/>
      <c r="AA694" s="153"/>
    </row>
    <row r="695" spans="17:27" x14ac:dyDescent="0.25">
      <c r="Q695" s="53"/>
      <c r="R695" s="68"/>
      <c r="S695" s="68"/>
      <c r="T695" s="68"/>
      <c r="U695" s="68"/>
      <c r="V695" s="72"/>
      <c r="W695" s="72"/>
      <c r="X695" s="66"/>
      <c r="Y695" s="80"/>
      <c r="Z695" s="80"/>
      <c r="AA695" s="153"/>
    </row>
    <row r="696" spans="17:27" x14ac:dyDescent="0.25">
      <c r="Q696" s="53"/>
      <c r="R696" s="68"/>
      <c r="S696" s="68"/>
      <c r="T696" s="68"/>
      <c r="U696" s="68"/>
      <c r="V696" s="72"/>
      <c r="W696" s="72"/>
      <c r="X696" s="66"/>
      <c r="Y696" s="80"/>
      <c r="Z696" s="80"/>
      <c r="AA696" s="153"/>
    </row>
    <row r="697" spans="17:27" x14ac:dyDescent="0.25">
      <c r="Q697" s="53"/>
      <c r="R697" s="68"/>
      <c r="S697" s="68"/>
      <c r="T697" s="68"/>
      <c r="U697" s="68"/>
      <c r="V697" s="72"/>
      <c r="W697" s="72"/>
      <c r="X697" s="66"/>
      <c r="Y697" s="80"/>
      <c r="Z697" s="80"/>
      <c r="AA697" s="153"/>
    </row>
    <row r="698" spans="17:27" x14ac:dyDescent="0.25">
      <c r="Q698" s="53"/>
      <c r="R698" s="68"/>
      <c r="S698" s="68"/>
      <c r="T698" s="68"/>
      <c r="U698" s="68"/>
      <c r="V698" s="72"/>
      <c r="W698" s="72"/>
      <c r="X698" s="66"/>
      <c r="Y698" s="80"/>
      <c r="Z698" s="80"/>
      <c r="AA698" s="153"/>
    </row>
    <row r="699" spans="17:27" x14ac:dyDescent="0.25">
      <c r="Q699" s="53"/>
      <c r="R699" s="68"/>
      <c r="S699" s="68"/>
      <c r="T699" s="68"/>
      <c r="U699" s="68"/>
      <c r="V699" s="72"/>
      <c r="W699" s="72"/>
      <c r="X699" s="66"/>
      <c r="Y699" s="80"/>
      <c r="Z699" s="80"/>
      <c r="AA699" s="153"/>
    </row>
    <row r="700" spans="17:27" x14ac:dyDescent="0.25">
      <c r="Q700" s="53"/>
      <c r="R700" s="68"/>
      <c r="S700" s="68"/>
      <c r="T700" s="68"/>
      <c r="U700" s="68"/>
      <c r="V700" s="72"/>
      <c r="W700" s="72"/>
      <c r="X700" s="66"/>
      <c r="Y700" s="80"/>
      <c r="Z700" s="80"/>
      <c r="AA700" s="153"/>
    </row>
    <row r="701" spans="17:27" x14ac:dyDescent="0.25">
      <c r="Q701" s="53"/>
      <c r="R701" s="68"/>
      <c r="S701" s="68"/>
      <c r="T701" s="68"/>
      <c r="U701" s="68"/>
      <c r="V701" s="72"/>
      <c r="W701" s="72"/>
      <c r="X701" s="66"/>
      <c r="Y701" s="80"/>
      <c r="Z701" s="80"/>
      <c r="AA701" s="153"/>
    </row>
    <row r="702" spans="17:27" x14ac:dyDescent="0.25">
      <c r="Q702" s="53"/>
      <c r="R702" s="68"/>
      <c r="S702" s="68"/>
      <c r="T702" s="68"/>
      <c r="U702" s="68"/>
      <c r="V702" s="72"/>
      <c r="W702" s="72"/>
      <c r="X702" s="66"/>
      <c r="Y702" s="80"/>
      <c r="Z702" s="80"/>
      <c r="AA702" s="153"/>
    </row>
    <row r="703" spans="17:27" x14ac:dyDescent="0.25">
      <c r="Q703" s="53"/>
      <c r="R703" s="68"/>
      <c r="S703" s="68"/>
      <c r="T703" s="68"/>
      <c r="U703" s="68"/>
      <c r="V703" s="72"/>
      <c r="W703" s="72"/>
      <c r="X703" s="66"/>
      <c r="Y703" s="80"/>
      <c r="Z703" s="80"/>
      <c r="AA703" s="153"/>
    </row>
    <row r="704" spans="17:27" x14ac:dyDescent="0.25">
      <c r="Q704" s="53"/>
      <c r="R704" s="68"/>
      <c r="S704" s="68"/>
      <c r="T704" s="68"/>
      <c r="U704" s="68"/>
      <c r="V704" s="72"/>
      <c r="W704" s="72"/>
      <c r="X704" s="66"/>
      <c r="Y704" s="80"/>
      <c r="Z704" s="80"/>
      <c r="AA704" s="153"/>
    </row>
    <row r="705" spans="17:27" x14ac:dyDescent="0.25">
      <c r="Q705" s="53"/>
      <c r="R705" s="68"/>
      <c r="S705" s="68"/>
      <c r="T705" s="68"/>
      <c r="U705" s="68"/>
      <c r="V705" s="72"/>
      <c r="W705" s="72"/>
      <c r="X705" s="66"/>
      <c r="Y705" s="80"/>
      <c r="Z705" s="80"/>
      <c r="AA705" s="153"/>
    </row>
    <row r="706" spans="17:27" x14ac:dyDescent="0.25">
      <c r="Q706" s="53"/>
      <c r="R706" s="68"/>
      <c r="S706" s="68"/>
      <c r="T706" s="68"/>
      <c r="U706" s="68"/>
      <c r="V706" s="72"/>
      <c r="W706" s="72"/>
      <c r="X706" s="66"/>
      <c r="Y706" s="80"/>
      <c r="Z706" s="80"/>
      <c r="AA706" s="153"/>
    </row>
    <row r="707" spans="17:27" x14ac:dyDescent="0.25">
      <c r="Q707" s="53"/>
      <c r="R707" s="68"/>
      <c r="S707" s="68"/>
      <c r="T707" s="68"/>
      <c r="U707" s="68"/>
      <c r="V707" s="72"/>
      <c r="W707" s="72"/>
      <c r="X707" s="66"/>
      <c r="Y707" s="80"/>
      <c r="Z707" s="80"/>
      <c r="AA707" s="153"/>
    </row>
    <row r="708" spans="17:27" x14ac:dyDescent="0.25">
      <c r="Q708" s="53"/>
      <c r="R708" s="68"/>
      <c r="S708" s="68"/>
      <c r="T708" s="68"/>
      <c r="U708" s="68"/>
      <c r="V708" s="72"/>
      <c r="W708" s="72"/>
      <c r="X708" s="66"/>
      <c r="Y708" s="80"/>
      <c r="Z708" s="80"/>
      <c r="AA708" s="153"/>
    </row>
    <row r="709" spans="17:27" x14ac:dyDescent="0.25">
      <c r="Q709" s="53"/>
      <c r="R709" s="68"/>
      <c r="S709" s="68"/>
      <c r="T709" s="68"/>
      <c r="U709" s="68"/>
      <c r="V709" s="72"/>
      <c r="W709" s="72"/>
      <c r="X709" s="66"/>
      <c r="Y709" s="80"/>
      <c r="Z709" s="80"/>
      <c r="AA709" s="153"/>
    </row>
    <row r="710" spans="17:27" x14ac:dyDescent="0.25">
      <c r="Q710" s="53"/>
      <c r="R710" s="68"/>
      <c r="S710" s="68"/>
      <c r="T710" s="68"/>
      <c r="U710" s="68"/>
      <c r="V710" s="72"/>
      <c r="W710" s="72"/>
      <c r="X710" s="66"/>
      <c r="Y710" s="80"/>
      <c r="Z710" s="80"/>
      <c r="AA710" s="153"/>
    </row>
    <row r="711" spans="17:27" x14ac:dyDescent="0.25">
      <c r="Q711" s="53"/>
      <c r="R711" s="68"/>
      <c r="S711" s="68"/>
      <c r="T711" s="68"/>
      <c r="U711" s="68"/>
      <c r="V711" s="72"/>
      <c r="W711" s="72"/>
      <c r="X711" s="66"/>
      <c r="Y711" s="80"/>
      <c r="Z711" s="80"/>
      <c r="AA711" s="153"/>
    </row>
    <row r="712" spans="17:27" x14ac:dyDescent="0.25">
      <c r="Q712" s="53"/>
      <c r="R712" s="68"/>
      <c r="S712" s="68"/>
      <c r="T712" s="68"/>
      <c r="U712" s="68"/>
      <c r="V712" s="72"/>
      <c r="W712" s="72"/>
      <c r="X712" s="66"/>
      <c r="Y712" s="80"/>
      <c r="Z712" s="80"/>
      <c r="AA712" s="153"/>
    </row>
    <row r="713" spans="17:27" x14ac:dyDescent="0.25">
      <c r="Q713" s="53"/>
      <c r="R713" s="68"/>
      <c r="S713" s="68"/>
      <c r="T713" s="68"/>
      <c r="U713" s="68"/>
      <c r="V713" s="72"/>
      <c r="W713" s="72"/>
      <c r="X713" s="66"/>
      <c r="Y713" s="80"/>
      <c r="Z713" s="80"/>
      <c r="AA713" s="153"/>
    </row>
    <row r="714" spans="17:27" x14ac:dyDescent="0.25">
      <c r="Q714" s="53"/>
      <c r="R714" s="68"/>
      <c r="S714" s="68"/>
      <c r="T714" s="68"/>
      <c r="U714" s="68"/>
      <c r="V714" s="72"/>
      <c r="W714" s="72"/>
      <c r="X714" s="66"/>
      <c r="Y714" s="80"/>
      <c r="Z714" s="80"/>
      <c r="AA714" s="153"/>
    </row>
    <row r="715" spans="17:27" x14ac:dyDescent="0.25">
      <c r="Q715" s="53"/>
      <c r="R715" s="68"/>
      <c r="S715" s="68"/>
      <c r="T715" s="68"/>
      <c r="U715" s="68"/>
      <c r="V715" s="72"/>
      <c r="W715" s="72"/>
      <c r="X715" s="66"/>
      <c r="Y715" s="80"/>
      <c r="Z715" s="80"/>
      <c r="AA715" s="153"/>
    </row>
    <row r="716" spans="17:27" x14ac:dyDescent="0.25">
      <c r="Q716" s="53"/>
      <c r="R716" s="68"/>
      <c r="S716" s="68"/>
      <c r="T716" s="68"/>
      <c r="U716" s="68"/>
      <c r="V716" s="72"/>
      <c r="W716" s="72"/>
      <c r="X716" s="66"/>
      <c r="Y716" s="80"/>
      <c r="Z716" s="80"/>
      <c r="AA716" s="153"/>
    </row>
    <row r="717" spans="17:27" x14ac:dyDescent="0.25">
      <c r="Q717" s="53"/>
      <c r="R717" s="68"/>
      <c r="S717" s="68"/>
      <c r="T717" s="68"/>
      <c r="U717" s="68"/>
      <c r="V717" s="72"/>
      <c r="W717" s="72"/>
      <c r="X717" s="66"/>
      <c r="Y717" s="80"/>
      <c r="Z717" s="80"/>
      <c r="AA717" s="153"/>
    </row>
    <row r="718" spans="17:27" x14ac:dyDescent="0.25">
      <c r="Q718" s="53"/>
      <c r="R718" s="68"/>
      <c r="S718" s="68"/>
      <c r="T718" s="68"/>
      <c r="U718" s="68"/>
      <c r="V718" s="72"/>
      <c r="W718" s="72"/>
      <c r="X718" s="66"/>
      <c r="Y718" s="80"/>
      <c r="Z718" s="80"/>
      <c r="AA718" s="153"/>
    </row>
    <row r="719" spans="17:27" x14ac:dyDescent="0.25">
      <c r="Q719" s="53"/>
      <c r="R719" s="53"/>
      <c r="S719" s="103"/>
      <c r="T719" s="103"/>
      <c r="U719" s="53"/>
      <c r="V719" s="66"/>
      <c r="W719" s="66"/>
      <c r="X719" s="66"/>
      <c r="Y719" s="80"/>
      <c r="Z719" s="80"/>
      <c r="AA719" s="153"/>
    </row>
    <row r="720" spans="17:27" x14ac:dyDescent="0.25">
      <c r="Q720" s="53"/>
      <c r="R720" s="68"/>
      <c r="S720" s="68"/>
      <c r="T720" s="68"/>
      <c r="U720" s="68"/>
      <c r="V720" s="72"/>
      <c r="W720" s="72"/>
      <c r="X720" s="66"/>
      <c r="Y720" s="80"/>
      <c r="Z720" s="80"/>
      <c r="AA720" s="153"/>
    </row>
    <row r="721" spans="17:27" x14ac:dyDescent="0.25">
      <c r="Q721" s="53"/>
      <c r="R721" s="68"/>
      <c r="S721" s="68"/>
      <c r="T721" s="68"/>
      <c r="U721" s="68"/>
      <c r="V721" s="72"/>
      <c r="W721" s="72"/>
      <c r="X721" s="66"/>
      <c r="Y721" s="80"/>
      <c r="Z721" s="80"/>
      <c r="AA721" s="153"/>
    </row>
    <row r="722" spans="17:27" x14ac:dyDescent="0.25">
      <c r="Q722" s="53"/>
      <c r="R722" s="68"/>
      <c r="S722" s="68"/>
      <c r="T722" s="68"/>
      <c r="U722" s="68"/>
      <c r="V722" s="72"/>
      <c r="W722" s="72"/>
      <c r="X722" s="66"/>
      <c r="Y722" s="80"/>
      <c r="Z722" s="80"/>
      <c r="AA722" s="153"/>
    </row>
    <row r="723" spans="17:27" x14ac:dyDescent="0.25">
      <c r="Q723" s="53"/>
      <c r="R723" s="68"/>
      <c r="S723" s="68"/>
      <c r="T723" s="68"/>
      <c r="U723" s="68"/>
      <c r="V723" s="72"/>
      <c r="W723" s="72"/>
      <c r="X723" s="66"/>
      <c r="Y723" s="80"/>
      <c r="Z723" s="80"/>
      <c r="AA723" s="153"/>
    </row>
    <row r="724" spans="17:27" x14ac:dyDescent="0.25">
      <c r="Q724" s="53"/>
      <c r="R724" s="68"/>
      <c r="S724" s="68"/>
      <c r="T724" s="68"/>
      <c r="U724" s="68"/>
      <c r="V724" s="72"/>
      <c r="W724" s="72"/>
      <c r="X724" s="66"/>
      <c r="Y724" s="80"/>
      <c r="Z724" s="80"/>
      <c r="AA724" s="153"/>
    </row>
    <row r="725" spans="17:27" x14ac:dyDescent="0.25">
      <c r="Q725" s="53"/>
      <c r="R725" s="68"/>
      <c r="S725" s="68"/>
      <c r="T725" s="68"/>
      <c r="U725" s="68"/>
      <c r="V725" s="72"/>
      <c r="W725" s="72"/>
      <c r="X725" s="66"/>
      <c r="Y725" s="80"/>
      <c r="Z725" s="80"/>
      <c r="AA725" s="153"/>
    </row>
    <row r="726" spans="17:27" x14ac:dyDescent="0.25">
      <c r="Q726" s="53"/>
      <c r="R726" s="68"/>
      <c r="S726" s="68"/>
      <c r="T726" s="68"/>
      <c r="U726" s="68"/>
      <c r="V726" s="72"/>
      <c r="W726" s="72"/>
      <c r="X726" s="66"/>
      <c r="Y726" s="80"/>
      <c r="Z726" s="80"/>
      <c r="AA726" s="153"/>
    </row>
    <row r="727" spans="17:27" x14ac:dyDescent="0.25">
      <c r="Q727" s="53"/>
      <c r="R727" s="68"/>
      <c r="S727" s="68"/>
      <c r="T727" s="68"/>
      <c r="U727" s="68"/>
      <c r="V727" s="72"/>
      <c r="W727" s="72"/>
      <c r="X727" s="66"/>
      <c r="Y727" s="80"/>
      <c r="Z727" s="80"/>
      <c r="AA727" s="153"/>
    </row>
    <row r="728" spans="17:27" x14ac:dyDescent="0.25">
      <c r="Q728" s="53"/>
      <c r="R728" s="68"/>
      <c r="S728" s="68"/>
      <c r="T728" s="68"/>
      <c r="U728" s="68"/>
      <c r="V728" s="72"/>
      <c r="W728" s="72"/>
      <c r="X728" s="66"/>
      <c r="Y728" s="80"/>
      <c r="Z728" s="80"/>
      <c r="AA728" s="153"/>
    </row>
    <row r="729" spans="17:27" x14ac:dyDescent="0.25">
      <c r="Q729" s="53"/>
      <c r="R729" s="68"/>
      <c r="S729" s="68"/>
      <c r="T729" s="68"/>
      <c r="U729" s="68"/>
      <c r="V729" s="72"/>
      <c r="W729" s="72"/>
      <c r="X729" s="66"/>
      <c r="Y729" s="80"/>
      <c r="Z729" s="80"/>
      <c r="AA729" s="153"/>
    </row>
    <row r="730" spans="17:27" x14ac:dyDescent="0.25">
      <c r="Q730" s="53"/>
      <c r="R730" s="68"/>
      <c r="S730" s="68"/>
      <c r="T730" s="68"/>
      <c r="U730" s="68"/>
      <c r="V730" s="72"/>
      <c r="W730" s="72"/>
      <c r="X730" s="66"/>
      <c r="Y730" s="80"/>
      <c r="Z730" s="80"/>
      <c r="AA730" s="153"/>
    </row>
    <row r="731" spans="17:27" x14ac:dyDescent="0.25">
      <c r="Q731" s="53"/>
      <c r="R731" s="68"/>
      <c r="S731" s="68"/>
      <c r="T731" s="68"/>
      <c r="U731" s="68"/>
      <c r="V731" s="72"/>
      <c r="W731" s="72"/>
      <c r="X731" s="66"/>
      <c r="Y731" s="80"/>
      <c r="Z731" s="80"/>
      <c r="AA731" s="153"/>
    </row>
    <row r="732" spans="17:27" x14ac:dyDescent="0.25">
      <c r="Q732" s="53"/>
      <c r="R732" s="68"/>
      <c r="S732" s="68"/>
      <c r="T732" s="68"/>
      <c r="U732" s="68"/>
      <c r="V732" s="72"/>
      <c r="W732" s="72"/>
      <c r="X732" s="66"/>
      <c r="Y732" s="80"/>
      <c r="Z732" s="80"/>
      <c r="AA732" s="153"/>
    </row>
    <row r="733" spans="17:27" x14ac:dyDescent="0.25">
      <c r="Q733" s="53"/>
      <c r="R733" s="68"/>
      <c r="S733" s="68"/>
      <c r="T733" s="68"/>
      <c r="U733" s="68"/>
      <c r="V733" s="72"/>
      <c r="W733" s="72"/>
      <c r="X733" s="66"/>
      <c r="Y733" s="80"/>
      <c r="Z733" s="80"/>
      <c r="AA733" s="153"/>
    </row>
    <row r="734" spans="17:27" x14ac:dyDescent="0.25">
      <c r="Q734" s="53"/>
      <c r="R734" s="68"/>
      <c r="S734" s="68"/>
      <c r="T734" s="68"/>
      <c r="U734" s="68"/>
      <c r="V734" s="72"/>
      <c r="W734" s="72"/>
      <c r="X734" s="66"/>
      <c r="Y734" s="80"/>
      <c r="Z734" s="80"/>
      <c r="AA734" s="153"/>
    </row>
    <row r="735" spans="17:27" x14ac:dyDescent="0.25">
      <c r="Q735" s="53"/>
      <c r="R735" s="68"/>
      <c r="S735" s="68"/>
      <c r="T735" s="68"/>
      <c r="U735" s="68"/>
      <c r="V735" s="72"/>
      <c r="W735" s="72"/>
      <c r="X735" s="66"/>
      <c r="Y735" s="80"/>
      <c r="Z735" s="80"/>
      <c r="AA735" s="153"/>
    </row>
    <row r="736" spans="17:27" x14ac:dyDescent="0.25">
      <c r="Q736" s="53"/>
      <c r="R736" s="68"/>
      <c r="S736" s="68"/>
      <c r="T736" s="68"/>
      <c r="U736" s="68"/>
      <c r="V736" s="72"/>
      <c r="W736" s="72"/>
      <c r="X736" s="66"/>
      <c r="Y736" s="80"/>
      <c r="Z736" s="80"/>
      <c r="AA736" s="153"/>
    </row>
    <row r="737" spans="17:27" x14ac:dyDescent="0.25">
      <c r="Q737" s="53"/>
      <c r="R737" s="68"/>
      <c r="S737" s="68"/>
      <c r="T737" s="68"/>
      <c r="U737" s="68"/>
      <c r="V737" s="72"/>
      <c r="W737" s="72"/>
      <c r="X737" s="66"/>
      <c r="Y737" s="80"/>
      <c r="Z737" s="80"/>
      <c r="AA737" s="153"/>
    </row>
    <row r="738" spans="17:27" x14ac:dyDescent="0.25">
      <c r="Q738" s="53"/>
      <c r="R738" s="68"/>
      <c r="S738" s="68"/>
      <c r="T738" s="68"/>
      <c r="U738" s="68"/>
      <c r="V738" s="72"/>
      <c r="W738" s="72"/>
      <c r="X738" s="66"/>
      <c r="Y738" s="80"/>
      <c r="Z738" s="80"/>
      <c r="AA738" s="153"/>
    </row>
    <row r="739" spans="17:27" x14ac:dyDescent="0.25">
      <c r="Q739" s="53"/>
      <c r="R739" s="68"/>
      <c r="S739" s="68"/>
      <c r="T739" s="68"/>
      <c r="U739" s="68"/>
      <c r="V739" s="72"/>
      <c r="W739" s="72"/>
      <c r="X739" s="66"/>
      <c r="Y739" s="80"/>
      <c r="Z739" s="80"/>
      <c r="AA739" s="153"/>
    </row>
    <row r="740" spans="17:27" x14ac:dyDescent="0.25">
      <c r="Q740" s="53"/>
      <c r="R740" s="68"/>
      <c r="S740" s="68"/>
      <c r="T740" s="68"/>
      <c r="U740" s="68"/>
      <c r="V740" s="72"/>
      <c r="W740" s="72"/>
      <c r="X740" s="66"/>
      <c r="Y740" s="80"/>
      <c r="Z740" s="80"/>
      <c r="AA740" s="153"/>
    </row>
    <row r="741" spans="17:27" x14ac:dyDescent="0.25">
      <c r="Q741" s="53"/>
      <c r="R741" s="68"/>
      <c r="S741" s="68"/>
      <c r="T741" s="68"/>
      <c r="U741" s="68"/>
      <c r="V741" s="72"/>
      <c r="W741" s="72"/>
      <c r="X741" s="66"/>
      <c r="Y741" s="80"/>
      <c r="Z741" s="80"/>
      <c r="AA741" s="153"/>
    </row>
    <row r="742" spans="17:27" x14ac:dyDescent="0.25">
      <c r="Q742" s="53"/>
      <c r="R742" s="68"/>
      <c r="S742" s="68"/>
      <c r="T742" s="68"/>
      <c r="U742" s="68"/>
      <c r="V742" s="72"/>
      <c r="W742" s="72"/>
      <c r="X742" s="66"/>
      <c r="Y742" s="80"/>
      <c r="Z742" s="80"/>
      <c r="AA742" s="153"/>
    </row>
    <row r="743" spans="17:27" x14ac:dyDescent="0.25">
      <c r="Q743" s="53"/>
      <c r="R743" s="68"/>
      <c r="S743" s="68"/>
      <c r="T743" s="68"/>
      <c r="U743" s="68"/>
      <c r="V743" s="72"/>
      <c r="W743" s="72"/>
      <c r="X743" s="66"/>
      <c r="Y743" s="80"/>
      <c r="Z743" s="80"/>
      <c r="AA743" s="153"/>
    </row>
    <row r="744" spans="17:27" x14ac:dyDescent="0.25">
      <c r="Q744" s="53"/>
      <c r="R744" s="68"/>
      <c r="S744" s="68"/>
      <c r="T744" s="68"/>
      <c r="U744" s="68"/>
      <c r="V744" s="72"/>
      <c r="W744" s="72"/>
      <c r="X744" s="66"/>
      <c r="Y744" s="80"/>
      <c r="Z744" s="80"/>
      <c r="AA744" s="153"/>
    </row>
    <row r="745" spans="17:27" x14ac:dyDescent="0.25">
      <c r="Q745" s="53"/>
      <c r="R745" s="68"/>
      <c r="S745" s="68"/>
      <c r="T745" s="68"/>
      <c r="U745" s="68"/>
      <c r="V745" s="72"/>
      <c r="W745" s="72"/>
      <c r="X745" s="66"/>
      <c r="Y745" s="80"/>
      <c r="Z745" s="80"/>
      <c r="AA745" s="153"/>
    </row>
    <row r="746" spans="17:27" x14ac:dyDescent="0.25">
      <c r="Q746" s="53"/>
      <c r="R746" s="68"/>
      <c r="S746" s="68"/>
      <c r="T746" s="68"/>
      <c r="U746" s="68"/>
      <c r="V746" s="72"/>
      <c r="W746" s="72"/>
      <c r="X746" s="66"/>
      <c r="Y746" s="80"/>
      <c r="Z746" s="80"/>
      <c r="AA746" s="153"/>
    </row>
    <row r="747" spans="17:27" x14ac:dyDescent="0.25">
      <c r="Q747" s="53"/>
      <c r="R747" s="68"/>
      <c r="S747" s="68"/>
      <c r="T747" s="68"/>
      <c r="U747" s="68"/>
      <c r="V747" s="72"/>
      <c r="W747" s="72"/>
      <c r="X747" s="66"/>
      <c r="Y747" s="80"/>
      <c r="Z747" s="80"/>
      <c r="AA747" s="153"/>
    </row>
    <row r="748" spans="17:27" x14ac:dyDescent="0.25">
      <c r="Q748" s="53"/>
      <c r="R748" s="68"/>
      <c r="S748" s="68"/>
      <c r="T748" s="68"/>
      <c r="U748" s="68"/>
      <c r="V748" s="72"/>
      <c r="W748" s="72"/>
      <c r="X748" s="66"/>
      <c r="Y748" s="80"/>
      <c r="Z748" s="80"/>
      <c r="AA748" s="153"/>
    </row>
    <row r="749" spans="17:27" x14ac:dyDescent="0.25">
      <c r="Q749" s="53"/>
      <c r="R749" s="68"/>
      <c r="S749" s="68"/>
      <c r="T749" s="68"/>
      <c r="U749" s="68"/>
      <c r="V749" s="72"/>
      <c r="W749" s="72"/>
      <c r="X749" s="66"/>
      <c r="Y749" s="80"/>
      <c r="Z749" s="80"/>
      <c r="AA749" s="153"/>
    </row>
    <row r="750" spans="17:27" x14ac:dyDescent="0.25">
      <c r="Q750" s="53"/>
      <c r="R750" s="68"/>
      <c r="S750" s="68"/>
      <c r="T750" s="68"/>
      <c r="U750" s="68"/>
      <c r="V750" s="72"/>
      <c r="W750" s="72"/>
      <c r="X750" s="66"/>
      <c r="Y750" s="80"/>
      <c r="Z750" s="80"/>
      <c r="AA750" s="153"/>
    </row>
    <row r="751" spans="17:27" x14ac:dyDescent="0.25">
      <c r="Q751" s="53"/>
      <c r="R751" s="68"/>
      <c r="S751" s="68"/>
      <c r="T751" s="68"/>
      <c r="U751" s="68"/>
      <c r="V751" s="72"/>
      <c r="W751" s="72"/>
      <c r="X751" s="66"/>
      <c r="Y751" s="80"/>
      <c r="Z751" s="80"/>
      <c r="AA751" s="153"/>
    </row>
    <row r="752" spans="17:27" x14ac:dyDescent="0.25">
      <c r="Q752" s="53"/>
      <c r="R752" s="68"/>
      <c r="S752" s="68"/>
      <c r="T752" s="68"/>
      <c r="U752" s="68"/>
      <c r="V752" s="72"/>
      <c r="W752" s="72"/>
      <c r="X752" s="66"/>
      <c r="Y752" s="80"/>
      <c r="Z752" s="80"/>
      <c r="AA752" s="153"/>
    </row>
    <row r="753" spans="17:27" x14ac:dyDescent="0.25">
      <c r="Q753" s="53"/>
      <c r="R753" s="68"/>
      <c r="S753" s="68"/>
      <c r="T753" s="68"/>
      <c r="U753" s="68"/>
      <c r="V753" s="72"/>
      <c r="W753" s="72"/>
      <c r="X753" s="66"/>
      <c r="Y753" s="80"/>
      <c r="Z753" s="80"/>
      <c r="AA753" s="153"/>
    </row>
    <row r="754" spans="17:27" x14ac:dyDescent="0.25">
      <c r="Q754" s="53"/>
      <c r="R754" s="68"/>
      <c r="S754" s="68"/>
      <c r="T754" s="68"/>
      <c r="U754" s="68"/>
      <c r="V754" s="72"/>
      <c r="W754" s="72"/>
      <c r="X754" s="66"/>
      <c r="Y754" s="80"/>
      <c r="Z754" s="80"/>
      <c r="AA754" s="153"/>
    </row>
    <row r="755" spans="17:27" x14ac:dyDescent="0.25">
      <c r="Q755" s="53"/>
      <c r="R755" s="68"/>
      <c r="S755" s="68"/>
      <c r="T755" s="68"/>
      <c r="U755" s="68"/>
      <c r="V755" s="72"/>
      <c r="W755" s="72"/>
      <c r="X755" s="66"/>
      <c r="Y755" s="80"/>
      <c r="Z755" s="80"/>
      <c r="AA755" s="153"/>
    </row>
    <row r="756" spans="17:27" x14ac:dyDescent="0.25">
      <c r="Q756" s="53"/>
      <c r="R756" s="68"/>
      <c r="S756" s="68"/>
      <c r="T756" s="68"/>
      <c r="U756" s="68"/>
      <c r="V756" s="72"/>
      <c r="W756" s="72"/>
      <c r="X756" s="66"/>
      <c r="Y756" s="80"/>
      <c r="Z756" s="80"/>
      <c r="AA756" s="153"/>
    </row>
    <row r="757" spans="17:27" x14ac:dyDescent="0.25">
      <c r="Q757" s="53"/>
      <c r="R757" s="68"/>
      <c r="S757" s="68"/>
      <c r="T757" s="68"/>
      <c r="U757" s="68"/>
      <c r="V757" s="72"/>
      <c r="W757" s="72"/>
      <c r="X757" s="66"/>
      <c r="Y757" s="80"/>
      <c r="Z757" s="80"/>
      <c r="AA757" s="153"/>
    </row>
    <row r="758" spans="17:27" x14ac:dyDescent="0.25">
      <c r="Q758" s="53"/>
      <c r="R758" s="68"/>
      <c r="S758" s="68"/>
      <c r="T758" s="68"/>
      <c r="U758" s="68"/>
      <c r="V758" s="72"/>
      <c r="W758" s="72"/>
      <c r="X758" s="66"/>
      <c r="Y758" s="80"/>
      <c r="Z758" s="80"/>
      <c r="AA758" s="153"/>
    </row>
    <row r="759" spans="17:27" x14ac:dyDescent="0.25">
      <c r="Q759" s="53"/>
      <c r="R759" s="68"/>
      <c r="S759" s="68"/>
      <c r="T759" s="68"/>
      <c r="U759" s="68"/>
      <c r="V759" s="72"/>
      <c r="W759" s="72"/>
      <c r="X759" s="66"/>
      <c r="Y759" s="80"/>
      <c r="Z759" s="80"/>
      <c r="AA759" s="153"/>
    </row>
    <row r="760" spans="17:27" x14ac:dyDescent="0.25">
      <c r="Q760" s="53"/>
      <c r="R760" s="68"/>
      <c r="S760" s="68"/>
      <c r="T760" s="68"/>
      <c r="U760" s="68"/>
      <c r="V760" s="72"/>
      <c r="W760" s="72"/>
      <c r="X760" s="66"/>
      <c r="Y760" s="80"/>
      <c r="Z760" s="80"/>
      <c r="AA760" s="153"/>
    </row>
    <row r="761" spans="17:27" x14ac:dyDescent="0.25">
      <c r="Q761" s="53"/>
      <c r="R761" s="68"/>
      <c r="S761" s="68"/>
      <c r="T761" s="68"/>
      <c r="U761" s="68"/>
      <c r="V761" s="72"/>
      <c r="W761" s="72"/>
      <c r="X761" s="66"/>
      <c r="Y761" s="80"/>
      <c r="Z761" s="80"/>
      <c r="AA761" s="153"/>
    </row>
    <row r="762" spans="17:27" x14ac:dyDescent="0.25">
      <c r="Q762" s="53"/>
      <c r="R762" s="68"/>
      <c r="S762" s="68"/>
      <c r="T762" s="68"/>
      <c r="U762" s="68"/>
      <c r="V762" s="72"/>
      <c r="W762" s="72"/>
      <c r="X762" s="66"/>
      <c r="Y762" s="80"/>
      <c r="Z762" s="80"/>
      <c r="AA762" s="153"/>
    </row>
    <row r="763" spans="17:27" x14ac:dyDescent="0.25">
      <c r="Q763" s="53"/>
      <c r="R763" s="68"/>
      <c r="S763" s="68"/>
      <c r="T763" s="68"/>
      <c r="U763" s="68"/>
      <c r="V763" s="72"/>
      <c r="W763" s="72"/>
      <c r="X763" s="66"/>
      <c r="Y763" s="80"/>
      <c r="Z763" s="80"/>
      <c r="AA763" s="153"/>
    </row>
    <row r="764" spans="17:27" x14ac:dyDescent="0.25">
      <c r="Q764" s="53"/>
      <c r="R764" s="68"/>
      <c r="S764" s="68"/>
      <c r="T764" s="68"/>
      <c r="U764" s="68"/>
      <c r="V764" s="72"/>
      <c r="W764" s="72"/>
      <c r="X764" s="66"/>
      <c r="Y764" s="80"/>
      <c r="Z764" s="80"/>
      <c r="AA764" s="153"/>
    </row>
    <row r="765" spans="17:27" x14ac:dyDescent="0.25">
      <c r="Q765" s="53"/>
      <c r="R765" s="68"/>
      <c r="S765" s="68"/>
      <c r="T765" s="68"/>
      <c r="U765" s="68"/>
      <c r="V765" s="72"/>
      <c r="W765" s="72"/>
      <c r="X765" s="66"/>
      <c r="Y765" s="80"/>
      <c r="Z765" s="80"/>
      <c r="AA765" s="153"/>
    </row>
    <row r="766" spans="17:27" x14ac:dyDescent="0.25">
      <c r="Q766" s="53"/>
      <c r="R766" s="68"/>
      <c r="S766" s="68"/>
      <c r="T766" s="68"/>
      <c r="U766" s="68"/>
      <c r="V766" s="72"/>
      <c r="W766" s="72"/>
      <c r="X766" s="66"/>
      <c r="Y766" s="80"/>
      <c r="Z766" s="80"/>
      <c r="AA766" s="153"/>
    </row>
    <row r="767" spans="17:27" x14ac:dyDescent="0.25">
      <c r="Q767" s="53"/>
      <c r="R767" s="68"/>
      <c r="S767" s="68"/>
      <c r="T767" s="68"/>
      <c r="U767" s="68"/>
      <c r="V767" s="72"/>
      <c r="W767" s="72"/>
      <c r="X767" s="66"/>
      <c r="Y767" s="80"/>
      <c r="Z767" s="80"/>
      <c r="AA767" s="153"/>
    </row>
    <row r="768" spans="17:27" x14ac:dyDescent="0.25">
      <c r="Q768" s="53"/>
      <c r="R768" s="68"/>
      <c r="S768" s="68"/>
      <c r="T768" s="68"/>
      <c r="U768" s="68"/>
      <c r="V768" s="72"/>
      <c r="W768" s="72"/>
      <c r="X768" s="66"/>
      <c r="Y768" s="80"/>
      <c r="Z768" s="80"/>
      <c r="AA768" s="153"/>
    </row>
    <row r="769" spans="17:27" x14ac:dyDescent="0.25">
      <c r="Q769" s="53"/>
      <c r="R769" s="68"/>
      <c r="S769" s="68"/>
      <c r="T769" s="68"/>
      <c r="U769" s="68"/>
      <c r="V769" s="72"/>
      <c r="W769" s="72"/>
      <c r="X769" s="66"/>
      <c r="Y769" s="80"/>
      <c r="Z769" s="80"/>
      <c r="AA769" s="153"/>
    </row>
    <row r="770" spans="17:27" x14ac:dyDescent="0.25">
      <c r="Q770" s="53"/>
      <c r="R770" s="68"/>
      <c r="S770" s="68"/>
      <c r="T770" s="68"/>
      <c r="U770" s="68"/>
      <c r="V770" s="72"/>
      <c r="W770" s="72"/>
      <c r="X770" s="66"/>
      <c r="Y770" s="80"/>
      <c r="Z770" s="80"/>
      <c r="AA770" s="153"/>
    </row>
    <row r="771" spans="17:27" x14ac:dyDescent="0.25">
      <c r="Q771" s="53"/>
      <c r="R771" s="68"/>
      <c r="S771" s="68"/>
      <c r="T771" s="68"/>
      <c r="U771" s="68"/>
      <c r="V771" s="72"/>
      <c r="W771" s="72"/>
      <c r="X771" s="66"/>
      <c r="Y771" s="80"/>
      <c r="Z771" s="80"/>
      <c r="AA771" s="153"/>
    </row>
    <row r="772" spans="17:27" x14ac:dyDescent="0.25">
      <c r="Q772" s="53"/>
      <c r="R772" s="68"/>
      <c r="S772" s="68"/>
      <c r="T772" s="68"/>
      <c r="U772" s="68"/>
      <c r="V772" s="72"/>
      <c r="W772" s="72"/>
      <c r="X772" s="66"/>
      <c r="Y772" s="80"/>
      <c r="Z772" s="80"/>
      <c r="AA772" s="153"/>
    </row>
    <row r="773" spans="17:27" x14ac:dyDescent="0.25">
      <c r="Q773" s="53"/>
      <c r="R773" s="68"/>
      <c r="S773" s="68"/>
      <c r="T773" s="68"/>
      <c r="U773" s="68"/>
      <c r="V773" s="72"/>
      <c r="W773" s="72"/>
      <c r="X773" s="66"/>
      <c r="Y773" s="80"/>
      <c r="Z773" s="80"/>
      <c r="AA773" s="153"/>
    </row>
    <row r="774" spans="17:27" x14ac:dyDescent="0.25">
      <c r="Q774" s="53"/>
      <c r="R774" s="68"/>
      <c r="S774" s="68"/>
      <c r="T774" s="68"/>
      <c r="U774" s="68"/>
      <c r="V774" s="72"/>
      <c r="W774" s="72"/>
      <c r="X774" s="66"/>
      <c r="Y774" s="80"/>
      <c r="Z774" s="80"/>
      <c r="AA774" s="153"/>
    </row>
    <row r="775" spans="17:27" x14ac:dyDescent="0.25">
      <c r="Q775" s="53"/>
      <c r="R775" s="68"/>
      <c r="S775" s="68"/>
      <c r="T775" s="68"/>
      <c r="U775" s="68"/>
      <c r="V775" s="72"/>
      <c r="W775" s="72"/>
      <c r="X775" s="66"/>
      <c r="Y775" s="80"/>
      <c r="Z775" s="80"/>
      <c r="AA775" s="153"/>
    </row>
    <row r="776" spans="17:27" x14ac:dyDescent="0.25">
      <c r="Q776" s="53"/>
      <c r="R776" s="68"/>
      <c r="S776" s="68"/>
      <c r="T776" s="68"/>
      <c r="U776" s="68"/>
      <c r="V776" s="72"/>
      <c r="W776" s="72"/>
      <c r="X776" s="66"/>
      <c r="Y776" s="80"/>
      <c r="Z776" s="80"/>
      <c r="AA776" s="153"/>
    </row>
    <row r="777" spans="17:27" x14ac:dyDescent="0.25">
      <c r="Q777" s="53"/>
      <c r="R777" s="68"/>
      <c r="S777" s="68"/>
      <c r="T777" s="68"/>
      <c r="U777" s="68"/>
      <c r="V777" s="72"/>
      <c r="W777" s="72"/>
      <c r="X777" s="66"/>
      <c r="Y777" s="80"/>
      <c r="Z777" s="80"/>
      <c r="AA777" s="153"/>
    </row>
    <row r="778" spans="17:27" x14ac:dyDescent="0.25">
      <c r="Q778" s="53"/>
      <c r="R778" s="68"/>
      <c r="S778" s="68"/>
      <c r="T778" s="68"/>
      <c r="U778" s="68"/>
      <c r="V778" s="72"/>
      <c r="W778" s="72"/>
      <c r="X778" s="66"/>
      <c r="Y778" s="80"/>
      <c r="Z778" s="80"/>
      <c r="AA778" s="153"/>
    </row>
    <row r="779" spans="17:27" x14ac:dyDescent="0.25">
      <c r="Q779" s="53"/>
      <c r="R779" s="68"/>
      <c r="S779" s="68"/>
      <c r="T779" s="68"/>
      <c r="U779" s="68"/>
      <c r="V779" s="72"/>
      <c r="W779" s="72"/>
      <c r="X779" s="66"/>
      <c r="Y779" s="80"/>
      <c r="Z779" s="80"/>
      <c r="AA779" s="153"/>
    </row>
    <row r="780" spans="17:27" x14ac:dyDescent="0.25">
      <c r="Q780" s="53"/>
      <c r="R780" s="68"/>
      <c r="S780" s="68"/>
      <c r="T780" s="68"/>
      <c r="U780" s="68"/>
      <c r="V780" s="72"/>
      <c r="W780" s="72"/>
      <c r="X780" s="66"/>
      <c r="Y780" s="80"/>
      <c r="Z780" s="80"/>
      <c r="AA780" s="153"/>
    </row>
    <row r="781" spans="17:27" x14ac:dyDescent="0.25">
      <c r="Q781" s="53"/>
      <c r="R781" s="68"/>
      <c r="S781" s="68"/>
      <c r="T781" s="68"/>
      <c r="U781" s="68"/>
      <c r="V781" s="72"/>
      <c r="W781" s="72"/>
      <c r="X781" s="66"/>
      <c r="Y781" s="80"/>
      <c r="Z781" s="80"/>
      <c r="AA781" s="153"/>
    </row>
    <row r="782" spans="17:27" x14ac:dyDescent="0.25">
      <c r="Q782" s="53"/>
      <c r="R782" s="68"/>
      <c r="S782" s="68"/>
      <c r="T782" s="68"/>
      <c r="U782" s="68"/>
      <c r="V782" s="72"/>
      <c r="W782" s="72"/>
      <c r="X782" s="66"/>
      <c r="Y782" s="80"/>
      <c r="Z782" s="80"/>
      <c r="AA782" s="153"/>
    </row>
    <row r="783" spans="17:27" x14ac:dyDescent="0.25">
      <c r="Q783" s="53"/>
      <c r="R783" s="68"/>
      <c r="S783" s="68"/>
      <c r="T783" s="68"/>
      <c r="U783" s="68"/>
      <c r="V783" s="72"/>
      <c r="W783" s="72"/>
      <c r="X783" s="66"/>
      <c r="Y783" s="80"/>
      <c r="Z783" s="80"/>
      <c r="AA783" s="153"/>
    </row>
    <row r="784" spans="17:27" x14ac:dyDescent="0.25">
      <c r="Q784" s="53"/>
      <c r="R784" s="68"/>
      <c r="S784" s="68"/>
      <c r="T784" s="68"/>
      <c r="U784" s="68"/>
      <c r="V784" s="72"/>
      <c r="W784" s="72"/>
      <c r="X784" s="66"/>
      <c r="Y784" s="80"/>
      <c r="Z784" s="80"/>
      <c r="AA784" s="153"/>
    </row>
    <row r="785" spans="17:27" x14ac:dyDescent="0.25">
      <c r="Q785" s="53"/>
      <c r="R785" s="68"/>
      <c r="S785" s="68"/>
      <c r="T785" s="68"/>
      <c r="U785" s="68"/>
      <c r="V785" s="72"/>
      <c r="W785" s="72"/>
      <c r="X785" s="66"/>
      <c r="Y785" s="80"/>
      <c r="Z785" s="80"/>
      <c r="AA785" s="153"/>
    </row>
    <row r="786" spans="17:27" x14ac:dyDescent="0.25">
      <c r="Q786" s="53"/>
      <c r="R786" s="68"/>
      <c r="S786" s="68"/>
      <c r="T786" s="68"/>
      <c r="U786" s="68"/>
      <c r="V786" s="72"/>
      <c r="W786" s="72"/>
      <c r="X786" s="66"/>
      <c r="Y786" s="80"/>
      <c r="Z786" s="80"/>
      <c r="AA786" s="153"/>
    </row>
    <row r="787" spans="17:27" x14ac:dyDescent="0.25">
      <c r="Q787" s="53"/>
      <c r="R787" s="68"/>
      <c r="S787" s="68"/>
      <c r="T787" s="68"/>
      <c r="U787" s="68"/>
      <c r="V787" s="72"/>
      <c r="W787" s="72"/>
      <c r="X787" s="66"/>
      <c r="Y787" s="80"/>
      <c r="Z787" s="80"/>
      <c r="AA787" s="153"/>
    </row>
    <row r="788" spans="17:27" x14ac:dyDescent="0.25">
      <c r="Q788" s="53"/>
      <c r="R788" s="68"/>
      <c r="S788" s="68"/>
      <c r="T788" s="68"/>
      <c r="U788" s="68"/>
      <c r="V788" s="72"/>
      <c r="W788" s="72"/>
      <c r="X788" s="66"/>
      <c r="Y788" s="80"/>
      <c r="Z788" s="80"/>
      <c r="AA788" s="153"/>
    </row>
    <row r="789" spans="17:27" x14ac:dyDescent="0.25">
      <c r="Q789" s="53"/>
      <c r="R789" s="68"/>
      <c r="S789" s="68"/>
      <c r="T789" s="68"/>
      <c r="U789" s="68"/>
      <c r="V789" s="72"/>
      <c r="W789" s="72"/>
      <c r="X789" s="66"/>
      <c r="Y789" s="80"/>
      <c r="Z789" s="80"/>
      <c r="AA789" s="153"/>
    </row>
    <row r="790" spans="17:27" x14ac:dyDescent="0.25">
      <c r="Q790" s="53"/>
      <c r="R790" s="68"/>
      <c r="S790" s="68"/>
      <c r="T790" s="68"/>
      <c r="U790" s="68"/>
      <c r="V790" s="72"/>
      <c r="W790" s="72"/>
      <c r="X790" s="66"/>
      <c r="Y790" s="80"/>
      <c r="Z790" s="80"/>
      <c r="AA790" s="153"/>
    </row>
    <row r="791" spans="17:27" x14ac:dyDescent="0.25">
      <c r="Q791" s="53"/>
      <c r="R791" s="68"/>
      <c r="S791" s="68"/>
      <c r="T791" s="68"/>
      <c r="U791" s="68"/>
      <c r="V791" s="72"/>
      <c r="W791" s="72"/>
      <c r="X791" s="66"/>
      <c r="Y791" s="80"/>
      <c r="Z791" s="80"/>
      <c r="AA791" s="153"/>
    </row>
    <row r="792" spans="17:27" x14ac:dyDescent="0.25">
      <c r="Q792" s="53"/>
      <c r="R792" s="68"/>
      <c r="S792" s="68"/>
      <c r="T792" s="68"/>
      <c r="U792" s="68"/>
      <c r="V792" s="72"/>
      <c r="W792" s="72"/>
      <c r="X792" s="66"/>
      <c r="Y792" s="80"/>
      <c r="Z792" s="80"/>
      <c r="AA792" s="153"/>
    </row>
    <row r="793" spans="17:27" x14ac:dyDescent="0.25">
      <c r="Q793" s="53"/>
      <c r="R793" s="68"/>
      <c r="S793" s="68"/>
      <c r="T793" s="68"/>
      <c r="U793" s="68"/>
      <c r="V793" s="72"/>
      <c r="W793" s="72"/>
      <c r="X793" s="66"/>
      <c r="Y793" s="80"/>
      <c r="Z793" s="80"/>
      <c r="AA793" s="153"/>
    </row>
    <row r="794" spans="17:27" x14ac:dyDescent="0.25">
      <c r="Q794" s="53"/>
      <c r="R794" s="68"/>
      <c r="S794" s="68"/>
      <c r="T794" s="68"/>
      <c r="U794" s="68"/>
      <c r="V794" s="72"/>
      <c r="W794" s="72"/>
      <c r="X794" s="66"/>
      <c r="Y794" s="80"/>
      <c r="Z794" s="80"/>
      <c r="AA794" s="153"/>
    </row>
    <row r="795" spans="17:27" x14ac:dyDescent="0.25">
      <c r="Q795" s="53"/>
      <c r="R795" s="68"/>
      <c r="S795" s="68"/>
      <c r="T795" s="68"/>
      <c r="U795" s="68"/>
      <c r="V795" s="72"/>
      <c r="W795" s="72"/>
      <c r="X795" s="66"/>
      <c r="Y795" s="80"/>
      <c r="Z795" s="80"/>
      <c r="AA795" s="153"/>
    </row>
    <row r="796" spans="17:27" x14ac:dyDescent="0.25">
      <c r="Q796" s="53"/>
      <c r="R796" s="68"/>
      <c r="S796" s="68"/>
      <c r="T796" s="68"/>
      <c r="U796" s="68"/>
      <c r="V796" s="72"/>
      <c r="W796" s="72"/>
      <c r="X796" s="66"/>
      <c r="Y796" s="80"/>
      <c r="Z796" s="80"/>
      <c r="AA796" s="153"/>
    </row>
    <row r="797" spans="17:27" x14ac:dyDescent="0.25">
      <c r="Q797" s="53"/>
      <c r="R797" s="68"/>
      <c r="S797" s="68"/>
      <c r="T797" s="68"/>
      <c r="U797" s="68"/>
      <c r="V797" s="72"/>
      <c r="W797" s="72"/>
      <c r="X797" s="66"/>
      <c r="Y797" s="80"/>
      <c r="Z797" s="80"/>
      <c r="AA797" s="153"/>
    </row>
    <row r="798" spans="17:27" x14ac:dyDescent="0.25">
      <c r="Q798" s="53"/>
      <c r="R798" s="68"/>
      <c r="S798" s="68"/>
      <c r="T798" s="68"/>
      <c r="U798" s="68"/>
      <c r="V798" s="72"/>
      <c r="W798" s="72"/>
      <c r="X798" s="66"/>
      <c r="Y798" s="80"/>
      <c r="Z798" s="80"/>
      <c r="AA798" s="153"/>
    </row>
    <row r="799" spans="17:27" x14ac:dyDescent="0.25">
      <c r="Q799" s="53"/>
      <c r="R799" s="68"/>
      <c r="S799" s="68"/>
      <c r="T799" s="68"/>
      <c r="U799" s="68"/>
      <c r="V799" s="72"/>
      <c r="W799" s="72"/>
      <c r="X799" s="66"/>
      <c r="Y799" s="80"/>
      <c r="Z799" s="80"/>
      <c r="AA799" s="153"/>
    </row>
    <row r="800" spans="17:27" x14ac:dyDescent="0.25">
      <c r="Q800" s="53"/>
      <c r="R800" s="68"/>
      <c r="S800" s="68"/>
      <c r="T800" s="68"/>
      <c r="U800" s="68"/>
      <c r="V800" s="72"/>
      <c r="W800" s="72"/>
      <c r="X800" s="66"/>
      <c r="Y800" s="80"/>
      <c r="Z800" s="80"/>
      <c r="AA800" s="153"/>
    </row>
    <row r="801" spans="17:27" x14ac:dyDescent="0.25">
      <c r="Q801" s="53"/>
      <c r="R801" s="68"/>
      <c r="S801" s="68"/>
      <c r="T801" s="68"/>
      <c r="U801" s="68"/>
      <c r="V801" s="72"/>
      <c r="W801" s="72"/>
      <c r="X801" s="66"/>
      <c r="Y801" s="80"/>
      <c r="Z801" s="80"/>
      <c r="AA801" s="153"/>
    </row>
    <row r="802" spans="17:27" x14ac:dyDescent="0.25">
      <c r="Q802" s="53"/>
      <c r="R802" s="68"/>
      <c r="S802" s="68"/>
      <c r="T802" s="68"/>
      <c r="U802" s="68"/>
      <c r="V802" s="72"/>
      <c r="W802" s="72"/>
      <c r="X802" s="66"/>
      <c r="Y802" s="80"/>
      <c r="Z802" s="80"/>
      <c r="AA802" s="153"/>
    </row>
    <row r="803" spans="17:27" x14ac:dyDescent="0.25">
      <c r="Q803" s="53"/>
      <c r="R803" s="68"/>
      <c r="S803" s="68"/>
      <c r="T803" s="68"/>
      <c r="U803" s="68"/>
      <c r="V803" s="72"/>
      <c r="W803" s="72"/>
      <c r="X803" s="66"/>
      <c r="Y803" s="80"/>
      <c r="Z803" s="80"/>
      <c r="AA803" s="153"/>
    </row>
    <row r="804" spans="17:27" x14ac:dyDescent="0.25">
      <c r="Q804" s="53"/>
      <c r="R804" s="68"/>
      <c r="S804" s="68"/>
      <c r="T804" s="68"/>
      <c r="U804" s="68"/>
      <c r="V804" s="72"/>
      <c r="W804" s="72"/>
      <c r="X804" s="66"/>
      <c r="Y804" s="80"/>
      <c r="Z804" s="80"/>
      <c r="AA804" s="153"/>
    </row>
    <row r="805" spans="17:27" x14ac:dyDescent="0.25">
      <c r="Q805" s="53"/>
      <c r="R805" s="68"/>
      <c r="S805" s="68"/>
      <c r="T805" s="68"/>
      <c r="U805" s="68"/>
      <c r="V805" s="72"/>
      <c r="W805" s="72"/>
      <c r="X805" s="66"/>
      <c r="Y805" s="80"/>
      <c r="Z805" s="80"/>
      <c r="AA805" s="153"/>
    </row>
    <row r="806" spans="17:27" x14ac:dyDescent="0.25">
      <c r="Q806" s="53"/>
      <c r="R806" s="68"/>
      <c r="S806" s="68"/>
      <c r="T806" s="68"/>
      <c r="U806" s="68"/>
      <c r="V806" s="72"/>
      <c r="W806" s="72"/>
      <c r="X806" s="66"/>
      <c r="Y806" s="80"/>
      <c r="Z806" s="80"/>
      <c r="AA806" s="153"/>
    </row>
    <row r="807" spans="17:27" x14ac:dyDescent="0.25">
      <c r="Q807" s="53"/>
      <c r="R807" s="68"/>
      <c r="S807" s="68"/>
      <c r="T807" s="68"/>
      <c r="U807" s="68"/>
      <c r="V807" s="72"/>
      <c r="W807" s="72"/>
      <c r="X807" s="66"/>
      <c r="Y807" s="80"/>
      <c r="Z807" s="80"/>
      <c r="AA807" s="153"/>
    </row>
    <row r="808" spans="17:27" x14ac:dyDescent="0.25">
      <c r="Q808" s="53"/>
      <c r="R808" s="68"/>
      <c r="S808" s="68"/>
      <c r="T808" s="68"/>
      <c r="U808" s="68"/>
      <c r="V808" s="72"/>
      <c r="W808" s="72"/>
      <c r="X808" s="66"/>
      <c r="Y808" s="80"/>
      <c r="Z808" s="80"/>
      <c r="AA808" s="153"/>
    </row>
    <row r="809" spans="17:27" x14ac:dyDescent="0.25">
      <c r="Q809" s="53"/>
      <c r="R809" s="68"/>
      <c r="S809" s="68"/>
      <c r="T809" s="68"/>
      <c r="U809" s="68"/>
      <c r="V809" s="72"/>
      <c r="W809" s="72"/>
      <c r="X809" s="66"/>
      <c r="Y809" s="80"/>
      <c r="Z809" s="80"/>
      <c r="AA809" s="153"/>
    </row>
    <row r="810" spans="17:27" x14ac:dyDescent="0.25">
      <c r="Q810" s="53"/>
      <c r="R810" s="68"/>
      <c r="S810" s="68"/>
      <c r="T810" s="68"/>
      <c r="U810" s="68"/>
      <c r="V810" s="72"/>
      <c r="W810" s="72"/>
      <c r="X810" s="66"/>
      <c r="Y810" s="80"/>
      <c r="Z810" s="80"/>
      <c r="AA810" s="153"/>
    </row>
    <row r="811" spans="17:27" x14ac:dyDescent="0.25">
      <c r="Q811" s="53"/>
      <c r="R811" s="68"/>
      <c r="S811" s="68"/>
      <c r="T811" s="68"/>
      <c r="U811" s="68"/>
      <c r="V811" s="72"/>
      <c r="W811" s="72"/>
      <c r="X811" s="66"/>
      <c r="Y811" s="80"/>
      <c r="Z811" s="80"/>
      <c r="AA811" s="153"/>
    </row>
    <row r="812" spans="17:27" x14ac:dyDescent="0.25">
      <c r="Q812" s="53"/>
      <c r="R812" s="68"/>
      <c r="S812" s="68"/>
      <c r="T812" s="68"/>
      <c r="U812" s="68"/>
      <c r="V812" s="72"/>
      <c r="W812" s="72"/>
      <c r="X812" s="66"/>
      <c r="Y812" s="80"/>
      <c r="Z812" s="80"/>
      <c r="AA812" s="153"/>
    </row>
    <row r="813" spans="17:27" x14ac:dyDescent="0.25">
      <c r="Q813" s="53"/>
      <c r="R813" s="68"/>
      <c r="S813" s="68"/>
      <c r="T813" s="68"/>
      <c r="U813" s="68"/>
      <c r="V813" s="72"/>
      <c r="W813" s="72"/>
      <c r="X813" s="66"/>
      <c r="Y813" s="80"/>
      <c r="Z813" s="80"/>
      <c r="AA813" s="153"/>
    </row>
    <row r="814" spans="17:27" x14ac:dyDescent="0.25">
      <c r="Q814" s="53"/>
      <c r="R814" s="68"/>
      <c r="S814" s="68"/>
      <c r="T814" s="68"/>
      <c r="U814" s="68"/>
      <c r="V814" s="72"/>
      <c r="W814" s="72"/>
      <c r="X814" s="66"/>
      <c r="Y814" s="80"/>
      <c r="Z814" s="80"/>
      <c r="AA814" s="153"/>
    </row>
    <row r="815" spans="17:27" x14ac:dyDescent="0.25">
      <c r="Q815" s="53"/>
      <c r="R815" s="68"/>
      <c r="S815" s="68"/>
      <c r="T815" s="68"/>
      <c r="U815" s="68"/>
      <c r="V815" s="72"/>
      <c r="W815" s="72"/>
      <c r="X815" s="66"/>
      <c r="Y815" s="80"/>
      <c r="Z815" s="80"/>
      <c r="AA815" s="153"/>
    </row>
    <row r="816" spans="17:27" x14ac:dyDescent="0.25">
      <c r="Q816" s="53"/>
      <c r="R816" s="68"/>
      <c r="S816" s="68"/>
      <c r="T816" s="68"/>
      <c r="U816" s="68"/>
      <c r="V816" s="72"/>
      <c r="W816" s="72"/>
      <c r="X816" s="66"/>
      <c r="Y816" s="80"/>
      <c r="Z816" s="80"/>
      <c r="AA816" s="153"/>
    </row>
    <row r="817" spans="17:27" x14ac:dyDescent="0.25">
      <c r="Q817" s="53"/>
      <c r="R817" s="68"/>
      <c r="S817" s="68"/>
      <c r="T817" s="68"/>
      <c r="U817" s="68"/>
      <c r="V817" s="72"/>
      <c r="W817" s="72"/>
      <c r="X817" s="66"/>
      <c r="Y817" s="80"/>
      <c r="Z817" s="80"/>
      <c r="AA817" s="153"/>
    </row>
    <row r="818" spans="17:27" x14ac:dyDescent="0.25">
      <c r="Q818" s="53"/>
      <c r="R818" s="68"/>
      <c r="S818" s="68"/>
      <c r="T818" s="68"/>
      <c r="U818" s="68"/>
      <c r="V818" s="72"/>
      <c r="W818" s="72"/>
      <c r="X818" s="66"/>
      <c r="Y818" s="80"/>
      <c r="Z818" s="80"/>
      <c r="AA818" s="153"/>
    </row>
    <row r="819" spans="17:27" x14ac:dyDescent="0.25">
      <c r="Q819" s="53"/>
      <c r="R819" s="68"/>
      <c r="S819" s="68"/>
      <c r="T819" s="68"/>
      <c r="U819" s="68"/>
      <c r="V819" s="72"/>
      <c r="W819" s="72"/>
      <c r="X819" s="66"/>
      <c r="Y819" s="80"/>
      <c r="Z819" s="80"/>
      <c r="AA819" s="153"/>
    </row>
    <row r="820" spans="17:27" x14ac:dyDescent="0.25">
      <c r="Q820" s="53"/>
      <c r="R820" s="68"/>
      <c r="S820" s="68"/>
      <c r="T820" s="68"/>
      <c r="U820" s="68"/>
      <c r="V820" s="72"/>
      <c r="W820" s="72"/>
      <c r="X820" s="66"/>
      <c r="Y820" s="80"/>
      <c r="Z820" s="80"/>
      <c r="AA820" s="153"/>
    </row>
    <row r="821" spans="17:27" x14ac:dyDescent="0.25">
      <c r="Q821" s="53"/>
      <c r="R821" s="68"/>
      <c r="S821" s="68"/>
      <c r="T821" s="68"/>
      <c r="U821" s="68"/>
      <c r="V821" s="72"/>
      <c r="W821" s="72"/>
      <c r="X821" s="66"/>
      <c r="Y821" s="80"/>
      <c r="Z821" s="80"/>
      <c r="AA821" s="153"/>
    </row>
    <row r="822" spans="17:27" x14ac:dyDescent="0.25">
      <c r="Q822" s="53"/>
      <c r="R822" s="68"/>
      <c r="S822" s="68"/>
      <c r="T822" s="68"/>
      <c r="U822" s="68"/>
      <c r="V822" s="72"/>
      <c r="W822" s="72"/>
      <c r="X822" s="66"/>
      <c r="Y822" s="80"/>
      <c r="Z822" s="80"/>
      <c r="AA822" s="153"/>
    </row>
    <row r="823" spans="17:27" x14ac:dyDescent="0.25">
      <c r="Q823" s="53"/>
      <c r="R823" s="68"/>
      <c r="S823" s="68"/>
      <c r="T823" s="68"/>
      <c r="U823" s="68"/>
      <c r="V823" s="72"/>
      <c r="W823" s="72"/>
      <c r="X823" s="66"/>
      <c r="Y823" s="80"/>
      <c r="Z823" s="80"/>
      <c r="AA823" s="153"/>
    </row>
    <row r="824" spans="17:27" x14ac:dyDescent="0.25">
      <c r="Q824" s="53"/>
      <c r="R824" s="68"/>
      <c r="S824" s="68"/>
      <c r="T824" s="68"/>
      <c r="U824" s="68"/>
      <c r="V824" s="72"/>
      <c r="W824" s="72"/>
      <c r="X824" s="66"/>
      <c r="Y824" s="80"/>
      <c r="Z824" s="80"/>
      <c r="AA824" s="153"/>
    </row>
    <row r="825" spans="17:27" x14ac:dyDescent="0.25">
      <c r="Q825" s="53"/>
      <c r="R825" s="68"/>
      <c r="S825" s="68"/>
      <c r="T825" s="68"/>
      <c r="U825" s="68"/>
      <c r="V825" s="72"/>
      <c r="W825" s="72"/>
      <c r="X825" s="66"/>
      <c r="Y825" s="80"/>
      <c r="Z825" s="80"/>
      <c r="AA825" s="153"/>
    </row>
    <row r="826" spans="17:27" x14ac:dyDescent="0.25">
      <c r="Q826" s="53"/>
      <c r="R826" s="68"/>
      <c r="S826" s="68"/>
      <c r="T826" s="68"/>
      <c r="U826" s="68"/>
      <c r="V826" s="72"/>
      <c r="W826" s="72"/>
      <c r="X826" s="66"/>
      <c r="Y826" s="80"/>
      <c r="Z826" s="80"/>
      <c r="AA826" s="153"/>
    </row>
    <row r="827" spans="17:27" x14ac:dyDescent="0.25">
      <c r="Q827" s="53"/>
      <c r="R827" s="68"/>
      <c r="S827" s="68"/>
      <c r="T827" s="68"/>
      <c r="U827" s="68"/>
      <c r="V827" s="72"/>
      <c r="W827" s="72"/>
      <c r="X827" s="66"/>
      <c r="Y827" s="80"/>
      <c r="Z827" s="80"/>
      <c r="AA827" s="153"/>
    </row>
    <row r="828" spans="17:27" x14ac:dyDescent="0.25">
      <c r="Q828" s="53"/>
      <c r="R828" s="68"/>
      <c r="S828" s="68"/>
      <c r="T828" s="68"/>
      <c r="U828" s="68"/>
      <c r="V828" s="72"/>
      <c r="W828" s="72"/>
      <c r="X828" s="66"/>
      <c r="Y828" s="80"/>
      <c r="Z828" s="80"/>
      <c r="AA828" s="153"/>
    </row>
    <row r="829" spans="17:27" x14ac:dyDescent="0.25">
      <c r="Q829" s="53"/>
      <c r="R829" s="68"/>
      <c r="S829" s="68"/>
      <c r="T829" s="68"/>
      <c r="U829" s="68"/>
      <c r="V829" s="72"/>
      <c r="W829" s="72"/>
      <c r="X829" s="66"/>
      <c r="Y829" s="80"/>
      <c r="Z829" s="80"/>
      <c r="AA829" s="153"/>
    </row>
    <row r="830" spans="17:27" x14ac:dyDescent="0.25">
      <c r="Q830" s="53"/>
      <c r="R830" s="68"/>
      <c r="S830" s="68"/>
      <c r="T830" s="68"/>
      <c r="U830" s="68"/>
      <c r="V830" s="72"/>
      <c r="W830" s="72"/>
      <c r="X830" s="66"/>
      <c r="Y830" s="80"/>
      <c r="Z830" s="80"/>
      <c r="AA830" s="153"/>
    </row>
    <row r="831" spans="17:27" x14ac:dyDescent="0.25">
      <c r="Q831" s="53"/>
      <c r="R831" s="68"/>
      <c r="S831" s="68"/>
      <c r="T831" s="68"/>
      <c r="U831" s="68"/>
      <c r="V831" s="72"/>
      <c r="W831" s="72"/>
      <c r="X831" s="66"/>
      <c r="Y831" s="80"/>
      <c r="Z831" s="80"/>
      <c r="AA831" s="153"/>
    </row>
    <row r="832" spans="17:27" x14ac:dyDescent="0.25">
      <c r="Q832" s="53"/>
      <c r="R832" s="68"/>
      <c r="S832" s="68"/>
      <c r="T832" s="68"/>
      <c r="U832" s="68"/>
      <c r="V832" s="72"/>
      <c r="W832" s="72"/>
      <c r="X832" s="66"/>
      <c r="Y832" s="80"/>
      <c r="Z832" s="80"/>
      <c r="AA832" s="153"/>
    </row>
    <row r="833" spans="17:27" x14ac:dyDescent="0.25">
      <c r="Q833" s="53"/>
      <c r="R833" s="68"/>
      <c r="S833" s="68"/>
      <c r="T833" s="68"/>
      <c r="U833" s="68"/>
      <c r="V833" s="72"/>
      <c r="W833" s="72"/>
      <c r="X833" s="66"/>
      <c r="Y833" s="80"/>
      <c r="Z833" s="80"/>
      <c r="AA833" s="153"/>
    </row>
    <row r="834" spans="17:27" x14ac:dyDescent="0.25">
      <c r="Q834" s="53"/>
      <c r="R834" s="68"/>
      <c r="S834" s="68"/>
      <c r="T834" s="68"/>
      <c r="U834" s="68"/>
      <c r="V834" s="72"/>
      <c r="W834" s="72"/>
      <c r="X834" s="66"/>
      <c r="Y834" s="80"/>
      <c r="Z834" s="80"/>
      <c r="AA834" s="153"/>
    </row>
    <row r="835" spans="17:27" x14ac:dyDescent="0.25">
      <c r="Q835" s="53"/>
      <c r="R835" s="68"/>
      <c r="S835" s="68"/>
      <c r="T835" s="68"/>
      <c r="U835" s="68"/>
      <c r="V835" s="72"/>
      <c r="W835" s="72"/>
      <c r="X835" s="66"/>
      <c r="Y835" s="80"/>
      <c r="Z835" s="80"/>
      <c r="AA835" s="153"/>
    </row>
    <row r="836" spans="17:27" x14ac:dyDescent="0.25">
      <c r="Q836" s="53"/>
      <c r="R836" s="68"/>
      <c r="S836" s="68"/>
      <c r="T836" s="68"/>
      <c r="U836" s="68"/>
      <c r="V836" s="72"/>
      <c r="W836" s="72"/>
      <c r="X836" s="66"/>
      <c r="Y836" s="80"/>
      <c r="Z836" s="80"/>
      <c r="AA836" s="153"/>
    </row>
    <row r="837" spans="17:27" x14ac:dyDescent="0.25">
      <c r="Q837" s="53"/>
      <c r="R837" s="68"/>
      <c r="S837" s="68"/>
      <c r="T837" s="68"/>
      <c r="U837" s="68"/>
      <c r="V837" s="72"/>
      <c r="W837" s="72"/>
      <c r="X837" s="66"/>
      <c r="Y837" s="80"/>
      <c r="Z837" s="80"/>
      <c r="AA837" s="153"/>
    </row>
    <row r="838" spans="17:27" x14ac:dyDescent="0.25">
      <c r="Q838" s="53"/>
      <c r="R838" s="68"/>
      <c r="S838" s="68"/>
      <c r="T838" s="68"/>
      <c r="U838" s="68"/>
      <c r="V838" s="72"/>
      <c r="W838" s="72"/>
      <c r="X838" s="66"/>
      <c r="Y838" s="80"/>
      <c r="Z838" s="80"/>
      <c r="AA838" s="153"/>
    </row>
    <row r="839" spans="17:27" x14ac:dyDescent="0.25">
      <c r="Q839" s="53"/>
      <c r="R839" s="68"/>
      <c r="S839" s="68"/>
      <c r="T839" s="68"/>
      <c r="U839" s="68"/>
      <c r="V839" s="72"/>
      <c r="W839" s="72"/>
      <c r="X839" s="66"/>
      <c r="Y839" s="80"/>
      <c r="Z839" s="80"/>
      <c r="AA839" s="153"/>
    </row>
    <row r="840" spans="17:27" x14ac:dyDescent="0.25">
      <c r="Q840" s="53"/>
      <c r="R840" s="68"/>
      <c r="S840" s="68"/>
      <c r="T840" s="68"/>
      <c r="U840" s="68"/>
      <c r="V840" s="72"/>
      <c r="W840" s="72"/>
      <c r="X840" s="66"/>
      <c r="Y840" s="80"/>
      <c r="Z840" s="80"/>
      <c r="AA840" s="153"/>
    </row>
    <row r="841" spans="17:27" x14ac:dyDescent="0.25">
      <c r="Q841" s="53"/>
      <c r="R841" s="68"/>
      <c r="S841" s="68"/>
      <c r="T841" s="68"/>
      <c r="U841" s="68"/>
      <c r="V841" s="72"/>
      <c r="W841" s="72"/>
      <c r="X841" s="66"/>
      <c r="Y841" s="80"/>
      <c r="Z841" s="80"/>
      <c r="AA841" s="153"/>
    </row>
    <row r="842" spans="17:27" x14ac:dyDescent="0.25">
      <c r="Q842" s="53"/>
      <c r="R842" s="68"/>
      <c r="S842" s="68"/>
      <c r="T842" s="68"/>
      <c r="U842" s="68"/>
      <c r="V842" s="72"/>
      <c r="W842" s="72"/>
      <c r="X842" s="66"/>
      <c r="Y842" s="80"/>
      <c r="Z842" s="80"/>
      <c r="AA842" s="153"/>
    </row>
    <row r="843" spans="17:27" x14ac:dyDescent="0.25">
      <c r="Q843" s="53"/>
      <c r="R843" s="68"/>
      <c r="S843" s="68"/>
      <c r="T843" s="68"/>
      <c r="U843" s="68"/>
      <c r="V843" s="72"/>
      <c r="W843" s="72"/>
      <c r="X843" s="66"/>
      <c r="Y843" s="80"/>
      <c r="Z843" s="80"/>
      <c r="AA843" s="153"/>
    </row>
    <row r="844" spans="17:27" x14ac:dyDescent="0.25">
      <c r="Q844" s="53"/>
      <c r="R844" s="68"/>
      <c r="S844" s="68"/>
      <c r="T844" s="68"/>
      <c r="U844" s="68"/>
      <c r="V844" s="72"/>
      <c r="W844" s="72"/>
      <c r="X844" s="66"/>
      <c r="Y844" s="80"/>
      <c r="Z844" s="80"/>
      <c r="AA844" s="153"/>
    </row>
    <row r="845" spans="17:27" x14ac:dyDescent="0.25">
      <c r="Q845" s="53"/>
      <c r="R845" s="68"/>
      <c r="S845" s="68"/>
      <c r="T845" s="68"/>
      <c r="U845" s="68"/>
      <c r="V845" s="72"/>
      <c r="W845" s="72"/>
      <c r="X845" s="66"/>
      <c r="Y845" s="80"/>
      <c r="Z845" s="80"/>
      <c r="AA845" s="153"/>
    </row>
    <row r="846" spans="17:27" x14ac:dyDescent="0.25">
      <c r="Q846" s="53"/>
      <c r="R846" s="68"/>
      <c r="S846" s="68"/>
      <c r="T846" s="68"/>
      <c r="U846" s="68"/>
      <c r="V846" s="72"/>
      <c r="W846" s="72"/>
      <c r="X846" s="66"/>
      <c r="Y846" s="80"/>
      <c r="Z846" s="80"/>
      <c r="AA846" s="153"/>
    </row>
    <row r="847" spans="17:27" x14ac:dyDescent="0.25">
      <c r="Q847" s="53"/>
      <c r="R847" s="68"/>
      <c r="S847" s="68"/>
      <c r="T847" s="68"/>
      <c r="U847" s="68"/>
      <c r="V847" s="72"/>
      <c r="W847" s="72"/>
      <c r="X847" s="66"/>
      <c r="Y847" s="80"/>
      <c r="Z847" s="80"/>
      <c r="AA847" s="153"/>
    </row>
    <row r="848" spans="17:27" x14ac:dyDescent="0.25">
      <c r="Q848" s="53"/>
      <c r="R848" s="68"/>
      <c r="S848" s="68"/>
      <c r="T848" s="68"/>
      <c r="U848" s="68"/>
      <c r="V848" s="72"/>
      <c r="W848" s="72"/>
      <c r="X848" s="66"/>
      <c r="Y848" s="80"/>
      <c r="Z848" s="80"/>
      <c r="AA848" s="153"/>
    </row>
    <row r="849" spans="17:27" x14ac:dyDescent="0.25">
      <c r="Q849" s="53"/>
      <c r="R849" s="68"/>
      <c r="S849" s="68"/>
      <c r="T849" s="68"/>
      <c r="U849" s="68"/>
      <c r="V849" s="72"/>
      <c r="W849" s="72"/>
      <c r="X849" s="66"/>
      <c r="Y849" s="80"/>
      <c r="Z849" s="80"/>
      <c r="AA849" s="153"/>
    </row>
    <row r="850" spans="17:27" x14ac:dyDescent="0.25">
      <c r="Q850" s="53"/>
      <c r="R850" s="68"/>
      <c r="S850" s="68"/>
      <c r="T850" s="68"/>
      <c r="U850" s="68"/>
      <c r="V850" s="72"/>
      <c r="W850" s="72"/>
      <c r="X850" s="66"/>
      <c r="Y850" s="80"/>
      <c r="Z850" s="80"/>
      <c r="AA850" s="153"/>
    </row>
    <row r="851" spans="17:27" x14ac:dyDescent="0.25">
      <c r="Q851" s="53"/>
      <c r="R851" s="68"/>
      <c r="S851" s="68"/>
      <c r="T851" s="68"/>
      <c r="U851" s="68"/>
      <c r="V851" s="72"/>
      <c r="W851" s="72"/>
      <c r="X851" s="66"/>
      <c r="Y851" s="80"/>
      <c r="Z851" s="80"/>
      <c r="AA851" s="153"/>
    </row>
    <row r="852" spans="17:27" x14ac:dyDescent="0.25">
      <c r="Q852" s="53"/>
      <c r="R852" s="68"/>
      <c r="S852" s="68"/>
      <c r="T852" s="68"/>
      <c r="U852" s="68"/>
      <c r="V852" s="72"/>
      <c r="W852" s="72"/>
      <c r="X852" s="66"/>
      <c r="Y852" s="80"/>
      <c r="Z852" s="80"/>
      <c r="AA852" s="153"/>
    </row>
    <row r="853" spans="17:27" x14ac:dyDescent="0.25">
      <c r="Q853" s="53"/>
      <c r="R853" s="68"/>
      <c r="S853" s="68"/>
      <c r="T853" s="68"/>
      <c r="U853" s="68"/>
      <c r="V853" s="72"/>
      <c r="W853" s="72"/>
      <c r="X853" s="66"/>
      <c r="Y853" s="80"/>
      <c r="Z853" s="80"/>
      <c r="AA853" s="153"/>
    </row>
    <row r="854" spans="17:27" x14ac:dyDescent="0.25">
      <c r="Q854" s="53"/>
      <c r="R854" s="68"/>
      <c r="S854" s="68"/>
      <c r="T854" s="68"/>
      <c r="U854" s="68"/>
      <c r="V854" s="72"/>
      <c r="W854" s="72"/>
      <c r="X854" s="66"/>
      <c r="Y854" s="80"/>
      <c r="Z854" s="80"/>
      <c r="AA854" s="153"/>
    </row>
    <row r="855" spans="17:27" x14ac:dyDescent="0.25">
      <c r="Q855" s="53"/>
      <c r="R855" s="68"/>
      <c r="S855" s="68"/>
      <c r="T855" s="68"/>
      <c r="U855" s="68"/>
      <c r="V855" s="72"/>
      <c r="W855" s="72"/>
      <c r="X855" s="66"/>
      <c r="Y855" s="80"/>
      <c r="Z855" s="80"/>
      <c r="AA855" s="153"/>
    </row>
    <row r="856" spans="17:27" x14ac:dyDescent="0.25">
      <c r="Q856" s="53"/>
      <c r="R856" s="68"/>
      <c r="S856" s="68"/>
      <c r="T856" s="68"/>
      <c r="U856" s="68"/>
      <c r="V856" s="72"/>
      <c r="W856" s="72"/>
      <c r="X856" s="66"/>
      <c r="Y856" s="80"/>
      <c r="Z856" s="80"/>
      <c r="AA856" s="153"/>
    </row>
    <row r="857" spans="17:27" x14ac:dyDescent="0.25">
      <c r="Q857" s="53"/>
      <c r="R857" s="68"/>
      <c r="S857" s="68"/>
      <c r="T857" s="68"/>
      <c r="U857" s="68"/>
      <c r="V857" s="72"/>
      <c r="W857" s="72"/>
      <c r="X857" s="66"/>
      <c r="Y857" s="80"/>
      <c r="Z857" s="80"/>
      <c r="AA857" s="153"/>
    </row>
    <row r="858" spans="17:27" x14ac:dyDescent="0.25">
      <c r="Q858" s="53"/>
      <c r="R858" s="68"/>
      <c r="S858" s="68"/>
      <c r="T858" s="68"/>
      <c r="U858" s="68"/>
      <c r="V858" s="72"/>
      <c r="W858" s="72"/>
      <c r="X858" s="66"/>
      <c r="Y858" s="80"/>
      <c r="Z858" s="80"/>
      <c r="AA858" s="153"/>
    </row>
    <row r="859" spans="17:27" x14ac:dyDescent="0.25">
      <c r="Q859" s="53"/>
      <c r="R859" s="68"/>
      <c r="S859" s="68"/>
      <c r="T859" s="68"/>
      <c r="U859" s="68"/>
      <c r="V859" s="72"/>
      <c r="W859" s="72"/>
      <c r="X859" s="66"/>
      <c r="Y859" s="80"/>
      <c r="Z859" s="80"/>
      <c r="AA859" s="153"/>
    </row>
    <row r="860" spans="17:27" x14ac:dyDescent="0.25">
      <c r="Q860" s="53"/>
      <c r="R860" s="68"/>
      <c r="S860" s="68"/>
      <c r="T860" s="68"/>
      <c r="U860" s="68"/>
      <c r="V860" s="72"/>
      <c r="W860" s="72"/>
      <c r="X860" s="66"/>
      <c r="Y860" s="80"/>
      <c r="Z860" s="80"/>
      <c r="AA860" s="153"/>
    </row>
    <row r="861" spans="17:27" x14ac:dyDescent="0.25">
      <c r="Q861" s="53"/>
      <c r="R861" s="68"/>
      <c r="S861" s="68"/>
      <c r="T861" s="68"/>
      <c r="U861" s="68"/>
      <c r="V861" s="72"/>
      <c r="W861" s="72"/>
      <c r="X861" s="66"/>
      <c r="Y861" s="80"/>
      <c r="Z861" s="80"/>
      <c r="AA861" s="153"/>
    </row>
    <row r="862" spans="17:27" x14ac:dyDescent="0.25">
      <c r="Q862" s="53"/>
      <c r="R862" s="68"/>
      <c r="S862" s="68"/>
      <c r="T862" s="68"/>
      <c r="U862" s="68"/>
      <c r="V862" s="72"/>
      <c r="W862" s="72"/>
      <c r="X862" s="66"/>
      <c r="Y862" s="80"/>
      <c r="Z862" s="80"/>
      <c r="AA862" s="153"/>
    </row>
    <row r="863" spans="17:27" x14ac:dyDescent="0.25">
      <c r="Q863" s="53"/>
      <c r="R863" s="68"/>
      <c r="S863" s="68"/>
      <c r="T863" s="68"/>
      <c r="U863" s="68"/>
      <c r="V863" s="72"/>
      <c r="W863" s="72"/>
      <c r="X863" s="66"/>
      <c r="Y863" s="80"/>
      <c r="Z863" s="80"/>
      <c r="AA863" s="153"/>
    </row>
    <row r="864" spans="17:27" x14ac:dyDescent="0.25">
      <c r="Q864" s="53"/>
      <c r="R864" s="68"/>
      <c r="S864" s="68"/>
      <c r="T864" s="68"/>
      <c r="U864" s="68"/>
      <c r="V864" s="72"/>
      <c r="W864" s="72"/>
      <c r="X864" s="66"/>
      <c r="Y864" s="80"/>
      <c r="Z864" s="80"/>
      <c r="AA864" s="153"/>
    </row>
    <row r="865" spans="17:27" x14ac:dyDescent="0.25">
      <c r="Q865" s="53"/>
      <c r="R865" s="68"/>
      <c r="S865" s="68"/>
      <c r="T865" s="68"/>
      <c r="U865" s="68"/>
      <c r="V865" s="72"/>
      <c r="W865" s="72"/>
      <c r="X865" s="66"/>
      <c r="Y865" s="80"/>
      <c r="Z865" s="80"/>
      <c r="AA865" s="153"/>
    </row>
    <row r="866" spans="17:27" x14ac:dyDescent="0.25">
      <c r="Q866" s="53"/>
      <c r="R866" s="68"/>
      <c r="S866" s="68"/>
      <c r="T866" s="68"/>
      <c r="U866" s="68"/>
      <c r="V866" s="72"/>
      <c r="W866" s="72"/>
      <c r="X866" s="66"/>
      <c r="Y866" s="80"/>
      <c r="Z866" s="80"/>
      <c r="AA866" s="153"/>
    </row>
    <row r="867" spans="17:27" x14ac:dyDescent="0.25">
      <c r="Q867" s="53"/>
      <c r="R867" s="68"/>
      <c r="S867" s="68"/>
      <c r="T867" s="68"/>
      <c r="U867" s="68"/>
      <c r="V867" s="72"/>
      <c r="W867" s="72"/>
      <c r="X867" s="66"/>
      <c r="Y867" s="80"/>
      <c r="Z867" s="80"/>
      <c r="AA867" s="153"/>
    </row>
    <row r="868" spans="17:27" x14ac:dyDescent="0.25">
      <c r="Q868" s="53"/>
      <c r="R868" s="68"/>
      <c r="S868" s="68"/>
      <c r="T868" s="68"/>
      <c r="U868" s="68"/>
      <c r="V868" s="72"/>
      <c r="W868" s="72"/>
      <c r="X868" s="66"/>
      <c r="Y868" s="80"/>
      <c r="Z868" s="80"/>
      <c r="AA868" s="153"/>
    </row>
    <row r="869" spans="17:27" x14ac:dyDescent="0.25">
      <c r="Q869" s="53"/>
      <c r="R869" s="68"/>
      <c r="S869" s="68"/>
      <c r="T869" s="68"/>
      <c r="U869" s="68"/>
      <c r="V869" s="72"/>
      <c r="W869" s="72"/>
      <c r="X869" s="66"/>
      <c r="Y869" s="80"/>
      <c r="Z869" s="80"/>
      <c r="AA869" s="153"/>
    </row>
    <row r="870" spans="17:27" x14ac:dyDescent="0.25">
      <c r="Q870" s="53"/>
      <c r="R870" s="68"/>
      <c r="S870" s="68"/>
      <c r="T870" s="68"/>
      <c r="U870" s="68"/>
      <c r="V870" s="72"/>
      <c r="W870" s="72"/>
      <c r="X870" s="66"/>
      <c r="Y870" s="80"/>
      <c r="Z870" s="80"/>
      <c r="AA870" s="153"/>
    </row>
    <row r="871" spans="17:27" x14ac:dyDescent="0.25">
      <c r="Q871" s="53"/>
      <c r="R871" s="68"/>
      <c r="S871" s="68"/>
      <c r="T871" s="68"/>
      <c r="U871" s="68"/>
      <c r="V871" s="72"/>
      <c r="W871" s="72"/>
      <c r="X871" s="66"/>
      <c r="Y871" s="80"/>
      <c r="Z871" s="80"/>
      <c r="AA871" s="153"/>
    </row>
    <row r="872" spans="17:27" x14ac:dyDescent="0.25">
      <c r="Q872" s="53"/>
      <c r="R872" s="68"/>
      <c r="S872" s="68"/>
      <c r="T872" s="68"/>
      <c r="U872" s="68"/>
      <c r="V872" s="72"/>
      <c r="W872" s="72"/>
      <c r="X872" s="66"/>
      <c r="Y872" s="80"/>
      <c r="Z872" s="80"/>
      <c r="AA872" s="153"/>
    </row>
    <row r="873" spans="17:27" x14ac:dyDescent="0.25">
      <c r="Q873" s="53"/>
      <c r="R873" s="68"/>
      <c r="S873" s="68"/>
      <c r="T873" s="68"/>
      <c r="U873" s="68"/>
      <c r="V873" s="72"/>
      <c r="W873" s="72"/>
      <c r="X873" s="66"/>
      <c r="Y873" s="80"/>
      <c r="Z873" s="80"/>
      <c r="AA873" s="153"/>
    </row>
    <row r="874" spans="17:27" x14ac:dyDescent="0.25">
      <c r="Q874" s="53"/>
      <c r="R874" s="68"/>
      <c r="S874" s="68"/>
      <c r="T874" s="68"/>
      <c r="U874" s="68"/>
      <c r="V874" s="72"/>
      <c r="W874" s="72"/>
      <c r="X874" s="66"/>
      <c r="Y874" s="80"/>
      <c r="Z874" s="80"/>
      <c r="AA874" s="153"/>
    </row>
    <row r="875" spans="17:27" x14ac:dyDescent="0.25">
      <c r="Q875" s="53"/>
      <c r="R875" s="68"/>
      <c r="S875" s="68"/>
      <c r="T875" s="68"/>
      <c r="U875" s="68"/>
      <c r="V875" s="72"/>
      <c r="W875" s="72"/>
      <c r="X875" s="66"/>
      <c r="Y875" s="80"/>
      <c r="Z875" s="80"/>
      <c r="AA875" s="153"/>
    </row>
    <row r="876" spans="17:27" x14ac:dyDescent="0.25">
      <c r="Q876" s="53"/>
      <c r="R876" s="68"/>
      <c r="S876" s="68"/>
      <c r="T876" s="68"/>
      <c r="U876" s="68"/>
      <c r="V876" s="72"/>
      <c r="W876" s="72"/>
      <c r="X876" s="66"/>
      <c r="Y876" s="80"/>
      <c r="Z876" s="80"/>
      <c r="AA876" s="153"/>
    </row>
    <row r="877" spans="17:27" x14ac:dyDescent="0.25">
      <c r="Q877" s="53"/>
      <c r="R877" s="68"/>
      <c r="S877" s="68"/>
      <c r="T877" s="68"/>
      <c r="U877" s="68"/>
      <c r="V877" s="72"/>
      <c r="W877" s="72"/>
      <c r="X877" s="66"/>
      <c r="Y877" s="80"/>
      <c r="Z877" s="80"/>
      <c r="AA877" s="153"/>
    </row>
    <row r="878" spans="17:27" x14ac:dyDescent="0.25">
      <c r="Q878" s="53"/>
      <c r="R878" s="68"/>
      <c r="S878" s="68"/>
      <c r="T878" s="68"/>
      <c r="U878" s="68"/>
      <c r="V878" s="72"/>
      <c r="W878" s="72"/>
      <c r="X878" s="66"/>
      <c r="Y878" s="80"/>
      <c r="Z878" s="80"/>
      <c r="AA878" s="153"/>
    </row>
    <row r="879" spans="17:27" x14ac:dyDescent="0.25">
      <c r="Q879" s="53"/>
      <c r="R879" s="68"/>
      <c r="S879" s="68"/>
      <c r="T879" s="68"/>
      <c r="U879" s="68"/>
      <c r="V879" s="72"/>
      <c r="W879" s="72"/>
      <c r="X879" s="66"/>
      <c r="Y879" s="80"/>
      <c r="Z879" s="80"/>
      <c r="AA879" s="153"/>
    </row>
    <row r="880" spans="17:27" x14ac:dyDescent="0.25">
      <c r="Q880" s="53"/>
      <c r="R880" s="68"/>
      <c r="S880" s="68"/>
      <c r="T880" s="68"/>
      <c r="U880" s="68"/>
      <c r="V880" s="72"/>
      <c r="W880" s="72"/>
      <c r="X880" s="66"/>
      <c r="Y880" s="80"/>
      <c r="Z880" s="80"/>
      <c r="AA880" s="153"/>
    </row>
    <row r="881" spans="17:27" x14ac:dyDescent="0.25">
      <c r="Q881" s="53"/>
      <c r="R881" s="68"/>
      <c r="S881" s="68"/>
      <c r="T881" s="68"/>
      <c r="U881" s="68"/>
      <c r="V881" s="72"/>
      <c r="W881" s="72"/>
      <c r="X881" s="66"/>
      <c r="Y881" s="80"/>
      <c r="Z881" s="80"/>
      <c r="AA881" s="153"/>
    </row>
    <row r="882" spans="17:27" x14ac:dyDescent="0.25">
      <c r="Q882" s="53"/>
      <c r="R882" s="68"/>
      <c r="S882" s="68"/>
      <c r="T882" s="68"/>
      <c r="U882" s="68"/>
      <c r="V882" s="72"/>
      <c r="W882" s="72"/>
      <c r="X882" s="66"/>
      <c r="Y882" s="80"/>
      <c r="Z882" s="80"/>
      <c r="AA882" s="153"/>
    </row>
    <row r="883" spans="17:27" x14ac:dyDescent="0.25">
      <c r="Q883" s="53"/>
      <c r="R883" s="68"/>
      <c r="S883" s="68"/>
      <c r="T883" s="68"/>
      <c r="U883" s="68"/>
      <c r="V883" s="72"/>
      <c r="W883" s="72"/>
      <c r="X883" s="66"/>
      <c r="Y883" s="80"/>
      <c r="Z883" s="80"/>
      <c r="AA883" s="153"/>
    </row>
    <row r="884" spans="17:27" x14ac:dyDescent="0.25">
      <c r="Q884" s="53"/>
      <c r="R884" s="68"/>
      <c r="S884" s="68"/>
      <c r="T884" s="68"/>
      <c r="U884" s="68"/>
      <c r="V884" s="72"/>
      <c r="W884" s="72"/>
      <c r="X884" s="66"/>
      <c r="Y884" s="80"/>
      <c r="Z884" s="80"/>
      <c r="AA884" s="153"/>
    </row>
    <row r="885" spans="17:27" x14ac:dyDescent="0.25">
      <c r="Q885" s="53"/>
      <c r="R885" s="68"/>
      <c r="S885" s="68"/>
      <c r="T885" s="68"/>
      <c r="U885" s="68"/>
      <c r="V885" s="72"/>
      <c r="W885" s="72"/>
      <c r="X885" s="66"/>
      <c r="Y885" s="80"/>
      <c r="Z885" s="80"/>
      <c r="AA885" s="153"/>
    </row>
    <row r="886" spans="17:27" x14ac:dyDescent="0.25">
      <c r="Q886" s="53"/>
      <c r="R886" s="68"/>
      <c r="S886" s="68"/>
      <c r="T886" s="68"/>
      <c r="U886" s="68"/>
      <c r="V886" s="72"/>
      <c r="W886" s="72"/>
      <c r="X886" s="66"/>
      <c r="Y886" s="80"/>
      <c r="Z886" s="80"/>
      <c r="AA886" s="153"/>
    </row>
    <row r="887" spans="17:27" x14ac:dyDescent="0.25">
      <c r="Q887" s="53"/>
      <c r="R887" s="68"/>
      <c r="S887" s="68"/>
      <c r="T887" s="68"/>
      <c r="U887" s="68"/>
      <c r="V887" s="72"/>
      <c r="W887" s="72"/>
      <c r="X887" s="66"/>
      <c r="Y887" s="80"/>
      <c r="Z887" s="80"/>
      <c r="AA887" s="153"/>
    </row>
    <row r="888" spans="17:27" x14ac:dyDescent="0.25">
      <c r="Q888" s="53"/>
      <c r="R888" s="68"/>
      <c r="S888" s="68"/>
      <c r="T888" s="68"/>
      <c r="U888" s="68"/>
      <c r="V888" s="72"/>
      <c r="W888" s="72"/>
      <c r="X888" s="66"/>
      <c r="Y888" s="80"/>
      <c r="Z888" s="80"/>
      <c r="AA888" s="153"/>
    </row>
    <row r="889" spans="17:27" x14ac:dyDescent="0.25">
      <c r="Q889" s="53"/>
      <c r="R889" s="68"/>
      <c r="S889" s="68"/>
      <c r="T889" s="68"/>
      <c r="U889" s="68"/>
      <c r="V889" s="72"/>
      <c r="W889" s="72"/>
      <c r="X889" s="66"/>
      <c r="Y889" s="80"/>
      <c r="Z889" s="80"/>
      <c r="AA889" s="153"/>
    </row>
    <row r="890" spans="17:27" x14ac:dyDescent="0.25">
      <c r="Q890" s="53"/>
      <c r="R890" s="68"/>
      <c r="S890" s="68"/>
      <c r="T890" s="68"/>
      <c r="U890" s="68"/>
      <c r="V890" s="72"/>
      <c r="W890" s="72"/>
      <c r="X890" s="66"/>
      <c r="Y890" s="80"/>
      <c r="Z890" s="80"/>
      <c r="AA890" s="153"/>
    </row>
    <row r="891" spans="17:27" x14ac:dyDescent="0.25">
      <c r="Q891" s="53"/>
      <c r="R891" s="68"/>
      <c r="S891" s="68"/>
      <c r="T891" s="68"/>
      <c r="U891" s="68"/>
      <c r="V891" s="72"/>
      <c r="W891" s="72"/>
      <c r="X891" s="66"/>
      <c r="Y891" s="80"/>
      <c r="Z891" s="80"/>
      <c r="AA891" s="153"/>
    </row>
    <row r="892" spans="17:27" x14ac:dyDescent="0.25">
      <c r="Q892" s="53"/>
      <c r="R892" s="68"/>
      <c r="S892" s="68"/>
      <c r="T892" s="68"/>
      <c r="U892" s="68"/>
      <c r="V892" s="72"/>
      <c r="W892" s="72"/>
      <c r="X892" s="66"/>
      <c r="Y892" s="80"/>
      <c r="Z892" s="80"/>
      <c r="AA892" s="153"/>
    </row>
    <row r="893" spans="17:27" x14ac:dyDescent="0.25">
      <c r="Q893" s="53"/>
      <c r="R893" s="68"/>
      <c r="S893" s="68"/>
      <c r="T893" s="68"/>
      <c r="U893" s="68"/>
      <c r="V893" s="72"/>
      <c r="W893" s="72"/>
      <c r="X893" s="66"/>
      <c r="Y893" s="80"/>
      <c r="Z893" s="80"/>
      <c r="AA893" s="153"/>
    </row>
    <row r="894" spans="17:27" x14ac:dyDescent="0.25">
      <c r="Q894" s="53"/>
      <c r="R894" s="68"/>
      <c r="S894" s="68"/>
      <c r="T894" s="68"/>
      <c r="U894" s="68"/>
      <c r="V894" s="72"/>
      <c r="W894" s="72"/>
      <c r="X894" s="66"/>
      <c r="Y894" s="80"/>
      <c r="Z894" s="80"/>
      <c r="AA894" s="153"/>
    </row>
    <row r="895" spans="17:27" x14ac:dyDescent="0.25">
      <c r="Q895" s="53"/>
      <c r="R895" s="68"/>
      <c r="S895" s="68"/>
      <c r="T895" s="68"/>
      <c r="U895" s="68"/>
      <c r="V895" s="72"/>
      <c r="W895" s="72"/>
      <c r="X895" s="66"/>
      <c r="Y895" s="80"/>
      <c r="Z895" s="80"/>
      <c r="AA895" s="153"/>
    </row>
    <row r="896" spans="17:27" x14ac:dyDescent="0.25">
      <c r="Q896" s="53"/>
      <c r="R896" s="68"/>
      <c r="S896" s="68"/>
      <c r="T896" s="68"/>
      <c r="U896" s="68"/>
      <c r="V896" s="72"/>
      <c r="W896" s="72"/>
      <c r="X896" s="66"/>
      <c r="Y896" s="80"/>
      <c r="Z896" s="80"/>
      <c r="AA896" s="153"/>
    </row>
    <row r="897" spans="17:27" x14ac:dyDescent="0.25">
      <c r="Q897" s="53"/>
      <c r="R897" s="68"/>
      <c r="S897" s="68"/>
      <c r="T897" s="68"/>
      <c r="U897" s="68"/>
      <c r="V897" s="72"/>
      <c r="W897" s="72"/>
      <c r="X897" s="66"/>
      <c r="Y897" s="80"/>
      <c r="Z897" s="80"/>
      <c r="AA897" s="153"/>
    </row>
    <row r="898" spans="17:27" x14ac:dyDescent="0.25">
      <c r="Q898" s="53"/>
      <c r="R898" s="68"/>
      <c r="S898" s="68"/>
      <c r="T898" s="68"/>
      <c r="U898" s="68"/>
      <c r="V898" s="72"/>
      <c r="W898" s="72"/>
      <c r="X898" s="66"/>
      <c r="Y898" s="80"/>
      <c r="Z898" s="80"/>
      <c r="AA898" s="153"/>
    </row>
    <row r="899" spans="17:27" x14ac:dyDescent="0.25">
      <c r="Q899" s="53"/>
      <c r="R899" s="68"/>
      <c r="S899" s="68"/>
      <c r="T899" s="68"/>
      <c r="U899" s="68"/>
      <c r="V899" s="72"/>
      <c r="W899" s="72"/>
      <c r="X899" s="66"/>
      <c r="Y899" s="80"/>
      <c r="Z899" s="80"/>
      <c r="AA899" s="153"/>
    </row>
    <row r="900" spans="17:27" x14ac:dyDescent="0.25">
      <c r="Q900" s="53"/>
      <c r="R900" s="68"/>
      <c r="S900" s="68"/>
      <c r="T900" s="68"/>
      <c r="U900" s="68"/>
      <c r="V900" s="72"/>
      <c r="W900" s="72"/>
      <c r="X900" s="66"/>
      <c r="Y900" s="80"/>
      <c r="Z900" s="80"/>
      <c r="AA900" s="153"/>
    </row>
    <row r="901" spans="17:27" x14ac:dyDescent="0.25">
      <c r="Q901" s="53"/>
      <c r="R901" s="68"/>
      <c r="S901" s="68"/>
      <c r="T901" s="68"/>
      <c r="U901" s="68"/>
      <c r="V901" s="72"/>
      <c r="W901" s="72"/>
      <c r="X901" s="66"/>
      <c r="Y901" s="80"/>
      <c r="Z901" s="80"/>
      <c r="AA901" s="153"/>
    </row>
    <row r="902" spans="17:27" x14ac:dyDescent="0.25">
      <c r="Q902" s="53"/>
      <c r="R902" s="68"/>
      <c r="S902" s="68"/>
      <c r="T902" s="68"/>
      <c r="U902" s="68"/>
      <c r="V902" s="72"/>
      <c r="W902" s="72"/>
      <c r="X902" s="66"/>
      <c r="Y902" s="80"/>
      <c r="Z902" s="80"/>
      <c r="AA902" s="153"/>
    </row>
    <row r="903" spans="17:27" x14ac:dyDescent="0.25">
      <c r="Q903" s="53"/>
      <c r="R903" s="68"/>
      <c r="S903" s="68"/>
      <c r="T903" s="68"/>
      <c r="U903" s="68"/>
      <c r="V903" s="72"/>
      <c r="W903" s="72"/>
      <c r="X903" s="66"/>
      <c r="Y903" s="80"/>
      <c r="Z903" s="80"/>
      <c r="AA903" s="153"/>
    </row>
    <row r="904" spans="17:27" x14ac:dyDescent="0.25">
      <c r="Q904" s="53"/>
      <c r="R904" s="68"/>
      <c r="S904" s="68"/>
      <c r="T904" s="68"/>
      <c r="U904" s="68"/>
      <c r="V904" s="72"/>
      <c r="W904" s="72"/>
      <c r="X904" s="66"/>
      <c r="Y904" s="80"/>
      <c r="Z904" s="80"/>
      <c r="AA904" s="153"/>
    </row>
    <row r="905" spans="17:27" x14ac:dyDescent="0.25">
      <c r="Q905" s="53"/>
      <c r="R905" s="68"/>
      <c r="S905" s="68"/>
      <c r="T905" s="68"/>
      <c r="U905" s="68"/>
      <c r="V905" s="72"/>
      <c r="W905" s="72"/>
      <c r="X905" s="66"/>
      <c r="Y905" s="80"/>
      <c r="Z905" s="80"/>
      <c r="AA905" s="153"/>
    </row>
    <row r="906" spans="17:27" x14ac:dyDescent="0.25">
      <c r="Q906" s="53"/>
      <c r="R906" s="68"/>
      <c r="S906" s="68"/>
      <c r="T906" s="68"/>
      <c r="U906" s="68"/>
      <c r="V906" s="72"/>
      <c r="W906" s="72"/>
      <c r="X906" s="66"/>
      <c r="Y906" s="80"/>
      <c r="Z906" s="80"/>
      <c r="AA906" s="153"/>
    </row>
    <row r="907" spans="17:27" x14ac:dyDescent="0.25">
      <c r="Q907" s="53"/>
      <c r="R907" s="68"/>
      <c r="S907" s="68"/>
      <c r="T907" s="68"/>
      <c r="U907" s="68"/>
      <c r="V907" s="72"/>
      <c r="W907" s="72"/>
      <c r="X907" s="66"/>
      <c r="Y907" s="80"/>
      <c r="Z907" s="80"/>
      <c r="AA907" s="153"/>
    </row>
    <row r="908" spans="17:27" x14ac:dyDescent="0.25">
      <c r="Q908" s="53"/>
      <c r="R908" s="68"/>
      <c r="S908" s="68"/>
      <c r="T908" s="68"/>
      <c r="U908" s="68"/>
      <c r="V908" s="72"/>
      <c r="W908" s="72"/>
      <c r="X908" s="66"/>
      <c r="Y908" s="80"/>
      <c r="Z908" s="80"/>
      <c r="AA908" s="153"/>
    </row>
    <row r="909" spans="17:27" x14ac:dyDescent="0.25">
      <c r="Q909" s="53"/>
      <c r="R909" s="68"/>
      <c r="S909" s="68"/>
      <c r="T909" s="68"/>
      <c r="U909" s="68"/>
      <c r="V909" s="72"/>
      <c r="W909" s="72"/>
      <c r="X909" s="66"/>
      <c r="Y909" s="80"/>
      <c r="Z909" s="80"/>
      <c r="AA909" s="153"/>
    </row>
    <row r="910" spans="17:27" x14ac:dyDescent="0.25">
      <c r="Q910" s="53"/>
      <c r="R910" s="68"/>
      <c r="S910" s="68"/>
      <c r="T910" s="68"/>
      <c r="U910" s="68"/>
      <c r="V910" s="72"/>
      <c r="W910" s="72"/>
      <c r="X910" s="66"/>
      <c r="Y910" s="80"/>
      <c r="Z910" s="80"/>
      <c r="AA910" s="153"/>
    </row>
    <row r="911" spans="17:27" x14ac:dyDescent="0.25">
      <c r="Q911" s="53"/>
      <c r="R911" s="68"/>
      <c r="S911" s="68"/>
      <c r="T911" s="68"/>
      <c r="U911" s="68"/>
      <c r="V911" s="72"/>
      <c r="W911" s="72"/>
      <c r="X911" s="66"/>
      <c r="Y911" s="80"/>
      <c r="Z911" s="80"/>
      <c r="AA911" s="153"/>
    </row>
    <row r="912" spans="17:27" x14ac:dyDescent="0.25">
      <c r="Q912" s="53"/>
      <c r="R912" s="68"/>
      <c r="S912" s="68"/>
      <c r="T912" s="68"/>
      <c r="U912" s="68"/>
      <c r="V912" s="72"/>
      <c r="W912" s="72"/>
      <c r="X912" s="66"/>
      <c r="Y912" s="80"/>
      <c r="Z912" s="80"/>
      <c r="AA912" s="153"/>
    </row>
    <row r="913" spans="17:27" x14ac:dyDescent="0.25">
      <c r="Q913" s="53"/>
      <c r="R913" s="68"/>
      <c r="S913" s="68"/>
      <c r="T913" s="68"/>
      <c r="U913" s="68"/>
      <c r="V913" s="72"/>
      <c r="W913" s="72"/>
      <c r="X913" s="66"/>
      <c r="Y913" s="80"/>
      <c r="Z913" s="80"/>
      <c r="AA913" s="153"/>
    </row>
    <row r="914" spans="17:27" x14ac:dyDescent="0.25">
      <c r="Q914" s="53"/>
      <c r="R914" s="68"/>
      <c r="S914" s="68"/>
      <c r="T914" s="68"/>
      <c r="U914" s="68"/>
      <c r="V914" s="72"/>
      <c r="W914" s="72"/>
      <c r="X914" s="66"/>
      <c r="Y914" s="80"/>
      <c r="Z914" s="80"/>
      <c r="AA914" s="153"/>
    </row>
    <row r="915" spans="17:27" x14ac:dyDescent="0.25">
      <c r="Q915" s="53"/>
      <c r="R915" s="68"/>
      <c r="S915" s="68"/>
      <c r="T915" s="68"/>
      <c r="U915" s="68"/>
      <c r="V915" s="72"/>
      <c r="W915" s="72"/>
      <c r="X915" s="65"/>
      <c r="Y915" s="85"/>
      <c r="Z915" s="85"/>
      <c r="AA915" s="85"/>
    </row>
    <row r="916" spans="17:27" x14ac:dyDescent="0.25">
      <c r="Q916" s="53"/>
      <c r="R916" s="68"/>
      <c r="S916" s="68"/>
      <c r="T916" s="68"/>
      <c r="U916" s="68"/>
      <c r="V916" s="72"/>
      <c r="W916" s="72"/>
      <c r="X916" s="66"/>
      <c r="Y916" s="80"/>
      <c r="Z916" s="80"/>
      <c r="AA916" s="153"/>
    </row>
    <row r="917" spans="17:27" x14ac:dyDescent="0.25">
      <c r="Q917" s="53"/>
      <c r="R917" s="68"/>
      <c r="S917" s="68"/>
      <c r="T917" s="68"/>
      <c r="U917" s="68"/>
      <c r="V917" s="72"/>
      <c r="W917" s="72"/>
      <c r="X917" s="66"/>
      <c r="Y917" s="80"/>
      <c r="Z917" s="80"/>
      <c r="AA917" s="153"/>
    </row>
    <row r="918" spans="17:27" x14ac:dyDescent="0.25">
      <c r="Q918" s="53"/>
      <c r="R918" s="68"/>
      <c r="S918" s="68"/>
      <c r="T918" s="68"/>
      <c r="U918" s="68"/>
      <c r="V918" s="72"/>
      <c r="W918" s="72"/>
      <c r="X918" s="66"/>
      <c r="Y918" s="80"/>
      <c r="Z918" s="80"/>
      <c r="AA918" s="153"/>
    </row>
    <row r="919" spans="17:27" x14ac:dyDescent="0.25">
      <c r="Q919" s="53"/>
      <c r="R919" s="68"/>
      <c r="S919" s="68"/>
      <c r="T919" s="68"/>
      <c r="U919" s="68"/>
      <c r="V919" s="72"/>
      <c r="W919" s="72"/>
      <c r="X919" s="66"/>
      <c r="Y919" s="80"/>
      <c r="Z919" s="80"/>
      <c r="AA919" s="153"/>
    </row>
    <row r="920" spans="17:27" x14ac:dyDescent="0.25">
      <c r="Q920" s="53"/>
      <c r="R920" s="68"/>
      <c r="S920" s="68"/>
      <c r="T920" s="68"/>
      <c r="U920" s="68"/>
      <c r="V920" s="72"/>
      <c r="W920" s="72"/>
      <c r="X920" s="66"/>
      <c r="Y920" s="80"/>
      <c r="Z920" s="80"/>
      <c r="AA920" s="153"/>
    </row>
    <row r="921" spans="17:27" x14ac:dyDescent="0.25">
      <c r="Q921" s="53"/>
      <c r="R921" s="68"/>
      <c r="S921" s="68"/>
      <c r="T921" s="68"/>
      <c r="U921" s="68"/>
      <c r="V921" s="72"/>
      <c r="W921" s="72"/>
      <c r="X921" s="66"/>
      <c r="Y921" s="80"/>
      <c r="Z921" s="80"/>
      <c r="AA921" s="153"/>
    </row>
    <row r="922" spans="17:27" x14ac:dyDescent="0.25">
      <c r="Q922" s="53"/>
      <c r="R922" s="68"/>
      <c r="S922" s="68"/>
      <c r="T922" s="68"/>
      <c r="U922" s="68"/>
      <c r="V922" s="72"/>
      <c r="W922" s="72"/>
      <c r="X922" s="66"/>
      <c r="Y922" s="80"/>
      <c r="Z922" s="80"/>
      <c r="AA922" s="153"/>
    </row>
    <row r="923" spans="17:27" x14ac:dyDescent="0.25">
      <c r="Q923" s="53"/>
      <c r="R923" s="68"/>
      <c r="S923" s="68"/>
      <c r="T923" s="68"/>
      <c r="U923" s="68"/>
      <c r="V923" s="72"/>
      <c r="W923" s="72"/>
      <c r="X923" s="66"/>
      <c r="Y923" s="80"/>
      <c r="Z923" s="80"/>
      <c r="AA923" s="153"/>
    </row>
    <row r="924" spans="17:27" x14ac:dyDescent="0.25">
      <c r="Q924" s="53"/>
      <c r="R924" s="68"/>
      <c r="S924" s="68"/>
      <c r="T924" s="68"/>
      <c r="U924" s="68"/>
      <c r="V924" s="72"/>
      <c r="W924" s="72"/>
      <c r="X924" s="66"/>
      <c r="Y924" s="80"/>
      <c r="Z924" s="80"/>
      <c r="AA924" s="153"/>
    </row>
    <row r="925" spans="17:27" x14ac:dyDescent="0.25">
      <c r="Q925" s="53"/>
      <c r="R925" s="68"/>
      <c r="S925" s="68"/>
      <c r="T925" s="68"/>
      <c r="U925" s="68"/>
      <c r="V925" s="72"/>
      <c r="W925" s="72"/>
      <c r="X925" s="66"/>
      <c r="Y925" s="80"/>
      <c r="Z925" s="80"/>
      <c r="AA925" s="153"/>
    </row>
    <row r="926" spans="17:27" x14ac:dyDescent="0.25">
      <c r="Q926" s="53"/>
      <c r="R926" s="68"/>
      <c r="S926" s="68"/>
      <c r="T926" s="68"/>
      <c r="U926" s="68"/>
      <c r="V926" s="72"/>
      <c r="W926" s="72"/>
      <c r="X926" s="66"/>
      <c r="Y926" s="80"/>
      <c r="Z926" s="80"/>
      <c r="AA926" s="153"/>
    </row>
    <row r="927" spans="17:27" x14ac:dyDescent="0.25">
      <c r="Q927" s="53"/>
      <c r="R927" s="68"/>
      <c r="S927" s="68"/>
      <c r="T927" s="68"/>
      <c r="U927" s="68"/>
      <c r="V927" s="72"/>
      <c r="W927" s="72"/>
      <c r="X927" s="66"/>
      <c r="Y927" s="80"/>
      <c r="Z927" s="80"/>
      <c r="AA927" s="153"/>
    </row>
    <row r="928" spans="17:27" x14ac:dyDescent="0.25">
      <c r="Q928" s="53"/>
      <c r="R928" s="68"/>
      <c r="S928" s="68"/>
      <c r="T928" s="68"/>
      <c r="U928" s="68"/>
      <c r="V928" s="72"/>
      <c r="W928" s="72"/>
      <c r="X928" s="66"/>
      <c r="Y928" s="80"/>
      <c r="Z928" s="80"/>
      <c r="AA928" s="153"/>
    </row>
    <row r="929" spans="17:27" x14ac:dyDescent="0.25">
      <c r="Q929" s="53"/>
      <c r="R929" s="68"/>
      <c r="S929" s="68"/>
      <c r="T929" s="68"/>
      <c r="U929" s="68"/>
      <c r="V929" s="72"/>
      <c r="W929" s="72"/>
      <c r="X929" s="66"/>
      <c r="Y929" s="80"/>
      <c r="Z929" s="80"/>
      <c r="AA929" s="153"/>
    </row>
    <row r="930" spans="17:27" x14ac:dyDescent="0.25">
      <c r="Q930" s="53"/>
      <c r="R930" s="68"/>
      <c r="S930" s="68"/>
      <c r="T930" s="68"/>
      <c r="U930" s="68"/>
      <c r="V930" s="72"/>
      <c r="W930" s="72"/>
      <c r="X930" s="66"/>
      <c r="Y930" s="80"/>
      <c r="Z930" s="80"/>
      <c r="AA930" s="153"/>
    </row>
    <row r="931" spans="17:27" x14ac:dyDescent="0.25">
      <c r="Q931" s="53"/>
      <c r="R931" s="68"/>
      <c r="S931" s="68"/>
      <c r="T931" s="68"/>
      <c r="U931" s="68"/>
      <c r="V931" s="72"/>
      <c r="W931" s="72"/>
      <c r="X931" s="66"/>
      <c r="Y931" s="80"/>
      <c r="Z931" s="80"/>
      <c r="AA931" s="153"/>
    </row>
    <row r="932" spans="17:27" x14ac:dyDescent="0.25">
      <c r="Q932" s="53"/>
      <c r="R932" s="68"/>
      <c r="S932" s="68"/>
      <c r="T932" s="68"/>
      <c r="U932" s="68"/>
      <c r="V932" s="72"/>
      <c r="W932" s="72"/>
      <c r="X932" s="66"/>
      <c r="Y932" s="80"/>
      <c r="Z932" s="80"/>
      <c r="AA932" s="153"/>
    </row>
    <row r="933" spans="17:27" x14ac:dyDescent="0.25">
      <c r="Q933" s="53"/>
      <c r="R933" s="68"/>
      <c r="S933" s="68"/>
      <c r="T933" s="68"/>
      <c r="U933" s="68"/>
      <c r="V933" s="72"/>
      <c r="W933" s="72"/>
      <c r="X933" s="66"/>
      <c r="Y933" s="80"/>
      <c r="Z933" s="80"/>
      <c r="AA933" s="153"/>
    </row>
    <row r="934" spans="17:27" x14ac:dyDescent="0.25">
      <c r="Q934" s="53"/>
      <c r="R934" s="68"/>
      <c r="S934" s="68"/>
      <c r="T934" s="68"/>
      <c r="U934" s="68"/>
      <c r="V934" s="72"/>
      <c r="W934" s="72"/>
      <c r="X934" s="66"/>
      <c r="Y934" s="80"/>
      <c r="Z934" s="80"/>
      <c r="AA934" s="153"/>
    </row>
    <row r="935" spans="17:27" x14ac:dyDescent="0.25">
      <c r="Q935" s="53"/>
      <c r="R935" s="68"/>
      <c r="S935" s="68"/>
      <c r="T935" s="68"/>
      <c r="U935" s="68"/>
      <c r="V935" s="72"/>
      <c r="W935" s="72"/>
      <c r="X935" s="66"/>
      <c r="Y935" s="80"/>
      <c r="Z935" s="80"/>
      <c r="AA935" s="153"/>
    </row>
    <row r="936" spans="17:27" x14ac:dyDescent="0.25">
      <c r="Q936" s="53"/>
      <c r="R936" s="68"/>
      <c r="S936" s="68"/>
      <c r="T936" s="68"/>
      <c r="U936" s="68"/>
      <c r="V936" s="72"/>
      <c r="W936" s="72"/>
      <c r="X936" s="66"/>
      <c r="Y936" s="80"/>
      <c r="Z936" s="80"/>
      <c r="AA936" s="153"/>
    </row>
    <row r="937" spans="17:27" x14ac:dyDescent="0.25">
      <c r="Q937" s="53"/>
      <c r="R937" s="68"/>
      <c r="S937" s="68"/>
      <c r="T937" s="68"/>
      <c r="U937" s="68"/>
      <c r="V937" s="72"/>
      <c r="W937" s="72"/>
      <c r="X937" s="66"/>
      <c r="Y937" s="80"/>
      <c r="Z937" s="80"/>
      <c r="AA937" s="153"/>
    </row>
    <row r="938" spans="17:27" x14ac:dyDescent="0.25">
      <c r="Q938" s="53"/>
      <c r="R938" s="68"/>
      <c r="S938" s="68"/>
      <c r="T938" s="68"/>
      <c r="U938" s="68"/>
      <c r="V938" s="72"/>
      <c r="W938" s="72"/>
      <c r="X938" s="66"/>
      <c r="Y938" s="80"/>
      <c r="Z938" s="80"/>
      <c r="AA938" s="153"/>
    </row>
    <row r="939" spans="17:27" x14ac:dyDescent="0.25">
      <c r="Q939" s="53"/>
      <c r="R939" s="68"/>
      <c r="S939" s="68"/>
      <c r="T939" s="68"/>
      <c r="U939" s="68"/>
      <c r="V939" s="72"/>
      <c r="W939" s="72"/>
      <c r="X939" s="66"/>
      <c r="Y939" s="80"/>
      <c r="Z939" s="80"/>
      <c r="AA939" s="153"/>
    </row>
    <row r="940" spans="17:27" x14ac:dyDescent="0.25">
      <c r="Q940" s="53"/>
      <c r="R940" s="68"/>
      <c r="S940" s="68"/>
      <c r="T940" s="68"/>
      <c r="U940" s="68"/>
      <c r="V940" s="72"/>
      <c r="W940" s="72"/>
      <c r="X940" s="66"/>
      <c r="Y940" s="80"/>
      <c r="Z940" s="80"/>
      <c r="AA940" s="153"/>
    </row>
    <row r="941" spans="17:27" x14ac:dyDescent="0.25">
      <c r="Q941" s="53"/>
      <c r="R941" s="68"/>
      <c r="S941" s="68"/>
      <c r="T941" s="68"/>
      <c r="U941" s="68"/>
      <c r="V941" s="72"/>
      <c r="W941" s="72"/>
      <c r="X941" s="66"/>
      <c r="Y941" s="80"/>
      <c r="Z941" s="80"/>
      <c r="AA941" s="153"/>
    </row>
    <row r="942" spans="17:27" x14ac:dyDescent="0.25">
      <c r="Q942" s="53"/>
      <c r="R942" s="68"/>
      <c r="S942" s="68"/>
      <c r="T942" s="68"/>
      <c r="U942" s="68"/>
      <c r="V942" s="72"/>
      <c r="W942" s="72"/>
      <c r="X942" s="66"/>
      <c r="Y942" s="80"/>
      <c r="Z942" s="80"/>
      <c r="AA942" s="153"/>
    </row>
    <row r="943" spans="17:27" x14ac:dyDescent="0.25">
      <c r="Q943" s="53"/>
      <c r="R943" s="68"/>
      <c r="S943" s="68"/>
      <c r="T943" s="68"/>
      <c r="U943" s="68"/>
      <c r="V943" s="72"/>
      <c r="W943" s="72"/>
      <c r="X943" s="66"/>
      <c r="Y943" s="80"/>
      <c r="Z943" s="80"/>
      <c r="AA943" s="153"/>
    </row>
    <row r="944" spans="17:27" x14ac:dyDescent="0.25">
      <c r="Q944" s="53"/>
      <c r="R944" s="68"/>
      <c r="S944" s="68"/>
      <c r="T944" s="68"/>
      <c r="U944" s="68"/>
      <c r="V944" s="72"/>
      <c r="W944" s="72"/>
      <c r="X944" s="66"/>
      <c r="Y944" s="80"/>
      <c r="Z944" s="80"/>
      <c r="AA944" s="153"/>
    </row>
    <row r="945" spans="17:27" x14ac:dyDescent="0.25">
      <c r="Q945" s="53"/>
      <c r="R945" s="68"/>
      <c r="S945" s="68"/>
      <c r="T945" s="68"/>
      <c r="U945" s="68"/>
      <c r="V945" s="72"/>
      <c r="W945" s="72"/>
      <c r="X945" s="66"/>
      <c r="Y945" s="80"/>
      <c r="Z945" s="80"/>
      <c r="AA945" s="153"/>
    </row>
    <row r="946" spans="17:27" x14ac:dyDescent="0.25">
      <c r="Q946" s="53"/>
      <c r="R946" s="68"/>
      <c r="S946" s="68"/>
      <c r="T946" s="68"/>
      <c r="U946" s="68"/>
      <c r="V946" s="72"/>
      <c r="W946" s="72"/>
      <c r="X946" s="66"/>
      <c r="Y946" s="80"/>
      <c r="Z946" s="80"/>
      <c r="AA946" s="153"/>
    </row>
    <row r="947" spans="17:27" x14ac:dyDescent="0.25">
      <c r="Q947" s="53"/>
      <c r="R947" s="68"/>
      <c r="S947" s="68"/>
      <c r="T947" s="68"/>
      <c r="U947" s="68"/>
      <c r="V947" s="72"/>
      <c r="W947" s="72"/>
      <c r="X947" s="66"/>
      <c r="Y947" s="80"/>
      <c r="Z947" s="80"/>
      <c r="AA947" s="153"/>
    </row>
    <row r="948" spans="17:27" x14ac:dyDescent="0.25">
      <c r="Q948" s="53"/>
      <c r="R948" s="53"/>
      <c r="S948" s="103"/>
      <c r="T948" s="103"/>
      <c r="U948" s="53"/>
      <c r="V948" s="66"/>
      <c r="W948" s="66"/>
      <c r="X948" s="66"/>
      <c r="Y948" s="80"/>
      <c r="Z948" s="80"/>
      <c r="AA948" s="153"/>
    </row>
    <row r="949" spans="17:27" x14ac:dyDescent="0.25">
      <c r="Q949" s="53"/>
      <c r="R949" s="68"/>
      <c r="S949" s="68"/>
      <c r="T949" s="68"/>
      <c r="U949" s="68"/>
      <c r="V949" s="72"/>
      <c r="W949" s="72"/>
      <c r="X949" s="66"/>
      <c r="Y949" s="80"/>
      <c r="Z949" s="80"/>
      <c r="AA949" s="153"/>
    </row>
    <row r="950" spans="17:27" x14ac:dyDescent="0.25">
      <c r="Q950" s="53"/>
      <c r="R950" s="53"/>
      <c r="S950" s="103"/>
      <c r="T950" s="103"/>
      <c r="U950" s="53"/>
      <c r="V950" s="66"/>
      <c r="W950" s="66"/>
      <c r="X950" s="66"/>
      <c r="Y950" s="80"/>
      <c r="Z950" s="80"/>
      <c r="AA950" s="153"/>
    </row>
    <row r="951" spans="17:27" x14ac:dyDescent="0.25">
      <c r="Q951" s="53"/>
      <c r="R951" s="53"/>
      <c r="S951" s="103"/>
      <c r="T951" s="103"/>
      <c r="U951" s="53"/>
      <c r="V951" s="66"/>
      <c r="W951" s="66"/>
      <c r="X951" s="66"/>
      <c r="Y951" s="80"/>
      <c r="Z951" s="80"/>
      <c r="AA951" s="153"/>
    </row>
    <row r="952" spans="17:27" x14ac:dyDescent="0.25">
      <c r="Q952" s="53"/>
      <c r="R952" s="68"/>
      <c r="S952" s="68"/>
      <c r="T952" s="68"/>
      <c r="U952" s="68"/>
      <c r="V952" s="72"/>
      <c r="W952" s="72"/>
      <c r="X952" s="66"/>
      <c r="Y952" s="80"/>
      <c r="Z952" s="80"/>
      <c r="AA952" s="153"/>
    </row>
    <row r="953" spans="17:27" x14ac:dyDescent="0.25">
      <c r="Q953" s="53"/>
      <c r="R953" s="68"/>
      <c r="S953" s="68"/>
      <c r="T953" s="68"/>
      <c r="U953" s="68"/>
      <c r="V953" s="72"/>
      <c r="W953" s="72"/>
      <c r="X953" s="66"/>
      <c r="Y953" s="80"/>
      <c r="Z953" s="80"/>
      <c r="AA953" s="153"/>
    </row>
    <row r="954" spans="17:27" x14ac:dyDescent="0.25">
      <c r="Q954" s="53"/>
      <c r="R954" s="68"/>
      <c r="S954" s="68"/>
      <c r="T954" s="68"/>
      <c r="U954" s="68"/>
      <c r="V954" s="72"/>
      <c r="W954" s="72"/>
      <c r="X954" s="66"/>
      <c r="Y954" s="80"/>
      <c r="Z954" s="80"/>
      <c r="AA954" s="153"/>
    </row>
    <row r="955" spans="17:27" x14ac:dyDescent="0.25">
      <c r="Q955" s="53"/>
      <c r="R955" s="68"/>
      <c r="S955" s="68"/>
      <c r="T955" s="68"/>
      <c r="U955" s="68"/>
      <c r="V955" s="72"/>
      <c r="W955" s="72"/>
      <c r="X955" s="66"/>
      <c r="Y955" s="80"/>
      <c r="Z955" s="80"/>
      <c r="AA955" s="153"/>
    </row>
    <row r="956" spans="17:27" x14ac:dyDescent="0.25">
      <c r="Q956" s="53"/>
      <c r="R956" s="68"/>
      <c r="S956" s="68"/>
      <c r="T956" s="68"/>
      <c r="U956" s="68"/>
      <c r="V956" s="72"/>
      <c r="W956" s="72"/>
      <c r="X956" s="66"/>
      <c r="Y956" s="80"/>
      <c r="Z956" s="80"/>
      <c r="AA956" s="153"/>
    </row>
    <row r="957" spans="17:27" x14ac:dyDescent="0.25">
      <c r="Q957" s="53"/>
      <c r="R957" s="68"/>
      <c r="S957" s="68"/>
      <c r="T957" s="68"/>
      <c r="U957" s="68"/>
      <c r="V957" s="72"/>
      <c r="W957" s="72"/>
      <c r="X957" s="66"/>
      <c r="Y957" s="80"/>
      <c r="Z957" s="80"/>
      <c r="AA957" s="153"/>
    </row>
    <row r="958" spans="17:27" x14ac:dyDescent="0.25">
      <c r="Q958" s="53"/>
      <c r="R958" s="68"/>
      <c r="S958" s="68"/>
      <c r="T958" s="68"/>
      <c r="U958" s="68"/>
      <c r="V958" s="72"/>
      <c r="W958" s="72"/>
      <c r="X958" s="66"/>
      <c r="Y958" s="80"/>
      <c r="Z958" s="80"/>
      <c r="AA958" s="153"/>
    </row>
    <row r="959" spans="17:27" x14ac:dyDescent="0.25">
      <c r="Q959" s="53"/>
      <c r="R959" s="68"/>
      <c r="S959" s="68"/>
      <c r="T959" s="68"/>
      <c r="U959" s="68"/>
      <c r="V959" s="72"/>
      <c r="W959" s="72"/>
      <c r="X959" s="66"/>
      <c r="Y959" s="80"/>
      <c r="Z959" s="80"/>
      <c r="AA959" s="153"/>
    </row>
    <row r="960" spans="17:27" x14ac:dyDescent="0.25">
      <c r="Q960" s="53"/>
      <c r="R960" s="68"/>
      <c r="S960" s="68"/>
      <c r="T960" s="68"/>
      <c r="U960" s="68"/>
      <c r="V960" s="72"/>
      <c r="W960" s="72"/>
      <c r="X960" s="66"/>
      <c r="Y960" s="80"/>
      <c r="Z960" s="80"/>
      <c r="AA960" s="153"/>
    </row>
    <row r="961" spans="17:27" x14ac:dyDescent="0.25">
      <c r="Q961" s="53"/>
      <c r="R961" s="68"/>
      <c r="S961" s="68"/>
      <c r="T961" s="68"/>
      <c r="U961" s="68"/>
      <c r="V961" s="72"/>
      <c r="W961" s="72"/>
      <c r="X961" s="66"/>
      <c r="Y961" s="80"/>
      <c r="Z961" s="80"/>
      <c r="AA961" s="153"/>
    </row>
    <row r="962" spans="17:27" x14ac:dyDescent="0.25">
      <c r="Q962" s="53"/>
      <c r="R962" s="68"/>
      <c r="S962" s="68"/>
      <c r="T962" s="68"/>
      <c r="U962" s="68"/>
      <c r="V962" s="72"/>
      <c r="W962" s="72"/>
      <c r="X962" s="66"/>
      <c r="Y962" s="80"/>
      <c r="Z962" s="80"/>
      <c r="AA962" s="153"/>
    </row>
    <row r="963" spans="17:27" x14ac:dyDescent="0.25">
      <c r="Q963" s="53"/>
      <c r="R963" s="68"/>
      <c r="S963" s="68"/>
      <c r="T963" s="68"/>
      <c r="U963" s="68"/>
      <c r="V963" s="72"/>
      <c r="W963" s="72"/>
      <c r="X963" s="66"/>
      <c r="Y963" s="80"/>
      <c r="Z963" s="80"/>
      <c r="AA963" s="153"/>
    </row>
    <row r="964" spans="17:27" x14ac:dyDescent="0.25">
      <c r="Q964" s="53"/>
      <c r="R964" s="68"/>
      <c r="S964" s="68"/>
      <c r="T964" s="68"/>
      <c r="U964" s="68"/>
      <c r="V964" s="72"/>
      <c r="W964" s="72"/>
      <c r="X964" s="66"/>
      <c r="Y964" s="80"/>
      <c r="Z964" s="80"/>
      <c r="AA964" s="153"/>
    </row>
    <row r="965" spans="17:27" x14ac:dyDescent="0.25">
      <c r="Q965" s="53"/>
      <c r="R965" s="68"/>
      <c r="S965" s="68"/>
      <c r="T965" s="68"/>
      <c r="U965" s="68"/>
      <c r="V965" s="72"/>
      <c r="W965" s="72"/>
      <c r="X965" s="66"/>
      <c r="Y965" s="80"/>
      <c r="Z965" s="80"/>
      <c r="AA965" s="153"/>
    </row>
    <row r="966" spans="17:27" x14ac:dyDescent="0.25">
      <c r="Q966" s="53"/>
      <c r="R966" s="68"/>
      <c r="S966" s="68"/>
      <c r="T966" s="68"/>
      <c r="U966" s="68"/>
      <c r="V966" s="72"/>
      <c r="W966" s="72"/>
      <c r="X966" s="66"/>
      <c r="Y966" s="80"/>
      <c r="Z966" s="80"/>
      <c r="AA966" s="153"/>
    </row>
    <row r="967" spans="17:27" x14ac:dyDescent="0.25">
      <c r="Q967" s="53"/>
      <c r="R967" s="68"/>
      <c r="S967" s="68"/>
      <c r="T967" s="68"/>
      <c r="U967" s="68"/>
      <c r="V967" s="72"/>
      <c r="W967" s="72"/>
      <c r="X967" s="66"/>
      <c r="Y967" s="80"/>
      <c r="Z967" s="80"/>
      <c r="AA967" s="153"/>
    </row>
    <row r="968" spans="17:27" x14ac:dyDescent="0.25">
      <c r="Q968" s="53"/>
      <c r="R968" s="68"/>
      <c r="S968" s="68"/>
      <c r="T968" s="68"/>
      <c r="U968" s="68"/>
      <c r="V968" s="72"/>
      <c r="W968" s="72"/>
      <c r="X968" s="66"/>
      <c r="Y968" s="80"/>
      <c r="Z968" s="80"/>
      <c r="AA968" s="153"/>
    </row>
    <row r="969" spans="17:27" x14ac:dyDescent="0.25">
      <c r="Q969" s="53"/>
      <c r="R969" s="68"/>
      <c r="S969" s="68"/>
      <c r="T969" s="68"/>
      <c r="U969" s="68"/>
      <c r="V969" s="72"/>
      <c r="W969" s="72"/>
      <c r="X969" s="66"/>
      <c r="Y969" s="80"/>
      <c r="Z969" s="80"/>
      <c r="AA969" s="153"/>
    </row>
    <row r="970" spans="17:27" x14ac:dyDescent="0.25">
      <c r="Q970" s="53"/>
      <c r="R970" s="68"/>
      <c r="S970" s="68"/>
      <c r="T970" s="68"/>
      <c r="U970" s="68"/>
      <c r="V970" s="72"/>
      <c r="W970" s="72"/>
      <c r="X970" s="66"/>
      <c r="Y970" s="80"/>
      <c r="Z970" s="80"/>
      <c r="AA970" s="153"/>
    </row>
    <row r="971" spans="17:27" x14ac:dyDescent="0.25">
      <c r="Q971" s="53"/>
      <c r="R971" s="68"/>
      <c r="S971" s="68"/>
      <c r="T971" s="68"/>
      <c r="U971" s="68"/>
      <c r="V971" s="72"/>
      <c r="W971" s="72"/>
      <c r="X971" s="66"/>
      <c r="Y971" s="80"/>
      <c r="Z971" s="80"/>
      <c r="AA971" s="153"/>
    </row>
    <row r="972" spans="17:27" x14ac:dyDescent="0.25">
      <c r="Q972" s="53"/>
      <c r="R972" s="68"/>
      <c r="S972" s="68"/>
      <c r="T972" s="68"/>
      <c r="U972" s="68"/>
      <c r="V972" s="72"/>
      <c r="W972" s="72"/>
      <c r="X972" s="66"/>
      <c r="Y972" s="80"/>
      <c r="Z972" s="80"/>
      <c r="AA972" s="153"/>
    </row>
    <row r="973" spans="17:27" x14ac:dyDescent="0.25">
      <c r="Q973" s="53"/>
      <c r="R973" s="68"/>
      <c r="S973" s="68"/>
      <c r="T973" s="68"/>
      <c r="U973" s="68"/>
      <c r="V973" s="72"/>
      <c r="W973" s="72"/>
      <c r="X973" s="66"/>
      <c r="Y973" s="80"/>
      <c r="Z973" s="80"/>
      <c r="AA973" s="153"/>
    </row>
    <row r="974" spans="17:27" x14ac:dyDescent="0.25">
      <c r="Q974" s="53"/>
      <c r="R974" s="68"/>
      <c r="S974" s="68"/>
      <c r="T974" s="68"/>
      <c r="U974" s="68"/>
      <c r="V974" s="72"/>
      <c r="W974" s="72"/>
      <c r="X974" s="66"/>
      <c r="Y974" s="80"/>
      <c r="Z974" s="80"/>
      <c r="AA974" s="153"/>
    </row>
    <row r="975" spans="17:27" x14ac:dyDescent="0.25">
      <c r="Q975" s="53"/>
      <c r="R975" s="68"/>
      <c r="S975" s="68"/>
      <c r="T975" s="68"/>
      <c r="U975" s="68"/>
      <c r="V975" s="72"/>
      <c r="W975" s="72"/>
      <c r="X975" s="66"/>
      <c r="Y975" s="80"/>
      <c r="Z975" s="80"/>
      <c r="AA975" s="153"/>
    </row>
    <row r="976" spans="17:27" x14ac:dyDescent="0.25">
      <c r="Q976" s="53"/>
      <c r="R976" s="68"/>
      <c r="S976" s="68"/>
      <c r="T976" s="68"/>
      <c r="U976" s="68"/>
      <c r="V976" s="72"/>
      <c r="W976" s="72"/>
      <c r="X976" s="66"/>
      <c r="Y976" s="80"/>
      <c r="Z976" s="80"/>
      <c r="AA976" s="153"/>
    </row>
    <row r="977" spans="17:27" x14ac:dyDescent="0.25">
      <c r="Q977" s="53"/>
      <c r="R977" s="68"/>
      <c r="S977" s="68"/>
      <c r="T977" s="68"/>
      <c r="U977" s="68"/>
      <c r="V977" s="72"/>
      <c r="W977" s="72"/>
      <c r="X977" s="66"/>
      <c r="Y977" s="80"/>
      <c r="Z977" s="80"/>
      <c r="AA977" s="153"/>
    </row>
    <row r="978" spans="17:27" x14ac:dyDescent="0.25">
      <c r="Q978" s="53"/>
      <c r="R978" s="68"/>
      <c r="S978" s="68"/>
      <c r="T978" s="68"/>
      <c r="U978" s="68"/>
      <c r="V978" s="72"/>
      <c r="W978" s="72"/>
      <c r="X978" s="66"/>
      <c r="Y978" s="80"/>
      <c r="Z978" s="80"/>
      <c r="AA978" s="153"/>
    </row>
    <row r="979" spans="17:27" x14ac:dyDescent="0.25">
      <c r="Q979" s="53"/>
      <c r="R979" s="68"/>
      <c r="S979" s="68"/>
      <c r="T979" s="68"/>
      <c r="U979" s="68"/>
      <c r="V979" s="72"/>
      <c r="W979" s="72"/>
      <c r="X979" s="66"/>
      <c r="Y979" s="80"/>
      <c r="Z979" s="80"/>
      <c r="AA979" s="153"/>
    </row>
    <row r="980" spans="17:27" x14ac:dyDescent="0.25">
      <c r="Q980" s="53"/>
      <c r="R980" s="68"/>
      <c r="S980" s="68"/>
      <c r="T980" s="68"/>
      <c r="U980" s="68"/>
      <c r="V980" s="72"/>
      <c r="W980" s="72"/>
      <c r="X980" s="66"/>
      <c r="Y980" s="80"/>
      <c r="Z980" s="80"/>
      <c r="AA980" s="153"/>
    </row>
    <row r="981" spans="17:27" x14ac:dyDescent="0.25">
      <c r="Q981" s="53"/>
      <c r="R981" s="68"/>
      <c r="S981" s="68"/>
      <c r="T981" s="68"/>
      <c r="U981" s="68"/>
      <c r="V981" s="72"/>
      <c r="W981" s="72"/>
      <c r="X981" s="66"/>
      <c r="Y981" s="80"/>
      <c r="Z981" s="80"/>
      <c r="AA981" s="153"/>
    </row>
    <row r="982" spans="17:27" x14ac:dyDescent="0.25">
      <c r="Q982" s="53"/>
      <c r="R982" s="68"/>
      <c r="S982" s="68"/>
      <c r="T982" s="68"/>
      <c r="U982" s="68"/>
      <c r="V982" s="72"/>
      <c r="W982" s="72"/>
      <c r="X982" s="66"/>
      <c r="Y982" s="80"/>
      <c r="Z982" s="80"/>
      <c r="AA982" s="153"/>
    </row>
    <row r="983" spans="17:27" x14ac:dyDescent="0.25">
      <c r="Q983" s="53"/>
      <c r="R983" s="68"/>
      <c r="S983" s="68"/>
      <c r="T983" s="68"/>
      <c r="U983" s="68"/>
      <c r="V983" s="72"/>
      <c r="W983" s="72"/>
      <c r="X983" s="66"/>
      <c r="Y983" s="80"/>
      <c r="Z983" s="80"/>
      <c r="AA983" s="153"/>
    </row>
    <row r="984" spans="17:27" x14ac:dyDescent="0.25">
      <c r="Q984" s="53"/>
      <c r="R984" s="68"/>
      <c r="S984" s="68"/>
      <c r="T984" s="68"/>
      <c r="U984" s="68"/>
      <c r="V984" s="72"/>
      <c r="W984" s="72"/>
      <c r="X984" s="66"/>
      <c r="Y984" s="80"/>
      <c r="Z984" s="80"/>
      <c r="AA984" s="153"/>
    </row>
    <row r="985" spans="17:27" x14ac:dyDescent="0.25">
      <c r="Q985" s="53"/>
      <c r="R985" s="68"/>
      <c r="S985" s="68"/>
      <c r="T985" s="68"/>
      <c r="U985" s="68"/>
      <c r="V985" s="72"/>
      <c r="W985" s="72"/>
      <c r="X985" s="66"/>
      <c r="Y985" s="80"/>
      <c r="Z985" s="80"/>
      <c r="AA985" s="153"/>
    </row>
    <row r="986" spans="17:27" x14ac:dyDescent="0.25">
      <c r="Q986" s="53"/>
      <c r="R986" s="68"/>
      <c r="S986" s="68"/>
      <c r="T986" s="68"/>
      <c r="U986" s="68"/>
      <c r="V986" s="72"/>
      <c r="W986" s="72"/>
      <c r="X986" s="66"/>
      <c r="Y986" s="80"/>
      <c r="Z986" s="80"/>
      <c r="AA986" s="153"/>
    </row>
    <row r="987" spans="17:27" x14ac:dyDescent="0.25">
      <c r="Q987" s="53"/>
      <c r="R987" s="68"/>
      <c r="S987" s="68"/>
      <c r="T987" s="68"/>
      <c r="U987" s="68"/>
      <c r="V987" s="72"/>
      <c r="W987" s="72"/>
      <c r="X987" s="66"/>
      <c r="Y987" s="80"/>
      <c r="Z987" s="80"/>
      <c r="AA987" s="153"/>
    </row>
    <row r="988" spans="17:27" x14ac:dyDescent="0.25">
      <c r="Q988" s="53"/>
      <c r="R988" s="68"/>
      <c r="S988" s="68"/>
      <c r="T988" s="68"/>
      <c r="U988" s="68"/>
      <c r="V988" s="72"/>
      <c r="W988" s="72"/>
      <c r="X988" s="66"/>
      <c r="Y988" s="80"/>
      <c r="Z988" s="80"/>
      <c r="AA988" s="153"/>
    </row>
    <row r="989" spans="17:27" x14ac:dyDescent="0.25">
      <c r="Q989" s="53"/>
      <c r="R989" s="68"/>
      <c r="S989" s="68"/>
      <c r="T989" s="68"/>
      <c r="U989" s="68"/>
      <c r="V989" s="72"/>
      <c r="W989" s="72"/>
      <c r="X989" s="66"/>
      <c r="Y989" s="80"/>
      <c r="Z989" s="80"/>
      <c r="AA989" s="153"/>
    </row>
    <row r="990" spans="17:27" x14ac:dyDescent="0.25">
      <c r="Q990" s="53"/>
      <c r="R990" s="68"/>
      <c r="S990" s="68"/>
      <c r="T990" s="68"/>
      <c r="U990" s="68"/>
      <c r="V990" s="72"/>
      <c r="W990" s="72"/>
      <c r="X990" s="66"/>
      <c r="Y990" s="80"/>
      <c r="Z990" s="80"/>
      <c r="AA990" s="153"/>
    </row>
    <row r="991" spans="17:27" x14ac:dyDescent="0.25">
      <c r="Q991" s="53"/>
      <c r="R991" s="68"/>
      <c r="S991" s="68"/>
      <c r="T991" s="68"/>
      <c r="U991" s="68"/>
      <c r="V991" s="72"/>
      <c r="W991" s="72"/>
      <c r="X991" s="66"/>
      <c r="Y991" s="80"/>
      <c r="Z991" s="80"/>
      <c r="AA991" s="153"/>
    </row>
    <row r="992" spans="17:27" x14ac:dyDescent="0.25">
      <c r="Q992" s="53"/>
      <c r="R992" s="68"/>
      <c r="S992" s="68"/>
      <c r="T992" s="68"/>
      <c r="U992" s="68"/>
      <c r="V992" s="72"/>
      <c r="W992" s="72"/>
      <c r="X992" s="66"/>
      <c r="Y992" s="80"/>
      <c r="Z992" s="80"/>
      <c r="AA992" s="153"/>
    </row>
    <row r="993" spans="17:27" x14ac:dyDescent="0.25">
      <c r="Q993" s="53"/>
      <c r="R993" s="68"/>
      <c r="S993" s="68"/>
      <c r="T993" s="68"/>
      <c r="U993" s="68"/>
      <c r="V993" s="72"/>
      <c r="W993" s="72"/>
      <c r="X993" s="66"/>
      <c r="Y993" s="80"/>
      <c r="Z993" s="80"/>
      <c r="AA993" s="153"/>
    </row>
    <row r="994" spans="17:27" x14ac:dyDescent="0.25">
      <c r="Q994" s="53"/>
      <c r="R994" s="68"/>
      <c r="S994" s="68"/>
      <c r="T994" s="68"/>
      <c r="U994" s="68"/>
      <c r="V994" s="72"/>
      <c r="W994" s="72"/>
      <c r="X994" s="66"/>
      <c r="Y994" s="80"/>
      <c r="Z994" s="80"/>
      <c r="AA994" s="153"/>
    </row>
    <row r="995" spans="17:27" x14ac:dyDescent="0.25">
      <c r="Q995" s="53"/>
      <c r="R995" s="68"/>
      <c r="S995" s="68"/>
      <c r="T995" s="68"/>
      <c r="U995" s="68"/>
      <c r="V995" s="72"/>
      <c r="W995" s="72"/>
      <c r="X995" s="66"/>
      <c r="Y995" s="80"/>
      <c r="Z995" s="80"/>
      <c r="AA995" s="153"/>
    </row>
    <row r="996" spans="17:27" x14ac:dyDescent="0.25">
      <c r="Q996" s="53"/>
      <c r="R996" s="68"/>
      <c r="S996" s="68"/>
      <c r="T996" s="68"/>
      <c r="U996" s="68"/>
      <c r="V996" s="72"/>
      <c r="W996" s="72"/>
      <c r="X996" s="66"/>
      <c r="Y996" s="80"/>
      <c r="Z996" s="80"/>
      <c r="AA996" s="153"/>
    </row>
    <row r="997" spans="17:27" x14ac:dyDescent="0.25">
      <c r="Q997" s="53"/>
      <c r="R997" s="68"/>
      <c r="S997" s="68"/>
      <c r="T997" s="68"/>
      <c r="U997" s="68"/>
      <c r="V997" s="72"/>
      <c r="W997" s="72"/>
      <c r="X997" s="66"/>
      <c r="Y997" s="80"/>
      <c r="Z997" s="80"/>
      <c r="AA997" s="153"/>
    </row>
    <row r="998" spans="17:27" x14ac:dyDescent="0.25">
      <c r="Q998" s="53"/>
      <c r="R998" s="68"/>
      <c r="S998" s="68"/>
      <c r="T998" s="68"/>
      <c r="U998" s="68"/>
      <c r="V998" s="72"/>
      <c r="W998" s="72"/>
      <c r="X998" s="66"/>
      <c r="Y998" s="80"/>
      <c r="Z998" s="80"/>
      <c r="AA998" s="153"/>
    </row>
    <row r="999" spans="17:27" x14ac:dyDescent="0.25">
      <c r="Q999" s="53"/>
      <c r="R999" s="68"/>
      <c r="S999" s="68"/>
      <c r="T999" s="68"/>
      <c r="U999" s="68"/>
      <c r="V999" s="72"/>
      <c r="W999" s="72"/>
      <c r="X999" s="66"/>
      <c r="Y999" s="80"/>
      <c r="Z999" s="80"/>
      <c r="AA999" s="153"/>
    </row>
    <row r="1000" spans="17:27" x14ac:dyDescent="0.25">
      <c r="Q1000" s="53"/>
      <c r="R1000" s="68"/>
      <c r="S1000" s="68"/>
      <c r="T1000" s="68"/>
      <c r="U1000" s="68"/>
      <c r="V1000" s="72"/>
      <c r="W1000" s="72"/>
      <c r="X1000" s="66"/>
      <c r="Y1000" s="80"/>
      <c r="Z1000" s="80"/>
      <c r="AA1000" s="153"/>
    </row>
    <row r="1001" spans="17:27" x14ac:dyDescent="0.25">
      <c r="Q1001" s="53"/>
      <c r="R1001" s="68"/>
      <c r="S1001" s="68"/>
      <c r="T1001" s="68"/>
      <c r="U1001" s="68"/>
      <c r="V1001" s="72"/>
      <c r="W1001" s="72"/>
      <c r="X1001" s="66"/>
      <c r="Y1001" s="80"/>
      <c r="Z1001" s="80"/>
      <c r="AA1001" s="153"/>
    </row>
    <row r="1002" spans="17:27" x14ac:dyDescent="0.25">
      <c r="Q1002" s="53"/>
      <c r="R1002" s="68"/>
      <c r="S1002" s="68"/>
      <c r="T1002" s="68"/>
      <c r="U1002" s="68"/>
      <c r="V1002" s="72"/>
      <c r="W1002" s="72"/>
      <c r="X1002" s="66"/>
      <c r="Y1002" s="80"/>
      <c r="Z1002" s="80"/>
      <c r="AA1002" s="153"/>
    </row>
    <row r="1003" spans="17:27" x14ac:dyDescent="0.25">
      <c r="Q1003" s="53"/>
      <c r="R1003" s="68"/>
      <c r="S1003" s="68"/>
      <c r="T1003" s="68"/>
      <c r="U1003" s="68"/>
      <c r="V1003" s="72"/>
      <c r="W1003" s="72"/>
      <c r="X1003" s="66"/>
      <c r="Y1003" s="80"/>
      <c r="Z1003" s="80"/>
      <c r="AA1003" s="153"/>
    </row>
    <row r="1004" spans="17:27" x14ac:dyDescent="0.25">
      <c r="Q1004" s="53"/>
      <c r="R1004" s="68"/>
      <c r="S1004" s="68"/>
      <c r="T1004" s="68"/>
      <c r="U1004" s="68"/>
      <c r="V1004" s="72"/>
      <c r="W1004" s="72"/>
      <c r="X1004" s="66"/>
      <c r="Y1004" s="80"/>
      <c r="Z1004" s="80"/>
      <c r="AA1004" s="153"/>
    </row>
    <row r="1005" spans="17:27" x14ac:dyDescent="0.25">
      <c r="Q1005" s="53"/>
      <c r="R1005" s="68"/>
      <c r="S1005" s="68"/>
      <c r="T1005" s="68"/>
      <c r="U1005" s="68"/>
      <c r="V1005" s="72"/>
      <c r="W1005" s="72"/>
      <c r="X1005" s="66"/>
      <c r="Y1005" s="80"/>
      <c r="Z1005" s="80"/>
      <c r="AA1005" s="153"/>
    </row>
    <row r="1006" spans="17:27" x14ac:dyDescent="0.25">
      <c r="Q1006" s="53"/>
      <c r="R1006" s="68"/>
      <c r="S1006" s="68"/>
      <c r="T1006" s="68"/>
      <c r="U1006" s="68"/>
      <c r="V1006" s="72"/>
      <c r="W1006" s="72"/>
      <c r="X1006" s="66"/>
      <c r="Y1006" s="80"/>
      <c r="Z1006" s="80"/>
      <c r="AA1006" s="153"/>
    </row>
    <row r="1007" spans="17:27" x14ac:dyDescent="0.25">
      <c r="Q1007" s="53"/>
      <c r="R1007" s="68"/>
      <c r="S1007" s="68"/>
      <c r="T1007" s="68"/>
      <c r="U1007" s="68"/>
      <c r="V1007" s="72"/>
      <c r="W1007" s="72"/>
      <c r="X1007" s="66"/>
      <c r="Y1007" s="80"/>
      <c r="Z1007" s="80"/>
      <c r="AA1007" s="153"/>
    </row>
    <row r="1008" spans="17:27" x14ac:dyDescent="0.25">
      <c r="Q1008" s="53"/>
      <c r="R1008" s="68"/>
      <c r="S1008" s="68"/>
      <c r="T1008" s="68"/>
      <c r="U1008" s="68"/>
      <c r="V1008" s="72"/>
      <c r="W1008" s="72"/>
      <c r="X1008" s="66"/>
      <c r="Y1008" s="80"/>
      <c r="Z1008" s="80"/>
      <c r="AA1008" s="153"/>
    </row>
    <row r="1009" spans="17:27" x14ac:dyDescent="0.25">
      <c r="Q1009" s="53"/>
      <c r="R1009" s="68"/>
      <c r="S1009" s="68"/>
      <c r="T1009" s="68"/>
      <c r="U1009" s="68"/>
      <c r="V1009" s="72"/>
      <c r="W1009" s="72"/>
      <c r="X1009" s="66"/>
      <c r="Y1009" s="80"/>
      <c r="Z1009" s="80"/>
      <c r="AA1009" s="153"/>
    </row>
    <row r="1010" spans="17:27" x14ac:dyDescent="0.25">
      <c r="Q1010" s="53"/>
      <c r="R1010" s="68"/>
      <c r="S1010" s="68"/>
      <c r="T1010" s="68"/>
      <c r="U1010" s="68"/>
      <c r="V1010" s="72"/>
      <c r="W1010" s="72"/>
      <c r="X1010" s="66"/>
      <c r="Y1010" s="80"/>
      <c r="Z1010" s="80"/>
      <c r="AA1010" s="153"/>
    </row>
    <row r="1011" spans="17:27" x14ac:dyDescent="0.25">
      <c r="Q1011" s="53"/>
      <c r="R1011" s="68"/>
      <c r="S1011" s="68"/>
      <c r="T1011" s="68"/>
      <c r="U1011" s="68"/>
      <c r="V1011" s="72"/>
      <c r="W1011" s="72"/>
      <c r="X1011" s="66"/>
      <c r="Y1011" s="80"/>
      <c r="Z1011" s="80"/>
      <c r="AA1011" s="153"/>
    </row>
    <row r="1012" spans="17:27" x14ac:dyDescent="0.25">
      <c r="Q1012" s="53"/>
      <c r="R1012" s="68"/>
      <c r="S1012" s="68"/>
      <c r="T1012" s="68"/>
      <c r="U1012" s="68"/>
      <c r="V1012" s="72"/>
      <c r="W1012" s="72"/>
      <c r="X1012" s="66"/>
      <c r="Y1012" s="80"/>
      <c r="Z1012" s="80"/>
      <c r="AA1012" s="153"/>
    </row>
    <row r="1013" spans="17:27" x14ac:dyDescent="0.25">
      <c r="Q1013" s="53"/>
      <c r="R1013" s="68"/>
      <c r="S1013" s="68"/>
      <c r="T1013" s="68"/>
      <c r="U1013" s="68"/>
      <c r="V1013" s="72"/>
      <c r="W1013" s="72"/>
      <c r="X1013" s="66"/>
      <c r="Y1013" s="80"/>
      <c r="Z1013" s="80"/>
      <c r="AA1013" s="153"/>
    </row>
    <row r="1014" spans="17:27" x14ac:dyDescent="0.25">
      <c r="Q1014" s="53"/>
      <c r="R1014" s="68"/>
      <c r="S1014" s="68"/>
      <c r="T1014" s="68"/>
      <c r="U1014" s="68"/>
      <c r="V1014" s="72"/>
      <c r="W1014" s="72"/>
      <c r="X1014" s="66"/>
      <c r="Y1014" s="80"/>
      <c r="Z1014" s="80"/>
      <c r="AA1014" s="153"/>
    </row>
    <row r="1015" spans="17:27" x14ac:dyDescent="0.25">
      <c r="Q1015" s="53"/>
      <c r="R1015" s="68"/>
      <c r="S1015" s="68"/>
      <c r="T1015" s="68"/>
      <c r="U1015" s="68"/>
      <c r="V1015" s="72"/>
      <c r="W1015" s="72"/>
      <c r="X1015" s="66"/>
      <c r="Y1015" s="80"/>
      <c r="Z1015" s="80"/>
      <c r="AA1015" s="153"/>
    </row>
    <row r="1016" spans="17:27" x14ac:dyDescent="0.25">
      <c r="Q1016" s="53"/>
      <c r="R1016" s="68"/>
      <c r="S1016" s="68"/>
      <c r="T1016" s="68"/>
      <c r="U1016" s="68"/>
      <c r="V1016" s="72"/>
      <c r="W1016" s="72"/>
      <c r="X1016" s="66"/>
      <c r="Y1016" s="80"/>
      <c r="Z1016" s="80"/>
      <c r="AA1016" s="153"/>
    </row>
    <row r="1017" spans="17:27" x14ac:dyDescent="0.25">
      <c r="Q1017" s="53"/>
      <c r="R1017" s="68"/>
      <c r="S1017" s="68"/>
      <c r="T1017" s="68"/>
      <c r="U1017" s="68"/>
      <c r="V1017" s="72"/>
      <c r="W1017" s="72"/>
      <c r="X1017" s="66"/>
      <c r="Y1017" s="80"/>
      <c r="Z1017" s="80"/>
      <c r="AA1017" s="153"/>
    </row>
    <row r="1018" spans="17:27" x14ac:dyDescent="0.25">
      <c r="Q1018" s="53"/>
      <c r="R1018" s="68"/>
      <c r="S1018" s="68"/>
      <c r="T1018" s="68"/>
      <c r="U1018" s="68"/>
      <c r="V1018" s="72"/>
      <c r="W1018" s="72"/>
      <c r="X1018" s="66"/>
      <c r="Y1018" s="80"/>
      <c r="Z1018" s="80"/>
      <c r="AA1018" s="153"/>
    </row>
    <row r="1019" spans="17:27" x14ac:dyDescent="0.25">
      <c r="Q1019" s="53"/>
      <c r="R1019" s="68"/>
      <c r="S1019" s="68"/>
      <c r="T1019" s="68"/>
      <c r="U1019" s="68"/>
      <c r="V1019" s="72"/>
      <c r="W1019" s="72"/>
      <c r="X1019" s="66"/>
      <c r="Y1019" s="80"/>
      <c r="Z1019" s="80"/>
      <c r="AA1019" s="153"/>
    </row>
    <row r="1020" spans="17:27" x14ac:dyDescent="0.25">
      <c r="Q1020" s="53"/>
      <c r="R1020" s="68"/>
      <c r="S1020" s="68"/>
      <c r="T1020" s="68"/>
      <c r="U1020" s="68"/>
      <c r="V1020" s="72"/>
      <c r="W1020" s="72"/>
      <c r="X1020" s="66"/>
      <c r="Y1020" s="80"/>
      <c r="Z1020" s="80"/>
      <c r="AA1020" s="153"/>
    </row>
    <row r="1021" spans="17:27" x14ac:dyDescent="0.25">
      <c r="Q1021" s="53"/>
      <c r="R1021" s="68"/>
      <c r="S1021" s="68"/>
      <c r="T1021" s="68"/>
      <c r="U1021" s="68"/>
      <c r="V1021" s="72"/>
      <c r="W1021" s="72"/>
      <c r="X1021" s="66"/>
      <c r="Y1021" s="80"/>
      <c r="Z1021" s="80"/>
      <c r="AA1021" s="153"/>
    </row>
    <row r="1022" spans="17:27" x14ac:dyDescent="0.25">
      <c r="Q1022" s="53"/>
      <c r="R1022" s="68"/>
      <c r="S1022" s="68"/>
      <c r="T1022" s="68"/>
      <c r="U1022" s="68"/>
      <c r="V1022" s="72"/>
      <c r="W1022" s="72"/>
      <c r="X1022" s="66"/>
      <c r="Y1022" s="80"/>
      <c r="Z1022" s="80"/>
      <c r="AA1022" s="153"/>
    </row>
    <row r="1023" spans="17:27" x14ac:dyDescent="0.25">
      <c r="Q1023" s="53"/>
      <c r="R1023" s="68"/>
      <c r="S1023" s="68"/>
      <c r="T1023" s="68"/>
      <c r="U1023" s="68"/>
      <c r="V1023" s="72"/>
      <c r="W1023" s="72"/>
      <c r="X1023" s="66"/>
      <c r="Y1023" s="80"/>
      <c r="Z1023" s="80"/>
      <c r="AA1023" s="153"/>
    </row>
    <row r="1024" spans="17:27" x14ac:dyDescent="0.25">
      <c r="Q1024" s="53"/>
      <c r="R1024" s="68"/>
      <c r="S1024" s="68"/>
      <c r="T1024" s="68"/>
      <c r="U1024" s="68"/>
      <c r="V1024" s="72"/>
      <c r="W1024" s="72"/>
      <c r="X1024" s="66"/>
      <c r="Y1024" s="80"/>
      <c r="Z1024" s="80"/>
      <c r="AA1024" s="153"/>
    </row>
    <row r="1025" spans="17:27" x14ac:dyDescent="0.25">
      <c r="Q1025" s="53"/>
      <c r="R1025" s="68"/>
      <c r="S1025" s="68"/>
      <c r="T1025" s="68"/>
      <c r="U1025" s="68"/>
      <c r="V1025" s="72"/>
      <c r="W1025" s="72"/>
      <c r="X1025" s="66"/>
      <c r="Y1025" s="80"/>
      <c r="Z1025" s="80"/>
      <c r="AA1025" s="153"/>
    </row>
    <row r="1026" spans="17:27" x14ac:dyDescent="0.25">
      <c r="Q1026" s="53"/>
      <c r="R1026" s="68"/>
      <c r="S1026" s="68"/>
      <c r="T1026" s="68"/>
      <c r="U1026" s="68"/>
      <c r="V1026" s="72"/>
      <c r="W1026" s="72"/>
      <c r="X1026" s="66"/>
      <c r="Y1026" s="80"/>
      <c r="Z1026" s="80"/>
      <c r="AA1026" s="153"/>
    </row>
    <row r="1027" spans="17:27" x14ac:dyDescent="0.25">
      <c r="Q1027" s="53"/>
      <c r="R1027" s="68"/>
      <c r="S1027" s="68"/>
      <c r="T1027" s="68"/>
      <c r="U1027" s="68"/>
      <c r="V1027" s="72"/>
      <c r="W1027" s="72"/>
      <c r="X1027" s="66"/>
      <c r="Y1027" s="80"/>
      <c r="Z1027" s="80"/>
      <c r="AA1027" s="153"/>
    </row>
    <row r="1028" spans="17:27" x14ac:dyDescent="0.25">
      <c r="Q1028" s="53"/>
      <c r="R1028" s="68"/>
      <c r="S1028" s="68"/>
      <c r="T1028" s="68"/>
      <c r="U1028" s="68"/>
      <c r="V1028" s="72"/>
      <c r="W1028" s="72"/>
      <c r="X1028" s="66"/>
      <c r="Y1028" s="80"/>
      <c r="Z1028" s="80"/>
      <c r="AA1028" s="153"/>
    </row>
    <row r="1029" spans="17:27" x14ac:dyDescent="0.25">
      <c r="Q1029" s="53"/>
      <c r="R1029" s="68"/>
      <c r="S1029" s="68"/>
      <c r="T1029" s="68"/>
      <c r="U1029" s="68"/>
      <c r="V1029" s="72"/>
      <c r="W1029" s="72"/>
      <c r="X1029" s="66"/>
      <c r="Y1029" s="80"/>
      <c r="Z1029" s="80"/>
      <c r="AA1029" s="153"/>
    </row>
    <row r="1030" spans="17:27" x14ac:dyDescent="0.25">
      <c r="Q1030" s="53"/>
      <c r="R1030" s="68"/>
      <c r="S1030" s="68"/>
      <c r="T1030" s="68"/>
      <c r="U1030" s="68"/>
      <c r="V1030" s="72"/>
      <c r="W1030" s="72"/>
      <c r="X1030" s="66"/>
      <c r="Y1030" s="80"/>
      <c r="Z1030" s="80"/>
      <c r="AA1030" s="153"/>
    </row>
    <row r="1031" spans="17:27" x14ac:dyDescent="0.25">
      <c r="Q1031" s="53"/>
      <c r="R1031" s="68"/>
      <c r="S1031" s="68"/>
      <c r="T1031" s="68"/>
      <c r="U1031" s="68"/>
      <c r="V1031" s="72"/>
      <c r="W1031" s="72"/>
      <c r="X1031" s="66"/>
      <c r="Y1031" s="80"/>
      <c r="Z1031" s="80"/>
      <c r="AA1031" s="153"/>
    </row>
    <row r="1032" spans="17:27" x14ac:dyDescent="0.25">
      <c r="Q1032" s="53"/>
      <c r="R1032" s="68"/>
      <c r="S1032" s="68"/>
      <c r="T1032" s="68"/>
      <c r="U1032" s="68"/>
      <c r="V1032" s="72"/>
      <c r="W1032" s="72"/>
      <c r="X1032" s="66"/>
      <c r="Y1032" s="80"/>
      <c r="Z1032" s="80"/>
      <c r="AA1032" s="153"/>
    </row>
    <row r="1033" spans="17:27" x14ac:dyDescent="0.25">
      <c r="Q1033" s="53"/>
      <c r="R1033" s="68"/>
      <c r="S1033" s="68"/>
      <c r="T1033" s="68"/>
      <c r="U1033" s="68"/>
      <c r="V1033" s="72"/>
      <c r="W1033" s="72"/>
      <c r="X1033" s="66"/>
      <c r="Y1033" s="80"/>
      <c r="Z1033" s="80"/>
      <c r="AA1033" s="153"/>
    </row>
    <row r="1034" spans="17:27" x14ac:dyDescent="0.25">
      <c r="Q1034" s="53"/>
      <c r="R1034" s="68"/>
      <c r="S1034" s="68"/>
      <c r="T1034" s="68"/>
      <c r="U1034" s="68"/>
      <c r="V1034" s="72"/>
      <c r="W1034" s="72"/>
      <c r="X1034" s="66"/>
      <c r="Y1034" s="80"/>
      <c r="Z1034" s="80"/>
      <c r="AA1034" s="153"/>
    </row>
    <row r="1035" spans="17:27" x14ac:dyDescent="0.25">
      <c r="Q1035" s="53"/>
      <c r="R1035" s="68"/>
      <c r="S1035" s="68"/>
      <c r="T1035" s="68"/>
      <c r="U1035" s="68"/>
      <c r="V1035" s="72"/>
      <c r="W1035" s="72"/>
      <c r="X1035" s="66"/>
      <c r="Y1035" s="80"/>
      <c r="Z1035" s="80"/>
      <c r="AA1035" s="153"/>
    </row>
    <row r="1036" spans="17:27" x14ac:dyDescent="0.25">
      <c r="Q1036" s="53"/>
      <c r="R1036" s="68"/>
      <c r="S1036" s="68"/>
      <c r="T1036" s="68"/>
      <c r="U1036" s="68"/>
      <c r="V1036" s="72"/>
      <c r="W1036" s="72"/>
      <c r="X1036" s="66"/>
      <c r="Y1036" s="80"/>
      <c r="Z1036" s="80"/>
      <c r="AA1036" s="153"/>
    </row>
    <row r="1037" spans="17:27" x14ac:dyDescent="0.25">
      <c r="Q1037" s="53"/>
      <c r="R1037" s="68"/>
      <c r="S1037" s="68"/>
      <c r="T1037" s="68"/>
      <c r="U1037" s="68"/>
      <c r="V1037" s="72"/>
      <c r="W1037" s="72"/>
      <c r="X1037" s="66"/>
      <c r="Y1037" s="80"/>
      <c r="Z1037" s="80"/>
      <c r="AA1037" s="153"/>
    </row>
    <row r="1038" spans="17:27" x14ac:dyDescent="0.25">
      <c r="Q1038" s="53"/>
      <c r="R1038" s="68"/>
      <c r="S1038" s="68"/>
      <c r="T1038" s="68"/>
      <c r="U1038" s="68"/>
      <c r="V1038" s="72"/>
      <c r="W1038" s="72"/>
      <c r="X1038" s="66"/>
      <c r="Y1038" s="80"/>
      <c r="Z1038" s="80"/>
      <c r="AA1038" s="153"/>
    </row>
    <row r="1039" spans="17:27" x14ac:dyDescent="0.25">
      <c r="Q1039" s="53"/>
      <c r="R1039" s="68"/>
      <c r="S1039" s="68"/>
      <c r="T1039" s="68"/>
      <c r="U1039" s="68"/>
      <c r="V1039" s="72"/>
      <c r="W1039" s="72"/>
      <c r="X1039" s="66"/>
      <c r="Y1039" s="80"/>
      <c r="Z1039" s="80"/>
      <c r="AA1039" s="153"/>
    </row>
    <row r="1040" spans="17:27" x14ac:dyDescent="0.25">
      <c r="Q1040" s="53"/>
      <c r="R1040" s="68"/>
      <c r="S1040" s="68"/>
      <c r="T1040" s="68"/>
      <c r="U1040" s="68"/>
      <c r="V1040" s="72"/>
      <c r="W1040" s="72"/>
      <c r="X1040" s="66"/>
      <c r="Y1040" s="80"/>
      <c r="Z1040" s="80"/>
      <c r="AA1040" s="153"/>
    </row>
    <row r="1041" spans="17:27" x14ac:dyDescent="0.25">
      <c r="Q1041" s="53"/>
      <c r="R1041" s="68"/>
      <c r="S1041" s="68"/>
      <c r="T1041" s="68"/>
      <c r="U1041" s="68"/>
      <c r="V1041" s="72"/>
      <c r="W1041" s="72"/>
      <c r="X1041" s="66"/>
      <c r="Y1041" s="80"/>
      <c r="Z1041" s="80"/>
      <c r="AA1041" s="153"/>
    </row>
    <row r="1042" spans="17:27" x14ac:dyDescent="0.25">
      <c r="Q1042" s="53"/>
      <c r="R1042" s="68"/>
      <c r="S1042" s="68"/>
      <c r="T1042" s="68"/>
      <c r="U1042" s="68"/>
      <c r="V1042" s="72"/>
      <c r="W1042" s="72"/>
      <c r="X1042" s="66"/>
      <c r="Y1042" s="80"/>
      <c r="Z1042" s="80"/>
      <c r="AA1042" s="153"/>
    </row>
    <row r="1043" spans="17:27" x14ac:dyDescent="0.25">
      <c r="Q1043" s="53"/>
      <c r="R1043" s="68"/>
      <c r="S1043" s="68"/>
      <c r="T1043" s="68"/>
      <c r="U1043" s="68"/>
      <c r="V1043" s="72"/>
      <c r="W1043" s="72"/>
      <c r="X1043" s="66"/>
      <c r="Y1043" s="80"/>
      <c r="Z1043" s="80"/>
      <c r="AA1043" s="153"/>
    </row>
    <row r="1044" spans="17:27" x14ac:dyDescent="0.25">
      <c r="Q1044" s="53"/>
      <c r="R1044" s="68"/>
      <c r="S1044" s="68"/>
      <c r="T1044" s="68"/>
      <c r="U1044" s="68"/>
      <c r="V1044" s="72"/>
      <c r="W1044" s="72"/>
      <c r="X1044" s="66"/>
      <c r="Y1044" s="80"/>
      <c r="Z1044" s="80"/>
      <c r="AA1044" s="153"/>
    </row>
    <row r="1045" spans="17:27" x14ac:dyDescent="0.25">
      <c r="Q1045" s="53"/>
      <c r="R1045" s="68"/>
      <c r="S1045" s="68"/>
      <c r="T1045" s="68"/>
      <c r="U1045" s="68"/>
      <c r="V1045" s="72"/>
      <c r="W1045" s="72"/>
      <c r="X1045" s="66"/>
      <c r="Y1045" s="80"/>
      <c r="Z1045" s="80"/>
      <c r="AA1045" s="153"/>
    </row>
    <row r="1046" spans="17:27" x14ac:dyDescent="0.25">
      <c r="Q1046" s="53"/>
      <c r="R1046" s="68"/>
      <c r="S1046" s="68"/>
      <c r="T1046" s="68"/>
      <c r="U1046" s="68"/>
      <c r="V1046" s="72"/>
      <c r="W1046" s="72"/>
      <c r="X1046" s="66"/>
      <c r="Y1046" s="80"/>
      <c r="Z1046" s="80"/>
      <c r="AA1046" s="153"/>
    </row>
    <row r="1047" spans="17:27" x14ac:dyDescent="0.25">
      <c r="Q1047" s="53"/>
      <c r="R1047" s="68"/>
      <c r="S1047" s="68"/>
      <c r="T1047" s="68"/>
      <c r="U1047" s="68"/>
      <c r="V1047" s="72"/>
      <c r="W1047" s="72"/>
      <c r="X1047" s="66"/>
      <c r="Y1047" s="80"/>
      <c r="Z1047" s="80"/>
      <c r="AA1047" s="153"/>
    </row>
    <row r="1048" spans="17:27" x14ac:dyDescent="0.25">
      <c r="Q1048" s="53"/>
      <c r="R1048" s="68"/>
      <c r="S1048" s="68"/>
      <c r="T1048" s="68"/>
      <c r="U1048" s="68"/>
      <c r="V1048" s="72"/>
      <c r="W1048" s="72"/>
      <c r="X1048" s="66"/>
      <c r="Y1048" s="80"/>
      <c r="Z1048" s="80"/>
      <c r="AA1048" s="153"/>
    </row>
    <row r="1049" spans="17:27" x14ac:dyDescent="0.25">
      <c r="Q1049" s="53"/>
      <c r="R1049" s="68"/>
      <c r="S1049" s="68"/>
      <c r="T1049" s="68"/>
      <c r="U1049" s="68"/>
      <c r="V1049" s="72"/>
      <c r="W1049" s="72"/>
      <c r="X1049" s="66"/>
      <c r="Y1049" s="80"/>
      <c r="Z1049" s="80"/>
      <c r="AA1049" s="153"/>
    </row>
    <row r="1050" spans="17:27" x14ac:dyDescent="0.25">
      <c r="Q1050" s="53"/>
      <c r="R1050" s="68"/>
      <c r="S1050" s="68"/>
      <c r="T1050" s="68"/>
      <c r="U1050" s="68"/>
      <c r="V1050" s="72"/>
      <c r="W1050" s="72"/>
      <c r="X1050" s="66"/>
      <c r="Y1050" s="80"/>
      <c r="Z1050" s="80"/>
      <c r="AA1050" s="153"/>
    </row>
    <row r="1051" spans="17:27" x14ac:dyDescent="0.25">
      <c r="Q1051" s="53"/>
      <c r="R1051" s="68"/>
      <c r="S1051" s="68"/>
      <c r="T1051" s="68"/>
      <c r="U1051" s="68"/>
      <c r="V1051" s="72"/>
      <c r="W1051" s="72"/>
      <c r="X1051" s="66"/>
      <c r="Y1051" s="80"/>
      <c r="Z1051" s="80"/>
      <c r="AA1051" s="153"/>
    </row>
    <row r="1052" spans="17:27" x14ac:dyDescent="0.25">
      <c r="Q1052" s="53"/>
      <c r="R1052" s="68"/>
      <c r="S1052" s="68"/>
      <c r="T1052" s="68"/>
      <c r="U1052" s="68"/>
      <c r="V1052" s="72"/>
      <c r="W1052" s="72"/>
      <c r="X1052" s="66"/>
      <c r="Y1052" s="80"/>
      <c r="Z1052" s="80"/>
      <c r="AA1052" s="153"/>
    </row>
    <row r="1053" spans="17:27" x14ac:dyDescent="0.25">
      <c r="Q1053" s="53"/>
      <c r="R1053" s="68"/>
      <c r="S1053" s="68"/>
      <c r="T1053" s="68"/>
      <c r="U1053" s="68"/>
      <c r="V1053" s="72"/>
      <c r="W1053" s="72"/>
      <c r="X1053" s="66"/>
      <c r="Y1053" s="80"/>
      <c r="Z1053" s="80"/>
      <c r="AA1053" s="153"/>
    </row>
    <row r="1054" spans="17:27" x14ac:dyDescent="0.25">
      <c r="Q1054" s="53"/>
      <c r="R1054" s="68"/>
      <c r="S1054" s="68"/>
      <c r="T1054" s="68"/>
      <c r="U1054" s="68"/>
      <c r="V1054" s="72"/>
      <c r="W1054" s="72"/>
      <c r="X1054" s="66"/>
      <c r="Y1054" s="80"/>
      <c r="Z1054" s="80"/>
      <c r="AA1054" s="153"/>
    </row>
    <row r="1055" spans="17:27" x14ac:dyDescent="0.25">
      <c r="Q1055" s="53"/>
      <c r="R1055" s="68"/>
      <c r="S1055" s="68"/>
      <c r="T1055" s="68"/>
      <c r="U1055" s="68"/>
      <c r="V1055" s="72"/>
      <c r="W1055" s="72"/>
      <c r="X1055" s="66"/>
      <c r="Y1055" s="80"/>
      <c r="Z1055" s="80"/>
      <c r="AA1055" s="153"/>
    </row>
    <row r="1056" spans="17:27" x14ac:dyDescent="0.25">
      <c r="Q1056" s="53"/>
      <c r="R1056" s="68"/>
      <c r="S1056" s="68"/>
      <c r="T1056" s="68"/>
      <c r="U1056" s="68"/>
      <c r="V1056" s="72"/>
      <c r="W1056" s="72"/>
      <c r="X1056" s="66"/>
      <c r="Y1056" s="80"/>
      <c r="Z1056" s="80"/>
      <c r="AA1056" s="153"/>
    </row>
    <row r="1057" spans="17:27" x14ac:dyDescent="0.25">
      <c r="Q1057" s="53"/>
      <c r="R1057" s="68"/>
      <c r="S1057" s="68"/>
      <c r="T1057" s="68"/>
      <c r="U1057" s="68"/>
      <c r="V1057" s="72"/>
      <c r="W1057" s="72"/>
      <c r="X1057" s="66"/>
      <c r="Y1057" s="80"/>
      <c r="Z1057" s="80"/>
      <c r="AA1057" s="153"/>
    </row>
    <row r="1058" spans="17:27" x14ac:dyDescent="0.25">
      <c r="Q1058" s="53"/>
      <c r="R1058" s="68"/>
      <c r="S1058" s="68"/>
      <c r="T1058" s="68"/>
      <c r="U1058" s="68"/>
      <c r="V1058" s="72"/>
      <c r="W1058" s="72"/>
      <c r="X1058" s="66"/>
      <c r="Y1058" s="80"/>
      <c r="Z1058" s="80"/>
      <c r="AA1058" s="153"/>
    </row>
    <row r="1059" spans="17:27" x14ac:dyDescent="0.25">
      <c r="Q1059" s="53"/>
      <c r="R1059" s="68"/>
      <c r="S1059" s="68"/>
      <c r="T1059" s="68"/>
      <c r="U1059" s="68"/>
      <c r="V1059" s="72"/>
      <c r="W1059" s="72"/>
      <c r="X1059" s="66"/>
      <c r="Y1059" s="80"/>
      <c r="Z1059" s="80"/>
      <c r="AA1059" s="153"/>
    </row>
    <row r="1060" spans="17:27" x14ac:dyDescent="0.25">
      <c r="Q1060" s="53"/>
      <c r="R1060" s="68"/>
      <c r="S1060" s="68"/>
      <c r="T1060" s="68"/>
      <c r="U1060" s="68"/>
      <c r="V1060" s="72"/>
      <c r="W1060" s="72"/>
      <c r="X1060" s="66"/>
      <c r="Y1060" s="80"/>
      <c r="Z1060" s="80"/>
      <c r="AA1060" s="153"/>
    </row>
    <row r="1061" spans="17:27" x14ac:dyDescent="0.25">
      <c r="Q1061" s="53"/>
      <c r="R1061" s="68"/>
      <c r="S1061" s="68"/>
      <c r="T1061" s="68"/>
      <c r="U1061" s="68"/>
      <c r="V1061" s="72"/>
      <c r="W1061" s="72"/>
      <c r="X1061" s="66"/>
      <c r="Y1061" s="80"/>
      <c r="Z1061" s="80"/>
      <c r="AA1061" s="153"/>
    </row>
    <row r="1062" spans="17:27" x14ac:dyDescent="0.25">
      <c r="Q1062" s="53"/>
      <c r="R1062" s="68"/>
      <c r="S1062" s="68"/>
      <c r="T1062" s="68"/>
      <c r="U1062" s="68"/>
      <c r="V1062" s="72"/>
      <c r="W1062" s="72"/>
      <c r="X1062" s="66"/>
      <c r="Y1062" s="80"/>
      <c r="Z1062" s="80"/>
      <c r="AA1062" s="153"/>
    </row>
    <row r="1063" spans="17:27" x14ac:dyDescent="0.25">
      <c r="Q1063" s="53"/>
      <c r="R1063" s="68"/>
      <c r="S1063" s="68"/>
      <c r="T1063" s="68"/>
      <c r="U1063" s="68"/>
      <c r="V1063" s="72"/>
      <c r="W1063" s="72"/>
      <c r="X1063" s="66"/>
      <c r="Y1063" s="80"/>
      <c r="Z1063" s="80"/>
      <c r="AA1063" s="153"/>
    </row>
    <row r="1064" spans="17:27" x14ac:dyDescent="0.25">
      <c r="Q1064" s="53"/>
      <c r="R1064" s="68"/>
      <c r="S1064" s="68"/>
      <c r="T1064" s="68"/>
      <c r="U1064" s="68"/>
      <c r="V1064" s="72"/>
      <c r="W1064" s="72"/>
      <c r="X1064" s="66"/>
      <c r="Y1064" s="80"/>
      <c r="Z1064" s="80"/>
      <c r="AA1064" s="153"/>
    </row>
    <row r="1065" spans="17:27" x14ac:dyDescent="0.25">
      <c r="Q1065" s="53"/>
      <c r="R1065" s="68"/>
      <c r="S1065" s="68"/>
      <c r="T1065" s="68"/>
      <c r="U1065" s="68"/>
      <c r="V1065" s="72"/>
      <c r="W1065" s="72"/>
      <c r="X1065" s="66"/>
      <c r="Y1065" s="80"/>
      <c r="Z1065" s="80"/>
      <c r="AA1065" s="153"/>
    </row>
    <row r="1066" spans="17:27" x14ac:dyDescent="0.25">
      <c r="Q1066" s="53"/>
      <c r="R1066" s="68"/>
      <c r="S1066" s="68"/>
      <c r="T1066" s="68"/>
      <c r="U1066" s="68"/>
      <c r="V1066" s="72"/>
      <c r="W1066" s="72"/>
      <c r="X1066" s="66"/>
      <c r="Y1066" s="80"/>
      <c r="Z1066" s="80"/>
      <c r="AA1066" s="153"/>
    </row>
    <row r="1067" spans="17:27" x14ac:dyDescent="0.25">
      <c r="Q1067" s="53"/>
      <c r="R1067" s="68"/>
      <c r="S1067" s="68"/>
      <c r="T1067" s="68"/>
      <c r="U1067" s="68"/>
      <c r="V1067" s="72"/>
      <c r="W1067" s="72"/>
      <c r="X1067" s="66"/>
      <c r="Y1067" s="80"/>
      <c r="Z1067" s="80"/>
      <c r="AA1067" s="153"/>
    </row>
    <row r="1068" spans="17:27" x14ac:dyDescent="0.25">
      <c r="Q1068" s="53"/>
      <c r="R1068" s="68"/>
      <c r="S1068" s="68"/>
      <c r="T1068" s="68"/>
      <c r="U1068" s="68"/>
      <c r="V1068" s="72"/>
      <c r="W1068" s="72"/>
      <c r="X1068" s="66"/>
      <c r="Y1068" s="80"/>
      <c r="Z1068" s="80"/>
      <c r="AA1068" s="153"/>
    </row>
    <row r="1069" spans="17:27" x14ac:dyDescent="0.25">
      <c r="Q1069" s="53"/>
      <c r="R1069" s="68"/>
      <c r="S1069" s="68"/>
      <c r="T1069" s="68"/>
      <c r="U1069" s="68"/>
      <c r="V1069" s="72"/>
      <c r="W1069" s="72"/>
      <c r="X1069" s="66"/>
      <c r="Y1069" s="80"/>
      <c r="Z1069" s="80"/>
      <c r="AA1069" s="153"/>
    </row>
    <row r="1070" spans="17:27" x14ac:dyDescent="0.25">
      <c r="Q1070" s="53"/>
      <c r="R1070" s="68"/>
      <c r="S1070" s="68"/>
      <c r="T1070" s="68"/>
      <c r="U1070" s="68"/>
      <c r="V1070" s="72"/>
      <c r="W1070" s="72"/>
      <c r="X1070" s="66"/>
      <c r="Y1070" s="80"/>
      <c r="Z1070" s="80"/>
      <c r="AA1070" s="153"/>
    </row>
    <row r="1071" spans="17:27" x14ac:dyDescent="0.25">
      <c r="Q1071" s="53"/>
      <c r="R1071" s="68"/>
      <c r="S1071" s="68"/>
      <c r="T1071" s="68"/>
      <c r="U1071" s="68"/>
      <c r="V1071" s="72"/>
      <c r="W1071" s="72"/>
      <c r="X1071" s="66"/>
      <c r="Y1071" s="80"/>
      <c r="Z1071" s="80"/>
      <c r="AA1071" s="153"/>
    </row>
    <row r="1072" spans="17:27" x14ac:dyDescent="0.25">
      <c r="Q1072" s="53"/>
      <c r="R1072" s="68"/>
      <c r="S1072" s="68"/>
      <c r="T1072" s="68"/>
      <c r="U1072" s="68"/>
      <c r="V1072" s="72"/>
      <c r="W1072" s="72"/>
      <c r="X1072" s="66"/>
      <c r="Y1072" s="80"/>
      <c r="Z1072" s="80"/>
      <c r="AA1072" s="153"/>
    </row>
    <row r="1073" spans="17:27" x14ac:dyDescent="0.25">
      <c r="Q1073" s="53"/>
      <c r="R1073" s="68"/>
      <c r="S1073" s="68"/>
      <c r="T1073" s="68"/>
      <c r="U1073" s="68"/>
      <c r="V1073" s="72"/>
      <c r="W1073" s="72"/>
      <c r="X1073" s="66"/>
      <c r="Y1073" s="80"/>
      <c r="Z1073" s="80"/>
      <c r="AA1073" s="153"/>
    </row>
    <row r="1074" spans="17:27" x14ac:dyDescent="0.25">
      <c r="Q1074" s="53"/>
      <c r="R1074" s="68"/>
      <c r="S1074" s="68"/>
      <c r="T1074" s="68"/>
      <c r="U1074" s="68"/>
      <c r="V1074" s="72"/>
      <c r="W1074" s="72"/>
      <c r="X1074" s="66"/>
      <c r="Y1074" s="80"/>
      <c r="Z1074" s="80"/>
      <c r="AA1074" s="153"/>
    </row>
    <row r="1075" spans="17:27" x14ac:dyDescent="0.25">
      <c r="Q1075" s="53"/>
      <c r="R1075" s="68"/>
      <c r="S1075" s="68"/>
      <c r="T1075" s="68"/>
      <c r="U1075" s="68"/>
      <c r="V1075" s="72"/>
      <c r="W1075" s="72"/>
      <c r="X1075" s="66"/>
      <c r="Y1075" s="80"/>
      <c r="Z1075" s="80"/>
      <c r="AA1075" s="153"/>
    </row>
    <row r="1076" spans="17:27" x14ac:dyDescent="0.25">
      <c r="Q1076" s="53"/>
      <c r="R1076" s="68"/>
      <c r="S1076" s="68"/>
      <c r="T1076" s="68"/>
      <c r="U1076" s="68"/>
      <c r="V1076" s="72"/>
      <c r="W1076" s="72"/>
      <c r="X1076" s="66"/>
      <c r="Y1076" s="80"/>
      <c r="Z1076" s="80"/>
      <c r="AA1076" s="153"/>
    </row>
    <row r="1077" spans="17:27" x14ac:dyDescent="0.25">
      <c r="Q1077" s="53"/>
      <c r="R1077" s="68"/>
      <c r="S1077" s="68"/>
      <c r="T1077" s="68"/>
      <c r="U1077" s="68"/>
      <c r="V1077" s="72"/>
      <c r="W1077" s="72"/>
      <c r="X1077" s="66"/>
      <c r="Y1077" s="80"/>
      <c r="Z1077" s="80"/>
      <c r="AA1077" s="153"/>
    </row>
    <row r="1078" spans="17:27" x14ac:dyDescent="0.25">
      <c r="Q1078" s="53"/>
      <c r="R1078" s="68"/>
      <c r="S1078" s="68"/>
      <c r="T1078" s="68"/>
      <c r="U1078" s="68"/>
      <c r="V1078" s="72"/>
      <c r="W1078" s="72"/>
      <c r="X1078" s="66"/>
      <c r="Y1078" s="80"/>
      <c r="Z1078" s="80"/>
      <c r="AA1078" s="153"/>
    </row>
    <row r="1079" spans="17:27" x14ac:dyDescent="0.25">
      <c r="Q1079" s="53"/>
      <c r="R1079" s="68"/>
      <c r="S1079" s="68"/>
      <c r="T1079" s="68"/>
      <c r="U1079" s="68"/>
      <c r="V1079" s="72"/>
      <c r="W1079" s="72"/>
      <c r="X1079" s="66"/>
      <c r="Y1079" s="80"/>
      <c r="Z1079" s="80"/>
      <c r="AA1079" s="153"/>
    </row>
    <row r="1080" spans="17:27" x14ac:dyDescent="0.25">
      <c r="Q1080" s="53"/>
      <c r="R1080" s="68"/>
      <c r="S1080" s="68"/>
      <c r="T1080" s="68"/>
      <c r="U1080" s="68"/>
      <c r="V1080" s="72"/>
      <c r="W1080" s="72"/>
      <c r="X1080" s="66"/>
      <c r="Y1080" s="80"/>
      <c r="Z1080" s="80"/>
      <c r="AA1080" s="153"/>
    </row>
    <row r="1081" spans="17:27" x14ac:dyDescent="0.25">
      <c r="Q1081" s="53"/>
      <c r="R1081" s="68"/>
      <c r="S1081" s="68"/>
      <c r="T1081" s="68"/>
      <c r="U1081" s="68"/>
      <c r="V1081" s="72"/>
      <c r="W1081" s="72"/>
      <c r="X1081" s="66"/>
      <c r="Y1081" s="80"/>
      <c r="Z1081" s="80"/>
      <c r="AA1081" s="153"/>
    </row>
    <row r="1082" spans="17:27" x14ac:dyDescent="0.25">
      <c r="Q1082" s="53"/>
      <c r="R1082" s="68"/>
      <c r="S1082" s="68"/>
      <c r="T1082" s="68"/>
      <c r="U1082" s="68"/>
      <c r="V1082" s="72"/>
      <c r="W1082" s="72"/>
      <c r="X1082" s="66"/>
      <c r="Y1082" s="80"/>
      <c r="Z1082" s="80"/>
      <c r="AA1082" s="153"/>
    </row>
    <row r="1083" spans="17:27" x14ac:dyDescent="0.25">
      <c r="Q1083" s="53"/>
      <c r="R1083" s="68"/>
      <c r="S1083" s="68"/>
      <c r="T1083" s="68"/>
      <c r="U1083" s="68"/>
      <c r="V1083" s="72"/>
      <c r="W1083" s="72"/>
      <c r="X1083" s="66"/>
      <c r="Y1083" s="80"/>
      <c r="Z1083" s="80"/>
      <c r="AA1083" s="153"/>
    </row>
    <row r="1084" spans="17:27" x14ac:dyDescent="0.25">
      <c r="Q1084" s="53"/>
      <c r="R1084" s="68"/>
      <c r="S1084" s="68"/>
      <c r="T1084" s="68"/>
      <c r="U1084" s="68"/>
      <c r="V1084" s="72"/>
      <c r="W1084" s="72"/>
      <c r="X1084" s="66"/>
      <c r="Y1084" s="80"/>
      <c r="Z1084" s="80"/>
      <c r="AA1084" s="153"/>
    </row>
    <row r="1085" spans="17:27" x14ac:dyDescent="0.25">
      <c r="Q1085" s="53"/>
      <c r="R1085" s="68"/>
      <c r="S1085" s="68"/>
      <c r="T1085" s="68"/>
      <c r="U1085" s="68"/>
      <c r="V1085" s="72"/>
      <c r="W1085" s="72"/>
      <c r="X1085" s="66"/>
      <c r="Y1085" s="80"/>
      <c r="Z1085" s="80"/>
      <c r="AA1085" s="153"/>
    </row>
    <row r="1086" spans="17:27" x14ac:dyDescent="0.25">
      <c r="Q1086" s="53"/>
      <c r="R1086" s="68"/>
      <c r="S1086" s="68"/>
      <c r="T1086" s="68"/>
      <c r="U1086" s="68"/>
      <c r="V1086" s="72"/>
      <c r="W1086" s="72"/>
      <c r="X1086" s="66"/>
      <c r="Y1086" s="80"/>
      <c r="Z1086" s="80"/>
      <c r="AA1086" s="153"/>
    </row>
    <row r="1087" spans="17:27" x14ac:dyDescent="0.25">
      <c r="Q1087" s="53"/>
      <c r="R1087" s="68"/>
      <c r="S1087" s="68"/>
      <c r="T1087" s="68"/>
      <c r="U1087" s="68"/>
      <c r="V1087" s="72"/>
      <c r="W1087" s="72"/>
      <c r="X1087" s="66"/>
      <c r="Y1087" s="80"/>
      <c r="Z1087" s="80"/>
      <c r="AA1087" s="153"/>
    </row>
    <row r="1088" spans="17:27" x14ac:dyDescent="0.25">
      <c r="Q1088" s="53"/>
      <c r="R1088" s="68"/>
      <c r="S1088" s="68"/>
      <c r="T1088" s="68"/>
      <c r="U1088" s="68"/>
      <c r="V1088" s="72"/>
      <c r="W1088" s="72"/>
      <c r="X1088" s="66"/>
      <c r="Y1088" s="80"/>
      <c r="Z1088" s="80"/>
      <c r="AA1088" s="153"/>
    </row>
    <row r="1089" spans="17:27" x14ac:dyDescent="0.25">
      <c r="Q1089" s="53"/>
      <c r="R1089" s="68"/>
      <c r="S1089" s="68"/>
      <c r="T1089" s="68"/>
      <c r="U1089" s="68"/>
      <c r="V1089" s="72"/>
      <c r="W1089" s="72"/>
      <c r="X1089" s="66"/>
      <c r="Y1089" s="80"/>
      <c r="Z1089" s="80"/>
      <c r="AA1089" s="153"/>
    </row>
    <row r="1090" spans="17:27" x14ac:dyDescent="0.25">
      <c r="Q1090" s="53"/>
      <c r="R1090" s="68"/>
      <c r="S1090" s="68"/>
      <c r="T1090" s="68"/>
      <c r="U1090" s="68"/>
      <c r="V1090" s="72"/>
      <c r="W1090" s="72"/>
      <c r="X1090" s="66"/>
      <c r="Y1090" s="80"/>
      <c r="Z1090" s="80"/>
      <c r="AA1090" s="153"/>
    </row>
    <row r="1091" spans="17:27" x14ac:dyDescent="0.25">
      <c r="Q1091" s="53"/>
      <c r="R1091" s="68"/>
      <c r="S1091" s="68"/>
      <c r="T1091" s="68"/>
      <c r="U1091" s="68"/>
      <c r="V1091" s="72"/>
      <c r="W1091" s="72"/>
      <c r="X1091" s="66"/>
      <c r="Y1091" s="80"/>
      <c r="Z1091" s="80"/>
      <c r="AA1091" s="153"/>
    </row>
    <row r="1092" spans="17:27" x14ac:dyDescent="0.25">
      <c r="Q1092" s="53"/>
      <c r="R1092" s="68"/>
      <c r="S1092" s="68"/>
      <c r="T1092" s="68"/>
      <c r="U1092" s="68"/>
      <c r="V1092" s="72"/>
      <c r="W1092" s="72"/>
      <c r="X1092" s="66"/>
      <c r="Y1092" s="80"/>
      <c r="Z1092" s="80"/>
      <c r="AA1092" s="153"/>
    </row>
    <row r="1093" spans="17:27" x14ac:dyDescent="0.25">
      <c r="Q1093" s="53"/>
      <c r="R1093" s="68"/>
      <c r="S1093" s="68"/>
      <c r="T1093" s="68"/>
      <c r="U1093" s="68"/>
      <c r="V1093" s="72"/>
      <c r="W1093" s="72"/>
      <c r="X1093" s="66"/>
      <c r="Y1093" s="80"/>
      <c r="Z1093" s="80"/>
      <c r="AA1093" s="153"/>
    </row>
    <row r="1094" spans="17:27" x14ac:dyDescent="0.25">
      <c r="Q1094" s="53"/>
      <c r="R1094" s="68"/>
      <c r="S1094" s="68"/>
      <c r="T1094" s="68"/>
      <c r="U1094" s="68"/>
      <c r="V1094" s="72"/>
      <c r="W1094" s="72"/>
      <c r="X1094" s="66"/>
      <c r="Y1094" s="80"/>
      <c r="Z1094" s="80"/>
      <c r="AA1094" s="153"/>
    </row>
    <row r="1095" spans="17:27" x14ac:dyDescent="0.25">
      <c r="Q1095" s="53"/>
      <c r="R1095" s="68"/>
      <c r="S1095" s="68"/>
      <c r="T1095" s="68"/>
      <c r="U1095" s="68"/>
      <c r="V1095" s="72"/>
      <c r="W1095" s="72"/>
      <c r="X1095" s="66"/>
      <c r="Y1095" s="80"/>
      <c r="Z1095" s="80"/>
      <c r="AA1095" s="153"/>
    </row>
    <row r="1096" spans="17:27" x14ac:dyDescent="0.25">
      <c r="Q1096" s="53"/>
      <c r="R1096" s="68"/>
      <c r="S1096" s="68"/>
      <c r="T1096" s="68"/>
      <c r="U1096" s="68"/>
      <c r="V1096" s="72"/>
      <c r="W1096" s="72"/>
      <c r="X1096" s="66"/>
      <c r="Y1096" s="80"/>
      <c r="Z1096" s="80"/>
      <c r="AA1096" s="153"/>
    </row>
    <row r="1097" spans="17:27" x14ac:dyDescent="0.25">
      <c r="Q1097" s="53"/>
      <c r="R1097" s="68"/>
      <c r="S1097" s="68"/>
      <c r="T1097" s="68"/>
      <c r="U1097" s="68"/>
      <c r="V1097" s="72"/>
      <c r="W1097" s="72"/>
      <c r="X1097" s="66"/>
      <c r="Y1097" s="80"/>
      <c r="Z1097" s="80"/>
      <c r="AA1097" s="153"/>
    </row>
    <row r="1098" spans="17:27" x14ac:dyDescent="0.25">
      <c r="Q1098" s="53"/>
      <c r="R1098" s="68"/>
      <c r="S1098" s="68"/>
      <c r="T1098" s="68"/>
      <c r="U1098" s="68"/>
      <c r="V1098" s="72"/>
      <c r="W1098" s="72"/>
      <c r="X1098" s="66"/>
      <c r="Y1098" s="80"/>
      <c r="Z1098" s="80"/>
      <c r="AA1098" s="153"/>
    </row>
    <row r="1099" spans="17:27" x14ac:dyDescent="0.25">
      <c r="Q1099" s="53"/>
      <c r="R1099" s="68"/>
      <c r="S1099" s="68"/>
      <c r="T1099" s="68"/>
      <c r="U1099" s="68"/>
      <c r="V1099" s="72"/>
      <c r="W1099" s="72"/>
      <c r="X1099" s="66"/>
      <c r="Y1099" s="80"/>
      <c r="Z1099" s="80"/>
      <c r="AA1099" s="153"/>
    </row>
    <row r="1100" spans="17:27" x14ac:dyDescent="0.25">
      <c r="Q1100" s="53"/>
      <c r="R1100" s="68"/>
      <c r="S1100" s="68"/>
      <c r="T1100" s="68"/>
      <c r="U1100" s="68"/>
      <c r="V1100" s="72"/>
      <c r="W1100" s="72"/>
      <c r="X1100" s="66"/>
      <c r="Y1100" s="80"/>
      <c r="Z1100" s="80"/>
      <c r="AA1100" s="153"/>
    </row>
    <row r="1101" spans="17:27" x14ac:dyDescent="0.25">
      <c r="Q1101" s="53"/>
      <c r="R1101" s="68"/>
      <c r="S1101" s="68"/>
      <c r="T1101" s="68"/>
      <c r="U1101" s="68"/>
      <c r="V1101" s="72"/>
      <c r="W1101" s="72"/>
      <c r="X1101" s="66"/>
      <c r="Y1101" s="80"/>
      <c r="Z1101" s="80"/>
      <c r="AA1101" s="153"/>
    </row>
    <row r="1102" spans="17:27" x14ac:dyDescent="0.25">
      <c r="Q1102" s="53"/>
      <c r="R1102" s="68"/>
      <c r="S1102" s="68"/>
      <c r="T1102" s="68"/>
      <c r="U1102" s="68"/>
      <c r="V1102" s="72"/>
      <c r="W1102" s="72"/>
      <c r="X1102" s="66"/>
      <c r="Y1102" s="80"/>
      <c r="Z1102" s="80"/>
      <c r="AA1102" s="153"/>
    </row>
    <row r="1103" spans="17:27" x14ac:dyDescent="0.25">
      <c r="Q1103" s="53"/>
      <c r="R1103" s="68"/>
      <c r="S1103" s="68"/>
      <c r="T1103" s="68"/>
      <c r="U1103" s="68"/>
      <c r="V1103" s="72"/>
      <c r="W1103" s="72"/>
      <c r="X1103" s="66"/>
      <c r="Y1103" s="80"/>
      <c r="Z1103" s="80"/>
      <c r="AA1103" s="153"/>
    </row>
    <row r="1104" spans="17:27" x14ac:dyDescent="0.25">
      <c r="Q1104" s="53"/>
      <c r="R1104" s="68"/>
      <c r="S1104" s="68"/>
      <c r="T1104" s="68"/>
      <c r="U1104" s="68"/>
      <c r="V1104" s="72"/>
      <c r="W1104" s="72"/>
      <c r="X1104" s="66"/>
      <c r="Y1104" s="80"/>
      <c r="Z1104" s="80"/>
      <c r="AA1104" s="153"/>
    </row>
    <row r="1105" spans="17:27" x14ac:dyDescent="0.25">
      <c r="Q1105" s="53"/>
      <c r="R1105" s="68"/>
      <c r="S1105" s="68"/>
      <c r="T1105" s="68"/>
      <c r="U1105" s="68"/>
      <c r="V1105" s="72"/>
      <c r="W1105" s="72"/>
      <c r="X1105" s="66"/>
      <c r="Y1105" s="80"/>
      <c r="Z1105" s="80"/>
      <c r="AA1105" s="153"/>
    </row>
    <row r="1106" spans="17:27" x14ac:dyDescent="0.25">
      <c r="Q1106" s="53"/>
      <c r="R1106" s="68"/>
      <c r="S1106" s="68"/>
      <c r="T1106" s="68"/>
      <c r="U1106" s="68"/>
      <c r="V1106" s="72"/>
      <c r="W1106" s="72"/>
      <c r="X1106" s="66"/>
      <c r="Y1106" s="80"/>
      <c r="Z1106" s="80"/>
      <c r="AA1106" s="153"/>
    </row>
    <row r="1107" spans="17:27" x14ac:dyDescent="0.25">
      <c r="Q1107" s="53"/>
      <c r="R1107" s="68"/>
      <c r="S1107" s="68"/>
      <c r="T1107" s="68"/>
      <c r="U1107" s="68"/>
      <c r="V1107" s="72"/>
      <c r="W1107" s="72"/>
      <c r="X1107" s="66"/>
      <c r="Y1107" s="80"/>
      <c r="Z1107" s="80"/>
      <c r="AA1107" s="153"/>
    </row>
    <row r="1108" spans="17:27" x14ac:dyDescent="0.25">
      <c r="Q1108" s="53"/>
      <c r="R1108" s="68"/>
      <c r="S1108" s="68"/>
      <c r="T1108" s="68"/>
      <c r="U1108" s="68"/>
      <c r="V1108" s="72"/>
      <c r="W1108" s="72"/>
      <c r="X1108" s="66"/>
      <c r="Y1108" s="80"/>
      <c r="Z1108" s="80"/>
      <c r="AA1108" s="153"/>
    </row>
    <row r="1109" spans="17:27" x14ac:dyDescent="0.25">
      <c r="Q1109" s="53"/>
      <c r="R1109" s="68"/>
      <c r="S1109" s="68"/>
      <c r="T1109" s="68"/>
      <c r="U1109" s="68"/>
      <c r="V1109" s="72"/>
      <c r="W1109" s="72"/>
      <c r="X1109" s="66"/>
      <c r="Y1109" s="80"/>
      <c r="Z1109" s="80"/>
      <c r="AA1109" s="153"/>
    </row>
    <row r="1110" spans="17:27" x14ac:dyDescent="0.25">
      <c r="Q1110" s="53"/>
      <c r="R1110" s="68"/>
      <c r="S1110" s="68"/>
      <c r="T1110" s="68"/>
      <c r="U1110" s="68"/>
      <c r="V1110" s="72"/>
      <c r="W1110" s="72"/>
      <c r="X1110" s="66"/>
      <c r="Y1110" s="80"/>
      <c r="Z1110" s="80"/>
      <c r="AA1110" s="153"/>
    </row>
    <row r="1111" spans="17:27" x14ac:dyDescent="0.25">
      <c r="Q1111" s="53"/>
      <c r="R1111" s="68"/>
      <c r="S1111" s="68"/>
      <c r="T1111" s="68"/>
      <c r="U1111" s="68"/>
      <c r="V1111" s="72"/>
      <c r="W1111" s="72"/>
      <c r="X1111" s="66"/>
      <c r="Y1111" s="80"/>
      <c r="Z1111" s="80"/>
      <c r="AA1111" s="153"/>
    </row>
    <row r="1112" spans="17:27" x14ac:dyDescent="0.25">
      <c r="Q1112" s="53"/>
      <c r="R1112" s="68"/>
      <c r="S1112" s="68"/>
      <c r="T1112" s="68"/>
      <c r="U1112" s="68"/>
      <c r="V1112" s="72"/>
      <c r="W1112" s="72"/>
      <c r="X1112" s="66"/>
      <c r="Y1112" s="80"/>
      <c r="Z1112" s="80"/>
      <c r="AA1112" s="153"/>
    </row>
    <row r="1113" spans="17:27" x14ac:dyDescent="0.25">
      <c r="Q1113" s="53"/>
      <c r="R1113" s="68"/>
      <c r="S1113" s="68"/>
      <c r="T1113" s="68"/>
      <c r="U1113" s="68"/>
      <c r="V1113" s="72"/>
      <c r="W1113" s="72"/>
      <c r="X1113" s="66"/>
      <c r="Y1113" s="80"/>
      <c r="Z1113" s="80"/>
      <c r="AA1113" s="153"/>
    </row>
    <row r="1114" spans="17:27" x14ac:dyDescent="0.25">
      <c r="Q1114" s="53"/>
      <c r="R1114" s="68"/>
      <c r="S1114" s="68"/>
      <c r="T1114" s="68"/>
      <c r="U1114" s="68"/>
      <c r="V1114" s="72"/>
      <c r="W1114" s="72"/>
      <c r="X1114" s="66"/>
      <c r="Y1114" s="80"/>
      <c r="Z1114" s="80"/>
      <c r="AA1114" s="153"/>
    </row>
    <row r="1115" spans="17:27" x14ac:dyDescent="0.25">
      <c r="Q1115" s="53"/>
      <c r="R1115" s="68"/>
      <c r="S1115" s="68"/>
      <c r="T1115" s="68"/>
      <c r="U1115" s="68"/>
      <c r="V1115" s="72"/>
      <c r="W1115" s="72"/>
      <c r="X1115" s="66"/>
      <c r="Y1115" s="80"/>
      <c r="Z1115" s="80"/>
      <c r="AA1115" s="153"/>
    </row>
    <row r="1116" spans="17:27" x14ac:dyDescent="0.25">
      <c r="Q1116" s="53"/>
      <c r="R1116" s="68"/>
      <c r="S1116" s="68"/>
      <c r="T1116" s="68"/>
      <c r="U1116" s="68"/>
      <c r="V1116" s="72"/>
      <c r="W1116" s="72"/>
      <c r="X1116" s="66"/>
      <c r="Y1116" s="80"/>
      <c r="Z1116" s="80"/>
      <c r="AA1116" s="153"/>
    </row>
    <row r="1117" spans="17:27" x14ac:dyDescent="0.25">
      <c r="Q1117" s="53"/>
      <c r="R1117" s="68"/>
      <c r="S1117" s="68"/>
      <c r="T1117" s="68"/>
      <c r="U1117" s="68"/>
      <c r="V1117" s="72"/>
      <c r="W1117" s="72"/>
      <c r="X1117" s="66"/>
      <c r="Y1117" s="80"/>
      <c r="Z1117" s="80"/>
      <c r="AA1117" s="153"/>
    </row>
    <row r="1118" spans="17:27" x14ac:dyDescent="0.25">
      <c r="Q1118" s="53"/>
      <c r="R1118" s="68"/>
      <c r="S1118" s="68"/>
      <c r="T1118" s="68"/>
      <c r="U1118" s="68"/>
      <c r="V1118" s="72"/>
      <c r="W1118" s="72"/>
      <c r="X1118" s="66"/>
      <c r="Y1118" s="80"/>
      <c r="Z1118" s="80"/>
      <c r="AA1118" s="153"/>
    </row>
    <row r="1119" spans="17:27" x14ac:dyDescent="0.25">
      <c r="Q1119" s="53"/>
      <c r="R1119" s="68"/>
      <c r="S1119" s="68"/>
      <c r="T1119" s="68"/>
      <c r="U1119" s="68"/>
      <c r="V1119" s="72"/>
      <c r="W1119" s="72"/>
      <c r="X1119" s="66"/>
      <c r="Y1119" s="80"/>
      <c r="Z1119" s="80"/>
      <c r="AA1119" s="153"/>
    </row>
    <row r="1120" spans="17:27" x14ac:dyDescent="0.25">
      <c r="Q1120" s="53"/>
      <c r="R1120" s="68"/>
      <c r="S1120" s="68"/>
      <c r="T1120" s="68"/>
      <c r="U1120" s="68"/>
      <c r="V1120" s="72"/>
      <c r="W1120" s="72"/>
      <c r="X1120" s="66"/>
      <c r="Y1120" s="80"/>
      <c r="Z1120" s="80"/>
      <c r="AA1120" s="153"/>
    </row>
    <row r="1121" spans="17:27" x14ac:dyDescent="0.25">
      <c r="Q1121" s="53"/>
      <c r="R1121" s="68"/>
      <c r="S1121" s="68"/>
      <c r="T1121" s="68"/>
      <c r="U1121" s="68"/>
      <c r="V1121" s="72"/>
      <c r="W1121" s="72"/>
      <c r="X1121" s="66"/>
      <c r="Y1121" s="80"/>
      <c r="Z1121" s="80"/>
      <c r="AA1121" s="153"/>
    </row>
    <row r="1122" spans="17:27" x14ac:dyDescent="0.25">
      <c r="Q1122" s="53"/>
      <c r="R1122" s="68"/>
      <c r="S1122" s="68"/>
      <c r="T1122" s="68"/>
      <c r="U1122" s="68"/>
      <c r="V1122" s="72"/>
      <c r="W1122" s="72"/>
      <c r="X1122" s="66"/>
      <c r="Y1122" s="80"/>
      <c r="Z1122" s="80"/>
      <c r="AA1122" s="153"/>
    </row>
    <row r="1123" spans="17:27" x14ac:dyDescent="0.25">
      <c r="Q1123" s="53"/>
      <c r="R1123" s="68"/>
      <c r="S1123" s="68"/>
      <c r="T1123" s="68"/>
      <c r="U1123" s="68"/>
      <c r="V1123" s="72"/>
      <c r="W1123" s="72"/>
      <c r="X1123" s="66"/>
      <c r="Y1123" s="80"/>
      <c r="Z1123" s="80"/>
      <c r="AA1123" s="153"/>
    </row>
    <row r="1124" spans="17:27" x14ac:dyDescent="0.25">
      <c r="Q1124" s="53"/>
      <c r="R1124" s="68"/>
      <c r="S1124" s="68"/>
      <c r="T1124" s="68"/>
      <c r="U1124" s="68"/>
      <c r="V1124" s="72"/>
      <c r="W1124" s="72"/>
      <c r="X1124" s="66"/>
      <c r="Y1124" s="80"/>
      <c r="Z1124" s="80"/>
      <c r="AA1124" s="153"/>
    </row>
    <row r="1125" spans="17:27" x14ac:dyDescent="0.25">
      <c r="Q1125" s="53"/>
      <c r="R1125" s="68"/>
      <c r="S1125" s="68"/>
      <c r="T1125" s="68"/>
      <c r="U1125" s="68"/>
      <c r="V1125" s="72"/>
      <c r="W1125" s="72"/>
      <c r="X1125" s="66"/>
      <c r="Y1125" s="80"/>
      <c r="Z1125" s="80"/>
      <c r="AA1125" s="153"/>
    </row>
    <row r="1126" spans="17:27" x14ac:dyDescent="0.25">
      <c r="Q1126" s="53"/>
      <c r="R1126" s="68"/>
      <c r="S1126" s="68"/>
      <c r="T1126" s="68"/>
      <c r="U1126" s="68"/>
      <c r="V1126" s="72"/>
      <c r="W1126" s="72"/>
      <c r="X1126" s="66"/>
      <c r="Y1126" s="80"/>
      <c r="Z1126" s="80"/>
      <c r="AA1126" s="153"/>
    </row>
    <row r="1127" spans="17:27" x14ac:dyDescent="0.25">
      <c r="Q1127" s="53"/>
      <c r="R1127" s="68"/>
      <c r="S1127" s="68"/>
      <c r="T1127" s="68"/>
      <c r="U1127" s="68"/>
      <c r="V1127" s="72"/>
      <c r="W1127" s="72"/>
      <c r="X1127" s="66"/>
      <c r="Y1127" s="80"/>
      <c r="Z1127" s="80"/>
      <c r="AA1127" s="153"/>
    </row>
    <row r="1128" spans="17:27" x14ac:dyDescent="0.25">
      <c r="Q1128" s="53"/>
      <c r="R1128" s="68"/>
      <c r="S1128" s="68"/>
      <c r="T1128" s="68"/>
      <c r="U1128" s="68"/>
      <c r="V1128" s="72"/>
      <c r="W1128" s="72"/>
      <c r="X1128" s="66"/>
      <c r="Y1128" s="80"/>
      <c r="Z1128" s="80"/>
      <c r="AA1128" s="153"/>
    </row>
    <row r="1129" spans="17:27" x14ac:dyDescent="0.25">
      <c r="Q1129" s="53"/>
      <c r="R1129" s="68"/>
      <c r="S1129" s="68"/>
      <c r="T1129" s="68"/>
      <c r="U1129" s="68"/>
      <c r="V1129" s="72"/>
      <c r="W1129" s="72"/>
      <c r="X1129" s="66"/>
      <c r="Y1129" s="80"/>
      <c r="Z1129" s="80"/>
      <c r="AA1129" s="153"/>
    </row>
    <row r="1130" spans="17:27" x14ac:dyDescent="0.25">
      <c r="Q1130" s="53"/>
      <c r="R1130" s="68"/>
      <c r="S1130" s="68"/>
      <c r="T1130" s="68"/>
      <c r="U1130" s="68"/>
      <c r="V1130" s="72"/>
      <c r="W1130" s="72"/>
      <c r="X1130" s="66"/>
      <c r="Y1130" s="80"/>
      <c r="Z1130" s="80"/>
      <c r="AA1130" s="153"/>
    </row>
    <row r="1131" spans="17:27" x14ac:dyDescent="0.25">
      <c r="Q1131" s="53"/>
      <c r="R1131" s="68"/>
      <c r="S1131" s="68"/>
      <c r="T1131" s="68"/>
      <c r="U1131" s="68"/>
      <c r="V1131" s="72"/>
      <c r="W1131" s="72"/>
      <c r="X1131" s="66"/>
      <c r="Y1131" s="80"/>
      <c r="Z1131" s="80"/>
      <c r="AA1131" s="153"/>
    </row>
    <row r="1132" spans="17:27" x14ac:dyDescent="0.25">
      <c r="Q1132" s="53"/>
      <c r="R1132" s="68"/>
      <c r="S1132" s="68"/>
      <c r="T1132" s="68"/>
      <c r="U1132" s="68"/>
      <c r="V1132" s="72"/>
      <c r="W1132" s="72"/>
      <c r="X1132" s="66"/>
      <c r="Y1132" s="80"/>
      <c r="Z1132" s="80"/>
      <c r="AA1132" s="153"/>
    </row>
    <row r="1133" spans="17:27" x14ac:dyDescent="0.25">
      <c r="Q1133" s="53"/>
      <c r="R1133" s="68"/>
      <c r="S1133" s="68"/>
      <c r="T1133" s="68"/>
      <c r="U1133" s="68"/>
      <c r="V1133" s="72"/>
      <c r="W1133" s="72"/>
      <c r="X1133" s="66"/>
      <c r="Y1133" s="80"/>
      <c r="Z1133" s="80"/>
      <c r="AA1133" s="153"/>
    </row>
    <row r="1134" spans="17:27" x14ac:dyDescent="0.25">
      <c r="Q1134" s="53"/>
      <c r="R1134" s="68"/>
      <c r="S1134" s="68"/>
      <c r="T1134" s="68"/>
      <c r="U1134" s="68"/>
      <c r="V1134" s="72"/>
      <c r="W1134" s="72"/>
      <c r="X1134" s="66"/>
      <c r="Y1134" s="80"/>
      <c r="Z1134" s="80"/>
      <c r="AA1134" s="153"/>
    </row>
    <row r="1135" spans="17:27" x14ac:dyDescent="0.25">
      <c r="Q1135" s="53"/>
      <c r="R1135" s="68"/>
      <c r="S1135" s="68"/>
      <c r="T1135" s="68"/>
      <c r="U1135" s="68"/>
      <c r="V1135" s="72"/>
      <c r="W1135" s="72"/>
      <c r="X1135" s="66"/>
      <c r="Y1135" s="80"/>
      <c r="Z1135" s="80"/>
      <c r="AA1135" s="153"/>
    </row>
    <row r="1136" spans="17:27" x14ac:dyDescent="0.25">
      <c r="Q1136" s="53"/>
      <c r="R1136" s="68"/>
      <c r="S1136" s="68"/>
      <c r="T1136" s="68"/>
      <c r="U1136" s="68"/>
      <c r="V1136" s="72"/>
      <c r="W1136" s="72"/>
      <c r="X1136" s="66"/>
      <c r="Y1136" s="80"/>
      <c r="Z1136" s="80"/>
      <c r="AA1136" s="153"/>
    </row>
    <row r="1137" spans="17:27" x14ac:dyDescent="0.25">
      <c r="Q1137" s="53"/>
      <c r="R1137" s="68"/>
      <c r="S1137" s="68"/>
      <c r="T1137" s="68"/>
      <c r="U1137" s="68"/>
      <c r="V1137" s="72"/>
      <c r="W1137" s="72"/>
      <c r="X1137" s="66"/>
      <c r="Y1137" s="80"/>
      <c r="Z1137" s="80"/>
      <c r="AA1137" s="153"/>
    </row>
    <row r="1138" spans="17:27" x14ac:dyDescent="0.25">
      <c r="Q1138" s="53"/>
      <c r="R1138" s="68"/>
      <c r="S1138" s="68"/>
      <c r="T1138" s="68"/>
      <c r="U1138" s="68"/>
      <c r="V1138" s="72"/>
      <c r="W1138" s="72"/>
      <c r="X1138" s="66"/>
      <c r="Y1138" s="80"/>
      <c r="Z1138" s="80"/>
      <c r="AA1138" s="153"/>
    </row>
    <row r="1139" spans="17:27" x14ac:dyDescent="0.25">
      <c r="Q1139" s="53"/>
      <c r="R1139" s="68"/>
      <c r="S1139" s="68"/>
      <c r="T1139" s="68"/>
      <c r="U1139" s="68"/>
      <c r="V1139" s="72"/>
      <c r="W1139" s="72"/>
      <c r="X1139" s="66"/>
      <c r="Y1139" s="80"/>
      <c r="Z1139" s="80"/>
      <c r="AA1139" s="153"/>
    </row>
    <row r="1140" spans="17:27" x14ac:dyDescent="0.25">
      <c r="Q1140" s="53"/>
      <c r="R1140" s="68"/>
      <c r="S1140" s="68"/>
      <c r="T1140" s="68"/>
      <c r="U1140" s="68"/>
      <c r="V1140" s="72"/>
      <c r="W1140" s="72"/>
      <c r="X1140" s="66"/>
      <c r="Y1140" s="80"/>
      <c r="Z1140" s="80"/>
      <c r="AA1140" s="153"/>
    </row>
    <row r="1141" spans="17:27" x14ac:dyDescent="0.25">
      <c r="Q1141" s="53"/>
      <c r="R1141" s="68"/>
      <c r="S1141" s="68"/>
      <c r="T1141" s="68"/>
      <c r="U1141" s="68"/>
      <c r="V1141" s="72"/>
      <c r="W1141" s="72"/>
      <c r="X1141" s="66"/>
      <c r="Y1141" s="80"/>
      <c r="Z1141" s="80"/>
      <c r="AA1141" s="153"/>
    </row>
    <row r="1142" spans="17:27" x14ac:dyDescent="0.25">
      <c r="Q1142" s="53"/>
      <c r="R1142" s="68"/>
      <c r="S1142" s="68"/>
      <c r="T1142" s="68"/>
      <c r="U1142" s="68"/>
      <c r="V1142" s="72"/>
      <c r="W1142" s="72"/>
      <c r="X1142" s="66"/>
      <c r="Y1142" s="80"/>
      <c r="Z1142" s="80"/>
      <c r="AA1142" s="153"/>
    </row>
    <row r="1143" spans="17:27" x14ac:dyDescent="0.25">
      <c r="Q1143" s="53"/>
      <c r="R1143" s="68"/>
      <c r="S1143" s="68"/>
      <c r="T1143" s="68"/>
      <c r="U1143" s="68"/>
      <c r="V1143" s="72"/>
      <c r="W1143" s="72"/>
      <c r="X1143" s="66"/>
      <c r="Y1143" s="80"/>
      <c r="Z1143" s="80"/>
      <c r="AA1143" s="153"/>
    </row>
    <row r="1144" spans="17:27" x14ac:dyDescent="0.25">
      <c r="Q1144" s="53"/>
      <c r="R1144" s="68"/>
      <c r="S1144" s="68"/>
      <c r="T1144" s="68"/>
      <c r="U1144" s="68"/>
      <c r="V1144" s="72"/>
      <c r="W1144" s="72"/>
      <c r="X1144" s="66"/>
      <c r="Y1144" s="80"/>
      <c r="Z1144" s="80"/>
      <c r="AA1144" s="153"/>
    </row>
    <row r="1145" spans="17:27" x14ac:dyDescent="0.25">
      <c r="Q1145" s="53"/>
      <c r="R1145" s="68"/>
      <c r="S1145" s="68"/>
      <c r="T1145" s="68"/>
      <c r="U1145" s="68"/>
      <c r="V1145" s="72"/>
      <c r="W1145" s="72"/>
      <c r="X1145" s="66"/>
      <c r="Y1145" s="80"/>
      <c r="Z1145" s="80"/>
      <c r="AA1145" s="153"/>
    </row>
    <row r="1146" spans="17:27" x14ac:dyDescent="0.25">
      <c r="Q1146" s="53"/>
      <c r="R1146" s="68"/>
      <c r="S1146" s="68"/>
      <c r="T1146" s="68"/>
      <c r="U1146" s="68"/>
      <c r="V1146" s="72"/>
      <c r="W1146" s="72"/>
      <c r="X1146" s="66"/>
      <c r="Y1146" s="80"/>
      <c r="Z1146" s="80"/>
      <c r="AA1146" s="153"/>
    </row>
    <row r="1147" spans="17:27" x14ac:dyDescent="0.25">
      <c r="Q1147" s="53"/>
      <c r="R1147" s="68"/>
      <c r="S1147" s="68"/>
      <c r="T1147" s="68"/>
      <c r="U1147" s="68"/>
      <c r="V1147" s="72"/>
      <c r="W1147" s="72"/>
      <c r="X1147" s="66"/>
      <c r="Y1147" s="80"/>
      <c r="Z1147" s="80"/>
      <c r="AA1147" s="153"/>
    </row>
    <row r="1148" spans="17:27" x14ac:dyDescent="0.25">
      <c r="Q1148" s="53"/>
      <c r="R1148" s="68"/>
      <c r="S1148" s="68"/>
      <c r="T1148" s="68"/>
      <c r="U1148" s="68"/>
      <c r="V1148" s="72"/>
      <c r="W1148" s="72"/>
      <c r="X1148" s="66"/>
      <c r="Y1148" s="80"/>
      <c r="Z1148" s="80"/>
      <c r="AA1148" s="153"/>
    </row>
    <row r="1149" spans="17:27" x14ac:dyDescent="0.25">
      <c r="Q1149" s="53"/>
      <c r="R1149" s="68"/>
      <c r="S1149" s="68"/>
      <c r="T1149" s="68"/>
      <c r="U1149" s="68"/>
      <c r="V1149" s="72"/>
      <c r="W1149" s="72"/>
      <c r="X1149" s="66"/>
      <c r="Y1149" s="80"/>
      <c r="Z1149" s="80"/>
      <c r="AA1149" s="153"/>
    </row>
    <row r="1150" spans="17:27" x14ac:dyDescent="0.25">
      <c r="Q1150" s="53"/>
      <c r="R1150" s="68"/>
      <c r="S1150" s="68"/>
      <c r="T1150" s="68"/>
      <c r="U1150" s="68"/>
      <c r="V1150" s="72"/>
      <c r="W1150" s="72"/>
      <c r="X1150" s="66"/>
      <c r="Y1150" s="80"/>
      <c r="Z1150" s="80"/>
      <c r="AA1150" s="153"/>
    </row>
    <row r="1151" spans="17:27" x14ac:dyDescent="0.25">
      <c r="Q1151" s="53"/>
      <c r="R1151" s="68"/>
      <c r="S1151" s="68"/>
      <c r="T1151" s="68"/>
      <c r="U1151" s="68"/>
      <c r="V1151" s="72"/>
      <c r="W1151" s="72"/>
      <c r="X1151" s="66"/>
      <c r="Y1151" s="80"/>
      <c r="Z1151" s="80"/>
      <c r="AA1151" s="153"/>
    </row>
    <row r="1152" spans="17:27" x14ac:dyDescent="0.25">
      <c r="Q1152" s="53"/>
      <c r="R1152" s="68"/>
      <c r="S1152" s="68"/>
      <c r="T1152" s="68"/>
      <c r="U1152" s="68"/>
      <c r="V1152" s="72"/>
      <c r="W1152" s="72"/>
      <c r="X1152" s="66"/>
      <c r="Y1152" s="80"/>
      <c r="Z1152" s="80"/>
      <c r="AA1152" s="153"/>
    </row>
    <row r="1153" spans="17:27" x14ac:dyDescent="0.25">
      <c r="Q1153" s="53"/>
      <c r="R1153" s="68"/>
      <c r="S1153" s="68"/>
      <c r="T1153" s="68"/>
      <c r="U1153" s="68"/>
      <c r="V1153" s="72"/>
      <c r="W1153" s="72"/>
      <c r="X1153" s="66"/>
      <c r="Y1153" s="80"/>
      <c r="Z1153" s="80"/>
      <c r="AA1153" s="153"/>
    </row>
    <row r="1154" spans="17:27" x14ac:dyDescent="0.25">
      <c r="Q1154" s="53"/>
      <c r="R1154" s="68"/>
      <c r="S1154" s="68"/>
      <c r="T1154" s="68"/>
      <c r="U1154" s="68"/>
      <c r="V1154" s="72"/>
      <c r="W1154" s="72"/>
      <c r="X1154" s="66"/>
      <c r="Y1154" s="80"/>
      <c r="Z1154" s="80"/>
      <c r="AA1154" s="153"/>
    </row>
    <row r="1155" spans="17:27" x14ac:dyDescent="0.25">
      <c r="Q1155" s="53"/>
      <c r="R1155" s="68"/>
      <c r="S1155" s="68"/>
      <c r="T1155" s="68"/>
      <c r="U1155" s="68"/>
      <c r="V1155" s="72"/>
      <c r="W1155" s="72"/>
      <c r="X1155" s="66"/>
      <c r="Y1155" s="80"/>
      <c r="Z1155" s="80"/>
      <c r="AA1155" s="153"/>
    </row>
    <row r="1156" spans="17:27" x14ac:dyDescent="0.25">
      <c r="Q1156" s="53"/>
      <c r="R1156" s="68"/>
      <c r="S1156" s="68"/>
      <c r="T1156" s="68"/>
      <c r="U1156" s="68"/>
      <c r="V1156" s="72"/>
      <c r="W1156" s="72"/>
      <c r="X1156" s="66"/>
      <c r="Y1156" s="80"/>
      <c r="Z1156" s="80"/>
      <c r="AA1156" s="153"/>
    </row>
    <row r="1157" spans="17:27" x14ac:dyDescent="0.25">
      <c r="Q1157" s="53"/>
      <c r="R1157" s="68"/>
      <c r="S1157" s="68"/>
      <c r="T1157" s="68"/>
      <c r="U1157" s="68"/>
      <c r="V1157" s="72"/>
      <c r="W1157" s="72"/>
      <c r="X1157" s="66"/>
      <c r="Y1157" s="80"/>
      <c r="Z1157" s="80"/>
      <c r="AA1157" s="153"/>
    </row>
    <row r="1158" spans="17:27" x14ac:dyDescent="0.25">
      <c r="Q1158" s="53"/>
      <c r="R1158" s="68"/>
      <c r="S1158" s="68"/>
      <c r="T1158" s="68"/>
      <c r="U1158" s="68"/>
      <c r="V1158" s="72"/>
      <c r="W1158" s="72"/>
      <c r="X1158" s="66"/>
      <c r="Y1158" s="80"/>
      <c r="Z1158" s="80"/>
      <c r="AA1158" s="153"/>
    </row>
    <row r="1159" spans="17:27" x14ac:dyDescent="0.25">
      <c r="Q1159" s="53"/>
      <c r="R1159" s="68"/>
      <c r="S1159" s="68"/>
      <c r="T1159" s="68"/>
      <c r="U1159" s="68"/>
      <c r="V1159" s="72"/>
      <c r="W1159" s="72"/>
      <c r="X1159" s="66"/>
      <c r="Y1159" s="80"/>
      <c r="Z1159" s="80"/>
      <c r="AA1159" s="153"/>
    </row>
    <row r="1160" spans="17:27" x14ac:dyDescent="0.25">
      <c r="Q1160" s="53"/>
      <c r="R1160" s="68"/>
      <c r="S1160" s="68"/>
      <c r="T1160" s="68"/>
      <c r="U1160" s="68"/>
      <c r="V1160" s="72"/>
      <c r="W1160" s="72"/>
      <c r="X1160" s="66"/>
      <c r="Y1160" s="80"/>
      <c r="Z1160" s="80"/>
      <c r="AA1160" s="153"/>
    </row>
    <row r="1161" spans="17:27" x14ac:dyDescent="0.25">
      <c r="Q1161" s="53"/>
      <c r="R1161" s="68"/>
      <c r="S1161" s="68"/>
      <c r="T1161" s="68"/>
      <c r="U1161" s="68"/>
      <c r="V1161" s="72"/>
      <c r="W1161" s="72"/>
      <c r="X1161" s="66"/>
      <c r="Y1161" s="80"/>
      <c r="Z1161" s="80"/>
      <c r="AA1161" s="153"/>
    </row>
    <row r="1162" spans="17:27" x14ac:dyDescent="0.25">
      <c r="Q1162" s="53"/>
      <c r="R1162" s="68"/>
      <c r="S1162" s="68"/>
      <c r="T1162" s="68"/>
      <c r="U1162" s="68"/>
      <c r="V1162" s="72"/>
      <c r="W1162" s="72"/>
      <c r="X1162" s="66"/>
      <c r="Y1162" s="80"/>
      <c r="Z1162" s="80"/>
      <c r="AA1162" s="153"/>
    </row>
    <row r="1163" spans="17:27" x14ac:dyDescent="0.25">
      <c r="Q1163" s="53"/>
      <c r="R1163" s="68"/>
      <c r="S1163" s="68"/>
      <c r="T1163" s="68"/>
      <c r="U1163" s="68"/>
      <c r="V1163" s="72"/>
      <c r="W1163" s="72"/>
      <c r="X1163" s="66"/>
      <c r="Y1163" s="80"/>
      <c r="Z1163" s="80"/>
      <c r="AA1163" s="153"/>
    </row>
    <row r="1164" spans="17:27" x14ac:dyDescent="0.25">
      <c r="Q1164" s="53"/>
      <c r="R1164" s="68"/>
      <c r="S1164" s="68"/>
      <c r="T1164" s="68"/>
      <c r="U1164" s="68"/>
      <c r="V1164" s="72"/>
      <c r="W1164" s="72"/>
      <c r="X1164" s="66"/>
      <c r="Y1164" s="80"/>
      <c r="Z1164" s="80"/>
      <c r="AA1164" s="153"/>
    </row>
    <row r="1165" spans="17:27" x14ac:dyDescent="0.25">
      <c r="Q1165" s="53"/>
      <c r="R1165" s="68"/>
      <c r="S1165" s="68"/>
      <c r="T1165" s="68"/>
      <c r="U1165" s="68"/>
      <c r="V1165" s="72"/>
      <c r="W1165" s="72"/>
      <c r="X1165" s="66"/>
      <c r="Y1165" s="80"/>
      <c r="Z1165" s="80"/>
      <c r="AA1165" s="153"/>
    </row>
    <row r="1166" spans="17:27" x14ac:dyDescent="0.25">
      <c r="Q1166" s="53"/>
      <c r="R1166" s="68"/>
      <c r="S1166" s="68"/>
      <c r="T1166" s="68"/>
      <c r="U1166" s="68"/>
      <c r="V1166" s="72"/>
      <c r="W1166" s="72"/>
      <c r="X1166" s="66"/>
      <c r="Y1166" s="80"/>
      <c r="Z1166" s="80"/>
      <c r="AA1166" s="153"/>
    </row>
    <row r="1167" spans="17:27" x14ac:dyDescent="0.25">
      <c r="Q1167" s="53"/>
      <c r="R1167" s="68"/>
      <c r="S1167" s="68"/>
      <c r="T1167" s="68"/>
      <c r="U1167" s="68"/>
      <c r="V1167" s="72"/>
      <c r="W1167" s="72"/>
      <c r="X1167" s="66"/>
      <c r="Y1167" s="80"/>
      <c r="Z1167" s="80"/>
      <c r="AA1167" s="153"/>
    </row>
    <row r="1168" spans="17:27" x14ac:dyDescent="0.25">
      <c r="Q1168" s="53"/>
      <c r="R1168" s="68"/>
      <c r="S1168" s="68"/>
      <c r="T1168" s="68"/>
      <c r="U1168" s="68"/>
      <c r="V1168" s="72"/>
      <c r="W1168" s="72"/>
      <c r="X1168" s="66"/>
      <c r="Y1168" s="80"/>
      <c r="Z1168" s="80"/>
      <c r="AA1168" s="153"/>
    </row>
    <row r="1169" spans="17:27" x14ac:dyDescent="0.25">
      <c r="Q1169" s="53"/>
      <c r="R1169" s="68"/>
      <c r="S1169" s="68"/>
      <c r="T1169" s="68"/>
      <c r="U1169" s="68"/>
      <c r="V1169" s="72"/>
      <c r="W1169" s="72"/>
      <c r="X1169" s="66"/>
      <c r="Y1169" s="80"/>
      <c r="Z1169" s="80"/>
      <c r="AA1169" s="153"/>
    </row>
    <row r="1170" spans="17:27" x14ac:dyDescent="0.25">
      <c r="Q1170" s="53"/>
      <c r="R1170" s="68"/>
      <c r="S1170" s="68"/>
      <c r="T1170" s="68"/>
      <c r="U1170" s="68"/>
      <c r="V1170" s="72"/>
      <c r="W1170" s="72"/>
      <c r="X1170" s="66"/>
      <c r="Y1170" s="80"/>
      <c r="Z1170" s="80"/>
      <c r="AA1170" s="153"/>
    </row>
    <row r="1171" spans="17:27" x14ac:dyDescent="0.25">
      <c r="Q1171" s="53"/>
      <c r="R1171" s="68"/>
      <c r="S1171" s="68"/>
      <c r="T1171" s="68"/>
      <c r="U1171" s="68"/>
      <c r="V1171" s="72"/>
      <c r="W1171" s="72"/>
      <c r="X1171" s="66"/>
      <c r="Y1171" s="80"/>
      <c r="Z1171" s="80"/>
      <c r="AA1171" s="153"/>
    </row>
    <row r="1172" spans="17:27" x14ac:dyDescent="0.25">
      <c r="Q1172" s="53"/>
      <c r="R1172" s="68"/>
      <c r="S1172" s="68"/>
      <c r="T1172" s="68"/>
      <c r="U1172" s="68"/>
      <c r="V1172" s="72"/>
      <c r="W1172" s="72"/>
      <c r="X1172" s="66"/>
      <c r="Y1172" s="80"/>
      <c r="Z1172" s="80"/>
      <c r="AA1172" s="153"/>
    </row>
    <row r="1173" spans="17:27" x14ac:dyDescent="0.25">
      <c r="Q1173" s="53"/>
      <c r="R1173" s="68"/>
      <c r="S1173" s="68"/>
      <c r="T1173" s="68"/>
      <c r="U1173" s="68"/>
      <c r="V1173" s="72"/>
      <c r="W1173" s="72"/>
      <c r="X1173" s="66"/>
      <c r="Y1173" s="80"/>
      <c r="Z1173" s="80"/>
      <c r="AA1173" s="153"/>
    </row>
    <row r="1174" spans="17:27" x14ac:dyDescent="0.25">
      <c r="Q1174" s="53"/>
      <c r="R1174" s="68"/>
      <c r="S1174" s="68"/>
      <c r="T1174" s="68"/>
      <c r="U1174" s="68"/>
      <c r="V1174" s="72"/>
      <c r="W1174" s="72"/>
      <c r="X1174" s="66"/>
      <c r="Y1174" s="80"/>
      <c r="Z1174" s="80"/>
      <c r="AA1174" s="153"/>
    </row>
    <row r="1175" spans="17:27" x14ac:dyDescent="0.25">
      <c r="Q1175" s="53"/>
      <c r="R1175" s="68"/>
      <c r="S1175" s="68"/>
      <c r="T1175" s="68"/>
      <c r="U1175" s="68"/>
      <c r="V1175" s="72"/>
      <c r="W1175" s="72"/>
      <c r="X1175" s="66"/>
      <c r="Y1175" s="80"/>
      <c r="Z1175" s="80"/>
      <c r="AA1175" s="153"/>
    </row>
    <row r="1176" spans="17:27" x14ac:dyDescent="0.25">
      <c r="Q1176" s="53"/>
      <c r="R1176" s="68"/>
      <c r="S1176" s="68"/>
      <c r="T1176" s="68"/>
      <c r="U1176" s="68"/>
      <c r="V1176" s="72"/>
      <c r="W1176" s="72"/>
      <c r="X1176" s="66"/>
      <c r="Y1176" s="80"/>
      <c r="Z1176" s="80"/>
      <c r="AA1176" s="153"/>
    </row>
    <row r="1177" spans="17:27" x14ac:dyDescent="0.25">
      <c r="Q1177" s="53"/>
      <c r="R1177" s="68"/>
      <c r="S1177" s="68"/>
      <c r="T1177" s="68"/>
      <c r="U1177" s="68"/>
      <c r="V1177" s="72"/>
      <c r="W1177" s="72"/>
      <c r="X1177" s="66"/>
      <c r="Y1177" s="80"/>
      <c r="Z1177" s="80"/>
      <c r="AA1177" s="153"/>
    </row>
    <row r="1178" spans="17:27" x14ac:dyDescent="0.25">
      <c r="Q1178" s="53"/>
      <c r="R1178" s="68"/>
      <c r="S1178" s="68"/>
      <c r="T1178" s="68"/>
      <c r="U1178" s="68"/>
      <c r="V1178" s="72"/>
      <c r="W1178" s="72"/>
      <c r="X1178" s="66"/>
      <c r="Y1178" s="80"/>
      <c r="Z1178" s="80"/>
      <c r="AA1178" s="153"/>
    </row>
    <row r="1179" spans="17:27" x14ac:dyDescent="0.25">
      <c r="Q1179" s="53"/>
      <c r="R1179" s="68"/>
      <c r="S1179" s="68"/>
      <c r="T1179" s="68"/>
      <c r="U1179" s="68"/>
      <c r="V1179" s="72"/>
      <c r="W1179" s="72"/>
      <c r="X1179" s="66"/>
      <c r="Y1179" s="80"/>
      <c r="Z1179" s="80"/>
      <c r="AA1179" s="153"/>
    </row>
    <row r="1180" spans="17:27" x14ac:dyDescent="0.25">
      <c r="Q1180" s="53"/>
      <c r="R1180" s="68"/>
      <c r="S1180" s="68"/>
      <c r="T1180" s="68"/>
      <c r="U1180" s="68"/>
      <c r="V1180" s="72"/>
      <c r="W1180" s="72"/>
      <c r="X1180" s="66"/>
      <c r="Y1180" s="80"/>
      <c r="Z1180" s="80"/>
      <c r="AA1180" s="153"/>
    </row>
    <row r="1181" spans="17:27" x14ac:dyDescent="0.25">
      <c r="Q1181" s="53"/>
      <c r="R1181" s="68"/>
      <c r="S1181" s="68"/>
      <c r="T1181" s="68"/>
      <c r="U1181" s="68"/>
      <c r="V1181" s="72"/>
      <c r="W1181" s="72"/>
      <c r="X1181" s="66"/>
      <c r="Y1181" s="80"/>
      <c r="Z1181" s="80"/>
      <c r="AA1181" s="153"/>
    </row>
    <row r="1182" spans="17:27" x14ac:dyDescent="0.25">
      <c r="Q1182" s="53"/>
      <c r="R1182" s="68"/>
      <c r="S1182" s="68"/>
      <c r="T1182" s="68"/>
      <c r="U1182" s="68"/>
      <c r="V1182" s="72"/>
      <c r="W1182" s="72"/>
      <c r="X1182" s="65"/>
      <c r="Y1182" s="80"/>
      <c r="Z1182" s="80"/>
      <c r="AA1182" s="153"/>
    </row>
    <row r="1183" spans="17:27" x14ac:dyDescent="0.25">
      <c r="Q1183" s="53"/>
      <c r="R1183" s="68"/>
      <c r="S1183" s="68"/>
      <c r="T1183" s="68"/>
      <c r="U1183" s="68"/>
      <c r="V1183" s="72"/>
      <c r="W1183" s="72"/>
      <c r="X1183" s="65"/>
      <c r="Y1183" s="80"/>
      <c r="Z1183" s="80"/>
      <c r="AA1183" s="153"/>
    </row>
    <row r="1184" spans="17:27" x14ac:dyDescent="0.25">
      <c r="Q1184" s="53"/>
      <c r="R1184" s="68"/>
      <c r="S1184" s="68"/>
      <c r="T1184" s="68"/>
      <c r="U1184" s="68"/>
      <c r="V1184" s="72"/>
      <c r="W1184" s="72"/>
      <c r="X1184" s="65"/>
      <c r="Y1184" s="80"/>
      <c r="Z1184" s="80"/>
      <c r="AA1184" s="153"/>
    </row>
    <row r="1185" spans="17:27" x14ac:dyDescent="0.25">
      <c r="Q1185" s="53"/>
      <c r="R1185" s="68"/>
      <c r="S1185" s="68"/>
      <c r="T1185" s="68"/>
      <c r="U1185" s="68"/>
      <c r="V1185" s="72"/>
      <c r="W1185" s="72"/>
      <c r="X1185" s="65"/>
      <c r="Y1185" s="80"/>
      <c r="Z1185" s="80"/>
      <c r="AA1185" s="153"/>
    </row>
    <row r="1186" spans="17:27" x14ac:dyDescent="0.25">
      <c r="Q1186" s="53"/>
      <c r="R1186" s="68"/>
      <c r="S1186" s="68"/>
      <c r="T1186" s="68"/>
      <c r="U1186" s="68"/>
      <c r="V1186" s="72"/>
      <c r="W1186" s="72"/>
      <c r="X1186" s="65"/>
      <c r="Y1186" s="80"/>
      <c r="Z1186" s="80"/>
      <c r="AA1186" s="153"/>
    </row>
    <row r="1187" spans="17:27" x14ac:dyDescent="0.25">
      <c r="Q1187" s="53"/>
      <c r="R1187" s="68"/>
      <c r="S1187" s="68"/>
      <c r="T1187" s="68"/>
      <c r="U1187" s="68"/>
      <c r="V1187" s="72"/>
      <c r="W1187" s="72"/>
      <c r="X1187" s="65"/>
      <c r="Y1187" s="80"/>
      <c r="Z1187" s="80"/>
      <c r="AA1187" s="153"/>
    </row>
    <row r="1188" spans="17:27" x14ac:dyDescent="0.25">
      <c r="Q1188" s="53"/>
      <c r="R1188" s="68"/>
      <c r="S1188" s="68"/>
      <c r="T1188" s="68"/>
      <c r="U1188" s="68"/>
      <c r="V1188" s="72"/>
      <c r="W1188" s="72"/>
      <c r="X1188" s="65"/>
      <c r="Y1188" s="80"/>
      <c r="Z1188" s="80"/>
      <c r="AA1188" s="153"/>
    </row>
    <row r="1189" spans="17:27" x14ac:dyDescent="0.25">
      <c r="Q1189" s="53"/>
      <c r="R1189" s="68"/>
      <c r="S1189" s="68"/>
      <c r="T1189" s="68"/>
      <c r="U1189" s="68"/>
      <c r="V1189" s="72"/>
      <c r="W1189" s="72"/>
      <c r="X1189" s="65"/>
      <c r="Y1189" s="80"/>
      <c r="Z1189" s="80"/>
      <c r="AA1189" s="153"/>
    </row>
    <row r="1190" spans="17:27" x14ac:dyDescent="0.25">
      <c r="Q1190" s="53"/>
      <c r="R1190" s="68"/>
      <c r="S1190" s="68"/>
      <c r="T1190" s="68"/>
      <c r="U1190" s="68"/>
      <c r="V1190" s="72"/>
      <c r="W1190" s="72"/>
      <c r="X1190" s="65"/>
      <c r="Y1190" s="80"/>
      <c r="Z1190" s="80"/>
      <c r="AA1190" s="153"/>
    </row>
    <row r="1191" spans="17:27" x14ac:dyDescent="0.25">
      <c r="Q1191" s="53"/>
      <c r="R1191" s="68"/>
      <c r="S1191" s="68"/>
      <c r="T1191" s="68"/>
      <c r="U1191" s="68"/>
      <c r="V1191" s="72"/>
      <c r="W1191" s="72"/>
      <c r="X1191" s="65"/>
      <c r="Y1191" s="80"/>
      <c r="Z1191" s="80"/>
      <c r="AA1191" s="153"/>
    </row>
    <row r="1192" spans="17:27" x14ac:dyDescent="0.25">
      <c r="Q1192" s="53"/>
      <c r="R1192" s="68"/>
      <c r="S1192" s="68"/>
      <c r="T1192" s="68"/>
      <c r="U1192" s="68"/>
      <c r="V1192" s="72"/>
      <c r="W1192" s="72"/>
      <c r="X1192" s="65"/>
      <c r="Y1192" s="80"/>
      <c r="Z1192" s="80"/>
      <c r="AA1192" s="153"/>
    </row>
    <row r="1193" spans="17:27" x14ac:dyDescent="0.25">
      <c r="Q1193" s="53"/>
      <c r="R1193" s="68"/>
      <c r="S1193" s="68"/>
      <c r="T1193" s="68"/>
      <c r="U1193" s="68"/>
      <c r="V1193" s="72"/>
      <c r="W1193" s="72"/>
      <c r="X1193" s="65"/>
      <c r="Y1193" s="80"/>
      <c r="Z1193" s="80"/>
      <c r="AA1193" s="153"/>
    </row>
    <row r="1194" spans="17:27" x14ac:dyDescent="0.25">
      <c r="Q1194" s="53"/>
      <c r="R1194" s="68"/>
      <c r="S1194" s="68"/>
      <c r="T1194" s="68"/>
      <c r="U1194" s="68"/>
      <c r="V1194" s="72"/>
      <c r="W1194" s="72"/>
      <c r="X1194" s="65"/>
      <c r="Y1194" s="80"/>
      <c r="Z1194" s="80"/>
      <c r="AA1194" s="153"/>
    </row>
    <row r="1195" spans="17:27" x14ac:dyDescent="0.25">
      <c r="Q1195" s="53"/>
      <c r="R1195" s="68"/>
      <c r="S1195" s="68"/>
      <c r="T1195" s="68"/>
      <c r="U1195" s="68"/>
      <c r="V1195" s="72"/>
      <c r="W1195" s="72"/>
      <c r="X1195" s="65"/>
      <c r="Y1195" s="80"/>
      <c r="Z1195" s="80"/>
      <c r="AA1195" s="153"/>
    </row>
    <row r="1196" spans="17:27" x14ac:dyDescent="0.25">
      <c r="Q1196" s="53"/>
      <c r="R1196" s="68"/>
      <c r="S1196" s="68"/>
      <c r="T1196" s="68"/>
      <c r="U1196" s="68"/>
      <c r="V1196" s="72"/>
      <c r="W1196" s="72"/>
      <c r="X1196" s="65"/>
      <c r="Y1196" s="80"/>
      <c r="Z1196" s="80"/>
      <c r="AA1196" s="153"/>
    </row>
    <row r="1197" spans="17:27" x14ac:dyDescent="0.25">
      <c r="Q1197" s="53"/>
      <c r="R1197" s="68"/>
      <c r="S1197" s="68"/>
      <c r="T1197" s="68"/>
      <c r="U1197" s="68"/>
      <c r="V1197" s="72"/>
      <c r="W1197" s="72"/>
      <c r="X1197" s="65"/>
      <c r="Y1197" s="80"/>
      <c r="Z1197" s="80"/>
      <c r="AA1197" s="153"/>
    </row>
    <row r="1198" spans="17:27" x14ac:dyDescent="0.25">
      <c r="Q1198" s="53"/>
      <c r="R1198" s="68"/>
      <c r="S1198" s="68"/>
      <c r="T1198" s="68"/>
      <c r="U1198" s="68"/>
      <c r="V1198" s="72"/>
      <c r="W1198" s="72"/>
      <c r="X1198" s="65"/>
      <c r="Y1198" s="80"/>
      <c r="Z1198" s="80"/>
      <c r="AA1198" s="153"/>
    </row>
    <row r="1199" spans="17:27" x14ac:dyDescent="0.25">
      <c r="Q1199" s="53"/>
      <c r="R1199" s="68"/>
      <c r="S1199" s="68"/>
      <c r="T1199" s="68"/>
      <c r="U1199" s="68"/>
      <c r="V1199" s="72"/>
      <c r="W1199" s="72"/>
      <c r="X1199" s="65"/>
      <c r="Y1199" s="80"/>
      <c r="Z1199" s="80"/>
      <c r="AA1199" s="153"/>
    </row>
    <row r="1200" spans="17:27" x14ac:dyDescent="0.25">
      <c r="Q1200" s="53"/>
      <c r="R1200" s="68"/>
      <c r="S1200" s="68"/>
      <c r="T1200" s="68"/>
      <c r="U1200" s="68"/>
      <c r="V1200" s="72"/>
      <c r="W1200" s="72"/>
      <c r="X1200" s="65"/>
      <c r="Y1200" s="80"/>
      <c r="Z1200" s="80"/>
      <c r="AA1200" s="153"/>
    </row>
    <row r="1201" spans="17:27" x14ac:dyDescent="0.25">
      <c r="Q1201" s="53"/>
      <c r="R1201" s="68"/>
      <c r="S1201" s="68"/>
      <c r="T1201" s="68"/>
      <c r="U1201" s="68"/>
      <c r="V1201" s="72"/>
      <c r="W1201" s="72"/>
      <c r="X1201" s="65"/>
      <c r="Y1201" s="80"/>
      <c r="Z1201" s="80"/>
      <c r="AA1201" s="153"/>
    </row>
    <row r="1202" spans="17:27" x14ac:dyDescent="0.25">
      <c r="Q1202" s="53"/>
      <c r="R1202" s="68"/>
      <c r="S1202" s="68"/>
      <c r="T1202" s="68"/>
      <c r="U1202" s="68"/>
      <c r="V1202" s="72"/>
      <c r="W1202" s="72"/>
      <c r="X1202" s="65"/>
      <c r="Y1202" s="80"/>
      <c r="Z1202" s="80"/>
      <c r="AA1202" s="153"/>
    </row>
    <row r="1203" spans="17:27" x14ac:dyDescent="0.25">
      <c r="Q1203" s="53"/>
      <c r="R1203" s="68"/>
      <c r="S1203" s="68"/>
      <c r="T1203" s="68"/>
      <c r="U1203" s="68"/>
      <c r="V1203" s="72"/>
      <c r="W1203" s="72"/>
      <c r="X1203" s="65"/>
      <c r="Y1203" s="80"/>
      <c r="Z1203" s="80"/>
      <c r="AA1203" s="153"/>
    </row>
    <row r="1204" spans="17:27" x14ac:dyDescent="0.25">
      <c r="Q1204" s="53"/>
      <c r="R1204" s="68"/>
      <c r="S1204" s="68"/>
      <c r="T1204" s="68"/>
      <c r="U1204" s="68"/>
      <c r="V1204" s="72"/>
      <c r="W1204" s="72"/>
      <c r="X1204" s="65"/>
      <c r="Y1204" s="80"/>
      <c r="Z1204" s="80"/>
      <c r="AA1204" s="153"/>
    </row>
    <row r="1205" spans="17:27" x14ac:dyDescent="0.25">
      <c r="Q1205" s="53"/>
      <c r="R1205" s="68"/>
      <c r="S1205" s="68"/>
      <c r="T1205" s="68"/>
      <c r="U1205" s="68"/>
      <c r="V1205" s="72"/>
      <c r="W1205" s="72"/>
      <c r="X1205" s="65"/>
      <c r="Y1205" s="80"/>
      <c r="Z1205" s="80"/>
      <c r="AA1205" s="153"/>
    </row>
    <row r="1206" spans="17:27" x14ac:dyDescent="0.25">
      <c r="Q1206" s="53"/>
      <c r="R1206" s="68"/>
      <c r="S1206" s="68"/>
      <c r="T1206" s="68"/>
      <c r="U1206" s="68"/>
      <c r="V1206" s="72"/>
      <c r="W1206" s="72"/>
      <c r="X1206" s="65"/>
      <c r="Y1206" s="80"/>
      <c r="Z1206" s="80"/>
      <c r="AA1206" s="153"/>
    </row>
    <row r="1207" spans="17:27" x14ac:dyDescent="0.25">
      <c r="Q1207" s="53"/>
      <c r="R1207" s="68"/>
      <c r="S1207" s="68"/>
      <c r="T1207" s="68"/>
      <c r="U1207" s="68"/>
      <c r="V1207" s="72"/>
      <c r="W1207" s="72"/>
      <c r="X1207" s="65"/>
      <c r="Y1207" s="80"/>
      <c r="Z1207" s="80"/>
      <c r="AA1207" s="153"/>
    </row>
    <row r="1208" spans="17:27" x14ac:dyDescent="0.25">
      <c r="Q1208" s="53"/>
      <c r="R1208" s="68"/>
      <c r="S1208" s="68"/>
      <c r="T1208" s="68"/>
      <c r="U1208" s="68"/>
      <c r="V1208" s="72"/>
      <c r="W1208" s="72"/>
      <c r="X1208" s="65"/>
      <c r="Y1208" s="80"/>
      <c r="Z1208" s="80"/>
      <c r="AA1208" s="153"/>
    </row>
    <row r="1209" spans="17:27" x14ac:dyDescent="0.25">
      <c r="Q1209" s="53"/>
      <c r="R1209" s="68"/>
      <c r="S1209" s="68"/>
      <c r="T1209" s="68"/>
      <c r="U1209" s="68"/>
      <c r="V1209" s="72"/>
      <c r="W1209" s="72"/>
      <c r="X1209" s="65"/>
      <c r="Y1209" s="80"/>
      <c r="Z1209" s="80"/>
      <c r="AA1209" s="153"/>
    </row>
    <row r="1210" spans="17:27" x14ac:dyDescent="0.25">
      <c r="Q1210" s="53"/>
      <c r="R1210" s="68"/>
      <c r="S1210" s="68"/>
      <c r="T1210" s="68"/>
      <c r="U1210" s="68"/>
      <c r="V1210" s="72"/>
      <c r="W1210" s="72"/>
      <c r="X1210" s="65"/>
      <c r="Y1210" s="80"/>
      <c r="Z1210" s="80"/>
      <c r="AA1210" s="153"/>
    </row>
    <row r="1211" spans="17:27" x14ac:dyDescent="0.25">
      <c r="Q1211" s="53"/>
      <c r="R1211" s="68"/>
      <c r="S1211" s="68"/>
      <c r="T1211" s="68"/>
      <c r="U1211" s="68"/>
      <c r="V1211" s="72"/>
      <c r="W1211" s="72"/>
      <c r="X1211" s="65"/>
      <c r="Y1211" s="80"/>
      <c r="Z1211" s="80"/>
      <c r="AA1211" s="153"/>
    </row>
    <row r="1212" spans="17:27" x14ac:dyDescent="0.25">
      <c r="Q1212" s="53"/>
      <c r="R1212" s="68"/>
      <c r="S1212" s="68"/>
      <c r="T1212" s="68"/>
      <c r="U1212" s="68"/>
      <c r="V1212" s="72"/>
      <c r="W1212" s="72"/>
      <c r="X1212" s="65"/>
      <c r="Y1212" s="80"/>
      <c r="Z1212" s="80"/>
      <c r="AA1212" s="153"/>
    </row>
    <row r="1213" spans="17:27" x14ac:dyDescent="0.25">
      <c r="Q1213" s="53"/>
      <c r="R1213" s="68"/>
      <c r="S1213" s="68"/>
      <c r="T1213" s="68"/>
      <c r="U1213" s="68"/>
      <c r="V1213" s="72"/>
      <c r="W1213" s="72"/>
      <c r="X1213" s="66"/>
      <c r="Y1213" s="80"/>
      <c r="Z1213" s="80"/>
      <c r="AA1213" s="153"/>
    </row>
    <row r="1214" spans="17:27" x14ac:dyDescent="0.25">
      <c r="Q1214" s="53"/>
      <c r="R1214" s="68"/>
      <c r="S1214" s="68"/>
      <c r="T1214" s="68"/>
      <c r="U1214" s="68"/>
      <c r="V1214" s="72"/>
      <c r="W1214" s="72"/>
      <c r="X1214" s="66"/>
      <c r="Y1214" s="80"/>
      <c r="Z1214" s="80"/>
      <c r="AA1214" s="153"/>
    </row>
    <row r="1215" spans="17:27" x14ac:dyDescent="0.25">
      <c r="Q1215" s="53"/>
      <c r="R1215" s="68"/>
      <c r="S1215" s="68"/>
      <c r="T1215" s="68"/>
      <c r="U1215" s="68"/>
      <c r="V1215" s="72"/>
      <c r="W1215" s="72"/>
      <c r="X1215" s="66"/>
      <c r="Y1215" s="80"/>
      <c r="Z1215" s="80"/>
      <c r="AA1215" s="153"/>
    </row>
    <row r="1216" spans="17:27" x14ac:dyDescent="0.25">
      <c r="Q1216" s="53"/>
      <c r="R1216" s="68"/>
      <c r="S1216" s="68"/>
      <c r="T1216" s="68"/>
      <c r="U1216" s="68"/>
      <c r="V1216" s="72"/>
      <c r="W1216" s="72"/>
      <c r="X1216" s="66"/>
      <c r="Y1216" s="80"/>
      <c r="Z1216" s="80"/>
      <c r="AA1216" s="153"/>
    </row>
    <row r="1217" spans="17:27" x14ac:dyDescent="0.25">
      <c r="Q1217" s="53"/>
      <c r="R1217" s="68"/>
      <c r="S1217" s="68"/>
      <c r="T1217" s="68"/>
      <c r="U1217" s="68"/>
      <c r="V1217" s="72"/>
      <c r="W1217" s="72"/>
      <c r="X1217" s="66"/>
      <c r="Y1217" s="80"/>
      <c r="Z1217" s="80"/>
      <c r="AA1217" s="153"/>
    </row>
    <row r="1218" spans="17:27" x14ac:dyDescent="0.25">
      <c r="Q1218" s="53"/>
      <c r="R1218" s="68"/>
      <c r="S1218" s="68"/>
      <c r="T1218" s="68"/>
      <c r="U1218" s="68"/>
      <c r="V1218" s="72"/>
      <c r="W1218" s="72"/>
      <c r="X1218" s="66"/>
      <c r="Y1218" s="80"/>
      <c r="Z1218" s="80"/>
      <c r="AA1218" s="153"/>
    </row>
    <row r="1219" spans="17:27" x14ac:dyDescent="0.25">
      <c r="Q1219" s="53"/>
      <c r="R1219" s="68"/>
      <c r="S1219" s="68"/>
      <c r="T1219" s="68"/>
      <c r="U1219" s="68"/>
      <c r="V1219" s="72"/>
      <c r="W1219" s="72"/>
      <c r="X1219" s="66"/>
      <c r="Y1219" s="80"/>
      <c r="Z1219" s="80"/>
      <c r="AA1219" s="153"/>
    </row>
    <row r="1220" spans="17:27" x14ac:dyDescent="0.25">
      <c r="Q1220" s="53"/>
      <c r="R1220" s="68"/>
      <c r="S1220" s="68"/>
      <c r="T1220" s="68"/>
      <c r="U1220" s="68"/>
      <c r="V1220" s="72"/>
      <c r="W1220" s="72"/>
      <c r="X1220" s="66"/>
      <c r="Y1220" s="80"/>
      <c r="Z1220" s="80"/>
      <c r="AA1220" s="153"/>
    </row>
    <row r="1221" spans="17:27" x14ac:dyDescent="0.25">
      <c r="Q1221" s="53"/>
      <c r="R1221" s="68"/>
      <c r="S1221" s="68"/>
      <c r="T1221" s="68"/>
      <c r="U1221" s="68"/>
      <c r="V1221" s="72"/>
      <c r="W1221" s="72"/>
      <c r="X1221" s="66"/>
      <c r="Y1221" s="80"/>
      <c r="Z1221" s="80"/>
      <c r="AA1221" s="153"/>
    </row>
    <row r="1222" spans="17:27" x14ac:dyDescent="0.25">
      <c r="Q1222" s="53"/>
      <c r="R1222" s="68"/>
      <c r="S1222" s="68"/>
      <c r="T1222" s="68"/>
      <c r="U1222" s="68"/>
      <c r="V1222" s="72"/>
      <c r="W1222" s="72"/>
      <c r="X1222" s="66"/>
      <c r="Y1222" s="80"/>
      <c r="Z1222" s="80"/>
      <c r="AA1222" s="153"/>
    </row>
    <row r="1223" spans="17:27" x14ac:dyDescent="0.25">
      <c r="Q1223" s="53"/>
      <c r="R1223" s="68"/>
      <c r="S1223" s="68"/>
      <c r="T1223" s="68"/>
      <c r="U1223" s="68"/>
      <c r="V1223" s="72"/>
      <c r="W1223" s="72"/>
      <c r="X1223" s="66"/>
      <c r="Y1223" s="80"/>
      <c r="Z1223" s="80"/>
      <c r="AA1223" s="153"/>
    </row>
    <row r="1224" spans="17:27" x14ac:dyDescent="0.25">
      <c r="Q1224" s="53"/>
      <c r="R1224" s="68"/>
      <c r="S1224" s="68"/>
      <c r="T1224" s="68"/>
      <c r="U1224" s="68"/>
      <c r="V1224" s="72"/>
      <c r="W1224" s="72"/>
      <c r="X1224" s="66"/>
      <c r="Y1224" s="80"/>
      <c r="Z1224" s="80"/>
      <c r="AA1224" s="153"/>
    </row>
    <row r="1225" spans="17:27" x14ac:dyDescent="0.25">
      <c r="Q1225" s="53"/>
      <c r="R1225" s="68"/>
      <c r="S1225" s="68"/>
      <c r="T1225" s="68"/>
      <c r="U1225" s="68"/>
      <c r="V1225" s="72"/>
      <c r="W1225" s="72"/>
      <c r="X1225" s="66"/>
      <c r="Y1225" s="80"/>
      <c r="Z1225" s="80"/>
      <c r="AA1225" s="153"/>
    </row>
    <row r="1226" spans="17:27" x14ac:dyDescent="0.25">
      <c r="Q1226" s="53"/>
      <c r="R1226" s="68"/>
      <c r="S1226" s="68"/>
      <c r="T1226" s="68"/>
      <c r="U1226" s="68"/>
      <c r="V1226" s="72"/>
      <c r="W1226" s="72"/>
      <c r="X1226" s="66"/>
      <c r="Y1226" s="80"/>
      <c r="Z1226" s="80"/>
      <c r="AA1226" s="153"/>
    </row>
    <row r="1227" spans="17:27" x14ac:dyDescent="0.25">
      <c r="Q1227" s="53"/>
      <c r="R1227" s="68"/>
      <c r="S1227" s="68"/>
      <c r="T1227" s="68"/>
      <c r="U1227" s="68"/>
      <c r="V1227" s="72"/>
      <c r="W1227" s="72"/>
      <c r="X1227" s="66"/>
      <c r="Y1227" s="80"/>
      <c r="Z1227" s="80"/>
      <c r="AA1227" s="153"/>
    </row>
    <row r="1228" spans="17:27" x14ac:dyDescent="0.25">
      <c r="Q1228" s="53"/>
      <c r="R1228" s="68"/>
      <c r="S1228" s="68"/>
      <c r="T1228" s="68"/>
      <c r="U1228" s="68"/>
      <c r="V1228" s="72"/>
      <c r="W1228" s="72"/>
      <c r="X1228" s="66"/>
      <c r="Y1228" s="80"/>
      <c r="Z1228" s="80"/>
      <c r="AA1228" s="153"/>
    </row>
    <row r="1229" spans="17:27" x14ac:dyDescent="0.25">
      <c r="Q1229" s="53"/>
      <c r="R1229" s="68"/>
      <c r="S1229" s="68"/>
      <c r="T1229" s="68"/>
      <c r="U1229" s="68"/>
      <c r="V1229" s="72"/>
      <c r="W1229" s="72"/>
      <c r="X1229" s="66"/>
      <c r="Y1229" s="80"/>
      <c r="Z1229" s="80"/>
      <c r="AA1229" s="153"/>
    </row>
    <row r="1230" spans="17:27" x14ac:dyDescent="0.25">
      <c r="Q1230" s="53"/>
      <c r="R1230" s="68"/>
      <c r="S1230" s="68"/>
      <c r="T1230" s="68"/>
      <c r="U1230" s="68"/>
      <c r="V1230" s="72"/>
      <c r="W1230" s="72"/>
      <c r="X1230" s="66"/>
      <c r="Y1230" s="80"/>
      <c r="Z1230" s="80"/>
      <c r="AA1230" s="153"/>
    </row>
    <row r="1231" spans="17:27" x14ac:dyDescent="0.25">
      <c r="Q1231" s="53"/>
      <c r="R1231" s="68"/>
      <c r="S1231" s="68"/>
      <c r="T1231" s="68"/>
      <c r="U1231" s="68"/>
      <c r="V1231" s="72"/>
      <c r="W1231" s="72"/>
      <c r="X1231" s="66"/>
      <c r="Y1231" s="80"/>
      <c r="Z1231" s="80"/>
      <c r="AA1231" s="153"/>
    </row>
    <row r="1232" spans="17:27" x14ac:dyDescent="0.25">
      <c r="Q1232" s="53"/>
      <c r="R1232" s="68"/>
      <c r="S1232" s="68"/>
      <c r="T1232" s="68"/>
      <c r="U1232" s="68"/>
      <c r="V1232" s="72"/>
      <c r="W1232" s="72"/>
      <c r="X1232" s="66"/>
      <c r="Y1232" s="80"/>
      <c r="Z1232" s="80"/>
      <c r="AA1232" s="153"/>
    </row>
    <row r="1233" spans="17:27" x14ac:dyDescent="0.25">
      <c r="Q1233" s="53"/>
      <c r="R1233" s="68"/>
      <c r="S1233" s="68"/>
      <c r="T1233" s="68"/>
      <c r="U1233" s="68"/>
      <c r="V1233" s="72"/>
      <c r="W1233" s="72"/>
      <c r="X1233" s="66"/>
      <c r="Y1233" s="80"/>
      <c r="Z1233" s="80"/>
      <c r="AA1233" s="153"/>
    </row>
    <row r="1234" spans="17:27" x14ac:dyDescent="0.25">
      <c r="Q1234" s="53"/>
      <c r="R1234" s="68"/>
      <c r="S1234" s="68"/>
      <c r="T1234" s="68"/>
      <c r="U1234" s="68"/>
      <c r="V1234" s="72"/>
      <c r="W1234" s="72"/>
      <c r="X1234" s="66"/>
      <c r="Y1234" s="80"/>
      <c r="Z1234" s="80"/>
      <c r="AA1234" s="153"/>
    </row>
    <row r="1235" spans="17:27" x14ac:dyDescent="0.25">
      <c r="Q1235" s="53"/>
      <c r="R1235" s="68"/>
      <c r="S1235" s="68"/>
      <c r="T1235" s="68"/>
      <c r="U1235" s="68"/>
      <c r="V1235" s="72"/>
      <c r="W1235" s="72"/>
      <c r="X1235" s="66"/>
      <c r="Y1235" s="80"/>
      <c r="Z1235" s="80"/>
      <c r="AA1235" s="153"/>
    </row>
    <row r="1236" spans="17:27" x14ac:dyDescent="0.25">
      <c r="Q1236" s="53"/>
      <c r="R1236" s="68"/>
      <c r="S1236" s="68"/>
      <c r="T1236" s="68"/>
      <c r="U1236" s="68"/>
      <c r="V1236" s="72"/>
      <c r="W1236" s="72"/>
      <c r="X1236" s="66"/>
      <c r="Y1236" s="80"/>
      <c r="Z1236" s="80"/>
      <c r="AA1236" s="153"/>
    </row>
    <row r="1237" spans="17:27" x14ac:dyDescent="0.25">
      <c r="Q1237" s="53"/>
      <c r="R1237" s="68"/>
      <c r="S1237" s="68"/>
      <c r="T1237" s="68"/>
      <c r="U1237" s="68"/>
      <c r="V1237" s="72"/>
      <c r="W1237" s="72"/>
      <c r="X1237" s="66"/>
      <c r="Y1237" s="80"/>
      <c r="Z1237" s="80"/>
      <c r="AA1237" s="153"/>
    </row>
    <row r="1238" spans="17:27" x14ac:dyDescent="0.25">
      <c r="Q1238" s="53"/>
      <c r="R1238" s="68"/>
      <c r="S1238" s="68"/>
      <c r="T1238" s="68"/>
      <c r="U1238" s="68"/>
      <c r="V1238" s="72"/>
      <c r="W1238" s="72"/>
      <c r="X1238" s="66"/>
      <c r="Y1238" s="80"/>
      <c r="Z1238" s="80"/>
      <c r="AA1238" s="153"/>
    </row>
    <row r="1239" spans="17:27" x14ac:dyDescent="0.25">
      <c r="Q1239" s="53"/>
      <c r="R1239" s="68"/>
      <c r="S1239" s="68"/>
      <c r="T1239" s="68"/>
      <c r="U1239" s="68"/>
      <c r="V1239" s="72"/>
      <c r="W1239" s="72"/>
      <c r="X1239" s="66"/>
      <c r="Y1239" s="80"/>
      <c r="Z1239" s="80"/>
      <c r="AA1239" s="153"/>
    </row>
    <row r="1240" spans="17:27" x14ac:dyDescent="0.25">
      <c r="Q1240" s="53"/>
      <c r="R1240" s="68"/>
      <c r="S1240" s="68"/>
      <c r="T1240" s="68"/>
      <c r="U1240" s="68"/>
      <c r="V1240" s="72"/>
      <c r="W1240" s="72"/>
      <c r="X1240" s="66"/>
      <c r="Y1240" s="80"/>
      <c r="Z1240" s="80"/>
      <c r="AA1240" s="153"/>
    </row>
    <row r="1241" spans="17:27" x14ac:dyDescent="0.25">
      <c r="Q1241" s="53"/>
      <c r="R1241" s="68"/>
      <c r="S1241" s="68"/>
      <c r="T1241" s="68"/>
      <c r="U1241" s="68"/>
      <c r="V1241" s="72"/>
      <c r="W1241" s="72"/>
      <c r="X1241" s="66"/>
      <c r="Y1241" s="80"/>
      <c r="Z1241" s="80"/>
      <c r="AA1241" s="153"/>
    </row>
    <row r="1242" spans="17:27" x14ac:dyDescent="0.25">
      <c r="Q1242" s="53"/>
      <c r="R1242" s="78"/>
      <c r="S1242" s="68"/>
      <c r="T1242" s="68"/>
      <c r="U1242" s="68"/>
      <c r="V1242" s="72"/>
      <c r="W1242" s="72"/>
      <c r="X1242" s="66"/>
      <c r="Y1242" s="87"/>
      <c r="Z1242" s="87"/>
      <c r="AA1242" s="87"/>
    </row>
    <row r="1243" spans="17:27" x14ac:dyDescent="0.25">
      <c r="Q1243" s="53"/>
      <c r="R1243" s="78"/>
      <c r="S1243" s="68"/>
      <c r="T1243" s="68"/>
      <c r="U1243" s="68"/>
      <c r="V1243" s="72"/>
      <c r="W1243" s="72"/>
      <c r="X1243" s="66"/>
      <c r="Y1243" s="87"/>
      <c r="Z1243" s="87"/>
      <c r="AA1243" s="87"/>
    </row>
    <row r="1244" spans="17:27" x14ac:dyDescent="0.25">
      <c r="Q1244" s="53"/>
      <c r="R1244" s="78"/>
      <c r="S1244" s="68"/>
      <c r="T1244" s="68"/>
      <c r="U1244" s="68"/>
      <c r="V1244" s="72"/>
      <c r="W1244" s="72"/>
      <c r="X1244" s="66"/>
      <c r="Y1244" s="87"/>
      <c r="Z1244" s="87"/>
      <c r="AA1244" s="87"/>
    </row>
    <row r="1245" spans="17:27" x14ac:dyDescent="0.25">
      <c r="Q1245" s="53"/>
      <c r="R1245" s="78"/>
      <c r="S1245" s="68"/>
      <c r="T1245" s="68"/>
      <c r="U1245" s="68"/>
      <c r="V1245" s="72"/>
      <c r="W1245" s="72"/>
      <c r="X1245" s="66"/>
      <c r="Y1245" s="87"/>
      <c r="Z1245" s="87"/>
      <c r="AA1245" s="87"/>
    </row>
    <row r="1246" spans="17:27" x14ac:dyDescent="0.25">
      <c r="Q1246" s="53"/>
      <c r="R1246" s="78"/>
      <c r="S1246" s="68"/>
      <c r="T1246" s="68"/>
      <c r="U1246" s="68"/>
      <c r="V1246" s="72"/>
      <c r="W1246" s="72"/>
      <c r="X1246" s="66"/>
      <c r="Y1246" s="87"/>
      <c r="Z1246" s="87"/>
      <c r="AA1246" s="87"/>
    </row>
    <row r="1247" spans="17:27" x14ac:dyDescent="0.25">
      <c r="Q1247" s="53"/>
      <c r="R1247" s="78"/>
      <c r="S1247" s="68"/>
      <c r="T1247" s="68"/>
      <c r="U1247" s="68"/>
      <c r="V1247" s="72"/>
      <c r="W1247" s="72"/>
      <c r="X1247" s="66"/>
      <c r="Y1247" s="87"/>
      <c r="Z1247" s="87"/>
      <c r="AA1247" s="87"/>
    </row>
    <row r="1248" spans="17:27" x14ac:dyDescent="0.25">
      <c r="Q1248" s="53"/>
      <c r="R1248" s="78"/>
      <c r="S1248" s="68"/>
      <c r="T1248" s="68"/>
      <c r="U1248" s="68"/>
      <c r="V1248" s="72"/>
      <c r="W1248" s="72"/>
      <c r="X1248" s="66"/>
      <c r="Y1248" s="87"/>
      <c r="Z1248" s="87"/>
      <c r="AA1248" s="87"/>
    </row>
    <row r="1249" spans="17:27" x14ac:dyDescent="0.25">
      <c r="Q1249" s="53"/>
      <c r="R1249" s="78"/>
      <c r="S1249" s="68"/>
      <c r="T1249" s="68"/>
      <c r="U1249" s="68"/>
      <c r="V1249" s="72"/>
      <c r="W1249" s="72"/>
      <c r="X1249" s="66"/>
      <c r="Y1249" s="87"/>
      <c r="Z1249" s="87"/>
      <c r="AA1249" s="87"/>
    </row>
    <row r="1250" spans="17:27" x14ac:dyDescent="0.25">
      <c r="Q1250" s="53"/>
      <c r="R1250" s="78"/>
      <c r="S1250" s="68"/>
      <c r="T1250" s="68"/>
      <c r="U1250" s="68"/>
      <c r="V1250" s="72"/>
      <c r="W1250" s="72"/>
      <c r="X1250" s="66"/>
      <c r="Y1250" s="87"/>
      <c r="Z1250" s="87"/>
      <c r="AA1250" s="87"/>
    </row>
    <row r="1251" spans="17:27" x14ac:dyDescent="0.25">
      <c r="Q1251" s="53"/>
      <c r="R1251" s="66"/>
      <c r="S1251" s="68"/>
      <c r="T1251" s="68"/>
      <c r="U1251" s="68"/>
      <c r="V1251" s="72"/>
      <c r="W1251" s="72"/>
      <c r="X1251" s="66"/>
      <c r="Y1251" s="80"/>
      <c r="Z1251" s="80"/>
      <c r="AA1251" s="153"/>
    </row>
    <row r="1252" spans="17:27" x14ac:dyDescent="0.25">
      <c r="Q1252" s="53"/>
      <c r="R1252" s="78"/>
      <c r="S1252" s="68"/>
      <c r="T1252" s="68"/>
      <c r="U1252" s="68"/>
      <c r="V1252" s="72"/>
      <c r="W1252" s="72"/>
      <c r="X1252" s="66"/>
      <c r="Y1252" s="87"/>
      <c r="Z1252" s="87"/>
      <c r="AA1252" s="87"/>
    </row>
    <row r="1253" spans="17:27" x14ac:dyDescent="0.25">
      <c r="Q1253" s="53"/>
      <c r="R1253" s="78"/>
      <c r="S1253" s="68"/>
      <c r="T1253" s="68"/>
      <c r="U1253" s="68"/>
      <c r="V1253" s="72"/>
      <c r="W1253" s="72"/>
      <c r="X1253" s="66"/>
      <c r="Y1253" s="87"/>
      <c r="Z1253" s="87"/>
      <c r="AA1253" s="87"/>
    </row>
    <row r="1254" spans="17:27" x14ac:dyDescent="0.25">
      <c r="Q1254" s="53"/>
      <c r="R1254" s="78"/>
      <c r="S1254" s="68"/>
      <c r="T1254" s="68"/>
      <c r="U1254" s="68"/>
      <c r="V1254" s="72"/>
      <c r="W1254" s="72"/>
      <c r="X1254" s="66"/>
      <c r="Y1254" s="87"/>
      <c r="Z1254" s="87"/>
      <c r="AA1254" s="87"/>
    </row>
    <row r="1255" spans="17:27" x14ac:dyDescent="0.25">
      <c r="Q1255" s="53"/>
      <c r="R1255" s="78"/>
      <c r="S1255" s="68"/>
      <c r="T1255" s="68"/>
      <c r="U1255" s="68"/>
      <c r="V1255" s="72"/>
      <c r="W1255" s="72"/>
      <c r="X1255" s="66"/>
      <c r="Y1255" s="87"/>
      <c r="Z1255" s="87"/>
      <c r="AA1255" s="87"/>
    </row>
    <row r="1256" spans="17:27" x14ac:dyDescent="0.25">
      <c r="Q1256" s="53"/>
      <c r="R1256" s="78"/>
      <c r="S1256" s="68"/>
      <c r="T1256" s="68"/>
      <c r="U1256" s="68"/>
      <c r="V1256" s="72"/>
      <c r="W1256" s="72"/>
      <c r="X1256" s="66"/>
      <c r="Y1256" s="87"/>
      <c r="Z1256" s="87"/>
      <c r="AA1256" s="87"/>
    </row>
    <row r="1257" spans="17:27" x14ac:dyDescent="0.25">
      <c r="Q1257" s="53"/>
      <c r="R1257" s="78"/>
      <c r="S1257" s="68"/>
      <c r="T1257" s="68"/>
      <c r="U1257" s="68"/>
      <c r="V1257" s="72"/>
      <c r="W1257" s="72"/>
      <c r="X1257" s="66"/>
      <c r="Y1257" s="87"/>
      <c r="Z1257" s="87"/>
      <c r="AA1257" s="87"/>
    </row>
    <row r="1258" spans="17:27" x14ac:dyDescent="0.25">
      <c r="Q1258" s="53"/>
      <c r="R1258" s="78"/>
      <c r="S1258" s="68"/>
      <c r="T1258" s="68"/>
      <c r="U1258" s="68"/>
      <c r="V1258" s="72"/>
      <c r="W1258" s="72"/>
      <c r="X1258" s="66"/>
      <c r="Y1258" s="87"/>
      <c r="Z1258" s="87"/>
      <c r="AA1258" s="87"/>
    </row>
    <row r="1259" spans="17:27" x14ac:dyDescent="0.25">
      <c r="Q1259" s="53"/>
      <c r="R1259" s="78"/>
      <c r="S1259" s="68"/>
      <c r="T1259" s="68"/>
      <c r="U1259" s="68"/>
      <c r="V1259" s="72"/>
      <c r="W1259" s="72"/>
      <c r="X1259" s="66"/>
      <c r="Y1259" s="87"/>
      <c r="Z1259" s="87"/>
      <c r="AA1259" s="87"/>
    </row>
    <row r="1260" spans="17:27" x14ac:dyDescent="0.25">
      <c r="Q1260" s="53"/>
      <c r="R1260" s="78"/>
      <c r="S1260" s="68"/>
      <c r="T1260" s="68"/>
      <c r="U1260" s="68"/>
      <c r="V1260" s="72"/>
      <c r="W1260" s="72"/>
      <c r="X1260" s="66"/>
      <c r="Y1260" s="87"/>
      <c r="Z1260" s="87"/>
      <c r="AA1260" s="87"/>
    </row>
    <row r="1261" spans="17:27" x14ac:dyDescent="0.25">
      <c r="Q1261" s="53"/>
      <c r="R1261" s="78"/>
      <c r="S1261" s="68"/>
      <c r="T1261" s="68"/>
      <c r="U1261" s="68"/>
      <c r="V1261" s="72"/>
      <c r="W1261" s="72"/>
      <c r="X1261" s="66"/>
      <c r="Y1261" s="87"/>
      <c r="Z1261" s="87"/>
      <c r="AA1261" s="87"/>
    </row>
    <row r="1262" spans="17:27" x14ac:dyDescent="0.25">
      <c r="Q1262" s="53"/>
      <c r="R1262" s="68"/>
      <c r="S1262" s="68"/>
      <c r="T1262" s="68"/>
      <c r="U1262" s="68"/>
      <c r="V1262" s="72"/>
      <c r="W1262" s="72"/>
      <c r="X1262" s="66"/>
      <c r="Y1262" s="87"/>
      <c r="Z1262" s="87"/>
      <c r="AA1262" s="87"/>
    </row>
    <row r="1263" spans="17:27" x14ac:dyDescent="0.25">
      <c r="Q1263" s="53"/>
      <c r="R1263" s="68"/>
      <c r="S1263" s="68"/>
      <c r="T1263" s="68"/>
      <c r="U1263" s="68"/>
      <c r="V1263" s="72"/>
      <c r="W1263" s="72"/>
      <c r="X1263" s="66"/>
      <c r="Y1263" s="80"/>
      <c r="Z1263" s="80"/>
      <c r="AA1263" s="153"/>
    </row>
    <row r="1264" spans="17:27" x14ac:dyDescent="0.25">
      <c r="Q1264" s="53"/>
      <c r="R1264" s="68"/>
      <c r="S1264" s="68"/>
      <c r="T1264" s="68"/>
      <c r="U1264" s="68"/>
      <c r="V1264" s="72"/>
      <c r="W1264" s="72"/>
      <c r="X1264" s="66"/>
      <c r="Y1264" s="80"/>
      <c r="Z1264" s="80"/>
      <c r="AA1264" s="153"/>
    </row>
    <row r="1265" spans="17:27" x14ac:dyDescent="0.25">
      <c r="Q1265" s="53"/>
      <c r="R1265" s="68"/>
      <c r="S1265" s="68"/>
      <c r="T1265" s="68"/>
      <c r="U1265" s="68"/>
      <c r="V1265" s="72"/>
      <c r="W1265" s="72"/>
      <c r="X1265" s="66"/>
      <c r="Y1265" s="80"/>
      <c r="Z1265" s="80"/>
      <c r="AA1265" s="153"/>
    </row>
    <row r="1266" spans="17:27" x14ac:dyDescent="0.25">
      <c r="Q1266" s="53"/>
      <c r="R1266" s="68"/>
      <c r="S1266" s="68"/>
      <c r="T1266" s="68"/>
      <c r="U1266" s="68"/>
      <c r="V1266" s="72"/>
      <c r="W1266" s="72"/>
      <c r="X1266" s="66"/>
      <c r="Y1266" s="80"/>
      <c r="Z1266" s="80"/>
      <c r="AA1266" s="153"/>
    </row>
    <row r="1267" spans="17:27" x14ac:dyDescent="0.25">
      <c r="Q1267" s="53"/>
      <c r="R1267" s="68"/>
      <c r="S1267" s="68"/>
      <c r="T1267" s="68"/>
      <c r="U1267" s="68"/>
      <c r="V1267" s="72"/>
      <c r="W1267" s="72"/>
      <c r="X1267" s="66"/>
      <c r="Y1267" s="80"/>
      <c r="Z1267" s="80"/>
      <c r="AA1267" s="153"/>
    </row>
    <row r="1268" spans="17:27" x14ac:dyDescent="0.25">
      <c r="Q1268" s="53"/>
      <c r="R1268" s="68"/>
      <c r="S1268" s="68"/>
      <c r="T1268" s="68"/>
      <c r="U1268" s="68"/>
      <c r="V1268" s="72"/>
      <c r="W1268" s="72"/>
      <c r="X1268" s="66"/>
      <c r="Y1268" s="80"/>
      <c r="Z1268" s="80"/>
      <c r="AA1268" s="153"/>
    </row>
    <row r="1269" spans="17:27" x14ac:dyDescent="0.25">
      <c r="Q1269" s="53"/>
      <c r="R1269" s="68"/>
      <c r="S1269" s="68"/>
      <c r="T1269" s="68"/>
      <c r="U1269" s="68"/>
      <c r="V1269" s="72"/>
      <c r="W1269" s="72"/>
      <c r="X1269" s="66"/>
      <c r="Y1269" s="80"/>
      <c r="Z1269" s="80"/>
      <c r="AA1269" s="153"/>
    </row>
    <row r="1270" spans="17:27" x14ac:dyDescent="0.25">
      <c r="Q1270" s="53"/>
      <c r="R1270" s="68"/>
      <c r="S1270" s="68"/>
      <c r="T1270" s="68"/>
      <c r="U1270" s="68"/>
      <c r="V1270" s="72"/>
      <c r="W1270" s="72"/>
      <c r="X1270" s="66"/>
      <c r="Y1270" s="80"/>
      <c r="Z1270" s="80"/>
      <c r="AA1270" s="153"/>
    </row>
    <row r="1271" spans="17:27" x14ac:dyDescent="0.25">
      <c r="Q1271" s="53"/>
      <c r="R1271" s="68"/>
      <c r="S1271" s="68"/>
      <c r="T1271" s="68"/>
      <c r="U1271" s="68"/>
      <c r="V1271" s="72"/>
      <c r="W1271" s="72"/>
      <c r="X1271" s="66"/>
      <c r="Y1271" s="80"/>
      <c r="Z1271" s="80"/>
      <c r="AA1271" s="153"/>
    </row>
    <row r="1272" spans="17:27" x14ac:dyDescent="0.25">
      <c r="Q1272" s="53"/>
      <c r="R1272" s="78"/>
      <c r="S1272" s="68"/>
      <c r="T1272" s="68"/>
      <c r="U1272" s="68"/>
      <c r="V1272" s="72"/>
      <c r="W1272" s="72"/>
      <c r="X1272" s="66"/>
      <c r="Y1272" s="87"/>
      <c r="Z1272" s="87"/>
      <c r="AA1272" s="87"/>
    </row>
    <row r="1273" spans="17:27" x14ac:dyDescent="0.25">
      <c r="Q1273" s="53"/>
      <c r="R1273" s="78"/>
      <c r="S1273" s="68"/>
      <c r="T1273" s="68"/>
      <c r="U1273" s="68"/>
      <c r="V1273" s="72"/>
      <c r="W1273" s="72"/>
      <c r="X1273" s="66"/>
      <c r="Y1273" s="87"/>
      <c r="Z1273" s="87"/>
      <c r="AA1273" s="87"/>
    </row>
    <row r="1274" spans="17:27" x14ac:dyDescent="0.25">
      <c r="Q1274" s="53"/>
      <c r="R1274" s="78"/>
      <c r="S1274" s="68"/>
      <c r="T1274" s="68"/>
      <c r="U1274" s="68"/>
      <c r="V1274" s="72"/>
      <c r="W1274" s="72"/>
      <c r="X1274" s="66"/>
      <c r="Y1274" s="87"/>
      <c r="Z1274" s="87"/>
      <c r="AA1274" s="87"/>
    </row>
    <row r="1275" spans="17:27" x14ac:dyDescent="0.25">
      <c r="Q1275" s="53"/>
      <c r="R1275" s="78"/>
      <c r="S1275" s="68"/>
      <c r="T1275" s="68"/>
      <c r="U1275" s="68"/>
      <c r="V1275" s="72"/>
      <c r="W1275" s="72"/>
      <c r="X1275" s="66"/>
      <c r="Y1275" s="87"/>
      <c r="Z1275" s="87"/>
      <c r="AA1275" s="87"/>
    </row>
    <row r="1276" spans="17:27" x14ac:dyDescent="0.25">
      <c r="Q1276" s="53"/>
      <c r="R1276" s="78"/>
      <c r="S1276" s="68"/>
      <c r="T1276" s="68"/>
      <c r="U1276" s="68"/>
      <c r="V1276" s="72"/>
      <c r="W1276" s="72"/>
      <c r="X1276" s="66"/>
      <c r="Y1276" s="87"/>
      <c r="Z1276" s="87"/>
      <c r="AA1276" s="87"/>
    </row>
    <row r="1277" spans="17:27" x14ac:dyDescent="0.25">
      <c r="Q1277" s="53"/>
      <c r="R1277" s="78"/>
      <c r="S1277" s="68"/>
      <c r="T1277" s="68"/>
      <c r="U1277" s="68"/>
      <c r="V1277" s="72"/>
      <c r="W1277" s="72"/>
      <c r="X1277" s="66"/>
      <c r="Y1277" s="87"/>
      <c r="Z1277" s="87"/>
      <c r="AA1277" s="87"/>
    </row>
    <row r="1278" spans="17:27" x14ac:dyDescent="0.25">
      <c r="Q1278" s="53"/>
      <c r="R1278" s="78"/>
      <c r="S1278" s="68"/>
      <c r="T1278" s="68"/>
      <c r="U1278" s="68"/>
      <c r="V1278" s="72"/>
      <c r="W1278" s="72"/>
      <c r="X1278" s="66"/>
      <c r="Y1278" s="87"/>
      <c r="Z1278" s="87"/>
      <c r="AA1278" s="87"/>
    </row>
    <row r="1279" spans="17:27" x14ac:dyDescent="0.25">
      <c r="Q1279" s="53"/>
      <c r="R1279" s="78"/>
      <c r="S1279" s="68"/>
      <c r="T1279" s="68"/>
      <c r="U1279" s="68"/>
      <c r="V1279" s="72"/>
      <c r="W1279" s="72"/>
      <c r="X1279" s="66"/>
      <c r="Y1279" s="87"/>
      <c r="Z1279" s="87"/>
      <c r="AA1279" s="87"/>
    </row>
    <row r="1280" spans="17:27" x14ac:dyDescent="0.25">
      <c r="Q1280" s="53"/>
      <c r="R1280" s="78"/>
      <c r="S1280" s="68"/>
      <c r="T1280" s="68"/>
      <c r="U1280" s="68"/>
      <c r="V1280" s="72"/>
      <c r="W1280" s="72"/>
      <c r="X1280" s="66"/>
      <c r="Y1280" s="87"/>
      <c r="Z1280" s="87"/>
      <c r="AA1280" s="87"/>
    </row>
    <row r="1281" spans="17:27" x14ac:dyDescent="0.25">
      <c r="Q1281" s="53"/>
      <c r="R1281" s="78"/>
      <c r="S1281" s="68"/>
      <c r="T1281" s="68"/>
      <c r="U1281" s="68"/>
      <c r="V1281" s="72"/>
      <c r="W1281" s="72"/>
      <c r="X1281" s="66"/>
      <c r="Y1281" s="87"/>
      <c r="Z1281" s="87"/>
      <c r="AA1281" s="87"/>
    </row>
    <row r="1282" spans="17:27" x14ac:dyDescent="0.25">
      <c r="Q1282" s="53"/>
      <c r="R1282" s="78"/>
      <c r="S1282" s="68"/>
      <c r="T1282" s="68"/>
      <c r="U1282" s="68"/>
      <c r="V1282" s="72"/>
      <c r="W1282" s="72"/>
      <c r="X1282" s="66"/>
      <c r="Y1282" s="87"/>
      <c r="Z1282" s="87"/>
      <c r="AA1282" s="87"/>
    </row>
    <row r="1283" spans="17:27" x14ac:dyDescent="0.25">
      <c r="Q1283" s="53"/>
      <c r="R1283" s="78"/>
      <c r="S1283" s="68"/>
      <c r="T1283" s="68"/>
      <c r="U1283" s="68"/>
      <c r="V1283" s="72"/>
      <c r="W1283" s="72"/>
      <c r="X1283" s="66"/>
      <c r="Y1283" s="87"/>
      <c r="Z1283" s="87"/>
      <c r="AA1283" s="87"/>
    </row>
    <row r="1284" spans="17:27" x14ac:dyDescent="0.25">
      <c r="Q1284" s="53"/>
      <c r="R1284" s="78"/>
      <c r="S1284" s="68"/>
      <c r="T1284" s="68"/>
      <c r="U1284" s="68"/>
      <c r="V1284" s="72"/>
      <c r="W1284" s="72"/>
      <c r="X1284" s="66"/>
      <c r="Y1284" s="87"/>
      <c r="Z1284" s="87"/>
      <c r="AA1284" s="87"/>
    </row>
    <row r="1285" spans="17:27" x14ac:dyDescent="0.25">
      <c r="Q1285" s="53"/>
      <c r="R1285" s="78"/>
      <c r="S1285" s="68"/>
      <c r="T1285" s="68"/>
      <c r="U1285" s="68"/>
      <c r="V1285" s="72"/>
      <c r="W1285" s="72"/>
      <c r="X1285" s="66"/>
      <c r="Y1285" s="87"/>
      <c r="Z1285" s="87"/>
      <c r="AA1285" s="87"/>
    </row>
    <row r="1286" spans="17:27" x14ac:dyDescent="0.25">
      <c r="Q1286" s="53"/>
      <c r="R1286" s="78"/>
      <c r="S1286" s="68"/>
      <c r="T1286" s="68"/>
      <c r="U1286" s="68"/>
      <c r="V1286" s="72"/>
      <c r="W1286" s="72"/>
      <c r="X1286" s="66"/>
      <c r="Y1286" s="87"/>
      <c r="Z1286" s="87"/>
      <c r="AA1286" s="87"/>
    </row>
    <row r="1287" spans="17:27" x14ac:dyDescent="0.25">
      <c r="Q1287" s="53"/>
      <c r="R1287" s="78"/>
      <c r="S1287" s="68"/>
      <c r="T1287" s="68"/>
      <c r="U1287" s="68"/>
      <c r="V1287" s="72"/>
      <c r="W1287" s="72"/>
      <c r="X1287" s="66"/>
      <c r="Y1287" s="87"/>
      <c r="Z1287" s="87"/>
      <c r="AA1287" s="87"/>
    </row>
    <row r="1288" spans="17:27" x14ac:dyDescent="0.25">
      <c r="Q1288" s="53"/>
      <c r="R1288" s="78"/>
      <c r="S1288" s="68"/>
      <c r="T1288" s="68"/>
      <c r="U1288" s="68"/>
      <c r="V1288" s="72"/>
      <c r="W1288" s="72"/>
      <c r="X1288" s="66"/>
      <c r="Y1288" s="87"/>
      <c r="Z1288" s="87"/>
      <c r="AA1288" s="87"/>
    </row>
    <row r="1289" spans="17:27" x14ac:dyDescent="0.25">
      <c r="Q1289" s="53"/>
      <c r="R1289" s="78"/>
      <c r="S1289" s="68"/>
      <c r="T1289" s="68"/>
      <c r="U1289" s="68"/>
      <c r="V1289" s="72"/>
      <c r="W1289" s="72"/>
      <c r="X1289" s="66"/>
      <c r="Y1289" s="87"/>
      <c r="Z1289" s="87"/>
      <c r="AA1289" s="87"/>
    </row>
    <row r="1290" spans="17:27" x14ac:dyDescent="0.25">
      <c r="Q1290" s="53"/>
      <c r="R1290" s="78"/>
      <c r="S1290" s="68"/>
      <c r="T1290" s="68"/>
      <c r="U1290" s="68"/>
      <c r="V1290" s="72"/>
      <c r="W1290" s="72"/>
      <c r="X1290" s="66"/>
      <c r="Y1290" s="87"/>
      <c r="Z1290" s="87"/>
      <c r="AA1290" s="87"/>
    </row>
    <row r="1291" spans="17:27" x14ac:dyDescent="0.25">
      <c r="Q1291" s="53"/>
      <c r="R1291" s="78"/>
      <c r="S1291" s="68"/>
      <c r="T1291" s="68"/>
      <c r="U1291" s="68"/>
      <c r="V1291" s="72"/>
      <c r="W1291" s="72"/>
      <c r="X1291" s="66"/>
      <c r="Y1291" s="87"/>
      <c r="Z1291" s="87"/>
      <c r="AA1291" s="87"/>
    </row>
    <row r="1292" spans="17:27" x14ac:dyDescent="0.25">
      <c r="Q1292" s="53"/>
      <c r="R1292" s="78"/>
      <c r="S1292" s="68"/>
      <c r="T1292" s="68"/>
      <c r="U1292" s="68"/>
      <c r="V1292" s="72"/>
      <c r="W1292" s="72"/>
      <c r="X1292" s="66"/>
      <c r="Y1292" s="87"/>
      <c r="Z1292" s="87"/>
      <c r="AA1292" s="87"/>
    </row>
    <row r="1293" spans="17:27" x14ac:dyDescent="0.25">
      <c r="Q1293" s="53"/>
      <c r="R1293" s="78"/>
      <c r="S1293" s="68"/>
      <c r="T1293" s="68"/>
      <c r="U1293" s="68"/>
      <c r="V1293" s="72"/>
      <c r="W1293" s="72"/>
      <c r="X1293" s="66"/>
      <c r="Y1293" s="87"/>
      <c r="Z1293" s="87"/>
      <c r="AA1293" s="87"/>
    </row>
    <row r="1294" spans="17:27" x14ac:dyDescent="0.25">
      <c r="Q1294" s="53"/>
      <c r="R1294" s="78"/>
      <c r="S1294" s="68"/>
      <c r="T1294" s="68"/>
      <c r="U1294" s="68"/>
      <c r="V1294" s="72"/>
      <c r="W1294" s="72"/>
      <c r="X1294" s="66"/>
      <c r="Y1294" s="87"/>
      <c r="Z1294" s="87"/>
      <c r="AA1294" s="87"/>
    </row>
    <row r="1295" spans="17:27" x14ac:dyDescent="0.25">
      <c r="Q1295" s="53"/>
      <c r="R1295" s="78"/>
      <c r="S1295" s="68"/>
      <c r="T1295" s="68"/>
      <c r="U1295" s="68"/>
      <c r="V1295" s="72"/>
      <c r="W1295" s="72"/>
      <c r="X1295" s="66"/>
      <c r="Y1295" s="87"/>
      <c r="Z1295" s="87"/>
      <c r="AA1295" s="87"/>
    </row>
    <row r="1296" spans="17:27" x14ac:dyDescent="0.25">
      <c r="Q1296" s="53"/>
      <c r="R1296" s="78"/>
      <c r="S1296" s="68"/>
      <c r="T1296" s="68"/>
      <c r="U1296" s="68"/>
      <c r="V1296" s="72"/>
      <c r="W1296" s="72"/>
      <c r="X1296" s="66"/>
      <c r="Y1296" s="87"/>
      <c r="Z1296" s="87"/>
      <c r="AA1296" s="87"/>
    </row>
    <row r="1297" spans="17:27" x14ac:dyDescent="0.25">
      <c r="Q1297" s="53"/>
      <c r="R1297" s="78"/>
      <c r="S1297" s="68"/>
      <c r="T1297" s="68"/>
      <c r="U1297" s="68"/>
      <c r="V1297" s="72"/>
      <c r="W1297" s="72"/>
      <c r="X1297" s="66"/>
      <c r="Y1297" s="87"/>
      <c r="Z1297" s="87"/>
      <c r="AA1297" s="87"/>
    </row>
    <row r="1298" spans="17:27" x14ac:dyDescent="0.25">
      <c r="Q1298" s="53"/>
      <c r="R1298" s="78"/>
      <c r="S1298" s="68"/>
      <c r="T1298" s="68"/>
      <c r="U1298" s="68"/>
      <c r="V1298" s="72"/>
      <c r="W1298" s="72"/>
      <c r="X1298" s="66"/>
      <c r="Y1298" s="87"/>
      <c r="Z1298" s="87"/>
      <c r="AA1298" s="87"/>
    </row>
    <row r="1299" spans="17:27" x14ac:dyDescent="0.25">
      <c r="Q1299" s="53"/>
      <c r="R1299" s="78"/>
      <c r="S1299" s="68"/>
      <c r="T1299" s="68"/>
      <c r="U1299" s="68"/>
      <c r="V1299" s="72"/>
      <c r="W1299" s="72"/>
      <c r="X1299" s="66"/>
      <c r="Y1299" s="87"/>
      <c r="Z1299" s="87"/>
      <c r="AA1299" s="87"/>
    </row>
    <row r="1300" spans="17:27" x14ac:dyDescent="0.25">
      <c r="Q1300" s="53"/>
      <c r="R1300" s="78"/>
      <c r="S1300" s="68"/>
      <c r="T1300" s="68"/>
      <c r="U1300" s="68"/>
      <c r="V1300" s="72"/>
      <c r="W1300" s="72"/>
      <c r="X1300" s="66"/>
      <c r="Y1300" s="87"/>
      <c r="Z1300" s="87"/>
      <c r="AA1300" s="87"/>
    </row>
    <row r="1301" spans="17:27" x14ac:dyDescent="0.25">
      <c r="Q1301" s="53"/>
      <c r="R1301" s="68"/>
      <c r="S1301" s="68"/>
      <c r="T1301" s="68"/>
      <c r="U1301" s="68"/>
      <c r="V1301" s="72"/>
      <c r="W1301" s="72"/>
      <c r="X1301" s="66"/>
      <c r="Y1301" s="87"/>
      <c r="Z1301" s="87"/>
      <c r="AA1301" s="87"/>
    </row>
    <row r="1302" spans="17:27" x14ac:dyDescent="0.25">
      <c r="Q1302" s="53"/>
      <c r="R1302" s="68"/>
      <c r="S1302" s="68"/>
      <c r="T1302" s="68"/>
      <c r="U1302" s="68"/>
      <c r="V1302" s="72"/>
      <c r="W1302" s="72"/>
      <c r="X1302" s="66"/>
      <c r="Y1302" s="87"/>
      <c r="Z1302" s="87"/>
      <c r="AA1302" s="87"/>
    </row>
    <row r="1303" spans="17:27" x14ac:dyDescent="0.25">
      <c r="Q1303" s="53"/>
      <c r="R1303" s="78"/>
      <c r="S1303" s="68"/>
      <c r="T1303" s="68"/>
      <c r="U1303" s="68"/>
      <c r="V1303" s="72"/>
      <c r="W1303" s="72"/>
      <c r="X1303" s="66"/>
      <c r="Y1303" s="87"/>
      <c r="Z1303" s="87"/>
      <c r="AA1303" s="87"/>
    </row>
    <row r="1304" spans="17:27" x14ac:dyDescent="0.25">
      <c r="Q1304" s="53"/>
      <c r="R1304" s="78"/>
      <c r="S1304" s="68"/>
      <c r="T1304" s="68"/>
      <c r="U1304" s="68"/>
      <c r="V1304" s="72"/>
      <c r="W1304" s="72"/>
      <c r="X1304" s="66"/>
      <c r="Y1304" s="87"/>
      <c r="Z1304" s="87"/>
      <c r="AA1304" s="87"/>
    </row>
    <row r="1305" spans="17:27" x14ac:dyDescent="0.25">
      <c r="Q1305" s="53"/>
      <c r="R1305" s="78"/>
      <c r="S1305" s="68"/>
      <c r="T1305" s="68"/>
      <c r="U1305" s="68"/>
      <c r="V1305" s="72"/>
      <c r="W1305" s="72"/>
      <c r="X1305" s="66"/>
      <c r="Y1305" s="87"/>
      <c r="Z1305" s="87"/>
      <c r="AA1305" s="87"/>
    </row>
    <row r="1306" spans="17:27" x14ac:dyDescent="0.25">
      <c r="Q1306" s="53"/>
      <c r="R1306" s="68"/>
      <c r="S1306" s="68"/>
      <c r="T1306" s="68"/>
      <c r="U1306" s="68"/>
      <c r="V1306" s="72"/>
      <c r="W1306" s="72"/>
      <c r="X1306" s="66"/>
      <c r="Y1306" s="80"/>
      <c r="Z1306" s="80"/>
      <c r="AA1306" s="153"/>
    </row>
    <row r="1307" spans="17:27" x14ac:dyDescent="0.25">
      <c r="Q1307" s="53"/>
      <c r="R1307" s="68"/>
      <c r="S1307" s="68"/>
      <c r="T1307" s="68"/>
      <c r="U1307" s="68"/>
      <c r="V1307" s="72"/>
      <c r="W1307" s="72"/>
      <c r="X1307" s="66"/>
      <c r="Y1307" s="80"/>
      <c r="Z1307" s="80"/>
      <c r="AA1307" s="153"/>
    </row>
    <row r="1308" spans="17:27" x14ac:dyDescent="0.25">
      <c r="Q1308" s="53"/>
      <c r="R1308" s="68"/>
      <c r="S1308" s="68"/>
      <c r="T1308" s="68"/>
      <c r="U1308" s="68"/>
      <c r="V1308" s="72"/>
      <c r="W1308" s="72"/>
      <c r="X1308" s="66"/>
      <c r="Y1308" s="80"/>
      <c r="Z1308" s="80"/>
      <c r="AA1308" s="153"/>
    </row>
    <row r="1309" spans="17:27" x14ac:dyDescent="0.25">
      <c r="Q1309" s="53"/>
      <c r="R1309" s="68"/>
      <c r="S1309" s="68"/>
      <c r="T1309" s="68"/>
      <c r="U1309" s="68"/>
      <c r="V1309" s="72"/>
      <c r="W1309" s="72"/>
      <c r="X1309" s="66"/>
      <c r="Y1309" s="80"/>
      <c r="Z1309" s="80"/>
      <c r="AA1309" s="153"/>
    </row>
    <row r="1310" spans="17:27" x14ac:dyDescent="0.25">
      <c r="Q1310" s="53"/>
      <c r="R1310" s="68"/>
      <c r="S1310" s="68"/>
      <c r="T1310" s="68"/>
      <c r="U1310" s="68"/>
      <c r="V1310" s="72"/>
      <c r="W1310" s="72"/>
      <c r="X1310" s="66"/>
      <c r="Y1310" s="80"/>
      <c r="Z1310" s="80"/>
      <c r="AA1310" s="153"/>
    </row>
    <row r="1311" spans="17:27" x14ac:dyDescent="0.25">
      <c r="Q1311" s="53"/>
      <c r="R1311" s="68"/>
      <c r="S1311" s="68"/>
      <c r="T1311" s="68"/>
      <c r="U1311" s="68"/>
      <c r="V1311" s="72"/>
      <c r="W1311" s="72"/>
      <c r="X1311" s="66"/>
      <c r="Y1311" s="80"/>
      <c r="Z1311" s="80"/>
      <c r="AA1311" s="153"/>
    </row>
    <row r="1312" spans="17:27" x14ac:dyDescent="0.25">
      <c r="Q1312" s="53"/>
      <c r="R1312" s="68"/>
      <c r="S1312" s="68"/>
      <c r="T1312" s="68"/>
      <c r="U1312" s="68"/>
      <c r="V1312" s="72"/>
      <c r="W1312" s="72"/>
      <c r="X1312" s="66"/>
      <c r="Y1312" s="80"/>
      <c r="Z1312" s="80"/>
      <c r="AA1312" s="153"/>
    </row>
    <row r="1313" spans="17:27" x14ac:dyDescent="0.25">
      <c r="Q1313" s="53"/>
      <c r="R1313" s="68"/>
      <c r="S1313" s="68"/>
      <c r="T1313" s="68"/>
      <c r="U1313" s="68"/>
      <c r="V1313" s="72"/>
      <c r="W1313" s="72"/>
      <c r="X1313" s="66"/>
      <c r="Y1313" s="80"/>
      <c r="Z1313" s="80"/>
      <c r="AA1313" s="153"/>
    </row>
    <row r="1314" spans="17:27" x14ac:dyDescent="0.25">
      <c r="Q1314" s="53"/>
      <c r="R1314" s="68"/>
      <c r="S1314" s="68"/>
      <c r="T1314" s="68"/>
      <c r="U1314" s="68"/>
      <c r="V1314" s="72"/>
      <c r="W1314" s="72"/>
      <c r="X1314" s="66"/>
      <c r="Y1314" s="80"/>
      <c r="Z1314" s="80"/>
      <c r="AA1314" s="153"/>
    </row>
    <row r="1315" spans="17:27" x14ac:dyDescent="0.25">
      <c r="Q1315" s="53"/>
      <c r="R1315" s="68"/>
      <c r="S1315" s="68"/>
      <c r="T1315" s="68"/>
      <c r="U1315" s="68"/>
      <c r="V1315" s="72"/>
      <c r="W1315" s="72"/>
      <c r="X1315" s="66"/>
      <c r="Y1315" s="80"/>
      <c r="Z1315" s="80"/>
      <c r="AA1315" s="153"/>
    </row>
    <row r="1316" spans="17:27" x14ac:dyDescent="0.25">
      <c r="Q1316" s="53"/>
      <c r="R1316" s="68"/>
      <c r="S1316" s="68"/>
      <c r="T1316" s="68"/>
      <c r="U1316" s="68"/>
      <c r="V1316" s="72"/>
      <c r="W1316" s="72"/>
      <c r="X1316" s="66"/>
      <c r="Y1316" s="80"/>
      <c r="Z1316" s="80"/>
      <c r="AA1316" s="153"/>
    </row>
    <row r="1317" spans="17:27" x14ac:dyDescent="0.25">
      <c r="Q1317" s="53"/>
      <c r="R1317" s="68"/>
      <c r="S1317" s="68"/>
      <c r="T1317" s="68"/>
      <c r="U1317" s="68"/>
      <c r="V1317" s="72"/>
      <c r="W1317" s="72"/>
      <c r="X1317" s="66"/>
      <c r="Y1317" s="80"/>
      <c r="Z1317" s="80"/>
      <c r="AA1317" s="153"/>
    </row>
    <row r="1318" spans="17:27" x14ac:dyDescent="0.25">
      <c r="Q1318" s="53"/>
      <c r="R1318" s="68"/>
      <c r="S1318" s="68"/>
      <c r="T1318" s="68"/>
      <c r="U1318" s="68"/>
      <c r="V1318" s="72"/>
      <c r="W1318" s="72"/>
      <c r="X1318" s="66"/>
      <c r="Y1318" s="80"/>
      <c r="Z1318" s="80"/>
      <c r="AA1318" s="153"/>
    </row>
    <row r="1319" spans="17:27" x14ac:dyDescent="0.25">
      <c r="Q1319" s="53"/>
      <c r="R1319" s="68"/>
      <c r="S1319" s="68"/>
      <c r="T1319" s="68"/>
      <c r="U1319" s="68"/>
      <c r="V1319" s="72"/>
      <c r="W1319" s="72"/>
      <c r="X1319" s="66"/>
      <c r="Y1319" s="80"/>
      <c r="Z1319" s="80"/>
      <c r="AA1319" s="153"/>
    </row>
    <row r="1320" spans="17:27" x14ac:dyDescent="0.25">
      <c r="Q1320" s="53"/>
      <c r="R1320" s="68"/>
      <c r="S1320" s="68"/>
      <c r="T1320" s="68"/>
      <c r="U1320" s="68"/>
      <c r="V1320" s="72"/>
      <c r="W1320" s="72"/>
      <c r="X1320" s="66"/>
      <c r="Y1320" s="80"/>
      <c r="Z1320" s="80"/>
      <c r="AA1320" s="153"/>
    </row>
    <row r="1321" spans="17:27" x14ac:dyDescent="0.25">
      <c r="Q1321" s="53"/>
      <c r="R1321" s="68"/>
      <c r="S1321" s="68"/>
      <c r="T1321" s="68"/>
      <c r="U1321" s="68"/>
      <c r="V1321" s="72"/>
      <c r="W1321" s="72"/>
      <c r="X1321" s="66"/>
      <c r="Y1321" s="80"/>
      <c r="Z1321" s="80"/>
      <c r="AA1321" s="153"/>
    </row>
    <row r="1322" spans="17:27" x14ac:dyDescent="0.25">
      <c r="Q1322" s="53"/>
      <c r="R1322" s="68"/>
      <c r="S1322" s="68"/>
      <c r="T1322" s="68"/>
      <c r="U1322" s="68"/>
      <c r="V1322" s="72"/>
      <c r="W1322" s="72"/>
      <c r="X1322" s="66"/>
      <c r="Y1322" s="80"/>
      <c r="Z1322" s="80"/>
      <c r="AA1322" s="153"/>
    </row>
    <row r="1323" spans="17:27" x14ac:dyDescent="0.25">
      <c r="Q1323" s="53"/>
      <c r="R1323" s="68"/>
      <c r="S1323" s="68"/>
      <c r="T1323" s="68"/>
      <c r="U1323" s="68"/>
      <c r="V1323" s="72"/>
      <c r="W1323" s="72"/>
      <c r="X1323" s="66"/>
      <c r="Y1323" s="80"/>
      <c r="Z1323" s="80"/>
      <c r="AA1323" s="153"/>
    </row>
    <row r="1324" spans="17:27" x14ac:dyDescent="0.25">
      <c r="Q1324" s="53"/>
      <c r="R1324" s="68"/>
      <c r="S1324" s="68"/>
      <c r="T1324" s="68"/>
      <c r="U1324" s="68"/>
      <c r="V1324" s="72"/>
      <c r="W1324" s="72"/>
      <c r="X1324" s="66"/>
      <c r="Y1324" s="80"/>
      <c r="Z1324" s="80"/>
      <c r="AA1324" s="153"/>
    </row>
    <row r="1325" spans="17:27" x14ac:dyDescent="0.25">
      <c r="Q1325" s="53"/>
      <c r="R1325" s="68"/>
      <c r="S1325" s="68"/>
      <c r="T1325" s="68"/>
      <c r="U1325" s="68"/>
      <c r="V1325" s="72"/>
      <c r="W1325" s="72"/>
      <c r="X1325" s="66"/>
      <c r="Y1325" s="80"/>
      <c r="Z1325" s="80"/>
      <c r="AA1325" s="153"/>
    </row>
    <row r="1326" spans="17:27" x14ac:dyDescent="0.25">
      <c r="Q1326" s="53"/>
      <c r="R1326" s="68"/>
      <c r="S1326" s="68"/>
      <c r="T1326" s="68"/>
      <c r="U1326" s="68"/>
      <c r="V1326" s="72"/>
      <c r="W1326" s="72"/>
      <c r="X1326" s="66"/>
      <c r="Y1326" s="80"/>
      <c r="Z1326" s="80"/>
      <c r="AA1326" s="153"/>
    </row>
    <row r="1327" spans="17:27" x14ac:dyDescent="0.25">
      <c r="Q1327" s="53"/>
      <c r="R1327" s="68"/>
      <c r="S1327" s="68"/>
      <c r="T1327" s="68"/>
      <c r="U1327" s="68"/>
      <c r="V1327" s="72"/>
      <c r="W1327" s="72"/>
      <c r="X1327" s="66"/>
      <c r="Y1327" s="80"/>
      <c r="Z1327" s="80"/>
      <c r="AA1327" s="153"/>
    </row>
    <row r="1328" spans="17:27" x14ac:dyDescent="0.25">
      <c r="Q1328" s="53"/>
      <c r="R1328" s="68"/>
      <c r="S1328" s="68"/>
      <c r="T1328" s="68"/>
      <c r="U1328" s="68"/>
      <c r="V1328" s="72"/>
      <c r="W1328" s="72"/>
      <c r="X1328" s="66"/>
      <c r="Y1328" s="80"/>
      <c r="Z1328" s="80"/>
      <c r="AA1328" s="153"/>
    </row>
    <row r="1329" spans="17:27" x14ac:dyDescent="0.25">
      <c r="Q1329" s="53"/>
      <c r="R1329" s="68"/>
      <c r="S1329" s="68"/>
      <c r="T1329" s="68"/>
      <c r="U1329" s="68"/>
      <c r="V1329" s="72"/>
      <c r="W1329" s="72"/>
      <c r="X1329" s="66"/>
      <c r="Y1329" s="80"/>
      <c r="Z1329" s="80"/>
      <c r="AA1329" s="153"/>
    </row>
    <row r="1330" spans="17:27" x14ac:dyDescent="0.25">
      <c r="Q1330" s="53"/>
      <c r="R1330" s="68"/>
      <c r="S1330" s="68"/>
      <c r="T1330" s="68"/>
      <c r="U1330" s="68"/>
      <c r="V1330" s="72"/>
      <c r="W1330" s="72"/>
      <c r="X1330" s="66"/>
      <c r="Y1330" s="80"/>
      <c r="Z1330" s="80"/>
      <c r="AA1330" s="153"/>
    </row>
    <row r="1331" spans="17:27" x14ac:dyDescent="0.25">
      <c r="Q1331" s="53"/>
      <c r="R1331" s="68"/>
      <c r="S1331" s="68"/>
      <c r="T1331" s="68"/>
      <c r="U1331" s="68"/>
      <c r="V1331" s="72"/>
      <c r="W1331" s="72"/>
      <c r="X1331" s="66"/>
      <c r="Y1331" s="80"/>
      <c r="Z1331" s="80"/>
      <c r="AA1331" s="153"/>
    </row>
    <row r="1332" spans="17:27" x14ac:dyDescent="0.25">
      <c r="Q1332" s="53"/>
      <c r="R1332" s="68"/>
      <c r="S1332" s="68"/>
      <c r="T1332" s="68"/>
      <c r="U1332" s="68"/>
      <c r="V1332" s="72"/>
      <c r="W1332" s="72"/>
      <c r="X1332" s="66"/>
      <c r="Y1332" s="80"/>
      <c r="Z1332" s="80"/>
      <c r="AA1332" s="153"/>
    </row>
    <row r="1333" spans="17:27" x14ac:dyDescent="0.25">
      <c r="Q1333" s="53"/>
      <c r="R1333" s="68"/>
      <c r="S1333" s="68"/>
      <c r="T1333" s="68"/>
      <c r="U1333" s="68"/>
      <c r="V1333" s="72"/>
      <c r="W1333" s="72"/>
      <c r="X1333" s="66"/>
      <c r="Y1333" s="80"/>
      <c r="Z1333" s="80"/>
      <c r="AA1333" s="153"/>
    </row>
    <row r="1334" spans="17:27" x14ac:dyDescent="0.25">
      <c r="Q1334" s="53"/>
      <c r="R1334" s="68"/>
      <c r="S1334" s="68"/>
      <c r="T1334" s="68"/>
      <c r="U1334" s="68"/>
      <c r="V1334" s="72"/>
      <c r="W1334" s="72"/>
      <c r="X1334" s="66"/>
      <c r="Y1334" s="80"/>
      <c r="Z1334" s="80"/>
      <c r="AA1334" s="153"/>
    </row>
    <row r="1335" spans="17:27" x14ac:dyDescent="0.25">
      <c r="Q1335" s="53"/>
      <c r="R1335" s="68"/>
      <c r="S1335" s="68"/>
      <c r="T1335" s="68"/>
      <c r="U1335" s="68"/>
      <c r="V1335" s="72"/>
      <c r="W1335" s="72"/>
      <c r="X1335" s="66"/>
      <c r="Y1335" s="80"/>
      <c r="Z1335" s="80"/>
      <c r="AA1335" s="153"/>
    </row>
    <row r="1336" spans="17:27" x14ac:dyDescent="0.25">
      <c r="Q1336" s="53"/>
      <c r="R1336" s="68"/>
      <c r="S1336" s="68"/>
      <c r="T1336" s="68"/>
      <c r="U1336" s="68"/>
      <c r="V1336" s="72"/>
      <c r="W1336" s="72"/>
      <c r="X1336" s="66"/>
      <c r="Y1336" s="80"/>
      <c r="Z1336" s="80"/>
      <c r="AA1336" s="153"/>
    </row>
    <row r="1337" spans="17:27" x14ac:dyDescent="0.25">
      <c r="Q1337" s="53"/>
      <c r="R1337" s="68"/>
      <c r="S1337" s="68"/>
      <c r="T1337" s="68"/>
      <c r="U1337" s="68"/>
      <c r="V1337" s="72"/>
      <c r="W1337" s="72"/>
      <c r="X1337" s="66"/>
      <c r="Y1337" s="80"/>
      <c r="Z1337" s="80"/>
      <c r="AA1337" s="153"/>
    </row>
    <row r="1338" spans="17:27" x14ac:dyDescent="0.25">
      <c r="Q1338" s="53"/>
      <c r="R1338" s="68"/>
      <c r="S1338" s="68"/>
      <c r="T1338" s="68"/>
      <c r="U1338" s="68"/>
      <c r="V1338" s="72"/>
      <c r="W1338" s="72"/>
      <c r="X1338" s="66"/>
      <c r="Y1338" s="80"/>
      <c r="Z1338" s="80"/>
      <c r="AA1338" s="153"/>
    </row>
    <row r="1339" spans="17:27" x14ac:dyDescent="0.25">
      <c r="Q1339" s="53"/>
      <c r="R1339" s="68"/>
      <c r="S1339" s="68"/>
      <c r="T1339" s="68"/>
      <c r="U1339" s="68"/>
      <c r="V1339" s="72"/>
      <c r="W1339" s="72"/>
      <c r="X1339" s="66"/>
      <c r="Y1339" s="80"/>
      <c r="Z1339" s="80"/>
      <c r="AA1339" s="153"/>
    </row>
    <row r="1340" spans="17:27" x14ac:dyDescent="0.25">
      <c r="Q1340" s="53"/>
      <c r="R1340" s="68"/>
      <c r="S1340" s="68"/>
      <c r="T1340" s="68"/>
      <c r="U1340" s="68"/>
      <c r="V1340" s="72"/>
      <c r="W1340" s="72"/>
      <c r="X1340" s="66"/>
      <c r="Y1340" s="80"/>
      <c r="Z1340" s="80"/>
      <c r="AA1340" s="153"/>
    </row>
    <row r="1341" spans="17:27" x14ac:dyDescent="0.25">
      <c r="Q1341" s="53"/>
      <c r="R1341" s="68"/>
      <c r="S1341" s="68"/>
      <c r="T1341" s="68"/>
      <c r="U1341" s="68"/>
      <c r="V1341" s="72"/>
      <c r="W1341" s="72"/>
      <c r="X1341" s="66"/>
      <c r="Y1341" s="80"/>
      <c r="Z1341" s="80"/>
      <c r="AA1341" s="153"/>
    </row>
    <row r="1342" spans="17:27" x14ac:dyDescent="0.25">
      <c r="Q1342" s="53"/>
      <c r="R1342" s="68"/>
      <c r="S1342" s="68"/>
      <c r="T1342" s="68"/>
      <c r="U1342" s="68"/>
      <c r="V1342" s="72"/>
      <c r="W1342" s="72"/>
      <c r="X1342" s="66"/>
      <c r="Y1342" s="80"/>
      <c r="Z1342" s="80"/>
      <c r="AA1342" s="153"/>
    </row>
    <row r="1343" spans="17:27" x14ac:dyDescent="0.25">
      <c r="Q1343" s="53"/>
      <c r="R1343" s="68"/>
      <c r="S1343" s="68"/>
      <c r="T1343" s="68"/>
      <c r="U1343" s="68"/>
      <c r="V1343" s="72"/>
      <c r="W1343" s="72"/>
      <c r="X1343" s="66"/>
      <c r="Y1343" s="80"/>
      <c r="Z1343" s="80"/>
      <c r="AA1343" s="153"/>
    </row>
    <row r="1344" spans="17:27" x14ac:dyDescent="0.25">
      <c r="Q1344" s="53"/>
      <c r="R1344" s="68"/>
      <c r="S1344" s="68"/>
      <c r="T1344" s="68"/>
      <c r="U1344" s="68"/>
      <c r="V1344" s="72"/>
      <c r="W1344" s="72"/>
      <c r="X1344" s="66"/>
      <c r="Y1344" s="80"/>
      <c r="Z1344" s="80"/>
      <c r="AA1344" s="153"/>
    </row>
    <row r="1345" spans="17:27" x14ac:dyDescent="0.25">
      <c r="Q1345" s="53"/>
      <c r="R1345" s="68"/>
      <c r="S1345" s="68"/>
      <c r="T1345" s="68"/>
      <c r="U1345" s="68"/>
      <c r="V1345" s="72"/>
      <c r="W1345" s="72"/>
      <c r="X1345" s="66"/>
      <c r="Y1345" s="80"/>
      <c r="Z1345" s="80"/>
      <c r="AA1345" s="153"/>
    </row>
    <row r="1346" spans="17:27" x14ac:dyDescent="0.25">
      <c r="Q1346" s="53"/>
      <c r="R1346" s="68"/>
      <c r="S1346" s="68"/>
      <c r="T1346" s="68"/>
      <c r="U1346" s="68"/>
      <c r="V1346" s="72"/>
      <c r="W1346" s="72"/>
      <c r="X1346" s="66"/>
      <c r="Y1346" s="80"/>
      <c r="Z1346" s="80"/>
      <c r="AA1346" s="153"/>
    </row>
    <row r="1347" spans="17:27" x14ac:dyDescent="0.25">
      <c r="Q1347" s="53"/>
      <c r="R1347" s="68"/>
      <c r="S1347" s="68"/>
      <c r="T1347" s="68"/>
      <c r="U1347" s="68"/>
      <c r="V1347" s="72"/>
      <c r="W1347" s="72"/>
      <c r="X1347" s="66"/>
      <c r="Y1347" s="80"/>
      <c r="Z1347" s="80"/>
      <c r="AA1347" s="153"/>
    </row>
    <row r="1348" spans="17:27" x14ac:dyDescent="0.25">
      <c r="Q1348" s="53"/>
      <c r="R1348" s="68"/>
      <c r="S1348" s="68"/>
      <c r="T1348" s="68"/>
      <c r="U1348" s="68"/>
      <c r="V1348" s="72"/>
      <c r="W1348" s="72"/>
      <c r="X1348" s="66"/>
      <c r="Y1348" s="80"/>
      <c r="Z1348" s="80"/>
      <c r="AA1348" s="153"/>
    </row>
    <row r="1349" spans="17:27" x14ac:dyDescent="0.25">
      <c r="Q1349" s="53"/>
      <c r="R1349" s="68"/>
      <c r="S1349" s="68"/>
      <c r="T1349" s="68"/>
      <c r="U1349" s="68"/>
      <c r="V1349" s="72"/>
      <c r="W1349" s="72"/>
      <c r="X1349" s="66"/>
      <c r="Y1349" s="80"/>
      <c r="Z1349" s="80"/>
      <c r="AA1349" s="153"/>
    </row>
    <row r="1350" spans="17:27" x14ac:dyDescent="0.25">
      <c r="Q1350" s="53"/>
      <c r="R1350" s="68"/>
      <c r="S1350" s="68"/>
      <c r="T1350" s="68"/>
      <c r="U1350" s="68"/>
      <c r="V1350" s="72"/>
      <c r="W1350" s="72"/>
      <c r="X1350" s="66"/>
      <c r="Y1350" s="80"/>
      <c r="Z1350" s="80"/>
      <c r="AA1350" s="153"/>
    </row>
    <row r="1351" spans="17:27" x14ac:dyDescent="0.25">
      <c r="Q1351" s="53"/>
      <c r="R1351" s="68"/>
      <c r="S1351" s="68"/>
      <c r="T1351" s="68"/>
      <c r="U1351" s="68"/>
      <c r="V1351" s="72"/>
      <c r="W1351" s="72"/>
      <c r="X1351" s="66"/>
      <c r="Y1351" s="80"/>
      <c r="Z1351" s="80"/>
      <c r="AA1351" s="153"/>
    </row>
    <row r="1352" spans="17:27" x14ac:dyDescent="0.25">
      <c r="Q1352" s="53"/>
      <c r="R1352" s="68"/>
      <c r="S1352" s="68"/>
      <c r="T1352" s="68"/>
      <c r="U1352" s="68"/>
      <c r="V1352" s="72"/>
      <c r="W1352" s="72"/>
      <c r="X1352" s="66"/>
      <c r="Y1352" s="80"/>
      <c r="Z1352" s="80"/>
      <c r="AA1352" s="153"/>
    </row>
    <row r="1353" spans="17:27" x14ac:dyDescent="0.25">
      <c r="Q1353" s="53"/>
      <c r="R1353" s="68"/>
      <c r="S1353" s="68"/>
      <c r="T1353" s="68"/>
      <c r="U1353" s="68"/>
      <c r="V1353" s="72"/>
      <c r="W1353" s="72"/>
      <c r="X1353" s="66"/>
      <c r="Y1353" s="80"/>
      <c r="Z1353" s="80"/>
      <c r="AA1353" s="153"/>
    </row>
    <row r="1354" spans="17:27" x14ac:dyDescent="0.25">
      <c r="Q1354" s="53"/>
      <c r="R1354" s="68"/>
      <c r="S1354" s="68"/>
      <c r="T1354" s="68"/>
      <c r="U1354" s="68"/>
      <c r="V1354" s="72"/>
      <c r="W1354" s="72"/>
      <c r="X1354" s="66"/>
      <c r="Y1354" s="80"/>
      <c r="Z1354" s="80"/>
      <c r="AA1354" s="153"/>
    </row>
    <row r="1355" spans="17:27" x14ac:dyDescent="0.25">
      <c r="Q1355" s="53"/>
      <c r="R1355" s="68"/>
      <c r="S1355" s="68"/>
      <c r="T1355" s="68"/>
      <c r="U1355" s="68"/>
      <c r="V1355" s="72"/>
      <c r="W1355" s="72"/>
      <c r="X1355" s="66"/>
      <c r="Y1355" s="80"/>
      <c r="Z1355" s="80"/>
      <c r="AA1355" s="153"/>
    </row>
    <row r="1356" spans="17:27" x14ac:dyDescent="0.25">
      <c r="Q1356" s="53"/>
      <c r="R1356" s="68"/>
      <c r="S1356" s="68"/>
      <c r="T1356" s="68"/>
      <c r="U1356" s="68"/>
      <c r="V1356" s="72"/>
      <c r="W1356" s="72"/>
      <c r="X1356" s="66"/>
      <c r="Y1356" s="80"/>
      <c r="Z1356" s="80"/>
      <c r="AA1356" s="153"/>
    </row>
    <row r="1357" spans="17:27" x14ac:dyDescent="0.25">
      <c r="Q1357" s="53"/>
      <c r="R1357" s="68"/>
      <c r="S1357" s="68"/>
      <c r="T1357" s="68"/>
      <c r="U1357" s="68"/>
      <c r="V1357" s="72"/>
      <c r="W1357" s="72"/>
      <c r="X1357" s="66"/>
      <c r="Y1357" s="80"/>
      <c r="Z1357" s="80"/>
      <c r="AA1357" s="153"/>
    </row>
    <row r="1358" spans="17:27" x14ac:dyDescent="0.25">
      <c r="Q1358" s="53"/>
      <c r="R1358" s="68"/>
      <c r="S1358" s="68"/>
      <c r="T1358" s="68"/>
      <c r="U1358" s="68"/>
      <c r="V1358" s="72"/>
      <c r="W1358" s="72"/>
      <c r="X1358" s="66"/>
      <c r="Y1358" s="80"/>
      <c r="Z1358" s="80"/>
      <c r="AA1358" s="153"/>
    </row>
    <row r="1359" spans="17:27" x14ac:dyDescent="0.25">
      <c r="Q1359" s="53"/>
      <c r="R1359" s="68"/>
      <c r="S1359" s="68"/>
      <c r="T1359" s="68"/>
      <c r="U1359" s="68"/>
      <c r="V1359" s="72"/>
      <c r="W1359" s="72"/>
      <c r="X1359" s="66"/>
      <c r="Y1359" s="80"/>
      <c r="Z1359" s="80"/>
      <c r="AA1359" s="153"/>
    </row>
    <row r="1360" spans="17:27" x14ac:dyDescent="0.25">
      <c r="Q1360" s="53"/>
      <c r="R1360" s="68"/>
      <c r="S1360" s="68"/>
      <c r="T1360" s="68"/>
      <c r="U1360" s="68"/>
      <c r="V1360" s="72"/>
      <c r="W1360" s="72"/>
      <c r="X1360" s="66"/>
      <c r="Y1360" s="80"/>
      <c r="Z1360" s="80"/>
      <c r="AA1360" s="153"/>
    </row>
    <row r="1361" spans="17:27" x14ac:dyDescent="0.25">
      <c r="Q1361" s="53"/>
      <c r="R1361" s="68"/>
      <c r="S1361" s="68"/>
      <c r="T1361" s="68"/>
      <c r="U1361" s="68"/>
      <c r="V1361" s="72"/>
      <c r="W1361" s="72"/>
      <c r="X1361" s="66"/>
      <c r="Y1361" s="80"/>
      <c r="Z1361" s="80"/>
      <c r="AA1361" s="153"/>
    </row>
    <row r="1362" spans="17:27" x14ac:dyDescent="0.25">
      <c r="Q1362" s="53"/>
      <c r="R1362" s="68"/>
      <c r="S1362" s="68"/>
      <c r="T1362" s="68"/>
      <c r="U1362" s="68"/>
      <c r="V1362" s="72"/>
      <c r="W1362" s="72"/>
      <c r="X1362" s="66"/>
      <c r="Y1362" s="80"/>
      <c r="Z1362" s="80"/>
      <c r="AA1362" s="153"/>
    </row>
    <row r="1363" spans="17:27" x14ac:dyDescent="0.25">
      <c r="Q1363" s="53"/>
      <c r="R1363" s="68"/>
      <c r="S1363" s="68"/>
      <c r="T1363" s="68"/>
      <c r="U1363" s="68"/>
      <c r="V1363" s="72"/>
      <c r="W1363" s="72"/>
      <c r="X1363" s="66"/>
      <c r="Y1363" s="80"/>
      <c r="Z1363" s="80"/>
      <c r="AA1363" s="153"/>
    </row>
    <row r="1364" spans="17:27" x14ac:dyDescent="0.25">
      <c r="Q1364" s="53"/>
      <c r="R1364" s="68"/>
      <c r="S1364" s="68"/>
      <c r="T1364" s="68"/>
      <c r="U1364" s="68"/>
      <c r="V1364" s="72"/>
      <c r="W1364" s="72"/>
      <c r="X1364" s="66"/>
      <c r="Y1364" s="80"/>
      <c r="Z1364" s="80"/>
      <c r="AA1364" s="153"/>
    </row>
    <row r="1365" spans="17:27" x14ac:dyDescent="0.25">
      <c r="Q1365" s="53"/>
      <c r="R1365" s="68"/>
      <c r="S1365" s="68"/>
      <c r="T1365" s="68"/>
      <c r="U1365" s="68"/>
      <c r="V1365" s="72"/>
      <c r="W1365" s="72"/>
      <c r="X1365" s="66"/>
      <c r="Y1365" s="80"/>
      <c r="Z1365" s="80"/>
      <c r="AA1365" s="153"/>
    </row>
    <row r="1366" spans="17:27" x14ac:dyDescent="0.25">
      <c r="Q1366" s="53"/>
      <c r="R1366" s="68"/>
      <c r="S1366" s="68"/>
      <c r="T1366" s="68"/>
      <c r="U1366" s="68"/>
      <c r="V1366" s="72"/>
      <c r="W1366" s="72"/>
      <c r="X1366" s="66"/>
      <c r="Y1366" s="80"/>
      <c r="Z1366" s="80"/>
      <c r="AA1366" s="153"/>
    </row>
    <row r="1367" spans="17:27" x14ac:dyDescent="0.25">
      <c r="Q1367" s="53"/>
      <c r="R1367" s="68"/>
      <c r="S1367" s="68"/>
      <c r="T1367" s="68"/>
      <c r="U1367" s="68"/>
      <c r="V1367" s="72"/>
      <c r="W1367" s="72"/>
      <c r="X1367" s="66"/>
      <c r="Y1367" s="80"/>
      <c r="Z1367" s="80"/>
      <c r="AA1367" s="153"/>
    </row>
    <row r="1368" spans="17:27" x14ac:dyDescent="0.25">
      <c r="Q1368" s="53"/>
      <c r="R1368" s="68"/>
      <c r="S1368" s="68"/>
      <c r="T1368" s="68"/>
      <c r="U1368" s="68"/>
      <c r="V1368" s="72"/>
      <c r="W1368" s="72"/>
      <c r="X1368" s="66"/>
      <c r="Y1368" s="80"/>
      <c r="Z1368" s="80"/>
      <c r="AA1368" s="153"/>
    </row>
    <row r="1369" spans="17:27" x14ac:dyDescent="0.25">
      <c r="Q1369" s="53"/>
      <c r="R1369" s="68"/>
      <c r="S1369" s="68"/>
      <c r="T1369" s="68"/>
      <c r="U1369" s="68"/>
      <c r="V1369" s="72"/>
      <c r="W1369" s="72"/>
      <c r="X1369" s="66"/>
      <c r="Y1369" s="80"/>
      <c r="Z1369" s="80"/>
      <c r="AA1369" s="153"/>
    </row>
    <row r="1370" spans="17:27" x14ac:dyDescent="0.25">
      <c r="Q1370" s="53"/>
      <c r="R1370" s="68"/>
      <c r="S1370" s="68"/>
      <c r="T1370" s="68"/>
      <c r="U1370" s="68"/>
      <c r="V1370" s="72"/>
      <c r="W1370" s="72"/>
      <c r="X1370" s="66"/>
      <c r="Y1370" s="80"/>
      <c r="Z1370" s="80"/>
      <c r="AA1370" s="153"/>
    </row>
    <row r="1371" spans="17:27" x14ac:dyDescent="0.25">
      <c r="Q1371" s="53"/>
      <c r="R1371" s="68"/>
      <c r="S1371" s="68"/>
      <c r="T1371" s="68"/>
      <c r="U1371" s="68"/>
      <c r="V1371" s="72"/>
      <c r="W1371" s="72"/>
      <c r="X1371" s="66"/>
      <c r="Y1371" s="80"/>
      <c r="Z1371" s="80"/>
      <c r="AA1371" s="153"/>
    </row>
    <row r="1372" spans="17:27" x14ac:dyDescent="0.25">
      <c r="Q1372" s="53"/>
      <c r="R1372" s="68"/>
      <c r="S1372" s="68"/>
      <c r="T1372" s="68"/>
      <c r="U1372" s="68"/>
      <c r="V1372" s="72"/>
      <c r="W1372" s="72"/>
      <c r="X1372" s="66"/>
      <c r="Y1372" s="80"/>
      <c r="Z1372" s="80"/>
      <c r="AA1372" s="153"/>
    </row>
    <row r="1373" spans="17:27" x14ac:dyDescent="0.25">
      <c r="Q1373" s="53"/>
      <c r="R1373" s="68"/>
      <c r="S1373" s="68"/>
      <c r="T1373" s="68"/>
      <c r="U1373" s="68"/>
      <c r="V1373" s="72"/>
      <c r="W1373" s="72"/>
      <c r="X1373" s="66"/>
      <c r="Y1373" s="80"/>
      <c r="Z1373" s="80"/>
      <c r="AA1373" s="153"/>
    </row>
    <row r="1374" spans="17:27" x14ac:dyDescent="0.25">
      <c r="Q1374" s="53"/>
      <c r="R1374" s="68"/>
      <c r="S1374" s="68"/>
      <c r="T1374" s="68"/>
      <c r="U1374" s="68"/>
      <c r="V1374" s="72"/>
      <c r="W1374" s="72"/>
      <c r="X1374" s="66"/>
      <c r="Y1374" s="80"/>
      <c r="Z1374" s="80"/>
      <c r="AA1374" s="153"/>
    </row>
    <row r="1375" spans="17:27" x14ac:dyDescent="0.25">
      <c r="Q1375" s="53"/>
      <c r="R1375" s="68"/>
      <c r="S1375" s="68"/>
      <c r="T1375" s="68"/>
      <c r="U1375" s="68"/>
      <c r="V1375" s="72"/>
      <c r="W1375" s="72"/>
      <c r="X1375" s="66"/>
      <c r="Y1375" s="80"/>
      <c r="Z1375" s="80"/>
      <c r="AA1375" s="153"/>
    </row>
    <row r="1376" spans="17:27" x14ac:dyDescent="0.25">
      <c r="Q1376" s="53"/>
      <c r="R1376" s="68"/>
      <c r="S1376" s="68"/>
      <c r="T1376" s="68"/>
      <c r="U1376" s="68"/>
      <c r="V1376" s="72"/>
      <c r="W1376" s="72"/>
      <c r="X1376" s="66"/>
      <c r="Y1376" s="80"/>
      <c r="Z1376" s="80"/>
      <c r="AA1376" s="153"/>
    </row>
    <row r="1377" spans="17:27" x14ac:dyDescent="0.25">
      <c r="Q1377" s="53"/>
      <c r="R1377" s="68"/>
      <c r="S1377" s="68"/>
      <c r="T1377" s="68"/>
      <c r="U1377" s="68"/>
      <c r="V1377" s="72"/>
      <c r="W1377" s="72"/>
      <c r="X1377" s="66"/>
      <c r="Y1377" s="80"/>
      <c r="Z1377" s="80"/>
      <c r="AA1377" s="153"/>
    </row>
    <row r="1378" spans="17:27" x14ac:dyDescent="0.25">
      <c r="Q1378" s="53"/>
      <c r="R1378" s="68"/>
      <c r="S1378" s="68"/>
      <c r="T1378" s="68"/>
      <c r="U1378" s="68"/>
      <c r="V1378" s="72"/>
      <c r="W1378" s="72"/>
      <c r="X1378" s="66"/>
      <c r="Y1378" s="80"/>
      <c r="Z1378" s="80"/>
      <c r="AA1378" s="153"/>
    </row>
    <row r="1379" spans="17:27" x14ac:dyDescent="0.25">
      <c r="Q1379" s="53"/>
      <c r="R1379" s="68"/>
      <c r="S1379" s="68"/>
      <c r="T1379" s="68"/>
      <c r="U1379" s="68"/>
      <c r="V1379" s="72"/>
      <c r="W1379" s="72"/>
      <c r="X1379" s="66"/>
      <c r="Y1379" s="80"/>
      <c r="Z1379" s="80"/>
      <c r="AA1379" s="153"/>
    </row>
    <row r="1380" spans="17:27" x14ac:dyDescent="0.25">
      <c r="Q1380" s="53"/>
      <c r="R1380" s="68"/>
      <c r="S1380" s="68"/>
      <c r="T1380" s="68"/>
      <c r="U1380" s="68"/>
      <c r="V1380" s="72"/>
      <c r="W1380" s="72"/>
      <c r="X1380" s="66"/>
      <c r="Y1380" s="80"/>
      <c r="Z1380" s="80"/>
      <c r="AA1380" s="153"/>
    </row>
    <row r="1381" spans="17:27" x14ac:dyDescent="0.25">
      <c r="Q1381" s="53"/>
      <c r="R1381" s="68"/>
      <c r="S1381" s="68"/>
      <c r="T1381" s="68"/>
      <c r="U1381" s="68"/>
      <c r="V1381" s="72"/>
      <c r="W1381" s="72"/>
      <c r="X1381" s="66"/>
      <c r="Y1381" s="80"/>
      <c r="Z1381" s="80"/>
      <c r="AA1381" s="153"/>
    </row>
    <row r="1382" spans="17:27" x14ac:dyDescent="0.25">
      <c r="Q1382" s="53"/>
      <c r="R1382" s="68"/>
      <c r="S1382" s="68"/>
      <c r="T1382" s="68"/>
      <c r="U1382" s="68"/>
      <c r="V1382" s="72"/>
      <c r="W1382" s="72"/>
      <c r="X1382" s="66"/>
      <c r="Y1382" s="80"/>
      <c r="Z1382" s="80"/>
      <c r="AA1382" s="153"/>
    </row>
    <row r="1383" spans="17:27" x14ac:dyDescent="0.25">
      <c r="Q1383" s="53"/>
      <c r="R1383" s="68"/>
      <c r="S1383" s="68"/>
      <c r="T1383" s="68"/>
      <c r="U1383" s="68"/>
      <c r="V1383" s="72"/>
      <c r="W1383" s="72"/>
      <c r="X1383" s="66"/>
      <c r="Y1383" s="80"/>
      <c r="Z1383" s="80"/>
      <c r="AA1383" s="153"/>
    </row>
    <row r="1384" spans="17:27" x14ac:dyDescent="0.25">
      <c r="Q1384" s="53"/>
      <c r="R1384" s="68"/>
      <c r="S1384" s="68"/>
      <c r="T1384" s="68"/>
      <c r="U1384" s="68"/>
      <c r="V1384" s="72"/>
      <c r="W1384" s="72"/>
      <c r="X1384" s="66"/>
      <c r="Y1384" s="80"/>
      <c r="Z1384" s="80"/>
      <c r="AA1384" s="153"/>
    </row>
    <row r="1385" spans="17:27" x14ac:dyDescent="0.25">
      <c r="Q1385" s="53"/>
      <c r="R1385" s="68"/>
      <c r="S1385" s="68"/>
      <c r="T1385" s="68"/>
      <c r="U1385" s="68"/>
      <c r="V1385" s="72"/>
      <c r="W1385" s="72"/>
      <c r="X1385" s="66"/>
      <c r="Y1385" s="80"/>
      <c r="Z1385" s="80"/>
      <c r="AA1385" s="153"/>
    </row>
    <row r="1386" spans="17:27" x14ac:dyDescent="0.25">
      <c r="Q1386" s="53"/>
      <c r="R1386" s="68"/>
      <c r="S1386" s="68"/>
      <c r="T1386" s="68"/>
      <c r="U1386" s="68"/>
      <c r="V1386" s="72"/>
      <c r="W1386" s="72"/>
      <c r="X1386" s="66"/>
      <c r="Y1386" s="80"/>
      <c r="Z1386" s="80"/>
      <c r="AA1386" s="153"/>
    </row>
    <row r="1387" spans="17:27" x14ac:dyDescent="0.25">
      <c r="Q1387" s="53"/>
      <c r="R1387" s="68"/>
      <c r="S1387" s="68"/>
      <c r="T1387" s="68"/>
      <c r="U1387" s="68"/>
      <c r="V1387" s="72"/>
      <c r="W1387" s="72"/>
      <c r="X1387" s="66"/>
      <c r="Y1387" s="80"/>
      <c r="Z1387" s="80"/>
      <c r="AA1387" s="153"/>
    </row>
    <row r="1388" spans="17:27" x14ac:dyDescent="0.25">
      <c r="Q1388" s="53"/>
      <c r="R1388" s="68"/>
      <c r="S1388" s="68"/>
      <c r="T1388" s="68"/>
      <c r="U1388" s="68"/>
      <c r="V1388" s="72"/>
      <c r="W1388" s="72"/>
      <c r="X1388" s="66"/>
      <c r="Y1388" s="80"/>
      <c r="Z1388" s="80"/>
      <c r="AA1388" s="153"/>
    </row>
    <row r="1389" spans="17:27" x14ac:dyDescent="0.25">
      <c r="Q1389" s="53"/>
      <c r="R1389" s="68"/>
      <c r="S1389" s="68"/>
      <c r="T1389" s="68"/>
      <c r="U1389" s="68"/>
      <c r="V1389" s="72"/>
      <c r="W1389" s="72"/>
      <c r="X1389" s="66"/>
      <c r="Y1389" s="80"/>
      <c r="Z1389" s="80"/>
      <c r="AA1389" s="153"/>
    </row>
    <row r="1390" spans="17:27" x14ac:dyDescent="0.25">
      <c r="Q1390" s="53"/>
      <c r="R1390" s="68"/>
      <c r="S1390" s="68"/>
      <c r="T1390" s="68"/>
      <c r="U1390" s="68"/>
      <c r="V1390" s="72"/>
      <c r="W1390" s="72"/>
      <c r="X1390" s="66"/>
      <c r="Y1390" s="80"/>
      <c r="Z1390" s="80"/>
      <c r="AA1390" s="153"/>
    </row>
    <row r="1391" spans="17:27" x14ac:dyDescent="0.25">
      <c r="Q1391" s="53"/>
      <c r="R1391" s="68"/>
      <c r="S1391" s="68"/>
      <c r="T1391" s="68"/>
      <c r="U1391" s="68"/>
      <c r="V1391" s="72"/>
      <c r="W1391" s="72"/>
      <c r="X1391" s="66"/>
      <c r="Y1391" s="80"/>
      <c r="Z1391" s="80"/>
      <c r="AA1391" s="153"/>
    </row>
    <row r="1392" spans="17:27" x14ac:dyDescent="0.25">
      <c r="Q1392" s="53"/>
      <c r="R1392" s="68"/>
      <c r="S1392" s="68"/>
      <c r="T1392" s="68"/>
      <c r="U1392" s="68"/>
      <c r="V1392" s="72"/>
      <c r="W1392" s="72"/>
      <c r="X1392" s="66"/>
      <c r="Y1392" s="80"/>
      <c r="Z1392" s="80"/>
      <c r="AA1392" s="153"/>
    </row>
    <row r="1393" spans="17:27" x14ac:dyDescent="0.25">
      <c r="Q1393" s="53"/>
      <c r="R1393" s="68"/>
      <c r="S1393" s="68"/>
      <c r="T1393" s="68"/>
      <c r="U1393" s="68"/>
      <c r="V1393" s="72"/>
      <c r="W1393" s="72"/>
      <c r="X1393" s="66"/>
      <c r="Y1393" s="80"/>
      <c r="Z1393" s="80"/>
      <c r="AA1393" s="153"/>
    </row>
    <row r="1394" spans="17:27" x14ac:dyDescent="0.25">
      <c r="Q1394" s="53"/>
      <c r="R1394" s="68"/>
      <c r="S1394" s="68"/>
      <c r="T1394" s="68"/>
      <c r="U1394" s="68"/>
      <c r="V1394" s="72"/>
      <c r="W1394" s="72"/>
      <c r="X1394" s="66"/>
      <c r="Y1394" s="80"/>
      <c r="Z1394" s="80"/>
      <c r="AA1394" s="153"/>
    </row>
    <row r="1395" spans="17:27" x14ac:dyDescent="0.25">
      <c r="Q1395" s="53"/>
      <c r="R1395" s="68"/>
      <c r="S1395" s="68"/>
      <c r="T1395" s="68"/>
      <c r="U1395" s="68"/>
      <c r="V1395" s="72"/>
      <c r="W1395" s="72"/>
      <c r="X1395" s="66"/>
      <c r="Y1395" s="80"/>
      <c r="Z1395" s="80"/>
      <c r="AA1395" s="153"/>
    </row>
    <row r="1396" spans="17:27" x14ac:dyDescent="0.25">
      <c r="Q1396" s="53"/>
      <c r="R1396" s="68"/>
      <c r="S1396" s="68"/>
      <c r="T1396" s="68"/>
      <c r="U1396" s="68"/>
      <c r="V1396" s="72"/>
      <c r="W1396" s="72"/>
      <c r="X1396" s="66"/>
      <c r="Y1396" s="80"/>
      <c r="Z1396" s="80"/>
      <c r="AA1396" s="153"/>
    </row>
    <row r="1397" spans="17:27" x14ac:dyDescent="0.25">
      <c r="Q1397" s="53"/>
      <c r="R1397" s="68"/>
      <c r="S1397" s="68"/>
      <c r="T1397" s="68"/>
      <c r="U1397" s="68"/>
      <c r="V1397" s="72"/>
      <c r="W1397" s="72"/>
      <c r="X1397" s="66"/>
      <c r="Y1397" s="80"/>
      <c r="Z1397" s="80"/>
      <c r="AA1397" s="153"/>
    </row>
    <row r="1398" spans="17:27" x14ac:dyDescent="0.25">
      <c r="Q1398" s="53"/>
      <c r="R1398" s="68"/>
      <c r="S1398" s="68"/>
      <c r="T1398" s="68"/>
      <c r="U1398" s="68"/>
      <c r="V1398" s="72"/>
      <c r="W1398" s="72"/>
      <c r="X1398" s="66"/>
      <c r="Y1398" s="80"/>
      <c r="Z1398" s="80"/>
      <c r="AA1398" s="153"/>
    </row>
    <row r="1399" spans="17:27" x14ac:dyDescent="0.25">
      <c r="Q1399" s="53"/>
      <c r="R1399" s="68"/>
      <c r="S1399" s="68"/>
      <c r="T1399" s="68"/>
      <c r="U1399" s="68"/>
      <c r="V1399" s="72"/>
      <c r="W1399" s="72"/>
      <c r="X1399" s="66"/>
      <c r="Y1399" s="80"/>
      <c r="Z1399" s="80"/>
      <c r="AA1399" s="153"/>
    </row>
    <row r="1400" spans="17:27" x14ac:dyDescent="0.25">
      <c r="Q1400" s="53"/>
      <c r="R1400" s="68"/>
      <c r="S1400" s="68"/>
      <c r="T1400" s="68"/>
      <c r="U1400" s="68"/>
      <c r="V1400" s="72"/>
      <c r="W1400" s="72"/>
      <c r="X1400" s="66"/>
      <c r="Y1400" s="80"/>
      <c r="Z1400" s="80"/>
      <c r="AA1400" s="153"/>
    </row>
    <row r="1401" spans="17:27" x14ac:dyDescent="0.25">
      <c r="Q1401" s="53"/>
      <c r="R1401" s="68"/>
      <c r="S1401" s="68"/>
      <c r="T1401" s="68"/>
      <c r="U1401" s="68"/>
      <c r="V1401" s="72"/>
      <c r="W1401" s="72"/>
      <c r="X1401" s="66"/>
      <c r="Y1401" s="80"/>
      <c r="Z1401" s="80"/>
      <c r="AA1401" s="153"/>
    </row>
    <row r="1402" spans="17:27" x14ac:dyDescent="0.25">
      <c r="Q1402" s="53"/>
      <c r="R1402" s="68"/>
      <c r="S1402" s="68"/>
      <c r="T1402" s="68"/>
      <c r="U1402" s="68"/>
      <c r="V1402" s="72"/>
      <c r="W1402" s="72"/>
      <c r="X1402" s="66"/>
      <c r="Y1402" s="80"/>
      <c r="Z1402" s="80"/>
      <c r="AA1402" s="153"/>
    </row>
    <row r="1403" spans="17:27" x14ac:dyDescent="0.25">
      <c r="Q1403" s="53"/>
      <c r="R1403" s="68"/>
      <c r="S1403" s="68"/>
      <c r="T1403" s="68"/>
      <c r="U1403" s="68"/>
      <c r="V1403" s="72"/>
      <c r="W1403" s="72"/>
      <c r="X1403" s="66"/>
      <c r="Y1403" s="80"/>
      <c r="Z1403" s="80"/>
      <c r="AA1403" s="153"/>
    </row>
    <row r="1404" spans="17:27" x14ac:dyDescent="0.25">
      <c r="Q1404" s="53"/>
      <c r="R1404" s="68"/>
      <c r="S1404" s="68"/>
      <c r="T1404" s="68"/>
      <c r="U1404" s="68"/>
      <c r="V1404" s="72"/>
      <c r="W1404" s="72"/>
      <c r="X1404" s="66"/>
      <c r="Y1404" s="80"/>
      <c r="Z1404" s="80"/>
      <c r="AA1404" s="153"/>
    </row>
    <row r="1405" spans="17:27" x14ac:dyDescent="0.25">
      <c r="Q1405" s="53"/>
      <c r="R1405" s="68"/>
      <c r="S1405" s="68"/>
      <c r="T1405" s="68"/>
      <c r="U1405" s="68"/>
      <c r="V1405" s="72"/>
      <c r="W1405" s="72"/>
      <c r="X1405" s="66"/>
      <c r="Y1405" s="80"/>
      <c r="Z1405" s="80"/>
      <c r="AA1405" s="153"/>
    </row>
    <row r="1406" spans="17:27" x14ac:dyDescent="0.25">
      <c r="Q1406" s="53"/>
      <c r="R1406" s="68"/>
      <c r="S1406" s="68"/>
      <c r="T1406" s="68"/>
      <c r="U1406" s="68"/>
      <c r="V1406" s="72"/>
      <c r="W1406" s="72"/>
      <c r="X1406" s="66"/>
      <c r="Y1406" s="80"/>
      <c r="Z1406" s="80"/>
      <c r="AA1406" s="153"/>
    </row>
    <row r="1407" spans="17:27" x14ac:dyDescent="0.25">
      <c r="Q1407" s="53"/>
      <c r="R1407" s="68"/>
      <c r="S1407" s="68"/>
      <c r="T1407" s="68"/>
      <c r="U1407" s="68"/>
      <c r="V1407" s="72"/>
      <c r="W1407" s="72"/>
      <c r="X1407" s="66"/>
      <c r="Y1407" s="80"/>
      <c r="Z1407" s="80"/>
      <c r="AA1407" s="153"/>
    </row>
    <row r="1408" spans="17:27" x14ac:dyDescent="0.25">
      <c r="Q1408" s="53"/>
      <c r="R1408" s="68"/>
      <c r="S1408" s="68"/>
      <c r="T1408" s="68"/>
      <c r="U1408" s="68"/>
      <c r="V1408" s="72"/>
      <c r="W1408" s="72"/>
      <c r="X1408" s="66"/>
      <c r="Y1408" s="80"/>
      <c r="Z1408" s="80"/>
      <c r="AA1408" s="153"/>
    </row>
    <row r="1409" spans="17:27" x14ac:dyDescent="0.25">
      <c r="Q1409" s="53"/>
      <c r="R1409" s="68"/>
      <c r="S1409" s="68"/>
      <c r="T1409" s="68"/>
      <c r="U1409" s="68"/>
      <c r="V1409" s="72"/>
      <c r="W1409" s="72"/>
      <c r="X1409" s="66"/>
      <c r="Y1409" s="80"/>
      <c r="Z1409" s="80"/>
      <c r="AA1409" s="153"/>
    </row>
    <row r="1410" spans="17:27" x14ac:dyDescent="0.25">
      <c r="Q1410" s="53"/>
      <c r="R1410" s="68"/>
      <c r="S1410" s="68"/>
      <c r="T1410" s="68"/>
      <c r="U1410" s="68"/>
      <c r="V1410" s="72"/>
      <c r="W1410" s="72"/>
      <c r="X1410" s="66"/>
      <c r="Y1410" s="80"/>
      <c r="Z1410" s="80"/>
      <c r="AA1410" s="153"/>
    </row>
    <row r="1411" spans="17:27" x14ac:dyDescent="0.25">
      <c r="Q1411" s="53"/>
      <c r="R1411" s="68"/>
      <c r="S1411" s="68"/>
      <c r="T1411" s="68"/>
      <c r="U1411" s="68"/>
      <c r="V1411" s="72"/>
      <c r="W1411" s="72"/>
      <c r="X1411" s="66"/>
      <c r="Y1411" s="80"/>
      <c r="Z1411" s="80"/>
      <c r="AA1411" s="153"/>
    </row>
    <row r="1412" spans="17:27" x14ac:dyDescent="0.25">
      <c r="Q1412" s="53"/>
      <c r="R1412" s="68"/>
      <c r="S1412" s="68"/>
      <c r="T1412" s="68"/>
      <c r="U1412" s="68"/>
      <c r="V1412" s="72"/>
      <c r="W1412" s="72"/>
      <c r="X1412" s="66"/>
      <c r="Y1412" s="80"/>
      <c r="Z1412" s="80"/>
      <c r="AA1412" s="153"/>
    </row>
    <row r="1413" spans="17:27" x14ac:dyDescent="0.25">
      <c r="Q1413" s="53"/>
      <c r="R1413" s="53"/>
      <c r="S1413" s="103"/>
      <c r="T1413" s="103"/>
      <c r="U1413" s="53"/>
      <c r="V1413" s="66"/>
      <c r="W1413" s="66"/>
      <c r="X1413" s="66"/>
      <c r="Y1413" s="80"/>
      <c r="Z1413" s="80"/>
      <c r="AA1413" s="153"/>
    </row>
    <row r="1414" spans="17:27" x14ac:dyDescent="0.25">
      <c r="Q1414" s="53"/>
      <c r="R1414" s="68"/>
      <c r="S1414" s="68"/>
      <c r="T1414" s="68"/>
      <c r="U1414" s="68"/>
      <c r="V1414" s="72"/>
      <c r="W1414" s="72"/>
      <c r="X1414" s="66"/>
      <c r="Y1414" s="80"/>
      <c r="Z1414" s="80"/>
      <c r="AA1414" s="153"/>
    </row>
    <row r="1415" spans="17:27" x14ac:dyDescent="0.25">
      <c r="Q1415" s="53"/>
      <c r="R1415" s="68"/>
      <c r="S1415" s="68"/>
      <c r="T1415" s="68"/>
      <c r="U1415" s="68"/>
      <c r="V1415" s="72"/>
      <c r="W1415" s="72"/>
      <c r="X1415" s="66"/>
      <c r="Y1415" s="80"/>
      <c r="Z1415" s="80"/>
      <c r="AA1415" s="153"/>
    </row>
    <row r="1416" spans="17:27" x14ac:dyDescent="0.25">
      <c r="Q1416" s="53"/>
      <c r="R1416" s="68"/>
      <c r="S1416" s="68"/>
      <c r="T1416" s="68"/>
      <c r="U1416" s="68"/>
      <c r="V1416" s="72"/>
      <c r="W1416" s="72"/>
      <c r="X1416" s="66"/>
      <c r="Y1416" s="80"/>
      <c r="Z1416" s="80"/>
      <c r="AA1416" s="153"/>
    </row>
    <row r="1417" spans="17:27" x14ac:dyDescent="0.25">
      <c r="Q1417" s="53"/>
      <c r="R1417" s="68"/>
      <c r="S1417" s="68"/>
      <c r="T1417" s="68"/>
      <c r="U1417" s="68"/>
      <c r="V1417" s="72"/>
      <c r="W1417" s="72"/>
      <c r="X1417" s="66"/>
      <c r="Y1417" s="80"/>
      <c r="Z1417" s="80"/>
      <c r="AA1417" s="153"/>
    </row>
    <row r="1418" spans="17:27" x14ac:dyDescent="0.25">
      <c r="Q1418" s="53"/>
      <c r="R1418" s="68"/>
      <c r="S1418" s="68"/>
      <c r="T1418" s="68"/>
      <c r="U1418" s="68"/>
      <c r="V1418" s="72"/>
      <c r="W1418" s="72"/>
      <c r="X1418" s="66"/>
      <c r="Y1418" s="80"/>
      <c r="Z1418" s="80"/>
      <c r="AA1418" s="153"/>
    </row>
    <row r="1419" spans="17:27" x14ac:dyDescent="0.25">
      <c r="Q1419" s="53"/>
      <c r="R1419" s="68"/>
      <c r="S1419" s="68"/>
      <c r="T1419" s="68"/>
      <c r="U1419" s="68"/>
      <c r="V1419" s="72"/>
      <c r="W1419" s="72"/>
      <c r="X1419" s="66"/>
      <c r="Y1419" s="80"/>
      <c r="Z1419" s="80"/>
      <c r="AA1419" s="153"/>
    </row>
    <row r="1420" spans="17:27" x14ac:dyDescent="0.25">
      <c r="Q1420" s="53"/>
      <c r="R1420" s="68"/>
      <c r="S1420" s="68"/>
      <c r="T1420" s="68"/>
      <c r="U1420" s="68"/>
      <c r="V1420" s="72"/>
      <c r="W1420" s="72"/>
      <c r="X1420" s="66"/>
      <c r="Y1420" s="80"/>
      <c r="Z1420" s="80"/>
      <c r="AA1420" s="153"/>
    </row>
    <row r="1421" spans="17:27" x14ac:dyDescent="0.25">
      <c r="Q1421" s="53"/>
      <c r="R1421" s="68"/>
      <c r="S1421" s="68"/>
      <c r="T1421" s="68"/>
      <c r="U1421" s="68"/>
      <c r="V1421" s="72"/>
      <c r="W1421" s="72"/>
      <c r="X1421" s="66"/>
      <c r="Y1421" s="80"/>
      <c r="Z1421" s="80"/>
      <c r="AA1421" s="153"/>
    </row>
    <row r="1422" spans="17:27" x14ac:dyDescent="0.25">
      <c r="Q1422" s="53"/>
      <c r="R1422" s="68"/>
      <c r="S1422" s="68"/>
      <c r="T1422" s="68"/>
      <c r="U1422" s="68"/>
      <c r="V1422" s="72"/>
      <c r="W1422" s="72"/>
      <c r="X1422" s="66"/>
      <c r="Y1422" s="80"/>
      <c r="Z1422" s="80"/>
      <c r="AA1422" s="153"/>
    </row>
    <row r="1423" spans="17:27" x14ac:dyDescent="0.25">
      <c r="Q1423" s="53"/>
      <c r="R1423" s="68"/>
      <c r="S1423" s="68"/>
      <c r="T1423" s="68"/>
      <c r="U1423" s="68"/>
      <c r="V1423" s="72"/>
      <c r="W1423" s="72"/>
      <c r="X1423" s="66"/>
      <c r="Y1423" s="80"/>
      <c r="Z1423" s="80"/>
      <c r="AA1423" s="153"/>
    </row>
    <row r="1424" spans="17:27" x14ac:dyDescent="0.25">
      <c r="Q1424" s="53"/>
      <c r="R1424" s="68"/>
      <c r="S1424" s="68"/>
      <c r="T1424" s="68"/>
      <c r="U1424" s="68"/>
      <c r="V1424" s="72"/>
      <c r="W1424" s="72"/>
      <c r="X1424" s="66"/>
      <c r="Y1424" s="80"/>
      <c r="Z1424" s="80"/>
      <c r="AA1424" s="153"/>
    </row>
    <row r="1425" spans="17:27" x14ac:dyDescent="0.25">
      <c r="Q1425" s="53"/>
      <c r="R1425" s="68"/>
      <c r="S1425" s="68"/>
      <c r="T1425" s="68"/>
      <c r="U1425" s="68"/>
      <c r="V1425" s="72"/>
      <c r="W1425" s="72"/>
      <c r="X1425" s="66"/>
      <c r="Y1425" s="80"/>
      <c r="Z1425" s="80"/>
      <c r="AA1425" s="153"/>
    </row>
    <row r="1426" spans="17:27" x14ac:dyDescent="0.25">
      <c r="Q1426" s="53"/>
      <c r="R1426" s="68"/>
      <c r="S1426" s="68"/>
      <c r="T1426" s="68"/>
      <c r="U1426" s="68"/>
      <c r="V1426" s="72"/>
      <c r="W1426" s="72"/>
      <c r="X1426" s="66"/>
      <c r="Y1426" s="80"/>
      <c r="Z1426" s="80"/>
      <c r="AA1426" s="153"/>
    </row>
    <row r="1427" spans="17:27" x14ac:dyDescent="0.25">
      <c r="Q1427" s="53"/>
      <c r="R1427" s="68"/>
      <c r="S1427" s="68"/>
      <c r="T1427" s="68"/>
      <c r="U1427" s="68"/>
      <c r="V1427" s="72"/>
      <c r="W1427" s="72"/>
      <c r="X1427" s="66"/>
      <c r="Y1427" s="80"/>
      <c r="Z1427" s="80"/>
      <c r="AA1427" s="153"/>
    </row>
    <row r="1428" spans="17:27" x14ac:dyDescent="0.25">
      <c r="Q1428" s="53"/>
      <c r="R1428" s="68"/>
      <c r="S1428" s="68"/>
      <c r="T1428" s="68"/>
      <c r="U1428" s="68"/>
      <c r="V1428" s="72"/>
      <c r="W1428" s="72"/>
      <c r="X1428" s="66"/>
      <c r="Y1428" s="80"/>
      <c r="Z1428" s="80"/>
      <c r="AA1428" s="153"/>
    </row>
    <row r="1429" spans="17:27" x14ac:dyDescent="0.25">
      <c r="Q1429" s="53"/>
      <c r="R1429" s="68"/>
      <c r="S1429" s="68"/>
      <c r="T1429" s="68"/>
      <c r="U1429" s="68"/>
      <c r="V1429" s="72"/>
      <c r="W1429" s="72"/>
      <c r="X1429" s="66"/>
      <c r="Y1429" s="80"/>
      <c r="Z1429" s="80"/>
      <c r="AA1429" s="153"/>
    </row>
    <row r="1430" spans="17:27" x14ac:dyDescent="0.25">
      <c r="Q1430" s="53"/>
      <c r="R1430" s="68"/>
      <c r="S1430" s="68"/>
      <c r="T1430" s="68"/>
      <c r="U1430" s="68"/>
      <c r="V1430" s="72"/>
      <c r="W1430" s="72"/>
      <c r="X1430" s="66"/>
      <c r="Y1430" s="80"/>
      <c r="Z1430" s="80"/>
      <c r="AA1430" s="153"/>
    </row>
    <row r="1431" spans="17:27" x14ac:dyDescent="0.25">
      <c r="Q1431" s="53"/>
      <c r="R1431" s="68"/>
      <c r="S1431" s="68"/>
      <c r="T1431" s="68"/>
      <c r="U1431" s="68"/>
      <c r="V1431" s="72"/>
      <c r="W1431" s="72"/>
      <c r="X1431" s="66"/>
      <c r="Y1431" s="80"/>
      <c r="Z1431" s="80"/>
      <c r="AA1431" s="153"/>
    </row>
    <row r="1432" spans="17:27" x14ac:dyDescent="0.25">
      <c r="Q1432" s="53"/>
      <c r="R1432" s="68"/>
      <c r="S1432" s="68"/>
      <c r="T1432" s="68"/>
      <c r="U1432" s="68"/>
      <c r="V1432" s="72"/>
      <c r="W1432" s="72"/>
      <c r="X1432" s="66"/>
      <c r="Y1432" s="80"/>
      <c r="Z1432" s="80"/>
      <c r="AA1432" s="153"/>
    </row>
    <row r="1433" spans="17:27" x14ac:dyDescent="0.25">
      <c r="Q1433" s="53"/>
      <c r="R1433" s="68"/>
      <c r="S1433" s="68"/>
      <c r="T1433" s="68"/>
      <c r="U1433" s="68"/>
      <c r="V1433" s="72"/>
      <c r="W1433" s="72"/>
      <c r="X1433" s="66"/>
      <c r="Y1433" s="80"/>
      <c r="Z1433" s="80"/>
      <c r="AA1433" s="153"/>
    </row>
    <row r="1434" spans="17:27" x14ac:dyDescent="0.25">
      <c r="Q1434" s="53"/>
      <c r="R1434" s="68"/>
      <c r="S1434" s="68"/>
      <c r="T1434" s="68"/>
      <c r="U1434" s="68"/>
      <c r="V1434" s="72"/>
      <c r="W1434" s="72"/>
      <c r="X1434" s="66"/>
      <c r="Y1434" s="80"/>
      <c r="Z1434" s="80"/>
      <c r="AA1434" s="153"/>
    </row>
    <row r="1435" spans="17:27" x14ac:dyDescent="0.25">
      <c r="Q1435" s="53"/>
      <c r="R1435" s="68"/>
      <c r="S1435" s="68"/>
      <c r="T1435" s="68"/>
      <c r="U1435" s="68"/>
      <c r="V1435" s="72"/>
      <c r="W1435" s="72"/>
      <c r="X1435" s="66"/>
      <c r="Y1435" s="80"/>
      <c r="Z1435" s="80"/>
      <c r="AA1435" s="153"/>
    </row>
    <row r="1436" spans="17:27" x14ac:dyDescent="0.25">
      <c r="Q1436" s="53"/>
      <c r="R1436" s="68"/>
      <c r="S1436" s="68"/>
      <c r="T1436" s="68"/>
      <c r="U1436" s="68"/>
      <c r="V1436" s="72"/>
      <c r="W1436" s="72"/>
      <c r="X1436" s="66"/>
      <c r="Y1436" s="80"/>
      <c r="Z1436" s="80"/>
      <c r="AA1436" s="153"/>
    </row>
    <row r="1437" spans="17:27" x14ac:dyDescent="0.25">
      <c r="Q1437" s="53"/>
      <c r="R1437" s="68"/>
      <c r="S1437" s="68"/>
      <c r="T1437" s="68"/>
      <c r="U1437" s="68"/>
      <c r="V1437" s="72"/>
      <c r="W1437" s="72"/>
      <c r="X1437" s="66"/>
      <c r="Y1437" s="80"/>
      <c r="Z1437" s="80"/>
      <c r="AA1437" s="153"/>
    </row>
    <row r="1438" spans="17:27" x14ac:dyDescent="0.25">
      <c r="Q1438" s="53"/>
      <c r="R1438" s="68"/>
      <c r="S1438" s="68"/>
      <c r="T1438" s="68"/>
      <c r="U1438" s="68"/>
      <c r="V1438" s="72"/>
      <c r="W1438" s="72"/>
      <c r="X1438" s="66"/>
      <c r="Y1438" s="80"/>
      <c r="Z1438" s="80"/>
      <c r="AA1438" s="153"/>
    </row>
    <row r="1439" spans="17:27" x14ac:dyDescent="0.25">
      <c r="Q1439" s="53"/>
      <c r="R1439" s="68"/>
      <c r="S1439" s="68"/>
      <c r="T1439" s="68"/>
      <c r="U1439" s="68"/>
      <c r="V1439" s="72"/>
      <c r="W1439" s="72"/>
      <c r="X1439" s="66"/>
      <c r="Y1439" s="80"/>
      <c r="Z1439" s="80"/>
      <c r="AA1439" s="153"/>
    </row>
    <row r="1440" spans="17:27" x14ac:dyDescent="0.25">
      <c r="Q1440" s="53"/>
      <c r="R1440" s="68"/>
      <c r="S1440" s="68"/>
      <c r="T1440" s="68"/>
      <c r="U1440" s="68"/>
      <c r="V1440" s="72"/>
      <c r="W1440" s="72"/>
      <c r="X1440" s="66"/>
      <c r="Y1440" s="80"/>
      <c r="Z1440" s="80"/>
      <c r="AA1440" s="153"/>
    </row>
    <row r="1441" spans="17:27" x14ac:dyDescent="0.25">
      <c r="Q1441" s="53"/>
      <c r="R1441" s="68"/>
      <c r="S1441" s="68"/>
      <c r="T1441" s="68"/>
      <c r="U1441" s="68"/>
      <c r="V1441" s="72"/>
      <c r="W1441" s="72"/>
      <c r="X1441" s="66"/>
      <c r="Y1441" s="80"/>
      <c r="Z1441" s="80"/>
      <c r="AA1441" s="153"/>
    </row>
    <row r="1442" spans="17:27" x14ac:dyDescent="0.25">
      <c r="Q1442" s="53"/>
      <c r="R1442" s="68"/>
      <c r="S1442" s="68"/>
      <c r="T1442" s="68"/>
      <c r="U1442" s="68"/>
      <c r="V1442" s="72"/>
      <c r="W1442" s="72"/>
      <c r="X1442" s="66"/>
      <c r="Y1442" s="80"/>
      <c r="Z1442" s="80"/>
      <c r="AA1442" s="153"/>
    </row>
    <row r="1443" spans="17:27" x14ac:dyDescent="0.25">
      <c r="Q1443" s="53"/>
      <c r="R1443" s="68"/>
      <c r="S1443" s="68"/>
      <c r="T1443" s="68"/>
      <c r="U1443" s="68"/>
      <c r="V1443" s="72"/>
      <c r="W1443" s="72"/>
      <c r="X1443" s="66"/>
      <c r="Y1443" s="80"/>
      <c r="Z1443" s="80"/>
      <c r="AA1443" s="153"/>
    </row>
    <row r="1444" spans="17:27" x14ac:dyDescent="0.25">
      <c r="Q1444" s="53"/>
      <c r="R1444" s="68"/>
      <c r="S1444" s="68"/>
      <c r="T1444" s="68"/>
      <c r="U1444" s="68"/>
      <c r="V1444" s="72"/>
      <c r="W1444" s="72"/>
      <c r="X1444" s="66"/>
      <c r="Y1444" s="80"/>
      <c r="Z1444" s="80"/>
      <c r="AA1444" s="153"/>
    </row>
    <row r="1445" spans="17:27" x14ac:dyDescent="0.25">
      <c r="Q1445" s="53"/>
      <c r="R1445" s="68"/>
      <c r="S1445" s="68"/>
      <c r="T1445" s="68"/>
      <c r="U1445" s="68"/>
      <c r="V1445" s="72"/>
      <c r="W1445" s="72"/>
      <c r="X1445" s="66"/>
      <c r="Y1445" s="80"/>
      <c r="Z1445" s="80"/>
      <c r="AA1445" s="153"/>
    </row>
    <row r="1446" spans="17:27" x14ac:dyDescent="0.25">
      <c r="Q1446" s="53"/>
      <c r="R1446" s="68"/>
      <c r="S1446" s="68"/>
      <c r="T1446" s="68"/>
      <c r="U1446" s="68"/>
      <c r="V1446" s="72"/>
      <c r="W1446" s="72"/>
      <c r="X1446" s="66"/>
      <c r="Y1446" s="80"/>
      <c r="Z1446" s="80"/>
      <c r="AA1446" s="153"/>
    </row>
    <row r="1447" spans="17:27" x14ac:dyDescent="0.25">
      <c r="Q1447" s="53"/>
      <c r="R1447" s="68"/>
      <c r="S1447" s="68"/>
      <c r="T1447" s="68"/>
      <c r="U1447" s="68"/>
      <c r="V1447" s="72"/>
      <c r="W1447" s="72"/>
      <c r="X1447" s="66"/>
      <c r="Y1447" s="80"/>
      <c r="Z1447" s="80"/>
      <c r="AA1447" s="153"/>
    </row>
    <row r="1448" spans="17:27" x14ac:dyDescent="0.25">
      <c r="Q1448" s="53"/>
      <c r="R1448" s="68"/>
      <c r="S1448" s="68"/>
      <c r="T1448" s="68"/>
      <c r="U1448" s="68"/>
      <c r="V1448" s="72"/>
      <c r="W1448" s="72"/>
      <c r="X1448" s="66"/>
      <c r="Y1448" s="80"/>
      <c r="Z1448" s="80"/>
      <c r="AA1448" s="153"/>
    </row>
    <row r="1449" spans="17:27" x14ac:dyDescent="0.25">
      <c r="Q1449" s="53"/>
      <c r="R1449" s="68"/>
      <c r="S1449" s="68"/>
      <c r="T1449" s="68"/>
      <c r="U1449" s="68"/>
      <c r="V1449" s="72"/>
      <c r="W1449" s="72"/>
      <c r="X1449" s="66"/>
      <c r="Y1449" s="80"/>
      <c r="Z1449" s="80"/>
      <c r="AA1449" s="153"/>
    </row>
    <row r="1450" spans="17:27" x14ac:dyDescent="0.25">
      <c r="Q1450" s="53"/>
      <c r="R1450" s="68"/>
      <c r="S1450" s="68"/>
      <c r="T1450" s="68"/>
      <c r="U1450" s="68"/>
      <c r="V1450" s="72"/>
      <c r="W1450" s="72"/>
      <c r="X1450" s="66"/>
      <c r="Y1450" s="80"/>
      <c r="Z1450" s="80"/>
      <c r="AA1450" s="153"/>
    </row>
    <row r="1451" spans="17:27" x14ac:dyDescent="0.25">
      <c r="Q1451" s="53"/>
      <c r="R1451" s="68"/>
      <c r="S1451" s="68"/>
      <c r="T1451" s="68"/>
      <c r="U1451" s="68"/>
      <c r="V1451" s="72"/>
      <c r="W1451" s="72"/>
      <c r="X1451" s="66"/>
      <c r="Y1451" s="80"/>
      <c r="Z1451" s="80"/>
      <c r="AA1451" s="153"/>
    </row>
    <row r="1452" spans="17:27" x14ac:dyDescent="0.25">
      <c r="Q1452" s="53"/>
      <c r="R1452" s="68"/>
      <c r="S1452" s="68"/>
      <c r="T1452" s="68"/>
      <c r="U1452" s="68"/>
      <c r="V1452" s="72"/>
      <c r="W1452" s="72"/>
      <c r="X1452" s="66"/>
      <c r="Y1452" s="80"/>
      <c r="Z1452" s="80"/>
      <c r="AA1452" s="153"/>
    </row>
    <row r="1453" spans="17:27" x14ac:dyDescent="0.25">
      <c r="Q1453" s="53"/>
      <c r="R1453" s="68"/>
      <c r="S1453" s="68"/>
      <c r="T1453" s="68"/>
      <c r="U1453" s="68"/>
      <c r="V1453" s="72"/>
      <c r="W1453" s="72"/>
      <c r="X1453" s="66"/>
      <c r="Y1453" s="80"/>
      <c r="Z1453" s="80"/>
      <c r="AA1453" s="153"/>
    </row>
    <row r="1454" spans="17:27" x14ac:dyDescent="0.25">
      <c r="Q1454" s="53"/>
      <c r="R1454" s="68"/>
      <c r="S1454" s="68"/>
      <c r="T1454" s="68"/>
      <c r="U1454" s="68"/>
      <c r="V1454" s="72"/>
      <c r="W1454" s="72"/>
      <c r="X1454" s="66"/>
      <c r="Y1454" s="80"/>
      <c r="Z1454" s="80"/>
      <c r="AA1454" s="153"/>
    </row>
    <row r="1455" spans="17:27" x14ac:dyDescent="0.25">
      <c r="Q1455" s="53"/>
      <c r="R1455" s="68"/>
      <c r="S1455" s="68"/>
      <c r="T1455" s="68"/>
      <c r="U1455" s="68"/>
      <c r="V1455" s="72"/>
      <c r="W1455" s="72"/>
      <c r="X1455" s="66"/>
      <c r="Y1455" s="80"/>
      <c r="Z1455" s="80"/>
      <c r="AA1455" s="153"/>
    </row>
    <row r="1456" spans="17:27" x14ac:dyDescent="0.25">
      <c r="Q1456" s="53"/>
      <c r="R1456" s="68"/>
      <c r="S1456" s="68"/>
      <c r="T1456" s="68"/>
      <c r="U1456" s="68"/>
      <c r="V1456" s="72"/>
      <c r="W1456" s="72"/>
      <c r="X1456" s="66"/>
      <c r="Y1456" s="80"/>
      <c r="Z1456" s="80"/>
      <c r="AA1456" s="153"/>
    </row>
    <row r="1457" spans="17:27" x14ac:dyDescent="0.25">
      <c r="Q1457" s="53"/>
      <c r="R1457" s="53"/>
      <c r="S1457" s="103"/>
      <c r="T1457" s="103"/>
      <c r="U1457" s="53"/>
      <c r="V1457" s="66"/>
      <c r="W1457" s="66"/>
      <c r="X1457" s="66"/>
      <c r="Y1457" s="66"/>
      <c r="Z1457" s="66"/>
      <c r="AA1457" s="148"/>
    </row>
    <row r="1458" spans="17:27" x14ac:dyDescent="0.25">
      <c r="Q1458" s="53"/>
      <c r="R1458" s="68"/>
      <c r="S1458" s="68"/>
      <c r="T1458" s="68"/>
      <c r="U1458" s="68"/>
      <c r="V1458" s="72"/>
      <c r="W1458" s="72"/>
      <c r="X1458" s="66"/>
      <c r="Y1458" s="80"/>
      <c r="Z1458" s="80"/>
      <c r="AA1458" s="153"/>
    </row>
    <row r="1459" spans="17:27" x14ac:dyDescent="0.25">
      <c r="Q1459" s="53"/>
      <c r="R1459" s="68"/>
      <c r="S1459" s="68"/>
      <c r="T1459" s="68"/>
      <c r="U1459" s="68"/>
      <c r="V1459" s="72"/>
      <c r="W1459" s="72"/>
      <c r="X1459" s="66"/>
      <c r="Y1459" s="80"/>
      <c r="Z1459" s="80"/>
      <c r="AA1459" s="153"/>
    </row>
    <row r="1460" spans="17:27" x14ac:dyDescent="0.25">
      <c r="Q1460" s="53"/>
      <c r="R1460" s="68"/>
      <c r="S1460" s="68"/>
      <c r="T1460" s="68"/>
      <c r="U1460" s="68"/>
      <c r="V1460" s="72"/>
      <c r="W1460" s="72"/>
      <c r="X1460" s="66"/>
      <c r="Y1460" s="80"/>
      <c r="Z1460" s="80"/>
      <c r="AA1460" s="153"/>
    </row>
    <row r="1461" spans="17:27" x14ac:dyDescent="0.25">
      <c r="Q1461" s="53"/>
      <c r="R1461" s="53"/>
      <c r="S1461" s="103"/>
      <c r="T1461" s="103"/>
      <c r="U1461" s="53"/>
      <c r="V1461" s="66"/>
      <c r="W1461" s="66"/>
      <c r="X1461" s="66"/>
      <c r="Y1461" s="80"/>
      <c r="Z1461" s="80"/>
      <c r="AA1461" s="153"/>
    </row>
    <row r="1462" spans="17:27" x14ac:dyDescent="0.25">
      <c r="Q1462" s="53"/>
      <c r="R1462" s="68"/>
      <c r="S1462" s="68"/>
      <c r="T1462" s="68"/>
      <c r="U1462" s="68"/>
      <c r="V1462" s="72"/>
      <c r="W1462" s="72"/>
      <c r="X1462" s="66"/>
      <c r="Y1462" s="80"/>
      <c r="Z1462" s="80"/>
      <c r="AA1462" s="153"/>
    </row>
    <row r="1463" spans="17:27" x14ac:dyDescent="0.25">
      <c r="Q1463" s="53"/>
      <c r="R1463" s="68"/>
      <c r="S1463" s="68"/>
      <c r="T1463" s="68"/>
      <c r="U1463" s="68"/>
      <c r="V1463" s="72"/>
      <c r="W1463" s="72"/>
      <c r="X1463" s="66"/>
      <c r="Y1463" s="80"/>
      <c r="Z1463" s="80"/>
      <c r="AA1463" s="153"/>
    </row>
    <row r="1464" spans="17:27" x14ac:dyDescent="0.25">
      <c r="Q1464" s="53"/>
      <c r="R1464" s="68"/>
      <c r="S1464" s="68"/>
      <c r="T1464" s="68"/>
      <c r="U1464" s="68"/>
      <c r="V1464" s="72"/>
      <c r="W1464" s="72"/>
      <c r="X1464" s="66"/>
      <c r="Y1464" s="80"/>
      <c r="Z1464" s="80"/>
      <c r="AA1464" s="153"/>
    </row>
    <row r="1465" spans="17:27" x14ac:dyDescent="0.25">
      <c r="Q1465" s="53"/>
      <c r="R1465" s="68"/>
      <c r="S1465" s="68"/>
      <c r="T1465" s="68"/>
      <c r="U1465" s="68"/>
      <c r="V1465" s="72"/>
      <c r="W1465" s="72"/>
      <c r="X1465" s="66"/>
      <c r="Y1465" s="80"/>
      <c r="Z1465" s="80"/>
      <c r="AA1465" s="153"/>
    </row>
    <row r="1466" spans="17:27" x14ac:dyDescent="0.25">
      <c r="Q1466" s="53"/>
      <c r="R1466" s="68"/>
      <c r="S1466" s="68"/>
      <c r="T1466" s="68"/>
      <c r="U1466" s="68"/>
      <c r="V1466" s="72"/>
      <c r="W1466" s="72"/>
      <c r="X1466" s="66"/>
      <c r="Y1466" s="80"/>
      <c r="Z1466" s="80"/>
      <c r="AA1466" s="153"/>
    </row>
    <row r="1467" spans="17:27" x14ac:dyDescent="0.25">
      <c r="Q1467" s="53"/>
      <c r="R1467" s="68"/>
      <c r="S1467" s="68"/>
      <c r="T1467" s="68"/>
      <c r="U1467" s="68"/>
      <c r="V1467" s="72"/>
      <c r="W1467" s="72"/>
      <c r="X1467" s="66"/>
      <c r="Y1467" s="80"/>
      <c r="Z1467" s="80"/>
      <c r="AA1467" s="153"/>
    </row>
    <row r="1468" spans="17:27" x14ac:dyDescent="0.25">
      <c r="Q1468" s="53"/>
      <c r="R1468" s="68"/>
      <c r="S1468" s="68"/>
      <c r="T1468" s="68"/>
      <c r="U1468" s="68"/>
      <c r="V1468" s="72"/>
      <c r="W1468" s="72"/>
      <c r="X1468" s="66"/>
      <c r="Y1468" s="80"/>
      <c r="Z1468" s="80"/>
      <c r="AA1468" s="153"/>
    </row>
    <row r="1469" spans="17:27" x14ac:dyDescent="0.25">
      <c r="Q1469" s="53"/>
      <c r="R1469" s="68"/>
      <c r="S1469" s="68"/>
      <c r="T1469" s="68"/>
      <c r="U1469" s="68"/>
      <c r="V1469" s="72"/>
      <c r="W1469" s="72"/>
      <c r="X1469" s="66"/>
      <c r="Y1469" s="80"/>
      <c r="Z1469" s="80"/>
      <c r="AA1469" s="153"/>
    </row>
    <row r="1470" spans="17:27" x14ac:dyDescent="0.25">
      <c r="Q1470" s="53"/>
      <c r="R1470" s="68"/>
      <c r="S1470" s="68"/>
      <c r="T1470" s="68"/>
      <c r="U1470" s="68"/>
      <c r="V1470" s="72"/>
      <c r="W1470" s="72"/>
      <c r="X1470" s="66"/>
      <c r="Y1470" s="80"/>
      <c r="Z1470" s="80"/>
      <c r="AA1470" s="153"/>
    </row>
    <row r="1471" spans="17:27" x14ac:dyDescent="0.25">
      <c r="Q1471" s="53"/>
      <c r="R1471" s="68"/>
      <c r="S1471" s="68"/>
      <c r="T1471" s="68"/>
      <c r="U1471" s="68"/>
      <c r="V1471" s="72"/>
      <c r="W1471" s="72"/>
      <c r="X1471" s="66"/>
      <c r="Y1471" s="80"/>
      <c r="Z1471" s="80"/>
      <c r="AA1471" s="153"/>
    </row>
    <row r="1472" spans="17:27" x14ac:dyDescent="0.25">
      <c r="Q1472" s="53"/>
      <c r="R1472" s="68"/>
      <c r="S1472" s="68"/>
      <c r="T1472" s="68"/>
      <c r="U1472" s="68"/>
      <c r="V1472" s="72"/>
      <c r="W1472" s="72"/>
      <c r="X1472" s="66"/>
      <c r="Y1472" s="80"/>
      <c r="Z1472" s="80"/>
      <c r="AA1472" s="153"/>
    </row>
    <row r="1473" spans="17:27" x14ac:dyDescent="0.25">
      <c r="Q1473" s="53"/>
      <c r="R1473" s="68"/>
      <c r="S1473" s="68"/>
      <c r="T1473" s="68"/>
      <c r="U1473" s="68"/>
      <c r="V1473" s="72"/>
      <c r="W1473" s="72"/>
      <c r="X1473" s="66"/>
      <c r="Y1473" s="80"/>
      <c r="Z1473" s="80"/>
      <c r="AA1473" s="153"/>
    </row>
    <row r="1474" spans="17:27" x14ac:dyDescent="0.25">
      <c r="Q1474" s="53"/>
      <c r="R1474" s="68"/>
      <c r="S1474" s="68"/>
      <c r="T1474" s="68"/>
      <c r="U1474" s="68"/>
      <c r="V1474" s="72"/>
      <c r="W1474" s="72"/>
      <c r="X1474" s="66"/>
      <c r="Y1474" s="80"/>
      <c r="Z1474" s="80"/>
      <c r="AA1474" s="153"/>
    </row>
    <row r="1475" spans="17:27" x14ac:dyDescent="0.25">
      <c r="Q1475" s="53"/>
      <c r="R1475" s="68"/>
      <c r="S1475" s="68"/>
      <c r="T1475" s="68"/>
      <c r="U1475" s="68"/>
      <c r="V1475" s="72"/>
      <c r="W1475" s="72"/>
      <c r="X1475" s="66"/>
      <c r="Y1475" s="80"/>
      <c r="Z1475" s="80"/>
      <c r="AA1475" s="153"/>
    </row>
    <row r="1476" spans="17:27" x14ac:dyDescent="0.25">
      <c r="Q1476" s="53"/>
      <c r="R1476" s="68"/>
      <c r="S1476" s="68"/>
      <c r="T1476" s="68"/>
      <c r="U1476" s="68"/>
      <c r="V1476" s="72"/>
      <c r="W1476" s="72"/>
      <c r="X1476" s="66"/>
      <c r="Y1476" s="80"/>
      <c r="Z1476" s="80"/>
      <c r="AA1476" s="153"/>
    </row>
    <row r="1477" spans="17:27" x14ac:dyDescent="0.25">
      <c r="Q1477" s="53"/>
      <c r="R1477" s="68"/>
      <c r="S1477" s="68"/>
      <c r="T1477" s="68"/>
      <c r="U1477" s="68"/>
      <c r="V1477" s="72"/>
      <c r="W1477" s="72"/>
      <c r="X1477" s="66"/>
      <c r="Y1477" s="80"/>
      <c r="Z1477" s="80"/>
      <c r="AA1477" s="153"/>
    </row>
    <row r="1478" spans="17:27" x14ac:dyDescent="0.25">
      <c r="Q1478" s="53"/>
      <c r="R1478" s="68"/>
      <c r="S1478" s="68"/>
      <c r="T1478" s="68"/>
      <c r="U1478" s="68"/>
      <c r="V1478" s="72"/>
      <c r="W1478" s="72"/>
      <c r="X1478" s="66"/>
      <c r="Y1478" s="80"/>
      <c r="Z1478" s="80"/>
      <c r="AA1478" s="153"/>
    </row>
    <row r="1479" spans="17:27" x14ac:dyDescent="0.25">
      <c r="Q1479" s="53"/>
      <c r="R1479" s="68"/>
      <c r="S1479" s="68"/>
      <c r="T1479" s="68"/>
      <c r="U1479" s="68"/>
      <c r="V1479" s="72"/>
      <c r="W1479" s="72"/>
      <c r="X1479" s="66"/>
      <c r="Y1479" s="80"/>
      <c r="Z1479" s="80"/>
      <c r="AA1479" s="153"/>
    </row>
    <row r="1480" spans="17:27" x14ac:dyDescent="0.25">
      <c r="Q1480" s="53"/>
      <c r="R1480" s="68"/>
      <c r="S1480" s="68"/>
      <c r="T1480" s="68"/>
      <c r="U1480" s="68"/>
      <c r="V1480" s="72"/>
      <c r="W1480" s="72"/>
      <c r="X1480" s="66"/>
      <c r="Y1480" s="80"/>
      <c r="Z1480" s="80"/>
      <c r="AA1480" s="153"/>
    </row>
    <row r="1481" spans="17:27" x14ac:dyDescent="0.25">
      <c r="Q1481" s="53"/>
      <c r="R1481" s="68"/>
      <c r="S1481" s="68"/>
      <c r="T1481" s="68"/>
      <c r="U1481" s="68"/>
      <c r="V1481" s="72"/>
      <c r="W1481" s="72"/>
      <c r="X1481" s="66"/>
      <c r="Y1481" s="80"/>
      <c r="Z1481" s="80"/>
      <c r="AA1481" s="153"/>
    </row>
    <row r="1482" spans="17:27" x14ac:dyDescent="0.25">
      <c r="Q1482" s="53"/>
      <c r="R1482" s="68"/>
      <c r="S1482" s="68"/>
      <c r="T1482" s="68"/>
      <c r="U1482" s="68"/>
      <c r="V1482" s="72"/>
      <c r="W1482" s="72"/>
      <c r="X1482" s="66"/>
      <c r="Y1482" s="80"/>
      <c r="Z1482" s="80"/>
      <c r="AA1482" s="153"/>
    </row>
    <row r="1483" spans="17:27" x14ac:dyDescent="0.25">
      <c r="Q1483" s="53"/>
      <c r="R1483" s="68"/>
      <c r="S1483" s="68"/>
      <c r="T1483" s="68"/>
      <c r="U1483" s="68"/>
      <c r="V1483" s="72"/>
      <c r="W1483" s="72"/>
      <c r="X1483" s="66"/>
      <c r="Y1483" s="80"/>
      <c r="Z1483" s="80"/>
      <c r="AA1483" s="153"/>
    </row>
    <row r="1484" spans="17:27" x14ac:dyDescent="0.25">
      <c r="Q1484" s="53"/>
      <c r="R1484" s="68"/>
      <c r="S1484" s="68"/>
      <c r="T1484" s="68"/>
      <c r="U1484" s="68"/>
      <c r="V1484" s="72"/>
      <c r="W1484" s="72"/>
      <c r="X1484" s="66"/>
      <c r="Y1484" s="80"/>
      <c r="Z1484" s="80"/>
      <c r="AA1484" s="153"/>
    </row>
    <row r="1485" spans="17:27" x14ac:dyDescent="0.25">
      <c r="Q1485" s="53"/>
      <c r="R1485" s="68"/>
      <c r="S1485" s="68"/>
      <c r="T1485" s="68"/>
      <c r="U1485" s="68"/>
      <c r="V1485" s="72"/>
      <c r="W1485" s="72"/>
      <c r="X1485" s="66"/>
      <c r="Y1485" s="80"/>
      <c r="Z1485" s="80"/>
      <c r="AA1485" s="153"/>
    </row>
    <row r="1486" spans="17:27" x14ac:dyDescent="0.25">
      <c r="Q1486" s="53"/>
      <c r="R1486" s="68"/>
      <c r="S1486" s="68"/>
      <c r="T1486" s="68"/>
      <c r="U1486" s="68"/>
      <c r="V1486" s="72"/>
      <c r="W1486" s="72"/>
      <c r="X1486" s="66"/>
      <c r="Y1486" s="80"/>
      <c r="Z1486" s="80"/>
      <c r="AA1486" s="153"/>
    </row>
    <row r="1487" spans="17:27" x14ac:dyDescent="0.25">
      <c r="Q1487" s="53"/>
      <c r="R1487" s="68"/>
      <c r="S1487" s="68"/>
      <c r="T1487" s="68"/>
      <c r="U1487" s="68"/>
      <c r="V1487" s="72"/>
      <c r="W1487" s="72"/>
      <c r="X1487" s="66"/>
      <c r="Y1487" s="80"/>
      <c r="Z1487" s="80"/>
      <c r="AA1487" s="153"/>
    </row>
    <row r="1488" spans="17:27" x14ac:dyDescent="0.25">
      <c r="Q1488" s="53"/>
      <c r="R1488" s="68"/>
      <c r="S1488" s="68"/>
      <c r="T1488" s="68"/>
      <c r="U1488" s="68"/>
      <c r="V1488" s="72"/>
      <c r="W1488" s="72"/>
      <c r="X1488" s="66"/>
      <c r="Y1488" s="80"/>
      <c r="Z1488" s="80"/>
      <c r="AA1488" s="153"/>
    </row>
    <row r="1489" spans="17:27" x14ac:dyDescent="0.25">
      <c r="Q1489" s="53"/>
      <c r="R1489" s="68"/>
      <c r="S1489" s="68"/>
      <c r="T1489" s="68"/>
      <c r="U1489" s="68"/>
      <c r="V1489" s="72"/>
      <c r="W1489" s="72"/>
      <c r="X1489" s="66"/>
      <c r="Y1489" s="80"/>
      <c r="Z1489" s="80"/>
      <c r="AA1489" s="153"/>
    </row>
    <row r="1490" spans="17:27" x14ac:dyDescent="0.25">
      <c r="Q1490" s="53"/>
      <c r="R1490" s="68"/>
      <c r="S1490" s="68"/>
      <c r="T1490" s="68"/>
      <c r="U1490" s="68"/>
      <c r="V1490" s="72"/>
      <c r="W1490" s="72"/>
      <c r="X1490" s="66"/>
      <c r="Y1490" s="80"/>
      <c r="Z1490" s="80"/>
      <c r="AA1490" s="153"/>
    </row>
    <row r="1491" spans="17:27" x14ac:dyDescent="0.25">
      <c r="Q1491" s="53"/>
      <c r="R1491" s="68"/>
      <c r="S1491" s="68"/>
      <c r="T1491" s="68"/>
      <c r="U1491" s="68"/>
      <c r="V1491" s="72"/>
      <c r="W1491" s="72"/>
      <c r="X1491" s="66"/>
      <c r="Y1491" s="80"/>
      <c r="Z1491" s="80"/>
      <c r="AA1491" s="153"/>
    </row>
    <row r="1492" spans="17:27" x14ac:dyDescent="0.25">
      <c r="Q1492" s="53"/>
      <c r="R1492" s="68"/>
      <c r="S1492" s="68"/>
      <c r="T1492" s="68"/>
      <c r="U1492" s="68"/>
      <c r="V1492" s="72"/>
      <c r="W1492" s="72"/>
      <c r="X1492" s="66"/>
      <c r="Y1492" s="80"/>
      <c r="Z1492" s="80"/>
      <c r="AA1492" s="153"/>
    </row>
    <row r="1493" spans="17:27" x14ac:dyDescent="0.25">
      <c r="Q1493" s="53"/>
      <c r="R1493" s="68"/>
      <c r="S1493" s="68"/>
      <c r="T1493" s="68"/>
      <c r="U1493" s="68"/>
      <c r="V1493" s="72"/>
      <c r="W1493" s="72"/>
      <c r="X1493" s="66"/>
      <c r="Y1493" s="80"/>
      <c r="Z1493" s="80"/>
      <c r="AA1493" s="153"/>
    </row>
    <row r="1494" spans="17:27" x14ac:dyDescent="0.25">
      <c r="Q1494" s="53"/>
      <c r="R1494" s="68"/>
      <c r="S1494" s="68"/>
      <c r="T1494" s="68"/>
      <c r="U1494" s="68"/>
      <c r="V1494" s="72"/>
      <c r="W1494" s="72"/>
      <c r="X1494" s="66"/>
      <c r="Y1494" s="80"/>
      <c r="Z1494" s="80"/>
      <c r="AA1494" s="153"/>
    </row>
    <row r="1495" spans="17:27" x14ac:dyDescent="0.25">
      <c r="Q1495" s="53"/>
      <c r="R1495" s="68"/>
      <c r="S1495" s="68"/>
      <c r="T1495" s="68"/>
      <c r="U1495" s="68"/>
      <c r="V1495" s="72"/>
      <c r="W1495" s="72"/>
      <c r="X1495" s="66"/>
      <c r="Y1495" s="80"/>
      <c r="Z1495" s="80"/>
      <c r="AA1495" s="153"/>
    </row>
    <row r="1496" spans="17:27" x14ac:dyDescent="0.25">
      <c r="Q1496" s="53"/>
      <c r="R1496" s="68"/>
      <c r="S1496" s="68"/>
      <c r="T1496" s="68"/>
      <c r="U1496" s="68"/>
      <c r="V1496" s="72"/>
      <c r="W1496" s="72"/>
      <c r="X1496" s="66"/>
      <c r="Y1496" s="80"/>
      <c r="Z1496" s="80"/>
      <c r="AA1496" s="153"/>
    </row>
    <row r="1497" spans="17:27" x14ac:dyDescent="0.25">
      <c r="Q1497" s="53"/>
      <c r="R1497" s="68"/>
      <c r="S1497" s="68"/>
      <c r="T1497" s="68"/>
      <c r="U1497" s="68"/>
      <c r="V1497" s="72"/>
      <c r="W1497" s="72"/>
      <c r="X1497" s="66"/>
      <c r="Y1497" s="80"/>
      <c r="Z1497" s="80"/>
      <c r="AA1497" s="153"/>
    </row>
    <row r="1498" spans="17:27" x14ac:dyDescent="0.25">
      <c r="Q1498" s="53"/>
      <c r="R1498" s="68"/>
      <c r="S1498" s="68"/>
      <c r="T1498" s="68"/>
      <c r="U1498" s="68"/>
      <c r="V1498" s="72"/>
      <c r="W1498" s="72"/>
      <c r="X1498" s="66"/>
      <c r="Y1498" s="80"/>
      <c r="Z1498" s="80"/>
      <c r="AA1498" s="153"/>
    </row>
    <row r="1499" spans="17:27" x14ac:dyDescent="0.25">
      <c r="Q1499" s="53"/>
      <c r="R1499" s="68"/>
      <c r="S1499" s="68"/>
      <c r="T1499" s="68"/>
      <c r="U1499" s="68"/>
      <c r="V1499" s="72"/>
      <c r="W1499" s="72"/>
      <c r="X1499" s="66"/>
      <c r="Y1499" s="80"/>
      <c r="Z1499" s="80"/>
      <c r="AA1499" s="153"/>
    </row>
    <row r="1500" spans="17:27" x14ac:dyDescent="0.25">
      <c r="Q1500" s="53"/>
      <c r="R1500" s="68"/>
      <c r="S1500" s="68"/>
      <c r="T1500" s="68"/>
      <c r="U1500" s="68"/>
      <c r="V1500" s="72"/>
      <c r="W1500" s="72"/>
      <c r="X1500" s="66"/>
      <c r="Y1500" s="80"/>
      <c r="Z1500" s="80"/>
      <c r="AA1500" s="153"/>
    </row>
    <row r="1501" spans="17:27" x14ac:dyDescent="0.25">
      <c r="Q1501" s="53"/>
      <c r="R1501" s="68"/>
      <c r="S1501" s="68"/>
      <c r="T1501" s="68"/>
      <c r="U1501" s="68"/>
      <c r="V1501" s="72"/>
      <c r="W1501" s="72"/>
      <c r="X1501" s="66"/>
      <c r="Y1501" s="80"/>
      <c r="Z1501" s="80"/>
      <c r="AA1501" s="153"/>
    </row>
    <row r="1502" spans="17:27" x14ac:dyDescent="0.25">
      <c r="Q1502" s="53"/>
      <c r="R1502" s="68"/>
      <c r="S1502" s="68"/>
      <c r="T1502" s="68"/>
      <c r="U1502" s="68"/>
      <c r="V1502" s="72"/>
      <c r="W1502" s="72"/>
      <c r="X1502" s="66"/>
      <c r="Y1502" s="80"/>
      <c r="Z1502" s="80"/>
      <c r="AA1502" s="153"/>
    </row>
    <row r="1503" spans="17:27" x14ac:dyDescent="0.25">
      <c r="Q1503" s="53"/>
      <c r="R1503" s="68"/>
      <c r="S1503" s="68"/>
      <c r="T1503" s="68"/>
      <c r="U1503" s="68"/>
      <c r="V1503" s="72"/>
      <c r="W1503" s="72"/>
      <c r="X1503" s="66"/>
      <c r="Y1503" s="80"/>
      <c r="Z1503" s="80"/>
      <c r="AA1503" s="153"/>
    </row>
    <row r="1504" spans="17:27" x14ac:dyDescent="0.25">
      <c r="Q1504" s="53"/>
      <c r="R1504" s="68"/>
      <c r="S1504" s="68"/>
      <c r="T1504" s="68"/>
      <c r="U1504" s="68"/>
      <c r="V1504" s="72"/>
      <c r="W1504" s="72"/>
      <c r="X1504" s="66"/>
      <c r="Y1504" s="80"/>
      <c r="Z1504" s="80"/>
      <c r="AA1504" s="153"/>
    </row>
    <row r="1505" spans="17:27" x14ac:dyDescent="0.25">
      <c r="Q1505" s="53"/>
      <c r="R1505" s="68"/>
      <c r="S1505" s="68"/>
      <c r="T1505" s="68"/>
      <c r="U1505" s="68"/>
      <c r="V1505" s="72"/>
      <c r="W1505" s="72"/>
      <c r="X1505" s="66"/>
      <c r="Y1505" s="80"/>
      <c r="Z1505" s="80"/>
      <c r="AA1505" s="153"/>
    </row>
    <row r="1506" spans="17:27" x14ac:dyDescent="0.25">
      <c r="Q1506" s="53"/>
      <c r="R1506" s="68"/>
      <c r="S1506" s="68"/>
      <c r="T1506" s="68"/>
      <c r="U1506" s="68"/>
      <c r="V1506" s="72"/>
      <c r="W1506" s="72"/>
      <c r="X1506" s="66"/>
      <c r="Y1506" s="80"/>
      <c r="Z1506" s="80"/>
      <c r="AA1506" s="153"/>
    </row>
    <row r="1507" spans="17:27" x14ac:dyDescent="0.25">
      <c r="Q1507" s="53"/>
      <c r="R1507" s="68"/>
      <c r="S1507" s="68"/>
      <c r="T1507" s="68"/>
      <c r="U1507" s="68"/>
      <c r="V1507" s="72"/>
      <c r="W1507" s="72"/>
      <c r="X1507" s="66"/>
      <c r="Y1507" s="80"/>
      <c r="Z1507" s="80"/>
      <c r="AA1507" s="153"/>
    </row>
    <row r="1508" spans="17:27" x14ac:dyDescent="0.25">
      <c r="Q1508" s="53"/>
      <c r="R1508" s="68"/>
      <c r="S1508" s="68"/>
      <c r="T1508" s="68"/>
      <c r="U1508" s="68"/>
      <c r="V1508" s="72"/>
      <c r="W1508" s="72"/>
      <c r="X1508" s="66"/>
      <c r="Y1508" s="80"/>
      <c r="Z1508" s="80"/>
      <c r="AA1508" s="153"/>
    </row>
    <row r="1509" spans="17:27" x14ac:dyDescent="0.25">
      <c r="Q1509" s="53"/>
      <c r="R1509" s="68"/>
      <c r="S1509" s="68"/>
      <c r="T1509" s="68"/>
      <c r="U1509" s="68"/>
      <c r="V1509" s="72"/>
      <c r="W1509" s="72"/>
      <c r="X1509" s="66"/>
      <c r="Y1509" s="80"/>
      <c r="Z1509" s="80"/>
      <c r="AA1509" s="153"/>
    </row>
    <row r="1510" spans="17:27" x14ac:dyDescent="0.25">
      <c r="Q1510" s="53"/>
      <c r="R1510" s="68"/>
      <c r="S1510" s="68"/>
      <c r="T1510" s="68"/>
      <c r="U1510" s="68"/>
      <c r="V1510" s="72"/>
      <c r="W1510" s="72"/>
      <c r="X1510" s="66"/>
      <c r="Y1510" s="80"/>
      <c r="Z1510" s="80"/>
      <c r="AA1510" s="153"/>
    </row>
    <row r="1511" spans="17:27" x14ac:dyDescent="0.25">
      <c r="Q1511" s="53"/>
      <c r="R1511" s="68"/>
      <c r="S1511" s="68"/>
      <c r="T1511" s="68"/>
      <c r="U1511" s="68"/>
      <c r="V1511" s="72"/>
      <c r="W1511" s="72"/>
      <c r="X1511" s="66"/>
      <c r="Y1511" s="80"/>
      <c r="Z1511" s="80"/>
      <c r="AA1511" s="153"/>
    </row>
    <row r="1512" spans="17:27" x14ac:dyDescent="0.25">
      <c r="Q1512" s="53"/>
      <c r="R1512" s="68"/>
      <c r="S1512" s="68"/>
      <c r="T1512" s="68"/>
      <c r="U1512" s="68"/>
      <c r="V1512" s="72"/>
      <c r="W1512" s="72"/>
      <c r="X1512" s="66"/>
      <c r="Y1512" s="80"/>
      <c r="Z1512" s="80"/>
      <c r="AA1512" s="153"/>
    </row>
    <row r="1513" spans="17:27" x14ac:dyDescent="0.25">
      <c r="Q1513" s="53"/>
      <c r="R1513" s="68"/>
      <c r="S1513" s="68"/>
      <c r="T1513" s="68"/>
      <c r="U1513" s="68"/>
      <c r="V1513" s="72"/>
      <c r="W1513" s="72"/>
      <c r="X1513" s="66"/>
      <c r="Y1513" s="80"/>
      <c r="Z1513" s="80"/>
      <c r="AA1513" s="153"/>
    </row>
    <row r="1514" spans="17:27" x14ac:dyDescent="0.25">
      <c r="Q1514" s="53"/>
      <c r="R1514" s="68"/>
      <c r="S1514" s="68"/>
      <c r="T1514" s="68"/>
      <c r="U1514" s="68"/>
      <c r="V1514" s="72"/>
      <c r="W1514" s="72"/>
      <c r="X1514" s="66"/>
      <c r="Y1514" s="80"/>
      <c r="Z1514" s="80"/>
      <c r="AA1514" s="153"/>
    </row>
    <row r="1515" spans="17:27" x14ac:dyDescent="0.25">
      <c r="Q1515" s="53"/>
      <c r="R1515" s="68"/>
      <c r="S1515" s="68"/>
      <c r="T1515" s="68"/>
      <c r="U1515" s="68"/>
      <c r="V1515" s="72"/>
      <c r="W1515" s="72"/>
      <c r="X1515" s="66"/>
      <c r="Y1515" s="80"/>
      <c r="Z1515" s="80"/>
      <c r="AA1515" s="153"/>
    </row>
    <row r="1516" spans="17:27" x14ac:dyDescent="0.25">
      <c r="Q1516" s="53"/>
      <c r="R1516" s="53"/>
      <c r="S1516" s="103"/>
      <c r="T1516" s="103"/>
      <c r="U1516" s="53"/>
      <c r="V1516" s="66"/>
      <c r="W1516" s="66"/>
      <c r="X1516" s="66"/>
      <c r="Y1516" s="80"/>
      <c r="Z1516" s="80"/>
      <c r="AA1516" s="153"/>
    </row>
    <row r="1517" spans="17:27" x14ac:dyDescent="0.25">
      <c r="Q1517" s="53"/>
      <c r="R1517" s="68"/>
      <c r="S1517" s="68"/>
      <c r="T1517" s="68"/>
      <c r="U1517" s="68"/>
      <c r="V1517" s="72"/>
      <c r="W1517" s="72"/>
      <c r="X1517" s="66"/>
      <c r="Y1517" s="80"/>
      <c r="Z1517" s="80"/>
      <c r="AA1517" s="153"/>
    </row>
    <row r="1518" spans="17:27" x14ac:dyDescent="0.25">
      <c r="Q1518" s="53"/>
      <c r="R1518" s="68"/>
      <c r="S1518" s="68"/>
      <c r="T1518" s="68"/>
      <c r="U1518" s="68"/>
      <c r="V1518" s="72"/>
      <c r="W1518" s="72"/>
      <c r="X1518" s="66"/>
      <c r="Y1518" s="80"/>
      <c r="Z1518" s="80"/>
      <c r="AA1518" s="153"/>
    </row>
    <row r="1519" spans="17:27" x14ac:dyDescent="0.25">
      <c r="Q1519" s="53"/>
      <c r="R1519" s="68"/>
      <c r="S1519" s="68"/>
      <c r="T1519" s="68"/>
      <c r="U1519" s="68"/>
      <c r="V1519" s="72"/>
      <c r="W1519" s="72"/>
      <c r="X1519" s="66"/>
      <c r="Y1519" s="80"/>
      <c r="Z1519" s="80"/>
      <c r="AA1519" s="153"/>
    </row>
    <row r="1520" spans="17:27" x14ac:dyDescent="0.25">
      <c r="Q1520" s="53"/>
      <c r="R1520" s="68"/>
      <c r="S1520" s="68"/>
      <c r="T1520" s="68"/>
      <c r="U1520" s="68"/>
      <c r="V1520" s="72"/>
      <c r="W1520" s="72"/>
      <c r="X1520" s="66"/>
      <c r="Y1520" s="80"/>
      <c r="Z1520" s="80"/>
      <c r="AA1520" s="153"/>
    </row>
    <row r="1521" spans="17:27" x14ac:dyDescent="0.25">
      <c r="Q1521" s="53"/>
      <c r="R1521" s="68"/>
      <c r="S1521" s="68"/>
      <c r="T1521" s="68"/>
      <c r="U1521" s="68"/>
      <c r="V1521" s="72"/>
      <c r="W1521" s="72"/>
      <c r="X1521" s="66"/>
      <c r="Y1521" s="80"/>
      <c r="Z1521" s="80"/>
      <c r="AA1521" s="153"/>
    </row>
    <row r="1522" spans="17:27" x14ac:dyDescent="0.25">
      <c r="Q1522" s="53"/>
      <c r="R1522" s="68"/>
      <c r="S1522" s="68"/>
      <c r="T1522" s="68"/>
      <c r="U1522" s="68"/>
      <c r="V1522" s="72"/>
      <c r="W1522" s="72"/>
      <c r="X1522" s="66"/>
      <c r="Y1522" s="80"/>
      <c r="Z1522" s="80"/>
      <c r="AA1522" s="153"/>
    </row>
    <row r="1523" spans="17:27" x14ac:dyDescent="0.25">
      <c r="Q1523" s="53"/>
      <c r="R1523" s="68"/>
      <c r="S1523" s="68"/>
      <c r="T1523" s="68"/>
      <c r="U1523" s="68"/>
      <c r="V1523" s="72"/>
      <c r="W1523" s="72"/>
      <c r="X1523" s="66"/>
      <c r="Y1523" s="80"/>
      <c r="Z1523" s="80"/>
      <c r="AA1523" s="153"/>
    </row>
    <row r="1524" spans="17:27" x14ac:dyDescent="0.25">
      <c r="Q1524" s="53"/>
      <c r="R1524" s="68"/>
      <c r="S1524" s="68"/>
      <c r="T1524" s="68"/>
      <c r="U1524" s="68"/>
      <c r="V1524" s="72"/>
      <c r="W1524" s="72"/>
      <c r="X1524" s="66"/>
      <c r="Y1524" s="80"/>
      <c r="Z1524" s="80"/>
      <c r="AA1524" s="153"/>
    </row>
    <row r="1525" spans="17:27" x14ac:dyDescent="0.25">
      <c r="Q1525" s="53"/>
      <c r="R1525" s="68"/>
      <c r="S1525" s="68"/>
      <c r="T1525" s="68"/>
      <c r="U1525" s="68"/>
      <c r="V1525" s="72"/>
      <c r="W1525" s="72"/>
      <c r="X1525" s="66"/>
      <c r="Y1525" s="80"/>
      <c r="Z1525" s="80"/>
      <c r="AA1525" s="153"/>
    </row>
    <row r="1526" spans="17:27" x14ac:dyDescent="0.25">
      <c r="Q1526" s="53"/>
      <c r="R1526" s="68"/>
      <c r="S1526" s="68"/>
      <c r="T1526" s="68"/>
      <c r="U1526" s="68"/>
      <c r="V1526" s="72"/>
      <c r="W1526" s="72"/>
      <c r="X1526" s="66"/>
      <c r="Y1526" s="80"/>
      <c r="Z1526" s="80"/>
      <c r="AA1526" s="153"/>
    </row>
    <row r="1527" spans="17:27" x14ac:dyDescent="0.25">
      <c r="Q1527" s="53"/>
      <c r="R1527" s="68"/>
      <c r="S1527" s="68"/>
      <c r="T1527" s="68"/>
      <c r="U1527" s="68"/>
      <c r="V1527" s="72"/>
      <c r="W1527" s="72"/>
      <c r="X1527" s="66"/>
      <c r="Y1527" s="80"/>
      <c r="Z1527" s="80"/>
      <c r="AA1527" s="153"/>
    </row>
    <row r="1528" spans="17:27" x14ac:dyDescent="0.25">
      <c r="Q1528" s="53"/>
      <c r="R1528" s="68"/>
      <c r="S1528" s="68"/>
      <c r="T1528" s="68"/>
      <c r="U1528" s="68"/>
      <c r="V1528" s="72"/>
      <c r="W1528" s="72"/>
      <c r="X1528" s="66"/>
      <c r="Y1528" s="80"/>
      <c r="Z1528" s="80"/>
      <c r="AA1528" s="153"/>
    </row>
    <row r="1529" spans="17:27" x14ac:dyDescent="0.25">
      <c r="Q1529" s="53"/>
      <c r="R1529" s="68"/>
      <c r="S1529" s="68"/>
      <c r="T1529" s="68"/>
      <c r="U1529" s="68"/>
      <c r="V1529" s="72"/>
      <c r="W1529" s="72"/>
      <c r="X1529" s="66"/>
      <c r="Y1529" s="80"/>
      <c r="Z1529" s="80"/>
      <c r="AA1529" s="153"/>
    </row>
    <row r="1530" spans="17:27" x14ac:dyDescent="0.25">
      <c r="Q1530" s="53"/>
      <c r="R1530" s="68"/>
      <c r="S1530" s="68"/>
      <c r="T1530" s="68"/>
      <c r="U1530" s="68"/>
      <c r="V1530" s="72"/>
      <c r="W1530" s="72"/>
      <c r="X1530" s="66"/>
      <c r="Y1530" s="80"/>
      <c r="Z1530" s="80"/>
      <c r="AA1530" s="153"/>
    </row>
    <row r="1531" spans="17:27" x14ac:dyDescent="0.25">
      <c r="Q1531" s="53"/>
      <c r="R1531" s="68"/>
      <c r="S1531" s="68"/>
      <c r="T1531" s="68"/>
      <c r="U1531" s="68"/>
      <c r="V1531" s="72"/>
      <c r="W1531" s="72"/>
      <c r="X1531" s="66"/>
      <c r="Y1531" s="80"/>
      <c r="Z1531" s="80"/>
      <c r="AA1531" s="153"/>
    </row>
    <row r="1532" spans="17:27" x14ac:dyDescent="0.25">
      <c r="Q1532" s="53"/>
      <c r="R1532" s="68"/>
      <c r="S1532" s="68"/>
      <c r="T1532" s="68"/>
      <c r="U1532" s="68"/>
      <c r="V1532" s="72"/>
      <c r="W1532" s="72"/>
      <c r="X1532" s="66"/>
      <c r="Y1532" s="80"/>
      <c r="Z1532" s="80"/>
      <c r="AA1532" s="153"/>
    </row>
    <row r="1533" spans="17:27" x14ac:dyDescent="0.25">
      <c r="Q1533" s="53"/>
      <c r="R1533" s="53"/>
      <c r="S1533" s="103"/>
      <c r="T1533" s="103"/>
      <c r="U1533" s="53"/>
      <c r="V1533" s="66"/>
      <c r="W1533" s="66"/>
      <c r="X1533" s="66"/>
      <c r="Y1533" s="80"/>
      <c r="Z1533" s="80"/>
      <c r="AA1533" s="153"/>
    </row>
    <row r="1534" spans="17:27" x14ac:dyDescent="0.25">
      <c r="Q1534" s="53"/>
      <c r="R1534" s="68"/>
      <c r="S1534" s="68"/>
      <c r="T1534" s="68"/>
      <c r="U1534" s="68"/>
      <c r="V1534" s="72"/>
      <c r="W1534" s="72"/>
      <c r="X1534" s="66"/>
      <c r="Y1534" s="80"/>
      <c r="Z1534" s="80"/>
      <c r="AA1534" s="153"/>
    </row>
    <row r="1535" spans="17:27" x14ac:dyDescent="0.25">
      <c r="Q1535" s="53"/>
      <c r="R1535" s="68"/>
      <c r="S1535" s="68"/>
      <c r="T1535" s="68"/>
      <c r="U1535" s="68"/>
      <c r="V1535" s="72"/>
      <c r="W1535" s="72"/>
      <c r="X1535" s="66"/>
      <c r="Y1535" s="80"/>
      <c r="Z1535" s="80"/>
      <c r="AA1535" s="153"/>
    </row>
    <row r="1536" spans="17:27" x14ac:dyDescent="0.25">
      <c r="Q1536" s="53"/>
      <c r="R1536" s="68"/>
      <c r="S1536" s="68"/>
      <c r="T1536" s="68"/>
      <c r="U1536" s="68"/>
      <c r="V1536" s="72"/>
      <c r="W1536" s="72"/>
      <c r="X1536" s="66"/>
      <c r="Y1536" s="80"/>
      <c r="Z1536" s="80"/>
      <c r="AA1536" s="153"/>
    </row>
    <row r="1537" spans="17:27" x14ac:dyDescent="0.25">
      <c r="Q1537" s="53"/>
      <c r="R1537" s="68"/>
      <c r="S1537" s="68"/>
      <c r="T1537" s="68"/>
      <c r="U1537" s="68"/>
      <c r="V1537" s="72"/>
      <c r="W1537" s="72"/>
      <c r="X1537" s="66"/>
      <c r="Y1537" s="80"/>
      <c r="Z1537" s="80"/>
      <c r="AA1537" s="153"/>
    </row>
    <row r="1538" spans="17:27" x14ac:dyDescent="0.25">
      <c r="Q1538" s="53"/>
      <c r="R1538" s="68"/>
      <c r="S1538" s="68"/>
      <c r="T1538" s="68"/>
      <c r="U1538" s="68"/>
      <c r="V1538" s="72"/>
      <c r="W1538" s="72"/>
      <c r="X1538" s="66"/>
      <c r="Y1538" s="80"/>
      <c r="Z1538" s="80"/>
      <c r="AA1538" s="153"/>
    </row>
    <row r="1539" spans="17:27" x14ac:dyDescent="0.25">
      <c r="Q1539" s="53"/>
      <c r="R1539" s="68"/>
      <c r="S1539" s="68"/>
      <c r="T1539" s="68"/>
      <c r="U1539" s="68"/>
      <c r="V1539" s="72"/>
      <c r="W1539" s="72"/>
      <c r="X1539" s="66"/>
      <c r="Y1539" s="80"/>
      <c r="Z1539" s="80"/>
      <c r="AA1539" s="153"/>
    </row>
    <row r="1540" spans="17:27" x14ac:dyDescent="0.25">
      <c r="Q1540" s="53"/>
      <c r="R1540" s="68"/>
      <c r="S1540" s="68"/>
      <c r="T1540" s="68"/>
      <c r="U1540" s="68"/>
      <c r="V1540" s="72"/>
      <c r="W1540" s="72"/>
      <c r="X1540" s="66"/>
      <c r="Y1540" s="80"/>
      <c r="Z1540" s="80"/>
      <c r="AA1540" s="153"/>
    </row>
    <row r="1541" spans="17:27" x14ac:dyDescent="0.25">
      <c r="Q1541" s="53"/>
      <c r="R1541" s="68"/>
      <c r="S1541" s="68"/>
      <c r="T1541" s="68"/>
      <c r="U1541" s="68"/>
      <c r="V1541" s="72"/>
      <c r="W1541" s="72"/>
      <c r="X1541" s="66"/>
      <c r="Y1541" s="80"/>
      <c r="Z1541" s="80"/>
      <c r="AA1541" s="153"/>
    </row>
    <row r="1542" spans="17:27" x14ac:dyDescent="0.25">
      <c r="Q1542" s="53"/>
      <c r="R1542" s="68"/>
      <c r="S1542" s="68"/>
      <c r="T1542" s="68"/>
      <c r="U1542" s="68"/>
      <c r="V1542" s="72"/>
      <c r="W1542" s="72"/>
      <c r="X1542" s="66"/>
      <c r="Y1542" s="80"/>
      <c r="Z1542" s="80"/>
      <c r="AA1542" s="153"/>
    </row>
    <row r="1543" spans="17:27" x14ac:dyDescent="0.25">
      <c r="Q1543" s="53"/>
      <c r="R1543" s="68"/>
      <c r="S1543" s="68"/>
      <c r="T1543" s="68"/>
      <c r="U1543" s="68"/>
      <c r="V1543" s="72"/>
      <c r="W1543" s="72"/>
      <c r="X1543" s="66"/>
      <c r="Y1543" s="80"/>
      <c r="Z1543" s="80"/>
      <c r="AA1543" s="153"/>
    </row>
    <row r="1544" spans="17:27" x14ac:dyDescent="0.25">
      <c r="Q1544" s="53"/>
      <c r="R1544" s="68"/>
      <c r="S1544" s="68"/>
      <c r="T1544" s="68"/>
      <c r="U1544" s="68"/>
      <c r="V1544" s="72"/>
      <c r="W1544" s="72"/>
      <c r="X1544" s="66"/>
      <c r="Y1544" s="80"/>
      <c r="Z1544" s="80"/>
      <c r="AA1544" s="153"/>
    </row>
    <row r="1545" spans="17:27" x14ac:dyDescent="0.25">
      <c r="Q1545" s="53"/>
      <c r="R1545" s="68"/>
      <c r="S1545" s="68"/>
      <c r="T1545" s="68"/>
      <c r="U1545" s="68"/>
      <c r="V1545" s="72"/>
      <c r="W1545" s="72"/>
      <c r="X1545" s="66"/>
      <c r="Y1545" s="80"/>
      <c r="Z1545" s="80"/>
      <c r="AA1545" s="153"/>
    </row>
    <row r="1546" spans="17:27" x14ac:dyDescent="0.25">
      <c r="Q1546" s="53"/>
      <c r="R1546" s="68"/>
      <c r="S1546" s="68"/>
      <c r="T1546" s="68"/>
      <c r="U1546" s="68"/>
      <c r="V1546" s="72"/>
      <c r="W1546" s="72"/>
      <c r="X1546" s="66"/>
      <c r="Y1546" s="80"/>
      <c r="Z1546" s="80"/>
      <c r="AA1546" s="153"/>
    </row>
    <row r="1547" spans="17:27" x14ac:dyDescent="0.25">
      <c r="Q1547" s="53"/>
      <c r="R1547" s="68"/>
      <c r="S1547" s="68"/>
      <c r="T1547" s="68"/>
      <c r="U1547" s="68"/>
      <c r="V1547" s="72"/>
      <c r="W1547" s="72"/>
      <c r="X1547" s="66"/>
      <c r="Y1547" s="80"/>
      <c r="Z1547" s="80"/>
      <c r="AA1547" s="153"/>
    </row>
    <row r="1548" spans="17:27" x14ac:dyDescent="0.25">
      <c r="Q1548" s="53"/>
      <c r="R1548" s="68"/>
      <c r="S1548" s="68"/>
      <c r="T1548" s="68"/>
      <c r="U1548" s="68"/>
      <c r="V1548" s="72"/>
      <c r="W1548" s="72"/>
      <c r="X1548" s="66"/>
      <c r="Y1548" s="80"/>
      <c r="Z1548" s="80"/>
      <c r="AA1548" s="153"/>
    </row>
    <row r="1549" spans="17:27" x14ac:dyDescent="0.25">
      <c r="Q1549" s="53"/>
      <c r="R1549" s="68"/>
      <c r="S1549" s="68"/>
      <c r="T1549" s="68"/>
      <c r="U1549" s="68"/>
      <c r="V1549" s="72"/>
      <c r="W1549" s="72"/>
      <c r="X1549" s="66"/>
      <c r="Y1549" s="80"/>
      <c r="Z1549" s="80"/>
      <c r="AA1549" s="153"/>
    </row>
    <row r="1550" spans="17:27" x14ac:dyDescent="0.25">
      <c r="Q1550" s="53"/>
      <c r="R1550" s="68"/>
      <c r="S1550" s="68"/>
      <c r="T1550" s="68"/>
      <c r="U1550" s="68"/>
      <c r="V1550" s="72"/>
      <c r="W1550" s="72"/>
      <c r="X1550" s="66"/>
      <c r="Y1550" s="80"/>
      <c r="Z1550" s="80"/>
      <c r="AA1550" s="153"/>
    </row>
    <row r="1551" spans="17:27" x14ac:dyDescent="0.25">
      <c r="Q1551" s="53"/>
      <c r="R1551" s="68"/>
      <c r="S1551" s="68"/>
      <c r="T1551" s="68"/>
      <c r="U1551" s="68"/>
      <c r="V1551" s="72"/>
      <c r="W1551" s="72"/>
      <c r="X1551" s="66"/>
      <c r="Y1551" s="80"/>
      <c r="Z1551" s="80"/>
      <c r="AA1551" s="153"/>
    </row>
    <row r="1552" spans="17:27" x14ac:dyDescent="0.25">
      <c r="Q1552" s="53"/>
      <c r="R1552" s="68"/>
      <c r="S1552" s="68"/>
      <c r="T1552" s="68"/>
      <c r="U1552" s="68"/>
      <c r="V1552" s="72"/>
      <c r="W1552" s="72"/>
      <c r="X1552" s="66"/>
      <c r="Y1552" s="80"/>
      <c r="Z1552" s="80"/>
      <c r="AA1552" s="153"/>
    </row>
    <row r="1553" spans="17:27" x14ac:dyDescent="0.25">
      <c r="Q1553" s="53"/>
      <c r="R1553" s="68"/>
      <c r="S1553" s="68"/>
      <c r="T1553" s="68"/>
      <c r="U1553" s="68"/>
      <c r="V1553" s="72"/>
      <c r="W1553" s="72"/>
      <c r="X1553" s="66"/>
      <c r="Y1553" s="80"/>
      <c r="Z1553" s="80"/>
      <c r="AA1553" s="153"/>
    </row>
    <row r="1554" spans="17:27" x14ac:dyDescent="0.25">
      <c r="Q1554" s="53"/>
      <c r="R1554" s="68"/>
      <c r="S1554" s="68"/>
      <c r="T1554" s="68"/>
      <c r="U1554" s="68"/>
      <c r="V1554" s="72"/>
      <c r="W1554" s="72"/>
      <c r="X1554" s="66"/>
      <c r="Y1554" s="80"/>
      <c r="Z1554" s="80"/>
      <c r="AA1554" s="153"/>
    </row>
    <row r="1555" spans="17:27" x14ac:dyDescent="0.25">
      <c r="Q1555" s="53"/>
      <c r="R1555" s="68"/>
      <c r="S1555" s="68"/>
      <c r="T1555" s="68"/>
      <c r="U1555" s="68"/>
      <c r="V1555" s="72"/>
      <c r="W1555" s="72"/>
      <c r="X1555" s="66"/>
      <c r="Y1555" s="80"/>
      <c r="Z1555" s="80"/>
      <c r="AA1555" s="153"/>
    </row>
    <row r="1556" spans="17:27" x14ac:dyDescent="0.25">
      <c r="Q1556" s="53"/>
      <c r="R1556" s="68"/>
      <c r="S1556" s="68"/>
      <c r="T1556" s="68"/>
      <c r="U1556" s="68"/>
      <c r="V1556" s="72"/>
      <c r="W1556" s="72"/>
      <c r="X1556" s="66"/>
      <c r="Y1556" s="80"/>
      <c r="Z1556" s="80"/>
      <c r="AA1556" s="153"/>
    </row>
    <row r="1557" spans="17:27" x14ac:dyDescent="0.25">
      <c r="Q1557" s="53"/>
      <c r="R1557" s="68"/>
      <c r="S1557" s="68"/>
      <c r="T1557" s="68"/>
      <c r="U1557" s="68"/>
      <c r="V1557" s="72"/>
      <c r="W1557" s="72"/>
      <c r="X1557" s="66"/>
      <c r="Y1557" s="80"/>
      <c r="Z1557" s="80"/>
      <c r="AA1557" s="153"/>
    </row>
    <row r="1558" spans="17:27" x14ac:dyDescent="0.25">
      <c r="Q1558" s="53"/>
      <c r="R1558" s="68"/>
      <c r="S1558" s="68"/>
      <c r="T1558" s="68"/>
      <c r="U1558" s="68"/>
      <c r="V1558" s="72"/>
      <c r="W1558" s="72"/>
      <c r="X1558" s="66"/>
      <c r="Y1558" s="80"/>
      <c r="Z1558" s="80"/>
      <c r="AA1558" s="153"/>
    </row>
    <row r="1559" spans="17:27" x14ac:dyDescent="0.25">
      <c r="Q1559" s="53"/>
      <c r="R1559" s="68"/>
      <c r="S1559" s="68"/>
      <c r="T1559" s="68"/>
      <c r="U1559" s="68"/>
      <c r="V1559" s="72"/>
      <c r="W1559" s="72"/>
      <c r="X1559" s="66"/>
      <c r="Y1559" s="80"/>
      <c r="Z1559" s="80"/>
      <c r="AA1559" s="153"/>
    </row>
    <row r="1560" spans="17:27" x14ac:dyDescent="0.25">
      <c r="Q1560" s="53"/>
      <c r="R1560" s="68"/>
      <c r="S1560" s="68"/>
      <c r="T1560" s="68"/>
      <c r="U1560" s="68"/>
      <c r="V1560" s="72"/>
      <c r="W1560" s="72"/>
      <c r="X1560" s="66"/>
      <c r="Y1560" s="80"/>
      <c r="Z1560" s="80"/>
      <c r="AA1560" s="153"/>
    </row>
    <row r="1561" spans="17:27" x14ac:dyDescent="0.25">
      <c r="Q1561" s="53"/>
      <c r="R1561" s="68"/>
      <c r="S1561" s="68"/>
      <c r="T1561" s="68"/>
      <c r="U1561" s="68"/>
      <c r="V1561" s="72"/>
      <c r="W1561" s="72"/>
      <c r="X1561" s="66"/>
      <c r="Y1561" s="80"/>
      <c r="Z1561" s="80"/>
      <c r="AA1561" s="153"/>
    </row>
    <row r="1562" spans="17:27" x14ac:dyDescent="0.25">
      <c r="Q1562" s="53"/>
      <c r="R1562" s="68"/>
      <c r="S1562" s="68"/>
      <c r="T1562" s="68"/>
      <c r="U1562" s="68"/>
      <c r="V1562" s="72"/>
      <c r="W1562" s="72"/>
      <c r="X1562" s="66"/>
      <c r="Y1562" s="80"/>
      <c r="Z1562" s="80"/>
      <c r="AA1562" s="153"/>
    </row>
    <row r="1563" spans="17:27" x14ac:dyDescent="0.25">
      <c r="Q1563" s="53"/>
      <c r="R1563" s="68"/>
      <c r="S1563" s="68"/>
      <c r="T1563" s="68"/>
      <c r="U1563" s="68"/>
      <c r="V1563" s="72"/>
      <c r="W1563" s="72"/>
      <c r="X1563" s="66"/>
      <c r="Y1563" s="80"/>
      <c r="Z1563" s="80"/>
      <c r="AA1563" s="153"/>
    </row>
    <row r="1564" spans="17:27" x14ac:dyDescent="0.25">
      <c r="Q1564" s="53"/>
      <c r="R1564" s="68"/>
      <c r="S1564" s="68"/>
      <c r="T1564" s="68"/>
      <c r="U1564" s="68"/>
      <c r="V1564" s="72"/>
      <c r="W1564" s="72"/>
      <c r="X1564" s="66"/>
      <c r="Y1564" s="80"/>
      <c r="Z1564" s="80"/>
      <c r="AA1564" s="153"/>
    </row>
    <row r="1565" spans="17:27" x14ac:dyDescent="0.25">
      <c r="Q1565" s="53"/>
      <c r="R1565" s="68"/>
      <c r="S1565" s="68"/>
      <c r="T1565" s="68"/>
      <c r="U1565" s="68"/>
      <c r="V1565" s="72"/>
      <c r="W1565" s="72"/>
      <c r="X1565" s="66"/>
      <c r="Y1565" s="80"/>
      <c r="Z1565" s="80"/>
      <c r="AA1565" s="153"/>
    </row>
    <row r="1566" spans="17:27" x14ac:dyDescent="0.25">
      <c r="Q1566" s="53"/>
      <c r="R1566" s="68"/>
      <c r="S1566" s="68"/>
      <c r="T1566" s="68"/>
      <c r="U1566" s="68"/>
      <c r="V1566" s="72"/>
      <c r="W1566" s="72"/>
      <c r="X1566" s="66"/>
      <c r="Y1566" s="80"/>
      <c r="Z1566" s="80"/>
      <c r="AA1566" s="153"/>
    </row>
    <row r="1567" spans="17:27" x14ac:dyDescent="0.25">
      <c r="Q1567" s="53"/>
      <c r="R1567" s="68"/>
      <c r="S1567" s="68"/>
      <c r="T1567" s="68"/>
      <c r="U1567" s="68"/>
      <c r="V1567" s="72"/>
      <c r="W1567" s="72"/>
      <c r="X1567" s="66"/>
      <c r="Y1567" s="80"/>
      <c r="Z1567" s="80"/>
      <c r="AA1567" s="153"/>
    </row>
    <row r="1568" spans="17:27" x14ac:dyDescent="0.25">
      <c r="Q1568" s="53"/>
      <c r="R1568" s="68"/>
      <c r="S1568" s="68"/>
      <c r="T1568" s="68"/>
      <c r="U1568" s="68"/>
      <c r="V1568" s="72"/>
      <c r="W1568" s="72"/>
      <c r="X1568" s="66"/>
      <c r="Y1568" s="80"/>
      <c r="Z1568" s="80"/>
      <c r="AA1568" s="153"/>
    </row>
    <row r="1569" spans="17:27" x14ac:dyDescent="0.25">
      <c r="Q1569" s="53"/>
      <c r="R1569" s="68"/>
      <c r="S1569" s="68"/>
      <c r="T1569" s="68"/>
      <c r="U1569" s="68"/>
      <c r="V1569" s="72"/>
      <c r="W1569" s="72"/>
      <c r="X1569" s="66"/>
      <c r="Y1569" s="80"/>
      <c r="Z1569" s="80"/>
      <c r="AA1569" s="153"/>
    </row>
    <row r="1570" spans="17:27" x14ac:dyDescent="0.25">
      <c r="Q1570" s="53"/>
      <c r="R1570" s="68"/>
      <c r="S1570" s="68"/>
      <c r="T1570" s="68"/>
      <c r="U1570" s="68"/>
      <c r="V1570" s="72"/>
      <c r="W1570" s="72"/>
      <c r="X1570" s="66"/>
      <c r="Y1570" s="80"/>
      <c r="Z1570" s="80"/>
      <c r="AA1570" s="153"/>
    </row>
    <row r="1571" spans="17:27" x14ac:dyDescent="0.25">
      <c r="Q1571" s="53"/>
      <c r="R1571" s="68"/>
      <c r="S1571" s="68"/>
      <c r="T1571" s="68"/>
      <c r="U1571" s="68"/>
      <c r="V1571" s="72"/>
      <c r="W1571" s="72"/>
      <c r="X1571" s="66"/>
      <c r="Y1571" s="80"/>
      <c r="Z1571" s="80"/>
      <c r="AA1571" s="153"/>
    </row>
    <row r="1572" spans="17:27" x14ac:dyDescent="0.25">
      <c r="Q1572" s="53"/>
      <c r="R1572" s="68"/>
      <c r="S1572" s="68"/>
      <c r="T1572" s="68"/>
      <c r="U1572" s="68"/>
      <c r="V1572" s="72"/>
      <c r="W1572" s="72"/>
      <c r="X1572" s="66"/>
      <c r="Y1572" s="80"/>
      <c r="Z1572" s="80"/>
      <c r="AA1572" s="153"/>
    </row>
    <row r="1573" spans="17:27" x14ac:dyDescent="0.25">
      <c r="Q1573" s="53"/>
      <c r="R1573" s="68"/>
      <c r="S1573" s="68"/>
      <c r="T1573" s="68"/>
      <c r="U1573" s="68"/>
      <c r="V1573" s="72"/>
      <c r="W1573" s="72"/>
      <c r="X1573" s="66"/>
      <c r="Y1573" s="80"/>
      <c r="Z1573" s="80"/>
      <c r="AA1573" s="153"/>
    </row>
    <row r="1574" spans="17:27" x14ac:dyDescent="0.25">
      <c r="Q1574" s="53"/>
      <c r="R1574" s="68"/>
      <c r="S1574" s="68"/>
      <c r="T1574" s="68"/>
      <c r="U1574" s="68"/>
      <c r="V1574" s="72"/>
      <c r="W1574" s="72"/>
      <c r="X1574" s="66"/>
      <c r="Y1574" s="80"/>
      <c r="Z1574" s="80"/>
      <c r="AA1574" s="153"/>
    </row>
    <row r="1575" spans="17:27" x14ac:dyDescent="0.25">
      <c r="Q1575" s="53"/>
      <c r="R1575" s="68"/>
      <c r="S1575" s="68"/>
      <c r="T1575" s="68"/>
      <c r="U1575" s="68"/>
      <c r="V1575" s="72"/>
      <c r="W1575" s="72"/>
      <c r="X1575" s="66"/>
      <c r="Y1575" s="80"/>
      <c r="Z1575" s="80"/>
      <c r="AA1575" s="153"/>
    </row>
    <row r="1576" spans="17:27" x14ac:dyDescent="0.25">
      <c r="Q1576" s="53"/>
      <c r="R1576" s="68"/>
      <c r="S1576" s="68"/>
      <c r="T1576" s="68"/>
      <c r="U1576" s="68"/>
      <c r="V1576" s="72"/>
      <c r="W1576" s="72"/>
      <c r="X1576" s="66"/>
      <c r="Y1576" s="80"/>
      <c r="Z1576" s="80"/>
      <c r="AA1576" s="153"/>
    </row>
    <row r="1577" spans="17:27" x14ac:dyDescent="0.25">
      <c r="Q1577" s="53"/>
      <c r="R1577" s="68"/>
      <c r="S1577" s="68"/>
      <c r="T1577" s="68"/>
      <c r="U1577" s="68"/>
      <c r="V1577" s="72"/>
      <c r="W1577" s="72"/>
      <c r="X1577" s="66"/>
      <c r="Y1577" s="80"/>
      <c r="Z1577" s="80"/>
      <c r="AA1577" s="153"/>
    </row>
    <row r="1578" spans="17:27" x14ac:dyDescent="0.25">
      <c r="Q1578" s="53"/>
      <c r="R1578" s="68"/>
      <c r="S1578" s="68"/>
      <c r="T1578" s="68"/>
      <c r="U1578" s="68"/>
      <c r="V1578" s="72"/>
      <c r="W1578" s="72"/>
      <c r="X1578" s="66"/>
      <c r="Y1578" s="80"/>
      <c r="Z1578" s="80"/>
      <c r="AA1578" s="153"/>
    </row>
    <row r="1579" spans="17:27" x14ac:dyDescent="0.25">
      <c r="Q1579" s="53"/>
      <c r="R1579" s="68"/>
      <c r="S1579" s="68"/>
      <c r="T1579" s="68"/>
      <c r="U1579" s="68"/>
      <c r="V1579" s="72"/>
      <c r="W1579" s="72"/>
      <c r="X1579" s="66"/>
      <c r="Y1579" s="80"/>
      <c r="Z1579" s="80"/>
      <c r="AA1579" s="153"/>
    </row>
    <row r="1580" spans="17:27" x14ac:dyDescent="0.25">
      <c r="Q1580" s="53"/>
      <c r="R1580" s="68"/>
      <c r="S1580" s="68"/>
      <c r="T1580" s="68"/>
      <c r="U1580" s="68"/>
      <c r="V1580" s="72"/>
      <c r="W1580" s="72"/>
      <c r="X1580" s="66"/>
      <c r="Y1580" s="80"/>
      <c r="Z1580" s="80"/>
      <c r="AA1580" s="153"/>
    </row>
    <row r="1581" spans="17:27" x14ac:dyDescent="0.25">
      <c r="Q1581" s="53"/>
      <c r="R1581" s="68"/>
      <c r="S1581" s="68"/>
      <c r="T1581" s="68"/>
      <c r="U1581" s="68"/>
      <c r="V1581" s="72"/>
      <c r="W1581" s="72"/>
      <c r="X1581" s="66"/>
      <c r="Y1581" s="80"/>
      <c r="Z1581" s="80"/>
      <c r="AA1581" s="153"/>
    </row>
    <row r="1582" spans="17:27" x14ac:dyDescent="0.25">
      <c r="Q1582" s="53"/>
      <c r="R1582" s="68"/>
      <c r="S1582" s="68"/>
      <c r="T1582" s="68"/>
      <c r="U1582" s="68"/>
      <c r="V1582" s="72"/>
      <c r="W1582" s="72"/>
      <c r="X1582" s="66"/>
      <c r="Y1582" s="80"/>
      <c r="Z1582" s="80"/>
      <c r="AA1582" s="153"/>
    </row>
    <row r="1583" spans="17:27" x14ac:dyDescent="0.25">
      <c r="Q1583" s="53"/>
      <c r="R1583" s="68"/>
      <c r="S1583" s="68"/>
      <c r="T1583" s="68"/>
      <c r="U1583" s="68"/>
      <c r="V1583" s="72"/>
      <c r="W1583" s="72"/>
      <c r="X1583" s="66"/>
      <c r="Y1583" s="80"/>
      <c r="Z1583" s="80"/>
      <c r="AA1583" s="153"/>
    </row>
    <row r="1584" spans="17:27" x14ac:dyDescent="0.25">
      <c r="Q1584" s="53"/>
      <c r="R1584" s="68"/>
      <c r="S1584" s="68"/>
      <c r="T1584" s="68"/>
      <c r="U1584" s="68"/>
      <c r="V1584" s="72"/>
      <c r="W1584" s="72"/>
      <c r="X1584" s="66"/>
      <c r="Y1584" s="80"/>
      <c r="Z1584" s="80"/>
      <c r="AA1584" s="153"/>
    </row>
    <row r="1585" spans="17:27" x14ac:dyDescent="0.25">
      <c r="Q1585" s="53"/>
      <c r="R1585" s="68"/>
      <c r="S1585" s="68"/>
      <c r="T1585" s="68"/>
      <c r="U1585" s="68"/>
      <c r="V1585" s="72"/>
      <c r="W1585" s="72"/>
      <c r="X1585" s="66"/>
      <c r="Y1585" s="80"/>
      <c r="Z1585" s="80"/>
      <c r="AA1585" s="153"/>
    </row>
    <row r="1586" spans="17:27" x14ac:dyDescent="0.25">
      <c r="Q1586" s="53"/>
      <c r="R1586" s="68"/>
      <c r="S1586" s="68"/>
      <c r="T1586" s="68"/>
      <c r="U1586" s="68"/>
      <c r="V1586" s="72"/>
      <c r="W1586" s="72"/>
      <c r="X1586" s="66"/>
      <c r="Y1586" s="80"/>
      <c r="Z1586" s="80"/>
      <c r="AA1586" s="153"/>
    </row>
    <row r="1587" spans="17:27" x14ac:dyDescent="0.25">
      <c r="Q1587" s="53"/>
      <c r="R1587" s="68"/>
      <c r="S1587" s="68"/>
      <c r="T1587" s="68"/>
      <c r="U1587" s="68"/>
      <c r="V1587" s="72"/>
      <c r="W1587" s="72"/>
      <c r="X1587" s="66"/>
      <c r="Y1587" s="80"/>
      <c r="Z1587" s="80"/>
      <c r="AA1587" s="153"/>
    </row>
    <row r="1588" spans="17:27" x14ac:dyDescent="0.25">
      <c r="Q1588" s="53"/>
      <c r="R1588" s="68"/>
      <c r="S1588" s="68"/>
      <c r="T1588" s="68"/>
      <c r="U1588" s="68"/>
      <c r="V1588" s="72"/>
      <c r="W1588" s="72"/>
      <c r="X1588" s="66"/>
      <c r="Y1588" s="80"/>
      <c r="Z1588" s="80"/>
      <c r="AA1588" s="153"/>
    </row>
    <row r="1589" spans="17:27" x14ac:dyDescent="0.25">
      <c r="Q1589" s="53"/>
      <c r="R1589" s="68"/>
      <c r="S1589" s="68"/>
      <c r="T1589" s="68"/>
      <c r="U1589" s="68"/>
      <c r="V1589" s="72"/>
      <c r="W1589" s="72"/>
      <c r="X1589" s="66"/>
      <c r="Y1589" s="80"/>
      <c r="Z1589" s="80"/>
      <c r="AA1589" s="153"/>
    </row>
    <row r="1590" spans="17:27" x14ac:dyDescent="0.25">
      <c r="Q1590" s="53"/>
      <c r="R1590" s="68"/>
      <c r="S1590" s="68"/>
      <c r="T1590" s="68"/>
      <c r="U1590" s="68"/>
      <c r="V1590" s="72"/>
      <c r="W1590" s="72"/>
      <c r="X1590" s="66"/>
      <c r="Y1590" s="80"/>
      <c r="Z1590" s="80"/>
      <c r="AA1590" s="153"/>
    </row>
    <row r="1591" spans="17:27" x14ac:dyDescent="0.25">
      <c r="Q1591" s="53"/>
      <c r="R1591" s="68"/>
      <c r="S1591" s="68"/>
      <c r="T1591" s="68"/>
      <c r="U1591" s="68"/>
      <c r="V1591" s="72"/>
      <c r="W1591" s="72"/>
      <c r="X1591" s="66"/>
      <c r="Y1591" s="80"/>
      <c r="Z1591" s="80"/>
      <c r="AA1591" s="153"/>
    </row>
    <row r="1592" spans="17:27" x14ac:dyDescent="0.25">
      <c r="Q1592" s="53"/>
      <c r="R1592" s="68"/>
      <c r="S1592" s="68"/>
      <c r="T1592" s="68"/>
      <c r="U1592" s="68"/>
      <c r="V1592" s="72"/>
      <c r="W1592" s="72"/>
      <c r="X1592" s="66"/>
      <c r="Y1592" s="80"/>
      <c r="Z1592" s="80"/>
      <c r="AA1592" s="153"/>
    </row>
    <row r="1593" spans="17:27" x14ac:dyDescent="0.25">
      <c r="Q1593" s="53"/>
      <c r="R1593" s="68"/>
      <c r="S1593" s="68"/>
      <c r="T1593" s="68"/>
      <c r="U1593" s="68"/>
      <c r="V1593" s="72"/>
      <c r="W1593" s="72"/>
      <c r="X1593" s="66"/>
      <c r="Y1593" s="80"/>
      <c r="Z1593" s="80"/>
      <c r="AA1593" s="153"/>
    </row>
    <row r="1594" spans="17:27" x14ac:dyDescent="0.25">
      <c r="Q1594" s="53"/>
      <c r="R1594" s="68"/>
      <c r="S1594" s="68"/>
      <c r="T1594" s="68"/>
      <c r="U1594" s="68"/>
      <c r="V1594" s="72"/>
      <c r="W1594" s="72"/>
      <c r="X1594" s="66"/>
      <c r="Y1594" s="80"/>
      <c r="Z1594" s="80"/>
      <c r="AA1594" s="153"/>
    </row>
    <row r="1595" spans="17:27" x14ac:dyDescent="0.25">
      <c r="Q1595" s="53"/>
      <c r="R1595" s="68"/>
      <c r="S1595" s="68"/>
      <c r="T1595" s="68"/>
      <c r="U1595" s="68"/>
      <c r="V1595" s="72"/>
      <c r="W1595" s="72"/>
      <c r="X1595" s="66"/>
      <c r="Y1595" s="80"/>
      <c r="Z1595" s="80"/>
      <c r="AA1595" s="153"/>
    </row>
    <row r="1596" spans="17:27" x14ac:dyDescent="0.25">
      <c r="Q1596" s="53"/>
      <c r="R1596" s="68"/>
      <c r="S1596" s="68"/>
      <c r="T1596" s="68"/>
      <c r="U1596" s="68"/>
      <c r="V1596" s="72"/>
      <c r="W1596" s="72"/>
      <c r="X1596" s="66"/>
      <c r="Y1596" s="80"/>
      <c r="Z1596" s="80"/>
      <c r="AA1596" s="153"/>
    </row>
    <row r="1597" spans="17:27" x14ac:dyDescent="0.25">
      <c r="Q1597" s="53"/>
      <c r="R1597" s="68"/>
      <c r="S1597" s="68"/>
      <c r="T1597" s="68"/>
      <c r="U1597" s="68"/>
      <c r="V1597" s="72"/>
      <c r="W1597" s="72"/>
      <c r="X1597" s="66"/>
      <c r="Y1597" s="80"/>
      <c r="Z1597" s="80"/>
      <c r="AA1597" s="153"/>
    </row>
    <row r="1598" spans="17:27" x14ac:dyDescent="0.25">
      <c r="Q1598" s="53"/>
      <c r="R1598" s="68"/>
      <c r="S1598" s="68"/>
      <c r="T1598" s="68"/>
      <c r="U1598" s="68"/>
      <c r="V1598" s="72"/>
      <c r="W1598" s="72"/>
      <c r="X1598" s="66"/>
      <c r="Y1598" s="80"/>
      <c r="Z1598" s="80"/>
      <c r="AA1598" s="153"/>
    </row>
    <row r="1599" spans="17:27" x14ac:dyDescent="0.25">
      <c r="Q1599" s="53"/>
      <c r="R1599" s="68"/>
      <c r="S1599" s="68"/>
      <c r="T1599" s="68"/>
      <c r="U1599" s="68"/>
      <c r="V1599" s="72"/>
      <c r="W1599" s="72"/>
      <c r="X1599" s="66"/>
      <c r="Y1599" s="80"/>
      <c r="Z1599" s="80"/>
      <c r="AA1599" s="153"/>
    </row>
    <row r="1600" spans="17:27" x14ac:dyDescent="0.25">
      <c r="Q1600" s="53"/>
      <c r="R1600" s="68"/>
      <c r="S1600" s="68"/>
      <c r="T1600" s="68"/>
      <c r="U1600" s="68"/>
      <c r="V1600" s="72"/>
      <c r="W1600" s="72"/>
      <c r="X1600" s="66"/>
      <c r="Y1600" s="80"/>
      <c r="Z1600" s="80"/>
      <c r="AA1600" s="153"/>
    </row>
    <row r="1601" spans="17:27" x14ac:dyDescent="0.25">
      <c r="Q1601" s="53"/>
      <c r="R1601" s="68"/>
      <c r="S1601" s="68"/>
      <c r="T1601" s="68"/>
      <c r="U1601" s="68"/>
      <c r="V1601" s="72"/>
      <c r="W1601" s="72"/>
      <c r="X1601" s="66"/>
      <c r="Y1601" s="80"/>
      <c r="Z1601" s="80"/>
      <c r="AA1601" s="153"/>
    </row>
    <row r="1602" spans="17:27" x14ac:dyDescent="0.25">
      <c r="Q1602" s="53"/>
      <c r="R1602" s="68"/>
      <c r="S1602" s="68"/>
      <c r="T1602" s="68"/>
      <c r="U1602" s="68"/>
      <c r="V1602" s="72"/>
      <c r="W1602" s="72"/>
      <c r="X1602" s="66"/>
      <c r="Y1602" s="80"/>
      <c r="Z1602" s="80"/>
      <c r="AA1602" s="153"/>
    </row>
    <row r="1603" spans="17:27" x14ac:dyDescent="0.25">
      <c r="Q1603" s="53"/>
      <c r="R1603" s="68"/>
      <c r="S1603" s="68"/>
      <c r="T1603" s="68"/>
      <c r="U1603" s="68"/>
      <c r="V1603" s="72"/>
      <c r="W1603" s="72"/>
      <c r="X1603" s="66"/>
      <c r="Y1603" s="80"/>
      <c r="Z1603" s="80"/>
      <c r="AA1603" s="153"/>
    </row>
    <row r="1604" spans="17:27" x14ac:dyDescent="0.25">
      <c r="Q1604" s="53"/>
      <c r="R1604" s="68"/>
      <c r="S1604" s="68"/>
      <c r="T1604" s="68"/>
      <c r="U1604" s="68"/>
      <c r="V1604" s="72"/>
      <c r="W1604" s="72"/>
      <c r="X1604" s="66"/>
      <c r="Y1604" s="80"/>
      <c r="Z1604" s="80"/>
      <c r="AA1604" s="153"/>
    </row>
    <row r="1605" spans="17:27" x14ac:dyDescent="0.25">
      <c r="Q1605" s="53"/>
      <c r="R1605" s="68"/>
      <c r="S1605" s="68"/>
      <c r="T1605" s="68"/>
      <c r="U1605" s="68"/>
      <c r="V1605" s="72"/>
      <c r="W1605" s="72"/>
      <c r="X1605" s="66"/>
      <c r="Y1605" s="80"/>
      <c r="Z1605" s="80"/>
      <c r="AA1605" s="153"/>
    </row>
    <row r="1606" spans="17:27" x14ac:dyDescent="0.25">
      <c r="Q1606" s="53"/>
      <c r="R1606" s="68"/>
      <c r="S1606" s="68"/>
      <c r="T1606" s="68"/>
      <c r="U1606" s="68"/>
      <c r="V1606" s="72"/>
      <c r="W1606" s="72"/>
      <c r="X1606" s="66"/>
      <c r="Y1606" s="80"/>
      <c r="Z1606" s="80"/>
      <c r="AA1606" s="153"/>
    </row>
    <row r="1607" spans="17:27" x14ac:dyDescent="0.25">
      <c r="Q1607" s="53"/>
      <c r="R1607" s="68"/>
      <c r="S1607" s="68"/>
      <c r="T1607" s="68"/>
      <c r="U1607" s="68"/>
      <c r="V1607" s="72"/>
      <c r="W1607" s="72"/>
      <c r="X1607" s="66"/>
      <c r="Y1607" s="80"/>
      <c r="Z1607" s="80"/>
      <c r="AA1607" s="153"/>
    </row>
    <row r="1608" spans="17:27" x14ac:dyDescent="0.25">
      <c r="Q1608" s="53"/>
      <c r="R1608" s="68"/>
      <c r="S1608" s="68"/>
      <c r="T1608" s="68"/>
      <c r="U1608" s="68"/>
      <c r="V1608" s="72"/>
      <c r="W1608" s="72"/>
      <c r="X1608" s="66"/>
      <c r="Y1608" s="80"/>
      <c r="Z1608" s="80"/>
      <c r="AA1608" s="153"/>
    </row>
    <row r="1609" spans="17:27" x14ac:dyDescent="0.25">
      <c r="Q1609" s="53"/>
      <c r="R1609" s="68"/>
      <c r="S1609" s="68"/>
      <c r="T1609" s="68"/>
      <c r="U1609" s="68"/>
      <c r="V1609" s="72"/>
      <c r="W1609" s="72"/>
      <c r="X1609" s="66"/>
      <c r="Y1609" s="80"/>
      <c r="Z1609" s="80"/>
      <c r="AA1609" s="153"/>
    </row>
    <row r="1610" spans="17:27" x14ac:dyDescent="0.25">
      <c r="Q1610" s="53"/>
      <c r="R1610" s="68"/>
      <c r="S1610" s="68"/>
      <c r="T1610" s="68"/>
      <c r="U1610" s="68"/>
      <c r="V1610" s="72"/>
      <c r="W1610" s="72"/>
      <c r="X1610" s="66"/>
      <c r="Y1610" s="80"/>
      <c r="Z1610" s="80"/>
      <c r="AA1610" s="153"/>
    </row>
    <row r="1611" spans="17:27" x14ac:dyDescent="0.25">
      <c r="Q1611" s="53"/>
      <c r="R1611" s="68"/>
      <c r="S1611" s="68"/>
      <c r="T1611" s="68"/>
      <c r="U1611" s="68"/>
      <c r="V1611" s="72"/>
      <c r="W1611" s="72"/>
      <c r="X1611" s="66"/>
      <c r="Y1611" s="80"/>
      <c r="Z1611" s="80"/>
      <c r="AA1611" s="153"/>
    </row>
    <row r="1612" spans="17:27" x14ac:dyDescent="0.25">
      <c r="Q1612" s="53"/>
      <c r="R1612" s="68"/>
      <c r="S1612" s="68"/>
      <c r="T1612" s="68"/>
      <c r="U1612" s="68"/>
      <c r="V1612" s="72"/>
      <c r="W1612" s="72"/>
      <c r="X1612" s="66"/>
      <c r="Y1612" s="80"/>
      <c r="Z1612" s="80"/>
      <c r="AA1612" s="153"/>
    </row>
    <row r="1613" spans="17:27" x14ac:dyDescent="0.25">
      <c r="Q1613" s="53"/>
      <c r="R1613" s="68"/>
      <c r="S1613" s="68"/>
      <c r="T1613" s="68"/>
      <c r="U1613" s="68"/>
      <c r="V1613" s="72"/>
      <c r="W1613" s="72"/>
      <c r="X1613" s="66"/>
      <c r="Y1613" s="80"/>
      <c r="Z1613" s="80"/>
      <c r="AA1613" s="153"/>
    </row>
    <row r="1614" spans="17:27" x14ac:dyDescent="0.25">
      <c r="Q1614" s="53"/>
      <c r="R1614" s="68"/>
      <c r="S1614" s="68"/>
      <c r="T1614" s="68"/>
      <c r="U1614" s="68"/>
      <c r="V1614" s="72"/>
      <c r="W1614" s="72"/>
      <c r="X1614" s="66"/>
      <c r="Y1614" s="80"/>
      <c r="Z1614" s="80"/>
      <c r="AA1614" s="153"/>
    </row>
    <row r="1615" spans="17:27" x14ac:dyDescent="0.25">
      <c r="Q1615" s="53"/>
      <c r="R1615" s="68"/>
      <c r="S1615" s="68"/>
      <c r="T1615" s="68"/>
      <c r="U1615" s="68"/>
      <c r="V1615" s="72"/>
      <c r="W1615" s="72"/>
      <c r="X1615" s="66"/>
      <c r="Y1615" s="80"/>
      <c r="Z1615" s="80"/>
      <c r="AA1615" s="153"/>
    </row>
    <row r="1616" spans="17:27" x14ac:dyDescent="0.25">
      <c r="Q1616" s="53"/>
      <c r="R1616" s="68"/>
      <c r="S1616" s="68"/>
      <c r="T1616" s="68"/>
      <c r="U1616" s="68"/>
      <c r="V1616" s="72"/>
      <c r="W1616" s="72"/>
      <c r="X1616" s="66"/>
      <c r="Y1616" s="80"/>
      <c r="Z1616" s="80"/>
      <c r="AA1616" s="153"/>
    </row>
    <row r="1617" spans="17:27" x14ac:dyDescent="0.25">
      <c r="Q1617" s="53"/>
      <c r="R1617" s="68"/>
      <c r="S1617" s="68"/>
      <c r="T1617" s="68"/>
      <c r="U1617" s="68"/>
      <c r="V1617" s="72"/>
      <c r="W1617" s="72"/>
      <c r="X1617" s="66"/>
      <c r="Y1617" s="80"/>
      <c r="Z1617" s="80"/>
      <c r="AA1617" s="153"/>
    </row>
    <row r="1618" spans="17:27" x14ac:dyDescent="0.25">
      <c r="Q1618" s="53"/>
      <c r="R1618" s="68"/>
      <c r="S1618" s="68"/>
      <c r="T1618" s="68"/>
      <c r="U1618" s="68"/>
      <c r="V1618" s="72"/>
      <c r="W1618" s="72"/>
      <c r="X1618" s="66"/>
      <c r="Y1618" s="80"/>
      <c r="Z1618" s="80"/>
      <c r="AA1618" s="153"/>
    </row>
    <row r="1619" spans="17:27" x14ac:dyDescent="0.25">
      <c r="Q1619" s="53"/>
      <c r="R1619" s="68"/>
      <c r="S1619" s="68"/>
      <c r="T1619" s="68"/>
      <c r="U1619" s="68"/>
      <c r="V1619" s="72"/>
      <c r="W1619" s="72"/>
      <c r="X1619" s="66"/>
      <c r="Y1619" s="80"/>
      <c r="Z1619" s="80"/>
      <c r="AA1619" s="153"/>
    </row>
    <row r="1620" spans="17:27" x14ac:dyDescent="0.25">
      <c r="Q1620" s="53"/>
      <c r="R1620" s="68"/>
      <c r="S1620" s="68"/>
      <c r="T1620" s="68"/>
      <c r="U1620" s="68"/>
      <c r="V1620" s="72"/>
      <c r="W1620" s="72"/>
      <c r="X1620" s="66"/>
      <c r="Y1620" s="80"/>
      <c r="Z1620" s="80"/>
      <c r="AA1620" s="153"/>
    </row>
    <row r="1621" spans="17:27" x14ac:dyDescent="0.25">
      <c r="Q1621" s="53"/>
      <c r="R1621" s="68"/>
      <c r="S1621" s="68"/>
      <c r="T1621" s="68"/>
      <c r="U1621" s="68"/>
      <c r="V1621" s="72"/>
      <c r="W1621" s="72"/>
      <c r="X1621" s="66"/>
      <c r="Y1621" s="80"/>
      <c r="Z1621" s="80"/>
      <c r="AA1621" s="153"/>
    </row>
    <row r="1622" spans="17:27" x14ac:dyDescent="0.25">
      <c r="Q1622" s="53"/>
      <c r="R1622" s="68"/>
      <c r="S1622" s="68"/>
      <c r="T1622" s="68"/>
      <c r="U1622" s="68"/>
      <c r="V1622" s="72"/>
      <c r="W1622" s="72"/>
      <c r="X1622" s="66"/>
      <c r="Y1622" s="80"/>
      <c r="Z1622" s="80"/>
      <c r="AA1622" s="153"/>
    </row>
    <row r="1623" spans="17:27" x14ac:dyDescent="0.25">
      <c r="Q1623" s="53"/>
      <c r="R1623" s="68"/>
      <c r="S1623" s="68"/>
      <c r="T1623" s="68"/>
      <c r="U1623" s="68"/>
      <c r="V1623" s="72"/>
      <c r="W1623" s="72"/>
      <c r="X1623" s="66"/>
      <c r="Y1623" s="80"/>
      <c r="Z1623" s="80"/>
      <c r="AA1623" s="153"/>
    </row>
    <row r="1624" spans="17:27" x14ac:dyDescent="0.25">
      <c r="Q1624" s="53"/>
      <c r="R1624" s="68"/>
      <c r="S1624" s="68"/>
      <c r="T1624" s="68"/>
      <c r="U1624" s="68"/>
      <c r="V1624" s="72"/>
      <c r="W1624" s="72"/>
      <c r="X1624" s="66"/>
      <c r="Y1624" s="80"/>
      <c r="Z1624" s="80"/>
      <c r="AA1624" s="153"/>
    </row>
    <row r="1625" spans="17:27" x14ac:dyDescent="0.25">
      <c r="Q1625" s="53"/>
      <c r="R1625" s="68"/>
      <c r="S1625" s="68"/>
      <c r="T1625" s="68"/>
      <c r="U1625" s="68"/>
      <c r="V1625" s="72"/>
      <c r="W1625" s="72"/>
      <c r="X1625" s="66"/>
      <c r="Y1625" s="80"/>
      <c r="Z1625" s="80"/>
      <c r="AA1625" s="153"/>
    </row>
    <row r="1626" spans="17:27" x14ac:dyDescent="0.25">
      <c r="Q1626" s="53"/>
      <c r="R1626" s="68"/>
      <c r="S1626" s="68"/>
      <c r="T1626" s="68"/>
      <c r="U1626" s="68"/>
      <c r="V1626" s="72"/>
      <c r="W1626" s="72"/>
      <c r="X1626" s="66"/>
      <c r="Y1626" s="80"/>
      <c r="Z1626" s="80"/>
      <c r="AA1626" s="153"/>
    </row>
    <row r="1627" spans="17:27" x14ac:dyDescent="0.25">
      <c r="Q1627" s="53"/>
      <c r="R1627" s="68"/>
      <c r="S1627" s="68"/>
      <c r="T1627" s="68"/>
      <c r="U1627" s="68"/>
      <c r="V1627" s="72"/>
      <c r="W1627" s="72"/>
      <c r="X1627" s="66"/>
      <c r="Y1627" s="80"/>
      <c r="Z1627" s="80"/>
      <c r="AA1627" s="153"/>
    </row>
    <row r="1628" spans="17:27" x14ac:dyDescent="0.25">
      <c r="Q1628" s="53"/>
      <c r="R1628" s="68"/>
      <c r="S1628" s="68"/>
      <c r="T1628" s="68"/>
      <c r="U1628" s="68"/>
      <c r="V1628" s="72"/>
      <c r="W1628" s="72"/>
      <c r="X1628" s="66"/>
      <c r="Y1628" s="80"/>
      <c r="Z1628" s="80"/>
      <c r="AA1628" s="153"/>
    </row>
    <row r="1629" spans="17:27" x14ac:dyDescent="0.25">
      <c r="Q1629" s="53"/>
      <c r="R1629" s="68"/>
      <c r="S1629" s="68"/>
      <c r="T1629" s="68"/>
      <c r="U1629" s="68"/>
      <c r="V1629" s="72"/>
      <c r="W1629" s="72"/>
      <c r="X1629" s="66"/>
      <c r="Y1629" s="80"/>
      <c r="Z1629" s="80"/>
      <c r="AA1629" s="153"/>
    </row>
    <row r="1630" spans="17:27" x14ac:dyDescent="0.25">
      <c r="Q1630" s="53"/>
      <c r="R1630" s="68"/>
      <c r="S1630" s="68"/>
      <c r="T1630" s="68"/>
      <c r="U1630" s="68"/>
      <c r="V1630" s="72"/>
      <c r="W1630" s="72"/>
      <c r="X1630" s="66"/>
      <c r="Y1630" s="80"/>
      <c r="Z1630" s="80"/>
      <c r="AA1630" s="153"/>
    </row>
    <row r="1631" spans="17:27" x14ac:dyDescent="0.25">
      <c r="Q1631" s="53"/>
      <c r="R1631" s="68"/>
      <c r="S1631" s="68"/>
      <c r="T1631" s="68"/>
      <c r="U1631" s="68"/>
      <c r="V1631" s="72"/>
      <c r="W1631" s="72"/>
      <c r="X1631" s="66"/>
      <c r="Y1631" s="80"/>
      <c r="Z1631" s="80"/>
      <c r="AA1631" s="153"/>
    </row>
    <row r="1632" spans="17:27" x14ac:dyDescent="0.25">
      <c r="Q1632" s="53"/>
      <c r="R1632" s="68"/>
      <c r="S1632" s="68"/>
      <c r="T1632" s="68"/>
      <c r="U1632" s="68"/>
      <c r="V1632" s="72"/>
      <c r="W1632" s="72"/>
      <c r="X1632" s="66"/>
      <c r="Y1632" s="80"/>
      <c r="Z1632" s="80"/>
      <c r="AA1632" s="153"/>
    </row>
    <row r="1633" spans="17:27" x14ac:dyDescent="0.25">
      <c r="Q1633" s="53"/>
      <c r="R1633" s="68"/>
      <c r="S1633" s="68"/>
      <c r="T1633" s="68"/>
      <c r="U1633" s="68"/>
      <c r="V1633" s="72"/>
      <c r="W1633" s="72"/>
      <c r="X1633" s="66"/>
      <c r="Y1633" s="80"/>
      <c r="Z1633" s="80"/>
      <c r="AA1633" s="153"/>
    </row>
    <row r="1634" spans="17:27" x14ac:dyDescent="0.25">
      <c r="Q1634" s="53"/>
      <c r="R1634" s="68"/>
      <c r="S1634" s="68"/>
      <c r="T1634" s="68"/>
      <c r="U1634" s="68"/>
      <c r="V1634" s="72"/>
      <c r="W1634" s="72"/>
      <c r="X1634" s="66"/>
      <c r="Y1634" s="80"/>
      <c r="Z1634" s="80"/>
      <c r="AA1634" s="153"/>
    </row>
    <row r="1635" spans="17:27" x14ac:dyDescent="0.25">
      <c r="Q1635" s="53"/>
      <c r="R1635" s="68"/>
      <c r="S1635" s="68"/>
      <c r="T1635" s="68"/>
      <c r="U1635" s="68"/>
      <c r="V1635" s="72"/>
      <c r="W1635" s="72"/>
      <c r="X1635" s="66"/>
      <c r="Y1635" s="80"/>
      <c r="Z1635" s="80"/>
      <c r="AA1635" s="153"/>
    </row>
    <row r="1636" spans="17:27" x14ac:dyDescent="0.25">
      <c r="Q1636" s="53"/>
      <c r="R1636" s="68"/>
      <c r="S1636" s="68"/>
      <c r="T1636" s="68"/>
      <c r="U1636" s="68"/>
      <c r="V1636" s="72"/>
      <c r="W1636" s="72"/>
      <c r="X1636" s="66"/>
      <c r="Y1636" s="80"/>
      <c r="Z1636" s="80"/>
      <c r="AA1636" s="153"/>
    </row>
    <row r="1637" spans="17:27" x14ac:dyDescent="0.25">
      <c r="Q1637" s="53"/>
      <c r="R1637" s="68"/>
      <c r="S1637" s="68"/>
      <c r="T1637" s="68"/>
      <c r="U1637" s="68"/>
      <c r="V1637" s="72"/>
      <c r="W1637" s="72"/>
      <c r="X1637" s="66"/>
      <c r="Y1637" s="80"/>
      <c r="Z1637" s="80"/>
      <c r="AA1637" s="153"/>
    </row>
    <row r="1638" spans="17:27" x14ac:dyDescent="0.25">
      <c r="Q1638" s="53"/>
      <c r="R1638" s="68"/>
      <c r="S1638" s="68"/>
      <c r="T1638" s="68"/>
      <c r="U1638" s="68"/>
      <c r="V1638" s="72"/>
      <c r="W1638" s="72"/>
      <c r="X1638" s="66"/>
      <c r="Y1638" s="80"/>
      <c r="Z1638" s="80"/>
      <c r="AA1638" s="153"/>
    </row>
    <row r="1639" spans="17:27" x14ac:dyDescent="0.25">
      <c r="Q1639" s="53"/>
      <c r="R1639" s="68"/>
      <c r="S1639" s="68"/>
      <c r="T1639" s="68"/>
      <c r="U1639" s="68"/>
      <c r="V1639" s="72"/>
      <c r="W1639" s="72"/>
      <c r="X1639" s="66"/>
      <c r="Y1639" s="80"/>
      <c r="Z1639" s="80"/>
      <c r="AA1639" s="153"/>
    </row>
    <row r="1640" spans="17:27" x14ac:dyDescent="0.25">
      <c r="Q1640" s="53"/>
      <c r="R1640" s="68"/>
      <c r="S1640" s="68"/>
      <c r="T1640" s="68"/>
      <c r="U1640" s="68"/>
      <c r="V1640" s="72"/>
      <c r="W1640" s="72"/>
      <c r="X1640" s="66"/>
      <c r="Y1640" s="80"/>
      <c r="Z1640" s="80"/>
      <c r="AA1640" s="153"/>
    </row>
    <row r="1641" spans="17:27" x14ac:dyDescent="0.25">
      <c r="Q1641" s="53"/>
      <c r="R1641" s="68"/>
      <c r="S1641" s="68"/>
      <c r="T1641" s="68"/>
      <c r="U1641" s="68"/>
      <c r="V1641" s="72"/>
      <c r="W1641" s="72"/>
      <c r="X1641" s="66"/>
      <c r="Y1641" s="80"/>
      <c r="Z1641" s="80"/>
      <c r="AA1641" s="153"/>
    </row>
    <row r="1642" spans="17:27" x14ac:dyDescent="0.25">
      <c r="Q1642" s="53"/>
      <c r="R1642" s="68"/>
      <c r="S1642" s="68"/>
      <c r="T1642" s="68"/>
      <c r="U1642" s="68"/>
      <c r="V1642" s="72"/>
      <c r="W1642" s="72"/>
      <c r="X1642" s="66"/>
      <c r="Y1642" s="80"/>
      <c r="Z1642" s="80"/>
      <c r="AA1642" s="153"/>
    </row>
    <row r="1643" spans="17:27" x14ac:dyDescent="0.25">
      <c r="Q1643" s="53"/>
      <c r="R1643" s="68"/>
      <c r="S1643" s="68"/>
      <c r="T1643" s="68"/>
      <c r="U1643" s="68"/>
      <c r="V1643" s="72"/>
      <c r="W1643" s="72"/>
      <c r="X1643" s="66"/>
      <c r="Y1643" s="80"/>
      <c r="Z1643" s="80"/>
      <c r="AA1643" s="153"/>
    </row>
    <row r="1644" spans="17:27" x14ac:dyDescent="0.25">
      <c r="Q1644" s="53"/>
      <c r="R1644" s="68"/>
      <c r="S1644" s="68"/>
      <c r="T1644" s="68"/>
      <c r="U1644" s="68"/>
      <c r="V1644" s="72"/>
      <c r="W1644" s="72"/>
      <c r="X1644" s="66"/>
      <c r="Y1644" s="80"/>
      <c r="Z1644" s="80"/>
      <c r="AA1644" s="153"/>
    </row>
    <row r="1645" spans="17:27" x14ac:dyDescent="0.25">
      <c r="Q1645" s="53"/>
      <c r="R1645" s="68"/>
      <c r="S1645" s="68"/>
      <c r="T1645" s="68"/>
      <c r="U1645" s="68"/>
      <c r="V1645" s="72"/>
      <c r="W1645" s="72"/>
      <c r="X1645" s="66"/>
      <c r="Y1645" s="80"/>
      <c r="Z1645" s="80"/>
      <c r="AA1645" s="153"/>
    </row>
    <row r="1646" spans="17:27" x14ac:dyDescent="0.25">
      <c r="Q1646" s="53"/>
      <c r="R1646" s="68"/>
      <c r="S1646" s="68"/>
      <c r="T1646" s="68"/>
      <c r="U1646" s="68"/>
      <c r="V1646" s="72"/>
      <c r="W1646" s="72"/>
      <c r="X1646" s="66"/>
      <c r="Y1646" s="80"/>
      <c r="Z1646" s="80"/>
      <c r="AA1646" s="153"/>
    </row>
    <row r="1647" spans="17:27" x14ac:dyDescent="0.25">
      <c r="Q1647" s="53"/>
      <c r="R1647" s="68"/>
      <c r="S1647" s="68"/>
      <c r="T1647" s="68"/>
      <c r="U1647" s="68"/>
      <c r="V1647" s="72"/>
      <c r="W1647" s="72"/>
      <c r="X1647" s="66"/>
      <c r="Y1647" s="80"/>
      <c r="Z1647" s="80"/>
      <c r="AA1647" s="153"/>
    </row>
    <row r="1648" spans="17:27" x14ac:dyDescent="0.25">
      <c r="Q1648" s="53"/>
      <c r="R1648" s="68"/>
      <c r="S1648" s="68"/>
      <c r="T1648" s="68"/>
      <c r="U1648" s="68"/>
      <c r="V1648" s="72"/>
      <c r="W1648" s="72"/>
      <c r="X1648" s="66"/>
      <c r="Y1648" s="80"/>
      <c r="Z1648" s="80"/>
      <c r="AA1648" s="153"/>
    </row>
    <row r="1649" spans="17:27" x14ac:dyDescent="0.25">
      <c r="Q1649" s="53"/>
      <c r="R1649" s="68"/>
      <c r="S1649" s="68"/>
      <c r="T1649" s="68"/>
      <c r="U1649" s="68"/>
      <c r="V1649" s="72"/>
      <c r="W1649" s="72"/>
      <c r="X1649" s="66"/>
      <c r="Y1649" s="80"/>
      <c r="Z1649" s="80"/>
      <c r="AA1649" s="153"/>
    </row>
    <row r="1650" spans="17:27" x14ac:dyDescent="0.25">
      <c r="Q1650" s="53"/>
      <c r="R1650" s="68"/>
      <c r="S1650" s="68"/>
      <c r="T1650" s="68"/>
      <c r="U1650" s="68"/>
      <c r="V1650" s="72"/>
      <c r="W1650" s="72"/>
      <c r="X1650" s="66"/>
      <c r="Y1650" s="80"/>
      <c r="Z1650" s="80"/>
      <c r="AA1650" s="153"/>
    </row>
    <row r="1651" spans="17:27" x14ac:dyDescent="0.25">
      <c r="Q1651" s="53"/>
      <c r="R1651" s="68"/>
      <c r="S1651" s="68"/>
      <c r="T1651" s="68"/>
      <c r="U1651" s="68"/>
      <c r="V1651" s="72"/>
      <c r="W1651" s="72"/>
      <c r="X1651" s="66"/>
      <c r="Y1651" s="80"/>
      <c r="Z1651" s="80"/>
      <c r="AA1651" s="153"/>
    </row>
    <row r="1652" spans="17:27" x14ac:dyDescent="0.25">
      <c r="Q1652" s="53"/>
      <c r="R1652" s="68"/>
      <c r="S1652" s="68"/>
      <c r="T1652" s="68"/>
      <c r="U1652" s="68"/>
      <c r="V1652" s="72"/>
      <c r="W1652" s="72"/>
      <c r="X1652" s="66"/>
      <c r="Y1652" s="80"/>
      <c r="Z1652" s="80"/>
      <c r="AA1652" s="153"/>
    </row>
    <row r="1653" spans="17:27" x14ac:dyDescent="0.25">
      <c r="Q1653" s="53"/>
      <c r="R1653" s="68"/>
      <c r="S1653" s="68"/>
      <c r="T1653" s="68"/>
      <c r="U1653" s="68"/>
      <c r="V1653" s="72"/>
      <c r="W1653" s="72"/>
      <c r="X1653" s="66"/>
      <c r="Y1653" s="80"/>
      <c r="Z1653" s="80"/>
      <c r="AA1653" s="153"/>
    </row>
    <row r="1654" spans="17:27" x14ac:dyDescent="0.25">
      <c r="Q1654" s="53"/>
      <c r="R1654" s="68"/>
      <c r="S1654" s="68"/>
      <c r="T1654" s="68"/>
      <c r="U1654" s="68"/>
      <c r="V1654" s="72"/>
      <c r="W1654" s="72"/>
      <c r="X1654" s="66"/>
      <c r="Y1654" s="80"/>
      <c r="Z1654" s="80"/>
      <c r="AA1654" s="153"/>
    </row>
    <row r="1655" spans="17:27" x14ac:dyDescent="0.25">
      <c r="Q1655" s="53"/>
      <c r="R1655" s="68"/>
      <c r="S1655" s="68"/>
      <c r="T1655" s="68"/>
      <c r="U1655" s="68"/>
      <c r="V1655" s="72"/>
      <c r="W1655" s="72"/>
      <c r="X1655" s="66"/>
      <c r="Y1655" s="80"/>
      <c r="Z1655" s="80"/>
      <c r="AA1655" s="153"/>
    </row>
    <row r="1656" spans="17:27" x14ac:dyDescent="0.25">
      <c r="Q1656" s="53"/>
      <c r="R1656" s="68"/>
      <c r="S1656" s="68"/>
      <c r="T1656" s="68"/>
      <c r="U1656" s="68"/>
      <c r="V1656" s="72"/>
      <c r="W1656" s="72"/>
      <c r="X1656" s="66"/>
      <c r="Y1656" s="80"/>
      <c r="Z1656" s="80"/>
      <c r="AA1656" s="153"/>
    </row>
    <row r="1657" spans="17:27" x14ac:dyDescent="0.25">
      <c r="Q1657" s="53"/>
      <c r="R1657" s="68"/>
      <c r="S1657" s="68"/>
      <c r="T1657" s="68"/>
      <c r="U1657" s="68"/>
      <c r="V1657" s="72"/>
      <c r="W1657" s="72"/>
      <c r="X1657" s="66"/>
      <c r="Y1657" s="80"/>
      <c r="Z1657" s="80"/>
      <c r="AA1657" s="153"/>
    </row>
    <row r="1658" spans="17:27" x14ac:dyDescent="0.25">
      <c r="Q1658" s="53"/>
      <c r="R1658" s="68"/>
      <c r="S1658" s="68"/>
      <c r="T1658" s="68"/>
      <c r="U1658" s="68"/>
      <c r="V1658" s="72"/>
      <c r="W1658" s="72"/>
      <c r="X1658" s="66"/>
      <c r="Y1658" s="80"/>
      <c r="Z1658" s="80"/>
      <c r="AA1658" s="153"/>
    </row>
    <row r="1659" spans="17:27" x14ac:dyDescent="0.25">
      <c r="Q1659" s="53"/>
      <c r="R1659" s="68"/>
      <c r="S1659" s="68"/>
      <c r="T1659" s="68"/>
      <c r="U1659" s="68"/>
      <c r="V1659" s="72"/>
      <c r="W1659" s="72"/>
      <c r="X1659" s="66"/>
      <c r="Y1659" s="80"/>
      <c r="Z1659" s="80"/>
      <c r="AA1659" s="153"/>
    </row>
    <row r="1660" spans="17:27" x14ac:dyDescent="0.25">
      <c r="Q1660" s="53"/>
      <c r="R1660" s="68"/>
      <c r="S1660" s="68"/>
      <c r="T1660" s="68"/>
      <c r="U1660" s="68"/>
      <c r="V1660" s="72"/>
      <c r="W1660" s="72"/>
      <c r="X1660" s="66"/>
      <c r="Y1660" s="80"/>
      <c r="Z1660" s="80"/>
      <c r="AA1660" s="153"/>
    </row>
    <row r="1661" spans="17:27" x14ac:dyDescent="0.25">
      <c r="Q1661" s="53"/>
      <c r="R1661" s="68"/>
      <c r="S1661" s="68"/>
      <c r="T1661" s="68"/>
      <c r="U1661" s="68"/>
      <c r="V1661" s="72"/>
      <c r="W1661" s="72"/>
      <c r="X1661" s="66"/>
      <c r="Y1661" s="80"/>
      <c r="Z1661" s="80"/>
      <c r="AA1661" s="153"/>
    </row>
    <row r="1662" spans="17:27" x14ac:dyDescent="0.25">
      <c r="Q1662" s="53"/>
      <c r="R1662" s="68"/>
      <c r="S1662" s="68"/>
      <c r="T1662" s="68"/>
      <c r="U1662" s="68"/>
      <c r="V1662" s="72"/>
      <c r="W1662" s="72"/>
      <c r="X1662" s="66"/>
      <c r="Y1662" s="80"/>
      <c r="Z1662" s="80"/>
      <c r="AA1662" s="153"/>
    </row>
    <row r="1663" spans="17:27" x14ac:dyDescent="0.25">
      <c r="Q1663" s="53"/>
      <c r="R1663" s="68"/>
      <c r="S1663" s="68"/>
      <c r="T1663" s="68"/>
      <c r="U1663" s="68"/>
      <c r="V1663" s="72"/>
      <c r="W1663" s="72"/>
      <c r="X1663" s="66"/>
      <c r="Y1663" s="80"/>
      <c r="Z1663" s="80"/>
      <c r="AA1663" s="153"/>
    </row>
    <row r="1664" spans="17:27" x14ac:dyDescent="0.25">
      <c r="Q1664" s="53"/>
      <c r="R1664" s="68"/>
      <c r="S1664" s="68"/>
      <c r="T1664" s="68"/>
      <c r="U1664" s="68"/>
      <c r="V1664" s="72"/>
      <c r="W1664" s="72"/>
      <c r="X1664" s="66"/>
      <c r="Y1664" s="80"/>
      <c r="Z1664" s="80"/>
      <c r="AA1664" s="153"/>
    </row>
    <row r="1665" spans="17:27" x14ac:dyDescent="0.25">
      <c r="Q1665" s="53"/>
      <c r="R1665" s="68"/>
      <c r="S1665" s="68"/>
      <c r="T1665" s="68"/>
      <c r="U1665" s="68"/>
      <c r="V1665" s="72"/>
      <c r="W1665" s="72"/>
      <c r="X1665" s="66"/>
      <c r="Y1665" s="80"/>
      <c r="Z1665" s="80"/>
      <c r="AA1665" s="153"/>
    </row>
    <row r="1666" spans="17:27" x14ac:dyDescent="0.25">
      <c r="Q1666" s="53"/>
      <c r="R1666" s="68"/>
      <c r="S1666" s="68"/>
      <c r="T1666" s="68"/>
      <c r="U1666" s="68"/>
      <c r="V1666" s="72"/>
      <c r="W1666" s="72"/>
      <c r="X1666" s="66"/>
      <c r="Y1666" s="80"/>
      <c r="Z1666" s="80"/>
      <c r="AA1666" s="153"/>
    </row>
    <row r="1667" spans="17:27" x14ac:dyDescent="0.25">
      <c r="Q1667" s="53"/>
      <c r="R1667" s="68"/>
      <c r="S1667" s="68"/>
      <c r="T1667" s="68"/>
      <c r="U1667" s="68"/>
      <c r="V1667" s="72"/>
      <c r="W1667" s="72"/>
      <c r="X1667" s="66"/>
      <c r="Y1667" s="80"/>
      <c r="Z1667" s="80"/>
      <c r="AA1667" s="153"/>
    </row>
    <row r="1668" spans="17:27" x14ac:dyDescent="0.25">
      <c r="Q1668" s="53"/>
      <c r="R1668" s="68"/>
      <c r="S1668" s="68"/>
      <c r="T1668" s="68"/>
      <c r="U1668" s="68"/>
      <c r="V1668" s="72"/>
      <c r="W1668" s="72"/>
      <c r="X1668" s="66"/>
      <c r="Y1668" s="80"/>
      <c r="Z1668" s="80"/>
      <c r="AA1668" s="153"/>
    </row>
    <row r="1669" spans="17:27" x14ac:dyDescent="0.25">
      <c r="Q1669" s="53"/>
      <c r="R1669" s="68"/>
      <c r="S1669" s="68"/>
      <c r="T1669" s="68"/>
      <c r="U1669" s="68"/>
      <c r="V1669" s="72"/>
      <c r="W1669" s="72"/>
      <c r="X1669" s="66"/>
      <c r="Y1669" s="80"/>
      <c r="Z1669" s="80"/>
      <c r="AA1669" s="153"/>
    </row>
    <row r="1670" spans="17:27" x14ac:dyDescent="0.25">
      <c r="Q1670" s="53"/>
      <c r="R1670" s="68"/>
      <c r="S1670" s="68"/>
      <c r="T1670" s="68"/>
      <c r="U1670" s="68"/>
      <c r="V1670" s="72"/>
      <c r="W1670" s="72"/>
      <c r="X1670" s="66"/>
      <c r="Y1670" s="80"/>
      <c r="Z1670" s="80"/>
      <c r="AA1670" s="153"/>
    </row>
    <row r="1671" spans="17:27" x14ac:dyDescent="0.25">
      <c r="Q1671" s="53"/>
      <c r="R1671" s="68"/>
      <c r="S1671" s="68"/>
      <c r="T1671" s="68"/>
      <c r="U1671" s="68"/>
      <c r="V1671" s="72"/>
      <c r="W1671" s="72"/>
      <c r="X1671" s="66"/>
      <c r="Y1671" s="80"/>
      <c r="Z1671" s="80"/>
      <c r="AA1671" s="153"/>
    </row>
    <row r="1672" spans="17:27" x14ac:dyDescent="0.25">
      <c r="Q1672" s="53"/>
      <c r="R1672" s="68"/>
      <c r="S1672" s="68"/>
      <c r="T1672" s="68"/>
      <c r="U1672" s="68"/>
      <c r="V1672" s="72"/>
      <c r="W1672" s="72"/>
      <c r="X1672" s="66"/>
      <c r="Y1672" s="80"/>
      <c r="Z1672" s="80"/>
      <c r="AA1672" s="153"/>
    </row>
    <row r="1673" spans="17:27" x14ac:dyDescent="0.25">
      <c r="Q1673" s="53"/>
      <c r="R1673" s="68"/>
      <c r="S1673" s="68"/>
      <c r="T1673" s="68"/>
      <c r="U1673" s="68"/>
      <c r="V1673" s="72"/>
      <c r="W1673" s="72"/>
      <c r="X1673" s="66"/>
      <c r="Y1673" s="80"/>
      <c r="Z1673" s="80"/>
      <c r="AA1673" s="153"/>
    </row>
    <row r="1674" spans="17:27" x14ac:dyDescent="0.25">
      <c r="Q1674" s="53"/>
      <c r="R1674" s="68"/>
      <c r="S1674" s="68"/>
      <c r="T1674" s="68"/>
      <c r="U1674" s="68"/>
      <c r="V1674" s="72"/>
      <c r="W1674" s="72"/>
      <c r="X1674" s="66"/>
      <c r="Y1674" s="80"/>
      <c r="Z1674" s="80"/>
      <c r="AA1674" s="153"/>
    </row>
    <row r="1675" spans="17:27" x14ac:dyDescent="0.25">
      <c r="Q1675" s="53"/>
      <c r="R1675" s="68"/>
      <c r="S1675" s="68"/>
      <c r="T1675" s="68"/>
      <c r="U1675" s="68"/>
      <c r="V1675" s="72"/>
      <c r="W1675" s="72"/>
      <c r="X1675" s="66"/>
      <c r="Y1675" s="80"/>
      <c r="Z1675" s="80"/>
      <c r="AA1675" s="153"/>
    </row>
    <row r="1676" spans="17:27" x14ac:dyDescent="0.25">
      <c r="Q1676" s="53"/>
      <c r="R1676" s="68"/>
      <c r="S1676" s="68"/>
      <c r="T1676" s="68"/>
      <c r="U1676" s="68"/>
      <c r="V1676" s="72"/>
      <c r="W1676" s="72"/>
      <c r="X1676" s="66"/>
      <c r="Y1676" s="80"/>
      <c r="Z1676" s="80"/>
      <c r="AA1676" s="153"/>
    </row>
    <row r="1677" spans="17:27" x14ac:dyDescent="0.25">
      <c r="Q1677" s="53"/>
      <c r="R1677" s="68"/>
      <c r="S1677" s="68"/>
      <c r="T1677" s="68"/>
      <c r="U1677" s="68"/>
      <c r="V1677" s="72"/>
      <c r="W1677" s="72"/>
      <c r="X1677" s="66"/>
      <c r="Y1677" s="80"/>
      <c r="Z1677" s="80"/>
      <c r="AA1677" s="153"/>
    </row>
    <row r="1678" spans="17:27" x14ac:dyDescent="0.25">
      <c r="Q1678" s="53"/>
      <c r="R1678" s="68"/>
      <c r="S1678" s="68"/>
      <c r="T1678" s="68"/>
      <c r="U1678" s="68"/>
      <c r="V1678" s="72"/>
      <c r="W1678" s="72"/>
      <c r="X1678" s="66"/>
      <c r="Y1678" s="80"/>
      <c r="Z1678" s="80"/>
      <c r="AA1678" s="153"/>
    </row>
    <row r="1679" spans="17:27" x14ac:dyDescent="0.25">
      <c r="Q1679" s="53"/>
      <c r="R1679" s="68"/>
      <c r="S1679" s="68"/>
      <c r="T1679" s="68"/>
      <c r="U1679" s="68"/>
      <c r="V1679" s="72"/>
      <c r="W1679" s="72"/>
      <c r="X1679" s="66"/>
      <c r="Y1679" s="80"/>
      <c r="Z1679" s="80"/>
      <c r="AA1679" s="153"/>
    </row>
    <row r="1680" spans="17:27" x14ac:dyDescent="0.25">
      <c r="Q1680" s="53"/>
      <c r="R1680" s="68"/>
      <c r="S1680" s="68"/>
      <c r="T1680" s="68"/>
      <c r="U1680" s="68"/>
      <c r="V1680" s="72"/>
      <c r="W1680" s="72"/>
      <c r="X1680" s="66"/>
      <c r="Y1680" s="80"/>
      <c r="Z1680" s="80"/>
      <c r="AA1680" s="153"/>
    </row>
    <row r="1681" spans="17:27" x14ac:dyDescent="0.25">
      <c r="Q1681" s="64"/>
      <c r="R1681" s="68"/>
      <c r="S1681" s="68"/>
      <c r="T1681" s="68"/>
      <c r="U1681" s="68"/>
      <c r="V1681" s="72"/>
      <c r="W1681" s="72"/>
      <c r="X1681" s="72"/>
      <c r="Y1681" s="80"/>
      <c r="Z1681" s="80"/>
      <c r="AA1681" s="153"/>
    </row>
    <row r="1682" spans="17:27" x14ac:dyDescent="0.25">
      <c r="Q1682" s="64"/>
      <c r="R1682" s="68"/>
      <c r="S1682" s="68"/>
      <c r="T1682" s="68"/>
      <c r="U1682" s="68"/>
      <c r="V1682" s="72"/>
      <c r="W1682" s="72"/>
      <c r="X1682" s="72"/>
      <c r="Y1682" s="80"/>
      <c r="Z1682" s="80"/>
      <c r="AA1682" s="153"/>
    </row>
    <row r="1683" spans="17:27" x14ac:dyDescent="0.25">
      <c r="Q1683" s="64"/>
      <c r="R1683" s="68"/>
      <c r="S1683" s="68"/>
      <c r="T1683" s="68"/>
      <c r="U1683" s="68"/>
      <c r="V1683" s="72"/>
      <c r="W1683" s="72"/>
      <c r="X1683" s="72"/>
      <c r="Y1683" s="80"/>
      <c r="Z1683" s="80"/>
      <c r="AA1683" s="153"/>
    </row>
    <row r="1684" spans="17:27" x14ac:dyDescent="0.25">
      <c r="Q1684" s="64"/>
      <c r="R1684" s="68"/>
      <c r="S1684" s="68"/>
      <c r="T1684" s="68"/>
      <c r="U1684" s="68"/>
      <c r="V1684" s="72"/>
      <c r="W1684" s="72"/>
      <c r="X1684" s="72"/>
      <c r="Y1684" s="80"/>
      <c r="Z1684" s="80"/>
      <c r="AA1684" s="153"/>
    </row>
    <row r="1685" spans="17:27" x14ac:dyDescent="0.25">
      <c r="Q1685" s="64"/>
      <c r="R1685" s="68"/>
      <c r="S1685" s="68"/>
      <c r="T1685" s="68"/>
      <c r="U1685" s="68"/>
      <c r="V1685" s="72"/>
      <c r="W1685" s="72"/>
      <c r="X1685" s="72"/>
      <c r="Y1685" s="80"/>
      <c r="Z1685" s="80"/>
      <c r="AA1685" s="153"/>
    </row>
    <row r="1686" spans="17:27" x14ac:dyDescent="0.25">
      <c r="Q1686" s="64"/>
      <c r="R1686" s="68"/>
      <c r="S1686" s="68"/>
      <c r="T1686" s="68"/>
      <c r="U1686" s="68"/>
      <c r="V1686" s="72"/>
      <c r="W1686" s="72"/>
      <c r="X1686" s="72"/>
      <c r="Y1686" s="80"/>
      <c r="Z1686" s="80"/>
      <c r="AA1686" s="153"/>
    </row>
    <row r="1687" spans="17:27" x14ac:dyDescent="0.25">
      <c r="Q1687" s="64"/>
      <c r="R1687" s="68"/>
      <c r="S1687" s="68"/>
      <c r="T1687" s="68"/>
      <c r="U1687" s="68"/>
      <c r="V1687" s="72"/>
      <c r="W1687" s="72"/>
      <c r="X1687" s="72"/>
      <c r="Y1687" s="80"/>
      <c r="Z1687" s="80"/>
      <c r="AA1687" s="153"/>
    </row>
    <row r="1688" spans="17:27" x14ac:dyDescent="0.25">
      <c r="Q1688" s="64"/>
      <c r="R1688" s="68"/>
      <c r="S1688" s="68"/>
      <c r="T1688" s="68"/>
      <c r="U1688" s="68"/>
      <c r="V1688" s="72"/>
      <c r="W1688" s="72"/>
      <c r="X1688" s="72"/>
      <c r="Y1688" s="80"/>
      <c r="Z1688" s="80"/>
      <c r="AA1688" s="153"/>
    </row>
    <row r="1689" spans="17:27" x14ac:dyDescent="0.25">
      <c r="Q1689" s="64"/>
      <c r="R1689" s="68"/>
      <c r="S1689" s="68"/>
      <c r="T1689" s="68"/>
      <c r="U1689" s="68"/>
      <c r="V1689" s="72"/>
      <c r="W1689" s="72"/>
      <c r="X1689" s="72"/>
      <c r="Y1689" s="80"/>
      <c r="Z1689" s="80"/>
      <c r="AA1689" s="153"/>
    </row>
    <row r="1690" spans="17:27" x14ac:dyDescent="0.25">
      <c r="Q1690" s="64"/>
      <c r="R1690" s="68"/>
      <c r="S1690" s="68"/>
      <c r="T1690" s="68"/>
      <c r="U1690" s="68"/>
      <c r="V1690" s="72"/>
      <c r="W1690" s="72"/>
      <c r="X1690" s="72"/>
      <c r="Y1690" s="80"/>
      <c r="Z1690" s="80"/>
      <c r="AA1690" s="153"/>
    </row>
    <row r="1691" spans="17:27" x14ac:dyDescent="0.25">
      <c r="Q1691" s="64"/>
      <c r="R1691" s="68"/>
      <c r="S1691" s="68"/>
      <c r="T1691" s="68"/>
      <c r="U1691" s="68"/>
      <c r="V1691" s="72"/>
      <c r="W1691" s="72"/>
      <c r="X1691" s="72"/>
      <c r="Y1691" s="80"/>
      <c r="Z1691" s="80"/>
      <c r="AA1691" s="153"/>
    </row>
    <row r="1692" spans="17:27" x14ac:dyDescent="0.25">
      <c r="Q1692" s="64"/>
      <c r="R1692" s="68"/>
      <c r="S1692" s="68"/>
      <c r="T1692" s="68"/>
      <c r="U1692" s="68"/>
      <c r="V1692" s="72"/>
      <c r="W1692" s="72"/>
      <c r="X1692" s="72"/>
      <c r="Y1692" s="80"/>
      <c r="Z1692" s="80"/>
      <c r="AA1692" s="153"/>
    </row>
    <row r="1693" spans="17:27" x14ac:dyDescent="0.25">
      <c r="Q1693" s="64"/>
      <c r="R1693" s="68"/>
      <c r="S1693" s="68"/>
      <c r="T1693" s="68"/>
      <c r="U1693" s="68"/>
      <c r="V1693" s="72"/>
      <c r="W1693" s="72"/>
      <c r="X1693" s="72"/>
      <c r="Y1693" s="80"/>
      <c r="Z1693" s="80"/>
      <c r="AA1693" s="153"/>
    </row>
    <row r="1694" spans="17:27" x14ac:dyDescent="0.25">
      <c r="Q1694" s="64"/>
      <c r="R1694" s="68"/>
      <c r="S1694" s="68"/>
      <c r="T1694" s="68"/>
      <c r="U1694" s="68"/>
      <c r="V1694" s="72"/>
      <c r="W1694" s="72"/>
      <c r="X1694" s="72"/>
      <c r="Y1694" s="80"/>
      <c r="Z1694" s="80"/>
      <c r="AA1694" s="153"/>
    </row>
    <row r="1695" spans="17:27" x14ac:dyDescent="0.25">
      <c r="Q1695" s="64"/>
      <c r="R1695" s="68"/>
      <c r="S1695" s="68"/>
      <c r="T1695" s="68"/>
      <c r="U1695" s="68"/>
      <c r="V1695" s="72"/>
      <c r="W1695" s="72"/>
      <c r="X1695" s="72"/>
      <c r="Y1695" s="80"/>
      <c r="Z1695" s="80"/>
      <c r="AA1695" s="153"/>
    </row>
    <row r="1696" spans="17:27" x14ac:dyDescent="0.25">
      <c r="Q1696" s="64"/>
      <c r="R1696" s="68"/>
      <c r="S1696" s="68"/>
      <c r="T1696" s="68"/>
      <c r="U1696" s="68"/>
      <c r="V1696" s="72"/>
      <c r="W1696" s="72"/>
      <c r="X1696" s="72"/>
      <c r="Y1696" s="80"/>
      <c r="Z1696" s="80"/>
      <c r="AA1696" s="153"/>
    </row>
    <row r="1697" spans="17:27" x14ac:dyDescent="0.25">
      <c r="Q1697" s="64"/>
      <c r="R1697" s="68"/>
      <c r="S1697" s="68"/>
      <c r="T1697" s="68"/>
      <c r="U1697" s="68"/>
      <c r="V1697" s="72"/>
      <c r="W1697" s="72"/>
      <c r="X1697" s="72"/>
      <c r="Y1697" s="80"/>
      <c r="Z1697" s="80"/>
      <c r="AA1697" s="153"/>
    </row>
    <row r="1698" spans="17:27" x14ac:dyDescent="0.25">
      <c r="Q1698" s="64"/>
      <c r="R1698" s="68"/>
      <c r="S1698" s="68"/>
      <c r="T1698" s="68"/>
      <c r="U1698" s="68"/>
      <c r="V1698" s="72"/>
      <c r="W1698" s="72"/>
      <c r="X1698" s="72"/>
      <c r="Y1698" s="80"/>
      <c r="Z1698" s="80"/>
      <c r="AA1698" s="153"/>
    </row>
    <row r="1699" spans="17:27" x14ac:dyDescent="0.25">
      <c r="Q1699" s="64"/>
      <c r="R1699" s="68"/>
      <c r="S1699" s="68"/>
      <c r="T1699" s="68"/>
      <c r="U1699" s="68"/>
      <c r="V1699" s="72"/>
      <c r="W1699" s="72"/>
      <c r="X1699" s="72"/>
      <c r="Y1699" s="80"/>
      <c r="Z1699" s="80"/>
      <c r="AA1699" s="153"/>
    </row>
    <row r="1700" spans="17:27" x14ac:dyDescent="0.25">
      <c r="Q1700" s="64"/>
      <c r="R1700" s="68"/>
      <c r="S1700" s="68"/>
      <c r="T1700" s="68"/>
      <c r="U1700" s="68"/>
      <c r="V1700" s="72"/>
      <c r="W1700" s="72"/>
      <c r="X1700" s="72"/>
      <c r="Y1700" s="80"/>
      <c r="Z1700" s="80"/>
      <c r="AA1700" s="153"/>
    </row>
    <row r="1701" spans="17:27" x14ac:dyDescent="0.25">
      <c r="Q1701" s="64"/>
      <c r="R1701" s="68"/>
      <c r="S1701" s="68"/>
      <c r="T1701" s="68"/>
      <c r="U1701" s="68"/>
      <c r="V1701" s="72"/>
      <c r="W1701" s="72"/>
      <c r="X1701" s="72"/>
      <c r="Y1701" s="80"/>
      <c r="Z1701" s="80"/>
      <c r="AA1701" s="153"/>
    </row>
    <row r="1702" spans="17:27" x14ac:dyDescent="0.25">
      <c r="Q1702" s="64"/>
      <c r="R1702" s="68"/>
      <c r="S1702" s="68"/>
      <c r="T1702" s="68"/>
      <c r="U1702" s="68"/>
      <c r="V1702" s="72"/>
      <c r="W1702" s="72"/>
      <c r="X1702" s="72"/>
      <c r="Y1702" s="80"/>
      <c r="Z1702" s="80"/>
      <c r="AA1702" s="153"/>
    </row>
    <row r="1703" spans="17:27" x14ac:dyDescent="0.25">
      <c r="Q1703" s="64"/>
      <c r="R1703" s="68"/>
      <c r="S1703" s="68"/>
      <c r="T1703" s="68"/>
      <c r="U1703" s="68"/>
      <c r="V1703" s="72"/>
      <c r="W1703" s="72"/>
      <c r="X1703" s="72"/>
      <c r="Y1703" s="80"/>
      <c r="Z1703" s="80"/>
      <c r="AA1703" s="153"/>
    </row>
    <row r="1704" spans="17:27" x14ac:dyDescent="0.25">
      <c r="Q1704" s="64"/>
      <c r="R1704" s="68"/>
      <c r="S1704" s="68"/>
      <c r="T1704" s="68"/>
      <c r="U1704" s="68"/>
      <c r="V1704" s="72"/>
      <c r="W1704" s="72"/>
      <c r="X1704" s="72"/>
      <c r="Y1704" s="80"/>
      <c r="Z1704" s="80"/>
      <c r="AA1704" s="153"/>
    </row>
    <row r="1705" spans="17:27" x14ac:dyDescent="0.25">
      <c r="Q1705" s="64"/>
      <c r="R1705" s="68"/>
      <c r="S1705" s="68"/>
      <c r="T1705" s="68"/>
      <c r="U1705" s="68"/>
      <c r="V1705" s="72"/>
      <c r="W1705" s="72"/>
      <c r="X1705" s="72"/>
      <c r="Y1705" s="80"/>
      <c r="Z1705" s="80"/>
      <c r="AA1705" s="153"/>
    </row>
    <row r="1706" spans="17:27" x14ac:dyDescent="0.25">
      <c r="Q1706" s="64"/>
      <c r="R1706" s="68"/>
      <c r="S1706" s="68"/>
      <c r="T1706" s="68"/>
      <c r="U1706" s="68"/>
      <c r="V1706" s="72"/>
      <c r="W1706" s="72"/>
      <c r="X1706" s="72"/>
      <c r="Y1706" s="80"/>
      <c r="Z1706" s="80"/>
      <c r="AA1706" s="153"/>
    </row>
    <row r="1707" spans="17:27" x14ac:dyDescent="0.25">
      <c r="Q1707" s="64"/>
      <c r="R1707" s="68"/>
      <c r="S1707" s="68"/>
      <c r="T1707" s="68"/>
      <c r="U1707" s="68"/>
      <c r="V1707" s="72"/>
      <c r="W1707" s="72"/>
      <c r="X1707" s="72"/>
      <c r="Y1707" s="80"/>
      <c r="Z1707" s="80"/>
      <c r="AA1707" s="153"/>
    </row>
    <row r="1708" spans="17:27" x14ac:dyDescent="0.25">
      <c r="Q1708" s="64"/>
      <c r="R1708" s="68"/>
      <c r="S1708" s="68"/>
      <c r="T1708" s="68"/>
      <c r="U1708" s="68"/>
      <c r="V1708" s="72"/>
      <c r="W1708" s="72"/>
      <c r="X1708" s="72"/>
      <c r="Y1708" s="80"/>
      <c r="Z1708" s="80"/>
      <c r="AA1708" s="153"/>
    </row>
    <row r="1709" spans="17:27" x14ac:dyDescent="0.25">
      <c r="Q1709" s="64"/>
      <c r="R1709" s="68"/>
      <c r="S1709" s="68"/>
      <c r="T1709" s="68"/>
      <c r="U1709" s="68"/>
      <c r="V1709" s="72"/>
      <c r="W1709" s="72"/>
      <c r="X1709" s="72"/>
      <c r="Y1709" s="80"/>
      <c r="Z1709" s="80"/>
      <c r="AA1709" s="153"/>
    </row>
    <row r="1710" spans="17:27" x14ac:dyDescent="0.25">
      <c r="Q1710" s="64"/>
      <c r="R1710" s="68"/>
      <c r="S1710" s="68"/>
      <c r="T1710" s="68"/>
      <c r="U1710" s="68"/>
      <c r="V1710" s="72"/>
      <c r="W1710" s="72"/>
      <c r="X1710" s="72"/>
      <c r="Y1710" s="80"/>
      <c r="Z1710" s="80"/>
      <c r="AA1710" s="153"/>
    </row>
    <row r="1711" spans="17:27" x14ac:dyDescent="0.25">
      <c r="Q1711" s="64"/>
      <c r="R1711" s="68"/>
      <c r="S1711" s="68"/>
      <c r="T1711" s="68"/>
      <c r="U1711" s="68"/>
      <c r="V1711" s="72"/>
      <c r="W1711" s="72"/>
      <c r="X1711" s="72"/>
      <c r="Y1711" s="80"/>
      <c r="Z1711" s="80"/>
      <c r="AA1711" s="153"/>
    </row>
    <row r="1712" spans="17:27" x14ac:dyDescent="0.25">
      <c r="Q1712" s="64"/>
      <c r="R1712" s="68"/>
      <c r="S1712" s="68"/>
      <c r="T1712" s="68"/>
      <c r="U1712" s="68"/>
      <c r="V1712" s="72"/>
      <c r="W1712" s="72"/>
      <c r="X1712" s="72"/>
      <c r="Y1712" s="80"/>
      <c r="Z1712" s="80"/>
      <c r="AA1712" s="153"/>
    </row>
    <row r="1713" spans="17:27" x14ac:dyDescent="0.25">
      <c r="Q1713" s="64"/>
      <c r="R1713" s="68"/>
      <c r="S1713" s="68"/>
      <c r="T1713" s="68"/>
      <c r="U1713" s="68"/>
      <c r="V1713" s="72"/>
      <c r="W1713" s="72"/>
      <c r="X1713" s="72"/>
      <c r="Y1713" s="80"/>
      <c r="Z1713" s="80"/>
      <c r="AA1713" s="153"/>
    </row>
    <row r="1714" spans="17:27" x14ac:dyDescent="0.25">
      <c r="Q1714" s="64"/>
      <c r="R1714" s="68"/>
      <c r="S1714" s="68"/>
      <c r="T1714" s="68"/>
      <c r="U1714" s="68"/>
      <c r="V1714" s="72"/>
      <c r="W1714" s="72"/>
      <c r="X1714" s="72"/>
      <c r="Y1714" s="80"/>
      <c r="Z1714" s="80"/>
      <c r="AA1714" s="153"/>
    </row>
    <row r="1715" spans="17:27" x14ac:dyDescent="0.25">
      <c r="Q1715" s="64"/>
      <c r="R1715" s="68"/>
      <c r="S1715" s="68"/>
      <c r="T1715" s="68"/>
      <c r="U1715" s="68"/>
      <c r="V1715" s="72"/>
      <c r="W1715" s="72"/>
      <c r="X1715" s="72"/>
      <c r="Y1715" s="80"/>
      <c r="Z1715" s="80"/>
      <c r="AA1715" s="153"/>
    </row>
    <row r="1716" spans="17:27" x14ac:dyDescent="0.25">
      <c r="Q1716" s="64"/>
      <c r="R1716" s="68"/>
      <c r="S1716" s="68"/>
      <c r="T1716" s="68"/>
      <c r="U1716" s="68"/>
      <c r="V1716" s="72"/>
      <c r="W1716" s="72"/>
      <c r="X1716" s="72"/>
      <c r="Y1716" s="80"/>
      <c r="Z1716" s="80"/>
      <c r="AA1716" s="153"/>
    </row>
    <row r="1717" spans="17:27" x14ac:dyDescent="0.25">
      <c r="Q1717" s="64"/>
      <c r="R1717" s="68"/>
      <c r="S1717" s="68"/>
      <c r="T1717" s="68"/>
      <c r="U1717" s="68"/>
      <c r="V1717" s="72"/>
      <c r="W1717" s="72"/>
      <c r="X1717" s="72"/>
      <c r="Y1717" s="80"/>
      <c r="Z1717" s="80"/>
      <c r="AA1717" s="153"/>
    </row>
    <row r="1718" spans="17:27" x14ac:dyDescent="0.25">
      <c r="Q1718" s="64"/>
      <c r="R1718" s="68"/>
      <c r="S1718" s="68"/>
      <c r="T1718" s="68"/>
      <c r="U1718" s="68"/>
      <c r="V1718" s="72"/>
      <c r="W1718" s="72"/>
      <c r="X1718" s="72"/>
      <c r="Y1718" s="80"/>
      <c r="Z1718" s="80"/>
      <c r="AA1718" s="153"/>
    </row>
    <row r="1719" spans="17:27" x14ac:dyDescent="0.25">
      <c r="Q1719" s="64"/>
      <c r="R1719" s="68"/>
      <c r="S1719" s="68"/>
      <c r="T1719" s="68"/>
      <c r="U1719" s="68"/>
      <c r="V1719" s="72"/>
      <c r="W1719" s="72"/>
      <c r="X1719" s="72"/>
      <c r="Y1719" s="80"/>
      <c r="Z1719" s="80"/>
      <c r="AA1719" s="153"/>
    </row>
    <row r="1720" spans="17:27" x14ac:dyDescent="0.25">
      <c r="Q1720" s="64"/>
      <c r="R1720" s="68"/>
      <c r="S1720" s="68"/>
      <c r="T1720" s="68"/>
      <c r="U1720" s="68"/>
      <c r="V1720" s="72"/>
      <c r="W1720" s="72"/>
      <c r="X1720" s="72"/>
      <c r="Y1720" s="80"/>
      <c r="Z1720" s="80"/>
      <c r="AA1720" s="153"/>
    </row>
    <row r="1721" spans="17:27" x14ac:dyDescent="0.25">
      <c r="Q1721" s="64"/>
      <c r="R1721" s="68"/>
      <c r="S1721" s="68"/>
      <c r="T1721" s="68"/>
      <c r="U1721" s="68"/>
      <c r="V1721" s="72"/>
      <c r="W1721" s="72"/>
      <c r="X1721" s="72"/>
      <c r="Y1721" s="80"/>
      <c r="Z1721" s="80"/>
      <c r="AA1721" s="153"/>
    </row>
    <row r="1722" spans="17:27" x14ac:dyDescent="0.25">
      <c r="Q1722" s="64"/>
      <c r="R1722" s="68"/>
      <c r="S1722" s="68"/>
      <c r="T1722" s="68"/>
      <c r="U1722" s="68"/>
      <c r="V1722" s="72"/>
      <c r="W1722" s="72"/>
      <c r="X1722" s="72"/>
      <c r="Y1722" s="80"/>
      <c r="Z1722" s="80"/>
      <c r="AA1722" s="153"/>
    </row>
    <row r="1723" spans="17:27" x14ac:dyDescent="0.25">
      <c r="Q1723" s="64"/>
      <c r="R1723" s="68"/>
      <c r="S1723" s="68"/>
      <c r="T1723" s="68"/>
      <c r="U1723" s="68"/>
      <c r="V1723" s="72"/>
      <c r="W1723" s="72"/>
      <c r="X1723" s="72"/>
      <c r="Y1723" s="80"/>
      <c r="Z1723" s="80"/>
      <c r="AA1723" s="153"/>
    </row>
    <row r="1724" spans="17:27" x14ac:dyDescent="0.25">
      <c r="Q1724" s="64"/>
      <c r="R1724" s="68"/>
      <c r="S1724" s="68"/>
      <c r="T1724" s="68"/>
      <c r="U1724" s="68"/>
      <c r="V1724" s="72"/>
      <c r="W1724" s="72"/>
      <c r="X1724" s="72"/>
      <c r="Y1724" s="80"/>
      <c r="Z1724" s="80"/>
      <c r="AA1724" s="153"/>
    </row>
    <row r="1725" spans="17:27" x14ac:dyDescent="0.25">
      <c r="Q1725" s="64"/>
      <c r="R1725" s="68"/>
      <c r="S1725" s="68"/>
      <c r="T1725" s="68"/>
      <c r="U1725" s="68"/>
      <c r="V1725" s="72"/>
      <c r="W1725" s="72"/>
      <c r="X1725" s="72"/>
      <c r="Y1725" s="80"/>
      <c r="Z1725" s="80"/>
      <c r="AA1725" s="153"/>
    </row>
    <row r="1726" spans="17:27" x14ac:dyDescent="0.25">
      <c r="Q1726" s="64"/>
      <c r="R1726" s="68"/>
      <c r="S1726" s="68"/>
      <c r="T1726" s="68"/>
      <c r="U1726" s="68"/>
      <c r="V1726" s="72"/>
      <c r="W1726" s="72"/>
      <c r="X1726" s="72"/>
      <c r="Y1726" s="80"/>
      <c r="Z1726" s="80"/>
      <c r="AA1726" s="153"/>
    </row>
    <row r="1727" spans="17:27" x14ac:dyDescent="0.25">
      <c r="Q1727" s="64"/>
      <c r="R1727" s="68"/>
      <c r="S1727" s="68"/>
      <c r="T1727" s="68"/>
      <c r="U1727" s="68"/>
      <c r="V1727" s="72"/>
      <c r="W1727" s="72"/>
      <c r="X1727" s="72"/>
      <c r="Y1727" s="80"/>
      <c r="Z1727" s="80"/>
      <c r="AA1727" s="153"/>
    </row>
    <row r="1728" spans="17:27" x14ac:dyDescent="0.25">
      <c r="Q1728" s="64"/>
      <c r="R1728" s="68"/>
      <c r="S1728" s="68"/>
      <c r="T1728" s="68"/>
      <c r="U1728" s="68"/>
      <c r="V1728" s="72"/>
      <c r="W1728" s="72"/>
      <c r="X1728" s="72"/>
      <c r="Y1728" s="80"/>
      <c r="Z1728" s="80"/>
      <c r="AA1728" s="153"/>
    </row>
    <row r="1729" spans="17:27" x14ac:dyDescent="0.25">
      <c r="Q1729" s="64"/>
      <c r="R1729" s="68"/>
      <c r="S1729" s="68"/>
      <c r="T1729" s="68"/>
      <c r="U1729" s="68"/>
      <c r="V1729" s="72"/>
      <c r="W1729" s="72"/>
      <c r="X1729" s="72"/>
      <c r="Y1729" s="80"/>
      <c r="Z1729" s="80"/>
      <c r="AA1729" s="153"/>
    </row>
    <row r="1730" spans="17:27" x14ac:dyDescent="0.25">
      <c r="Q1730" s="64"/>
      <c r="R1730" s="68"/>
      <c r="S1730" s="68"/>
      <c r="T1730" s="68"/>
      <c r="U1730" s="68"/>
      <c r="V1730" s="72"/>
      <c r="W1730" s="72"/>
      <c r="X1730" s="72"/>
      <c r="Y1730" s="80"/>
      <c r="Z1730" s="80"/>
      <c r="AA1730" s="153"/>
    </row>
    <row r="1731" spans="17:27" x14ac:dyDescent="0.25">
      <c r="Q1731" s="64"/>
      <c r="R1731" s="68"/>
      <c r="S1731" s="68"/>
      <c r="T1731" s="68"/>
      <c r="U1731" s="68"/>
      <c r="V1731" s="72"/>
      <c r="W1731" s="72"/>
      <c r="X1731" s="72"/>
      <c r="Y1731" s="80"/>
      <c r="Z1731" s="80"/>
      <c r="AA1731" s="153"/>
    </row>
    <row r="1732" spans="17:27" x14ac:dyDescent="0.25">
      <c r="Q1732" s="64"/>
      <c r="R1732" s="68"/>
      <c r="S1732" s="68"/>
      <c r="T1732" s="68"/>
      <c r="U1732" s="68"/>
      <c r="V1732" s="72"/>
      <c r="W1732" s="72"/>
      <c r="X1732" s="72"/>
      <c r="Y1732" s="80"/>
      <c r="Z1732" s="80"/>
      <c r="AA1732" s="153"/>
    </row>
    <row r="1733" spans="17:27" x14ac:dyDescent="0.25">
      <c r="Q1733" s="64"/>
      <c r="R1733" s="68"/>
      <c r="S1733" s="68"/>
      <c r="T1733" s="68"/>
      <c r="U1733" s="68"/>
      <c r="V1733" s="72"/>
      <c r="W1733" s="72"/>
      <c r="X1733" s="72"/>
      <c r="Y1733" s="80"/>
      <c r="Z1733" s="80"/>
      <c r="AA1733" s="153"/>
    </row>
    <row r="1734" spans="17:27" x14ac:dyDescent="0.25">
      <c r="Q1734" s="64"/>
      <c r="R1734" s="68"/>
      <c r="S1734" s="68"/>
      <c r="T1734" s="68"/>
      <c r="U1734" s="68"/>
      <c r="V1734" s="72"/>
      <c r="W1734" s="72"/>
      <c r="X1734" s="72"/>
      <c r="Y1734" s="80"/>
      <c r="Z1734" s="80"/>
      <c r="AA1734" s="153"/>
    </row>
    <row r="1735" spans="17:27" x14ac:dyDescent="0.25">
      <c r="Q1735" s="64"/>
      <c r="R1735" s="68"/>
      <c r="S1735" s="68"/>
      <c r="T1735" s="68"/>
      <c r="U1735" s="68"/>
      <c r="V1735" s="72"/>
      <c r="W1735" s="72"/>
      <c r="X1735" s="72"/>
      <c r="Y1735" s="80"/>
      <c r="Z1735" s="80"/>
      <c r="AA1735" s="153"/>
    </row>
    <row r="1736" spans="17:27" x14ac:dyDescent="0.25">
      <c r="Q1736" s="64"/>
      <c r="R1736" s="68"/>
      <c r="S1736" s="68"/>
      <c r="T1736" s="68"/>
      <c r="U1736" s="68"/>
      <c r="V1736" s="72"/>
      <c r="W1736" s="72"/>
      <c r="X1736" s="72"/>
      <c r="Y1736" s="80"/>
      <c r="Z1736" s="80"/>
      <c r="AA1736" s="153"/>
    </row>
    <row r="1737" spans="17:27" x14ac:dyDescent="0.25">
      <c r="Q1737" s="64"/>
      <c r="R1737" s="68"/>
      <c r="S1737" s="68"/>
      <c r="T1737" s="68"/>
      <c r="U1737" s="68"/>
      <c r="V1737" s="72"/>
      <c r="W1737" s="72"/>
      <c r="X1737" s="72"/>
      <c r="Y1737" s="80"/>
      <c r="Z1737" s="80"/>
      <c r="AA1737" s="153"/>
    </row>
    <row r="1738" spans="17:27" x14ac:dyDescent="0.25">
      <c r="Q1738" s="64"/>
      <c r="R1738" s="68"/>
      <c r="S1738" s="68"/>
      <c r="T1738" s="68"/>
      <c r="U1738" s="68"/>
      <c r="V1738" s="72"/>
      <c r="W1738" s="72"/>
      <c r="X1738" s="72"/>
      <c r="Y1738" s="80"/>
      <c r="Z1738" s="80"/>
      <c r="AA1738" s="153"/>
    </row>
    <row r="1739" spans="17:27" x14ac:dyDescent="0.25">
      <c r="Q1739" s="64"/>
      <c r="R1739" s="68"/>
      <c r="S1739" s="68"/>
      <c r="T1739" s="68"/>
      <c r="U1739" s="68"/>
      <c r="V1739" s="72"/>
      <c r="W1739" s="72"/>
      <c r="X1739" s="72"/>
      <c r="Y1739" s="80"/>
      <c r="Z1739" s="80"/>
      <c r="AA1739" s="153"/>
    </row>
    <row r="1740" spans="17:27" x14ac:dyDescent="0.25">
      <c r="Q1740" s="64"/>
      <c r="R1740" s="68"/>
      <c r="S1740" s="68"/>
      <c r="T1740" s="68"/>
      <c r="U1740" s="68"/>
      <c r="V1740" s="72"/>
      <c r="W1740" s="72"/>
      <c r="X1740" s="72"/>
      <c r="Y1740" s="80"/>
      <c r="Z1740" s="80"/>
      <c r="AA1740" s="153"/>
    </row>
    <row r="1741" spans="17:27" x14ac:dyDescent="0.25">
      <c r="Q1741" s="64"/>
      <c r="R1741" s="68"/>
      <c r="S1741" s="68"/>
      <c r="T1741" s="68"/>
      <c r="U1741" s="68"/>
      <c r="V1741" s="72"/>
      <c r="W1741" s="72"/>
      <c r="X1741" s="72"/>
      <c r="Y1741" s="80"/>
      <c r="Z1741" s="80"/>
      <c r="AA1741" s="153"/>
    </row>
    <row r="1742" spans="17:27" x14ac:dyDescent="0.25">
      <c r="Q1742" s="64"/>
      <c r="R1742" s="68"/>
      <c r="S1742" s="68"/>
      <c r="T1742" s="68"/>
      <c r="U1742" s="68"/>
      <c r="V1742" s="72"/>
      <c r="W1742" s="72"/>
      <c r="X1742" s="72"/>
      <c r="Y1742" s="80"/>
      <c r="Z1742" s="80"/>
      <c r="AA1742" s="153"/>
    </row>
    <row r="1743" spans="17:27" x14ac:dyDescent="0.25">
      <c r="Q1743" s="64"/>
      <c r="R1743" s="68"/>
      <c r="S1743" s="68"/>
      <c r="T1743" s="68"/>
      <c r="U1743" s="68"/>
      <c r="V1743" s="72"/>
      <c r="W1743" s="72"/>
      <c r="X1743" s="72"/>
      <c r="Y1743" s="80"/>
      <c r="Z1743" s="80"/>
      <c r="AA1743" s="153"/>
    </row>
    <row r="1744" spans="17:27" x14ac:dyDescent="0.25">
      <c r="Q1744" s="64"/>
      <c r="R1744" s="68"/>
      <c r="S1744" s="68"/>
      <c r="T1744" s="68"/>
      <c r="U1744" s="68"/>
      <c r="V1744" s="72"/>
      <c r="W1744" s="72"/>
      <c r="X1744" s="72"/>
      <c r="Y1744" s="80"/>
      <c r="Z1744" s="80"/>
      <c r="AA1744" s="153"/>
    </row>
    <row r="1745" spans="17:27" x14ac:dyDescent="0.25">
      <c r="Q1745" s="64"/>
      <c r="R1745" s="68"/>
      <c r="S1745" s="68"/>
      <c r="T1745" s="68"/>
      <c r="U1745" s="68"/>
      <c r="V1745" s="72"/>
      <c r="W1745" s="72"/>
      <c r="X1745" s="72"/>
      <c r="Y1745" s="80"/>
      <c r="Z1745" s="80"/>
      <c r="AA1745" s="153"/>
    </row>
    <row r="1746" spans="17:27" x14ac:dyDescent="0.25">
      <c r="Q1746" s="64"/>
      <c r="R1746" s="68"/>
      <c r="S1746" s="68"/>
      <c r="T1746" s="68"/>
      <c r="U1746" s="68"/>
      <c r="V1746" s="72"/>
      <c r="W1746" s="72"/>
      <c r="X1746" s="72"/>
      <c r="Y1746" s="80"/>
      <c r="Z1746" s="80"/>
      <c r="AA1746" s="153"/>
    </row>
    <row r="1747" spans="17:27" x14ac:dyDescent="0.25">
      <c r="Q1747" s="64"/>
      <c r="R1747" s="68"/>
      <c r="S1747" s="68"/>
      <c r="T1747" s="68"/>
      <c r="U1747" s="68"/>
      <c r="V1747" s="72"/>
      <c r="W1747" s="72"/>
      <c r="X1747" s="72"/>
      <c r="Y1747" s="80"/>
      <c r="Z1747" s="80"/>
      <c r="AA1747" s="153"/>
    </row>
    <row r="1748" spans="17:27" x14ac:dyDescent="0.25">
      <c r="Q1748" s="64"/>
      <c r="R1748" s="68"/>
      <c r="S1748" s="68"/>
      <c r="T1748" s="68"/>
      <c r="U1748" s="68"/>
      <c r="V1748" s="72"/>
      <c r="W1748" s="72"/>
      <c r="X1748" s="72"/>
      <c r="Y1748" s="80"/>
      <c r="Z1748" s="80"/>
      <c r="AA1748" s="153"/>
    </row>
    <row r="1749" spans="17:27" x14ac:dyDescent="0.25">
      <c r="Q1749" s="64"/>
      <c r="R1749" s="68"/>
      <c r="S1749" s="68"/>
      <c r="T1749" s="68"/>
      <c r="U1749" s="68"/>
      <c r="V1749" s="72"/>
      <c r="W1749" s="72"/>
      <c r="X1749" s="72"/>
      <c r="Y1749" s="80"/>
      <c r="Z1749" s="80"/>
      <c r="AA1749" s="153"/>
    </row>
    <row r="1750" spans="17:27" x14ac:dyDescent="0.25">
      <c r="Q1750" s="64"/>
      <c r="R1750" s="68"/>
      <c r="S1750" s="68"/>
      <c r="T1750" s="68"/>
      <c r="U1750" s="68"/>
      <c r="V1750" s="72"/>
      <c r="W1750" s="72"/>
      <c r="X1750" s="72"/>
      <c r="Y1750" s="80"/>
      <c r="Z1750" s="80"/>
      <c r="AA1750" s="153"/>
    </row>
    <row r="1751" spans="17:27" x14ac:dyDescent="0.25">
      <c r="Q1751" s="64"/>
      <c r="R1751" s="68"/>
      <c r="S1751" s="68"/>
      <c r="T1751" s="68"/>
      <c r="U1751" s="68"/>
      <c r="V1751" s="72"/>
      <c r="W1751" s="72"/>
      <c r="X1751" s="72"/>
      <c r="Y1751" s="80"/>
      <c r="Z1751" s="80"/>
      <c r="AA1751" s="153"/>
    </row>
    <row r="1752" spans="17:27" x14ac:dyDescent="0.25">
      <c r="Q1752" s="64"/>
      <c r="R1752" s="68"/>
      <c r="S1752" s="68"/>
      <c r="T1752" s="68"/>
      <c r="U1752" s="68"/>
      <c r="V1752" s="72"/>
      <c r="W1752" s="72"/>
      <c r="X1752" s="72"/>
      <c r="Y1752" s="80"/>
      <c r="Z1752" s="80"/>
      <c r="AA1752" s="153"/>
    </row>
    <row r="1753" spans="17:27" x14ac:dyDescent="0.25">
      <c r="Q1753" s="64"/>
      <c r="R1753" s="68"/>
      <c r="S1753" s="68"/>
      <c r="T1753" s="68"/>
      <c r="U1753" s="68"/>
      <c r="V1753" s="72"/>
      <c r="W1753" s="72"/>
      <c r="X1753" s="72"/>
      <c r="Y1753" s="80"/>
      <c r="Z1753" s="80"/>
      <c r="AA1753" s="153"/>
    </row>
    <row r="1754" spans="17:27" x14ac:dyDescent="0.25">
      <c r="Q1754" s="64"/>
      <c r="R1754" s="68"/>
      <c r="S1754" s="68"/>
      <c r="T1754" s="68"/>
      <c r="U1754" s="68"/>
      <c r="V1754" s="72"/>
      <c r="W1754" s="72"/>
      <c r="X1754" s="72"/>
      <c r="Y1754" s="80"/>
      <c r="Z1754" s="80"/>
      <c r="AA1754" s="153"/>
    </row>
    <row r="1755" spans="17:27" x14ac:dyDescent="0.25">
      <c r="Q1755" s="64"/>
      <c r="R1755" s="68"/>
      <c r="S1755" s="68"/>
      <c r="T1755" s="68"/>
      <c r="U1755" s="68"/>
      <c r="V1755" s="72"/>
      <c r="W1755" s="72"/>
      <c r="X1755" s="72"/>
      <c r="Y1755" s="80"/>
      <c r="Z1755" s="80"/>
      <c r="AA1755" s="153"/>
    </row>
    <row r="1756" spans="17:27" x14ac:dyDescent="0.25">
      <c r="Q1756" s="64"/>
      <c r="R1756" s="68"/>
      <c r="S1756" s="68"/>
      <c r="T1756" s="68"/>
      <c r="U1756" s="68"/>
      <c r="V1756" s="72"/>
      <c r="W1756" s="72"/>
      <c r="X1756" s="72"/>
      <c r="Y1756" s="80"/>
      <c r="Z1756" s="80"/>
      <c r="AA1756" s="153"/>
    </row>
    <row r="1757" spans="17:27" x14ac:dyDescent="0.25">
      <c r="Q1757" s="64"/>
      <c r="R1757" s="68"/>
      <c r="S1757" s="68"/>
      <c r="T1757" s="68"/>
      <c r="U1757" s="68"/>
      <c r="V1757" s="72"/>
      <c r="W1757" s="72"/>
      <c r="X1757" s="72"/>
      <c r="Y1757" s="80"/>
      <c r="Z1757" s="80"/>
      <c r="AA1757" s="153"/>
    </row>
    <row r="1758" spans="17:27" x14ac:dyDescent="0.25">
      <c r="Q1758" s="64"/>
      <c r="R1758" s="68"/>
      <c r="S1758" s="68"/>
      <c r="T1758" s="68"/>
      <c r="U1758" s="68"/>
      <c r="V1758" s="72"/>
      <c r="W1758" s="72"/>
      <c r="X1758" s="72"/>
      <c r="Y1758" s="80"/>
      <c r="Z1758" s="80"/>
      <c r="AA1758" s="153"/>
    </row>
    <row r="1759" spans="17:27" x14ac:dyDescent="0.25">
      <c r="Q1759" s="64"/>
      <c r="R1759" s="68"/>
      <c r="S1759" s="68"/>
      <c r="T1759" s="68"/>
      <c r="U1759" s="68"/>
      <c r="V1759" s="72"/>
      <c r="W1759" s="72"/>
      <c r="X1759" s="72"/>
      <c r="Y1759" s="80"/>
      <c r="Z1759" s="80"/>
      <c r="AA1759" s="153"/>
    </row>
    <row r="1760" spans="17:27" x14ac:dyDescent="0.25">
      <c r="Q1760" s="64"/>
      <c r="R1760" s="68"/>
      <c r="S1760" s="68"/>
      <c r="T1760" s="68"/>
      <c r="U1760" s="68"/>
      <c r="V1760" s="72"/>
      <c r="W1760" s="72"/>
      <c r="X1760" s="72"/>
      <c r="Y1760" s="80"/>
      <c r="Z1760" s="80"/>
      <c r="AA1760" s="153"/>
    </row>
    <row r="1761" spans="17:27" x14ac:dyDescent="0.25">
      <c r="Q1761" s="64"/>
      <c r="R1761" s="68"/>
      <c r="S1761" s="68"/>
      <c r="T1761" s="68"/>
      <c r="U1761" s="68"/>
      <c r="V1761" s="72"/>
      <c r="W1761" s="72"/>
      <c r="X1761" s="72"/>
      <c r="Y1761" s="80"/>
      <c r="Z1761" s="80"/>
      <c r="AA1761" s="153"/>
    </row>
    <row r="1762" spans="17:27" x14ac:dyDescent="0.25">
      <c r="Q1762" s="64"/>
      <c r="R1762" s="68"/>
      <c r="S1762" s="68"/>
      <c r="T1762" s="68"/>
      <c r="U1762" s="68"/>
      <c r="V1762" s="72"/>
      <c r="W1762" s="72"/>
      <c r="X1762" s="72"/>
      <c r="Y1762" s="80"/>
      <c r="Z1762" s="80"/>
      <c r="AA1762" s="153"/>
    </row>
    <row r="1763" spans="17:27" x14ac:dyDescent="0.25">
      <c r="Q1763" s="64"/>
      <c r="R1763" s="68"/>
      <c r="S1763" s="68"/>
      <c r="T1763" s="68"/>
      <c r="U1763" s="68"/>
      <c r="V1763" s="72"/>
      <c r="W1763" s="72"/>
      <c r="X1763" s="72"/>
      <c r="Y1763" s="80"/>
      <c r="Z1763" s="80"/>
      <c r="AA1763" s="153"/>
    </row>
    <row r="1764" spans="17:27" x14ac:dyDescent="0.25">
      <c r="Q1764" s="64"/>
      <c r="R1764" s="68"/>
      <c r="S1764" s="68"/>
      <c r="T1764" s="68"/>
      <c r="U1764" s="68"/>
      <c r="V1764" s="72"/>
      <c r="W1764" s="72"/>
      <c r="X1764" s="72"/>
      <c r="Y1764" s="80"/>
      <c r="Z1764" s="80"/>
      <c r="AA1764" s="153"/>
    </row>
    <row r="1765" spans="17:27" x14ac:dyDescent="0.25">
      <c r="Q1765" s="64"/>
      <c r="R1765" s="68"/>
      <c r="S1765" s="68"/>
      <c r="T1765" s="68"/>
      <c r="U1765" s="68"/>
      <c r="V1765" s="72"/>
      <c r="W1765" s="72"/>
      <c r="X1765" s="72"/>
      <c r="Y1765" s="80"/>
      <c r="Z1765" s="80"/>
      <c r="AA1765" s="153"/>
    </row>
    <row r="1766" spans="17:27" x14ac:dyDescent="0.25">
      <c r="Q1766" s="64"/>
      <c r="R1766" s="68"/>
      <c r="S1766" s="68"/>
      <c r="T1766" s="68"/>
      <c r="U1766" s="68"/>
      <c r="V1766" s="72"/>
      <c r="W1766" s="72"/>
      <c r="X1766" s="72"/>
      <c r="Y1766" s="80"/>
      <c r="Z1766" s="80"/>
      <c r="AA1766" s="153"/>
    </row>
    <row r="1767" spans="17:27" x14ac:dyDescent="0.25">
      <c r="Q1767" s="64"/>
      <c r="R1767" s="68"/>
      <c r="S1767" s="68"/>
      <c r="T1767" s="68"/>
      <c r="U1767" s="68"/>
      <c r="V1767" s="72"/>
      <c r="W1767" s="72"/>
      <c r="X1767" s="72"/>
      <c r="Y1767" s="80"/>
      <c r="Z1767" s="80"/>
      <c r="AA1767" s="153"/>
    </row>
    <row r="1768" spans="17:27" x14ac:dyDescent="0.25">
      <c r="Q1768" s="64"/>
      <c r="R1768" s="68"/>
      <c r="S1768" s="68"/>
      <c r="T1768" s="68"/>
      <c r="U1768" s="68"/>
      <c r="V1768" s="72"/>
      <c r="W1768" s="72"/>
      <c r="X1768" s="72"/>
      <c r="Y1768" s="80"/>
      <c r="Z1768" s="80"/>
      <c r="AA1768" s="153"/>
    </row>
    <row r="1769" spans="17:27" x14ac:dyDescent="0.25">
      <c r="Q1769" s="64"/>
      <c r="R1769" s="68"/>
      <c r="S1769" s="68"/>
      <c r="T1769" s="68"/>
      <c r="U1769" s="68"/>
      <c r="V1769" s="72"/>
      <c r="W1769" s="72"/>
      <c r="X1769" s="72"/>
      <c r="Y1769" s="80"/>
      <c r="Z1769" s="80"/>
      <c r="AA1769" s="153"/>
    </row>
    <row r="1770" spans="17:27" x14ac:dyDescent="0.25">
      <c r="Q1770" s="64"/>
      <c r="R1770" s="68"/>
      <c r="S1770" s="68"/>
      <c r="T1770" s="68"/>
      <c r="U1770" s="68"/>
      <c r="V1770" s="72"/>
      <c r="W1770" s="72"/>
      <c r="X1770" s="72"/>
      <c r="Y1770" s="80"/>
      <c r="Z1770" s="80"/>
      <c r="AA1770" s="153"/>
    </row>
    <row r="1771" spans="17:27" x14ac:dyDescent="0.25">
      <c r="Q1771" s="64"/>
      <c r="R1771" s="68"/>
      <c r="S1771" s="68"/>
      <c r="T1771" s="68"/>
      <c r="U1771" s="68"/>
      <c r="V1771" s="72"/>
      <c r="W1771" s="72"/>
      <c r="X1771" s="72"/>
      <c r="Y1771" s="80"/>
      <c r="Z1771" s="80"/>
      <c r="AA1771" s="153"/>
    </row>
    <row r="1772" spans="17:27" x14ac:dyDescent="0.25">
      <c r="Q1772" s="64"/>
      <c r="R1772" s="68"/>
      <c r="S1772" s="68"/>
      <c r="T1772" s="68"/>
      <c r="U1772" s="68"/>
      <c r="V1772" s="72"/>
      <c r="W1772" s="72"/>
      <c r="X1772" s="72"/>
      <c r="Y1772" s="80"/>
      <c r="Z1772" s="80"/>
      <c r="AA1772" s="153"/>
    </row>
    <row r="1773" spans="17:27" x14ac:dyDescent="0.25">
      <c r="Q1773" s="64"/>
      <c r="R1773" s="68"/>
      <c r="S1773" s="68"/>
      <c r="T1773" s="68"/>
      <c r="U1773" s="68"/>
      <c r="V1773" s="72"/>
      <c r="W1773" s="72"/>
      <c r="X1773" s="72"/>
      <c r="Y1773" s="80"/>
      <c r="Z1773" s="80"/>
      <c r="AA1773" s="153"/>
    </row>
    <row r="1774" spans="17:27" x14ac:dyDescent="0.25">
      <c r="Q1774" s="64"/>
      <c r="R1774" s="68"/>
      <c r="S1774" s="68"/>
      <c r="T1774" s="68"/>
      <c r="U1774" s="68"/>
      <c r="V1774" s="72"/>
      <c r="W1774" s="72"/>
      <c r="X1774" s="72"/>
      <c r="Y1774" s="80"/>
      <c r="Z1774" s="80"/>
      <c r="AA1774" s="153"/>
    </row>
    <row r="1775" spans="17:27" x14ac:dyDescent="0.25">
      <c r="Q1775" s="64"/>
      <c r="R1775" s="68"/>
      <c r="S1775" s="68"/>
      <c r="T1775" s="68"/>
      <c r="U1775" s="68"/>
      <c r="V1775" s="72"/>
      <c r="W1775" s="72"/>
      <c r="X1775" s="72"/>
      <c r="Y1775" s="80"/>
      <c r="Z1775" s="80"/>
      <c r="AA1775" s="153"/>
    </row>
    <row r="1776" spans="17:27" x14ac:dyDescent="0.25">
      <c r="Q1776" s="64"/>
      <c r="R1776" s="68"/>
      <c r="S1776" s="68"/>
      <c r="T1776" s="68"/>
      <c r="U1776" s="68"/>
      <c r="V1776" s="72"/>
      <c r="W1776" s="72"/>
      <c r="X1776" s="72"/>
      <c r="Y1776" s="80"/>
      <c r="Z1776" s="80"/>
      <c r="AA1776" s="153"/>
    </row>
    <row r="1777" spans="17:27" x14ac:dyDescent="0.25">
      <c r="Q1777" s="64"/>
      <c r="R1777" s="68"/>
      <c r="S1777" s="68"/>
      <c r="T1777" s="68"/>
      <c r="U1777" s="68"/>
      <c r="V1777" s="72"/>
      <c r="W1777" s="72"/>
      <c r="X1777" s="72"/>
      <c r="Y1777" s="80"/>
      <c r="Z1777" s="80"/>
      <c r="AA1777" s="153"/>
    </row>
    <row r="1778" spans="17:27" x14ac:dyDescent="0.25">
      <c r="Q1778" s="64"/>
      <c r="R1778" s="68"/>
      <c r="S1778" s="68"/>
      <c r="T1778" s="68"/>
      <c r="U1778" s="68"/>
      <c r="V1778" s="72"/>
      <c r="W1778" s="72"/>
      <c r="X1778" s="72"/>
      <c r="Y1778" s="80"/>
      <c r="Z1778" s="80"/>
      <c r="AA1778" s="153"/>
    </row>
    <row r="1779" spans="17:27" x14ac:dyDescent="0.25">
      <c r="Q1779" s="64"/>
      <c r="R1779" s="68"/>
      <c r="S1779" s="68"/>
      <c r="T1779" s="68"/>
      <c r="U1779" s="68"/>
      <c r="V1779" s="72"/>
      <c r="W1779" s="72"/>
      <c r="X1779" s="72"/>
      <c r="Y1779" s="80"/>
      <c r="Z1779" s="80"/>
      <c r="AA1779" s="153"/>
    </row>
    <row r="1780" spans="17:27" x14ac:dyDescent="0.25">
      <c r="Q1780" s="64"/>
      <c r="R1780" s="68"/>
      <c r="S1780" s="68"/>
      <c r="T1780" s="68"/>
      <c r="U1780" s="68"/>
      <c r="V1780" s="72"/>
      <c r="W1780" s="72"/>
      <c r="X1780" s="72"/>
      <c r="Y1780" s="80"/>
      <c r="Z1780" s="80"/>
      <c r="AA1780" s="153"/>
    </row>
    <row r="1781" spans="17:27" x14ac:dyDescent="0.25">
      <c r="Q1781" s="64"/>
      <c r="R1781" s="68"/>
      <c r="S1781" s="68"/>
      <c r="T1781" s="68"/>
      <c r="U1781" s="68"/>
      <c r="V1781" s="72"/>
      <c r="W1781" s="72"/>
      <c r="X1781" s="72"/>
      <c r="Y1781" s="80"/>
      <c r="Z1781" s="80"/>
      <c r="AA1781" s="153"/>
    </row>
    <row r="1782" spans="17:27" x14ac:dyDescent="0.25">
      <c r="Q1782" s="64"/>
      <c r="R1782" s="68"/>
      <c r="S1782" s="68"/>
      <c r="T1782" s="68"/>
      <c r="U1782" s="68"/>
      <c r="V1782" s="72"/>
      <c r="W1782" s="72"/>
      <c r="X1782" s="72"/>
      <c r="Y1782" s="80"/>
      <c r="Z1782" s="80"/>
      <c r="AA1782" s="153"/>
    </row>
    <row r="1783" spans="17:27" x14ac:dyDescent="0.25">
      <c r="Q1783" s="64"/>
      <c r="R1783" s="68"/>
      <c r="S1783" s="68"/>
      <c r="T1783" s="68"/>
      <c r="U1783" s="68"/>
      <c r="V1783" s="72"/>
      <c r="W1783" s="72"/>
      <c r="X1783" s="72"/>
      <c r="Y1783" s="80"/>
      <c r="Z1783" s="80"/>
      <c r="AA1783" s="153"/>
    </row>
    <row r="1784" spans="17:27" x14ac:dyDescent="0.25">
      <c r="Q1784" s="64"/>
      <c r="R1784" s="68"/>
      <c r="S1784" s="68"/>
      <c r="T1784" s="68"/>
      <c r="U1784" s="68"/>
      <c r="V1784" s="72"/>
      <c r="W1784" s="72"/>
      <c r="X1784" s="72"/>
      <c r="Y1784" s="80"/>
      <c r="Z1784" s="80"/>
      <c r="AA1784" s="153"/>
    </row>
    <row r="1785" spans="17:27" x14ac:dyDescent="0.25">
      <c r="Q1785" s="64"/>
      <c r="R1785" s="68"/>
      <c r="S1785" s="68"/>
      <c r="T1785" s="68"/>
      <c r="U1785" s="68"/>
      <c r="V1785" s="72"/>
      <c r="W1785" s="72"/>
      <c r="X1785" s="72"/>
      <c r="Y1785" s="80"/>
      <c r="Z1785" s="80"/>
      <c r="AA1785" s="153"/>
    </row>
    <row r="1786" spans="17:27" x14ac:dyDescent="0.25">
      <c r="Q1786" s="64"/>
      <c r="R1786" s="68"/>
      <c r="S1786" s="68"/>
      <c r="T1786" s="68"/>
      <c r="U1786" s="68"/>
      <c r="V1786" s="72"/>
      <c r="W1786" s="72"/>
      <c r="X1786" s="72"/>
      <c r="Y1786" s="80"/>
      <c r="Z1786" s="80"/>
      <c r="AA1786" s="153"/>
    </row>
    <row r="1787" spans="17:27" x14ac:dyDescent="0.25">
      <c r="Q1787" s="64"/>
      <c r="R1787" s="68"/>
      <c r="S1787" s="68"/>
      <c r="T1787" s="68"/>
      <c r="U1787" s="68"/>
      <c r="V1787" s="72"/>
      <c r="W1787" s="72"/>
      <c r="X1787" s="72"/>
      <c r="Y1787" s="80"/>
      <c r="Z1787" s="80"/>
      <c r="AA1787" s="153"/>
    </row>
    <row r="1788" spans="17:27" x14ac:dyDescent="0.25">
      <c r="Q1788" s="64"/>
      <c r="R1788" s="68"/>
      <c r="S1788" s="68"/>
      <c r="T1788" s="68"/>
      <c r="U1788" s="68"/>
      <c r="V1788" s="72"/>
      <c r="W1788" s="72"/>
      <c r="X1788" s="72"/>
      <c r="Y1788" s="80"/>
      <c r="Z1788" s="80"/>
      <c r="AA1788" s="153"/>
    </row>
    <row r="1789" spans="17:27" x14ac:dyDescent="0.25">
      <c r="Q1789" s="64"/>
      <c r="R1789" s="68"/>
      <c r="S1789" s="68"/>
      <c r="T1789" s="68"/>
      <c r="U1789" s="68"/>
      <c r="V1789" s="72"/>
      <c r="W1789" s="72"/>
      <c r="X1789" s="72"/>
      <c r="Y1789" s="80"/>
      <c r="Z1789" s="80"/>
      <c r="AA1789" s="153"/>
    </row>
    <row r="1790" spans="17:27" x14ac:dyDescent="0.25">
      <c r="Q1790" s="64"/>
      <c r="R1790" s="68"/>
      <c r="S1790" s="68"/>
      <c r="T1790" s="68"/>
      <c r="U1790" s="68"/>
      <c r="V1790" s="72"/>
      <c r="W1790" s="72"/>
      <c r="X1790" s="72"/>
      <c r="Y1790" s="80"/>
      <c r="Z1790" s="80"/>
      <c r="AA1790" s="153"/>
    </row>
    <row r="1791" spans="17:27" x14ac:dyDescent="0.25">
      <c r="Q1791" s="64"/>
      <c r="R1791" s="68"/>
      <c r="S1791" s="68"/>
      <c r="T1791" s="68"/>
      <c r="U1791" s="68"/>
      <c r="V1791" s="72"/>
      <c r="W1791" s="72"/>
      <c r="X1791" s="72"/>
      <c r="Y1791" s="80"/>
      <c r="Z1791" s="80"/>
      <c r="AA1791" s="153"/>
    </row>
    <row r="1792" spans="17:27" x14ac:dyDescent="0.25">
      <c r="Q1792" s="64"/>
      <c r="R1792" s="68"/>
      <c r="S1792" s="68"/>
      <c r="T1792" s="68"/>
      <c r="U1792" s="68"/>
      <c r="V1792" s="72"/>
      <c r="W1792" s="72"/>
      <c r="X1792" s="72"/>
      <c r="Y1792" s="80"/>
      <c r="Z1792" s="80"/>
      <c r="AA1792" s="153"/>
    </row>
    <row r="1793" spans="17:27" x14ac:dyDescent="0.25">
      <c r="Q1793" s="64"/>
      <c r="R1793" s="68"/>
      <c r="S1793" s="68"/>
      <c r="T1793" s="68"/>
      <c r="U1793" s="68"/>
      <c r="V1793" s="72"/>
      <c r="W1793" s="72"/>
      <c r="X1793" s="72"/>
      <c r="Y1793" s="80"/>
      <c r="Z1793" s="80"/>
      <c r="AA1793" s="153"/>
    </row>
    <row r="1794" spans="17:27" x14ac:dyDescent="0.25">
      <c r="Q1794" s="64"/>
      <c r="R1794" s="68"/>
      <c r="S1794" s="68"/>
      <c r="T1794" s="68"/>
      <c r="U1794" s="68"/>
      <c r="V1794" s="72"/>
      <c r="W1794" s="72"/>
      <c r="X1794" s="72"/>
      <c r="Y1794" s="80"/>
      <c r="Z1794" s="80"/>
      <c r="AA1794" s="153"/>
    </row>
    <row r="1795" spans="17:27" x14ac:dyDescent="0.25">
      <c r="Q1795" s="64"/>
      <c r="R1795" s="68"/>
      <c r="S1795" s="68"/>
      <c r="T1795" s="68"/>
      <c r="U1795" s="68"/>
      <c r="V1795" s="72"/>
      <c r="W1795" s="72"/>
      <c r="X1795" s="72"/>
      <c r="Y1795" s="80"/>
      <c r="Z1795" s="80"/>
      <c r="AA1795" s="153"/>
    </row>
    <row r="1796" spans="17:27" x14ac:dyDescent="0.25">
      <c r="Q1796" s="64"/>
      <c r="R1796" s="68"/>
      <c r="S1796" s="68"/>
      <c r="T1796" s="68"/>
      <c r="U1796" s="68"/>
      <c r="V1796" s="72"/>
      <c r="W1796" s="72"/>
      <c r="X1796" s="72"/>
      <c r="Y1796" s="80"/>
      <c r="Z1796" s="80"/>
      <c r="AA1796" s="153"/>
    </row>
    <row r="1797" spans="17:27" x14ac:dyDescent="0.25">
      <c r="Q1797" s="64"/>
      <c r="R1797" s="68"/>
      <c r="S1797" s="68"/>
      <c r="T1797" s="68"/>
      <c r="U1797" s="68"/>
      <c r="V1797" s="72"/>
      <c r="W1797" s="72"/>
      <c r="X1797" s="72"/>
      <c r="Y1797" s="80"/>
      <c r="Z1797" s="80"/>
      <c r="AA1797" s="153"/>
    </row>
    <row r="1798" spans="17:27" x14ac:dyDescent="0.25">
      <c r="Q1798" s="64"/>
      <c r="R1798" s="68"/>
      <c r="S1798" s="68"/>
      <c r="T1798" s="68"/>
      <c r="U1798" s="68"/>
      <c r="V1798" s="72"/>
      <c r="W1798" s="72"/>
      <c r="X1798" s="72"/>
      <c r="Y1798" s="80"/>
      <c r="Z1798" s="80"/>
      <c r="AA1798" s="153"/>
    </row>
    <row r="1799" spans="17:27" x14ac:dyDescent="0.25">
      <c r="Q1799" s="64"/>
      <c r="R1799" s="68"/>
      <c r="S1799" s="68"/>
      <c r="T1799" s="68"/>
      <c r="U1799" s="68"/>
      <c r="V1799" s="72"/>
      <c r="W1799" s="72"/>
      <c r="X1799" s="72"/>
      <c r="Y1799" s="80"/>
      <c r="Z1799" s="80"/>
      <c r="AA1799" s="153"/>
    </row>
    <row r="1800" spans="17:27" x14ac:dyDescent="0.25">
      <c r="Q1800" s="64"/>
      <c r="R1800" s="68"/>
      <c r="S1800" s="68"/>
      <c r="T1800" s="68"/>
      <c r="U1800" s="68"/>
      <c r="V1800" s="72"/>
      <c r="W1800" s="72"/>
      <c r="X1800" s="72"/>
      <c r="Y1800" s="80"/>
      <c r="Z1800" s="80"/>
      <c r="AA1800" s="153"/>
    </row>
    <row r="1801" spans="17:27" x14ac:dyDescent="0.25">
      <c r="Q1801" s="64"/>
      <c r="R1801" s="68"/>
      <c r="S1801" s="68"/>
      <c r="T1801" s="68"/>
      <c r="U1801" s="68"/>
      <c r="V1801" s="72"/>
      <c r="W1801" s="72"/>
      <c r="X1801" s="72"/>
      <c r="Y1801" s="80"/>
      <c r="Z1801" s="80"/>
      <c r="AA1801" s="153"/>
    </row>
    <row r="1802" spans="17:27" x14ac:dyDescent="0.25">
      <c r="Q1802" s="64"/>
      <c r="R1802" s="68"/>
      <c r="S1802" s="68"/>
      <c r="T1802" s="68"/>
      <c r="U1802" s="68"/>
      <c r="V1802" s="72"/>
      <c r="W1802" s="72"/>
      <c r="X1802" s="72"/>
      <c r="Y1802" s="80"/>
      <c r="Z1802" s="80"/>
      <c r="AA1802" s="153"/>
    </row>
    <row r="1803" spans="17:27" x14ac:dyDescent="0.25">
      <c r="Q1803" s="64"/>
      <c r="R1803" s="68"/>
      <c r="S1803" s="68"/>
      <c r="T1803" s="68"/>
      <c r="U1803" s="68"/>
      <c r="V1803" s="72"/>
      <c r="W1803" s="72"/>
      <c r="X1803" s="72"/>
      <c r="Y1803" s="80"/>
      <c r="Z1803" s="80"/>
      <c r="AA1803" s="153"/>
    </row>
    <row r="1804" spans="17:27" x14ac:dyDescent="0.25">
      <c r="Q1804" s="64"/>
      <c r="R1804" s="68"/>
      <c r="S1804" s="68"/>
      <c r="T1804" s="68"/>
      <c r="U1804" s="68"/>
      <c r="V1804" s="72"/>
      <c r="W1804" s="72"/>
      <c r="X1804" s="72"/>
      <c r="Y1804" s="80"/>
      <c r="Z1804" s="80"/>
      <c r="AA1804" s="153"/>
    </row>
    <row r="1805" spans="17:27" x14ac:dyDescent="0.25">
      <c r="Q1805" s="64"/>
      <c r="R1805" s="68"/>
      <c r="S1805" s="68"/>
      <c r="T1805" s="68"/>
      <c r="U1805" s="68"/>
      <c r="V1805" s="72"/>
      <c r="W1805" s="72"/>
      <c r="X1805" s="72"/>
      <c r="Y1805" s="80"/>
      <c r="Z1805" s="80"/>
      <c r="AA1805" s="153"/>
    </row>
    <row r="1806" spans="17:27" x14ac:dyDescent="0.25">
      <c r="Q1806" s="64"/>
      <c r="R1806" s="68"/>
      <c r="S1806" s="68"/>
      <c r="T1806" s="68"/>
      <c r="U1806" s="68"/>
      <c r="V1806" s="72"/>
      <c r="W1806" s="72"/>
      <c r="X1806" s="72"/>
      <c r="Y1806" s="80"/>
      <c r="Z1806" s="80"/>
      <c r="AA1806" s="153"/>
    </row>
    <row r="1807" spans="17:27" x14ac:dyDescent="0.25">
      <c r="Q1807" s="64"/>
      <c r="R1807" s="68"/>
      <c r="S1807" s="68"/>
      <c r="T1807" s="68"/>
      <c r="U1807" s="68"/>
      <c r="V1807" s="72"/>
      <c r="W1807" s="72"/>
      <c r="X1807" s="72"/>
      <c r="Y1807" s="80"/>
      <c r="Z1807" s="80"/>
      <c r="AA1807" s="153"/>
    </row>
    <row r="1808" spans="17:27" x14ac:dyDescent="0.25">
      <c r="Q1808" s="64"/>
      <c r="R1808" s="68"/>
      <c r="S1808" s="68"/>
      <c r="T1808" s="68"/>
      <c r="U1808" s="68"/>
      <c r="V1808" s="72"/>
      <c r="W1808" s="72"/>
      <c r="X1808" s="72"/>
      <c r="Y1808" s="80"/>
      <c r="Z1808" s="80"/>
      <c r="AA1808" s="153"/>
    </row>
    <row r="1809" spans="17:27" x14ac:dyDescent="0.25">
      <c r="Q1809" s="64"/>
      <c r="R1809" s="68"/>
      <c r="S1809" s="68"/>
      <c r="T1809" s="68"/>
      <c r="U1809" s="68"/>
      <c r="V1809" s="72"/>
      <c r="W1809" s="72"/>
      <c r="X1809" s="72"/>
      <c r="Y1809" s="80"/>
      <c r="Z1809" s="80"/>
      <c r="AA1809" s="153"/>
    </row>
    <row r="1810" spans="17:27" x14ac:dyDescent="0.25">
      <c r="Q1810" s="64"/>
      <c r="R1810" s="68"/>
      <c r="S1810" s="68"/>
      <c r="T1810" s="68"/>
      <c r="U1810" s="68"/>
      <c r="V1810" s="72"/>
      <c r="W1810" s="72"/>
      <c r="X1810" s="72"/>
      <c r="Y1810" s="80"/>
      <c r="Z1810" s="80"/>
      <c r="AA1810" s="153"/>
    </row>
    <row r="1811" spans="17:27" x14ac:dyDescent="0.25">
      <c r="Q1811" s="64"/>
      <c r="R1811" s="68"/>
      <c r="S1811" s="68"/>
      <c r="T1811" s="68"/>
      <c r="U1811" s="68"/>
      <c r="V1811" s="72"/>
      <c r="W1811" s="72"/>
      <c r="X1811" s="72"/>
      <c r="Y1811" s="80"/>
      <c r="Z1811" s="80"/>
      <c r="AA1811" s="153"/>
    </row>
    <row r="1812" spans="17:27" x14ac:dyDescent="0.25">
      <c r="Q1812" s="64"/>
      <c r="R1812" s="68"/>
      <c r="S1812" s="68"/>
      <c r="T1812" s="68"/>
      <c r="U1812" s="68"/>
      <c r="V1812" s="72"/>
      <c r="W1812" s="72"/>
      <c r="X1812" s="72"/>
      <c r="Y1812" s="80"/>
      <c r="Z1812" s="80"/>
      <c r="AA1812" s="153"/>
    </row>
    <row r="1813" spans="17:27" x14ac:dyDescent="0.25">
      <c r="Q1813" s="64"/>
      <c r="R1813" s="68"/>
      <c r="S1813" s="68"/>
      <c r="T1813" s="68"/>
      <c r="U1813" s="68"/>
      <c r="V1813" s="72"/>
      <c r="W1813" s="72"/>
      <c r="X1813" s="72"/>
      <c r="Y1813" s="80"/>
      <c r="Z1813" s="80"/>
      <c r="AA1813" s="153"/>
    </row>
    <row r="1814" spans="17:27" x14ac:dyDescent="0.25">
      <c r="Q1814" s="64"/>
      <c r="R1814" s="68"/>
      <c r="S1814" s="68"/>
      <c r="T1814" s="68"/>
      <c r="U1814" s="68"/>
      <c r="V1814" s="72"/>
      <c r="W1814" s="72"/>
      <c r="X1814" s="72"/>
      <c r="Y1814" s="80"/>
      <c r="Z1814" s="80"/>
      <c r="AA1814" s="153"/>
    </row>
    <row r="1815" spans="17:27" x14ac:dyDescent="0.25">
      <c r="Q1815" s="64"/>
      <c r="R1815" s="68"/>
      <c r="S1815" s="68"/>
      <c r="T1815" s="68"/>
      <c r="U1815" s="68"/>
      <c r="V1815" s="72"/>
      <c r="W1815" s="72"/>
      <c r="X1815" s="72"/>
      <c r="Y1815" s="80"/>
      <c r="Z1815" s="80"/>
      <c r="AA1815" s="153"/>
    </row>
    <row r="1816" spans="17:27" x14ac:dyDescent="0.25">
      <c r="Q1816" s="64"/>
      <c r="R1816" s="68"/>
      <c r="S1816" s="68"/>
      <c r="T1816" s="68"/>
      <c r="U1816" s="68"/>
      <c r="V1816" s="72"/>
      <c r="W1816" s="72"/>
      <c r="X1816" s="72"/>
      <c r="Y1816" s="80"/>
      <c r="Z1816" s="80"/>
      <c r="AA1816" s="153"/>
    </row>
    <row r="1817" spans="17:27" x14ac:dyDescent="0.25">
      <c r="Q1817" s="64"/>
      <c r="R1817" s="68"/>
      <c r="S1817" s="68"/>
      <c r="T1817" s="68"/>
      <c r="U1817" s="68"/>
      <c r="V1817" s="72"/>
      <c r="W1817" s="72"/>
      <c r="X1817" s="72"/>
      <c r="Y1817" s="80"/>
      <c r="Z1817" s="80"/>
      <c r="AA1817" s="153"/>
    </row>
    <row r="1818" spans="17:27" x14ac:dyDescent="0.25">
      <c r="Q1818" s="64"/>
      <c r="R1818" s="68"/>
      <c r="S1818" s="68"/>
      <c r="T1818" s="68"/>
      <c r="U1818" s="68"/>
      <c r="V1818" s="72"/>
      <c r="W1818" s="72"/>
      <c r="X1818" s="72"/>
      <c r="Y1818" s="80"/>
      <c r="Z1818" s="80"/>
      <c r="AA1818" s="153"/>
    </row>
    <row r="1819" spans="17:27" x14ac:dyDescent="0.25">
      <c r="Q1819" s="64"/>
      <c r="R1819" s="68"/>
      <c r="S1819" s="68"/>
      <c r="T1819" s="68"/>
      <c r="U1819" s="68"/>
      <c r="V1819" s="72"/>
      <c r="W1819" s="72"/>
      <c r="X1819" s="72"/>
      <c r="Y1819" s="80"/>
      <c r="Z1819" s="80"/>
      <c r="AA1819" s="153"/>
    </row>
    <row r="1820" spans="17:27" x14ac:dyDescent="0.25">
      <c r="Q1820" s="64"/>
      <c r="R1820" s="68"/>
      <c r="S1820" s="68"/>
      <c r="T1820" s="68"/>
      <c r="U1820" s="68"/>
      <c r="V1820" s="72"/>
      <c r="W1820" s="72"/>
      <c r="X1820" s="72"/>
      <c r="Y1820" s="80"/>
      <c r="Z1820" s="80"/>
      <c r="AA1820" s="153"/>
    </row>
    <row r="1821" spans="17:27" x14ac:dyDescent="0.25">
      <c r="Q1821" s="64"/>
      <c r="R1821" s="68"/>
      <c r="S1821" s="68"/>
      <c r="T1821" s="68"/>
      <c r="U1821" s="68"/>
      <c r="V1821" s="72"/>
      <c r="W1821" s="72"/>
      <c r="X1821" s="72"/>
      <c r="Y1821" s="80"/>
      <c r="Z1821" s="80"/>
      <c r="AA1821" s="153"/>
    </row>
    <row r="1822" spans="17:27" x14ac:dyDescent="0.25">
      <c r="Q1822" s="64"/>
      <c r="R1822" s="68"/>
      <c r="S1822" s="68"/>
      <c r="T1822" s="68"/>
      <c r="U1822" s="68"/>
      <c r="V1822" s="72"/>
      <c r="W1822" s="72"/>
      <c r="X1822" s="72"/>
      <c r="Y1822" s="80"/>
      <c r="Z1822" s="80"/>
      <c r="AA1822" s="153"/>
    </row>
    <row r="1823" spans="17:27" x14ac:dyDescent="0.25">
      <c r="Q1823" s="64"/>
      <c r="R1823" s="68"/>
      <c r="S1823" s="68"/>
      <c r="T1823" s="68"/>
      <c r="U1823" s="68"/>
      <c r="V1823" s="72"/>
      <c r="W1823" s="72"/>
      <c r="X1823" s="72"/>
      <c r="Y1823" s="80"/>
      <c r="Z1823" s="80"/>
      <c r="AA1823" s="153"/>
    </row>
    <row r="1824" spans="17:27" x14ac:dyDescent="0.25">
      <c r="Q1824" s="64"/>
      <c r="R1824" s="68"/>
      <c r="S1824" s="68"/>
      <c r="T1824" s="68"/>
      <c r="U1824" s="68"/>
      <c r="V1824" s="72"/>
      <c r="W1824" s="72"/>
      <c r="X1824" s="72"/>
      <c r="Y1824" s="80"/>
      <c r="Z1824" s="80"/>
      <c r="AA1824" s="153"/>
    </row>
    <row r="1825" spans="17:27" x14ac:dyDescent="0.25">
      <c r="Q1825" s="64"/>
      <c r="R1825" s="68"/>
      <c r="S1825" s="68"/>
      <c r="T1825" s="68"/>
      <c r="U1825" s="68"/>
      <c r="V1825" s="72"/>
      <c r="W1825" s="72"/>
      <c r="X1825" s="72"/>
      <c r="Y1825" s="80"/>
      <c r="Z1825" s="80"/>
      <c r="AA1825" s="153"/>
    </row>
    <row r="1826" spans="17:27" x14ac:dyDescent="0.25">
      <c r="Q1826" s="64"/>
      <c r="R1826" s="68"/>
      <c r="S1826" s="68"/>
      <c r="T1826" s="68"/>
      <c r="U1826" s="68"/>
      <c r="V1826" s="72"/>
      <c r="W1826" s="72"/>
      <c r="X1826" s="72"/>
      <c r="Y1826" s="80"/>
      <c r="Z1826" s="80"/>
      <c r="AA1826" s="153"/>
    </row>
    <row r="1827" spans="17:27" x14ac:dyDescent="0.25">
      <c r="Q1827" s="64"/>
      <c r="R1827" s="68"/>
      <c r="S1827" s="68"/>
      <c r="T1827" s="68"/>
      <c r="U1827" s="68"/>
      <c r="V1827" s="72"/>
      <c r="W1827" s="72"/>
      <c r="X1827" s="72"/>
      <c r="Y1827" s="80"/>
      <c r="Z1827" s="80"/>
      <c r="AA1827" s="153"/>
    </row>
    <row r="1828" spans="17:27" x14ac:dyDescent="0.25">
      <c r="Q1828" s="64"/>
      <c r="R1828" s="68"/>
      <c r="S1828" s="68"/>
      <c r="T1828" s="68"/>
      <c r="U1828" s="68"/>
      <c r="V1828" s="72"/>
      <c r="W1828" s="72"/>
      <c r="X1828" s="72"/>
      <c r="Y1828" s="80"/>
      <c r="Z1828" s="80"/>
      <c r="AA1828" s="153"/>
    </row>
    <row r="1829" spans="17:27" x14ac:dyDescent="0.25">
      <c r="Q1829" s="64"/>
      <c r="R1829" s="68"/>
      <c r="S1829" s="68"/>
      <c r="T1829" s="68"/>
      <c r="U1829" s="68"/>
      <c r="V1829" s="72"/>
      <c r="W1829" s="72"/>
      <c r="X1829" s="72"/>
      <c r="Y1829" s="80"/>
      <c r="Z1829" s="80"/>
      <c r="AA1829" s="153"/>
    </row>
    <row r="1830" spans="17:27" x14ac:dyDescent="0.25">
      <c r="Q1830" s="64"/>
      <c r="R1830" s="68"/>
      <c r="S1830" s="68"/>
      <c r="T1830" s="68"/>
      <c r="U1830" s="68"/>
      <c r="V1830" s="72"/>
      <c r="W1830" s="72"/>
      <c r="X1830" s="72"/>
      <c r="Y1830" s="80"/>
      <c r="Z1830" s="80"/>
      <c r="AA1830" s="153"/>
    </row>
    <row r="1831" spans="17:27" x14ac:dyDescent="0.25">
      <c r="Q1831" s="64"/>
      <c r="R1831" s="68"/>
      <c r="S1831" s="68"/>
      <c r="T1831" s="68"/>
      <c r="U1831" s="68"/>
      <c r="V1831" s="72"/>
      <c r="W1831" s="72"/>
      <c r="X1831" s="72"/>
      <c r="Y1831" s="80"/>
      <c r="Z1831" s="80"/>
      <c r="AA1831" s="153"/>
    </row>
    <row r="1832" spans="17:27" x14ac:dyDescent="0.25">
      <c r="Q1832" s="64"/>
      <c r="R1832" s="68"/>
      <c r="S1832" s="68"/>
      <c r="T1832" s="68"/>
      <c r="U1832" s="68"/>
      <c r="V1832" s="72"/>
      <c r="W1832" s="72"/>
      <c r="X1832" s="72"/>
      <c r="Y1832" s="80"/>
      <c r="Z1832" s="80"/>
      <c r="AA1832" s="153"/>
    </row>
    <row r="1833" spans="17:27" x14ac:dyDescent="0.25">
      <c r="Q1833" s="64"/>
      <c r="R1833" s="68"/>
      <c r="S1833" s="68"/>
      <c r="T1833" s="68"/>
      <c r="U1833" s="68"/>
      <c r="V1833" s="72"/>
      <c r="W1833" s="72"/>
      <c r="X1833" s="72"/>
      <c r="Y1833" s="80"/>
      <c r="Z1833" s="80"/>
      <c r="AA1833" s="153"/>
    </row>
    <row r="1834" spans="17:27" x14ac:dyDescent="0.25">
      <c r="Q1834" s="64"/>
      <c r="R1834" s="68"/>
      <c r="S1834" s="68"/>
      <c r="T1834" s="68"/>
      <c r="U1834" s="68"/>
      <c r="V1834" s="72"/>
      <c r="W1834" s="72"/>
      <c r="X1834" s="72"/>
      <c r="Y1834" s="80"/>
      <c r="Z1834" s="80"/>
      <c r="AA1834" s="153"/>
    </row>
    <row r="1835" spans="17:27" x14ac:dyDescent="0.25">
      <c r="Q1835" s="64"/>
      <c r="R1835" s="68"/>
      <c r="S1835" s="68"/>
      <c r="T1835" s="68"/>
      <c r="U1835" s="68"/>
      <c r="V1835" s="72"/>
      <c r="W1835" s="72"/>
      <c r="X1835" s="72"/>
      <c r="Y1835" s="80"/>
      <c r="Z1835" s="80"/>
      <c r="AA1835" s="153"/>
    </row>
    <row r="1836" spans="17:27" x14ac:dyDescent="0.25">
      <c r="Q1836" s="64"/>
      <c r="R1836" s="68"/>
      <c r="S1836" s="68"/>
      <c r="T1836" s="68"/>
      <c r="U1836" s="68"/>
      <c r="V1836" s="72"/>
      <c r="W1836" s="72"/>
      <c r="X1836" s="72"/>
      <c r="Y1836" s="80"/>
      <c r="Z1836" s="80"/>
      <c r="AA1836" s="153"/>
    </row>
    <row r="1837" spans="17:27" x14ac:dyDescent="0.25">
      <c r="Q1837" s="64"/>
      <c r="R1837" s="68"/>
      <c r="S1837" s="68"/>
      <c r="T1837" s="68"/>
      <c r="U1837" s="68"/>
      <c r="V1837" s="72"/>
      <c r="W1837" s="72"/>
      <c r="X1837" s="72"/>
      <c r="Y1837" s="80"/>
      <c r="Z1837" s="80"/>
      <c r="AA1837" s="153"/>
    </row>
    <row r="1838" spans="17:27" x14ac:dyDescent="0.25">
      <c r="Q1838" s="64"/>
      <c r="R1838" s="68"/>
      <c r="S1838" s="68"/>
      <c r="T1838" s="68"/>
      <c r="U1838" s="68"/>
      <c r="V1838" s="72"/>
      <c r="W1838" s="72"/>
      <c r="X1838" s="72"/>
      <c r="Y1838" s="80"/>
      <c r="Z1838" s="80"/>
      <c r="AA1838" s="153"/>
    </row>
    <row r="1839" spans="17:27" x14ac:dyDescent="0.25">
      <c r="Q1839" s="64"/>
      <c r="R1839" s="68"/>
      <c r="S1839" s="68"/>
      <c r="T1839" s="68"/>
      <c r="U1839" s="68"/>
      <c r="V1839" s="72"/>
      <c r="W1839" s="72"/>
      <c r="X1839" s="72"/>
      <c r="Y1839" s="80"/>
      <c r="Z1839" s="80"/>
      <c r="AA1839" s="153"/>
    </row>
    <row r="1840" spans="17:27" x14ac:dyDescent="0.25">
      <c r="Q1840" s="64"/>
      <c r="R1840" s="68"/>
      <c r="S1840" s="68"/>
      <c r="T1840" s="68"/>
      <c r="U1840" s="68"/>
      <c r="V1840" s="72"/>
      <c r="W1840" s="72"/>
      <c r="X1840" s="72"/>
      <c r="Y1840" s="80"/>
      <c r="Z1840" s="80"/>
      <c r="AA1840" s="153"/>
    </row>
    <row r="1841" spans="17:27" x14ac:dyDescent="0.25">
      <c r="Q1841" s="64"/>
      <c r="R1841" s="68"/>
      <c r="S1841" s="68"/>
      <c r="T1841" s="68"/>
      <c r="U1841" s="68"/>
      <c r="V1841" s="72"/>
      <c r="W1841" s="72"/>
      <c r="X1841" s="72"/>
      <c r="Y1841" s="80"/>
      <c r="Z1841" s="80"/>
      <c r="AA1841" s="153"/>
    </row>
    <row r="1842" spans="17:27" x14ac:dyDescent="0.25">
      <c r="Q1842" s="64"/>
      <c r="R1842" s="68"/>
      <c r="S1842" s="68"/>
      <c r="T1842" s="68"/>
      <c r="U1842" s="68"/>
      <c r="V1842" s="72"/>
      <c r="W1842" s="72"/>
      <c r="X1842" s="72"/>
      <c r="Y1842" s="80"/>
      <c r="Z1842" s="80"/>
      <c r="AA1842" s="153"/>
    </row>
    <row r="1843" spans="17:27" x14ac:dyDescent="0.25">
      <c r="Q1843" s="64"/>
      <c r="R1843" s="68"/>
      <c r="S1843" s="68"/>
      <c r="T1843" s="68"/>
      <c r="U1843" s="68"/>
      <c r="V1843" s="72"/>
      <c r="W1843" s="72"/>
      <c r="X1843" s="72"/>
      <c r="Y1843" s="80"/>
      <c r="Z1843" s="80"/>
      <c r="AA1843" s="153"/>
    </row>
    <row r="1844" spans="17:27" x14ac:dyDescent="0.25">
      <c r="Q1844" s="64"/>
      <c r="R1844" s="68"/>
      <c r="S1844" s="68"/>
      <c r="T1844" s="68"/>
      <c r="U1844" s="68"/>
      <c r="V1844" s="72"/>
      <c r="W1844" s="72"/>
      <c r="X1844" s="72"/>
      <c r="Y1844" s="80"/>
      <c r="Z1844" s="80"/>
      <c r="AA1844" s="153"/>
    </row>
    <row r="1845" spans="17:27" x14ac:dyDescent="0.25">
      <c r="Q1845" s="64"/>
      <c r="R1845" s="68"/>
      <c r="S1845" s="68"/>
      <c r="T1845" s="68"/>
      <c r="U1845" s="68"/>
      <c r="V1845" s="72"/>
      <c r="W1845" s="72"/>
      <c r="X1845" s="72"/>
      <c r="Y1845" s="80"/>
      <c r="Z1845" s="80"/>
      <c r="AA1845" s="153"/>
    </row>
    <row r="1846" spans="17:27" x14ac:dyDescent="0.25">
      <c r="Q1846" s="64"/>
      <c r="R1846" s="68"/>
      <c r="S1846" s="68"/>
      <c r="T1846" s="68"/>
      <c r="U1846" s="68"/>
      <c r="V1846" s="72"/>
      <c r="W1846" s="72"/>
      <c r="X1846" s="72"/>
      <c r="Y1846" s="80"/>
      <c r="Z1846" s="80"/>
      <c r="AA1846" s="153"/>
    </row>
    <row r="1847" spans="17:27" x14ac:dyDescent="0.25">
      <c r="Q1847" s="64"/>
      <c r="R1847" s="68"/>
      <c r="S1847" s="68"/>
      <c r="T1847" s="68"/>
      <c r="U1847" s="68"/>
      <c r="V1847" s="72"/>
      <c r="W1847" s="72"/>
      <c r="X1847" s="72"/>
      <c r="Y1847" s="80"/>
      <c r="Z1847" s="80"/>
      <c r="AA1847" s="153"/>
    </row>
    <row r="1848" spans="17:27" x14ac:dyDescent="0.25">
      <c r="Q1848" s="64"/>
      <c r="R1848" s="68"/>
      <c r="S1848" s="68"/>
      <c r="T1848" s="68"/>
      <c r="U1848" s="68"/>
      <c r="V1848" s="72"/>
      <c r="W1848" s="72"/>
      <c r="X1848" s="72"/>
      <c r="Y1848" s="80"/>
      <c r="Z1848" s="80"/>
      <c r="AA1848" s="153"/>
    </row>
    <row r="1849" spans="17:27" x14ac:dyDescent="0.25">
      <c r="Q1849" s="64"/>
      <c r="R1849" s="68"/>
      <c r="S1849" s="68"/>
      <c r="T1849" s="68"/>
      <c r="U1849" s="68"/>
      <c r="V1849" s="72"/>
      <c r="W1849" s="72"/>
      <c r="X1849" s="72"/>
      <c r="Y1849" s="80"/>
      <c r="Z1849" s="80"/>
      <c r="AA1849" s="153"/>
    </row>
    <row r="1850" spans="17:27" x14ac:dyDescent="0.25">
      <c r="Q1850" s="64"/>
      <c r="R1850" s="68"/>
      <c r="S1850" s="68"/>
      <c r="T1850" s="68"/>
      <c r="U1850" s="68"/>
      <c r="V1850" s="72"/>
      <c r="W1850" s="72"/>
      <c r="X1850" s="72"/>
      <c r="Y1850" s="80"/>
      <c r="Z1850" s="80"/>
      <c r="AA1850" s="153"/>
    </row>
    <row r="1851" spans="17:27" x14ac:dyDescent="0.25">
      <c r="Q1851" s="64"/>
      <c r="R1851" s="68"/>
      <c r="S1851" s="68"/>
      <c r="T1851" s="68"/>
      <c r="U1851" s="68"/>
      <c r="V1851" s="72"/>
      <c r="W1851" s="72"/>
      <c r="X1851" s="72"/>
      <c r="Y1851" s="80"/>
      <c r="Z1851" s="80"/>
      <c r="AA1851" s="153"/>
    </row>
    <row r="1852" spans="17:27" x14ac:dyDescent="0.25">
      <c r="Q1852" s="64"/>
      <c r="R1852" s="68"/>
      <c r="S1852" s="68"/>
      <c r="T1852" s="68"/>
      <c r="U1852" s="68"/>
      <c r="V1852" s="72"/>
      <c r="W1852" s="72"/>
      <c r="X1852" s="72"/>
      <c r="Y1852" s="80"/>
      <c r="Z1852" s="80"/>
      <c r="AA1852" s="153"/>
    </row>
    <row r="1853" spans="17:27" x14ac:dyDescent="0.25">
      <c r="Q1853" s="64"/>
      <c r="R1853" s="68"/>
      <c r="S1853" s="68"/>
      <c r="T1853" s="68"/>
      <c r="U1853" s="68"/>
      <c r="V1853" s="72"/>
      <c r="W1853" s="72"/>
      <c r="X1853" s="72"/>
      <c r="Y1853" s="80"/>
      <c r="Z1853" s="80"/>
      <c r="AA1853" s="153"/>
    </row>
    <row r="1854" spans="17:27" x14ac:dyDescent="0.25">
      <c r="Q1854" s="64"/>
      <c r="R1854" s="68"/>
      <c r="S1854" s="68"/>
      <c r="T1854" s="68"/>
      <c r="U1854" s="68"/>
      <c r="V1854" s="72"/>
      <c r="W1854" s="72"/>
      <c r="X1854" s="72"/>
      <c r="Y1854" s="80"/>
      <c r="Z1854" s="80"/>
      <c r="AA1854" s="153"/>
    </row>
    <row r="1855" spans="17:27" x14ac:dyDescent="0.25">
      <c r="Q1855" s="64"/>
      <c r="R1855" s="68"/>
      <c r="S1855" s="68"/>
      <c r="T1855" s="68"/>
      <c r="U1855" s="68"/>
      <c r="V1855" s="72"/>
      <c r="W1855" s="72"/>
      <c r="X1855" s="72"/>
      <c r="Y1855" s="80"/>
      <c r="Z1855" s="80"/>
      <c r="AA1855" s="153"/>
    </row>
    <row r="1856" spans="17:27" x14ac:dyDescent="0.25">
      <c r="Q1856" s="64"/>
      <c r="R1856" s="68"/>
      <c r="S1856" s="68"/>
      <c r="T1856" s="68"/>
      <c r="U1856" s="68"/>
      <c r="V1856" s="72"/>
      <c r="W1856" s="72"/>
      <c r="X1856" s="72"/>
      <c r="Y1856" s="80"/>
      <c r="Z1856" s="80"/>
      <c r="AA1856" s="153"/>
    </row>
    <row r="1857" spans="17:27" x14ac:dyDescent="0.25">
      <c r="Q1857" s="64"/>
      <c r="R1857" s="68"/>
      <c r="S1857" s="68"/>
      <c r="T1857" s="68"/>
      <c r="U1857" s="68"/>
      <c r="V1857" s="72"/>
      <c r="W1857" s="72"/>
      <c r="X1857" s="72"/>
      <c r="Y1857" s="80"/>
      <c r="Z1857" s="80"/>
      <c r="AA1857" s="153"/>
    </row>
    <row r="1858" spans="17:27" x14ac:dyDescent="0.25">
      <c r="Q1858" s="64"/>
      <c r="R1858" s="68"/>
      <c r="S1858" s="68"/>
      <c r="T1858" s="68"/>
      <c r="U1858" s="68"/>
      <c r="V1858" s="72"/>
      <c r="W1858" s="72"/>
      <c r="X1858" s="72"/>
      <c r="Y1858" s="80"/>
      <c r="Z1858" s="80"/>
      <c r="AA1858" s="153"/>
    </row>
    <row r="1859" spans="17:27" x14ac:dyDescent="0.25">
      <c r="Q1859" s="64"/>
      <c r="R1859" s="68"/>
      <c r="S1859" s="68"/>
      <c r="T1859" s="68"/>
      <c r="U1859" s="68"/>
      <c r="V1859" s="72"/>
      <c r="W1859" s="72"/>
      <c r="X1859" s="72"/>
      <c r="Y1859" s="80"/>
      <c r="Z1859" s="80"/>
      <c r="AA1859" s="153"/>
    </row>
    <row r="1860" spans="17:27" x14ac:dyDescent="0.25">
      <c r="Q1860" s="64"/>
      <c r="R1860" s="68"/>
      <c r="S1860" s="68"/>
      <c r="T1860" s="68"/>
      <c r="U1860" s="68"/>
      <c r="V1860" s="72"/>
      <c r="W1860" s="72"/>
      <c r="X1860" s="72"/>
      <c r="Y1860" s="80"/>
      <c r="Z1860" s="80"/>
      <c r="AA1860" s="153"/>
    </row>
    <row r="1861" spans="17:27" x14ac:dyDescent="0.25">
      <c r="Q1861" s="64"/>
      <c r="R1861" s="68"/>
      <c r="S1861" s="68"/>
      <c r="T1861" s="68"/>
      <c r="U1861" s="68"/>
      <c r="V1861" s="72"/>
      <c r="W1861" s="72"/>
      <c r="X1861" s="72"/>
      <c r="Y1861" s="80"/>
      <c r="Z1861" s="80"/>
      <c r="AA1861" s="153"/>
    </row>
    <row r="1862" spans="17:27" x14ac:dyDescent="0.25">
      <c r="Q1862" s="53"/>
      <c r="R1862" s="68"/>
      <c r="S1862" s="68"/>
      <c r="T1862" s="68"/>
      <c r="U1862" s="68"/>
      <c r="V1862" s="72"/>
      <c r="W1862" s="72"/>
      <c r="X1862" s="72"/>
      <c r="Y1862" s="80"/>
      <c r="Z1862" s="80"/>
      <c r="AA1862" s="153"/>
    </row>
    <row r="1863" spans="17:27" x14ac:dyDescent="0.25">
      <c r="Q1863" s="53"/>
      <c r="R1863" s="68"/>
      <c r="S1863" s="68"/>
      <c r="T1863" s="68"/>
      <c r="U1863" s="68"/>
      <c r="V1863" s="72"/>
      <c r="W1863" s="72"/>
      <c r="X1863" s="72"/>
      <c r="Y1863" s="80"/>
      <c r="Z1863" s="80"/>
      <c r="AA1863" s="153"/>
    </row>
    <row r="1864" spans="17:27" x14ac:dyDescent="0.25">
      <c r="Q1864" s="53"/>
      <c r="R1864" s="68"/>
      <c r="S1864" s="68"/>
      <c r="T1864" s="68"/>
      <c r="U1864" s="68"/>
      <c r="V1864" s="72"/>
      <c r="W1864" s="72"/>
      <c r="X1864" s="72"/>
      <c r="Y1864" s="80"/>
      <c r="Z1864" s="80"/>
      <c r="AA1864" s="153"/>
    </row>
    <row r="1865" spans="17:27" x14ac:dyDescent="0.25">
      <c r="Q1865" s="53"/>
      <c r="R1865" s="68"/>
      <c r="S1865" s="68"/>
      <c r="T1865" s="68"/>
      <c r="U1865" s="68"/>
      <c r="V1865" s="72"/>
      <c r="W1865" s="72"/>
      <c r="X1865" s="72"/>
      <c r="Y1865" s="80"/>
      <c r="Z1865" s="80"/>
      <c r="AA1865" s="153"/>
    </row>
    <row r="1866" spans="17:27" x14ac:dyDescent="0.25">
      <c r="Q1866" s="53"/>
      <c r="R1866" s="68"/>
      <c r="S1866" s="68"/>
      <c r="T1866" s="68"/>
      <c r="U1866" s="68"/>
      <c r="V1866" s="72"/>
      <c r="W1866" s="72"/>
      <c r="X1866" s="72"/>
      <c r="Y1866" s="80"/>
      <c r="Z1866" s="80"/>
      <c r="AA1866" s="153"/>
    </row>
    <row r="1867" spans="17:27" x14ac:dyDescent="0.25">
      <c r="Q1867" s="53"/>
      <c r="R1867" s="68"/>
      <c r="S1867" s="68"/>
      <c r="T1867" s="68"/>
      <c r="U1867" s="68"/>
      <c r="V1867" s="72"/>
      <c r="W1867" s="72"/>
      <c r="X1867" s="72"/>
      <c r="Y1867" s="80"/>
      <c r="Z1867" s="80"/>
      <c r="AA1867" s="153"/>
    </row>
    <row r="1868" spans="17:27" x14ac:dyDescent="0.25">
      <c r="Q1868" s="53"/>
      <c r="R1868" s="68"/>
      <c r="S1868" s="68"/>
      <c r="T1868" s="68"/>
      <c r="U1868" s="68"/>
      <c r="V1868" s="72"/>
      <c r="W1868" s="72"/>
      <c r="X1868" s="72"/>
      <c r="Y1868" s="80"/>
      <c r="Z1868" s="80"/>
      <c r="AA1868" s="153"/>
    </row>
    <row r="1869" spans="17:27" x14ac:dyDescent="0.25">
      <c r="Q1869" s="53"/>
      <c r="R1869" s="68"/>
      <c r="S1869" s="68"/>
      <c r="T1869" s="68"/>
      <c r="U1869" s="68"/>
      <c r="V1869" s="72"/>
      <c r="W1869" s="72"/>
      <c r="X1869" s="72"/>
      <c r="Y1869" s="80"/>
      <c r="Z1869" s="80"/>
      <c r="AA1869" s="153"/>
    </row>
    <row r="1870" spans="17:27" x14ac:dyDescent="0.25">
      <c r="Q1870" s="53"/>
      <c r="R1870" s="68"/>
      <c r="S1870" s="68"/>
      <c r="T1870" s="68"/>
      <c r="U1870" s="68"/>
      <c r="V1870" s="72"/>
      <c r="W1870" s="72"/>
      <c r="X1870" s="72"/>
      <c r="Y1870" s="80"/>
      <c r="Z1870" s="80"/>
      <c r="AA1870" s="153"/>
    </row>
    <row r="1871" spans="17:27" x14ac:dyDescent="0.25">
      <c r="Q1871" s="53"/>
      <c r="R1871" s="68"/>
      <c r="S1871" s="68"/>
      <c r="T1871" s="68"/>
      <c r="U1871" s="68"/>
      <c r="V1871" s="72"/>
      <c r="W1871" s="72"/>
      <c r="X1871" s="72"/>
      <c r="Y1871" s="80"/>
      <c r="Z1871" s="80"/>
      <c r="AA1871" s="153"/>
    </row>
    <row r="1872" spans="17:27" x14ac:dyDescent="0.25">
      <c r="Q1872" s="53"/>
      <c r="R1872" s="68"/>
      <c r="S1872" s="68"/>
      <c r="T1872" s="68"/>
      <c r="U1872" s="68"/>
      <c r="V1872" s="72"/>
      <c r="W1872" s="72"/>
      <c r="X1872" s="72"/>
      <c r="Y1872" s="80"/>
      <c r="Z1872" s="80"/>
      <c r="AA1872" s="153"/>
    </row>
    <row r="1873" spans="17:27" x14ac:dyDescent="0.25">
      <c r="Q1873" s="53"/>
      <c r="R1873" s="68"/>
      <c r="S1873" s="68"/>
      <c r="T1873" s="68"/>
      <c r="U1873" s="68"/>
      <c r="V1873" s="72"/>
      <c r="W1873" s="72"/>
      <c r="X1873" s="72"/>
      <c r="Y1873" s="80"/>
      <c r="Z1873" s="80"/>
      <c r="AA1873" s="153"/>
    </row>
    <row r="1874" spans="17:27" x14ac:dyDescent="0.25">
      <c r="Q1874" s="53"/>
      <c r="R1874" s="68"/>
      <c r="S1874" s="68"/>
      <c r="T1874" s="68"/>
      <c r="U1874" s="68"/>
      <c r="V1874" s="72"/>
      <c r="W1874" s="72"/>
      <c r="X1874" s="72"/>
      <c r="Y1874" s="80"/>
      <c r="Z1874" s="80"/>
      <c r="AA1874" s="153"/>
    </row>
    <row r="1875" spans="17:27" x14ac:dyDescent="0.25">
      <c r="Q1875" s="53"/>
      <c r="R1875" s="68"/>
      <c r="S1875" s="68"/>
      <c r="T1875" s="68"/>
      <c r="U1875" s="68"/>
      <c r="V1875" s="72"/>
      <c r="W1875" s="72"/>
      <c r="X1875" s="72"/>
      <c r="Y1875" s="80"/>
      <c r="Z1875" s="80"/>
      <c r="AA1875" s="153"/>
    </row>
    <row r="1876" spans="17:27" x14ac:dyDescent="0.25">
      <c r="Q1876" s="53"/>
      <c r="R1876" s="68"/>
      <c r="S1876" s="68"/>
      <c r="T1876" s="68"/>
      <c r="U1876" s="68"/>
      <c r="V1876" s="72"/>
      <c r="W1876" s="72"/>
      <c r="X1876" s="72"/>
      <c r="Y1876" s="80"/>
      <c r="Z1876" s="80"/>
      <c r="AA1876" s="153"/>
    </row>
    <row r="1877" spans="17:27" x14ac:dyDescent="0.25">
      <c r="Q1877" s="53"/>
      <c r="R1877" s="68"/>
      <c r="S1877" s="68"/>
      <c r="T1877" s="68"/>
      <c r="U1877" s="68"/>
      <c r="V1877" s="72"/>
      <c r="W1877" s="72"/>
      <c r="X1877" s="72"/>
      <c r="Y1877" s="80"/>
      <c r="Z1877" s="80"/>
      <c r="AA1877" s="153"/>
    </row>
    <row r="1878" spans="17:27" x14ac:dyDescent="0.25">
      <c r="Q1878" s="53"/>
      <c r="R1878" s="68"/>
      <c r="S1878" s="68"/>
      <c r="T1878" s="68"/>
      <c r="U1878" s="68"/>
      <c r="V1878" s="72"/>
      <c r="W1878" s="72"/>
      <c r="X1878" s="72"/>
      <c r="Y1878" s="80"/>
      <c r="Z1878" s="80"/>
      <c r="AA1878" s="153"/>
    </row>
    <row r="1879" spans="17:27" x14ac:dyDescent="0.25">
      <c r="Q1879" s="53"/>
      <c r="R1879" s="68"/>
      <c r="S1879" s="68"/>
      <c r="T1879" s="68"/>
      <c r="U1879" s="68"/>
      <c r="V1879" s="72"/>
      <c r="W1879" s="72"/>
      <c r="X1879" s="72"/>
      <c r="Y1879" s="80"/>
      <c r="Z1879" s="80"/>
      <c r="AA1879" s="153"/>
    </row>
    <row r="1880" spans="17:27" x14ac:dyDescent="0.25">
      <c r="Q1880" s="53"/>
      <c r="R1880" s="68"/>
      <c r="S1880" s="68"/>
      <c r="T1880" s="68"/>
      <c r="U1880" s="68"/>
      <c r="V1880" s="72"/>
      <c r="W1880" s="72"/>
      <c r="X1880" s="72"/>
      <c r="Y1880" s="80"/>
      <c r="Z1880" s="80"/>
      <c r="AA1880" s="153"/>
    </row>
    <row r="1881" spans="17:27" x14ac:dyDescent="0.25">
      <c r="Q1881" s="53"/>
      <c r="R1881" s="68"/>
      <c r="S1881" s="68"/>
      <c r="T1881" s="68"/>
      <c r="U1881" s="68"/>
      <c r="V1881" s="72"/>
      <c r="W1881" s="72"/>
      <c r="X1881" s="72"/>
      <c r="Y1881" s="80"/>
      <c r="Z1881" s="80"/>
      <c r="AA1881" s="153"/>
    </row>
    <row r="1882" spans="17:27" x14ac:dyDescent="0.25">
      <c r="Q1882" s="53"/>
      <c r="R1882" s="68"/>
      <c r="S1882" s="68"/>
      <c r="T1882" s="68"/>
      <c r="U1882" s="68"/>
      <c r="V1882" s="72"/>
      <c r="W1882" s="72"/>
      <c r="X1882" s="72"/>
      <c r="Y1882" s="80"/>
      <c r="Z1882" s="80"/>
      <c r="AA1882" s="153"/>
    </row>
    <row r="1883" spans="17:27" x14ac:dyDescent="0.25">
      <c r="Q1883" s="53"/>
      <c r="R1883" s="68"/>
      <c r="S1883" s="68"/>
      <c r="T1883" s="68"/>
      <c r="U1883" s="68"/>
      <c r="V1883" s="72"/>
      <c r="W1883" s="72"/>
      <c r="X1883" s="72"/>
      <c r="Y1883" s="80"/>
      <c r="Z1883" s="80"/>
      <c r="AA1883" s="153"/>
    </row>
    <row r="1884" spans="17:27" x14ac:dyDescent="0.25">
      <c r="Q1884" s="53"/>
      <c r="R1884" s="68"/>
      <c r="S1884" s="68"/>
      <c r="T1884" s="68"/>
      <c r="U1884" s="68"/>
      <c r="V1884" s="72"/>
      <c r="W1884" s="72"/>
      <c r="X1884" s="72"/>
      <c r="Y1884" s="80"/>
      <c r="Z1884" s="80"/>
      <c r="AA1884" s="153"/>
    </row>
    <row r="1885" spans="17:27" x14ac:dyDescent="0.25">
      <c r="Q1885" s="53"/>
      <c r="R1885" s="68"/>
      <c r="S1885" s="68"/>
      <c r="T1885" s="68"/>
      <c r="U1885" s="68"/>
      <c r="V1885" s="72"/>
      <c r="W1885" s="72"/>
      <c r="X1885" s="72"/>
      <c r="Y1885" s="80"/>
      <c r="Z1885" s="80"/>
      <c r="AA1885" s="153"/>
    </row>
    <row r="1886" spans="17:27" x14ac:dyDescent="0.25">
      <c r="Q1886" s="53"/>
      <c r="R1886" s="68"/>
      <c r="S1886" s="68"/>
      <c r="T1886" s="68"/>
      <c r="U1886" s="68"/>
      <c r="V1886" s="72"/>
      <c r="W1886" s="72"/>
      <c r="X1886" s="72"/>
      <c r="Y1886" s="80"/>
      <c r="Z1886" s="80"/>
      <c r="AA1886" s="153"/>
    </row>
    <row r="1887" spans="17:27" x14ac:dyDescent="0.25">
      <c r="Q1887" s="53"/>
      <c r="R1887" s="68"/>
      <c r="S1887" s="68"/>
      <c r="T1887" s="68"/>
      <c r="U1887" s="68"/>
      <c r="V1887" s="72"/>
      <c r="W1887" s="72"/>
      <c r="X1887" s="72"/>
      <c r="Y1887" s="80"/>
      <c r="Z1887" s="80"/>
      <c r="AA1887" s="153"/>
    </row>
    <row r="1888" spans="17:27" x14ac:dyDescent="0.25">
      <c r="Q1888" s="53"/>
      <c r="R1888" s="68"/>
      <c r="S1888" s="68"/>
      <c r="T1888" s="68"/>
      <c r="U1888" s="68"/>
      <c r="V1888" s="72"/>
      <c r="W1888" s="72"/>
      <c r="X1888" s="72"/>
      <c r="Y1888" s="80"/>
      <c r="Z1888" s="80"/>
      <c r="AA1888" s="153"/>
    </row>
    <row r="1889" spans="17:27" x14ac:dyDescent="0.25">
      <c r="Q1889" s="53"/>
      <c r="R1889" s="68"/>
      <c r="S1889" s="68"/>
      <c r="T1889" s="68"/>
      <c r="U1889" s="68"/>
      <c r="V1889" s="72"/>
      <c r="W1889" s="72"/>
      <c r="X1889" s="72"/>
      <c r="Y1889" s="80"/>
      <c r="Z1889" s="80"/>
      <c r="AA1889" s="153"/>
    </row>
    <row r="1890" spans="17:27" x14ac:dyDescent="0.25">
      <c r="Q1890" s="53"/>
      <c r="R1890" s="68"/>
      <c r="S1890" s="68"/>
      <c r="T1890" s="68"/>
      <c r="U1890" s="68"/>
      <c r="V1890" s="72"/>
      <c r="W1890" s="72"/>
      <c r="X1890" s="72"/>
      <c r="Y1890" s="80"/>
      <c r="Z1890" s="80"/>
      <c r="AA1890" s="153"/>
    </row>
    <row r="1891" spans="17:27" x14ac:dyDescent="0.25">
      <c r="Q1891" s="53"/>
      <c r="R1891" s="68"/>
      <c r="S1891" s="68"/>
      <c r="T1891" s="68"/>
      <c r="U1891" s="68"/>
      <c r="V1891" s="72"/>
      <c r="W1891" s="72"/>
      <c r="X1891" s="72"/>
      <c r="Y1891" s="80"/>
      <c r="Z1891" s="80"/>
      <c r="AA1891" s="153"/>
    </row>
    <row r="1892" spans="17:27" x14ac:dyDescent="0.25">
      <c r="Q1892" s="53"/>
      <c r="R1892" s="68"/>
      <c r="S1892" s="68"/>
      <c r="T1892" s="68"/>
      <c r="U1892" s="68"/>
      <c r="V1892" s="72"/>
      <c r="W1892" s="72"/>
      <c r="X1892" s="72"/>
      <c r="Y1892" s="80"/>
      <c r="Z1892" s="80"/>
      <c r="AA1892" s="153"/>
    </row>
    <row r="1893" spans="17:27" x14ac:dyDescent="0.25">
      <c r="Q1893" s="53"/>
      <c r="R1893" s="68"/>
      <c r="S1893" s="68"/>
      <c r="T1893" s="68"/>
      <c r="U1893" s="68"/>
      <c r="V1893" s="72"/>
      <c r="W1893" s="72"/>
      <c r="X1893" s="72"/>
      <c r="Y1893" s="80"/>
      <c r="Z1893" s="80"/>
      <c r="AA1893" s="153"/>
    </row>
    <row r="1894" spans="17:27" x14ac:dyDescent="0.25">
      <c r="Q1894" s="53"/>
      <c r="R1894" s="68"/>
      <c r="S1894" s="68"/>
      <c r="T1894" s="68"/>
      <c r="U1894" s="68"/>
      <c r="V1894" s="72"/>
      <c r="W1894" s="72"/>
      <c r="X1894" s="72"/>
      <c r="Y1894" s="80"/>
      <c r="Z1894" s="80"/>
      <c r="AA1894" s="153"/>
    </row>
    <row r="1895" spans="17:27" x14ac:dyDescent="0.25">
      <c r="Q1895" s="53"/>
      <c r="R1895" s="68"/>
      <c r="S1895" s="68"/>
      <c r="T1895" s="68"/>
      <c r="U1895" s="68"/>
      <c r="V1895" s="72"/>
      <c r="W1895" s="72"/>
      <c r="X1895" s="72"/>
      <c r="Y1895" s="80"/>
      <c r="Z1895" s="80"/>
      <c r="AA1895" s="153"/>
    </row>
    <row r="1896" spans="17:27" x14ac:dyDescent="0.25">
      <c r="Q1896" s="53"/>
      <c r="R1896" s="68"/>
      <c r="S1896" s="68"/>
      <c r="T1896" s="68"/>
      <c r="U1896" s="68"/>
      <c r="V1896" s="72"/>
      <c r="W1896" s="72"/>
      <c r="X1896" s="72"/>
      <c r="Y1896" s="80"/>
      <c r="Z1896" s="80"/>
      <c r="AA1896" s="153"/>
    </row>
    <row r="1897" spans="17:27" x14ac:dyDescent="0.25">
      <c r="Q1897" s="53"/>
      <c r="R1897" s="68"/>
      <c r="S1897" s="68"/>
      <c r="T1897" s="68"/>
      <c r="U1897" s="68"/>
      <c r="V1897" s="72"/>
      <c r="W1897" s="72"/>
      <c r="X1897" s="72"/>
      <c r="Y1897" s="80"/>
      <c r="Z1897" s="80"/>
      <c r="AA1897" s="153"/>
    </row>
    <row r="1898" spans="17:27" x14ac:dyDescent="0.25">
      <c r="Q1898" s="53"/>
      <c r="R1898" s="68"/>
      <c r="S1898" s="68"/>
      <c r="T1898" s="68"/>
      <c r="U1898" s="68"/>
      <c r="V1898" s="72"/>
      <c r="W1898" s="72"/>
      <c r="X1898" s="72"/>
      <c r="Y1898" s="80"/>
      <c r="Z1898" s="80"/>
      <c r="AA1898" s="153"/>
    </row>
    <row r="1899" spans="17:27" x14ac:dyDescent="0.25">
      <c r="Q1899" s="53"/>
      <c r="R1899" s="68"/>
      <c r="S1899" s="68"/>
      <c r="T1899" s="68"/>
      <c r="U1899" s="68"/>
      <c r="V1899" s="72"/>
      <c r="W1899" s="72"/>
      <c r="X1899" s="72"/>
      <c r="Y1899" s="80"/>
      <c r="Z1899" s="80"/>
      <c r="AA1899" s="153"/>
    </row>
    <row r="1900" spans="17:27" x14ac:dyDescent="0.25">
      <c r="Q1900" s="53"/>
      <c r="R1900" s="68"/>
      <c r="S1900" s="68"/>
      <c r="T1900" s="68"/>
      <c r="U1900" s="68"/>
      <c r="V1900" s="72"/>
      <c r="W1900" s="72"/>
      <c r="X1900" s="72"/>
      <c r="Y1900" s="80"/>
      <c r="Z1900" s="80"/>
      <c r="AA1900" s="153"/>
    </row>
    <row r="1901" spans="17:27" x14ac:dyDescent="0.25">
      <c r="Q1901" s="53"/>
      <c r="R1901" s="68"/>
      <c r="S1901" s="68"/>
      <c r="T1901" s="68"/>
      <c r="U1901" s="68"/>
      <c r="V1901" s="72"/>
      <c r="W1901" s="72"/>
      <c r="X1901" s="72"/>
      <c r="Y1901" s="80"/>
      <c r="Z1901" s="80"/>
      <c r="AA1901" s="153"/>
    </row>
    <row r="1902" spans="17:27" x14ac:dyDescent="0.25">
      <c r="Q1902" s="53"/>
      <c r="R1902" s="68"/>
      <c r="S1902" s="68"/>
      <c r="T1902" s="68"/>
      <c r="U1902" s="68"/>
      <c r="V1902" s="72"/>
      <c r="W1902" s="72"/>
      <c r="X1902" s="72"/>
      <c r="Y1902" s="80"/>
      <c r="Z1902" s="80"/>
      <c r="AA1902" s="153"/>
    </row>
    <row r="1903" spans="17:27" x14ac:dyDescent="0.25">
      <c r="Q1903" s="53"/>
      <c r="R1903" s="68"/>
      <c r="S1903" s="68"/>
      <c r="T1903" s="68"/>
      <c r="U1903" s="68"/>
      <c r="V1903" s="72"/>
      <c r="W1903" s="72"/>
      <c r="X1903" s="72"/>
      <c r="Y1903" s="80"/>
      <c r="Z1903" s="80"/>
      <c r="AA1903" s="153"/>
    </row>
    <row r="1904" spans="17:27" x14ac:dyDescent="0.25">
      <c r="Q1904" s="53"/>
      <c r="R1904" s="68"/>
      <c r="S1904" s="68"/>
      <c r="T1904" s="68"/>
      <c r="U1904" s="68"/>
      <c r="V1904" s="72"/>
      <c r="W1904" s="72"/>
      <c r="X1904" s="72"/>
      <c r="Y1904" s="80"/>
      <c r="Z1904" s="80"/>
      <c r="AA1904" s="153"/>
    </row>
    <row r="1905" spans="17:27" x14ac:dyDescent="0.25">
      <c r="Q1905" s="53"/>
      <c r="R1905" s="68"/>
      <c r="S1905" s="68"/>
      <c r="T1905" s="68"/>
      <c r="U1905" s="68"/>
      <c r="V1905" s="72"/>
      <c r="W1905" s="72"/>
      <c r="X1905" s="72"/>
      <c r="Y1905" s="80"/>
      <c r="Z1905" s="80"/>
      <c r="AA1905" s="153"/>
    </row>
    <row r="1906" spans="17:27" x14ac:dyDescent="0.25">
      <c r="Q1906" s="53"/>
      <c r="R1906" s="68"/>
      <c r="S1906" s="68"/>
      <c r="T1906" s="68"/>
      <c r="U1906" s="68"/>
      <c r="V1906" s="72"/>
      <c r="W1906" s="72"/>
      <c r="X1906" s="72"/>
      <c r="Y1906" s="80"/>
      <c r="Z1906" s="80"/>
      <c r="AA1906" s="153"/>
    </row>
    <row r="1907" spans="17:27" x14ac:dyDescent="0.25">
      <c r="Q1907" s="53"/>
      <c r="R1907" s="68"/>
      <c r="S1907" s="68"/>
      <c r="T1907" s="68"/>
      <c r="U1907" s="68"/>
      <c r="V1907" s="72"/>
      <c r="W1907" s="72"/>
      <c r="X1907" s="72"/>
      <c r="Y1907" s="80"/>
      <c r="Z1907" s="80"/>
      <c r="AA1907" s="153"/>
    </row>
    <row r="1908" spans="17:27" x14ac:dyDescent="0.25">
      <c r="Q1908" s="53"/>
      <c r="R1908" s="68"/>
      <c r="S1908" s="68"/>
      <c r="T1908" s="68"/>
      <c r="U1908" s="68"/>
      <c r="V1908" s="72"/>
      <c r="W1908" s="72"/>
      <c r="X1908" s="72"/>
      <c r="Y1908" s="80"/>
      <c r="Z1908" s="80"/>
      <c r="AA1908" s="153"/>
    </row>
    <row r="1909" spans="17:27" x14ac:dyDescent="0.25">
      <c r="Q1909" s="53"/>
      <c r="R1909" s="68"/>
      <c r="S1909" s="68"/>
      <c r="T1909" s="68"/>
      <c r="U1909" s="68"/>
      <c r="V1909" s="72"/>
      <c r="W1909" s="72"/>
      <c r="X1909" s="72"/>
      <c r="Y1909" s="80"/>
      <c r="Z1909" s="80"/>
      <c r="AA1909" s="153"/>
    </row>
    <row r="1910" spans="17:27" x14ac:dyDescent="0.25">
      <c r="Q1910" s="53"/>
      <c r="R1910" s="68"/>
      <c r="S1910" s="68"/>
      <c r="T1910" s="68"/>
      <c r="U1910" s="68"/>
      <c r="V1910" s="72"/>
      <c r="W1910" s="72"/>
      <c r="X1910" s="72"/>
      <c r="Y1910" s="80"/>
      <c r="Z1910" s="80"/>
      <c r="AA1910" s="153"/>
    </row>
    <row r="1911" spans="17:27" x14ac:dyDescent="0.25">
      <c r="Q1911" s="53"/>
      <c r="R1911" s="68"/>
      <c r="S1911" s="68"/>
      <c r="T1911" s="68"/>
      <c r="U1911" s="68"/>
      <c r="V1911" s="72"/>
      <c r="W1911" s="72"/>
      <c r="X1911" s="72"/>
      <c r="Y1911" s="80"/>
      <c r="Z1911" s="80"/>
      <c r="AA1911" s="153"/>
    </row>
    <row r="1912" spans="17:27" x14ac:dyDescent="0.25">
      <c r="Q1912" s="53"/>
      <c r="R1912" s="68"/>
      <c r="S1912" s="68"/>
      <c r="T1912" s="68"/>
      <c r="U1912" s="68"/>
      <c r="V1912" s="72"/>
      <c r="W1912" s="72"/>
      <c r="X1912" s="72"/>
      <c r="Y1912" s="80"/>
      <c r="Z1912" s="80"/>
      <c r="AA1912" s="153"/>
    </row>
    <row r="1913" spans="17:27" x14ac:dyDescent="0.25">
      <c r="Q1913" s="53"/>
      <c r="R1913" s="68"/>
      <c r="S1913" s="68"/>
      <c r="T1913" s="68"/>
      <c r="U1913" s="68"/>
      <c r="V1913" s="72"/>
      <c r="W1913" s="72"/>
      <c r="X1913" s="72"/>
      <c r="Y1913" s="80"/>
      <c r="Z1913" s="80"/>
      <c r="AA1913" s="153"/>
    </row>
    <row r="1914" spans="17:27" x14ac:dyDescent="0.25">
      <c r="Q1914" s="53"/>
      <c r="R1914" s="68"/>
      <c r="S1914" s="68"/>
      <c r="T1914" s="68"/>
      <c r="U1914" s="68"/>
      <c r="V1914" s="72"/>
      <c r="W1914" s="72"/>
      <c r="X1914" s="72"/>
      <c r="Y1914" s="80"/>
      <c r="Z1914" s="80"/>
      <c r="AA1914" s="153"/>
    </row>
    <row r="1915" spans="17:27" x14ac:dyDescent="0.25">
      <c r="Q1915" s="53"/>
      <c r="R1915" s="68"/>
      <c r="S1915" s="68"/>
      <c r="T1915" s="68"/>
      <c r="U1915" s="68"/>
      <c r="V1915" s="72"/>
      <c r="W1915" s="72"/>
      <c r="X1915" s="72"/>
      <c r="Y1915" s="80"/>
      <c r="Z1915" s="80"/>
      <c r="AA1915" s="153"/>
    </row>
    <row r="1916" spans="17:27" x14ac:dyDescent="0.25">
      <c r="Q1916" s="53"/>
      <c r="R1916" s="68"/>
      <c r="S1916" s="68"/>
      <c r="T1916" s="68"/>
      <c r="U1916" s="68"/>
      <c r="V1916" s="72"/>
      <c r="W1916" s="72"/>
      <c r="X1916" s="72"/>
      <c r="Y1916" s="80"/>
      <c r="Z1916" s="80"/>
      <c r="AA1916" s="153"/>
    </row>
    <row r="1917" spans="17:27" x14ac:dyDescent="0.25">
      <c r="Q1917" s="53"/>
      <c r="R1917" s="68"/>
      <c r="S1917" s="68"/>
      <c r="T1917" s="68"/>
      <c r="U1917" s="68"/>
      <c r="V1917" s="72"/>
      <c r="W1917" s="72"/>
      <c r="X1917" s="72"/>
      <c r="Y1917" s="80"/>
      <c r="Z1917" s="80"/>
      <c r="AA1917" s="153"/>
    </row>
    <row r="1918" spans="17:27" x14ac:dyDescent="0.25">
      <c r="Q1918" s="53"/>
      <c r="R1918" s="68"/>
      <c r="S1918" s="68"/>
      <c r="T1918" s="68"/>
      <c r="U1918" s="68"/>
      <c r="V1918" s="72"/>
      <c r="W1918" s="72"/>
      <c r="X1918" s="72"/>
      <c r="Y1918" s="80"/>
      <c r="Z1918" s="80"/>
      <c r="AA1918" s="153"/>
    </row>
    <row r="1919" spans="17:27" x14ac:dyDescent="0.25">
      <c r="Q1919" s="53"/>
      <c r="R1919" s="68"/>
      <c r="S1919" s="68"/>
      <c r="T1919" s="68"/>
      <c r="U1919" s="68"/>
      <c r="V1919" s="72"/>
      <c r="W1919" s="72"/>
      <c r="X1919" s="72"/>
      <c r="Y1919" s="80"/>
      <c r="Z1919" s="80"/>
      <c r="AA1919" s="153"/>
    </row>
    <row r="1920" spans="17:27" x14ac:dyDescent="0.25">
      <c r="Q1920" s="53"/>
      <c r="R1920" s="68"/>
      <c r="S1920" s="68"/>
      <c r="T1920" s="68"/>
      <c r="U1920" s="68"/>
      <c r="V1920" s="72"/>
      <c r="W1920" s="72"/>
      <c r="X1920" s="72"/>
      <c r="Y1920" s="80"/>
      <c r="Z1920" s="80"/>
      <c r="AA1920" s="153"/>
    </row>
    <row r="1921" spans="17:27" x14ac:dyDescent="0.25">
      <c r="Q1921" s="53"/>
      <c r="R1921" s="68"/>
      <c r="S1921" s="68"/>
      <c r="T1921" s="68"/>
      <c r="U1921" s="68"/>
      <c r="V1921" s="72"/>
      <c r="W1921" s="72"/>
      <c r="X1921" s="72"/>
      <c r="Y1921" s="80"/>
      <c r="Z1921" s="80"/>
      <c r="AA1921" s="153"/>
    </row>
    <row r="1922" spans="17:27" x14ac:dyDescent="0.25">
      <c r="Q1922" s="53"/>
      <c r="R1922" s="68"/>
      <c r="S1922" s="68"/>
      <c r="T1922" s="68"/>
      <c r="U1922" s="68"/>
      <c r="V1922" s="72"/>
      <c r="W1922" s="72"/>
      <c r="X1922" s="72"/>
      <c r="Y1922" s="80"/>
      <c r="Z1922" s="80"/>
      <c r="AA1922" s="153"/>
    </row>
    <row r="1923" spans="17:27" x14ac:dyDescent="0.25">
      <c r="Q1923" s="53"/>
      <c r="R1923" s="68"/>
      <c r="S1923" s="68"/>
      <c r="T1923" s="68"/>
      <c r="U1923" s="68"/>
      <c r="V1923" s="72"/>
      <c r="W1923" s="72"/>
      <c r="X1923" s="72"/>
      <c r="Y1923" s="80"/>
      <c r="Z1923" s="80"/>
      <c r="AA1923" s="153"/>
    </row>
    <row r="1924" spans="17:27" x14ac:dyDescent="0.25">
      <c r="Q1924" s="53"/>
      <c r="R1924" s="68"/>
      <c r="S1924" s="68"/>
      <c r="T1924" s="68"/>
      <c r="U1924" s="68"/>
      <c r="V1924" s="72"/>
      <c r="W1924" s="72"/>
      <c r="X1924" s="72"/>
      <c r="Y1924" s="80"/>
      <c r="Z1924" s="80"/>
      <c r="AA1924" s="153"/>
    </row>
    <row r="1925" spans="17:27" x14ac:dyDescent="0.25">
      <c r="Q1925" s="53"/>
      <c r="R1925" s="68"/>
      <c r="S1925" s="68"/>
      <c r="T1925" s="68"/>
      <c r="U1925" s="68"/>
      <c r="V1925" s="72"/>
      <c r="W1925" s="72"/>
      <c r="X1925" s="72"/>
      <c r="Y1925" s="80"/>
      <c r="Z1925" s="80"/>
      <c r="AA1925" s="153"/>
    </row>
    <row r="1926" spans="17:27" x14ac:dyDescent="0.25">
      <c r="Q1926" s="53"/>
      <c r="R1926" s="68"/>
      <c r="S1926" s="68"/>
      <c r="T1926" s="68"/>
      <c r="U1926" s="68"/>
      <c r="V1926" s="72"/>
      <c r="W1926" s="72"/>
      <c r="X1926" s="72"/>
      <c r="Y1926" s="80"/>
      <c r="Z1926" s="80"/>
      <c r="AA1926" s="153"/>
    </row>
    <row r="1927" spans="17:27" x14ac:dyDescent="0.25">
      <c r="Q1927" s="53"/>
      <c r="R1927" s="68"/>
      <c r="S1927" s="68"/>
      <c r="T1927" s="68"/>
      <c r="U1927" s="68"/>
      <c r="V1927" s="72"/>
      <c r="W1927" s="72"/>
      <c r="X1927" s="72"/>
      <c r="Y1927" s="80"/>
      <c r="Z1927" s="80"/>
      <c r="AA1927" s="153"/>
    </row>
    <row r="1928" spans="17:27" x14ac:dyDescent="0.25">
      <c r="Q1928" s="53"/>
      <c r="R1928" s="68"/>
      <c r="S1928" s="68"/>
      <c r="T1928" s="68"/>
      <c r="U1928" s="68"/>
      <c r="V1928" s="72"/>
      <c r="W1928" s="72"/>
      <c r="X1928" s="72"/>
      <c r="Y1928" s="80"/>
      <c r="Z1928" s="80"/>
      <c r="AA1928" s="153"/>
    </row>
    <row r="1929" spans="17:27" x14ac:dyDescent="0.25">
      <c r="Q1929" s="53"/>
      <c r="R1929" s="68"/>
      <c r="S1929" s="68"/>
      <c r="T1929" s="68"/>
      <c r="U1929" s="68"/>
      <c r="V1929" s="72"/>
      <c r="W1929" s="72"/>
      <c r="X1929" s="72"/>
      <c r="Y1929" s="80"/>
      <c r="Z1929" s="80"/>
      <c r="AA1929" s="153"/>
    </row>
    <row r="1930" spans="17:27" x14ac:dyDescent="0.25">
      <c r="Q1930" s="53"/>
      <c r="R1930" s="68"/>
      <c r="S1930" s="68"/>
      <c r="T1930" s="68"/>
      <c r="U1930" s="68"/>
      <c r="V1930" s="72"/>
      <c r="W1930" s="72"/>
      <c r="X1930" s="72"/>
      <c r="Y1930" s="80"/>
      <c r="Z1930" s="80"/>
      <c r="AA1930" s="153"/>
    </row>
    <row r="1931" spans="17:27" x14ac:dyDescent="0.25">
      <c r="Q1931" s="53"/>
      <c r="R1931" s="68"/>
      <c r="S1931" s="68"/>
      <c r="T1931" s="68"/>
      <c r="U1931" s="68"/>
      <c r="V1931" s="72"/>
      <c r="W1931" s="72"/>
      <c r="X1931" s="72"/>
      <c r="Y1931" s="80"/>
      <c r="Z1931" s="80"/>
      <c r="AA1931" s="153"/>
    </row>
    <row r="1932" spans="17:27" x14ac:dyDescent="0.25">
      <c r="Q1932" s="53"/>
      <c r="R1932" s="68"/>
      <c r="S1932" s="68"/>
      <c r="T1932" s="68"/>
      <c r="U1932" s="68"/>
      <c r="V1932" s="72"/>
      <c r="W1932" s="72"/>
      <c r="X1932" s="72"/>
      <c r="Y1932" s="80"/>
      <c r="Z1932" s="80"/>
      <c r="AA1932" s="153"/>
    </row>
    <row r="1933" spans="17:27" x14ac:dyDescent="0.25">
      <c r="Q1933" s="53"/>
      <c r="R1933" s="68"/>
      <c r="S1933" s="68"/>
      <c r="T1933" s="68"/>
      <c r="U1933" s="68"/>
      <c r="V1933" s="72"/>
      <c r="W1933" s="72"/>
      <c r="X1933" s="72"/>
      <c r="Y1933" s="80"/>
      <c r="Z1933" s="80"/>
      <c r="AA1933" s="153"/>
    </row>
    <row r="1934" spans="17:27" x14ac:dyDescent="0.25">
      <c r="Q1934" s="53"/>
      <c r="R1934" s="68"/>
      <c r="S1934" s="68"/>
      <c r="T1934" s="68"/>
      <c r="U1934" s="68"/>
      <c r="V1934" s="72"/>
      <c r="W1934" s="72"/>
      <c r="X1934" s="72"/>
      <c r="Y1934" s="80"/>
      <c r="Z1934" s="80"/>
      <c r="AA1934" s="153"/>
    </row>
    <row r="1935" spans="17:27" x14ac:dyDescent="0.25">
      <c r="Q1935" s="53"/>
      <c r="R1935" s="68"/>
      <c r="S1935" s="68"/>
      <c r="T1935" s="68"/>
      <c r="U1935" s="68"/>
      <c r="V1935" s="72"/>
      <c r="W1935" s="72"/>
      <c r="X1935" s="72"/>
      <c r="Y1935" s="80"/>
      <c r="Z1935" s="80"/>
      <c r="AA1935" s="153"/>
    </row>
    <row r="1936" spans="17:27" x14ac:dyDescent="0.25">
      <c r="Q1936" s="53"/>
      <c r="R1936" s="68"/>
      <c r="S1936" s="68"/>
      <c r="T1936" s="68"/>
      <c r="U1936" s="68"/>
      <c r="V1936" s="72"/>
      <c r="W1936" s="72"/>
      <c r="X1936" s="72"/>
      <c r="Y1936" s="80"/>
      <c r="Z1936" s="80"/>
      <c r="AA1936" s="153"/>
    </row>
    <row r="1937" spans="17:27" x14ac:dyDescent="0.25">
      <c r="Q1937" s="53"/>
      <c r="R1937" s="68"/>
      <c r="S1937" s="68"/>
      <c r="T1937" s="68"/>
      <c r="U1937" s="68"/>
      <c r="V1937" s="72"/>
      <c r="W1937" s="72"/>
      <c r="X1937" s="72"/>
      <c r="Y1937" s="80"/>
      <c r="Z1937" s="80"/>
      <c r="AA1937" s="153"/>
    </row>
    <row r="1938" spans="17:27" x14ac:dyDescent="0.25">
      <c r="Q1938" s="53"/>
      <c r="R1938" s="68"/>
      <c r="S1938" s="68"/>
      <c r="T1938" s="68"/>
      <c r="U1938" s="68"/>
      <c r="V1938" s="72"/>
      <c r="W1938" s="72"/>
      <c r="X1938" s="72"/>
      <c r="Y1938" s="80"/>
      <c r="Z1938" s="80"/>
      <c r="AA1938" s="153"/>
    </row>
    <row r="1939" spans="17:27" x14ac:dyDescent="0.25">
      <c r="Q1939" s="53"/>
      <c r="R1939" s="68"/>
      <c r="S1939" s="68"/>
      <c r="T1939" s="68"/>
      <c r="U1939" s="68"/>
      <c r="V1939" s="72"/>
      <c r="W1939" s="72"/>
      <c r="X1939" s="72"/>
      <c r="Y1939" s="80"/>
      <c r="Z1939" s="80"/>
      <c r="AA1939" s="153"/>
    </row>
    <row r="1940" spans="17:27" x14ac:dyDescent="0.25">
      <c r="Q1940" s="53"/>
      <c r="R1940" s="68"/>
      <c r="S1940" s="68"/>
      <c r="T1940" s="68"/>
      <c r="U1940" s="68"/>
      <c r="V1940" s="72"/>
      <c r="W1940" s="72"/>
      <c r="X1940" s="72"/>
      <c r="Y1940" s="80"/>
      <c r="Z1940" s="80"/>
      <c r="AA1940" s="153"/>
    </row>
    <row r="1941" spans="17:27" x14ac:dyDescent="0.25">
      <c r="Q1941" s="53"/>
      <c r="R1941" s="68"/>
      <c r="S1941" s="68"/>
      <c r="T1941" s="68"/>
      <c r="U1941" s="68"/>
      <c r="V1941" s="72"/>
      <c r="W1941" s="72"/>
      <c r="X1941" s="72"/>
      <c r="Y1941" s="80"/>
      <c r="Z1941" s="80"/>
      <c r="AA1941" s="153"/>
    </row>
    <row r="1942" spans="17:27" x14ac:dyDescent="0.25">
      <c r="Q1942" s="53"/>
      <c r="R1942" s="68"/>
      <c r="S1942" s="68"/>
      <c r="T1942" s="68"/>
      <c r="U1942" s="68"/>
      <c r="V1942" s="72"/>
      <c r="W1942" s="72"/>
      <c r="X1942" s="72"/>
      <c r="Y1942" s="80"/>
      <c r="Z1942" s="80"/>
      <c r="AA1942" s="153"/>
    </row>
    <row r="1943" spans="17:27" x14ac:dyDescent="0.25">
      <c r="Q1943" s="53"/>
      <c r="R1943" s="68"/>
      <c r="S1943" s="68"/>
      <c r="T1943" s="68"/>
      <c r="U1943" s="68"/>
      <c r="V1943" s="72"/>
      <c r="W1943" s="72"/>
      <c r="X1943" s="72"/>
      <c r="Y1943" s="80"/>
      <c r="Z1943" s="80"/>
      <c r="AA1943" s="153"/>
    </row>
    <row r="1944" spans="17:27" x14ac:dyDescent="0.25">
      <c r="Q1944" s="53"/>
      <c r="R1944" s="68"/>
      <c r="S1944" s="68"/>
      <c r="T1944" s="68"/>
      <c r="U1944" s="68"/>
      <c r="V1944" s="72"/>
      <c r="W1944" s="72"/>
      <c r="X1944" s="72"/>
      <c r="Y1944" s="80"/>
      <c r="Z1944" s="80"/>
      <c r="AA1944" s="153"/>
    </row>
    <row r="1945" spans="17:27" x14ac:dyDescent="0.25">
      <c r="Q1945" s="53"/>
      <c r="R1945" s="68"/>
      <c r="S1945" s="68"/>
      <c r="T1945" s="68"/>
      <c r="U1945" s="68"/>
      <c r="V1945" s="72"/>
      <c r="W1945" s="72"/>
      <c r="X1945" s="72"/>
      <c r="Y1945" s="80"/>
      <c r="Z1945" s="80"/>
      <c r="AA1945" s="153"/>
    </row>
    <row r="1946" spans="17:27" x14ac:dyDescent="0.25">
      <c r="Q1946" s="53"/>
      <c r="R1946" s="68"/>
      <c r="S1946" s="68"/>
      <c r="T1946" s="68"/>
      <c r="U1946" s="68"/>
      <c r="V1946" s="72"/>
      <c r="W1946" s="72"/>
      <c r="X1946" s="72"/>
      <c r="Y1946" s="80"/>
      <c r="Z1946" s="80"/>
      <c r="AA1946" s="153"/>
    </row>
    <row r="1947" spans="17:27" x14ac:dyDescent="0.25">
      <c r="Q1947" s="53"/>
      <c r="R1947" s="68"/>
      <c r="S1947" s="68"/>
      <c r="T1947" s="68"/>
      <c r="U1947" s="68"/>
      <c r="V1947" s="72"/>
      <c r="W1947" s="72"/>
      <c r="X1947" s="72"/>
      <c r="Y1947" s="80"/>
      <c r="Z1947" s="80"/>
      <c r="AA1947" s="153"/>
    </row>
    <row r="1948" spans="17:27" x14ac:dyDescent="0.25">
      <c r="Q1948" s="53"/>
      <c r="R1948" s="68"/>
      <c r="S1948" s="68"/>
      <c r="T1948" s="68"/>
      <c r="U1948" s="68"/>
      <c r="V1948" s="72"/>
      <c r="W1948" s="72"/>
      <c r="X1948" s="72"/>
      <c r="Y1948" s="80"/>
      <c r="Z1948" s="80"/>
      <c r="AA1948" s="153"/>
    </row>
    <row r="1949" spans="17:27" x14ac:dyDescent="0.25">
      <c r="Q1949" s="53"/>
      <c r="R1949" s="68"/>
      <c r="S1949" s="68"/>
      <c r="T1949" s="68"/>
      <c r="U1949" s="68"/>
      <c r="V1949" s="72"/>
      <c r="W1949" s="72"/>
      <c r="X1949" s="72"/>
      <c r="Y1949" s="80"/>
      <c r="Z1949" s="80"/>
      <c r="AA1949" s="153"/>
    </row>
    <row r="1950" spans="17:27" x14ac:dyDescent="0.25">
      <c r="Q1950" s="53"/>
      <c r="R1950" s="68"/>
      <c r="S1950" s="68"/>
      <c r="T1950" s="68"/>
      <c r="U1950" s="68"/>
      <c r="V1950" s="72"/>
      <c r="W1950" s="72"/>
      <c r="X1950" s="72"/>
      <c r="Y1950" s="80"/>
      <c r="Z1950" s="80"/>
      <c r="AA1950" s="153"/>
    </row>
    <row r="1951" spans="17:27" x14ac:dyDescent="0.25">
      <c r="Q1951" s="53"/>
      <c r="R1951" s="68"/>
      <c r="S1951" s="68"/>
      <c r="T1951" s="68"/>
      <c r="U1951" s="68"/>
      <c r="V1951" s="72"/>
      <c r="W1951" s="72"/>
      <c r="X1951" s="72"/>
      <c r="Y1951" s="80"/>
      <c r="Z1951" s="80"/>
      <c r="AA1951" s="153"/>
    </row>
    <row r="1952" spans="17:27" x14ac:dyDescent="0.25">
      <c r="Q1952" s="53"/>
      <c r="R1952" s="68"/>
      <c r="S1952" s="68"/>
      <c r="T1952" s="68"/>
      <c r="U1952" s="68"/>
      <c r="V1952" s="72"/>
      <c r="W1952" s="72"/>
      <c r="X1952" s="72"/>
      <c r="Y1952" s="80"/>
      <c r="Z1952" s="80"/>
      <c r="AA1952" s="153"/>
    </row>
    <row r="1953" spans="17:27" x14ac:dyDescent="0.25">
      <c r="Q1953" s="53"/>
      <c r="R1953" s="68"/>
      <c r="S1953" s="68"/>
      <c r="T1953" s="68"/>
      <c r="U1953" s="68"/>
      <c r="V1953" s="72"/>
      <c r="W1953" s="72"/>
      <c r="X1953" s="72"/>
      <c r="Y1953" s="80"/>
      <c r="Z1953" s="80"/>
      <c r="AA1953" s="153"/>
    </row>
    <row r="1954" spans="17:27" x14ac:dyDescent="0.25">
      <c r="Q1954" s="53"/>
      <c r="R1954" s="68"/>
      <c r="S1954" s="68"/>
      <c r="T1954" s="68"/>
      <c r="U1954" s="68"/>
      <c r="V1954" s="72"/>
      <c r="W1954" s="72"/>
      <c r="X1954" s="72"/>
      <c r="Y1954" s="80"/>
      <c r="Z1954" s="80"/>
      <c r="AA1954" s="153"/>
    </row>
    <row r="1955" spans="17:27" x14ac:dyDescent="0.25">
      <c r="Q1955" s="53"/>
      <c r="R1955" s="68"/>
      <c r="S1955" s="68"/>
      <c r="T1955" s="68"/>
      <c r="U1955" s="68"/>
      <c r="V1955" s="72"/>
      <c r="W1955" s="72"/>
      <c r="X1955" s="72"/>
      <c r="Y1955" s="80"/>
      <c r="Z1955" s="80"/>
      <c r="AA1955" s="153"/>
    </row>
    <row r="1956" spans="17:27" x14ac:dyDescent="0.25">
      <c r="Q1956" s="53"/>
      <c r="R1956" s="68"/>
      <c r="S1956" s="68"/>
      <c r="T1956" s="68"/>
      <c r="U1956" s="68"/>
      <c r="V1956" s="72"/>
      <c r="W1956" s="72"/>
      <c r="X1956" s="72"/>
      <c r="Y1956" s="80"/>
      <c r="Z1956" s="80"/>
      <c r="AA1956" s="153"/>
    </row>
    <row r="1957" spans="17:27" x14ac:dyDescent="0.25">
      <c r="Q1957" s="53"/>
      <c r="R1957" s="68"/>
      <c r="S1957" s="68"/>
      <c r="T1957" s="68"/>
      <c r="U1957" s="68"/>
      <c r="V1957" s="72"/>
      <c r="W1957" s="72"/>
      <c r="X1957" s="72"/>
      <c r="Y1957" s="80"/>
      <c r="Z1957" s="80"/>
      <c r="AA1957" s="153"/>
    </row>
    <row r="1958" spans="17:27" x14ac:dyDescent="0.25">
      <c r="Q1958" s="53"/>
      <c r="R1958" s="68"/>
      <c r="S1958" s="68"/>
      <c r="T1958" s="68"/>
      <c r="U1958" s="68"/>
      <c r="V1958" s="72"/>
      <c r="W1958" s="72"/>
      <c r="X1958" s="72"/>
      <c r="Y1958" s="80"/>
      <c r="Z1958" s="80"/>
      <c r="AA1958" s="153"/>
    </row>
    <row r="1959" spans="17:27" x14ac:dyDescent="0.25">
      <c r="Q1959" s="53"/>
      <c r="R1959" s="68"/>
      <c r="S1959" s="68"/>
      <c r="T1959" s="68"/>
      <c r="U1959" s="68"/>
      <c r="V1959" s="72"/>
      <c r="W1959" s="72"/>
      <c r="X1959" s="72"/>
      <c r="Y1959" s="80"/>
      <c r="Z1959" s="80"/>
      <c r="AA1959" s="153"/>
    </row>
    <row r="1960" spans="17:27" x14ac:dyDescent="0.25">
      <c r="Q1960" s="53"/>
      <c r="R1960" s="68"/>
      <c r="S1960" s="68"/>
      <c r="T1960" s="68"/>
      <c r="U1960" s="68"/>
      <c r="V1960" s="72"/>
      <c r="W1960" s="72"/>
      <c r="X1960" s="72"/>
      <c r="Y1960" s="80"/>
      <c r="Z1960" s="80"/>
      <c r="AA1960" s="153"/>
    </row>
    <row r="1961" spans="17:27" x14ac:dyDescent="0.25">
      <c r="Q1961" s="53"/>
      <c r="R1961" s="68"/>
      <c r="S1961" s="68"/>
      <c r="T1961" s="68"/>
      <c r="U1961" s="68"/>
      <c r="V1961" s="72"/>
      <c r="W1961" s="72"/>
      <c r="X1961" s="72"/>
      <c r="Y1961" s="80"/>
      <c r="Z1961" s="80"/>
      <c r="AA1961" s="153"/>
    </row>
    <row r="1962" spans="17:27" x14ac:dyDescent="0.25">
      <c r="Q1962" s="53"/>
      <c r="R1962" s="68"/>
      <c r="S1962" s="68"/>
      <c r="T1962" s="68"/>
      <c r="U1962" s="68"/>
      <c r="V1962" s="72"/>
      <c r="W1962" s="72"/>
      <c r="X1962" s="72"/>
      <c r="Y1962" s="80"/>
      <c r="Z1962" s="80"/>
      <c r="AA1962" s="153"/>
    </row>
    <row r="1963" spans="17:27" x14ac:dyDescent="0.25">
      <c r="Q1963" s="53"/>
      <c r="R1963" s="68"/>
      <c r="S1963" s="68"/>
      <c r="T1963" s="68"/>
      <c r="U1963" s="68"/>
      <c r="V1963" s="72"/>
      <c r="W1963" s="72"/>
      <c r="X1963" s="72"/>
      <c r="Y1963" s="80"/>
      <c r="Z1963" s="80"/>
      <c r="AA1963" s="153"/>
    </row>
    <row r="1964" spans="17:27" x14ac:dyDescent="0.25">
      <c r="Q1964" s="53"/>
      <c r="R1964" s="68"/>
      <c r="S1964" s="68"/>
      <c r="T1964" s="68"/>
      <c r="U1964" s="68"/>
      <c r="V1964" s="72"/>
      <c r="W1964" s="72"/>
      <c r="X1964" s="72"/>
      <c r="Y1964" s="80"/>
      <c r="Z1964" s="80"/>
      <c r="AA1964" s="153"/>
    </row>
    <row r="1965" spans="17:27" x14ac:dyDescent="0.25">
      <c r="Q1965" s="53"/>
      <c r="R1965" s="68"/>
      <c r="S1965" s="68"/>
      <c r="T1965" s="68"/>
      <c r="U1965" s="68"/>
      <c r="V1965" s="72"/>
      <c r="W1965" s="72"/>
      <c r="X1965" s="72"/>
      <c r="Y1965" s="80"/>
      <c r="Z1965" s="80"/>
      <c r="AA1965" s="153"/>
    </row>
    <row r="1966" spans="17:27" x14ac:dyDescent="0.25">
      <c r="Q1966" s="53"/>
      <c r="R1966" s="68"/>
      <c r="S1966" s="68"/>
      <c r="T1966" s="68"/>
      <c r="U1966" s="68"/>
      <c r="V1966" s="72"/>
      <c r="W1966" s="72"/>
      <c r="X1966" s="72"/>
      <c r="Y1966" s="80"/>
      <c r="Z1966" s="80"/>
      <c r="AA1966" s="153"/>
    </row>
    <row r="1967" spans="17:27" x14ac:dyDescent="0.25">
      <c r="Q1967" s="53"/>
      <c r="R1967" s="68"/>
      <c r="S1967" s="68"/>
      <c r="T1967" s="68"/>
      <c r="U1967" s="68"/>
      <c r="V1967" s="72"/>
      <c r="W1967" s="72"/>
      <c r="X1967" s="72"/>
      <c r="Y1967" s="80"/>
      <c r="Z1967" s="80"/>
      <c r="AA1967" s="153"/>
    </row>
    <row r="1968" spans="17:27" x14ac:dyDescent="0.25">
      <c r="Q1968" s="53"/>
      <c r="R1968" s="68"/>
      <c r="S1968" s="68"/>
      <c r="T1968" s="68"/>
      <c r="U1968" s="68"/>
      <c r="V1968" s="72"/>
      <c r="W1968" s="72"/>
      <c r="X1968" s="72"/>
      <c r="Y1968" s="80"/>
      <c r="Z1968" s="80"/>
      <c r="AA1968" s="153"/>
    </row>
    <row r="1969" spans="17:27" x14ac:dyDescent="0.25">
      <c r="Q1969" s="53"/>
      <c r="R1969" s="68"/>
      <c r="S1969" s="68"/>
      <c r="T1969" s="68"/>
      <c r="U1969" s="68"/>
      <c r="V1969" s="72"/>
      <c r="W1969" s="72"/>
      <c r="X1969" s="72"/>
      <c r="Y1969" s="80"/>
      <c r="Z1969" s="80"/>
      <c r="AA1969" s="153"/>
    </row>
    <row r="1970" spans="17:27" x14ac:dyDescent="0.25">
      <c r="Q1970" s="53"/>
      <c r="R1970" s="68"/>
      <c r="S1970" s="68"/>
      <c r="T1970" s="68"/>
      <c r="U1970" s="68"/>
      <c r="V1970" s="72"/>
      <c r="W1970" s="72"/>
      <c r="X1970" s="72"/>
      <c r="Y1970" s="80"/>
      <c r="Z1970" s="80"/>
      <c r="AA1970" s="153"/>
    </row>
    <row r="1971" spans="17:27" x14ac:dyDescent="0.25">
      <c r="Q1971" s="53"/>
      <c r="R1971" s="68"/>
      <c r="S1971" s="68"/>
      <c r="T1971" s="68"/>
      <c r="U1971" s="68"/>
      <c r="V1971" s="72"/>
      <c r="W1971" s="72"/>
      <c r="X1971" s="72"/>
      <c r="Y1971" s="80"/>
      <c r="Z1971" s="80"/>
      <c r="AA1971" s="153"/>
    </row>
    <row r="1972" spans="17:27" x14ac:dyDescent="0.25">
      <c r="Q1972" s="53"/>
      <c r="R1972" s="68"/>
      <c r="S1972" s="68"/>
      <c r="T1972" s="68"/>
      <c r="U1972" s="68"/>
      <c r="V1972" s="72"/>
      <c r="W1972" s="72"/>
      <c r="X1972" s="72"/>
      <c r="Y1972" s="80"/>
      <c r="Z1972" s="80"/>
      <c r="AA1972" s="153"/>
    </row>
    <row r="1973" spans="17:27" x14ac:dyDescent="0.25">
      <c r="Q1973" s="53"/>
      <c r="R1973" s="68"/>
      <c r="S1973" s="68"/>
      <c r="T1973" s="68"/>
      <c r="U1973" s="68"/>
      <c r="V1973" s="72"/>
      <c r="W1973" s="72"/>
      <c r="X1973" s="72"/>
      <c r="Y1973" s="80"/>
      <c r="Z1973" s="80"/>
      <c r="AA1973" s="153"/>
    </row>
    <row r="1974" spans="17:27" x14ac:dyDescent="0.25">
      <c r="Q1974" s="53"/>
      <c r="R1974" s="68"/>
      <c r="S1974" s="68"/>
      <c r="T1974" s="68"/>
      <c r="U1974" s="68"/>
      <c r="V1974" s="72"/>
      <c r="W1974" s="72"/>
      <c r="X1974" s="72"/>
      <c r="Y1974" s="80"/>
      <c r="Z1974" s="80"/>
      <c r="AA1974" s="153"/>
    </row>
    <row r="1975" spans="17:27" x14ac:dyDescent="0.25">
      <c r="Q1975" s="53"/>
      <c r="R1975" s="68"/>
      <c r="S1975" s="68"/>
      <c r="T1975" s="68"/>
      <c r="U1975" s="68"/>
      <c r="V1975" s="72"/>
      <c r="W1975" s="72"/>
      <c r="X1975" s="72"/>
      <c r="Y1975" s="80"/>
      <c r="Z1975" s="80"/>
      <c r="AA1975" s="153"/>
    </row>
    <row r="1976" spans="17:27" x14ac:dyDescent="0.25">
      <c r="Q1976" s="53"/>
      <c r="R1976" s="68"/>
      <c r="S1976" s="68"/>
      <c r="T1976" s="68"/>
      <c r="U1976" s="68"/>
      <c r="V1976" s="72"/>
      <c r="W1976" s="72"/>
      <c r="X1976" s="72"/>
      <c r="Y1976" s="80"/>
      <c r="Z1976" s="80"/>
      <c r="AA1976" s="153"/>
    </row>
    <row r="1977" spans="17:27" x14ac:dyDescent="0.25">
      <c r="Q1977" s="53"/>
      <c r="R1977" s="68"/>
      <c r="S1977" s="68"/>
      <c r="T1977" s="68"/>
      <c r="U1977" s="68"/>
      <c r="V1977" s="72"/>
      <c r="W1977" s="72"/>
      <c r="X1977" s="72"/>
      <c r="Y1977" s="80"/>
      <c r="Z1977" s="80"/>
      <c r="AA1977" s="153"/>
    </row>
    <row r="1978" spans="17:27" x14ac:dyDescent="0.25">
      <c r="Q1978" s="53"/>
      <c r="R1978" s="68"/>
      <c r="S1978" s="68"/>
      <c r="T1978" s="68"/>
      <c r="U1978" s="68"/>
      <c r="V1978" s="72"/>
      <c r="W1978" s="72"/>
      <c r="X1978" s="72"/>
      <c r="Y1978" s="80"/>
      <c r="Z1978" s="80"/>
      <c r="AA1978" s="153"/>
    </row>
    <row r="1979" spans="17:27" x14ac:dyDescent="0.25">
      <c r="Q1979" s="53"/>
      <c r="R1979" s="68"/>
      <c r="S1979" s="68"/>
      <c r="T1979" s="68"/>
      <c r="U1979" s="68"/>
      <c r="V1979" s="72"/>
      <c r="W1979" s="72"/>
      <c r="X1979" s="72"/>
      <c r="Y1979" s="80"/>
      <c r="Z1979" s="80"/>
      <c r="AA1979" s="153"/>
    </row>
    <row r="1980" spans="17:27" x14ac:dyDescent="0.25">
      <c r="Q1980" s="53"/>
      <c r="R1980" s="68"/>
      <c r="S1980" s="68"/>
      <c r="T1980" s="68"/>
      <c r="U1980" s="68"/>
      <c r="V1980" s="72"/>
      <c r="W1980" s="72"/>
      <c r="X1980" s="72"/>
      <c r="Y1980" s="80"/>
      <c r="Z1980" s="80"/>
      <c r="AA1980" s="153"/>
    </row>
    <row r="1981" spans="17:27" x14ac:dyDescent="0.25">
      <c r="Q1981" s="53"/>
      <c r="R1981" s="68"/>
      <c r="S1981" s="68"/>
      <c r="T1981" s="68"/>
      <c r="U1981" s="68"/>
      <c r="V1981" s="72"/>
      <c r="W1981" s="72"/>
      <c r="X1981" s="72"/>
      <c r="Y1981" s="80"/>
      <c r="Z1981" s="80"/>
      <c r="AA1981" s="153"/>
    </row>
    <row r="1982" spans="17:27" x14ac:dyDescent="0.25">
      <c r="Q1982" s="53"/>
      <c r="R1982" s="68"/>
      <c r="S1982" s="68"/>
      <c r="T1982" s="68"/>
      <c r="U1982" s="68"/>
      <c r="V1982" s="72"/>
      <c r="W1982" s="72"/>
      <c r="X1982" s="72"/>
      <c r="Y1982" s="80"/>
      <c r="Z1982" s="80"/>
      <c r="AA1982" s="153"/>
    </row>
    <row r="1983" spans="17:27" x14ac:dyDescent="0.25">
      <c r="Q1983" s="53"/>
      <c r="R1983" s="68"/>
      <c r="S1983" s="68"/>
      <c r="T1983" s="68"/>
      <c r="U1983" s="68"/>
      <c r="V1983" s="72"/>
      <c r="W1983" s="72"/>
      <c r="X1983" s="72"/>
      <c r="Y1983" s="80"/>
      <c r="Z1983" s="80"/>
      <c r="AA1983" s="153"/>
    </row>
    <row r="1984" spans="17:27" x14ac:dyDescent="0.25">
      <c r="Q1984" s="53"/>
      <c r="R1984" s="68"/>
      <c r="S1984" s="68"/>
      <c r="T1984" s="68"/>
      <c r="U1984" s="68"/>
      <c r="V1984" s="72"/>
      <c r="W1984" s="72"/>
      <c r="X1984" s="72"/>
      <c r="Y1984" s="80"/>
      <c r="Z1984" s="80"/>
      <c r="AA1984" s="153"/>
    </row>
    <row r="1985" spans="17:27" x14ac:dyDescent="0.25">
      <c r="Q1985" s="53"/>
      <c r="R1985" s="68"/>
      <c r="S1985" s="68"/>
      <c r="T1985" s="68"/>
      <c r="U1985" s="68"/>
      <c r="V1985" s="72"/>
      <c r="W1985" s="72"/>
      <c r="X1985" s="72"/>
      <c r="Y1985" s="80"/>
      <c r="Z1985" s="80"/>
      <c r="AA1985" s="153"/>
    </row>
    <row r="1986" spans="17:27" x14ac:dyDescent="0.25">
      <c r="Q1986" s="53"/>
      <c r="R1986" s="68"/>
      <c r="S1986" s="68"/>
      <c r="T1986" s="68"/>
      <c r="U1986" s="68"/>
      <c r="V1986" s="72"/>
      <c r="W1986" s="72"/>
      <c r="X1986" s="72"/>
      <c r="Y1986" s="80"/>
      <c r="Z1986" s="80"/>
      <c r="AA1986" s="153"/>
    </row>
    <row r="1987" spans="17:27" x14ac:dyDescent="0.25">
      <c r="Q1987" s="53"/>
      <c r="R1987" s="68"/>
      <c r="S1987" s="68"/>
      <c r="T1987" s="68"/>
      <c r="U1987" s="68"/>
      <c r="V1987" s="72"/>
      <c r="W1987" s="72"/>
      <c r="X1987" s="72"/>
      <c r="Y1987" s="80"/>
      <c r="Z1987" s="80"/>
      <c r="AA1987" s="153"/>
    </row>
    <row r="1988" spans="17:27" x14ac:dyDescent="0.25">
      <c r="Q1988" s="53"/>
      <c r="R1988" s="68"/>
      <c r="S1988" s="68"/>
      <c r="T1988" s="68"/>
      <c r="U1988" s="68"/>
      <c r="V1988" s="72"/>
      <c r="W1988" s="72"/>
      <c r="X1988" s="72"/>
      <c r="Y1988" s="80"/>
      <c r="Z1988" s="80"/>
      <c r="AA1988" s="153"/>
    </row>
    <row r="1989" spans="17:27" x14ac:dyDescent="0.25">
      <c r="Q1989" s="53"/>
      <c r="R1989" s="68"/>
      <c r="S1989" s="68"/>
      <c r="T1989" s="68"/>
      <c r="U1989" s="68"/>
      <c r="V1989" s="72"/>
      <c r="W1989" s="72"/>
      <c r="X1989" s="72"/>
      <c r="Y1989" s="80"/>
      <c r="Z1989" s="80"/>
      <c r="AA1989" s="153"/>
    </row>
    <row r="1990" spans="17:27" x14ac:dyDescent="0.25">
      <c r="Q1990" s="53"/>
      <c r="R1990" s="68"/>
      <c r="S1990" s="68"/>
      <c r="T1990" s="68"/>
      <c r="U1990" s="68"/>
      <c r="V1990" s="72"/>
      <c r="W1990" s="72"/>
      <c r="X1990" s="72"/>
      <c r="Y1990" s="80"/>
      <c r="Z1990" s="80"/>
      <c r="AA1990" s="153"/>
    </row>
    <row r="1991" spans="17:27" x14ac:dyDescent="0.25">
      <c r="Q1991" s="53"/>
      <c r="R1991" s="68"/>
      <c r="S1991" s="68"/>
      <c r="T1991" s="68"/>
      <c r="U1991" s="68"/>
      <c r="V1991" s="72"/>
      <c r="W1991" s="72"/>
      <c r="X1991" s="72"/>
      <c r="Y1991" s="80"/>
      <c r="Z1991" s="80"/>
      <c r="AA1991" s="153"/>
    </row>
    <row r="1992" spans="17:27" x14ac:dyDescent="0.25">
      <c r="Q1992" s="53"/>
      <c r="R1992" s="68"/>
      <c r="S1992" s="68"/>
      <c r="T1992" s="68"/>
      <c r="U1992" s="68"/>
      <c r="V1992" s="72"/>
      <c r="W1992" s="72"/>
      <c r="X1992" s="72"/>
      <c r="Y1992" s="80"/>
      <c r="Z1992" s="80"/>
      <c r="AA1992" s="153"/>
    </row>
    <row r="1993" spans="17:27" x14ac:dyDescent="0.25">
      <c r="Q1993" s="53"/>
      <c r="R1993" s="68"/>
      <c r="S1993" s="68"/>
      <c r="T1993" s="68"/>
      <c r="U1993" s="68"/>
      <c r="V1993" s="72"/>
      <c r="W1993" s="72"/>
      <c r="X1993" s="72"/>
      <c r="Y1993" s="80"/>
      <c r="Z1993" s="80"/>
      <c r="AA1993" s="153"/>
    </row>
    <row r="1994" spans="17:27" x14ac:dyDescent="0.25">
      <c r="Q1994" s="53"/>
      <c r="R1994" s="68"/>
      <c r="S1994" s="68"/>
      <c r="T1994" s="68"/>
      <c r="U1994" s="68"/>
      <c r="V1994" s="72"/>
      <c r="W1994" s="72"/>
      <c r="X1994" s="72"/>
      <c r="Y1994" s="80"/>
      <c r="Z1994" s="80"/>
      <c r="AA1994" s="153"/>
    </row>
    <row r="1995" spans="17:27" x14ac:dyDescent="0.25">
      <c r="Q1995" s="53"/>
      <c r="R1995" s="68"/>
      <c r="S1995" s="68"/>
      <c r="T1995" s="68"/>
      <c r="U1995" s="68"/>
      <c r="V1995" s="72"/>
      <c r="W1995" s="72"/>
      <c r="X1995" s="72"/>
      <c r="Y1995" s="80"/>
      <c r="Z1995" s="80"/>
      <c r="AA1995" s="153"/>
    </row>
    <row r="1996" spans="17:27" x14ac:dyDescent="0.25">
      <c r="Q1996" s="53"/>
      <c r="R1996" s="68"/>
      <c r="S1996" s="68"/>
      <c r="T1996" s="68"/>
      <c r="U1996" s="68"/>
      <c r="V1996" s="72"/>
      <c r="W1996" s="72"/>
      <c r="X1996" s="72"/>
      <c r="Y1996" s="80"/>
      <c r="Z1996" s="80"/>
      <c r="AA1996" s="153"/>
    </row>
    <row r="1997" spans="17:27" x14ac:dyDescent="0.25">
      <c r="Q1997" s="53"/>
      <c r="R1997" s="68"/>
      <c r="S1997" s="68"/>
      <c r="T1997" s="68"/>
      <c r="U1997" s="68"/>
      <c r="V1997" s="72"/>
      <c r="W1997" s="72"/>
      <c r="X1997" s="72"/>
      <c r="Y1997" s="80"/>
      <c r="Z1997" s="80"/>
      <c r="AA1997" s="153"/>
    </row>
    <row r="1998" spans="17:27" x14ac:dyDescent="0.25">
      <c r="Q1998" s="53"/>
      <c r="R1998" s="68"/>
      <c r="S1998" s="68"/>
      <c r="T1998" s="68"/>
      <c r="U1998" s="68"/>
      <c r="V1998" s="72"/>
      <c r="W1998" s="72"/>
      <c r="X1998" s="72"/>
      <c r="Y1998" s="80"/>
      <c r="Z1998" s="80"/>
      <c r="AA1998" s="153"/>
    </row>
    <row r="1999" spans="17:27" x14ac:dyDescent="0.25">
      <c r="Q1999" s="53"/>
      <c r="R1999" s="68"/>
      <c r="S1999" s="68"/>
      <c r="T1999" s="68"/>
      <c r="U1999" s="68"/>
      <c r="V1999" s="72"/>
      <c r="W1999" s="72"/>
      <c r="X1999" s="72"/>
      <c r="Y1999" s="80"/>
      <c r="Z1999" s="80"/>
      <c r="AA1999" s="153"/>
    </row>
    <row r="2000" spans="17:27" x14ac:dyDescent="0.25">
      <c r="Q2000" s="53"/>
      <c r="R2000" s="68"/>
      <c r="S2000" s="68"/>
      <c r="T2000" s="68"/>
      <c r="U2000" s="68"/>
      <c r="V2000" s="72"/>
      <c r="W2000" s="72"/>
      <c r="X2000" s="72"/>
      <c r="Y2000" s="80"/>
      <c r="Z2000" s="80"/>
      <c r="AA2000" s="153"/>
    </row>
    <row r="2001" spans="17:27" x14ac:dyDescent="0.25">
      <c r="Q2001" s="53"/>
      <c r="R2001" s="68"/>
      <c r="S2001" s="68"/>
      <c r="T2001" s="68"/>
      <c r="U2001" s="68"/>
      <c r="V2001" s="72"/>
      <c r="W2001" s="72"/>
      <c r="X2001" s="72"/>
      <c r="Y2001" s="80"/>
      <c r="Z2001" s="80"/>
      <c r="AA2001" s="153"/>
    </row>
    <row r="2002" spans="17:27" x14ac:dyDescent="0.25">
      <c r="Q2002" s="53"/>
      <c r="R2002" s="68"/>
      <c r="S2002" s="68"/>
      <c r="T2002" s="68"/>
      <c r="U2002" s="68"/>
      <c r="V2002" s="72"/>
      <c r="W2002" s="72"/>
      <c r="X2002" s="72"/>
      <c r="Y2002" s="80"/>
      <c r="Z2002" s="80"/>
      <c r="AA2002" s="153"/>
    </row>
    <row r="2003" spans="17:27" x14ac:dyDescent="0.25">
      <c r="Q2003" s="53"/>
      <c r="R2003" s="68"/>
      <c r="S2003" s="68"/>
      <c r="T2003" s="68"/>
      <c r="U2003" s="68"/>
      <c r="V2003" s="72"/>
      <c r="W2003" s="72"/>
      <c r="X2003" s="72"/>
      <c r="Y2003" s="80"/>
      <c r="Z2003" s="80"/>
      <c r="AA2003" s="153"/>
    </row>
    <row r="2004" spans="17:27" x14ac:dyDescent="0.25">
      <c r="Q2004" s="53"/>
      <c r="R2004" s="68"/>
      <c r="S2004" s="68"/>
      <c r="T2004" s="68"/>
      <c r="U2004" s="68"/>
      <c r="V2004" s="72"/>
      <c r="W2004" s="72"/>
      <c r="X2004" s="72"/>
      <c r="Y2004" s="80"/>
      <c r="Z2004" s="80"/>
      <c r="AA2004" s="153"/>
    </row>
    <row r="2005" spans="17:27" x14ac:dyDescent="0.25">
      <c r="Q2005" s="53"/>
      <c r="R2005" s="68"/>
      <c r="S2005" s="68"/>
      <c r="T2005" s="68"/>
      <c r="U2005" s="68"/>
      <c r="V2005" s="72"/>
      <c r="W2005" s="72"/>
      <c r="X2005" s="72"/>
      <c r="Y2005" s="80"/>
      <c r="Z2005" s="80"/>
      <c r="AA2005" s="153"/>
    </row>
    <row r="2006" spans="17:27" x14ac:dyDescent="0.25">
      <c r="Q2006" s="53"/>
      <c r="R2006" s="68"/>
      <c r="S2006" s="68"/>
      <c r="T2006" s="68"/>
      <c r="U2006" s="68"/>
      <c r="V2006" s="72"/>
      <c r="W2006" s="72"/>
      <c r="X2006" s="72"/>
      <c r="Y2006" s="80"/>
      <c r="Z2006" s="80"/>
      <c r="AA2006" s="153"/>
    </row>
    <row r="2007" spans="17:27" x14ac:dyDescent="0.25">
      <c r="Q2007" s="53"/>
      <c r="R2007" s="68"/>
      <c r="S2007" s="68"/>
      <c r="T2007" s="68"/>
      <c r="U2007" s="68"/>
      <c r="V2007" s="72"/>
      <c r="W2007" s="72"/>
      <c r="X2007" s="72"/>
      <c r="Y2007" s="80"/>
      <c r="Z2007" s="80"/>
      <c r="AA2007" s="153"/>
    </row>
    <row r="2008" spans="17:27" x14ac:dyDescent="0.25">
      <c r="Q2008" s="53"/>
      <c r="R2008" s="68"/>
      <c r="S2008" s="68"/>
      <c r="T2008" s="68"/>
      <c r="U2008" s="68"/>
      <c r="V2008" s="72"/>
      <c r="W2008" s="72"/>
      <c r="X2008" s="72"/>
      <c r="Y2008" s="80"/>
      <c r="Z2008" s="80"/>
      <c r="AA2008" s="153"/>
    </row>
    <row r="2009" spans="17:27" x14ac:dyDescent="0.25">
      <c r="Q2009" s="53"/>
      <c r="R2009" s="68"/>
      <c r="S2009" s="68"/>
      <c r="T2009" s="68"/>
      <c r="U2009" s="68"/>
      <c r="V2009" s="72"/>
      <c r="W2009" s="72"/>
      <c r="X2009" s="72"/>
      <c r="Y2009" s="80"/>
      <c r="Z2009" s="80"/>
      <c r="AA2009" s="153"/>
    </row>
    <row r="2010" spans="17:27" x14ac:dyDescent="0.25">
      <c r="Q2010" s="53"/>
      <c r="R2010" s="68"/>
      <c r="S2010" s="68"/>
      <c r="T2010" s="68"/>
      <c r="U2010" s="68"/>
      <c r="V2010" s="72"/>
      <c r="W2010" s="72"/>
      <c r="X2010" s="72"/>
      <c r="Y2010" s="80"/>
      <c r="Z2010" s="80"/>
      <c r="AA2010" s="153"/>
    </row>
    <row r="2011" spans="17:27" x14ac:dyDescent="0.25">
      <c r="Q2011" s="53"/>
      <c r="R2011" s="68"/>
      <c r="S2011" s="68"/>
      <c r="T2011" s="68"/>
      <c r="U2011" s="68"/>
      <c r="V2011" s="72"/>
      <c r="W2011" s="72"/>
      <c r="X2011" s="72"/>
      <c r="Y2011" s="80"/>
      <c r="Z2011" s="80"/>
      <c r="AA2011" s="153"/>
    </row>
    <row r="2012" spans="17:27" x14ac:dyDescent="0.25">
      <c r="Q2012" s="53"/>
      <c r="R2012" s="68"/>
      <c r="S2012" s="68"/>
      <c r="T2012" s="68"/>
      <c r="U2012" s="68"/>
      <c r="V2012" s="72"/>
      <c r="W2012" s="72"/>
      <c r="X2012" s="72"/>
      <c r="Y2012" s="80"/>
      <c r="Z2012" s="80"/>
      <c r="AA2012" s="153"/>
    </row>
    <row r="2013" spans="17:27" x14ac:dyDescent="0.25">
      <c r="Q2013" s="53"/>
      <c r="R2013" s="68"/>
      <c r="S2013" s="68"/>
      <c r="T2013" s="68"/>
      <c r="U2013" s="68"/>
      <c r="V2013" s="72"/>
      <c r="W2013" s="72"/>
      <c r="X2013" s="72"/>
      <c r="Y2013" s="80"/>
      <c r="Z2013" s="80"/>
      <c r="AA2013" s="153"/>
    </row>
    <row r="2014" spans="17:27" x14ac:dyDescent="0.25">
      <c r="Q2014" s="53"/>
      <c r="R2014" s="68"/>
      <c r="S2014" s="68"/>
      <c r="T2014" s="68"/>
      <c r="U2014" s="68"/>
      <c r="V2014" s="72"/>
      <c r="W2014" s="72"/>
      <c r="X2014" s="72"/>
      <c r="Y2014" s="80"/>
      <c r="Z2014" s="80"/>
      <c r="AA2014" s="153"/>
    </row>
    <row r="2015" spans="17:27" x14ac:dyDescent="0.25">
      <c r="Q2015" s="53"/>
      <c r="R2015" s="68"/>
      <c r="S2015" s="68"/>
      <c r="T2015" s="68"/>
      <c r="U2015" s="68"/>
      <c r="V2015" s="72"/>
      <c r="W2015" s="72"/>
      <c r="X2015" s="72"/>
      <c r="Y2015" s="80"/>
      <c r="Z2015" s="80"/>
      <c r="AA2015" s="153"/>
    </row>
    <row r="2016" spans="17:27" x14ac:dyDescent="0.25">
      <c r="Q2016" s="53"/>
      <c r="R2016" s="68"/>
      <c r="S2016" s="68"/>
      <c r="T2016" s="68"/>
      <c r="U2016" s="68"/>
      <c r="V2016" s="72"/>
      <c r="W2016" s="72"/>
      <c r="X2016" s="72"/>
      <c r="Y2016" s="80"/>
      <c r="Z2016" s="80"/>
      <c r="AA2016" s="153"/>
    </row>
    <row r="2017" spans="17:27" x14ac:dyDescent="0.25">
      <c r="Q2017" s="53"/>
      <c r="R2017" s="68"/>
      <c r="S2017" s="68"/>
      <c r="T2017" s="68"/>
      <c r="U2017" s="68"/>
      <c r="V2017" s="72"/>
      <c r="W2017" s="72"/>
      <c r="X2017" s="72"/>
      <c r="Y2017" s="80"/>
      <c r="Z2017" s="80"/>
      <c r="AA2017" s="153"/>
    </row>
    <row r="2018" spans="17:27" x14ac:dyDescent="0.25">
      <c r="Q2018" s="53"/>
      <c r="R2018" s="68"/>
      <c r="S2018" s="68"/>
      <c r="T2018" s="68"/>
      <c r="U2018" s="68"/>
      <c r="V2018" s="72"/>
      <c r="W2018" s="72"/>
      <c r="X2018" s="72"/>
      <c r="Y2018" s="80"/>
      <c r="Z2018" s="80"/>
      <c r="AA2018" s="153"/>
    </row>
    <row r="2019" spans="17:27" x14ac:dyDescent="0.25">
      <c r="Q2019" s="53"/>
      <c r="R2019" s="68"/>
      <c r="S2019" s="68"/>
      <c r="T2019" s="68"/>
      <c r="U2019" s="68"/>
      <c r="V2019" s="72"/>
      <c r="W2019" s="72"/>
      <c r="X2019" s="72"/>
      <c r="Y2019" s="80"/>
      <c r="Z2019" s="80"/>
      <c r="AA2019" s="153"/>
    </row>
    <row r="2020" spans="17:27" x14ac:dyDescent="0.25">
      <c r="Q2020" s="53"/>
      <c r="R2020" s="68"/>
      <c r="S2020" s="68"/>
      <c r="T2020" s="68"/>
      <c r="U2020" s="68"/>
      <c r="V2020" s="72"/>
      <c r="W2020" s="72"/>
      <c r="X2020" s="72"/>
      <c r="Y2020" s="80"/>
      <c r="Z2020" s="80"/>
      <c r="AA2020" s="153"/>
    </row>
    <row r="2021" spans="17:27" x14ac:dyDescent="0.25">
      <c r="Q2021" s="53"/>
      <c r="R2021" s="68"/>
      <c r="S2021" s="68"/>
      <c r="T2021" s="68"/>
      <c r="U2021" s="68"/>
      <c r="V2021" s="72"/>
      <c r="W2021" s="72"/>
      <c r="X2021" s="72"/>
      <c r="Y2021" s="80"/>
      <c r="Z2021" s="80"/>
      <c r="AA2021" s="153"/>
    </row>
    <row r="2022" spans="17:27" x14ac:dyDescent="0.25">
      <c r="Q2022" s="53"/>
      <c r="R2022" s="68"/>
      <c r="S2022" s="68"/>
      <c r="T2022" s="68"/>
      <c r="U2022" s="68"/>
      <c r="V2022" s="72"/>
      <c r="W2022" s="72"/>
      <c r="X2022" s="72"/>
      <c r="Y2022" s="80"/>
      <c r="Z2022" s="80"/>
      <c r="AA2022" s="153"/>
    </row>
    <row r="2023" spans="17:27" x14ac:dyDescent="0.25">
      <c r="Q2023" s="53"/>
      <c r="R2023" s="68"/>
      <c r="S2023" s="68"/>
      <c r="T2023" s="68"/>
      <c r="U2023" s="68"/>
      <c r="V2023" s="72"/>
      <c r="W2023" s="72"/>
      <c r="X2023" s="72"/>
      <c r="Y2023" s="80"/>
      <c r="Z2023" s="80"/>
      <c r="AA2023" s="153"/>
    </row>
    <row r="2024" spans="17:27" x14ac:dyDescent="0.25">
      <c r="Q2024" s="53"/>
      <c r="R2024" s="68"/>
      <c r="S2024" s="68"/>
      <c r="T2024" s="68"/>
      <c r="U2024" s="68"/>
      <c r="V2024" s="72"/>
      <c r="W2024" s="72"/>
      <c r="X2024" s="72"/>
      <c r="Y2024" s="80"/>
      <c r="Z2024" s="80"/>
      <c r="AA2024" s="153"/>
    </row>
    <row r="2025" spans="17:27" x14ac:dyDescent="0.25">
      <c r="Q2025" s="53"/>
      <c r="R2025" s="68"/>
      <c r="S2025" s="68"/>
      <c r="T2025" s="68"/>
      <c r="U2025" s="68"/>
      <c r="V2025" s="72"/>
      <c r="W2025" s="72"/>
      <c r="X2025" s="72"/>
      <c r="Y2025" s="80"/>
      <c r="Z2025" s="80"/>
      <c r="AA2025" s="153"/>
    </row>
    <row r="2026" spans="17:27" x14ac:dyDescent="0.25">
      <c r="Q2026" s="53"/>
      <c r="R2026" s="68"/>
      <c r="S2026" s="68"/>
      <c r="T2026" s="68"/>
      <c r="U2026" s="68"/>
      <c r="V2026" s="72"/>
      <c r="W2026" s="72"/>
      <c r="X2026" s="72"/>
      <c r="Y2026" s="80"/>
      <c r="Z2026" s="80"/>
      <c r="AA2026" s="153"/>
    </row>
    <row r="2027" spans="17:27" x14ac:dyDescent="0.25">
      <c r="Q2027" s="53"/>
      <c r="R2027" s="68"/>
      <c r="S2027" s="68"/>
      <c r="T2027" s="68"/>
      <c r="U2027" s="68"/>
      <c r="V2027" s="72"/>
      <c r="W2027" s="72"/>
      <c r="X2027" s="72"/>
      <c r="Y2027" s="80"/>
      <c r="Z2027" s="80"/>
      <c r="AA2027" s="153"/>
    </row>
    <row r="2028" spans="17:27" x14ac:dyDescent="0.25">
      <c r="Q2028" s="53"/>
      <c r="R2028" s="68"/>
      <c r="S2028" s="68"/>
      <c r="T2028" s="68"/>
      <c r="U2028" s="68"/>
      <c r="V2028" s="72"/>
      <c r="W2028" s="72"/>
      <c r="X2028" s="72"/>
      <c r="Y2028" s="80"/>
      <c r="Z2028" s="80"/>
      <c r="AA2028" s="153"/>
    </row>
    <row r="2029" spans="17:27" x14ac:dyDescent="0.25">
      <c r="Q2029" s="53"/>
      <c r="R2029" s="68"/>
      <c r="S2029" s="68"/>
      <c r="T2029" s="68"/>
      <c r="U2029" s="68"/>
      <c r="V2029" s="72"/>
      <c r="W2029" s="72"/>
      <c r="X2029" s="72"/>
      <c r="Y2029" s="80"/>
      <c r="Z2029" s="80"/>
      <c r="AA2029" s="153"/>
    </row>
    <row r="2030" spans="17:27" x14ac:dyDescent="0.25">
      <c r="Q2030" s="53"/>
      <c r="R2030" s="68"/>
      <c r="S2030" s="68"/>
      <c r="T2030" s="68"/>
      <c r="U2030" s="68"/>
      <c r="V2030" s="72"/>
      <c r="W2030" s="72"/>
      <c r="X2030" s="72"/>
      <c r="Y2030" s="80"/>
      <c r="Z2030" s="80"/>
      <c r="AA2030" s="153"/>
    </row>
    <row r="2031" spans="17:27" x14ac:dyDescent="0.25">
      <c r="Q2031" s="53"/>
      <c r="R2031" s="68"/>
      <c r="S2031" s="68"/>
      <c r="T2031" s="68"/>
      <c r="U2031" s="68"/>
      <c r="V2031" s="72"/>
      <c r="W2031" s="72"/>
      <c r="X2031" s="72"/>
      <c r="Y2031" s="80"/>
      <c r="Z2031" s="80"/>
      <c r="AA2031" s="153"/>
    </row>
    <row r="2032" spans="17:27" x14ac:dyDescent="0.25">
      <c r="Q2032" s="53"/>
      <c r="R2032" s="68"/>
      <c r="S2032" s="68"/>
      <c r="T2032" s="68"/>
      <c r="U2032" s="68"/>
      <c r="V2032" s="72"/>
      <c r="W2032" s="72"/>
      <c r="X2032" s="72"/>
      <c r="Y2032" s="80"/>
      <c r="Z2032" s="80"/>
      <c r="AA2032" s="153"/>
    </row>
    <row r="2033" spans="17:27" x14ac:dyDescent="0.25">
      <c r="Q2033" s="53"/>
      <c r="R2033" s="68"/>
      <c r="S2033" s="68"/>
      <c r="T2033" s="68"/>
      <c r="U2033" s="68"/>
      <c r="V2033" s="72"/>
      <c r="W2033" s="72"/>
      <c r="X2033" s="72"/>
      <c r="Y2033" s="80"/>
      <c r="Z2033" s="80"/>
      <c r="AA2033" s="153"/>
    </row>
    <row r="2034" spans="17:27" x14ac:dyDescent="0.25">
      <c r="Q2034" s="53"/>
      <c r="R2034" s="68"/>
      <c r="S2034" s="68"/>
      <c r="T2034" s="68"/>
      <c r="U2034" s="68"/>
      <c r="V2034" s="72"/>
      <c r="W2034" s="72"/>
      <c r="X2034" s="72"/>
      <c r="Y2034" s="80"/>
      <c r="Z2034" s="80"/>
      <c r="AA2034" s="153"/>
    </row>
    <row r="2035" spans="17:27" x14ac:dyDescent="0.25">
      <c r="Q2035" s="53"/>
      <c r="R2035" s="68"/>
      <c r="S2035" s="68"/>
      <c r="T2035" s="68"/>
      <c r="U2035" s="68"/>
      <c r="V2035" s="72"/>
      <c r="W2035" s="72"/>
      <c r="X2035" s="72"/>
      <c r="Y2035" s="80"/>
      <c r="Z2035" s="80"/>
      <c r="AA2035" s="153"/>
    </row>
    <row r="2036" spans="17:27" x14ac:dyDescent="0.25">
      <c r="Q2036" s="53"/>
      <c r="R2036" s="68"/>
      <c r="S2036" s="68"/>
      <c r="T2036" s="68"/>
      <c r="U2036" s="68"/>
      <c r="V2036" s="72"/>
      <c r="W2036" s="72"/>
      <c r="X2036" s="72"/>
      <c r="Y2036" s="80"/>
      <c r="Z2036" s="80"/>
      <c r="AA2036" s="153"/>
    </row>
    <row r="2037" spans="17:27" x14ac:dyDescent="0.25">
      <c r="Q2037" s="53"/>
      <c r="R2037" s="68"/>
      <c r="S2037" s="68"/>
      <c r="T2037" s="68"/>
      <c r="U2037" s="68"/>
      <c r="V2037" s="72"/>
      <c r="W2037" s="72"/>
      <c r="X2037" s="72"/>
      <c r="Y2037" s="80"/>
      <c r="Z2037" s="80"/>
      <c r="AA2037" s="153"/>
    </row>
    <row r="2038" spans="17:27" x14ac:dyDescent="0.25">
      <c r="Q2038" s="53"/>
      <c r="R2038" s="68"/>
      <c r="S2038" s="68"/>
      <c r="T2038" s="68"/>
      <c r="U2038" s="68"/>
      <c r="V2038" s="72"/>
      <c r="W2038" s="72"/>
      <c r="X2038" s="72"/>
      <c r="Y2038" s="80"/>
      <c r="Z2038" s="80"/>
      <c r="AA2038" s="153"/>
    </row>
    <row r="2039" spans="17:27" x14ac:dyDescent="0.25">
      <c r="Q2039" s="53"/>
      <c r="R2039" s="68"/>
      <c r="S2039" s="68"/>
      <c r="T2039" s="68"/>
      <c r="U2039" s="68"/>
      <c r="V2039" s="72"/>
      <c r="W2039" s="72"/>
      <c r="X2039" s="72"/>
      <c r="Y2039" s="80"/>
      <c r="Z2039" s="80"/>
      <c r="AA2039" s="153"/>
    </row>
    <row r="2040" spans="17:27" x14ac:dyDescent="0.25">
      <c r="Q2040" s="53"/>
      <c r="R2040" s="68"/>
      <c r="S2040" s="68"/>
      <c r="T2040" s="68"/>
      <c r="U2040" s="68"/>
      <c r="V2040" s="72"/>
      <c r="W2040" s="72"/>
      <c r="X2040" s="72"/>
      <c r="Y2040" s="80"/>
      <c r="Z2040" s="80"/>
      <c r="AA2040" s="153"/>
    </row>
    <row r="2041" spans="17:27" x14ac:dyDescent="0.25">
      <c r="Q2041" s="53"/>
      <c r="R2041" s="68"/>
      <c r="S2041" s="68"/>
      <c r="T2041" s="68"/>
      <c r="U2041" s="68"/>
      <c r="V2041" s="72"/>
      <c r="W2041" s="72"/>
      <c r="X2041" s="72"/>
      <c r="Y2041" s="80"/>
      <c r="Z2041" s="80"/>
      <c r="AA2041" s="153"/>
    </row>
    <row r="2042" spans="17:27" x14ac:dyDescent="0.25">
      <c r="Q2042" s="53"/>
      <c r="R2042" s="68"/>
      <c r="S2042" s="68"/>
      <c r="T2042" s="68"/>
      <c r="U2042" s="68"/>
      <c r="V2042" s="72"/>
      <c r="W2042" s="72"/>
      <c r="X2042" s="72"/>
      <c r="Y2042" s="80"/>
      <c r="Z2042" s="80"/>
      <c r="AA2042" s="153"/>
    </row>
    <row r="2043" spans="17:27" x14ac:dyDescent="0.25">
      <c r="Q2043" s="53"/>
      <c r="R2043" s="68"/>
      <c r="S2043" s="68"/>
      <c r="T2043" s="68"/>
      <c r="U2043" s="68"/>
      <c r="V2043" s="72"/>
      <c r="W2043" s="72"/>
      <c r="X2043" s="72"/>
      <c r="Y2043" s="80"/>
      <c r="Z2043" s="80"/>
      <c r="AA2043" s="153"/>
    </row>
    <row r="2044" spans="17:27" x14ac:dyDescent="0.25">
      <c r="Q2044" s="53"/>
      <c r="R2044" s="68"/>
      <c r="S2044" s="68"/>
      <c r="T2044" s="68"/>
      <c r="U2044" s="68"/>
      <c r="V2044" s="72"/>
      <c r="W2044" s="72"/>
      <c r="X2044" s="72"/>
      <c r="Y2044" s="80"/>
      <c r="Z2044" s="80"/>
      <c r="AA2044" s="153"/>
    </row>
    <row r="2045" spans="17:27" x14ac:dyDescent="0.25">
      <c r="Q2045" s="53"/>
      <c r="R2045" s="68"/>
      <c r="S2045" s="68"/>
      <c r="T2045" s="68"/>
      <c r="U2045" s="68"/>
      <c r="V2045" s="72"/>
      <c r="W2045" s="72"/>
      <c r="X2045" s="72"/>
      <c r="Y2045" s="80"/>
      <c r="Z2045" s="80"/>
      <c r="AA2045" s="153"/>
    </row>
    <row r="2046" spans="17:27" x14ac:dyDescent="0.25">
      <c r="Q2046" s="53"/>
      <c r="R2046" s="68"/>
      <c r="S2046" s="68"/>
      <c r="T2046" s="68"/>
      <c r="U2046" s="68"/>
      <c r="V2046" s="72"/>
      <c r="W2046" s="72"/>
      <c r="X2046" s="72"/>
      <c r="Y2046" s="80"/>
      <c r="Z2046" s="80"/>
      <c r="AA2046" s="153"/>
    </row>
    <row r="2047" spans="17:27" x14ac:dyDescent="0.25">
      <c r="Q2047" s="53"/>
      <c r="R2047" s="68"/>
      <c r="S2047" s="68"/>
      <c r="T2047" s="68"/>
      <c r="U2047" s="68"/>
      <c r="V2047" s="72"/>
      <c r="W2047" s="72"/>
      <c r="X2047" s="72"/>
      <c r="Y2047" s="80"/>
      <c r="Z2047" s="80"/>
      <c r="AA2047" s="153"/>
    </row>
    <row r="2048" spans="17:27" x14ac:dyDescent="0.25">
      <c r="Q2048" s="53"/>
      <c r="R2048" s="68"/>
      <c r="S2048" s="68"/>
      <c r="T2048" s="68"/>
      <c r="U2048" s="68"/>
      <c r="V2048" s="72"/>
      <c r="W2048" s="72"/>
      <c r="X2048" s="72"/>
      <c r="Y2048" s="80"/>
      <c r="Z2048" s="80"/>
      <c r="AA2048" s="153"/>
    </row>
    <row r="2049" spans="17:27" x14ac:dyDescent="0.25">
      <c r="Q2049" s="53"/>
      <c r="R2049" s="68"/>
      <c r="S2049" s="68"/>
      <c r="T2049" s="68"/>
      <c r="U2049" s="68"/>
      <c r="V2049" s="72"/>
      <c r="W2049" s="72"/>
      <c r="X2049" s="72"/>
      <c r="Y2049" s="80"/>
      <c r="Z2049" s="80"/>
      <c r="AA2049" s="153"/>
    </row>
    <row r="2050" spans="17:27" x14ac:dyDescent="0.25">
      <c r="Q2050" s="53"/>
      <c r="R2050" s="68"/>
      <c r="S2050" s="68"/>
      <c r="T2050" s="68"/>
      <c r="U2050" s="68"/>
      <c r="V2050" s="72"/>
      <c r="W2050" s="72"/>
      <c r="X2050" s="72"/>
      <c r="Y2050" s="80"/>
      <c r="Z2050" s="80"/>
      <c r="AA2050" s="153"/>
    </row>
    <row r="2051" spans="17:27" x14ac:dyDescent="0.25">
      <c r="Q2051" s="53"/>
      <c r="R2051" s="68"/>
      <c r="S2051" s="68"/>
      <c r="T2051" s="68"/>
      <c r="U2051" s="68"/>
      <c r="V2051" s="72"/>
      <c r="W2051" s="72"/>
      <c r="X2051" s="72"/>
      <c r="Y2051" s="80"/>
      <c r="Z2051" s="80"/>
      <c r="AA2051" s="153"/>
    </row>
    <row r="2052" spans="17:27" x14ac:dyDescent="0.25">
      <c r="Q2052" s="53"/>
      <c r="R2052" s="68"/>
      <c r="S2052" s="68"/>
      <c r="T2052" s="68"/>
      <c r="U2052" s="68"/>
      <c r="V2052" s="72"/>
      <c r="W2052" s="72"/>
      <c r="X2052" s="72"/>
      <c r="Y2052" s="80"/>
      <c r="Z2052" s="80"/>
      <c r="AA2052" s="153"/>
    </row>
    <row r="2053" spans="17:27" x14ac:dyDescent="0.25">
      <c r="Q2053" s="53"/>
      <c r="R2053" s="68"/>
      <c r="S2053" s="68"/>
      <c r="T2053" s="68"/>
      <c r="U2053" s="68"/>
      <c r="V2053" s="72"/>
      <c r="W2053" s="72"/>
      <c r="X2053" s="72"/>
      <c r="Y2053" s="80"/>
      <c r="Z2053" s="80"/>
      <c r="AA2053" s="153"/>
    </row>
    <row r="2054" spans="17:27" x14ac:dyDescent="0.25">
      <c r="Q2054" s="53"/>
      <c r="R2054" s="68"/>
      <c r="S2054" s="68"/>
      <c r="T2054" s="68"/>
      <c r="U2054" s="68"/>
      <c r="V2054" s="72"/>
      <c r="W2054" s="72"/>
      <c r="X2054" s="72"/>
      <c r="Y2054" s="80"/>
      <c r="Z2054" s="80"/>
      <c r="AA2054" s="153"/>
    </row>
    <row r="2055" spans="17:27" x14ac:dyDescent="0.25">
      <c r="Q2055" s="53"/>
      <c r="R2055" s="68"/>
      <c r="S2055" s="68"/>
      <c r="T2055" s="68"/>
      <c r="U2055" s="68"/>
      <c r="V2055" s="72"/>
      <c r="W2055" s="72"/>
      <c r="X2055" s="72"/>
      <c r="Y2055" s="80"/>
      <c r="Z2055" s="80"/>
      <c r="AA2055" s="153"/>
    </row>
    <row r="2056" spans="17:27" x14ac:dyDescent="0.25">
      <c r="Q2056" s="53"/>
      <c r="R2056" s="68"/>
      <c r="S2056" s="68"/>
      <c r="T2056" s="68"/>
      <c r="U2056" s="68"/>
      <c r="V2056" s="72"/>
      <c r="W2056" s="72"/>
      <c r="X2056" s="72"/>
      <c r="Y2056" s="80"/>
      <c r="Z2056" s="80"/>
      <c r="AA2056" s="153"/>
    </row>
    <row r="2057" spans="17:27" x14ac:dyDescent="0.25">
      <c r="Q2057" s="53"/>
      <c r="R2057" s="68"/>
      <c r="S2057" s="68"/>
      <c r="T2057" s="68"/>
      <c r="U2057" s="68"/>
      <c r="V2057" s="72"/>
      <c r="W2057" s="72"/>
      <c r="X2057" s="72"/>
      <c r="Y2057" s="80"/>
      <c r="Z2057" s="80"/>
      <c r="AA2057" s="153"/>
    </row>
    <row r="2058" spans="17:27" x14ac:dyDescent="0.25">
      <c r="Q2058" s="53"/>
      <c r="R2058" s="68"/>
      <c r="S2058" s="68"/>
      <c r="T2058" s="68"/>
      <c r="U2058" s="68"/>
      <c r="V2058" s="72"/>
      <c r="W2058" s="72"/>
      <c r="X2058" s="72"/>
      <c r="Y2058" s="80"/>
      <c r="Z2058" s="80"/>
      <c r="AA2058" s="153"/>
    </row>
    <row r="2059" spans="17:27" x14ac:dyDescent="0.25">
      <c r="Q2059" s="53"/>
      <c r="R2059" s="68"/>
      <c r="S2059" s="68"/>
      <c r="T2059" s="68"/>
      <c r="U2059" s="68"/>
      <c r="V2059" s="72"/>
      <c r="W2059" s="72"/>
      <c r="X2059" s="72"/>
      <c r="Y2059" s="80"/>
      <c r="Z2059" s="80"/>
      <c r="AA2059" s="153"/>
    </row>
    <row r="2060" spans="17:27" x14ac:dyDescent="0.25">
      <c r="Q2060" s="53"/>
      <c r="R2060" s="68"/>
      <c r="S2060" s="68"/>
      <c r="T2060" s="68"/>
      <c r="U2060" s="68"/>
      <c r="V2060" s="72"/>
      <c r="W2060" s="72"/>
      <c r="X2060" s="72"/>
      <c r="Y2060" s="80"/>
      <c r="Z2060" s="80"/>
      <c r="AA2060" s="153"/>
    </row>
    <row r="2061" spans="17:27" x14ac:dyDescent="0.25">
      <c r="Q2061" s="53"/>
      <c r="R2061" s="68"/>
      <c r="S2061" s="68"/>
      <c r="T2061" s="68"/>
      <c r="U2061" s="68"/>
      <c r="V2061" s="72"/>
      <c r="W2061" s="72"/>
      <c r="X2061" s="72"/>
      <c r="Y2061" s="80"/>
      <c r="Z2061" s="80"/>
      <c r="AA2061" s="153"/>
    </row>
    <row r="2062" spans="17:27" x14ac:dyDescent="0.25">
      <c r="Q2062" s="53"/>
      <c r="R2062" s="68"/>
      <c r="S2062" s="68"/>
      <c r="T2062" s="68"/>
      <c r="U2062" s="68"/>
      <c r="V2062" s="72"/>
      <c r="W2062" s="72"/>
      <c r="X2062" s="72"/>
      <c r="Y2062" s="80"/>
      <c r="Z2062" s="80"/>
      <c r="AA2062" s="153"/>
    </row>
    <row r="2063" spans="17:27" x14ac:dyDescent="0.25">
      <c r="Q2063" s="53"/>
      <c r="R2063" s="68"/>
      <c r="S2063" s="68"/>
      <c r="T2063" s="68"/>
      <c r="U2063" s="68"/>
      <c r="V2063" s="72"/>
      <c r="W2063" s="72"/>
      <c r="X2063" s="72"/>
      <c r="Y2063" s="80"/>
      <c r="Z2063" s="80"/>
      <c r="AA2063" s="153"/>
    </row>
    <row r="2064" spans="17:27" x14ac:dyDescent="0.25">
      <c r="Q2064" s="53"/>
      <c r="R2064" s="68"/>
      <c r="S2064" s="68"/>
      <c r="T2064" s="68"/>
      <c r="U2064" s="68"/>
      <c r="V2064" s="72"/>
      <c r="W2064" s="72"/>
      <c r="X2064" s="72"/>
      <c r="Y2064" s="80"/>
      <c r="Z2064" s="80"/>
      <c r="AA2064" s="153"/>
    </row>
    <row r="2065" spans="17:27" x14ac:dyDescent="0.25">
      <c r="Q2065" s="53"/>
      <c r="R2065" s="68"/>
      <c r="S2065" s="68"/>
      <c r="T2065" s="68"/>
      <c r="U2065" s="68"/>
      <c r="V2065" s="72"/>
      <c r="W2065" s="72"/>
      <c r="X2065" s="72"/>
      <c r="Y2065" s="80"/>
      <c r="Z2065" s="80"/>
      <c r="AA2065" s="153"/>
    </row>
    <row r="2066" spans="17:27" x14ac:dyDescent="0.25">
      <c r="Q2066" s="53"/>
      <c r="R2066" s="68"/>
      <c r="S2066" s="68"/>
      <c r="T2066" s="68"/>
      <c r="U2066" s="68"/>
      <c r="V2066" s="72"/>
      <c r="W2066" s="72"/>
      <c r="X2066" s="72"/>
      <c r="Y2066" s="80"/>
      <c r="Z2066" s="80"/>
      <c r="AA2066" s="153"/>
    </row>
    <row r="2067" spans="17:27" x14ac:dyDescent="0.25">
      <c r="Q2067" s="53"/>
      <c r="R2067" s="68"/>
      <c r="S2067" s="68"/>
      <c r="T2067" s="68"/>
      <c r="U2067" s="68"/>
      <c r="V2067" s="72"/>
      <c r="W2067" s="72"/>
      <c r="X2067" s="72"/>
      <c r="Y2067" s="80"/>
      <c r="Z2067" s="80"/>
      <c r="AA2067" s="153"/>
    </row>
    <row r="2068" spans="17:27" x14ac:dyDescent="0.25">
      <c r="Q2068" s="53"/>
      <c r="R2068" s="68"/>
      <c r="S2068" s="68"/>
      <c r="T2068" s="68"/>
      <c r="U2068" s="68"/>
      <c r="V2068" s="72"/>
      <c r="W2068" s="72"/>
      <c r="X2068" s="72"/>
      <c r="Y2068" s="80"/>
      <c r="Z2068" s="80"/>
      <c r="AA2068" s="153"/>
    </row>
    <row r="2069" spans="17:27" x14ac:dyDescent="0.25">
      <c r="Q2069" s="53"/>
      <c r="R2069" s="68"/>
      <c r="S2069" s="68"/>
      <c r="T2069" s="68"/>
      <c r="U2069" s="68"/>
      <c r="V2069" s="72"/>
      <c r="W2069" s="72"/>
      <c r="X2069" s="72"/>
      <c r="Y2069" s="80"/>
      <c r="Z2069" s="80"/>
      <c r="AA2069" s="153"/>
    </row>
    <row r="2070" spans="17:27" x14ac:dyDescent="0.25">
      <c r="Q2070" s="53"/>
      <c r="R2070" s="68"/>
      <c r="S2070" s="68"/>
      <c r="T2070" s="68"/>
      <c r="U2070" s="68"/>
      <c r="V2070" s="72"/>
      <c r="W2070" s="72"/>
      <c r="X2070" s="72"/>
      <c r="Y2070" s="80"/>
      <c r="Z2070" s="80"/>
      <c r="AA2070" s="153"/>
    </row>
    <row r="2071" spans="17:27" x14ac:dyDescent="0.25">
      <c r="Q2071" s="53"/>
      <c r="R2071" s="68"/>
      <c r="S2071" s="68"/>
      <c r="T2071" s="68"/>
      <c r="U2071" s="68"/>
      <c r="V2071" s="72"/>
      <c r="W2071" s="72"/>
      <c r="X2071" s="72"/>
      <c r="Y2071" s="80"/>
      <c r="Z2071" s="80"/>
      <c r="AA2071" s="153"/>
    </row>
    <row r="2072" spans="17:27" x14ac:dyDescent="0.25">
      <c r="Q2072" s="53"/>
      <c r="R2072" s="68"/>
      <c r="S2072" s="68"/>
      <c r="T2072" s="68"/>
      <c r="U2072" s="68"/>
      <c r="V2072" s="72"/>
      <c r="W2072" s="72"/>
      <c r="X2072" s="72"/>
      <c r="Y2072" s="80"/>
      <c r="Z2072" s="80"/>
      <c r="AA2072" s="153"/>
    </row>
    <row r="2073" spans="17:27" x14ac:dyDescent="0.25">
      <c r="Q2073" s="53"/>
      <c r="R2073" s="68"/>
      <c r="S2073" s="68"/>
      <c r="T2073" s="68"/>
      <c r="U2073" s="68"/>
      <c r="V2073" s="72"/>
      <c r="W2073" s="72"/>
      <c r="X2073" s="72"/>
      <c r="Y2073" s="80"/>
      <c r="Z2073" s="80"/>
      <c r="AA2073" s="153"/>
    </row>
    <row r="2074" spans="17:27" x14ac:dyDescent="0.25">
      <c r="Q2074" s="53"/>
      <c r="R2074" s="68"/>
      <c r="S2074" s="68"/>
      <c r="T2074" s="68"/>
      <c r="U2074" s="68"/>
      <c r="V2074" s="72"/>
      <c r="W2074" s="72"/>
      <c r="X2074" s="72"/>
      <c r="Y2074" s="80"/>
      <c r="Z2074" s="80"/>
      <c r="AA2074" s="153"/>
    </row>
    <row r="2075" spans="17:27" x14ac:dyDescent="0.25">
      <c r="Q2075" s="53"/>
      <c r="R2075" s="68"/>
      <c r="S2075" s="68"/>
      <c r="T2075" s="68"/>
      <c r="U2075" s="68"/>
      <c r="V2075" s="72"/>
      <c r="W2075" s="72"/>
      <c r="X2075" s="72"/>
      <c r="Y2075" s="80"/>
      <c r="Z2075" s="80"/>
      <c r="AA2075" s="153"/>
    </row>
    <row r="2076" spans="17:27" x14ac:dyDescent="0.25">
      <c r="Q2076" s="53"/>
      <c r="R2076" s="68"/>
      <c r="S2076" s="68"/>
      <c r="T2076" s="68"/>
      <c r="U2076" s="68"/>
      <c r="V2076" s="72"/>
      <c r="W2076" s="72"/>
      <c r="X2076" s="72"/>
      <c r="Y2076" s="80"/>
      <c r="Z2076" s="80"/>
      <c r="AA2076" s="153"/>
    </row>
    <row r="2077" spans="17:27" x14ac:dyDescent="0.25">
      <c r="Q2077" s="53"/>
      <c r="R2077" s="68"/>
      <c r="S2077" s="68"/>
      <c r="T2077" s="68"/>
      <c r="U2077" s="68"/>
      <c r="V2077" s="72"/>
      <c r="W2077" s="72"/>
      <c r="X2077" s="72"/>
      <c r="Y2077" s="80"/>
      <c r="Z2077" s="80"/>
      <c r="AA2077" s="153"/>
    </row>
    <row r="2078" spans="17:27" x14ac:dyDescent="0.25">
      <c r="Q2078" s="53"/>
      <c r="R2078" s="68"/>
      <c r="S2078" s="68"/>
      <c r="T2078" s="68"/>
      <c r="U2078" s="68"/>
      <c r="V2078" s="72"/>
      <c r="W2078" s="72"/>
      <c r="X2078" s="72"/>
      <c r="Y2078" s="80"/>
      <c r="Z2078" s="80"/>
      <c r="AA2078" s="153"/>
    </row>
    <row r="2079" spans="17:27" x14ac:dyDescent="0.25">
      <c r="Q2079" s="53"/>
      <c r="R2079" s="68"/>
      <c r="S2079" s="68"/>
      <c r="T2079" s="68"/>
      <c r="U2079" s="68"/>
      <c r="V2079" s="72"/>
      <c r="W2079" s="72"/>
      <c r="X2079" s="72"/>
      <c r="Y2079" s="80"/>
      <c r="Z2079" s="80"/>
      <c r="AA2079" s="153"/>
    </row>
    <row r="2080" spans="17:27" x14ac:dyDescent="0.25">
      <c r="Q2080" s="53"/>
      <c r="R2080" s="68"/>
      <c r="S2080" s="68"/>
      <c r="T2080" s="68"/>
      <c r="U2080" s="68"/>
      <c r="V2080" s="72"/>
      <c r="W2080" s="72"/>
      <c r="X2080" s="72"/>
      <c r="Y2080" s="80"/>
      <c r="Z2080" s="80"/>
      <c r="AA2080" s="153"/>
    </row>
    <row r="2081" spans="17:27" x14ac:dyDescent="0.25">
      <c r="Q2081" s="53"/>
      <c r="R2081" s="68"/>
      <c r="S2081" s="68"/>
      <c r="T2081" s="68"/>
      <c r="U2081" s="68"/>
      <c r="V2081" s="72"/>
      <c r="W2081" s="72"/>
      <c r="X2081" s="72"/>
      <c r="Y2081" s="80"/>
      <c r="Z2081" s="80"/>
      <c r="AA2081" s="153"/>
    </row>
    <row r="2082" spans="17:27" x14ac:dyDescent="0.25">
      <c r="Q2082" s="53"/>
      <c r="R2082" s="68"/>
      <c r="S2082" s="68"/>
      <c r="T2082" s="68"/>
      <c r="U2082" s="68"/>
      <c r="V2082" s="72"/>
      <c r="W2082" s="72"/>
      <c r="X2082" s="72"/>
      <c r="Y2082" s="80"/>
      <c r="Z2082" s="80"/>
      <c r="AA2082" s="153"/>
    </row>
    <row r="2083" spans="17:27" x14ac:dyDescent="0.25">
      <c r="Q2083" s="53"/>
      <c r="R2083" s="68"/>
      <c r="S2083" s="68"/>
      <c r="T2083" s="68"/>
      <c r="U2083" s="68"/>
      <c r="V2083" s="72"/>
      <c r="W2083" s="72"/>
      <c r="X2083" s="72"/>
      <c r="Y2083" s="80"/>
      <c r="Z2083" s="80"/>
      <c r="AA2083" s="153"/>
    </row>
    <row r="2084" spans="17:27" x14ac:dyDescent="0.25">
      <c r="Q2084" s="53"/>
      <c r="R2084" s="68"/>
      <c r="S2084" s="68"/>
      <c r="T2084" s="68"/>
      <c r="U2084" s="68"/>
      <c r="V2084" s="72"/>
      <c r="W2084" s="72"/>
      <c r="X2084" s="72"/>
      <c r="Y2084" s="80"/>
      <c r="Z2084" s="80"/>
      <c r="AA2084" s="153"/>
    </row>
    <row r="2085" spans="17:27" x14ac:dyDescent="0.25">
      <c r="Q2085" s="53"/>
      <c r="R2085" s="68"/>
      <c r="S2085" s="68"/>
      <c r="T2085" s="68"/>
      <c r="U2085" s="68"/>
      <c r="V2085" s="72"/>
      <c r="W2085" s="72"/>
      <c r="X2085" s="72"/>
      <c r="Y2085" s="80"/>
      <c r="Z2085" s="80"/>
      <c r="AA2085" s="153"/>
    </row>
    <row r="2086" spans="17:27" x14ac:dyDescent="0.25">
      <c r="Q2086" s="53"/>
      <c r="R2086" s="68"/>
      <c r="S2086" s="68"/>
      <c r="T2086" s="68"/>
      <c r="U2086" s="68"/>
      <c r="V2086" s="72"/>
      <c r="W2086" s="72"/>
      <c r="X2086" s="72"/>
      <c r="Y2086" s="80"/>
      <c r="Z2086" s="80"/>
      <c r="AA2086" s="153"/>
    </row>
    <row r="2087" spans="17:27" x14ac:dyDescent="0.25">
      <c r="Q2087" s="53"/>
      <c r="R2087" s="68"/>
      <c r="S2087" s="68"/>
      <c r="T2087" s="68"/>
      <c r="U2087" s="68"/>
      <c r="V2087" s="72"/>
      <c r="W2087" s="72"/>
      <c r="X2087" s="72"/>
      <c r="Y2087" s="80"/>
      <c r="Z2087" s="80"/>
      <c r="AA2087" s="153"/>
    </row>
    <row r="2088" spans="17:27" x14ac:dyDescent="0.25">
      <c r="Q2088" s="53"/>
      <c r="R2088" s="68"/>
      <c r="S2088" s="68"/>
      <c r="T2088" s="68"/>
      <c r="U2088" s="68"/>
      <c r="V2088" s="72"/>
      <c r="W2088" s="72"/>
      <c r="X2088" s="72"/>
      <c r="Y2088" s="80"/>
      <c r="Z2088" s="80"/>
      <c r="AA2088" s="153"/>
    </row>
    <row r="2089" spans="17:27" x14ac:dyDescent="0.25">
      <c r="Q2089" s="53"/>
      <c r="R2089" s="68"/>
      <c r="S2089" s="68"/>
      <c r="T2089" s="68"/>
      <c r="U2089" s="68"/>
      <c r="V2089" s="72"/>
      <c r="W2089" s="72"/>
      <c r="X2089" s="72"/>
      <c r="Y2089" s="80"/>
      <c r="Z2089" s="80"/>
      <c r="AA2089" s="153"/>
    </row>
    <row r="2090" spans="17:27" x14ac:dyDescent="0.25">
      <c r="Q2090" s="53"/>
      <c r="R2090" s="68"/>
      <c r="S2090" s="68"/>
      <c r="T2090" s="68"/>
      <c r="U2090" s="68"/>
      <c r="V2090" s="72"/>
      <c r="W2090" s="72"/>
      <c r="X2090" s="72"/>
      <c r="Y2090" s="80"/>
      <c r="Z2090" s="80"/>
      <c r="AA2090" s="153"/>
    </row>
    <row r="2091" spans="17:27" x14ac:dyDescent="0.25">
      <c r="Q2091" s="53"/>
      <c r="R2091" s="68"/>
      <c r="S2091" s="68"/>
      <c r="T2091" s="68"/>
      <c r="U2091" s="68"/>
      <c r="V2091" s="72"/>
      <c r="W2091" s="72"/>
      <c r="X2091" s="72"/>
      <c r="Y2091" s="80"/>
      <c r="Z2091" s="80"/>
      <c r="AA2091" s="153"/>
    </row>
    <row r="2092" spans="17:27" x14ac:dyDescent="0.25">
      <c r="Q2092" s="53"/>
      <c r="R2092" s="68"/>
      <c r="S2092" s="68"/>
      <c r="T2092" s="68"/>
      <c r="U2092" s="68"/>
      <c r="V2092" s="72"/>
      <c r="W2092" s="72"/>
      <c r="X2092" s="72"/>
      <c r="Y2092" s="80"/>
      <c r="Z2092" s="80"/>
      <c r="AA2092" s="153"/>
    </row>
    <row r="2093" spans="17:27" x14ac:dyDescent="0.25">
      <c r="Q2093" s="53"/>
      <c r="R2093" s="68"/>
      <c r="S2093" s="68"/>
      <c r="T2093" s="68"/>
      <c r="U2093" s="68"/>
      <c r="V2093" s="72"/>
      <c r="W2093" s="72"/>
      <c r="X2093" s="72"/>
      <c r="Y2093" s="80"/>
      <c r="Z2093" s="80"/>
      <c r="AA2093" s="153"/>
    </row>
    <row r="2094" spans="17:27" x14ac:dyDescent="0.25">
      <c r="Q2094" s="53"/>
      <c r="R2094" s="68"/>
      <c r="S2094" s="68"/>
      <c r="T2094" s="68"/>
      <c r="U2094" s="68"/>
      <c r="V2094" s="72"/>
      <c r="W2094" s="72"/>
      <c r="X2094" s="72"/>
      <c r="Y2094" s="80"/>
      <c r="Z2094" s="80"/>
      <c r="AA2094" s="153"/>
    </row>
    <row r="2095" spans="17:27" x14ac:dyDescent="0.25">
      <c r="Q2095" s="53"/>
      <c r="R2095" s="68"/>
      <c r="S2095" s="68"/>
      <c r="T2095" s="68"/>
      <c r="U2095" s="68"/>
      <c r="V2095" s="72"/>
      <c r="W2095" s="72"/>
      <c r="X2095" s="72"/>
      <c r="Y2095" s="80"/>
      <c r="Z2095" s="80"/>
      <c r="AA2095" s="153"/>
    </row>
    <row r="2096" spans="17:27" x14ac:dyDescent="0.25">
      <c r="Q2096" s="53"/>
      <c r="R2096" s="68"/>
      <c r="S2096" s="68"/>
      <c r="T2096" s="68"/>
      <c r="U2096" s="68"/>
      <c r="V2096" s="72"/>
      <c r="W2096" s="72"/>
      <c r="X2096" s="72"/>
      <c r="Y2096" s="80"/>
      <c r="Z2096" s="80"/>
      <c r="AA2096" s="153"/>
    </row>
    <row r="2097" spans="17:27" x14ac:dyDescent="0.25">
      <c r="Q2097" s="53"/>
      <c r="R2097" s="68"/>
      <c r="S2097" s="68"/>
      <c r="T2097" s="68"/>
      <c r="U2097" s="68"/>
      <c r="V2097" s="72"/>
      <c r="W2097" s="72"/>
      <c r="X2097" s="72"/>
      <c r="Y2097" s="80"/>
      <c r="Z2097" s="80"/>
      <c r="AA2097" s="153"/>
    </row>
    <row r="2098" spans="17:27" x14ac:dyDescent="0.25">
      <c r="Q2098" s="53"/>
      <c r="R2098" s="68"/>
      <c r="S2098" s="68"/>
      <c r="T2098" s="68"/>
      <c r="U2098" s="68"/>
      <c r="V2098" s="72"/>
      <c r="W2098" s="72"/>
      <c r="X2098" s="72"/>
      <c r="Y2098" s="80"/>
      <c r="Z2098" s="80"/>
      <c r="AA2098" s="153"/>
    </row>
    <row r="2099" spans="17:27" x14ac:dyDescent="0.25">
      <c r="Q2099" s="53"/>
      <c r="R2099" s="68"/>
      <c r="S2099" s="68"/>
      <c r="T2099" s="68"/>
      <c r="U2099" s="68"/>
      <c r="V2099" s="72"/>
      <c r="W2099" s="72"/>
      <c r="X2099" s="72"/>
      <c r="Y2099" s="80"/>
      <c r="Z2099" s="80"/>
      <c r="AA2099" s="153"/>
    </row>
    <row r="2100" spans="17:27" x14ac:dyDescent="0.25">
      <c r="Q2100" s="53"/>
      <c r="R2100" s="68"/>
      <c r="S2100" s="68"/>
      <c r="T2100" s="68"/>
      <c r="U2100" s="68"/>
      <c r="V2100" s="72"/>
      <c r="W2100" s="72"/>
      <c r="X2100" s="72"/>
      <c r="Y2100" s="80"/>
      <c r="Z2100" s="80"/>
      <c r="AA2100" s="153"/>
    </row>
    <row r="2101" spans="17:27" x14ac:dyDescent="0.25">
      <c r="Q2101" s="53"/>
      <c r="R2101" s="68"/>
      <c r="S2101" s="68"/>
      <c r="T2101" s="68"/>
      <c r="U2101" s="68"/>
      <c r="V2101" s="72"/>
      <c r="W2101" s="72"/>
      <c r="X2101" s="72"/>
      <c r="Y2101" s="80"/>
      <c r="Z2101" s="80"/>
      <c r="AA2101" s="153"/>
    </row>
    <row r="2102" spans="17:27" x14ac:dyDescent="0.25">
      <c r="Q2102" s="53"/>
      <c r="R2102" s="68"/>
      <c r="S2102" s="68"/>
      <c r="T2102" s="68"/>
      <c r="U2102" s="68"/>
      <c r="V2102" s="72"/>
      <c r="W2102" s="72"/>
      <c r="X2102" s="72"/>
      <c r="Y2102" s="80"/>
      <c r="Z2102" s="80"/>
      <c r="AA2102" s="153"/>
    </row>
    <row r="2103" spans="17:27" x14ac:dyDescent="0.25">
      <c r="Q2103" s="53"/>
      <c r="R2103" s="68"/>
      <c r="S2103" s="68"/>
      <c r="T2103" s="68"/>
      <c r="U2103" s="68"/>
      <c r="V2103" s="72"/>
      <c r="W2103" s="72"/>
      <c r="X2103" s="72"/>
      <c r="Y2103" s="80"/>
      <c r="Z2103" s="80"/>
      <c r="AA2103" s="153"/>
    </row>
    <row r="2104" spans="17:27" x14ac:dyDescent="0.25">
      <c r="Q2104" s="53"/>
      <c r="R2104" s="68"/>
      <c r="S2104" s="68"/>
      <c r="T2104" s="68"/>
      <c r="U2104" s="68"/>
      <c r="V2104" s="72"/>
      <c r="W2104" s="72"/>
      <c r="X2104" s="72"/>
      <c r="Y2104" s="80"/>
      <c r="Z2104" s="80"/>
      <c r="AA2104" s="153"/>
    </row>
    <row r="2105" spans="17:27" x14ac:dyDescent="0.25">
      <c r="Q2105" s="53"/>
      <c r="R2105" s="68"/>
      <c r="S2105" s="68"/>
      <c r="T2105" s="68"/>
      <c r="U2105" s="68"/>
      <c r="V2105" s="72"/>
      <c r="W2105" s="72"/>
      <c r="X2105" s="72"/>
      <c r="Y2105" s="80"/>
      <c r="Z2105" s="80"/>
      <c r="AA2105" s="153"/>
    </row>
    <row r="2106" spans="17:27" x14ac:dyDescent="0.25">
      <c r="Q2106" s="53"/>
      <c r="R2106" s="68"/>
      <c r="S2106" s="68"/>
      <c r="T2106" s="68"/>
      <c r="U2106" s="68"/>
      <c r="V2106" s="72"/>
      <c r="W2106" s="72"/>
      <c r="X2106" s="72"/>
      <c r="Y2106" s="80"/>
      <c r="Z2106" s="80"/>
      <c r="AA2106" s="153"/>
    </row>
    <row r="2107" spans="17:27" x14ac:dyDescent="0.25">
      <c r="Q2107" s="53"/>
      <c r="R2107" s="68"/>
      <c r="S2107" s="68"/>
      <c r="T2107" s="68"/>
      <c r="U2107" s="68"/>
      <c r="V2107" s="72"/>
      <c r="W2107" s="72"/>
      <c r="X2107" s="72"/>
      <c r="Y2107" s="80"/>
      <c r="Z2107" s="80"/>
      <c r="AA2107" s="153"/>
    </row>
    <row r="2108" spans="17:27" x14ac:dyDescent="0.25">
      <c r="Q2108" s="53"/>
      <c r="R2108" s="68"/>
      <c r="S2108" s="68"/>
      <c r="T2108" s="68"/>
      <c r="U2108" s="68"/>
      <c r="V2108" s="72"/>
      <c r="W2108" s="72"/>
      <c r="X2108" s="72"/>
      <c r="Y2108" s="80"/>
      <c r="Z2108" s="80"/>
      <c r="AA2108" s="153"/>
    </row>
    <row r="2109" spans="17:27" x14ac:dyDescent="0.25">
      <c r="Q2109" s="53"/>
      <c r="R2109" s="68"/>
      <c r="S2109" s="68"/>
      <c r="T2109" s="68"/>
      <c r="U2109" s="68"/>
      <c r="V2109" s="72"/>
      <c r="W2109" s="72"/>
      <c r="X2109" s="72"/>
      <c r="Y2109" s="80"/>
      <c r="Z2109" s="80"/>
      <c r="AA2109" s="153"/>
    </row>
    <row r="2110" spans="17:27" x14ac:dyDescent="0.25">
      <c r="Q2110" s="53"/>
      <c r="R2110" s="68"/>
      <c r="S2110" s="68"/>
      <c r="T2110" s="68"/>
      <c r="U2110" s="68"/>
      <c r="V2110" s="72"/>
      <c r="W2110" s="72"/>
      <c r="X2110" s="72"/>
      <c r="Y2110" s="80"/>
      <c r="Z2110" s="80"/>
      <c r="AA2110" s="153"/>
    </row>
    <row r="2111" spans="17:27" x14ac:dyDescent="0.25">
      <c r="Q2111" s="53"/>
      <c r="R2111" s="68"/>
      <c r="S2111" s="68"/>
      <c r="T2111" s="68"/>
      <c r="U2111" s="68"/>
      <c r="V2111" s="72"/>
      <c r="W2111" s="72"/>
      <c r="X2111" s="66"/>
      <c r="Y2111" s="80"/>
      <c r="Z2111" s="80"/>
      <c r="AA2111" s="153"/>
    </row>
    <row r="2112" spans="17:27" x14ac:dyDescent="0.25">
      <c r="Q2112" s="53"/>
      <c r="R2112" s="68"/>
      <c r="S2112" s="68"/>
      <c r="T2112" s="68"/>
      <c r="U2112" s="68"/>
      <c r="V2112" s="72"/>
      <c r="W2112" s="72"/>
      <c r="X2112" s="66"/>
      <c r="Y2112" s="80"/>
      <c r="Z2112" s="80"/>
      <c r="AA2112" s="153"/>
    </row>
    <row r="2113" spans="17:27" x14ac:dyDescent="0.25">
      <c r="Q2113" s="53"/>
      <c r="R2113" s="68"/>
      <c r="S2113" s="68"/>
      <c r="T2113" s="68"/>
      <c r="U2113" s="68"/>
      <c r="V2113" s="72"/>
      <c r="W2113" s="72"/>
      <c r="X2113" s="66"/>
      <c r="Y2113" s="80"/>
      <c r="Z2113" s="80"/>
      <c r="AA2113" s="153"/>
    </row>
    <row r="2114" spans="17:27" x14ac:dyDescent="0.25">
      <c r="Q2114" s="53"/>
      <c r="R2114" s="68"/>
      <c r="S2114" s="68"/>
      <c r="T2114" s="68"/>
      <c r="U2114" s="68"/>
      <c r="V2114" s="72"/>
      <c r="W2114" s="72"/>
      <c r="X2114" s="66"/>
      <c r="Y2114" s="80"/>
      <c r="Z2114" s="80"/>
      <c r="AA2114" s="153"/>
    </row>
    <row r="2115" spans="17:27" x14ac:dyDescent="0.25">
      <c r="Q2115" s="53"/>
      <c r="R2115" s="68"/>
      <c r="S2115" s="68"/>
      <c r="T2115" s="68"/>
      <c r="U2115" s="68"/>
      <c r="V2115" s="72"/>
      <c r="W2115" s="72"/>
      <c r="X2115" s="66"/>
      <c r="Y2115" s="80"/>
      <c r="Z2115" s="80"/>
      <c r="AA2115" s="153"/>
    </row>
    <row r="2116" spans="17:27" x14ac:dyDescent="0.25">
      <c r="Q2116" s="53"/>
      <c r="R2116" s="68"/>
      <c r="S2116" s="68"/>
      <c r="T2116" s="68"/>
      <c r="U2116" s="68"/>
      <c r="V2116" s="72"/>
      <c r="W2116" s="72"/>
      <c r="X2116" s="66"/>
      <c r="Y2116" s="80"/>
      <c r="Z2116" s="80"/>
      <c r="AA2116" s="153"/>
    </row>
    <row r="2117" spans="17:27" x14ac:dyDescent="0.25">
      <c r="Q2117" s="53"/>
      <c r="R2117" s="68"/>
      <c r="S2117" s="68"/>
      <c r="T2117" s="68"/>
      <c r="U2117" s="68"/>
      <c r="V2117" s="72"/>
      <c r="W2117" s="72"/>
      <c r="X2117" s="66"/>
      <c r="Y2117" s="80"/>
      <c r="Z2117" s="80"/>
      <c r="AA2117" s="153"/>
    </row>
    <row r="2118" spans="17:27" x14ac:dyDescent="0.25">
      <c r="Q2118" s="53"/>
      <c r="R2118" s="68"/>
      <c r="S2118" s="68"/>
      <c r="T2118" s="68"/>
      <c r="U2118" s="68"/>
      <c r="V2118" s="72"/>
      <c r="W2118" s="72"/>
      <c r="X2118" s="66"/>
      <c r="Y2118" s="80"/>
      <c r="Z2118" s="80"/>
      <c r="AA2118" s="153"/>
    </row>
    <row r="2119" spans="17:27" x14ac:dyDescent="0.25">
      <c r="Q2119" s="53"/>
      <c r="R2119" s="68"/>
      <c r="S2119" s="68"/>
      <c r="T2119" s="68"/>
      <c r="U2119" s="68"/>
      <c r="V2119" s="72"/>
      <c r="W2119" s="72"/>
      <c r="X2119" s="66"/>
      <c r="Y2119" s="80"/>
      <c r="Z2119" s="80"/>
      <c r="AA2119" s="153"/>
    </row>
    <row r="2120" spans="17:27" x14ac:dyDescent="0.25">
      <c r="Q2120" s="53"/>
      <c r="R2120" s="68"/>
      <c r="S2120" s="68"/>
      <c r="T2120" s="68"/>
      <c r="U2120" s="68"/>
      <c r="V2120" s="72"/>
      <c r="W2120" s="72"/>
      <c r="X2120" s="66"/>
      <c r="Y2120" s="80"/>
      <c r="Z2120" s="80"/>
      <c r="AA2120" s="153"/>
    </row>
    <row r="2121" spans="17:27" x14ac:dyDescent="0.25">
      <c r="Q2121" s="53"/>
      <c r="R2121" s="53"/>
      <c r="S2121" s="78"/>
      <c r="T2121" s="78"/>
      <c r="U2121" s="53"/>
      <c r="V2121" s="66"/>
      <c r="W2121" s="66"/>
      <c r="X2121" s="66"/>
      <c r="Y2121" s="80"/>
      <c r="Z2121" s="80"/>
      <c r="AA2121" s="153"/>
    </row>
    <row r="2122" spans="17:27" x14ac:dyDescent="0.25">
      <c r="Q2122" s="53"/>
      <c r="R2122" s="53"/>
      <c r="S2122" s="78"/>
      <c r="T2122" s="78"/>
      <c r="U2122" s="53"/>
      <c r="V2122" s="66"/>
      <c r="W2122" s="66"/>
      <c r="X2122" s="66"/>
      <c r="Y2122" s="80"/>
      <c r="Z2122" s="80"/>
      <c r="AA2122" s="153"/>
    </row>
    <row r="2123" spans="17:27" x14ac:dyDescent="0.25">
      <c r="Q2123" s="53"/>
      <c r="R2123" s="53"/>
      <c r="S2123" s="78"/>
      <c r="T2123" s="78"/>
      <c r="U2123" s="53"/>
      <c r="V2123" s="66"/>
      <c r="W2123" s="66"/>
      <c r="X2123" s="66"/>
      <c r="Y2123" s="80"/>
      <c r="Z2123" s="80"/>
      <c r="AA2123" s="153"/>
    </row>
    <row r="2124" spans="17:27" x14ac:dyDescent="0.25">
      <c r="Q2124" s="53"/>
      <c r="R2124" s="53"/>
      <c r="S2124" s="78"/>
      <c r="T2124" s="78"/>
      <c r="U2124" s="53"/>
      <c r="V2124" s="66"/>
      <c r="W2124" s="66"/>
      <c r="X2124" s="66"/>
      <c r="Y2124" s="80"/>
      <c r="Z2124" s="80"/>
      <c r="AA2124" s="153"/>
    </row>
    <row r="2125" spans="17:27" x14ac:dyDescent="0.25">
      <c r="Q2125" s="53"/>
      <c r="R2125" s="53"/>
      <c r="S2125" s="78"/>
      <c r="T2125" s="78"/>
      <c r="U2125" s="53"/>
      <c r="V2125" s="66"/>
      <c r="W2125" s="66"/>
      <c r="X2125" s="66"/>
      <c r="Y2125" s="80"/>
      <c r="Z2125" s="80"/>
      <c r="AA2125" s="153"/>
    </row>
    <row r="2126" spans="17:27" x14ac:dyDescent="0.25">
      <c r="Q2126" s="53"/>
      <c r="R2126" s="53"/>
      <c r="S2126" s="78"/>
      <c r="T2126" s="78"/>
      <c r="U2126" s="53"/>
      <c r="V2126" s="66"/>
      <c r="W2126" s="66"/>
      <c r="X2126" s="66"/>
      <c r="Y2126" s="80"/>
      <c r="Z2126" s="80"/>
      <c r="AA2126" s="153"/>
    </row>
    <row r="2127" spans="17:27" x14ac:dyDescent="0.25">
      <c r="Q2127" s="53"/>
      <c r="R2127" s="53"/>
      <c r="S2127" s="78"/>
      <c r="T2127" s="78"/>
      <c r="U2127" s="53"/>
      <c r="V2127" s="66"/>
      <c r="W2127" s="66"/>
      <c r="X2127" s="66"/>
      <c r="Y2127" s="80"/>
      <c r="Z2127" s="80"/>
      <c r="AA2127" s="153"/>
    </row>
    <row r="2128" spans="17:27" x14ac:dyDescent="0.25">
      <c r="Q2128" s="53"/>
      <c r="R2128" s="53"/>
      <c r="S2128" s="78"/>
      <c r="T2128" s="78"/>
      <c r="U2128" s="53"/>
      <c r="V2128" s="66"/>
      <c r="W2128" s="66"/>
      <c r="X2128" s="66"/>
      <c r="Y2128" s="80"/>
      <c r="Z2128" s="80"/>
      <c r="AA2128" s="153"/>
    </row>
    <row r="2129" spans="17:27" x14ac:dyDescent="0.25">
      <c r="Q2129" s="53"/>
      <c r="R2129" s="53"/>
      <c r="S2129" s="78"/>
      <c r="T2129" s="78"/>
      <c r="U2129" s="53"/>
      <c r="V2129" s="66"/>
      <c r="W2129" s="66"/>
      <c r="X2129" s="66"/>
      <c r="Y2129" s="80"/>
      <c r="Z2129" s="80"/>
      <c r="AA2129" s="153"/>
    </row>
    <row r="2130" spans="17:27" x14ac:dyDescent="0.25">
      <c r="Q2130" s="53"/>
      <c r="R2130" s="53"/>
      <c r="S2130" s="78"/>
      <c r="T2130" s="78"/>
      <c r="U2130" s="53"/>
      <c r="V2130" s="66"/>
      <c r="W2130" s="66"/>
      <c r="X2130" s="66"/>
      <c r="Y2130" s="80"/>
      <c r="Z2130" s="80"/>
      <c r="AA2130" s="153"/>
    </row>
    <row r="2131" spans="17:27" x14ac:dyDescent="0.25">
      <c r="Q2131" s="53"/>
      <c r="R2131" s="53"/>
      <c r="S2131" s="78"/>
      <c r="T2131" s="78"/>
      <c r="U2131" s="53"/>
      <c r="V2131" s="66"/>
      <c r="W2131" s="66"/>
      <c r="X2131" s="66"/>
      <c r="Y2131" s="80"/>
      <c r="Z2131" s="80"/>
      <c r="AA2131" s="153"/>
    </row>
    <row r="2132" spans="17:27" x14ac:dyDescent="0.25">
      <c r="Q2132" s="53"/>
      <c r="R2132" s="53"/>
      <c r="S2132" s="78"/>
      <c r="T2132" s="78"/>
      <c r="U2132" s="53"/>
      <c r="V2132" s="66"/>
      <c r="W2132" s="66"/>
      <c r="X2132" s="66"/>
      <c r="Y2132" s="80"/>
      <c r="Z2132" s="80"/>
      <c r="AA2132" s="153"/>
    </row>
    <row r="2133" spans="17:27" x14ac:dyDescent="0.25">
      <c r="Q2133" s="53"/>
      <c r="R2133" s="53"/>
      <c r="S2133" s="78"/>
      <c r="T2133" s="78"/>
      <c r="U2133" s="53"/>
      <c r="V2133" s="66"/>
      <c r="W2133" s="66"/>
      <c r="X2133" s="66"/>
      <c r="Y2133" s="80"/>
      <c r="Z2133" s="80"/>
      <c r="AA2133" s="153"/>
    </row>
    <row r="2134" spans="17:27" x14ac:dyDescent="0.25">
      <c r="Q2134" s="53"/>
      <c r="R2134" s="53"/>
      <c r="S2134" s="78"/>
      <c r="T2134" s="78"/>
      <c r="U2134" s="53"/>
      <c r="V2134" s="66"/>
      <c r="W2134" s="66"/>
      <c r="X2134" s="66"/>
      <c r="Y2134" s="80"/>
      <c r="Z2134" s="80"/>
      <c r="AA2134" s="153"/>
    </row>
    <row r="2135" spans="17:27" x14ac:dyDescent="0.25">
      <c r="Q2135" s="53"/>
      <c r="R2135" s="53"/>
      <c r="S2135" s="78"/>
      <c r="T2135" s="78"/>
      <c r="U2135" s="53"/>
      <c r="V2135" s="66"/>
      <c r="W2135" s="66"/>
      <c r="X2135" s="66"/>
      <c r="Y2135" s="80"/>
      <c r="Z2135" s="80"/>
      <c r="AA2135" s="153"/>
    </row>
    <row r="2136" spans="17:27" x14ac:dyDescent="0.25">
      <c r="Q2136" s="53"/>
      <c r="R2136" s="53"/>
      <c r="S2136" s="78"/>
      <c r="T2136" s="78"/>
      <c r="U2136" s="53"/>
      <c r="V2136" s="66"/>
      <c r="W2136" s="66"/>
      <c r="X2136" s="66"/>
      <c r="Y2136" s="80"/>
      <c r="Z2136" s="80"/>
      <c r="AA2136" s="153"/>
    </row>
    <row r="2137" spans="17:27" x14ac:dyDescent="0.25">
      <c r="Q2137" s="53"/>
      <c r="R2137" s="53"/>
      <c r="S2137" s="78"/>
      <c r="T2137" s="78"/>
      <c r="U2137" s="53"/>
      <c r="V2137" s="66"/>
      <c r="W2137" s="66"/>
      <c r="X2137" s="66"/>
      <c r="Y2137" s="80"/>
      <c r="Z2137" s="80"/>
      <c r="AA2137" s="153"/>
    </row>
    <row r="2138" spans="17:27" x14ac:dyDescent="0.25">
      <c r="Q2138" s="53"/>
      <c r="R2138" s="53"/>
      <c r="S2138" s="78"/>
      <c r="T2138" s="78"/>
      <c r="U2138" s="53"/>
      <c r="V2138" s="66"/>
      <c r="W2138" s="66"/>
      <c r="X2138" s="66"/>
      <c r="Y2138" s="80"/>
      <c r="Z2138" s="80"/>
      <c r="AA2138" s="153"/>
    </row>
    <row r="2139" spans="17:27" x14ac:dyDescent="0.25">
      <c r="Q2139" s="53"/>
      <c r="R2139" s="53"/>
      <c r="S2139" s="78"/>
      <c r="T2139" s="78"/>
      <c r="U2139" s="53"/>
      <c r="V2139" s="66"/>
      <c r="W2139" s="66"/>
      <c r="X2139" s="66"/>
      <c r="Y2139" s="80"/>
      <c r="Z2139" s="80"/>
      <c r="AA2139" s="153"/>
    </row>
    <row r="2140" spans="17:27" x14ac:dyDescent="0.25">
      <c r="Q2140" s="53"/>
      <c r="R2140" s="53"/>
      <c r="S2140" s="78"/>
      <c r="T2140" s="78"/>
      <c r="U2140" s="53"/>
      <c r="V2140" s="66"/>
      <c r="W2140" s="66"/>
      <c r="X2140" s="66"/>
      <c r="Y2140" s="80"/>
      <c r="Z2140" s="80"/>
      <c r="AA2140" s="153"/>
    </row>
    <row r="2141" spans="17:27" x14ac:dyDescent="0.25">
      <c r="Q2141" s="53"/>
      <c r="R2141" s="53"/>
      <c r="S2141" s="78"/>
      <c r="T2141" s="78"/>
      <c r="U2141" s="53"/>
      <c r="V2141" s="66"/>
      <c r="W2141" s="66"/>
      <c r="X2141" s="66"/>
      <c r="Y2141" s="80"/>
      <c r="Z2141" s="80"/>
      <c r="AA2141" s="153"/>
    </row>
    <row r="2142" spans="17:27" x14ac:dyDescent="0.25">
      <c r="Q2142" s="53"/>
      <c r="R2142" s="53"/>
      <c r="S2142" s="78"/>
      <c r="T2142" s="78"/>
      <c r="U2142" s="53"/>
      <c r="V2142" s="66"/>
      <c r="W2142" s="66"/>
      <c r="X2142" s="66"/>
      <c r="Y2142" s="80"/>
      <c r="Z2142" s="80"/>
      <c r="AA2142" s="153"/>
    </row>
    <row r="2143" spans="17:27" x14ac:dyDescent="0.25">
      <c r="Q2143" s="53"/>
      <c r="R2143" s="53"/>
      <c r="S2143" s="78"/>
      <c r="T2143" s="78"/>
      <c r="U2143" s="53"/>
      <c r="V2143" s="66"/>
      <c r="W2143" s="66"/>
      <c r="X2143" s="66"/>
      <c r="Y2143" s="80"/>
      <c r="Z2143" s="80"/>
      <c r="AA2143" s="153"/>
    </row>
    <row r="2144" spans="17:27" x14ac:dyDescent="0.25">
      <c r="Q2144" s="53"/>
      <c r="R2144" s="53"/>
      <c r="S2144" s="78"/>
      <c r="T2144" s="78"/>
      <c r="U2144" s="53"/>
      <c r="V2144" s="66"/>
      <c r="W2144" s="66"/>
      <c r="X2144" s="66"/>
      <c r="Y2144" s="80"/>
      <c r="Z2144" s="80"/>
      <c r="AA2144" s="153"/>
    </row>
    <row r="2145" spans="17:27" x14ac:dyDescent="0.25">
      <c r="Q2145" s="53"/>
      <c r="R2145" s="53"/>
      <c r="S2145" s="78"/>
      <c r="T2145" s="78"/>
      <c r="U2145" s="53"/>
      <c r="V2145" s="66"/>
      <c r="W2145" s="66"/>
      <c r="X2145" s="66"/>
      <c r="Y2145" s="80"/>
      <c r="Z2145" s="80"/>
      <c r="AA2145" s="153"/>
    </row>
    <row r="2146" spans="17:27" x14ac:dyDescent="0.25">
      <c r="Q2146" s="53"/>
      <c r="R2146" s="53"/>
      <c r="S2146" s="78"/>
      <c r="T2146" s="78"/>
      <c r="U2146" s="53"/>
      <c r="V2146" s="66"/>
      <c r="W2146" s="66"/>
      <c r="X2146" s="66"/>
      <c r="Y2146" s="80"/>
      <c r="Z2146" s="80"/>
      <c r="AA2146" s="153"/>
    </row>
    <row r="2147" spans="17:27" x14ac:dyDescent="0.25">
      <c r="Q2147" s="53"/>
      <c r="R2147" s="53"/>
      <c r="S2147" s="78"/>
      <c r="T2147" s="78"/>
      <c r="U2147" s="53"/>
      <c r="V2147" s="66"/>
      <c r="W2147" s="66"/>
      <c r="X2147" s="66"/>
      <c r="Y2147" s="80"/>
      <c r="Z2147" s="80"/>
      <c r="AA2147" s="153"/>
    </row>
    <row r="2148" spans="17:27" x14ac:dyDescent="0.25">
      <c r="Q2148" s="53"/>
      <c r="R2148" s="53"/>
      <c r="S2148" s="78"/>
      <c r="T2148" s="78"/>
      <c r="U2148" s="53"/>
      <c r="V2148" s="66"/>
      <c r="W2148" s="66"/>
      <c r="X2148" s="66"/>
      <c r="Y2148" s="80"/>
      <c r="Z2148" s="80"/>
      <c r="AA2148" s="153"/>
    </row>
    <row r="2149" spans="17:27" x14ac:dyDescent="0.25">
      <c r="Q2149" s="53"/>
      <c r="R2149" s="53"/>
      <c r="S2149" s="78"/>
      <c r="T2149" s="78"/>
      <c r="U2149" s="53"/>
      <c r="V2149" s="66"/>
      <c r="W2149" s="66"/>
      <c r="X2149" s="66"/>
      <c r="Y2149" s="80"/>
      <c r="Z2149" s="80"/>
      <c r="AA2149" s="153"/>
    </row>
    <row r="2150" spans="17:27" x14ac:dyDescent="0.25">
      <c r="Q2150" s="53"/>
      <c r="R2150" s="53"/>
      <c r="S2150" s="78"/>
      <c r="T2150" s="78"/>
      <c r="U2150" s="53"/>
      <c r="V2150" s="66"/>
      <c r="W2150" s="66"/>
      <c r="X2150" s="66"/>
      <c r="Y2150" s="80"/>
      <c r="Z2150" s="80"/>
      <c r="AA2150" s="153"/>
    </row>
    <row r="2151" spans="17:27" x14ac:dyDescent="0.25">
      <c r="Q2151" s="53"/>
      <c r="R2151" s="53"/>
      <c r="S2151" s="78"/>
      <c r="T2151" s="78"/>
      <c r="U2151" s="53"/>
      <c r="V2151" s="66"/>
      <c r="W2151" s="66"/>
      <c r="X2151" s="66"/>
      <c r="Y2151" s="80"/>
      <c r="Z2151" s="80"/>
      <c r="AA2151" s="153"/>
    </row>
    <row r="2152" spans="17:27" x14ac:dyDescent="0.25">
      <c r="Q2152" s="53"/>
      <c r="R2152" s="53"/>
      <c r="S2152" s="78"/>
      <c r="T2152" s="78"/>
      <c r="U2152" s="53"/>
      <c r="V2152" s="66"/>
      <c r="W2152" s="66"/>
      <c r="X2152" s="66"/>
      <c r="Y2152" s="80"/>
      <c r="Z2152" s="80"/>
      <c r="AA2152" s="153"/>
    </row>
    <row r="2153" spans="17:27" x14ac:dyDescent="0.25">
      <c r="Q2153" s="53"/>
      <c r="R2153" s="53"/>
      <c r="S2153" s="78"/>
      <c r="T2153" s="78"/>
      <c r="U2153" s="53"/>
      <c r="V2153" s="66"/>
      <c r="W2153" s="66"/>
      <c r="X2153" s="66"/>
      <c r="Y2153" s="80"/>
      <c r="Z2153" s="80"/>
      <c r="AA2153" s="153"/>
    </row>
    <row r="2154" spans="17:27" x14ac:dyDescent="0.25">
      <c r="Q2154" s="53"/>
      <c r="R2154" s="53"/>
      <c r="S2154" s="78"/>
      <c r="T2154" s="78"/>
      <c r="U2154" s="53"/>
      <c r="V2154" s="66"/>
      <c r="W2154" s="66"/>
      <c r="X2154" s="66"/>
      <c r="Y2154" s="80"/>
      <c r="Z2154" s="80"/>
      <c r="AA2154" s="153"/>
    </row>
    <row r="2155" spans="17:27" x14ac:dyDescent="0.25">
      <c r="Q2155" s="53"/>
      <c r="R2155" s="53"/>
      <c r="S2155" s="78"/>
      <c r="T2155" s="78"/>
      <c r="U2155" s="53"/>
      <c r="V2155" s="66"/>
      <c r="W2155" s="66"/>
      <c r="X2155" s="66"/>
      <c r="Y2155" s="80"/>
      <c r="Z2155" s="80"/>
      <c r="AA2155" s="153"/>
    </row>
    <row r="2156" spans="17:27" x14ac:dyDescent="0.25">
      <c r="Q2156" s="53"/>
      <c r="R2156" s="53"/>
      <c r="S2156" s="78"/>
      <c r="T2156" s="78"/>
      <c r="U2156" s="53"/>
      <c r="V2156" s="66"/>
      <c r="W2156" s="66"/>
      <c r="X2156" s="66"/>
      <c r="Y2156" s="80"/>
      <c r="Z2156" s="80"/>
      <c r="AA2156" s="153"/>
    </row>
    <row r="2157" spans="17:27" x14ac:dyDescent="0.25">
      <c r="Q2157" s="53"/>
      <c r="R2157" s="53"/>
      <c r="S2157" s="78"/>
      <c r="T2157" s="78"/>
      <c r="U2157" s="53"/>
      <c r="V2157" s="66"/>
      <c r="W2157" s="66"/>
      <c r="X2157" s="66"/>
      <c r="Y2157" s="80"/>
      <c r="Z2157" s="80"/>
      <c r="AA2157" s="153"/>
    </row>
    <row r="2158" spans="17:27" x14ac:dyDescent="0.25">
      <c r="Q2158" s="53"/>
      <c r="R2158" s="53"/>
      <c r="S2158" s="78"/>
      <c r="T2158" s="78"/>
      <c r="U2158" s="53"/>
      <c r="V2158" s="66"/>
      <c r="W2158" s="66"/>
      <c r="X2158" s="66"/>
      <c r="Y2158" s="80"/>
      <c r="Z2158" s="80"/>
      <c r="AA2158" s="153"/>
    </row>
    <row r="2159" spans="17:27" x14ac:dyDescent="0.25">
      <c r="Q2159" s="53"/>
      <c r="R2159" s="53"/>
      <c r="S2159" s="78"/>
      <c r="T2159" s="78"/>
      <c r="U2159" s="53"/>
      <c r="V2159" s="66"/>
      <c r="W2159" s="66"/>
      <c r="X2159" s="66"/>
      <c r="Y2159" s="80"/>
      <c r="Z2159" s="80"/>
      <c r="AA2159" s="153"/>
    </row>
    <row r="2160" spans="17:27" x14ac:dyDescent="0.25">
      <c r="Q2160" s="53"/>
      <c r="R2160" s="53"/>
      <c r="S2160" s="78"/>
      <c r="T2160" s="78"/>
      <c r="U2160" s="53"/>
      <c r="V2160" s="66"/>
      <c r="W2160" s="66"/>
      <c r="X2160" s="66"/>
      <c r="Y2160" s="80"/>
      <c r="Z2160" s="80"/>
      <c r="AA2160" s="153"/>
    </row>
    <row r="2161" spans="17:27" x14ac:dyDescent="0.25">
      <c r="Q2161" s="53"/>
      <c r="R2161" s="53"/>
      <c r="S2161" s="78"/>
      <c r="T2161" s="78"/>
      <c r="U2161" s="53"/>
      <c r="V2161" s="66"/>
      <c r="W2161" s="66"/>
      <c r="X2161" s="66"/>
      <c r="Y2161" s="80"/>
      <c r="Z2161" s="80"/>
      <c r="AA2161" s="153"/>
    </row>
    <row r="2162" spans="17:27" x14ac:dyDescent="0.25">
      <c r="Q2162" s="53"/>
      <c r="R2162" s="53"/>
      <c r="S2162" s="78"/>
      <c r="T2162" s="78"/>
      <c r="U2162" s="53"/>
      <c r="V2162" s="66"/>
      <c r="W2162" s="66"/>
      <c r="X2162" s="66"/>
      <c r="Y2162" s="80"/>
      <c r="Z2162" s="80"/>
      <c r="AA2162" s="153"/>
    </row>
    <row r="2163" spans="17:27" x14ac:dyDescent="0.25">
      <c r="Q2163" s="53"/>
      <c r="R2163" s="53"/>
      <c r="S2163" s="78"/>
      <c r="T2163" s="78"/>
      <c r="U2163" s="53"/>
      <c r="V2163" s="66"/>
      <c r="W2163" s="66"/>
      <c r="X2163" s="66"/>
      <c r="Y2163" s="80"/>
      <c r="Z2163" s="80"/>
      <c r="AA2163" s="153"/>
    </row>
    <row r="2164" spans="17:27" x14ac:dyDescent="0.25">
      <c r="Q2164" s="53"/>
      <c r="R2164" s="53"/>
      <c r="S2164" s="78"/>
      <c r="T2164" s="78"/>
      <c r="U2164" s="53"/>
      <c r="V2164" s="66"/>
      <c r="W2164" s="66"/>
      <c r="X2164" s="66"/>
      <c r="Y2164" s="80"/>
      <c r="Z2164" s="80"/>
      <c r="AA2164" s="153"/>
    </row>
    <row r="2165" spans="17:27" x14ac:dyDescent="0.25">
      <c r="Q2165" s="53"/>
      <c r="R2165" s="53"/>
      <c r="S2165" s="78"/>
      <c r="T2165" s="78"/>
      <c r="U2165" s="53"/>
      <c r="V2165" s="66"/>
      <c r="W2165" s="66"/>
      <c r="X2165" s="66"/>
      <c r="Y2165" s="80"/>
      <c r="Z2165" s="80"/>
      <c r="AA2165" s="153"/>
    </row>
    <row r="2166" spans="17:27" x14ac:dyDescent="0.25">
      <c r="Q2166" s="53"/>
      <c r="R2166" s="53"/>
      <c r="S2166" s="78"/>
      <c r="T2166" s="78"/>
      <c r="U2166" s="53"/>
      <c r="V2166" s="66"/>
      <c r="W2166" s="66"/>
      <c r="X2166" s="66"/>
      <c r="Y2166" s="80"/>
      <c r="Z2166" s="80"/>
      <c r="AA2166" s="153"/>
    </row>
    <row r="2167" spans="17:27" x14ac:dyDescent="0.25">
      <c r="Q2167" s="53"/>
      <c r="R2167" s="53"/>
      <c r="S2167" s="78"/>
      <c r="T2167" s="78"/>
      <c r="U2167" s="53"/>
      <c r="V2167" s="66"/>
      <c r="W2167" s="66"/>
      <c r="X2167" s="66"/>
      <c r="Y2167" s="80"/>
      <c r="Z2167" s="80"/>
      <c r="AA2167" s="153"/>
    </row>
    <row r="2168" spans="17:27" x14ac:dyDescent="0.25">
      <c r="Q2168" s="53"/>
      <c r="R2168" s="53"/>
      <c r="S2168" s="78"/>
      <c r="T2168" s="78"/>
      <c r="U2168" s="53"/>
      <c r="V2168" s="66"/>
      <c r="W2168" s="66"/>
      <c r="X2168" s="66"/>
      <c r="Y2168" s="80"/>
      <c r="Z2168" s="80"/>
      <c r="AA2168" s="153"/>
    </row>
    <row r="2169" spans="17:27" x14ac:dyDescent="0.25">
      <c r="Q2169" s="53"/>
      <c r="R2169" s="53"/>
      <c r="S2169" s="78"/>
      <c r="T2169" s="78"/>
      <c r="U2169" s="53"/>
      <c r="V2169" s="66"/>
      <c r="W2169" s="66"/>
      <c r="X2169" s="66"/>
      <c r="Y2169" s="80"/>
      <c r="Z2169" s="80"/>
      <c r="AA2169" s="153"/>
    </row>
    <row r="2170" spans="17:27" x14ac:dyDescent="0.25">
      <c r="Q2170" s="53"/>
      <c r="R2170" s="53"/>
      <c r="S2170" s="78"/>
      <c r="T2170" s="78"/>
      <c r="U2170" s="53"/>
      <c r="V2170" s="66"/>
      <c r="W2170" s="66"/>
      <c r="X2170" s="66"/>
      <c r="Y2170" s="80"/>
      <c r="Z2170" s="80"/>
      <c r="AA2170" s="153"/>
    </row>
    <row r="2171" spans="17:27" x14ac:dyDescent="0.25">
      <c r="Q2171" s="53"/>
      <c r="R2171" s="53"/>
      <c r="S2171" s="78"/>
      <c r="T2171" s="78"/>
      <c r="U2171" s="53"/>
      <c r="V2171" s="66"/>
      <c r="W2171" s="66"/>
      <c r="X2171" s="66"/>
      <c r="Y2171" s="80"/>
      <c r="Z2171" s="80"/>
      <c r="AA2171" s="153"/>
    </row>
    <row r="2172" spans="17:27" x14ac:dyDescent="0.25">
      <c r="Q2172" s="53"/>
      <c r="R2172" s="53"/>
      <c r="S2172" s="78"/>
      <c r="T2172" s="78"/>
      <c r="U2172" s="53"/>
      <c r="V2172" s="66"/>
      <c r="W2172" s="66"/>
      <c r="X2172" s="66"/>
      <c r="Y2172" s="80"/>
      <c r="Z2172" s="80"/>
      <c r="AA2172" s="153"/>
    </row>
    <row r="2173" spans="17:27" x14ac:dyDescent="0.25">
      <c r="Q2173" s="53"/>
      <c r="R2173" s="53"/>
      <c r="S2173" s="78"/>
      <c r="T2173" s="78"/>
      <c r="U2173" s="53"/>
      <c r="V2173" s="66"/>
      <c r="W2173" s="66"/>
      <c r="X2173" s="66"/>
      <c r="Y2173" s="80"/>
      <c r="Z2173" s="80"/>
      <c r="AA2173" s="153"/>
    </row>
    <row r="2174" spans="17:27" x14ac:dyDescent="0.25">
      <c r="Q2174" s="53"/>
      <c r="R2174" s="53"/>
      <c r="S2174" s="78"/>
      <c r="T2174" s="78"/>
      <c r="U2174" s="53"/>
      <c r="V2174" s="66"/>
      <c r="W2174" s="66"/>
      <c r="X2174" s="66"/>
      <c r="Y2174" s="80"/>
      <c r="Z2174" s="80"/>
      <c r="AA2174" s="153"/>
    </row>
    <row r="2175" spans="17:27" x14ac:dyDescent="0.25">
      <c r="Q2175" s="53"/>
      <c r="R2175" s="53"/>
      <c r="S2175" s="78"/>
      <c r="T2175" s="78"/>
      <c r="U2175" s="53"/>
      <c r="V2175" s="66"/>
      <c r="W2175" s="66"/>
      <c r="X2175" s="66"/>
      <c r="Y2175" s="80"/>
      <c r="Z2175" s="80"/>
      <c r="AA2175" s="153"/>
    </row>
    <row r="2176" spans="17:27" x14ac:dyDescent="0.25">
      <c r="Q2176" s="53"/>
      <c r="R2176" s="53"/>
      <c r="S2176" s="78"/>
      <c r="T2176" s="78"/>
      <c r="U2176" s="53"/>
      <c r="V2176" s="66"/>
      <c r="W2176" s="66"/>
      <c r="X2176" s="66"/>
      <c r="Y2176" s="80"/>
      <c r="Z2176" s="80"/>
      <c r="AA2176" s="153"/>
    </row>
    <row r="2177" spans="17:27" x14ac:dyDescent="0.25">
      <c r="Q2177" s="53"/>
      <c r="R2177" s="53"/>
      <c r="S2177" s="78"/>
      <c r="T2177" s="78"/>
      <c r="U2177" s="53"/>
      <c r="V2177" s="66"/>
      <c r="W2177" s="66"/>
      <c r="X2177" s="66"/>
      <c r="Y2177" s="80"/>
      <c r="Z2177" s="80"/>
      <c r="AA2177" s="153"/>
    </row>
    <row r="2178" spans="17:27" x14ac:dyDescent="0.25">
      <c r="Q2178" s="53"/>
      <c r="R2178" s="53"/>
      <c r="S2178" s="78"/>
      <c r="T2178" s="78"/>
      <c r="U2178" s="53"/>
      <c r="V2178" s="66"/>
      <c r="W2178" s="66"/>
      <c r="X2178" s="66"/>
      <c r="Y2178" s="80"/>
      <c r="Z2178" s="80"/>
      <c r="AA2178" s="153"/>
    </row>
    <row r="2179" spans="17:27" x14ac:dyDescent="0.25">
      <c r="Q2179" s="53"/>
      <c r="R2179" s="53"/>
      <c r="S2179" s="78"/>
      <c r="T2179" s="78"/>
      <c r="U2179" s="53"/>
      <c r="V2179" s="66"/>
      <c r="W2179" s="66"/>
      <c r="X2179" s="66"/>
      <c r="Y2179" s="80"/>
      <c r="Z2179" s="80"/>
      <c r="AA2179" s="153"/>
    </row>
    <row r="2180" spans="17:27" x14ac:dyDescent="0.25">
      <c r="Q2180" s="53"/>
      <c r="R2180" s="53"/>
      <c r="S2180" s="78"/>
      <c r="T2180" s="78"/>
      <c r="U2180" s="53"/>
      <c r="V2180" s="66"/>
      <c r="W2180" s="66"/>
      <c r="X2180" s="66"/>
      <c r="Y2180" s="80"/>
      <c r="Z2180" s="80"/>
      <c r="AA2180" s="153"/>
    </row>
    <row r="2181" spans="17:27" x14ac:dyDescent="0.25">
      <c r="Q2181" s="53"/>
      <c r="R2181" s="53"/>
      <c r="S2181" s="78"/>
      <c r="T2181" s="78"/>
      <c r="U2181" s="53"/>
      <c r="V2181" s="66"/>
      <c r="W2181" s="66"/>
      <c r="X2181" s="66"/>
      <c r="Y2181" s="80"/>
      <c r="Z2181" s="80"/>
      <c r="AA2181" s="153"/>
    </row>
    <row r="2182" spans="17:27" x14ac:dyDescent="0.25">
      <c r="Q2182" s="53"/>
      <c r="R2182" s="53"/>
      <c r="S2182" s="78"/>
      <c r="T2182" s="78"/>
      <c r="U2182" s="53"/>
      <c r="V2182" s="66"/>
      <c r="W2182" s="66"/>
      <c r="X2182" s="66"/>
      <c r="Y2182" s="80"/>
      <c r="Z2182" s="80"/>
      <c r="AA2182" s="153"/>
    </row>
    <row r="2183" spans="17:27" x14ac:dyDescent="0.25">
      <c r="Q2183" s="53"/>
      <c r="R2183" s="53"/>
      <c r="S2183" s="78"/>
      <c r="T2183" s="78"/>
      <c r="U2183" s="53"/>
      <c r="V2183" s="66"/>
      <c r="W2183" s="66"/>
      <c r="X2183" s="66"/>
      <c r="Y2183" s="80"/>
      <c r="Z2183" s="80"/>
      <c r="AA2183" s="153"/>
    </row>
    <row r="2184" spans="17:27" x14ac:dyDescent="0.25">
      <c r="Q2184" s="53"/>
      <c r="R2184" s="53"/>
      <c r="S2184" s="78"/>
      <c r="T2184" s="78"/>
      <c r="U2184" s="53"/>
      <c r="V2184" s="66"/>
      <c r="W2184" s="66"/>
      <c r="X2184" s="66"/>
      <c r="Y2184" s="80"/>
      <c r="Z2184" s="80"/>
      <c r="AA2184" s="153"/>
    </row>
    <row r="2185" spans="17:27" x14ac:dyDescent="0.25">
      <c r="Q2185" s="53"/>
      <c r="R2185" s="53"/>
      <c r="S2185" s="78"/>
      <c r="T2185" s="78"/>
      <c r="U2185" s="53"/>
      <c r="V2185" s="66"/>
      <c r="W2185" s="66"/>
      <c r="X2185" s="66"/>
      <c r="Y2185" s="80"/>
      <c r="Z2185" s="80"/>
      <c r="AA2185" s="153"/>
    </row>
    <row r="2186" spans="17:27" x14ac:dyDescent="0.25">
      <c r="Q2186" s="53"/>
      <c r="R2186" s="53"/>
      <c r="S2186" s="78"/>
      <c r="T2186" s="78"/>
      <c r="U2186" s="53"/>
      <c r="V2186" s="66"/>
      <c r="W2186" s="66"/>
      <c r="X2186" s="66"/>
      <c r="Y2186" s="80"/>
      <c r="Z2186" s="80"/>
      <c r="AA2186" s="153"/>
    </row>
    <row r="2187" spans="17:27" x14ac:dyDescent="0.25">
      <c r="Q2187" s="53"/>
      <c r="R2187" s="53"/>
      <c r="S2187" s="78"/>
      <c r="T2187" s="78"/>
      <c r="U2187" s="53"/>
      <c r="V2187" s="66"/>
      <c r="W2187" s="66"/>
      <c r="X2187" s="66"/>
      <c r="Y2187" s="80"/>
      <c r="Z2187" s="80"/>
      <c r="AA2187" s="153"/>
    </row>
    <row r="2188" spans="17:27" x14ac:dyDescent="0.25">
      <c r="Q2188" s="53"/>
      <c r="R2188" s="53"/>
      <c r="S2188" s="78"/>
      <c r="T2188" s="78"/>
      <c r="U2188" s="53"/>
      <c r="V2188" s="66"/>
      <c r="W2188" s="66"/>
      <c r="X2188" s="66"/>
      <c r="Y2188" s="80"/>
      <c r="Z2188" s="80"/>
      <c r="AA2188" s="153"/>
    </row>
    <row r="2189" spans="17:27" x14ac:dyDescent="0.25">
      <c r="Q2189" s="53"/>
      <c r="R2189" s="53"/>
      <c r="S2189" s="78"/>
      <c r="T2189" s="78"/>
      <c r="U2189" s="53"/>
      <c r="V2189" s="66"/>
      <c r="W2189" s="66"/>
      <c r="X2189" s="66"/>
      <c r="Y2189" s="80"/>
      <c r="Z2189" s="80"/>
      <c r="AA2189" s="153"/>
    </row>
    <row r="2190" spans="17:27" x14ac:dyDescent="0.25">
      <c r="Q2190" s="53"/>
      <c r="R2190" s="53"/>
      <c r="S2190" s="78"/>
      <c r="T2190" s="78"/>
      <c r="U2190" s="53"/>
      <c r="V2190" s="66"/>
      <c r="W2190" s="66"/>
      <c r="X2190" s="66"/>
      <c r="Y2190" s="80"/>
      <c r="Z2190" s="80"/>
      <c r="AA2190" s="153"/>
    </row>
    <row r="2191" spans="17:27" x14ac:dyDescent="0.25">
      <c r="Q2191" s="53"/>
      <c r="R2191" s="53"/>
      <c r="S2191" s="78"/>
      <c r="T2191" s="78"/>
      <c r="U2191" s="53"/>
      <c r="V2191" s="66"/>
      <c r="W2191" s="66"/>
      <c r="X2191" s="66"/>
      <c r="Y2191" s="80"/>
      <c r="Z2191" s="80"/>
      <c r="AA2191" s="153"/>
    </row>
    <row r="2192" spans="17:27" x14ac:dyDescent="0.25">
      <c r="Q2192" s="53"/>
      <c r="R2192" s="53"/>
      <c r="S2192" s="78"/>
      <c r="T2192" s="78"/>
      <c r="U2192" s="53"/>
      <c r="V2192" s="66"/>
      <c r="W2192" s="66"/>
      <c r="X2192" s="66"/>
      <c r="Y2192" s="80"/>
      <c r="Z2192" s="80"/>
      <c r="AA2192" s="153"/>
    </row>
    <row r="2193" spans="17:27" x14ac:dyDescent="0.25">
      <c r="Q2193" s="53"/>
      <c r="R2193" s="53"/>
      <c r="S2193" s="78"/>
      <c r="T2193" s="78"/>
      <c r="U2193" s="53"/>
      <c r="V2193" s="66"/>
      <c r="W2193" s="66"/>
      <c r="X2193" s="66"/>
      <c r="Y2193" s="80"/>
      <c r="Z2193" s="80"/>
      <c r="AA2193" s="153"/>
    </row>
    <row r="2194" spans="17:27" x14ac:dyDescent="0.25">
      <c r="Q2194" s="53"/>
      <c r="R2194" s="53"/>
      <c r="S2194" s="78"/>
      <c r="T2194" s="78"/>
      <c r="U2194" s="53"/>
      <c r="V2194" s="66"/>
      <c r="W2194" s="66"/>
      <c r="X2194" s="66"/>
      <c r="Y2194" s="80"/>
      <c r="Z2194" s="80"/>
      <c r="AA2194" s="153"/>
    </row>
    <row r="2195" spans="17:27" x14ac:dyDescent="0.25">
      <c r="Q2195" s="53"/>
      <c r="R2195" s="53"/>
      <c r="S2195" s="78"/>
      <c r="T2195" s="78"/>
      <c r="U2195" s="53"/>
      <c r="V2195" s="66"/>
      <c r="W2195" s="66"/>
      <c r="X2195" s="66"/>
      <c r="Y2195" s="80"/>
      <c r="Z2195" s="80"/>
      <c r="AA2195" s="153"/>
    </row>
    <row r="2196" spans="17:27" x14ac:dyDescent="0.25">
      <c r="Q2196" s="53"/>
      <c r="R2196" s="53"/>
      <c r="S2196" s="78"/>
      <c r="T2196" s="78"/>
      <c r="U2196" s="53"/>
      <c r="V2196" s="66"/>
      <c r="W2196" s="66"/>
      <c r="X2196" s="66"/>
      <c r="Y2196" s="80"/>
      <c r="Z2196" s="80"/>
      <c r="AA2196" s="153"/>
    </row>
    <row r="2197" spans="17:27" x14ac:dyDescent="0.25">
      <c r="Q2197" s="53"/>
      <c r="R2197" s="53"/>
      <c r="S2197" s="78"/>
      <c r="T2197" s="78"/>
      <c r="U2197" s="53"/>
      <c r="V2197" s="66"/>
      <c r="W2197" s="66"/>
      <c r="X2197" s="66"/>
      <c r="Y2197" s="80"/>
      <c r="Z2197" s="80"/>
      <c r="AA2197" s="153"/>
    </row>
    <row r="2198" spans="17:27" x14ac:dyDescent="0.25">
      <c r="Q2198" s="53"/>
      <c r="R2198" s="53"/>
      <c r="S2198" s="78"/>
      <c r="T2198" s="78"/>
      <c r="U2198" s="53"/>
      <c r="V2198" s="66"/>
      <c r="W2198" s="66"/>
      <c r="X2198" s="66"/>
      <c r="Y2198" s="80"/>
      <c r="Z2198" s="80"/>
      <c r="AA2198" s="153"/>
    </row>
    <row r="2199" spans="17:27" x14ac:dyDescent="0.25">
      <c r="Q2199" s="53"/>
      <c r="R2199" s="53"/>
      <c r="S2199" s="78"/>
      <c r="T2199" s="78"/>
      <c r="U2199" s="53"/>
      <c r="V2199" s="66"/>
      <c r="W2199" s="66"/>
      <c r="X2199" s="66"/>
      <c r="Y2199" s="80"/>
      <c r="Z2199" s="80"/>
      <c r="AA2199" s="153"/>
    </row>
    <row r="2200" spans="17:27" x14ac:dyDescent="0.25">
      <c r="Q2200" s="53"/>
      <c r="R2200" s="53"/>
      <c r="S2200" s="78"/>
      <c r="T2200" s="78"/>
      <c r="U2200" s="53"/>
      <c r="V2200" s="66"/>
      <c r="W2200" s="66"/>
      <c r="X2200" s="66"/>
      <c r="Y2200" s="80"/>
      <c r="Z2200" s="80"/>
      <c r="AA2200" s="153"/>
    </row>
    <row r="2201" spans="17:27" x14ac:dyDescent="0.25">
      <c r="Q2201" s="53"/>
      <c r="R2201" s="53"/>
      <c r="S2201" s="78"/>
      <c r="T2201" s="78"/>
      <c r="U2201" s="53"/>
      <c r="V2201" s="66"/>
      <c r="W2201" s="66"/>
      <c r="X2201" s="66"/>
      <c r="Y2201" s="80"/>
      <c r="Z2201" s="80"/>
      <c r="AA2201" s="153"/>
    </row>
    <row r="2202" spans="17:27" x14ac:dyDescent="0.25">
      <c r="Q2202" s="53"/>
      <c r="R2202" s="53"/>
      <c r="S2202" s="78"/>
      <c r="T2202" s="78"/>
      <c r="U2202" s="53"/>
      <c r="V2202" s="66"/>
      <c r="W2202" s="66"/>
      <c r="X2202" s="66"/>
      <c r="Y2202" s="80"/>
      <c r="Z2202" s="80"/>
      <c r="AA2202" s="153"/>
    </row>
    <row r="2203" spans="17:27" x14ac:dyDescent="0.25">
      <c r="Q2203" s="53"/>
      <c r="R2203" s="53"/>
      <c r="S2203" s="78"/>
      <c r="T2203" s="78"/>
      <c r="U2203" s="53"/>
      <c r="V2203" s="66"/>
      <c r="W2203" s="66"/>
      <c r="X2203" s="66"/>
      <c r="Y2203" s="80"/>
      <c r="Z2203" s="80"/>
      <c r="AA2203" s="153"/>
    </row>
    <row r="2204" spans="17:27" x14ac:dyDescent="0.25">
      <c r="Q2204" s="53"/>
      <c r="R2204" s="53"/>
      <c r="S2204" s="78"/>
      <c r="T2204" s="78"/>
      <c r="U2204" s="53"/>
      <c r="V2204" s="66"/>
      <c r="W2204" s="66"/>
      <c r="X2204" s="66"/>
      <c r="Y2204" s="80"/>
      <c r="Z2204" s="80"/>
      <c r="AA2204" s="153"/>
    </row>
    <row r="2205" spans="17:27" x14ac:dyDescent="0.25">
      <c r="Q2205" s="53"/>
      <c r="R2205" s="53"/>
      <c r="S2205" s="78"/>
      <c r="T2205" s="78"/>
      <c r="U2205" s="53"/>
      <c r="V2205" s="66"/>
      <c r="W2205" s="66"/>
      <c r="X2205" s="66"/>
      <c r="Y2205" s="80"/>
      <c r="Z2205" s="80"/>
      <c r="AA2205" s="153"/>
    </row>
    <row r="2206" spans="17:27" x14ac:dyDescent="0.25">
      <c r="Q2206" s="53"/>
      <c r="R2206" s="53"/>
      <c r="S2206" s="78"/>
      <c r="T2206" s="78"/>
      <c r="U2206" s="53"/>
      <c r="V2206" s="66"/>
      <c r="W2206" s="66"/>
      <c r="X2206" s="66"/>
      <c r="Y2206" s="80"/>
      <c r="Z2206" s="80"/>
      <c r="AA2206" s="153"/>
    </row>
    <row r="2207" spans="17:27" x14ac:dyDescent="0.25">
      <c r="Q2207" s="53"/>
      <c r="R2207" s="53"/>
      <c r="S2207" s="78"/>
      <c r="T2207" s="78"/>
      <c r="U2207" s="53"/>
      <c r="V2207" s="66"/>
      <c r="W2207" s="66"/>
      <c r="X2207" s="66"/>
      <c r="Y2207" s="80"/>
      <c r="Z2207" s="80"/>
      <c r="AA2207" s="153"/>
    </row>
    <row r="2208" spans="17:27" x14ac:dyDescent="0.25">
      <c r="Q2208" s="53"/>
      <c r="R2208" s="53"/>
      <c r="S2208" s="78"/>
      <c r="T2208" s="78"/>
      <c r="U2208" s="53"/>
      <c r="V2208" s="66"/>
      <c r="W2208" s="66"/>
      <c r="X2208" s="66"/>
      <c r="Y2208" s="80"/>
      <c r="Z2208" s="80"/>
      <c r="AA2208" s="153"/>
    </row>
    <row r="2209" spans="17:27" x14ac:dyDescent="0.25">
      <c r="Q2209" s="53"/>
      <c r="R2209" s="53"/>
      <c r="S2209" s="78"/>
      <c r="T2209" s="78"/>
      <c r="U2209" s="53"/>
      <c r="V2209" s="66"/>
      <c r="W2209" s="66"/>
      <c r="X2209" s="66"/>
      <c r="Y2209" s="80"/>
      <c r="Z2209" s="80"/>
      <c r="AA2209" s="153"/>
    </row>
    <row r="2210" spans="17:27" x14ac:dyDescent="0.25">
      <c r="Q2210" s="53"/>
      <c r="R2210" s="53"/>
      <c r="S2210" s="78"/>
      <c r="T2210" s="78"/>
      <c r="U2210" s="53"/>
      <c r="V2210" s="66"/>
      <c r="W2210" s="66"/>
      <c r="X2210" s="66"/>
      <c r="Y2210" s="80"/>
      <c r="Z2210" s="80"/>
      <c r="AA2210" s="153"/>
    </row>
    <row r="2211" spans="17:27" x14ac:dyDescent="0.25">
      <c r="Q2211" s="53"/>
      <c r="R2211" s="53"/>
      <c r="S2211" s="78"/>
      <c r="T2211" s="78"/>
      <c r="U2211" s="53"/>
      <c r="V2211" s="66"/>
      <c r="W2211" s="66"/>
      <c r="X2211" s="66"/>
      <c r="Y2211" s="80"/>
      <c r="Z2211" s="80"/>
      <c r="AA2211" s="153"/>
    </row>
    <row r="2212" spans="17:27" x14ac:dyDescent="0.25">
      <c r="Q2212" s="53"/>
      <c r="R2212" s="53"/>
      <c r="S2212" s="78"/>
      <c r="T2212" s="78"/>
      <c r="U2212" s="53"/>
      <c r="V2212" s="66"/>
      <c r="W2212" s="66"/>
      <c r="X2212" s="66"/>
      <c r="Y2212" s="80"/>
      <c r="Z2212" s="80"/>
      <c r="AA2212" s="153"/>
    </row>
    <row r="2213" spans="17:27" x14ac:dyDescent="0.25">
      <c r="Q2213" s="53"/>
      <c r="R2213" s="53"/>
      <c r="S2213" s="78"/>
      <c r="T2213" s="78"/>
      <c r="U2213" s="53"/>
      <c r="V2213" s="66"/>
      <c r="W2213" s="66"/>
      <c r="X2213" s="66"/>
      <c r="Y2213" s="80"/>
      <c r="Z2213" s="80"/>
      <c r="AA2213" s="153"/>
    </row>
    <row r="2214" spans="17:27" x14ac:dyDescent="0.25">
      <c r="Q2214" s="53"/>
      <c r="R2214" s="53"/>
      <c r="S2214" s="78"/>
      <c r="T2214" s="78"/>
      <c r="U2214" s="53"/>
      <c r="V2214" s="66"/>
      <c r="W2214" s="66"/>
      <c r="X2214" s="66"/>
      <c r="Y2214" s="80"/>
      <c r="Z2214" s="80"/>
      <c r="AA2214" s="153"/>
    </row>
    <row r="2215" spans="17:27" x14ac:dyDescent="0.25">
      <c r="Q2215" s="53"/>
      <c r="R2215" s="53"/>
      <c r="S2215" s="78"/>
      <c r="T2215" s="78"/>
      <c r="U2215" s="53"/>
      <c r="V2215" s="66"/>
      <c r="W2215" s="66"/>
      <c r="X2215" s="66"/>
      <c r="Y2215" s="80"/>
      <c r="Z2215" s="80"/>
      <c r="AA2215" s="153"/>
    </row>
    <row r="2216" spans="17:27" x14ac:dyDescent="0.25">
      <c r="Q2216" s="53"/>
      <c r="R2216" s="53"/>
      <c r="S2216" s="78"/>
      <c r="T2216" s="78"/>
      <c r="U2216" s="53"/>
      <c r="V2216" s="66"/>
      <c r="W2216" s="66"/>
      <c r="X2216" s="66"/>
      <c r="Y2216" s="80"/>
      <c r="Z2216" s="80"/>
      <c r="AA2216" s="153"/>
    </row>
    <row r="2217" spans="17:27" x14ac:dyDescent="0.25">
      <c r="Q2217" s="53"/>
      <c r="R2217" s="53"/>
      <c r="S2217" s="78"/>
      <c r="T2217" s="78"/>
      <c r="U2217" s="53"/>
      <c r="V2217" s="66"/>
      <c r="W2217" s="66"/>
      <c r="X2217" s="66"/>
      <c r="Y2217" s="80"/>
      <c r="Z2217" s="80"/>
      <c r="AA2217" s="153"/>
    </row>
    <row r="2218" spans="17:27" x14ac:dyDescent="0.25">
      <c r="Q2218" s="53"/>
      <c r="R2218" s="53"/>
      <c r="S2218" s="78"/>
      <c r="T2218" s="78"/>
      <c r="U2218" s="53"/>
      <c r="V2218" s="66"/>
      <c r="W2218" s="66"/>
      <c r="X2218" s="66"/>
      <c r="Y2218" s="80"/>
      <c r="Z2218" s="80"/>
      <c r="AA2218" s="153"/>
    </row>
    <row r="2219" spans="17:27" x14ac:dyDescent="0.25">
      <c r="Q2219" s="53"/>
      <c r="R2219" s="53"/>
      <c r="S2219" s="78"/>
      <c r="T2219" s="78"/>
      <c r="U2219" s="53"/>
      <c r="V2219" s="66"/>
      <c r="W2219" s="66"/>
      <c r="X2219" s="66"/>
      <c r="Y2219" s="80"/>
      <c r="Z2219" s="80"/>
      <c r="AA2219" s="153"/>
    </row>
    <row r="2220" spans="17:27" x14ac:dyDescent="0.25">
      <c r="Q2220" s="53"/>
      <c r="R2220" s="53"/>
      <c r="S2220" s="78"/>
      <c r="T2220" s="78"/>
      <c r="U2220" s="53"/>
      <c r="V2220" s="66"/>
      <c r="W2220" s="66"/>
      <c r="X2220" s="66"/>
      <c r="Y2220" s="80"/>
      <c r="Z2220" s="80"/>
      <c r="AA2220" s="153"/>
    </row>
    <row r="2221" spans="17:27" x14ac:dyDescent="0.25">
      <c r="Q2221" s="53"/>
      <c r="R2221" s="53"/>
      <c r="S2221" s="78"/>
      <c r="T2221" s="78"/>
      <c r="U2221" s="53"/>
      <c r="V2221" s="66"/>
      <c r="W2221" s="66"/>
      <c r="X2221" s="66"/>
      <c r="Y2221" s="80"/>
      <c r="Z2221" s="80"/>
      <c r="AA2221" s="153"/>
    </row>
    <row r="2222" spans="17:27" x14ac:dyDescent="0.25">
      <c r="Q2222" s="53"/>
      <c r="R2222" s="53"/>
      <c r="S2222" s="78"/>
      <c r="T2222" s="78"/>
      <c r="U2222" s="53"/>
      <c r="V2222" s="66"/>
      <c r="W2222" s="66"/>
      <c r="X2222" s="66"/>
      <c r="Y2222" s="80"/>
      <c r="Z2222" s="80"/>
      <c r="AA2222" s="153"/>
    </row>
    <row r="2223" spans="17:27" x14ac:dyDescent="0.25">
      <c r="S2223" s="55"/>
      <c r="T2223" s="55"/>
      <c r="Y2223" s="84"/>
      <c r="Z2223" s="84"/>
      <c r="AA2223" s="154"/>
    </row>
    <row r="2224" spans="17:27" x14ac:dyDescent="0.25">
      <c r="S2224" s="55"/>
      <c r="T2224" s="55"/>
      <c r="Y2224" s="84"/>
      <c r="Z2224" s="84"/>
      <c r="AA2224" s="154"/>
    </row>
  </sheetData>
  <sheetProtection selectLockedCells="1" selectUnlockedCells="1"/>
  <dataValidations count="5">
    <dataValidation type="list" allowBlank="1" showErrorMessage="1" sqref="AD2:AD3 AD5:AD99" xr:uid="{68CAC60A-679C-4204-9C64-7920F58EF881}">
      <formula1>"nein,ja"</formula1>
      <formula2>0</formula2>
    </dataValidation>
    <dataValidation type="list" allowBlank="1" showErrorMessage="1" sqref="F2:F99" xr:uid="{44083DFB-82F5-4053-8D1B-2DA3DAAB205E}">
      <formula1>"bitte auswählen,Hörbuch,Hörspiel"</formula1>
      <formula2>0</formula2>
    </dataValidation>
    <dataValidation type="list" allowBlank="1" showErrorMessage="1" sqref="G2:G99" xr:uid="{2C3D944E-FD56-41DE-89D5-1A231129FEE7}">
      <formula1>"bitte auswählen,CD,DVD,CD-ROM,Kassette,LP"</formula1>
      <formula2>0</formula2>
    </dataValidation>
    <dataValidation type="list" allowBlank="1" showErrorMessage="1" sqref="AE2:AE3 AE5:AE99 Y4" xr:uid="{94A46733-6870-49A5-9E74-F95D8DF3A344}">
      <formula1>"nein,ja (nur gewerblich),"</formula1>
      <formula2>0</formula2>
    </dataValidation>
    <dataValidation type="decimal" allowBlank="1" showDropDown="1" showErrorMessage="1" sqref="P1 Q6" xr:uid="{D1CB3488-EFA8-4159-8B5A-2B8798A7042B}">
      <formula1>0</formula1>
      <formula2>100000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2"/>
  <sheetViews>
    <sheetView topLeftCell="A14" workbookViewId="0">
      <selection activeCell="T2" sqref="T2:T62"/>
    </sheetView>
  </sheetViews>
  <sheetFormatPr baseColWidth="10" defaultColWidth="11.5546875" defaultRowHeight="13.2" x14ac:dyDescent="0.25"/>
  <cols>
    <col min="5" max="5" width="14.88671875" customWidth="1"/>
    <col min="9" max="9" width="13.5546875" customWidth="1"/>
    <col min="10" max="10" width="14.44140625" customWidth="1"/>
    <col min="11" max="11" width="24" customWidth="1"/>
    <col min="12" max="12" width="13.6640625" customWidth="1"/>
    <col min="18" max="18" width="14" customWidth="1"/>
    <col min="19" max="19" width="14.44140625" customWidth="1"/>
    <col min="23" max="23" width="21.6640625" customWidth="1"/>
    <col min="25" max="25" width="43.6640625" style="2" customWidth="1"/>
  </cols>
  <sheetData>
    <row r="1" spans="1:25" x14ac:dyDescent="0.25">
      <c r="A1" s="21" t="s">
        <v>26</v>
      </c>
      <c r="B1" s="23" t="s">
        <v>28</v>
      </c>
      <c r="C1" s="22" t="s">
        <v>57</v>
      </c>
      <c r="D1" s="21" t="s">
        <v>58</v>
      </c>
      <c r="E1" s="23" t="s">
        <v>53</v>
      </c>
      <c r="F1" s="22" t="s">
        <v>59</v>
      </c>
      <c r="G1" s="21" t="s">
        <v>31</v>
      </c>
      <c r="H1" s="21" t="s">
        <v>60</v>
      </c>
      <c r="I1" s="21" t="s">
        <v>61</v>
      </c>
      <c r="J1" s="24" t="s">
        <v>34</v>
      </c>
      <c r="K1" s="21" t="s">
        <v>35</v>
      </c>
      <c r="L1" s="27" t="s">
        <v>42</v>
      </c>
      <c r="M1" s="31" t="s">
        <v>43</v>
      </c>
      <c r="N1" s="21" t="s">
        <v>62</v>
      </c>
      <c r="O1" s="21" t="s">
        <v>63</v>
      </c>
      <c r="P1" s="25" t="s">
        <v>64</v>
      </c>
      <c r="Q1" s="21" t="s">
        <v>65</v>
      </c>
      <c r="R1" s="23" t="s">
        <v>66</v>
      </c>
      <c r="S1" s="26" t="s">
        <v>41</v>
      </c>
      <c r="T1" s="21" t="s">
        <v>40</v>
      </c>
      <c r="U1" s="21" t="s">
        <v>44</v>
      </c>
      <c r="V1" s="21" t="s">
        <v>45</v>
      </c>
      <c r="W1" s="21" t="s">
        <v>46</v>
      </c>
      <c r="X1" s="21" t="s">
        <v>47</v>
      </c>
      <c r="Y1" s="21" t="s">
        <v>50</v>
      </c>
    </row>
    <row r="2" spans="1:25" x14ac:dyDescent="0.25">
      <c r="A2" s="2"/>
      <c r="B2" s="2" t="s">
        <v>8876</v>
      </c>
      <c r="C2" s="2"/>
      <c r="D2" s="1"/>
      <c r="E2" s="1" t="s">
        <v>8000</v>
      </c>
      <c r="F2" s="1"/>
      <c r="G2" s="1"/>
      <c r="H2" s="1"/>
      <c r="I2" s="1">
        <v>85</v>
      </c>
      <c r="J2" s="16" t="s">
        <v>1929</v>
      </c>
      <c r="K2" s="2"/>
      <c r="L2" s="18">
        <v>2.9592999999999998</v>
      </c>
      <c r="M2" s="18" t="s">
        <v>8842</v>
      </c>
      <c r="N2" s="2" t="s">
        <v>8840</v>
      </c>
      <c r="O2" s="2"/>
      <c r="P2" s="32" t="s">
        <v>8828</v>
      </c>
      <c r="Q2" s="1"/>
      <c r="R2" s="1">
        <v>16</v>
      </c>
      <c r="S2" s="1">
        <v>112</v>
      </c>
      <c r="T2" s="2" t="s">
        <v>8778</v>
      </c>
      <c r="U2" s="2"/>
      <c r="V2" s="2"/>
      <c r="W2" s="2" t="s">
        <v>51</v>
      </c>
      <c r="X2" s="2" t="s">
        <v>51</v>
      </c>
      <c r="Y2" s="18"/>
    </row>
    <row r="3" spans="1:25" x14ac:dyDescent="0.25">
      <c r="A3" s="2"/>
      <c r="B3" s="2" t="s">
        <v>8877</v>
      </c>
      <c r="C3" s="2"/>
      <c r="D3" s="1"/>
      <c r="E3" s="1" t="s">
        <v>8000</v>
      </c>
      <c r="F3" s="1"/>
      <c r="G3" s="1"/>
      <c r="H3" s="1"/>
      <c r="I3" s="1">
        <v>90</v>
      </c>
      <c r="J3" s="16" t="s">
        <v>1929</v>
      </c>
      <c r="K3" s="2"/>
      <c r="L3" s="18">
        <v>9.5397999999999996</v>
      </c>
      <c r="M3" s="18" t="s">
        <v>8842</v>
      </c>
      <c r="N3" s="2" t="s">
        <v>8840</v>
      </c>
      <c r="O3" s="2"/>
      <c r="P3" s="32" t="s">
        <v>8829</v>
      </c>
      <c r="Q3" s="1"/>
      <c r="R3" s="1">
        <v>16</v>
      </c>
      <c r="S3" s="1">
        <v>86</v>
      </c>
      <c r="T3" s="2" t="s">
        <v>8779</v>
      </c>
      <c r="U3" s="2"/>
      <c r="V3" s="2"/>
      <c r="W3" s="2" t="s">
        <v>51</v>
      </c>
      <c r="X3" s="2" t="s">
        <v>51</v>
      </c>
      <c r="Y3" s="18"/>
    </row>
    <row r="4" spans="1:25" x14ac:dyDescent="0.25">
      <c r="A4" s="2"/>
      <c r="B4" s="2" t="s">
        <v>8878</v>
      </c>
      <c r="C4" s="2"/>
      <c r="D4" s="1"/>
      <c r="E4" s="1" t="s">
        <v>8000</v>
      </c>
      <c r="F4" s="1"/>
      <c r="G4" s="1"/>
      <c r="H4" s="1"/>
      <c r="I4" s="1">
        <v>75</v>
      </c>
      <c r="J4" s="16" t="s">
        <v>1929</v>
      </c>
      <c r="K4" s="2"/>
      <c r="L4" s="18">
        <v>4.7247999999999992</v>
      </c>
      <c r="M4" s="18" t="s">
        <v>8842</v>
      </c>
      <c r="N4" s="2" t="s">
        <v>1881</v>
      </c>
      <c r="O4" s="2"/>
      <c r="P4" s="32" t="s">
        <v>8830</v>
      </c>
      <c r="Q4" s="1"/>
      <c r="R4" s="1">
        <v>16</v>
      </c>
      <c r="S4" s="1">
        <v>101</v>
      </c>
      <c r="T4" s="2" t="s">
        <v>8780</v>
      </c>
      <c r="U4" s="2"/>
      <c r="V4" s="2"/>
      <c r="W4" s="2" t="s">
        <v>51</v>
      </c>
      <c r="X4" s="2" t="s">
        <v>51</v>
      </c>
      <c r="Y4" s="18"/>
    </row>
    <row r="5" spans="1:25" x14ac:dyDescent="0.25">
      <c r="A5" s="2"/>
      <c r="B5" s="2" t="s">
        <v>8879</v>
      </c>
      <c r="C5" s="2"/>
      <c r="D5" s="1"/>
      <c r="E5" s="1" t="s">
        <v>8000</v>
      </c>
      <c r="F5" s="1"/>
      <c r="G5" s="1"/>
      <c r="H5" s="1"/>
      <c r="I5" s="1">
        <v>90</v>
      </c>
      <c r="J5" s="33" t="s">
        <v>1929</v>
      </c>
      <c r="K5" s="2"/>
      <c r="L5" s="18">
        <v>3.7831999999999999</v>
      </c>
      <c r="M5" s="18" t="s">
        <v>8842</v>
      </c>
      <c r="N5" s="2" t="s">
        <v>1881</v>
      </c>
      <c r="O5" s="2"/>
      <c r="P5" s="32" t="s">
        <v>8831</v>
      </c>
      <c r="Q5" s="1"/>
      <c r="R5" s="49">
        <v>16</v>
      </c>
      <c r="S5" s="1">
        <v>84</v>
      </c>
      <c r="T5" s="2" t="s">
        <v>8781</v>
      </c>
      <c r="U5" s="2"/>
      <c r="V5" s="2"/>
      <c r="W5" s="2" t="s">
        <v>51</v>
      </c>
      <c r="X5" s="2" t="s">
        <v>51</v>
      </c>
      <c r="Y5" s="18"/>
    </row>
    <row r="6" spans="1:25" x14ac:dyDescent="0.25">
      <c r="A6" s="2"/>
      <c r="B6" s="2" t="s">
        <v>8880</v>
      </c>
      <c r="C6" s="2"/>
      <c r="D6" s="1"/>
      <c r="E6" s="1" t="s">
        <v>8000</v>
      </c>
      <c r="F6" s="1"/>
      <c r="G6" s="1"/>
      <c r="H6" s="1"/>
      <c r="I6" s="1">
        <v>120</v>
      </c>
      <c r="J6" s="16" t="s">
        <v>1929</v>
      </c>
      <c r="K6" s="2"/>
      <c r="L6" s="18">
        <v>5.6877999999999993</v>
      </c>
      <c r="M6" s="18" t="s">
        <v>8842</v>
      </c>
      <c r="N6" s="2" t="s">
        <v>8841</v>
      </c>
      <c r="O6" s="2"/>
      <c r="P6" s="32" t="s">
        <v>8832</v>
      </c>
      <c r="Q6" s="1"/>
      <c r="R6" s="49">
        <v>16</v>
      </c>
      <c r="S6" s="1">
        <v>100</v>
      </c>
      <c r="T6" s="2" t="s">
        <v>8782</v>
      </c>
      <c r="U6" s="2"/>
      <c r="V6" s="2"/>
      <c r="W6" s="2" t="s">
        <v>51</v>
      </c>
      <c r="X6" s="2" t="s">
        <v>51</v>
      </c>
      <c r="Y6" s="18"/>
    </row>
    <row r="7" spans="1:25" x14ac:dyDescent="0.25">
      <c r="A7" s="2"/>
      <c r="B7" s="2" t="s">
        <v>8881</v>
      </c>
      <c r="C7" s="2"/>
      <c r="D7" s="1"/>
      <c r="E7" s="1" t="s">
        <v>8000</v>
      </c>
      <c r="F7" s="1"/>
      <c r="G7" s="1"/>
      <c r="H7" s="1"/>
      <c r="I7" s="1">
        <v>260</v>
      </c>
      <c r="J7" s="16" t="s">
        <v>1929</v>
      </c>
      <c r="K7" s="2"/>
      <c r="L7" s="18">
        <v>10.395799999999999</v>
      </c>
      <c r="M7" s="18" t="s">
        <v>8842</v>
      </c>
      <c r="N7" s="2" t="s">
        <v>1881</v>
      </c>
      <c r="O7" s="2"/>
      <c r="P7" s="32" t="s">
        <v>8833</v>
      </c>
      <c r="Q7" s="1"/>
      <c r="R7" s="49">
        <v>6</v>
      </c>
      <c r="S7" s="1">
        <v>108</v>
      </c>
      <c r="T7" s="2" t="s">
        <v>8783</v>
      </c>
      <c r="U7" s="2"/>
      <c r="V7" s="2"/>
      <c r="W7" s="2" t="s">
        <v>51</v>
      </c>
      <c r="X7" s="2" t="s">
        <v>51</v>
      </c>
      <c r="Y7" s="18"/>
    </row>
    <row r="8" spans="1:25" x14ac:dyDescent="0.25">
      <c r="A8" s="2"/>
      <c r="B8" s="2" t="s">
        <v>8882</v>
      </c>
      <c r="C8" s="2"/>
      <c r="D8" s="1"/>
      <c r="E8" s="1" t="s">
        <v>8000</v>
      </c>
      <c r="F8" s="1"/>
      <c r="G8" s="1"/>
      <c r="H8" s="1"/>
      <c r="I8" s="1">
        <v>117</v>
      </c>
      <c r="J8" s="16" t="s">
        <v>1929</v>
      </c>
      <c r="K8" s="2"/>
      <c r="L8" s="18">
        <v>6.4367999999999999</v>
      </c>
      <c r="M8" s="18" t="s">
        <v>8842</v>
      </c>
      <c r="N8" s="2" t="s">
        <v>8840</v>
      </c>
      <c r="O8" s="2"/>
      <c r="P8" s="32" t="s">
        <v>8834</v>
      </c>
      <c r="Q8" s="1"/>
      <c r="R8" s="49">
        <v>12</v>
      </c>
      <c r="S8" s="1">
        <v>84</v>
      </c>
      <c r="T8" s="2" t="s">
        <v>8784</v>
      </c>
      <c r="U8" s="2"/>
      <c r="V8" s="2"/>
      <c r="W8" s="2" t="s">
        <v>51</v>
      </c>
      <c r="X8" s="2" t="s">
        <v>51</v>
      </c>
      <c r="Y8" s="18"/>
    </row>
    <row r="9" spans="1:25" x14ac:dyDescent="0.25">
      <c r="A9" s="2"/>
      <c r="B9" s="2" t="s">
        <v>8883</v>
      </c>
      <c r="C9" s="2"/>
      <c r="D9" s="1"/>
      <c r="E9" s="1" t="s">
        <v>8000</v>
      </c>
      <c r="F9" s="1"/>
      <c r="G9" s="1"/>
      <c r="H9" s="1"/>
      <c r="I9" s="1">
        <v>61</v>
      </c>
      <c r="J9" s="16" t="s">
        <v>1929</v>
      </c>
      <c r="K9" s="2"/>
      <c r="L9" s="18">
        <v>4.9388000000000005</v>
      </c>
      <c r="M9" s="18" t="s">
        <v>8842</v>
      </c>
      <c r="N9" s="2" t="s">
        <v>8839</v>
      </c>
      <c r="O9" s="2"/>
      <c r="P9" s="32" t="s">
        <v>8835</v>
      </c>
      <c r="Q9" s="1"/>
      <c r="R9" s="49">
        <v>0</v>
      </c>
      <c r="S9" s="1">
        <v>96</v>
      </c>
      <c r="T9" s="2" t="s">
        <v>8785</v>
      </c>
      <c r="U9" s="2"/>
      <c r="V9" s="2"/>
      <c r="W9" s="2" t="s">
        <v>51</v>
      </c>
      <c r="X9" s="2" t="s">
        <v>51</v>
      </c>
      <c r="Y9" s="18"/>
    </row>
    <row r="10" spans="1:25" x14ac:dyDescent="0.25">
      <c r="A10" s="2"/>
      <c r="B10" s="2" t="s">
        <v>8884</v>
      </c>
      <c r="C10" s="2"/>
      <c r="D10" s="1"/>
      <c r="E10" s="1" t="s">
        <v>8000</v>
      </c>
      <c r="F10" s="1"/>
      <c r="G10" s="1"/>
      <c r="H10" s="1"/>
      <c r="I10" s="1"/>
      <c r="J10" s="16" t="s">
        <v>1929</v>
      </c>
      <c r="K10" s="2"/>
      <c r="L10" s="18">
        <v>4.9388000000000005</v>
      </c>
      <c r="M10" s="18" t="s">
        <v>8842</v>
      </c>
      <c r="N10" s="2"/>
      <c r="O10" s="2"/>
      <c r="P10" s="32" t="s">
        <v>8836</v>
      </c>
      <c r="Q10" s="1"/>
      <c r="R10" s="49">
        <v>0</v>
      </c>
      <c r="S10" s="1">
        <v>105</v>
      </c>
      <c r="T10" s="2" t="s">
        <v>8786</v>
      </c>
      <c r="U10" s="2"/>
      <c r="V10" s="2"/>
      <c r="W10" s="2" t="s">
        <v>51</v>
      </c>
      <c r="X10" s="2" t="s">
        <v>51</v>
      </c>
      <c r="Y10" s="18"/>
    </row>
    <row r="11" spans="1:25" x14ac:dyDescent="0.25">
      <c r="A11" s="2"/>
      <c r="B11" s="2" t="s">
        <v>8885</v>
      </c>
      <c r="C11" s="2"/>
      <c r="D11" s="1"/>
      <c r="E11" s="1" t="s">
        <v>8000</v>
      </c>
      <c r="F11" s="1"/>
      <c r="G11" s="1"/>
      <c r="H11" s="1"/>
      <c r="I11" s="1">
        <v>115</v>
      </c>
      <c r="J11" s="16" t="s">
        <v>1929</v>
      </c>
      <c r="K11" s="2"/>
      <c r="L11" s="18">
        <v>6.4367999999999999</v>
      </c>
      <c r="M11" s="18" t="s">
        <v>8842</v>
      </c>
      <c r="N11" s="2" t="s">
        <v>8838</v>
      </c>
      <c r="O11" s="2"/>
      <c r="P11" s="32" t="s">
        <v>8837</v>
      </c>
      <c r="Q11" s="1"/>
      <c r="R11" s="49">
        <v>6</v>
      </c>
      <c r="S11" s="1">
        <v>119</v>
      </c>
      <c r="T11" s="2" t="s">
        <v>8787</v>
      </c>
      <c r="U11" s="2"/>
      <c r="V11" s="2"/>
      <c r="W11" s="2" t="s">
        <v>51</v>
      </c>
      <c r="X11" s="2" t="s">
        <v>51</v>
      </c>
      <c r="Y11" s="18"/>
    </row>
    <row r="12" spans="1:25" x14ac:dyDescent="0.25">
      <c r="A12" s="2"/>
      <c r="B12" s="2" t="s">
        <v>8861</v>
      </c>
      <c r="C12" s="2"/>
      <c r="D12" s="1"/>
      <c r="E12" s="1" t="s">
        <v>8000</v>
      </c>
      <c r="F12" s="1"/>
      <c r="G12" s="1"/>
      <c r="H12" s="1"/>
      <c r="I12" s="49">
        <v>94</v>
      </c>
      <c r="J12" s="16" t="s">
        <v>1929</v>
      </c>
      <c r="K12" s="2"/>
      <c r="L12" s="18">
        <v>2.5847999999999995</v>
      </c>
      <c r="M12" s="18" t="s">
        <v>8842</v>
      </c>
      <c r="N12" s="2" t="s">
        <v>1881</v>
      </c>
      <c r="O12" s="2"/>
      <c r="P12" s="32" t="s">
        <v>8843</v>
      </c>
      <c r="Q12" s="1"/>
      <c r="R12" s="49">
        <v>16</v>
      </c>
      <c r="S12" s="49">
        <v>95</v>
      </c>
      <c r="T12" s="2" t="s">
        <v>8788</v>
      </c>
      <c r="U12" s="2"/>
      <c r="V12" s="2"/>
      <c r="W12" s="2" t="s">
        <v>51</v>
      </c>
      <c r="X12" s="2" t="s">
        <v>51</v>
      </c>
      <c r="Y12" s="18"/>
    </row>
    <row r="13" spans="1:25" x14ac:dyDescent="0.25">
      <c r="A13" s="2"/>
      <c r="B13" s="2" t="s">
        <v>8862</v>
      </c>
      <c r="C13" s="2"/>
      <c r="D13" s="1"/>
      <c r="E13" s="1" t="s">
        <v>8000</v>
      </c>
      <c r="F13" s="1"/>
      <c r="G13" s="1"/>
      <c r="H13" s="1"/>
      <c r="I13" s="49">
        <v>93</v>
      </c>
      <c r="J13" s="16" t="s">
        <v>1929</v>
      </c>
      <c r="K13" s="2"/>
      <c r="L13" s="18">
        <v>3.6012999999999997</v>
      </c>
      <c r="M13" s="18" t="s">
        <v>8842</v>
      </c>
      <c r="N13" s="2" t="s">
        <v>8860</v>
      </c>
      <c r="O13" s="2"/>
      <c r="P13" s="32" t="s">
        <v>8844</v>
      </c>
      <c r="Q13" s="1"/>
      <c r="R13" s="49">
        <v>16</v>
      </c>
      <c r="S13" s="49">
        <v>88</v>
      </c>
      <c r="T13" s="2" t="s">
        <v>8789</v>
      </c>
      <c r="U13" s="2"/>
      <c r="V13" s="2"/>
      <c r="W13" s="2" t="s">
        <v>51</v>
      </c>
      <c r="X13" s="2" t="s">
        <v>51</v>
      </c>
      <c r="Y13" s="18"/>
    </row>
    <row r="14" spans="1:25" x14ac:dyDescent="0.25">
      <c r="A14" s="2"/>
      <c r="B14" s="2" t="s">
        <v>8863</v>
      </c>
      <c r="C14" s="2"/>
      <c r="D14" s="1"/>
      <c r="E14" s="1" t="s">
        <v>8000</v>
      </c>
      <c r="F14" s="1"/>
      <c r="G14" s="1"/>
      <c r="H14" s="1"/>
      <c r="I14" s="1">
        <v>83</v>
      </c>
      <c r="J14" s="16" t="s">
        <v>1929</v>
      </c>
      <c r="K14" s="2"/>
      <c r="L14" s="18">
        <v>3.9758</v>
      </c>
      <c r="M14" s="18" t="s">
        <v>8842</v>
      </c>
      <c r="N14" s="2" t="s">
        <v>8840</v>
      </c>
      <c r="O14" s="2"/>
      <c r="P14" s="32" t="s">
        <v>8845</v>
      </c>
      <c r="Q14" s="1"/>
      <c r="R14" s="49">
        <v>12</v>
      </c>
      <c r="S14" s="49">
        <v>89</v>
      </c>
      <c r="T14" s="2" t="s">
        <v>8790</v>
      </c>
      <c r="U14" s="2"/>
      <c r="V14" s="2"/>
      <c r="W14" s="2" t="s">
        <v>51</v>
      </c>
      <c r="X14" s="2" t="s">
        <v>51</v>
      </c>
      <c r="Y14" s="18"/>
    </row>
    <row r="15" spans="1:25" x14ac:dyDescent="0.25">
      <c r="A15" s="2"/>
      <c r="B15" s="2" t="s">
        <v>8864</v>
      </c>
      <c r="C15" s="2"/>
      <c r="D15" s="1"/>
      <c r="E15" s="1" t="s">
        <v>8000</v>
      </c>
      <c r="F15" s="1"/>
      <c r="G15" s="1"/>
      <c r="H15" s="1"/>
      <c r="I15" s="1">
        <v>45</v>
      </c>
      <c r="J15" s="16" t="s">
        <v>1929</v>
      </c>
      <c r="K15" s="2"/>
      <c r="L15" s="18">
        <v>8.9512999999999998</v>
      </c>
      <c r="M15" s="18" t="s">
        <v>8842</v>
      </c>
      <c r="N15" s="2" t="s">
        <v>1881</v>
      </c>
      <c r="O15" s="2"/>
      <c r="P15" s="32" t="s">
        <v>8846</v>
      </c>
      <c r="Q15" s="1"/>
      <c r="R15" s="1">
        <v>0</v>
      </c>
      <c r="S15" s="1">
        <v>100</v>
      </c>
      <c r="T15" s="2" t="s">
        <v>8791</v>
      </c>
      <c r="U15" s="2"/>
      <c r="V15" s="2"/>
      <c r="W15" s="2" t="s">
        <v>51</v>
      </c>
      <c r="X15" s="2" t="s">
        <v>51</v>
      </c>
      <c r="Y15" s="18"/>
    </row>
    <row r="16" spans="1:25" x14ac:dyDescent="0.25">
      <c r="A16" s="2"/>
      <c r="B16" s="2" t="s">
        <v>8865</v>
      </c>
      <c r="C16" s="2"/>
      <c r="D16" s="1"/>
      <c r="E16" s="1" t="s">
        <v>8000</v>
      </c>
      <c r="F16" s="1"/>
      <c r="G16" s="1"/>
      <c r="H16" s="1"/>
      <c r="I16" s="1">
        <v>89</v>
      </c>
      <c r="J16" s="16" t="s">
        <v>1929</v>
      </c>
      <c r="K16" s="2"/>
      <c r="L16" s="18">
        <v>2.6917999999999997</v>
      </c>
      <c r="M16" s="18" t="s">
        <v>8842</v>
      </c>
      <c r="N16" s="2" t="s">
        <v>8840</v>
      </c>
      <c r="O16" s="2"/>
      <c r="P16" s="32" t="s">
        <v>8847</v>
      </c>
      <c r="Q16" s="1"/>
      <c r="R16" s="1">
        <v>12</v>
      </c>
      <c r="S16" s="1">
        <v>92</v>
      </c>
      <c r="T16" s="2" t="s">
        <v>8792</v>
      </c>
      <c r="U16" s="2"/>
      <c r="V16" s="2"/>
      <c r="W16" s="2" t="s">
        <v>51</v>
      </c>
      <c r="X16" s="2" t="s">
        <v>51</v>
      </c>
      <c r="Y16" s="18"/>
    </row>
    <row r="17" spans="1:25" x14ac:dyDescent="0.25">
      <c r="A17" s="2"/>
      <c r="B17" s="2" t="s">
        <v>8866</v>
      </c>
      <c r="C17" s="2"/>
      <c r="D17" s="1"/>
      <c r="E17" s="1" t="s">
        <v>8000</v>
      </c>
      <c r="F17" s="1"/>
      <c r="G17" s="1"/>
      <c r="H17" s="1"/>
      <c r="I17" s="1">
        <v>85</v>
      </c>
      <c r="J17" s="16" t="s">
        <v>1929</v>
      </c>
      <c r="K17" s="2"/>
      <c r="L17" s="18">
        <v>4.4038000000000004</v>
      </c>
      <c r="M17" s="18" t="s">
        <v>8842</v>
      </c>
      <c r="N17" s="2" t="s">
        <v>8840</v>
      </c>
      <c r="O17" s="2"/>
      <c r="P17" s="32" t="s">
        <v>8848</v>
      </c>
      <c r="Q17" s="1"/>
      <c r="R17" s="1">
        <v>16</v>
      </c>
      <c r="S17" s="1">
        <v>87</v>
      </c>
      <c r="T17" s="2" t="s">
        <v>8793</v>
      </c>
      <c r="U17" s="2"/>
      <c r="V17" s="2"/>
      <c r="W17" s="2" t="s">
        <v>51</v>
      </c>
      <c r="X17" s="2" t="s">
        <v>51</v>
      </c>
      <c r="Y17" s="18"/>
    </row>
    <row r="18" spans="1:25" x14ac:dyDescent="0.25">
      <c r="A18" s="2"/>
      <c r="B18" s="2" t="s">
        <v>8867</v>
      </c>
      <c r="C18" s="2"/>
      <c r="D18" s="1"/>
      <c r="E18" s="1" t="s">
        <v>8000</v>
      </c>
      <c r="F18" s="1"/>
      <c r="G18" s="1"/>
      <c r="H18" s="1"/>
      <c r="I18" s="1">
        <v>95</v>
      </c>
      <c r="J18" s="16" t="s">
        <v>1929</v>
      </c>
      <c r="K18" s="2"/>
      <c r="L18" s="18">
        <v>3.0127999999999995</v>
      </c>
      <c r="M18" s="18" t="s">
        <v>8842</v>
      </c>
      <c r="N18" s="2" t="s">
        <v>8840</v>
      </c>
      <c r="O18" s="2"/>
      <c r="P18" s="32" t="s">
        <v>8849</v>
      </c>
      <c r="Q18" s="1"/>
      <c r="R18" s="1">
        <v>16</v>
      </c>
      <c r="S18" s="1">
        <v>97</v>
      </c>
      <c r="T18" s="2" t="s">
        <v>8794</v>
      </c>
      <c r="U18" s="2"/>
      <c r="V18" s="2"/>
      <c r="W18" s="2" t="s">
        <v>51</v>
      </c>
      <c r="X18" s="2" t="s">
        <v>51</v>
      </c>
      <c r="Y18" s="18"/>
    </row>
    <row r="19" spans="1:25" x14ac:dyDescent="0.25">
      <c r="A19" s="2"/>
      <c r="B19" s="2" t="s">
        <v>8868</v>
      </c>
      <c r="C19" s="2"/>
      <c r="D19" s="1"/>
      <c r="E19" s="1" t="s">
        <v>8000</v>
      </c>
      <c r="F19" s="1"/>
      <c r="G19" s="1"/>
      <c r="H19" s="1"/>
      <c r="I19" s="1">
        <v>90</v>
      </c>
      <c r="J19" s="16" t="s">
        <v>1929</v>
      </c>
      <c r="K19" s="2"/>
      <c r="L19" s="18">
        <v>4.8317999999999994</v>
      </c>
      <c r="M19" s="18" t="s">
        <v>8842</v>
      </c>
      <c r="N19" s="2" t="s">
        <v>8840</v>
      </c>
      <c r="O19" s="2"/>
      <c r="P19" s="32" t="s">
        <v>8850</v>
      </c>
      <c r="Q19" s="1"/>
      <c r="R19" s="1">
        <v>0</v>
      </c>
      <c r="S19" s="1">
        <v>96</v>
      </c>
      <c r="T19" s="2" t="s">
        <v>8795</v>
      </c>
      <c r="U19" s="2"/>
      <c r="V19" s="2"/>
      <c r="W19" s="2" t="s">
        <v>51</v>
      </c>
      <c r="X19" s="2" t="s">
        <v>51</v>
      </c>
      <c r="Y19" s="18"/>
    </row>
    <row r="20" spans="1:25" x14ac:dyDescent="0.25">
      <c r="A20" s="2"/>
      <c r="B20" s="2" t="s">
        <v>8869</v>
      </c>
      <c r="C20" s="2"/>
      <c r="D20" s="1"/>
      <c r="E20" s="1" t="s">
        <v>8000</v>
      </c>
      <c r="F20" s="1"/>
      <c r="G20" s="1"/>
      <c r="H20" s="1"/>
      <c r="I20" s="1">
        <v>110</v>
      </c>
      <c r="J20" s="16" t="s">
        <v>1929</v>
      </c>
      <c r="K20" s="2"/>
      <c r="L20" s="18">
        <v>2.6917999999999997</v>
      </c>
      <c r="M20" s="18" t="s">
        <v>8842</v>
      </c>
      <c r="N20" s="2" t="s">
        <v>8859</v>
      </c>
      <c r="O20" s="2"/>
      <c r="P20" s="32" t="s">
        <v>8851</v>
      </c>
      <c r="Q20" s="1"/>
      <c r="R20" s="1">
        <v>16</v>
      </c>
      <c r="S20" s="1">
        <v>107</v>
      </c>
      <c r="T20" s="2" t="s">
        <v>8796</v>
      </c>
      <c r="U20" s="2"/>
      <c r="V20" s="2"/>
      <c r="W20" s="2" t="s">
        <v>51</v>
      </c>
      <c r="X20" s="2" t="s">
        <v>51</v>
      </c>
      <c r="Y20" s="18"/>
    </row>
    <row r="21" spans="1:25" x14ac:dyDescent="0.25">
      <c r="A21" s="2"/>
      <c r="B21" s="2" t="s">
        <v>8870</v>
      </c>
      <c r="C21" s="2"/>
      <c r="D21" s="1"/>
      <c r="E21" s="1" t="s">
        <v>8000</v>
      </c>
      <c r="F21" s="1"/>
      <c r="G21" s="1"/>
      <c r="H21" s="1"/>
      <c r="I21" s="1">
        <v>87</v>
      </c>
      <c r="J21" s="16" t="s">
        <v>1929</v>
      </c>
      <c r="K21" s="2"/>
      <c r="L21" s="18">
        <v>3.5477999999999996</v>
      </c>
      <c r="M21" s="18" t="s">
        <v>8842</v>
      </c>
      <c r="N21" s="2" t="s">
        <v>8840</v>
      </c>
      <c r="O21" s="2"/>
      <c r="P21" s="32" t="s">
        <v>8852</v>
      </c>
      <c r="Q21" s="1"/>
      <c r="R21" s="1">
        <v>16</v>
      </c>
      <c r="S21" s="1">
        <v>88</v>
      </c>
      <c r="T21" s="2" t="s">
        <v>8797</v>
      </c>
      <c r="U21" s="2"/>
      <c r="V21" s="2"/>
      <c r="W21" s="2" t="s">
        <v>51</v>
      </c>
      <c r="X21" s="2" t="s">
        <v>51</v>
      </c>
      <c r="Y21" s="18"/>
    </row>
    <row r="22" spans="1:25" x14ac:dyDescent="0.25">
      <c r="A22" s="2"/>
      <c r="B22" s="2" t="s">
        <v>8871</v>
      </c>
      <c r="C22" s="2"/>
      <c r="D22" s="1"/>
      <c r="E22" s="1" t="s">
        <v>8000</v>
      </c>
      <c r="F22" s="1"/>
      <c r="G22" s="1"/>
      <c r="H22" s="1"/>
      <c r="I22" s="1">
        <v>96</v>
      </c>
      <c r="J22" s="16" t="s">
        <v>1929</v>
      </c>
      <c r="K22" s="2"/>
      <c r="L22" s="18">
        <v>2.7988</v>
      </c>
      <c r="M22" s="18" t="s">
        <v>8842</v>
      </c>
      <c r="N22" s="2" t="s">
        <v>8841</v>
      </c>
      <c r="O22" s="2"/>
      <c r="P22" s="32" t="s">
        <v>8853</v>
      </c>
      <c r="Q22" s="1"/>
      <c r="R22" s="1">
        <v>16</v>
      </c>
      <c r="S22" s="1">
        <v>94</v>
      </c>
      <c r="T22" s="2" t="s">
        <v>8798</v>
      </c>
      <c r="U22" s="2"/>
      <c r="V22" s="2"/>
      <c r="W22" s="2" t="s">
        <v>51</v>
      </c>
      <c r="X22" s="2" t="s">
        <v>51</v>
      </c>
      <c r="Y22" s="18"/>
    </row>
    <row r="23" spans="1:25" x14ac:dyDescent="0.25">
      <c r="A23" s="2"/>
      <c r="B23" s="2" t="s">
        <v>8872</v>
      </c>
      <c r="C23" s="2"/>
      <c r="D23" s="1"/>
      <c r="E23" s="1" t="s">
        <v>8000</v>
      </c>
      <c r="F23" s="1"/>
      <c r="G23" s="1"/>
      <c r="H23" s="1"/>
      <c r="I23" s="1">
        <v>92</v>
      </c>
      <c r="J23" s="16" t="s">
        <v>1929</v>
      </c>
      <c r="K23" s="2"/>
      <c r="L23" s="18">
        <v>3.4407999999999999</v>
      </c>
      <c r="M23" s="18" t="s">
        <v>8842</v>
      </c>
      <c r="N23" s="2" t="s">
        <v>8840</v>
      </c>
      <c r="O23" s="2"/>
      <c r="P23" s="32" t="s">
        <v>8854</v>
      </c>
      <c r="Q23" s="1"/>
      <c r="R23" s="1">
        <v>16</v>
      </c>
      <c r="S23" s="1">
        <v>100</v>
      </c>
      <c r="T23" s="2" t="s">
        <v>8799</v>
      </c>
      <c r="U23" s="2"/>
      <c r="V23" s="2"/>
      <c r="W23" s="2" t="s">
        <v>51</v>
      </c>
      <c r="X23" s="2" t="s">
        <v>51</v>
      </c>
      <c r="Y23" s="18"/>
    </row>
    <row r="24" spans="1:25" x14ac:dyDescent="0.25">
      <c r="A24" s="2"/>
      <c r="B24" s="2" t="s">
        <v>8873</v>
      </c>
      <c r="C24" s="2"/>
      <c r="D24" s="1"/>
      <c r="E24" s="1" t="s">
        <v>8000</v>
      </c>
      <c r="F24" s="1"/>
      <c r="G24" s="1"/>
      <c r="H24" s="1"/>
      <c r="I24" s="1">
        <v>83</v>
      </c>
      <c r="J24" s="16" t="s">
        <v>1929</v>
      </c>
      <c r="K24" s="2"/>
      <c r="L24" s="18">
        <v>4.1362999999999994</v>
      </c>
      <c r="M24" s="18" t="s">
        <v>8842</v>
      </c>
      <c r="N24" s="2" t="s">
        <v>1881</v>
      </c>
      <c r="O24" s="2"/>
      <c r="P24" s="32" t="s">
        <v>8855</v>
      </c>
      <c r="Q24" s="1"/>
      <c r="R24" s="1">
        <v>12</v>
      </c>
      <c r="S24" s="1">
        <v>93</v>
      </c>
      <c r="T24" s="2" t="s">
        <v>8800</v>
      </c>
      <c r="U24" s="2"/>
      <c r="V24" s="2"/>
      <c r="W24" s="2" t="s">
        <v>51</v>
      </c>
      <c r="X24" s="2" t="s">
        <v>51</v>
      </c>
      <c r="Y24" s="18"/>
    </row>
    <row r="25" spans="1:25" x14ac:dyDescent="0.25">
      <c r="A25" s="2"/>
      <c r="B25" s="2" t="s">
        <v>8874</v>
      </c>
      <c r="C25" s="2"/>
      <c r="D25" s="1"/>
      <c r="E25" s="1" t="s">
        <v>8000</v>
      </c>
      <c r="F25" s="1"/>
      <c r="G25" s="1"/>
      <c r="H25" s="1"/>
      <c r="I25" s="1">
        <v>82</v>
      </c>
      <c r="J25" s="16" t="s">
        <v>1929</v>
      </c>
      <c r="K25" s="2"/>
      <c r="L25" s="18">
        <v>2.5312999999999999</v>
      </c>
      <c r="M25" s="18" t="s">
        <v>8842</v>
      </c>
      <c r="N25" s="2" t="s">
        <v>8858</v>
      </c>
      <c r="O25" s="2"/>
      <c r="P25" s="32" t="s">
        <v>8856</v>
      </c>
      <c r="Q25" s="1"/>
      <c r="R25" s="1">
        <v>16</v>
      </c>
      <c r="S25" s="1">
        <v>93</v>
      </c>
      <c r="T25" s="2" t="s">
        <v>8801</v>
      </c>
      <c r="U25" s="2"/>
      <c r="V25" s="2"/>
      <c r="W25" s="2" t="s">
        <v>51</v>
      </c>
      <c r="X25" s="2" t="s">
        <v>51</v>
      </c>
      <c r="Y25" s="18"/>
    </row>
    <row r="26" spans="1:25" x14ac:dyDescent="0.25">
      <c r="A26" s="2"/>
      <c r="B26" s="2" t="s">
        <v>8875</v>
      </c>
      <c r="C26" s="2"/>
      <c r="D26" s="1"/>
      <c r="E26" s="1" t="s">
        <v>8000</v>
      </c>
      <c r="F26" s="1"/>
      <c r="G26" s="1"/>
      <c r="H26" s="1"/>
      <c r="I26" s="1">
        <v>87</v>
      </c>
      <c r="J26" s="16" t="s">
        <v>1929</v>
      </c>
      <c r="K26" s="2"/>
      <c r="L26" s="18">
        <v>4.9922999999999993</v>
      </c>
      <c r="M26" s="18" t="s">
        <v>8842</v>
      </c>
      <c r="N26" s="2"/>
      <c r="O26" s="2"/>
      <c r="P26" s="32" t="s">
        <v>8857</v>
      </c>
      <c r="Q26" s="1"/>
      <c r="R26" s="1">
        <v>16</v>
      </c>
      <c r="S26" s="1">
        <v>106</v>
      </c>
      <c r="T26" s="2" t="s">
        <v>8802</v>
      </c>
      <c r="U26" s="2"/>
      <c r="V26" s="2"/>
      <c r="W26" s="2" t="s">
        <v>51</v>
      </c>
      <c r="X26" s="2" t="s">
        <v>51</v>
      </c>
      <c r="Y26" s="18"/>
    </row>
    <row r="27" spans="1:25" x14ac:dyDescent="0.25">
      <c r="A27" s="2"/>
      <c r="B27" s="2" t="s">
        <v>8894</v>
      </c>
      <c r="C27" s="2"/>
      <c r="D27" s="1"/>
      <c r="E27" s="1" t="s">
        <v>8000</v>
      </c>
      <c r="F27" s="1"/>
      <c r="G27" s="1"/>
      <c r="H27" s="1"/>
      <c r="I27" s="49">
        <v>85</v>
      </c>
      <c r="J27" s="16" t="s">
        <v>1879</v>
      </c>
      <c r="K27" s="2"/>
      <c r="L27" s="18">
        <v>3.6012999999999997</v>
      </c>
      <c r="M27" s="18"/>
      <c r="N27" s="2" t="s">
        <v>8840</v>
      </c>
      <c r="O27" s="2"/>
      <c r="P27" s="32" t="s">
        <v>8893</v>
      </c>
      <c r="Q27" s="1"/>
      <c r="R27" s="49">
        <v>16</v>
      </c>
      <c r="S27" s="49">
        <v>96</v>
      </c>
      <c r="T27" s="2" t="s">
        <v>8803</v>
      </c>
      <c r="U27" s="2"/>
      <c r="V27" s="2"/>
      <c r="W27" s="2" t="s">
        <v>51</v>
      </c>
      <c r="X27" s="2" t="s">
        <v>51</v>
      </c>
      <c r="Y27" s="18"/>
    </row>
    <row r="28" spans="1:25" x14ac:dyDescent="0.25">
      <c r="A28" s="2"/>
      <c r="B28" s="2" t="s">
        <v>8895</v>
      </c>
      <c r="C28" s="2"/>
      <c r="D28" s="1"/>
      <c r="E28" s="1" t="s">
        <v>8000</v>
      </c>
      <c r="F28" s="1"/>
      <c r="G28" s="1"/>
      <c r="H28" s="1"/>
      <c r="I28" s="49">
        <v>146</v>
      </c>
      <c r="J28" s="16" t="s">
        <v>1879</v>
      </c>
      <c r="K28" s="2"/>
      <c r="L28" s="18">
        <v>2.5312999999999999</v>
      </c>
      <c r="M28" s="18"/>
      <c r="N28" s="2" t="s">
        <v>8902</v>
      </c>
      <c r="O28" s="2"/>
      <c r="P28" s="32" t="s">
        <v>8892</v>
      </c>
      <c r="Q28" s="1"/>
      <c r="R28" s="49">
        <v>6</v>
      </c>
      <c r="S28" s="49">
        <v>111</v>
      </c>
      <c r="T28" s="2" t="s">
        <v>8804</v>
      </c>
      <c r="U28" s="2"/>
      <c r="V28" s="2"/>
      <c r="W28" s="2" t="s">
        <v>51</v>
      </c>
      <c r="X28" s="2" t="s">
        <v>51</v>
      </c>
      <c r="Y28" s="18"/>
    </row>
    <row r="29" spans="1:25" x14ac:dyDescent="0.25">
      <c r="A29" s="2"/>
      <c r="B29" s="2" t="s">
        <v>8896</v>
      </c>
      <c r="C29" s="2"/>
      <c r="D29" s="1"/>
      <c r="E29" s="1" t="s">
        <v>8000</v>
      </c>
      <c r="F29" s="1"/>
      <c r="G29" s="1"/>
      <c r="H29" s="1"/>
      <c r="I29" s="49">
        <v>106</v>
      </c>
      <c r="J29" s="16" t="s">
        <v>1929</v>
      </c>
      <c r="K29" s="2"/>
      <c r="L29" s="18">
        <v>3.9651000000000001</v>
      </c>
      <c r="M29" s="18"/>
      <c r="N29" s="2" t="s">
        <v>1881</v>
      </c>
      <c r="O29" s="2"/>
      <c r="P29" s="32" t="s">
        <v>8891</v>
      </c>
      <c r="Q29" s="1"/>
      <c r="R29" s="49">
        <v>0</v>
      </c>
      <c r="S29" s="49">
        <v>98</v>
      </c>
      <c r="T29" s="2" t="s">
        <v>8805</v>
      </c>
      <c r="U29" s="2"/>
      <c r="V29" s="2"/>
      <c r="W29" s="2" t="s">
        <v>51</v>
      </c>
      <c r="X29" s="2" t="s">
        <v>51</v>
      </c>
      <c r="Y29" s="18"/>
    </row>
    <row r="30" spans="1:25" x14ac:dyDescent="0.25">
      <c r="A30" s="2"/>
      <c r="B30" s="2" t="s">
        <v>8897</v>
      </c>
      <c r="C30" s="2"/>
      <c r="D30" s="1"/>
      <c r="E30" s="1" t="s">
        <v>8000</v>
      </c>
      <c r="F30" s="1"/>
      <c r="G30" s="1"/>
      <c r="H30" s="1"/>
      <c r="I30" s="1"/>
      <c r="J30" s="16" t="s">
        <v>1879</v>
      </c>
      <c r="K30" s="2"/>
      <c r="L30" s="18">
        <v>2.9806999999999997</v>
      </c>
      <c r="M30" s="18"/>
      <c r="N30" s="2" t="s">
        <v>8903</v>
      </c>
      <c r="O30" s="2"/>
      <c r="P30" s="32" t="s">
        <v>8890</v>
      </c>
      <c r="Q30" s="1"/>
      <c r="R30" s="1">
        <v>12</v>
      </c>
      <c r="S30" s="49">
        <v>104</v>
      </c>
      <c r="T30" s="2" t="s">
        <v>8806</v>
      </c>
      <c r="U30" s="2"/>
      <c r="V30" s="2"/>
      <c r="W30" s="2" t="s">
        <v>51</v>
      </c>
      <c r="X30" s="2" t="s">
        <v>51</v>
      </c>
      <c r="Y30" s="18"/>
    </row>
    <row r="31" spans="1:25" x14ac:dyDescent="0.25">
      <c r="A31" s="2"/>
      <c r="B31" s="2" t="s">
        <v>8898</v>
      </c>
      <c r="C31" s="2"/>
      <c r="D31" s="1"/>
      <c r="E31" s="1" t="s">
        <v>8000</v>
      </c>
      <c r="F31" s="1"/>
      <c r="G31" s="1"/>
      <c r="H31" s="1"/>
      <c r="I31" s="1">
        <v>86</v>
      </c>
      <c r="J31" s="16" t="s">
        <v>1879</v>
      </c>
      <c r="K31" s="2"/>
      <c r="L31" s="18">
        <v>3.9651000000000001</v>
      </c>
      <c r="M31" s="18"/>
      <c r="N31" s="2" t="s">
        <v>8840</v>
      </c>
      <c r="O31" s="2"/>
      <c r="P31" s="32" t="s">
        <v>8889</v>
      </c>
      <c r="Q31" s="1"/>
      <c r="R31" s="1">
        <v>12</v>
      </c>
      <c r="S31" s="49">
        <v>85</v>
      </c>
      <c r="T31" s="2" t="s">
        <v>8807</v>
      </c>
      <c r="U31" s="2"/>
      <c r="V31" s="2"/>
      <c r="W31" s="2" t="s">
        <v>51</v>
      </c>
      <c r="X31" s="2" t="s">
        <v>51</v>
      </c>
      <c r="Y31" s="18"/>
    </row>
    <row r="32" spans="1:25" x14ac:dyDescent="0.25">
      <c r="A32" s="2"/>
      <c r="B32" s="2" t="s">
        <v>8899</v>
      </c>
      <c r="C32" s="2"/>
      <c r="D32" s="1"/>
      <c r="E32" s="1" t="s">
        <v>8000</v>
      </c>
      <c r="F32" s="1"/>
      <c r="G32" s="1"/>
      <c r="H32" s="1"/>
      <c r="I32" s="1">
        <v>55</v>
      </c>
      <c r="J32" s="16" t="s">
        <v>1879</v>
      </c>
      <c r="K32" s="2"/>
      <c r="L32" s="18">
        <v>3.9758</v>
      </c>
      <c r="M32" s="18"/>
      <c r="N32" s="2" t="s">
        <v>1881</v>
      </c>
      <c r="O32" s="2"/>
      <c r="P32" s="32" t="s">
        <v>8888</v>
      </c>
      <c r="Q32" s="1"/>
      <c r="R32" s="1">
        <v>0</v>
      </c>
      <c r="S32" s="49">
        <v>98</v>
      </c>
      <c r="T32" s="2" t="s">
        <v>8808</v>
      </c>
      <c r="U32" s="2"/>
      <c r="V32" s="2"/>
      <c r="W32" s="2" t="s">
        <v>51</v>
      </c>
      <c r="X32" s="2" t="s">
        <v>51</v>
      </c>
      <c r="Y32" s="18"/>
    </row>
    <row r="33" spans="1:25" x14ac:dyDescent="0.25">
      <c r="A33" s="2"/>
      <c r="B33" s="2" t="s">
        <v>8900</v>
      </c>
      <c r="C33" s="2"/>
      <c r="D33" s="1"/>
      <c r="E33" s="1" t="s">
        <v>8000</v>
      </c>
      <c r="F33" s="1"/>
      <c r="G33" s="1"/>
      <c r="H33" s="1"/>
      <c r="I33" s="1">
        <v>55</v>
      </c>
      <c r="J33" s="16" t="s">
        <v>1879</v>
      </c>
      <c r="K33" s="2"/>
      <c r="L33" s="18">
        <v>3.9971999999999999</v>
      </c>
      <c r="M33" s="18"/>
      <c r="N33" s="2" t="s">
        <v>1881</v>
      </c>
      <c r="O33" s="2"/>
      <c r="P33" s="32" t="s">
        <v>8887</v>
      </c>
      <c r="Q33" s="1"/>
      <c r="R33" s="1">
        <v>0</v>
      </c>
      <c r="S33" s="49">
        <v>86</v>
      </c>
      <c r="T33" s="2" t="s">
        <v>8809</v>
      </c>
      <c r="U33" s="2"/>
      <c r="V33" s="2"/>
      <c r="W33" s="2" t="s">
        <v>51</v>
      </c>
      <c r="X33" s="2" t="s">
        <v>51</v>
      </c>
      <c r="Y33" s="18"/>
    </row>
    <row r="34" spans="1:25" x14ac:dyDescent="0.25">
      <c r="A34" s="2"/>
      <c r="B34" s="2" t="s">
        <v>8901</v>
      </c>
      <c r="C34" s="2"/>
      <c r="D34" s="1"/>
      <c r="E34" s="1" t="s">
        <v>8000</v>
      </c>
      <c r="F34" s="1"/>
      <c r="G34" s="1"/>
      <c r="H34" s="1"/>
      <c r="I34" s="1">
        <v>50</v>
      </c>
      <c r="J34" s="16" t="s">
        <v>1879</v>
      </c>
      <c r="K34" s="2"/>
      <c r="L34" s="18">
        <v>4.3930999999999996</v>
      </c>
      <c r="M34" s="18"/>
      <c r="N34" s="2" t="s">
        <v>1881</v>
      </c>
      <c r="O34" s="2"/>
      <c r="P34" s="32" t="s">
        <v>8886</v>
      </c>
      <c r="Q34" s="1"/>
      <c r="R34" s="1">
        <v>0</v>
      </c>
      <c r="S34" s="49">
        <v>84</v>
      </c>
      <c r="T34" s="2" t="s">
        <v>8810</v>
      </c>
      <c r="U34" s="2"/>
      <c r="V34" s="2"/>
      <c r="W34" s="2" t="s">
        <v>51</v>
      </c>
      <c r="X34" s="2" t="s">
        <v>51</v>
      </c>
      <c r="Y34" s="18"/>
    </row>
    <row r="35" spans="1:25" x14ac:dyDescent="0.25">
      <c r="A35" s="2"/>
      <c r="B35" s="2" t="s">
        <v>8949</v>
      </c>
      <c r="C35" s="2"/>
      <c r="D35" s="1"/>
      <c r="E35" s="1" t="s">
        <v>8000</v>
      </c>
      <c r="F35" s="1"/>
      <c r="G35" s="1"/>
      <c r="H35" s="1"/>
      <c r="I35" s="49">
        <v>72</v>
      </c>
      <c r="J35" s="16" t="s">
        <v>1929</v>
      </c>
      <c r="K35" s="2"/>
      <c r="L35" s="18">
        <v>2.8843999999999999</v>
      </c>
      <c r="M35" s="18" t="s">
        <v>8842</v>
      </c>
      <c r="N35" s="2" t="s">
        <v>8950</v>
      </c>
      <c r="O35" s="2" t="s">
        <v>2025</v>
      </c>
      <c r="P35" s="32" t="s">
        <v>8951</v>
      </c>
      <c r="Q35" s="1"/>
      <c r="R35" s="49">
        <v>0</v>
      </c>
      <c r="S35" s="49">
        <v>92</v>
      </c>
      <c r="T35" s="2" t="s">
        <v>8811</v>
      </c>
      <c r="U35" s="2"/>
      <c r="V35" s="2"/>
      <c r="W35" s="2" t="s">
        <v>51</v>
      </c>
      <c r="X35" s="2" t="s">
        <v>51</v>
      </c>
      <c r="Y35" s="18"/>
    </row>
    <row r="36" spans="1:25" x14ac:dyDescent="0.25">
      <c r="A36" s="2"/>
      <c r="B36" s="2" t="s">
        <v>8952</v>
      </c>
      <c r="C36" s="2" t="s">
        <v>8953</v>
      </c>
      <c r="D36" s="1"/>
      <c r="E36" s="1" t="s">
        <v>8000</v>
      </c>
      <c r="F36" s="1"/>
      <c r="G36" s="1"/>
      <c r="H36" s="1"/>
      <c r="I36" s="1"/>
      <c r="J36" s="16" t="s">
        <v>1929</v>
      </c>
      <c r="K36" s="2"/>
      <c r="L36" s="18">
        <v>7.6031000000000004</v>
      </c>
      <c r="M36" s="18" t="s">
        <v>8842</v>
      </c>
      <c r="N36" s="2" t="s">
        <v>8840</v>
      </c>
      <c r="O36" s="2" t="s">
        <v>8840</v>
      </c>
      <c r="P36" s="32" t="s">
        <v>8954</v>
      </c>
      <c r="Q36" s="1"/>
      <c r="R36" s="49">
        <v>18</v>
      </c>
      <c r="S36" s="49">
        <v>176</v>
      </c>
      <c r="T36" s="2" t="s">
        <v>8812</v>
      </c>
      <c r="U36" s="2"/>
      <c r="V36" s="2"/>
      <c r="W36" s="2" t="s">
        <v>51</v>
      </c>
      <c r="X36" s="2" t="s">
        <v>51</v>
      </c>
      <c r="Y36" s="18"/>
    </row>
    <row r="37" spans="1:25" x14ac:dyDescent="0.25">
      <c r="A37" s="2"/>
      <c r="B37" s="2" t="s">
        <v>8955</v>
      </c>
      <c r="C37" s="2"/>
      <c r="D37" s="1"/>
      <c r="E37" s="1" t="s">
        <v>8000</v>
      </c>
      <c r="F37" s="1"/>
      <c r="G37" s="1"/>
      <c r="H37" s="1"/>
      <c r="I37" s="49">
        <v>130</v>
      </c>
      <c r="J37" s="16" t="s">
        <v>1929</v>
      </c>
      <c r="K37" s="2"/>
      <c r="L37" s="18">
        <v>2.7452999999999999</v>
      </c>
      <c r="M37" s="18" t="s">
        <v>8842</v>
      </c>
      <c r="N37" s="2" t="s">
        <v>1881</v>
      </c>
      <c r="O37" s="2"/>
      <c r="P37" s="32" t="s">
        <v>8956</v>
      </c>
      <c r="Q37" s="1"/>
      <c r="R37" s="49">
        <v>0</v>
      </c>
      <c r="S37" s="49">
        <v>102</v>
      </c>
      <c r="T37" s="2" t="s">
        <v>8813</v>
      </c>
      <c r="U37" s="2"/>
      <c r="V37" s="2"/>
      <c r="W37" s="2" t="s">
        <v>51</v>
      </c>
      <c r="X37" s="2" t="s">
        <v>51</v>
      </c>
      <c r="Y37" s="18"/>
    </row>
    <row r="38" spans="1:25" x14ac:dyDescent="0.25">
      <c r="A38" s="2"/>
      <c r="B38" s="2" t="s">
        <v>8957</v>
      </c>
      <c r="C38" s="2"/>
      <c r="D38" s="1"/>
      <c r="E38" s="1" t="s">
        <v>8000</v>
      </c>
      <c r="F38" s="1"/>
      <c r="G38" s="1"/>
      <c r="H38" s="1"/>
      <c r="I38" s="1">
        <f>87+17</f>
        <v>104</v>
      </c>
      <c r="J38" s="16" t="s">
        <v>1929</v>
      </c>
      <c r="K38" s="2"/>
      <c r="L38" s="18">
        <v>3.1732999999999998</v>
      </c>
      <c r="M38" s="18"/>
      <c r="N38" s="2"/>
      <c r="O38" s="2"/>
      <c r="P38" s="32" t="s">
        <v>8967</v>
      </c>
      <c r="Q38" s="1"/>
      <c r="R38" s="49">
        <v>16</v>
      </c>
      <c r="S38" s="49">
        <v>117</v>
      </c>
      <c r="T38" s="2" t="s">
        <v>8814</v>
      </c>
      <c r="U38" s="2"/>
      <c r="V38" s="2"/>
      <c r="W38" s="2" t="s">
        <v>51</v>
      </c>
      <c r="X38" s="2" t="s">
        <v>51</v>
      </c>
      <c r="Y38" s="18"/>
    </row>
    <row r="39" spans="1:25" x14ac:dyDescent="0.25">
      <c r="A39" s="2"/>
      <c r="B39" s="2" t="s">
        <v>8958</v>
      </c>
      <c r="C39" s="2"/>
      <c r="D39" s="1"/>
      <c r="E39" s="1" t="s">
        <v>8965</v>
      </c>
      <c r="F39" s="1"/>
      <c r="G39" s="1"/>
      <c r="H39" s="1"/>
      <c r="I39" s="1">
        <f>95+28</f>
        <v>123</v>
      </c>
      <c r="J39" s="16" t="s">
        <v>1929</v>
      </c>
      <c r="K39" s="2"/>
      <c r="L39" s="18">
        <v>8.6516999999999982</v>
      </c>
      <c r="M39" s="18"/>
      <c r="N39" s="2" t="s">
        <v>8840</v>
      </c>
      <c r="O39" s="2"/>
      <c r="P39" s="32" t="s">
        <v>8968</v>
      </c>
      <c r="Q39" s="1"/>
      <c r="R39" s="49">
        <v>18</v>
      </c>
      <c r="S39" s="49">
        <v>81</v>
      </c>
      <c r="T39" s="2" t="s">
        <v>8815</v>
      </c>
      <c r="U39" s="2"/>
      <c r="V39" s="2"/>
      <c r="W39" s="2" t="s">
        <v>51</v>
      </c>
      <c r="X39" s="2" t="s">
        <v>51</v>
      </c>
      <c r="Y39" s="18"/>
    </row>
    <row r="40" spans="1:25" x14ac:dyDescent="0.25">
      <c r="A40" s="2"/>
      <c r="B40" s="2" t="s">
        <v>8959</v>
      </c>
      <c r="C40" s="2"/>
      <c r="D40" s="1"/>
      <c r="E40" s="1" t="s">
        <v>8000</v>
      </c>
      <c r="F40" s="1"/>
      <c r="G40" s="1"/>
      <c r="H40" s="1"/>
      <c r="I40" s="1">
        <v>148</v>
      </c>
      <c r="J40" s="16" t="s">
        <v>1929</v>
      </c>
      <c r="K40" s="2"/>
      <c r="L40" s="18">
        <v>3.1732999999999998</v>
      </c>
      <c r="M40" s="18"/>
      <c r="N40" s="2" t="s">
        <v>8840</v>
      </c>
      <c r="O40" s="2"/>
      <c r="P40" s="32" t="s">
        <v>8969</v>
      </c>
      <c r="Q40" s="1"/>
      <c r="R40" s="49">
        <v>16</v>
      </c>
      <c r="S40" s="49">
        <v>150</v>
      </c>
      <c r="T40" s="2" t="s">
        <v>8816</v>
      </c>
      <c r="U40" s="2"/>
      <c r="V40" s="2"/>
      <c r="W40" s="2" t="s">
        <v>51</v>
      </c>
      <c r="X40" s="2" t="s">
        <v>51</v>
      </c>
      <c r="Y40" s="18"/>
    </row>
    <row r="41" spans="1:25" x14ac:dyDescent="0.25">
      <c r="A41" s="2"/>
      <c r="B41" s="2" t="s">
        <v>8960</v>
      </c>
      <c r="C41" s="2"/>
      <c r="D41" s="1"/>
      <c r="E41" s="1" t="s">
        <v>8000</v>
      </c>
      <c r="F41" s="1"/>
      <c r="G41" s="1"/>
      <c r="H41" s="1"/>
      <c r="I41" s="1">
        <v>151</v>
      </c>
      <c r="J41" s="16" t="s">
        <v>1879</v>
      </c>
      <c r="K41" s="2"/>
      <c r="L41" s="18">
        <v>5.1527999999999992</v>
      </c>
      <c r="M41" s="18"/>
      <c r="N41" s="2" t="s">
        <v>8966</v>
      </c>
      <c r="O41" s="2"/>
      <c r="P41" s="32" t="s">
        <v>8970</v>
      </c>
      <c r="Q41" s="1"/>
      <c r="R41" s="1">
        <v>12</v>
      </c>
      <c r="S41" s="49">
        <v>80</v>
      </c>
      <c r="T41" s="2" t="s">
        <v>8817</v>
      </c>
      <c r="U41" s="2"/>
      <c r="V41" s="2"/>
      <c r="W41" s="2" t="s">
        <v>51</v>
      </c>
      <c r="X41" s="2" t="s">
        <v>51</v>
      </c>
      <c r="Y41" s="18"/>
    </row>
    <row r="42" spans="1:25" x14ac:dyDescent="0.25">
      <c r="A42" s="2"/>
      <c r="B42" s="2" t="s">
        <v>8961</v>
      </c>
      <c r="C42" s="2"/>
      <c r="D42" s="1"/>
      <c r="E42" s="1" t="s">
        <v>8000</v>
      </c>
      <c r="F42" s="1"/>
      <c r="G42" s="1"/>
      <c r="H42" s="1"/>
      <c r="I42" s="1">
        <v>144</v>
      </c>
      <c r="J42" s="16" t="s">
        <v>1879</v>
      </c>
      <c r="K42" s="2"/>
      <c r="L42" s="18">
        <v>2.8843999999999999</v>
      </c>
      <c r="M42" s="18"/>
      <c r="N42" s="2" t="s">
        <v>8840</v>
      </c>
      <c r="O42" s="2"/>
      <c r="P42" s="32" t="s">
        <v>8971</v>
      </c>
      <c r="Q42" s="1"/>
      <c r="R42" s="1">
        <v>16</v>
      </c>
      <c r="S42" s="49">
        <v>115</v>
      </c>
      <c r="T42" s="2" t="s">
        <v>8818</v>
      </c>
      <c r="U42" s="2"/>
      <c r="V42" s="2"/>
      <c r="W42" s="2" t="s">
        <v>51</v>
      </c>
      <c r="X42" s="2" t="s">
        <v>51</v>
      </c>
      <c r="Y42" s="18"/>
    </row>
    <row r="43" spans="1:25" x14ac:dyDescent="0.25">
      <c r="A43" s="2"/>
      <c r="B43" s="2" t="s">
        <v>8962</v>
      </c>
      <c r="C43" s="2"/>
      <c r="D43" s="1"/>
      <c r="E43" s="1" t="s">
        <v>8000</v>
      </c>
      <c r="F43" s="1"/>
      <c r="G43" s="1"/>
      <c r="H43" s="1"/>
      <c r="I43" s="1">
        <v>106</v>
      </c>
      <c r="J43" s="16" t="s">
        <v>1929</v>
      </c>
      <c r="K43" s="2"/>
      <c r="L43" s="18">
        <v>2.5312999999999999</v>
      </c>
      <c r="M43" s="18"/>
      <c r="N43" s="2" t="s">
        <v>1881</v>
      </c>
      <c r="O43" s="2"/>
      <c r="P43" s="32" t="s">
        <v>8972</v>
      </c>
      <c r="Q43" s="1"/>
      <c r="R43" s="1">
        <v>16</v>
      </c>
      <c r="S43" s="49">
        <v>108</v>
      </c>
      <c r="T43" s="2" t="s">
        <v>8819</v>
      </c>
      <c r="U43" s="2"/>
      <c r="V43" s="2"/>
      <c r="W43" s="2" t="s">
        <v>51</v>
      </c>
      <c r="X43" s="2" t="s">
        <v>51</v>
      </c>
      <c r="Y43" s="18"/>
    </row>
    <row r="44" spans="1:25" x14ac:dyDescent="0.25">
      <c r="A44" s="2"/>
      <c r="B44" s="2" t="s">
        <v>8963</v>
      </c>
      <c r="C44" s="2"/>
      <c r="D44" s="1"/>
      <c r="E44" s="1" t="s">
        <v>8000</v>
      </c>
      <c r="F44" s="1"/>
      <c r="G44" s="1"/>
      <c r="H44" s="1"/>
      <c r="I44" s="1">
        <v>131</v>
      </c>
      <c r="J44" s="16" t="s">
        <v>1879</v>
      </c>
      <c r="K44" s="2"/>
      <c r="L44" s="18">
        <v>2.5312999999999999</v>
      </c>
      <c r="M44" s="18"/>
      <c r="N44" s="2" t="s">
        <v>1881</v>
      </c>
      <c r="O44" s="2"/>
      <c r="P44" s="32" t="s">
        <v>8973</v>
      </c>
      <c r="Q44" s="1"/>
      <c r="R44" s="1">
        <v>16</v>
      </c>
      <c r="S44" s="49">
        <v>99</v>
      </c>
      <c r="T44" s="2" t="s">
        <v>8820</v>
      </c>
      <c r="U44" s="2"/>
      <c r="V44" s="2"/>
      <c r="W44" s="2" t="s">
        <v>51</v>
      </c>
      <c r="X44" s="2" t="s">
        <v>51</v>
      </c>
      <c r="Y44" s="18"/>
    </row>
    <row r="45" spans="1:25" x14ac:dyDescent="0.25">
      <c r="A45" s="2"/>
      <c r="B45" s="2" t="s">
        <v>8964</v>
      </c>
      <c r="C45" s="2"/>
      <c r="D45" s="1"/>
      <c r="E45" s="1" t="s">
        <v>8000</v>
      </c>
      <c r="F45" s="1"/>
      <c r="G45" s="1"/>
      <c r="H45" s="1"/>
      <c r="I45" s="1">
        <v>59</v>
      </c>
      <c r="J45" s="16" t="s">
        <v>1879</v>
      </c>
      <c r="K45" s="2"/>
      <c r="L45" s="18">
        <v>9.0903999999999989</v>
      </c>
      <c r="M45" s="18"/>
      <c r="N45" s="2" t="s">
        <v>8840</v>
      </c>
      <c r="O45" s="2"/>
      <c r="P45" s="32" t="s">
        <v>8974</v>
      </c>
      <c r="Q45" s="1"/>
      <c r="R45" s="1">
        <v>0</v>
      </c>
      <c r="S45" s="49">
        <v>70</v>
      </c>
      <c r="T45" s="2" t="s">
        <v>8821</v>
      </c>
      <c r="U45" s="2"/>
      <c r="V45" s="2"/>
      <c r="W45" s="2" t="s">
        <v>51</v>
      </c>
      <c r="X45" s="2" t="s">
        <v>51</v>
      </c>
      <c r="Y45" s="18"/>
    </row>
    <row r="46" spans="1:25" x14ac:dyDescent="0.25">
      <c r="A46" s="2"/>
      <c r="B46" s="2" t="s">
        <v>8975</v>
      </c>
      <c r="C46" s="2"/>
      <c r="D46" s="1"/>
      <c r="E46" s="1" t="s">
        <v>8000</v>
      </c>
      <c r="F46" s="1"/>
      <c r="G46" s="1"/>
      <c r="H46" s="1"/>
      <c r="I46" s="1"/>
      <c r="J46" s="16" t="s">
        <v>1929</v>
      </c>
      <c r="K46" s="2"/>
      <c r="L46" s="18">
        <v>17.382899999999999</v>
      </c>
      <c r="M46" s="18" t="s">
        <v>8842</v>
      </c>
      <c r="N46" s="2"/>
      <c r="O46" s="2"/>
      <c r="P46" s="32" t="s">
        <v>8984</v>
      </c>
      <c r="Q46" s="1"/>
      <c r="R46" s="49">
        <v>0</v>
      </c>
      <c r="S46" s="49">
        <v>98</v>
      </c>
      <c r="T46" s="2" t="s">
        <v>8822</v>
      </c>
      <c r="U46" s="2"/>
      <c r="V46" s="2"/>
      <c r="W46" s="2" t="s">
        <v>51</v>
      </c>
      <c r="X46" s="2" t="s">
        <v>51</v>
      </c>
      <c r="Y46" s="18"/>
    </row>
    <row r="47" spans="1:25" x14ac:dyDescent="0.25">
      <c r="A47" s="2"/>
      <c r="B47" s="2" t="s">
        <v>8976</v>
      </c>
      <c r="C47" s="2"/>
      <c r="D47" s="1"/>
      <c r="E47" s="1" t="s">
        <v>8000</v>
      </c>
      <c r="F47" s="1"/>
      <c r="G47" s="1"/>
      <c r="H47" s="1"/>
      <c r="I47" s="1">
        <f>115+23</f>
        <v>138</v>
      </c>
      <c r="J47" s="16" t="s">
        <v>1929</v>
      </c>
      <c r="K47" s="2"/>
      <c r="L47" s="18">
        <v>2.5312999999999999</v>
      </c>
      <c r="M47" s="18" t="s">
        <v>8842</v>
      </c>
      <c r="N47" s="2" t="s">
        <v>8840</v>
      </c>
      <c r="O47" s="2"/>
      <c r="P47" s="32" t="s">
        <v>8985</v>
      </c>
      <c r="Q47" s="1"/>
      <c r="R47" s="49">
        <v>12</v>
      </c>
      <c r="S47" s="49">
        <v>102</v>
      </c>
      <c r="T47" s="2" t="s">
        <v>8823</v>
      </c>
      <c r="U47" s="2"/>
      <c r="V47" s="2"/>
      <c r="W47" s="2" t="s">
        <v>51</v>
      </c>
      <c r="X47" s="2" t="s">
        <v>51</v>
      </c>
      <c r="Y47" s="18"/>
    </row>
    <row r="48" spans="1:25" x14ac:dyDescent="0.25">
      <c r="A48" s="2"/>
      <c r="B48" s="2" t="s">
        <v>8977</v>
      </c>
      <c r="C48" s="2"/>
      <c r="D48" s="1"/>
      <c r="E48" s="1" t="s">
        <v>8000</v>
      </c>
      <c r="F48" s="1"/>
      <c r="G48" s="1"/>
      <c r="H48" s="1"/>
      <c r="I48" s="49">
        <v>88</v>
      </c>
      <c r="J48" s="16" t="s">
        <v>1929</v>
      </c>
      <c r="K48" s="2"/>
      <c r="L48" s="18">
        <v>3.6869000000000001</v>
      </c>
      <c r="M48" s="18" t="s">
        <v>8842</v>
      </c>
      <c r="N48" s="2" t="s">
        <v>8840</v>
      </c>
      <c r="O48" s="2"/>
      <c r="P48" s="32" t="s">
        <v>8986</v>
      </c>
      <c r="Q48" s="1"/>
      <c r="R48" s="49">
        <v>6</v>
      </c>
      <c r="S48" s="49">
        <v>99</v>
      </c>
      <c r="T48" s="2" t="s">
        <v>8824</v>
      </c>
      <c r="U48" s="2"/>
      <c r="V48" s="2"/>
      <c r="W48" s="2" t="s">
        <v>51</v>
      </c>
      <c r="X48" s="2" t="s">
        <v>51</v>
      </c>
      <c r="Y48" s="18"/>
    </row>
    <row r="49" spans="1:25" x14ac:dyDescent="0.25">
      <c r="A49" s="2"/>
      <c r="B49" s="2" t="s">
        <v>8978</v>
      </c>
      <c r="C49" s="2"/>
      <c r="D49" s="1"/>
      <c r="E49" s="1" t="s">
        <v>8000</v>
      </c>
      <c r="F49" s="1"/>
      <c r="G49" s="1"/>
      <c r="H49" s="1"/>
      <c r="I49" s="1">
        <v>104</v>
      </c>
      <c r="J49" s="16" t="s">
        <v>7527</v>
      </c>
      <c r="K49" s="2"/>
      <c r="L49" s="18">
        <v>3.5798999999999999</v>
      </c>
      <c r="M49" s="18"/>
      <c r="N49" s="2" t="s">
        <v>8983</v>
      </c>
      <c r="O49" s="2"/>
      <c r="P49" s="32" t="s">
        <v>8987</v>
      </c>
      <c r="Q49" s="1"/>
      <c r="R49" s="1">
        <v>12</v>
      </c>
      <c r="S49" s="49">
        <v>83</v>
      </c>
      <c r="T49" s="2" t="s">
        <v>8825</v>
      </c>
      <c r="U49" s="2"/>
      <c r="V49" s="2"/>
      <c r="W49" s="2" t="s">
        <v>51</v>
      </c>
      <c r="X49" s="2" t="s">
        <v>51</v>
      </c>
      <c r="Y49" s="18"/>
    </row>
    <row r="50" spans="1:25" x14ac:dyDescent="0.25">
      <c r="A50" s="2"/>
      <c r="B50" s="2" t="s">
        <v>8979</v>
      </c>
      <c r="C50" s="2"/>
      <c r="D50" s="1"/>
      <c r="E50" s="1" t="s">
        <v>8000</v>
      </c>
      <c r="F50" s="1"/>
      <c r="G50" s="1"/>
      <c r="H50" s="1"/>
      <c r="I50" s="1">
        <f>122+109+108</f>
        <v>339</v>
      </c>
      <c r="J50" s="16" t="s">
        <v>1879</v>
      </c>
      <c r="K50" s="2"/>
      <c r="L50" s="18">
        <v>5.0885999999999996</v>
      </c>
      <c r="M50" s="18"/>
      <c r="N50" s="2" t="s">
        <v>8982</v>
      </c>
      <c r="O50" s="2"/>
      <c r="P50" s="32" t="s">
        <v>8988</v>
      </c>
      <c r="Q50" s="1"/>
      <c r="R50" s="1">
        <v>12</v>
      </c>
      <c r="S50" s="49">
        <v>128</v>
      </c>
      <c r="T50" s="2" t="s">
        <v>8826</v>
      </c>
      <c r="U50" s="2"/>
      <c r="V50" s="2"/>
      <c r="W50" s="2" t="s">
        <v>51</v>
      </c>
      <c r="X50" s="2" t="s">
        <v>51</v>
      </c>
      <c r="Y50" s="18"/>
    </row>
    <row r="51" spans="1:25" x14ac:dyDescent="0.25">
      <c r="A51" s="2"/>
      <c r="B51" s="2" t="s">
        <v>8980</v>
      </c>
      <c r="C51" s="2"/>
      <c r="D51" s="1"/>
      <c r="E51" s="1" t="s">
        <v>8000</v>
      </c>
      <c r="F51" s="1"/>
      <c r="G51" s="1"/>
      <c r="H51" s="1"/>
      <c r="I51" s="1"/>
      <c r="J51" s="16" t="s">
        <v>1879</v>
      </c>
      <c r="K51" s="2"/>
      <c r="L51" s="18">
        <v>3.0876999999999999</v>
      </c>
      <c r="M51" s="18"/>
      <c r="N51" s="2" t="s">
        <v>1881</v>
      </c>
      <c r="O51" s="2"/>
      <c r="P51" s="32"/>
      <c r="Q51" s="1"/>
      <c r="R51" s="1">
        <v>0</v>
      </c>
      <c r="S51" s="49">
        <v>88</v>
      </c>
      <c r="T51" s="2" t="s">
        <v>8827</v>
      </c>
      <c r="U51" s="2"/>
      <c r="V51" s="2"/>
      <c r="W51" s="2" t="s">
        <v>51</v>
      </c>
      <c r="X51" s="2" t="s">
        <v>51</v>
      </c>
      <c r="Y51" s="18"/>
    </row>
    <row r="52" spans="1:25" x14ac:dyDescent="0.25">
      <c r="A52" s="2"/>
      <c r="B52" s="2" t="s">
        <v>8981</v>
      </c>
      <c r="C52" s="2"/>
      <c r="D52" s="1"/>
      <c r="E52" s="1" t="s">
        <v>8000</v>
      </c>
      <c r="F52" s="1"/>
      <c r="G52" s="1"/>
      <c r="H52" s="1"/>
      <c r="I52" s="1">
        <v>56</v>
      </c>
      <c r="J52" s="16" t="s">
        <v>7527</v>
      </c>
      <c r="K52" s="2"/>
      <c r="L52" s="18">
        <v>2.5847999999999995</v>
      </c>
      <c r="M52" s="18"/>
      <c r="N52" s="2" t="s">
        <v>1881</v>
      </c>
      <c r="O52" s="2"/>
      <c r="P52" s="32" t="s">
        <v>8989</v>
      </c>
      <c r="Q52" s="1"/>
      <c r="R52" s="1">
        <v>0</v>
      </c>
      <c r="S52" s="49">
        <v>97</v>
      </c>
      <c r="T52" s="2" t="s">
        <v>8990</v>
      </c>
      <c r="U52" s="2"/>
      <c r="V52" s="2"/>
      <c r="W52" s="2" t="s">
        <v>51</v>
      </c>
      <c r="X52" s="2" t="s">
        <v>51</v>
      </c>
      <c r="Y52" s="18"/>
    </row>
    <row r="53" spans="1:25" x14ac:dyDescent="0.25">
      <c r="A53" s="2"/>
      <c r="B53" s="2" t="s">
        <v>8991</v>
      </c>
      <c r="C53" s="2"/>
      <c r="D53" s="1"/>
      <c r="E53" s="1" t="s">
        <v>8000</v>
      </c>
      <c r="F53" s="1"/>
      <c r="G53" s="1"/>
      <c r="H53" s="1"/>
      <c r="I53" s="49">
        <v>53</v>
      </c>
      <c r="J53" s="16" t="s">
        <v>1879</v>
      </c>
      <c r="K53" s="2"/>
      <c r="L53" s="18">
        <v>4.9388000000000005</v>
      </c>
      <c r="M53" s="18"/>
      <c r="N53" s="2" t="s">
        <v>8903</v>
      </c>
      <c r="O53" s="2"/>
      <c r="P53" s="32" t="s">
        <v>9004</v>
      </c>
      <c r="Q53" s="1"/>
      <c r="R53" s="49">
        <v>0</v>
      </c>
      <c r="S53" s="49">
        <v>89</v>
      </c>
      <c r="T53" s="2" t="s">
        <v>9008</v>
      </c>
      <c r="U53" s="2"/>
      <c r="V53" s="2"/>
      <c r="W53" s="2" t="s">
        <v>51</v>
      </c>
      <c r="X53" s="2" t="s">
        <v>51</v>
      </c>
      <c r="Y53" s="18"/>
    </row>
    <row r="54" spans="1:25" x14ac:dyDescent="0.25">
      <c r="A54" s="2"/>
      <c r="B54" s="2" t="s">
        <v>8992</v>
      </c>
      <c r="C54" s="2"/>
      <c r="D54" s="1"/>
      <c r="E54" s="1" t="s">
        <v>8000</v>
      </c>
      <c r="F54" s="1"/>
      <c r="G54" s="1"/>
      <c r="H54" s="1"/>
      <c r="I54" s="1">
        <v>100</v>
      </c>
      <c r="J54" s="16" t="s">
        <v>1879</v>
      </c>
      <c r="K54" s="2"/>
      <c r="L54" s="18">
        <v>4.9388000000000005</v>
      </c>
      <c r="M54" s="18"/>
      <c r="N54" s="2" t="s">
        <v>9003</v>
      </c>
      <c r="O54" s="2"/>
      <c r="P54" s="32"/>
      <c r="Q54" s="1"/>
      <c r="R54" s="49">
        <v>0</v>
      </c>
      <c r="S54" s="49">
        <v>82</v>
      </c>
      <c r="T54" s="2" t="s">
        <v>9009</v>
      </c>
      <c r="U54" s="2"/>
      <c r="V54" s="2"/>
      <c r="W54" s="2" t="s">
        <v>51</v>
      </c>
      <c r="X54" s="2" t="s">
        <v>51</v>
      </c>
      <c r="Y54" s="18"/>
    </row>
    <row r="55" spans="1:25" x14ac:dyDescent="0.25">
      <c r="A55" s="2"/>
      <c r="B55" s="2" t="s">
        <v>8993</v>
      </c>
      <c r="C55" s="2"/>
      <c r="D55" s="1"/>
      <c r="E55" s="1" t="s">
        <v>8000</v>
      </c>
      <c r="F55" s="1"/>
      <c r="G55" s="1"/>
      <c r="H55" s="1"/>
      <c r="I55" s="1">
        <v>100</v>
      </c>
      <c r="J55" s="16" t="s">
        <v>1879</v>
      </c>
      <c r="K55" s="2"/>
      <c r="L55" s="18">
        <v>4.9388000000000005</v>
      </c>
      <c r="M55" s="18"/>
      <c r="N55" s="2" t="s">
        <v>9003</v>
      </c>
      <c r="O55" s="2"/>
      <c r="P55" s="32"/>
      <c r="Q55" s="1"/>
      <c r="R55" s="49">
        <v>0</v>
      </c>
      <c r="S55" s="49">
        <v>82</v>
      </c>
      <c r="T55" s="2" t="s">
        <v>9010</v>
      </c>
      <c r="U55" s="2"/>
      <c r="V55" s="2"/>
      <c r="W55" s="2" t="s">
        <v>51</v>
      </c>
      <c r="X55" s="2" t="s">
        <v>51</v>
      </c>
      <c r="Y55" s="18"/>
    </row>
    <row r="56" spans="1:25" x14ac:dyDescent="0.25">
      <c r="A56" s="2"/>
      <c r="B56" s="2" t="s">
        <v>8994</v>
      </c>
      <c r="C56" s="2"/>
      <c r="D56" s="1"/>
      <c r="E56" s="1" t="s">
        <v>8000</v>
      </c>
      <c r="F56" s="1"/>
      <c r="G56" s="1"/>
      <c r="H56" s="1"/>
      <c r="I56" s="1">
        <v>100</v>
      </c>
      <c r="J56" s="16" t="s">
        <v>1879</v>
      </c>
      <c r="K56" s="2"/>
      <c r="L56" s="18">
        <v>2.8843999999999999</v>
      </c>
      <c r="M56" s="18"/>
      <c r="N56" s="2" t="s">
        <v>9003</v>
      </c>
      <c r="O56" s="2"/>
      <c r="P56" s="32"/>
      <c r="Q56" s="1"/>
      <c r="R56" s="1">
        <v>0</v>
      </c>
      <c r="S56" s="49">
        <v>81</v>
      </c>
      <c r="T56" s="2" t="s">
        <v>9011</v>
      </c>
      <c r="U56" s="2"/>
      <c r="V56" s="2"/>
      <c r="W56" s="2" t="s">
        <v>51</v>
      </c>
      <c r="X56" s="2" t="s">
        <v>51</v>
      </c>
      <c r="Y56" s="18"/>
    </row>
    <row r="57" spans="1:25" x14ac:dyDescent="0.25">
      <c r="A57" s="2"/>
      <c r="B57" s="2" t="s">
        <v>8995</v>
      </c>
      <c r="C57" s="2"/>
      <c r="D57" s="1"/>
      <c r="E57" s="1" t="s">
        <v>8000</v>
      </c>
      <c r="F57" s="1"/>
      <c r="G57" s="1"/>
      <c r="H57" s="1"/>
      <c r="I57" s="1">
        <v>60</v>
      </c>
      <c r="J57" s="16" t="s">
        <v>1879</v>
      </c>
      <c r="K57" s="2"/>
      <c r="L57" s="18">
        <v>4.9388000000000005</v>
      </c>
      <c r="M57" s="18"/>
      <c r="N57" s="2" t="s">
        <v>1881</v>
      </c>
      <c r="O57" s="2"/>
      <c r="P57" s="32"/>
      <c r="Q57" s="1"/>
      <c r="R57" s="1">
        <v>0</v>
      </c>
      <c r="S57" s="49">
        <v>78</v>
      </c>
      <c r="T57" s="2" t="s">
        <v>9012</v>
      </c>
      <c r="U57" s="2"/>
      <c r="V57" s="2"/>
      <c r="W57" s="2" t="s">
        <v>51</v>
      </c>
      <c r="X57" s="2" t="s">
        <v>51</v>
      </c>
      <c r="Y57" s="18"/>
    </row>
    <row r="58" spans="1:25" x14ac:dyDescent="0.25">
      <c r="A58" s="2"/>
      <c r="B58" s="2" t="s">
        <v>8996</v>
      </c>
      <c r="C58" s="2"/>
      <c r="D58" s="1"/>
      <c r="E58" s="1" t="s">
        <v>8000</v>
      </c>
      <c r="F58" s="1"/>
      <c r="G58" s="1"/>
      <c r="H58" s="1"/>
      <c r="I58" s="1">
        <v>55</v>
      </c>
      <c r="J58" s="16" t="s">
        <v>1879</v>
      </c>
      <c r="K58" s="2"/>
      <c r="L58" s="18">
        <v>3.1947000000000001</v>
      </c>
      <c r="M58" s="18"/>
      <c r="N58" s="2" t="s">
        <v>1881</v>
      </c>
      <c r="O58" s="2"/>
      <c r="P58" s="32"/>
      <c r="Q58" s="1"/>
      <c r="R58" s="1">
        <v>0</v>
      </c>
      <c r="S58" s="49">
        <v>91</v>
      </c>
      <c r="T58" s="2" t="s">
        <v>9013</v>
      </c>
      <c r="U58" s="2"/>
      <c r="V58" s="2"/>
      <c r="W58" s="2" t="s">
        <v>51</v>
      </c>
      <c r="X58" s="2" t="s">
        <v>51</v>
      </c>
      <c r="Y58" s="18"/>
    </row>
    <row r="59" spans="1:25" x14ac:dyDescent="0.25">
      <c r="A59" s="2"/>
      <c r="B59" s="2" t="s">
        <v>8997</v>
      </c>
      <c r="C59" s="2"/>
      <c r="D59" s="1"/>
      <c r="E59" s="1" t="s">
        <v>8000</v>
      </c>
      <c r="F59" s="1"/>
      <c r="G59" s="1"/>
      <c r="H59" s="1"/>
      <c r="I59" s="1">
        <v>60</v>
      </c>
      <c r="J59" s="16" t="s">
        <v>1879</v>
      </c>
      <c r="K59" s="2"/>
      <c r="L59" s="18">
        <v>2.5312999999999999</v>
      </c>
      <c r="M59" s="18"/>
      <c r="N59" s="2" t="s">
        <v>9002</v>
      </c>
      <c r="O59" s="2"/>
      <c r="P59" s="32" t="s">
        <v>9005</v>
      </c>
      <c r="Q59" s="1"/>
      <c r="R59" s="1">
        <v>0</v>
      </c>
      <c r="S59" s="49">
        <v>99</v>
      </c>
      <c r="T59" s="2" t="s">
        <v>9014</v>
      </c>
      <c r="U59" s="2"/>
      <c r="V59" s="2"/>
      <c r="W59" s="2" t="s">
        <v>51</v>
      </c>
      <c r="X59" s="2" t="s">
        <v>51</v>
      </c>
      <c r="Y59" s="18"/>
    </row>
    <row r="60" spans="1:25" x14ac:dyDescent="0.25">
      <c r="A60" s="2"/>
      <c r="B60" s="2" t="s">
        <v>8998</v>
      </c>
      <c r="C60" s="2"/>
      <c r="D60" s="1"/>
      <c r="E60" s="1" t="s">
        <v>8000</v>
      </c>
      <c r="F60" s="1"/>
      <c r="G60" s="1"/>
      <c r="H60" s="1"/>
      <c r="I60" s="1">
        <v>38</v>
      </c>
      <c r="J60" s="16" t="s">
        <v>1879</v>
      </c>
      <c r="K60" s="2"/>
      <c r="L60" s="18">
        <v>2.8843999999999999</v>
      </c>
      <c r="M60" s="18"/>
      <c r="N60" s="2" t="s">
        <v>9001</v>
      </c>
      <c r="O60" s="2"/>
      <c r="P60" s="32" t="s">
        <v>9006</v>
      </c>
      <c r="Q60" s="1"/>
      <c r="R60" s="1">
        <v>0</v>
      </c>
      <c r="S60" s="49">
        <v>105</v>
      </c>
      <c r="T60" s="2" t="s">
        <v>9015</v>
      </c>
      <c r="U60" s="2"/>
      <c r="V60" s="2"/>
      <c r="W60" s="2" t="s">
        <v>51</v>
      </c>
      <c r="X60" s="2" t="s">
        <v>51</v>
      </c>
      <c r="Y60" s="18"/>
    </row>
    <row r="61" spans="1:25" x14ac:dyDescent="0.25">
      <c r="A61" s="2"/>
      <c r="B61" s="2" t="s">
        <v>8999</v>
      </c>
      <c r="C61" s="2"/>
      <c r="D61" s="1"/>
      <c r="E61" s="1" t="s">
        <v>8000</v>
      </c>
      <c r="F61" s="1"/>
      <c r="G61" s="1"/>
      <c r="H61" s="1"/>
      <c r="I61" s="1">
        <v>26</v>
      </c>
      <c r="J61" s="16" t="s">
        <v>1879</v>
      </c>
      <c r="K61" s="2"/>
      <c r="L61" s="18">
        <v>2.8843999999999999</v>
      </c>
      <c r="M61" s="18"/>
      <c r="N61" s="2" t="s">
        <v>1881</v>
      </c>
      <c r="O61" s="2"/>
      <c r="P61" s="32"/>
      <c r="Q61" s="1"/>
      <c r="R61" s="1">
        <v>6</v>
      </c>
      <c r="S61" s="49">
        <v>74</v>
      </c>
      <c r="T61" s="2" t="s">
        <v>9016</v>
      </c>
      <c r="U61" s="2"/>
      <c r="V61" s="2"/>
      <c r="W61" s="2" t="s">
        <v>51</v>
      </c>
      <c r="X61" s="2" t="s">
        <v>51</v>
      </c>
      <c r="Y61" s="18"/>
    </row>
    <row r="62" spans="1:25" x14ac:dyDescent="0.25">
      <c r="A62" s="2"/>
      <c r="B62" s="2" t="s">
        <v>9000</v>
      </c>
      <c r="C62" s="2"/>
      <c r="D62" s="1"/>
      <c r="E62" s="1" t="s">
        <v>8000</v>
      </c>
      <c r="F62" s="1"/>
      <c r="G62" s="1"/>
      <c r="H62" s="1"/>
      <c r="I62" s="1">
        <v>45</v>
      </c>
      <c r="J62" s="16" t="s">
        <v>1879</v>
      </c>
      <c r="K62" s="2"/>
      <c r="L62" s="18"/>
      <c r="M62" s="18"/>
      <c r="N62" s="2" t="s">
        <v>1881</v>
      </c>
      <c r="O62" s="2"/>
      <c r="P62" s="32"/>
      <c r="Q62" s="1"/>
      <c r="R62" s="1">
        <v>6</v>
      </c>
      <c r="S62" s="49">
        <v>82</v>
      </c>
      <c r="T62" s="2" t="s">
        <v>9017</v>
      </c>
      <c r="U62" s="2"/>
      <c r="V62" s="2"/>
      <c r="W62" s="2" t="s">
        <v>51</v>
      </c>
      <c r="X62" s="2" t="s">
        <v>51</v>
      </c>
      <c r="Y62" s="18"/>
    </row>
  </sheetData>
  <sheetProtection selectLockedCells="1" selectUnlockedCells="1"/>
  <phoneticPr fontId="14" type="noConversion"/>
  <dataValidations count="4">
    <dataValidation type="decimal" allowBlank="1" showDropDown="1" showErrorMessage="1" sqref="L1" xr:uid="{00000000-0002-0000-0300-000000000000}">
      <formula1>0</formula1>
      <formula2>100000</formula2>
    </dataValidation>
    <dataValidation type="list" allowBlank="1" showErrorMessage="1" sqref="E2:E62" xr:uid="{00000000-0002-0000-0300-000001000000}">
      <formula1>"bitte auswählen,DVD,VHS,Blue-Ray,Super-8,Video2000,Laserdisc,Filmposter,Sonstiges Format"</formula1>
      <formula2>0</formula2>
    </dataValidation>
    <dataValidation type="list" allowBlank="1" showErrorMessage="1" sqref="X2:X62" xr:uid="{00000000-0002-0000-0300-000002000000}">
      <formula1>"nein,ja (nur gewerblich),"</formula1>
      <formula2>0</formula2>
    </dataValidation>
    <dataValidation type="list" allowBlank="1" showErrorMessage="1" sqref="W2:W62" xr:uid="{00000000-0002-0000-0300-000003000000}">
      <formula1>"nein,ja"</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FE183-5766-4CB1-ACFA-80C3C2E70789}">
  <dimension ref="A1:AJ99"/>
  <sheetViews>
    <sheetView topLeftCell="R1" workbookViewId="0">
      <selection activeCell="AE2" sqref="AE2"/>
    </sheetView>
  </sheetViews>
  <sheetFormatPr baseColWidth="10" defaultColWidth="11.5546875" defaultRowHeight="13.2" x14ac:dyDescent="0.25"/>
  <cols>
    <col min="5" max="5" width="14.88671875" customWidth="1"/>
    <col min="6" max="8" width="0" hidden="1" customWidth="1"/>
    <col min="9" max="9" width="13.5546875" customWidth="1"/>
    <col min="10" max="10" width="14.44140625" customWidth="1"/>
    <col min="11" max="11" width="24" hidden="1" customWidth="1"/>
    <col min="12" max="12" width="13.6640625" customWidth="1"/>
    <col min="18" max="18" width="14" customWidth="1"/>
    <col min="19" max="19" width="14.44140625" customWidth="1"/>
    <col min="21" max="21" width="27.109375" bestFit="1" customWidth="1"/>
    <col min="23" max="23" width="21.6640625" customWidth="1"/>
    <col min="25" max="25" width="43.6640625" style="2" customWidth="1"/>
    <col min="28" max="28" width="18.5546875" bestFit="1" customWidth="1"/>
    <col min="31" max="31" width="11.5546875" style="197"/>
  </cols>
  <sheetData>
    <row r="1" spans="1:36" x14ac:dyDescent="0.25">
      <c r="A1" s="21" t="s">
        <v>26</v>
      </c>
      <c r="B1" s="23" t="s">
        <v>28</v>
      </c>
      <c r="C1" s="22" t="s">
        <v>57</v>
      </c>
      <c r="D1" s="21" t="s">
        <v>58</v>
      </c>
      <c r="E1" s="23" t="s">
        <v>53</v>
      </c>
      <c r="F1" s="22" t="s">
        <v>59</v>
      </c>
      <c r="G1" s="21" t="s">
        <v>31</v>
      </c>
      <c r="H1" s="21" t="s">
        <v>60</v>
      </c>
      <c r="I1" s="21" t="s">
        <v>61</v>
      </c>
      <c r="J1" s="24" t="s">
        <v>34</v>
      </c>
      <c r="K1" s="21" t="s">
        <v>35</v>
      </c>
      <c r="L1" s="27" t="s">
        <v>42</v>
      </c>
      <c r="M1" s="31" t="s">
        <v>43</v>
      </c>
      <c r="N1" s="21" t="s">
        <v>62</v>
      </c>
      <c r="O1" s="21" t="s">
        <v>63</v>
      </c>
      <c r="P1" s="25" t="s">
        <v>64</v>
      </c>
      <c r="Q1" s="21" t="s">
        <v>65</v>
      </c>
      <c r="R1" s="23" t="s">
        <v>66</v>
      </c>
      <c r="S1" s="26" t="s">
        <v>41</v>
      </c>
      <c r="T1" s="21" t="s">
        <v>40</v>
      </c>
      <c r="U1" s="21" t="s">
        <v>6555</v>
      </c>
      <c r="V1" s="21" t="s">
        <v>6356</v>
      </c>
      <c r="W1" s="21" t="s">
        <v>4882</v>
      </c>
      <c r="X1" s="21" t="s">
        <v>8641</v>
      </c>
      <c r="Y1" s="21" t="s">
        <v>6554</v>
      </c>
      <c r="Z1" s="21" t="s">
        <v>6556</v>
      </c>
      <c r="AA1" s="21" t="s">
        <v>8607</v>
      </c>
      <c r="AB1" s="21" t="s">
        <v>8608</v>
      </c>
      <c r="AC1" s="76">
        <v>43739</v>
      </c>
      <c r="AD1" s="76">
        <v>43770</v>
      </c>
      <c r="AE1" s="76">
        <v>43800</v>
      </c>
      <c r="AF1" s="21" t="s">
        <v>44</v>
      </c>
      <c r="AG1" s="21" t="s">
        <v>45</v>
      </c>
      <c r="AH1" s="21" t="s">
        <v>46</v>
      </c>
      <c r="AI1" s="21" t="s">
        <v>47</v>
      </c>
      <c r="AJ1" s="21" t="s">
        <v>50</v>
      </c>
    </row>
    <row r="2" spans="1:36" x14ac:dyDescent="0.25">
      <c r="A2" s="2"/>
      <c r="B2" s="2" t="s">
        <v>8876</v>
      </c>
      <c r="C2" s="2"/>
      <c r="D2" s="1"/>
      <c r="E2" s="1" t="s">
        <v>8000</v>
      </c>
      <c r="F2" s="1"/>
      <c r="G2" s="1"/>
      <c r="H2" s="1"/>
      <c r="I2" s="1">
        <v>85</v>
      </c>
      <c r="J2" s="16" t="s">
        <v>1929</v>
      </c>
      <c r="K2" s="2"/>
      <c r="L2" s="18">
        <f>AB2</f>
        <v>2.9592999999999998</v>
      </c>
      <c r="M2" s="18" t="s">
        <v>8842</v>
      </c>
      <c r="N2" s="2" t="s">
        <v>8840</v>
      </c>
      <c r="O2" s="2"/>
      <c r="P2" s="32" t="s">
        <v>8828</v>
      </c>
      <c r="Q2" s="1"/>
      <c r="R2" s="1">
        <v>16</v>
      </c>
      <c r="S2" s="1">
        <v>112</v>
      </c>
      <c r="T2" s="2" t="s">
        <v>8778</v>
      </c>
      <c r="U2" s="2">
        <f>0.79+2.2</f>
        <v>2.99</v>
      </c>
      <c r="V2" s="2"/>
      <c r="W2" s="2" t="str">
        <f>IF(S2&lt;501,"1,90","2,20")</f>
        <v>1,90</v>
      </c>
      <c r="X2" s="18">
        <v>0.34</v>
      </c>
      <c r="Y2" s="18">
        <v>0.65</v>
      </c>
      <c r="Z2" s="56">
        <f>(V2+X2+Y2)/100*7</f>
        <v>6.93E-2</v>
      </c>
      <c r="AA2">
        <f>U2</f>
        <v>2.99</v>
      </c>
      <c r="AB2" s="56">
        <f>V2+W2+X2+Y2+Z2</f>
        <v>2.9592999999999998</v>
      </c>
    </row>
    <row r="3" spans="1:36" x14ac:dyDescent="0.25">
      <c r="A3" s="2"/>
      <c r="B3" s="2" t="s">
        <v>8877</v>
      </c>
      <c r="C3" s="2"/>
      <c r="D3" s="1"/>
      <c r="E3" s="1" t="s">
        <v>8000</v>
      </c>
      <c r="F3" s="1"/>
      <c r="G3" s="1"/>
      <c r="H3" s="1"/>
      <c r="I3" s="1">
        <v>90</v>
      </c>
      <c r="J3" s="16" t="s">
        <v>1929</v>
      </c>
      <c r="K3" s="2"/>
      <c r="L3" s="18">
        <f t="shared" ref="L3:L61" si="0">AB3</f>
        <v>9.5397999999999996</v>
      </c>
      <c r="M3" s="18" t="s">
        <v>8842</v>
      </c>
      <c r="N3" s="2" t="s">
        <v>8840</v>
      </c>
      <c r="O3" s="2"/>
      <c r="P3" s="32" t="s">
        <v>8829</v>
      </c>
      <c r="Q3" s="1"/>
      <c r="R3" s="1">
        <v>16</v>
      </c>
      <c r="S3" s="1">
        <v>86</v>
      </c>
      <c r="T3" s="2" t="s">
        <v>8779</v>
      </c>
      <c r="U3" s="2">
        <f>6.99+2.6</f>
        <v>9.59</v>
      </c>
      <c r="V3" s="2"/>
      <c r="W3" s="2" t="str">
        <f t="shared" ref="W3:W66" si="1">IF(S3&lt;501,"1,90","2,20")</f>
        <v>1,90</v>
      </c>
      <c r="X3" s="18">
        <v>0.34</v>
      </c>
      <c r="Y3" s="18">
        <v>6.8</v>
      </c>
      <c r="Z3" s="56">
        <f t="shared" ref="Z3:Z66" si="2">(V3+X3+Y3)/100*7</f>
        <v>0.49979999999999991</v>
      </c>
      <c r="AA3">
        <f t="shared" ref="AA3:AA61" si="3">U3</f>
        <v>9.59</v>
      </c>
      <c r="AB3" s="56">
        <f t="shared" ref="AB3:AB61" si="4">V3+W3+X3+Y3+Z3</f>
        <v>9.5397999999999996</v>
      </c>
    </row>
    <row r="4" spans="1:36" x14ac:dyDescent="0.25">
      <c r="A4" s="2"/>
      <c r="B4" s="2" t="s">
        <v>8878</v>
      </c>
      <c r="C4" s="2"/>
      <c r="D4" s="1"/>
      <c r="E4" s="1" t="s">
        <v>8000</v>
      </c>
      <c r="F4" s="1"/>
      <c r="G4" s="1"/>
      <c r="H4" s="1"/>
      <c r="I4" s="1">
        <v>75</v>
      </c>
      <c r="J4" s="16" t="s">
        <v>1929</v>
      </c>
      <c r="K4" s="2"/>
      <c r="L4" s="18">
        <f t="shared" si="0"/>
        <v>4.7247999999999992</v>
      </c>
      <c r="M4" s="18" t="s">
        <v>8842</v>
      </c>
      <c r="N4" s="2" t="s">
        <v>1881</v>
      </c>
      <c r="O4" s="2"/>
      <c r="P4" s="32" t="s">
        <v>8830</v>
      </c>
      <c r="Q4" s="1"/>
      <c r="R4" s="1">
        <v>16</v>
      </c>
      <c r="S4" s="1">
        <v>101</v>
      </c>
      <c r="T4" s="2" t="s">
        <v>8780</v>
      </c>
      <c r="U4" s="2">
        <f>2.77+1.98</f>
        <v>4.75</v>
      </c>
      <c r="V4" s="2"/>
      <c r="W4" s="2" t="str">
        <f t="shared" si="1"/>
        <v>1,90</v>
      </c>
      <c r="X4" s="18">
        <v>0.34</v>
      </c>
      <c r="Y4" s="18">
        <v>2.2999999999999998</v>
      </c>
      <c r="Z4" s="56">
        <f t="shared" si="2"/>
        <v>0.18479999999999996</v>
      </c>
      <c r="AA4">
        <f t="shared" si="3"/>
        <v>4.75</v>
      </c>
      <c r="AB4" s="56">
        <f t="shared" si="4"/>
        <v>4.7247999999999992</v>
      </c>
    </row>
    <row r="5" spans="1:36" x14ac:dyDescent="0.25">
      <c r="A5" s="2"/>
      <c r="B5" s="2" t="s">
        <v>8879</v>
      </c>
      <c r="C5" s="2"/>
      <c r="D5" s="1"/>
      <c r="E5" s="1" t="s">
        <v>8000</v>
      </c>
      <c r="F5" s="1"/>
      <c r="G5" s="1"/>
      <c r="H5" s="1"/>
      <c r="I5" s="1">
        <v>90</v>
      </c>
      <c r="J5" s="33" t="s">
        <v>1929</v>
      </c>
      <c r="K5" s="2"/>
      <c r="L5" s="18">
        <f t="shared" si="0"/>
        <v>3.7831999999999999</v>
      </c>
      <c r="M5" s="18" t="s">
        <v>8842</v>
      </c>
      <c r="N5" s="2" t="s">
        <v>1881</v>
      </c>
      <c r="O5" s="2"/>
      <c r="P5" s="32" t="s">
        <v>8831</v>
      </c>
      <c r="Q5" s="1"/>
      <c r="R5" s="49">
        <v>16</v>
      </c>
      <c r="S5" s="1">
        <v>84</v>
      </c>
      <c r="T5" s="2" t="s">
        <v>8781</v>
      </c>
      <c r="U5" s="2">
        <f>1.5+2.3</f>
        <v>3.8</v>
      </c>
      <c r="V5" s="2"/>
      <c r="W5" s="2" t="str">
        <f t="shared" si="1"/>
        <v>1,90</v>
      </c>
      <c r="X5" s="18">
        <v>0.34</v>
      </c>
      <c r="Y5" s="18">
        <v>1.42</v>
      </c>
      <c r="Z5" s="56">
        <f t="shared" si="2"/>
        <v>0.1232</v>
      </c>
      <c r="AA5">
        <f t="shared" si="3"/>
        <v>3.8</v>
      </c>
      <c r="AB5" s="56">
        <f t="shared" si="4"/>
        <v>3.7831999999999999</v>
      </c>
    </row>
    <row r="6" spans="1:36" x14ac:dyDescent="0.25">
      <c r="A6" s="2"/>
      <c r="B6" s="2" t="s">
        <v>8880</v>
      </c>
      <c r="C6" s="2"/>
      <c r="D6" s="1"/>
      <c r="E6" s="1" t="s">
        <v>8000</v>
      </c>
      <c r="F6" s="1"/>
      <c r="G6" s="1"/>
      <c r="H6" s="1"/>
      <c r="I6" s="1">
        <v>120</v>
      </c>
      <c r="J6" s="16" t="s">
        <v>1929</v>
      </c>
      <c r="K6" s="2"/>
      <c r="L6" s="18">
        <f t="shared" si="0"/>
        <v>5.6877999999999993</v>
      </c>
      <c r="M6" s="18" t="s">
        <v>8842</v>
      </c>
      <c r="N6" s="2" t="s">
        <v>8841</v>
      </c>
      <c r="O6" s="2"/>
      <c r="P6" s="32" t="s">
        <v>8832</v>
      </c>
      <c r="Q6" s="1"/>
      <c r="R6" s="49">
        <v>16</v>
      </c>
      <c r="S6" s="1">
        <v>100</v>
      </c>
      <c r="T6" s="2" t="s">
        <v>8782</v>
      </c>
      <c r="U6" s="2">
        <v>5.7</v>
      </c>
      <c r="V6" s="2"/>
      <c r="W6" s="2" t="str">
        <f t="shared" si="1"/>
        <v>1,90</v>
      </c>
      <c r="X6" s="18">
        <v>0.34</v>
      </c>
      <c r="Y6" s="18">
        <v>3.2</v>
      </c>
      <c r="Z6" s="56">
        <f t="shared" si="2"/>
        <v>0.24780000000000002</v>
      </c>
      <c r="AA6">
        <f t="shared" si="3"/>
        <v>5.7</v>
      </c>
      <c r="AB6" s="56">
        <f t="shared" si="4"/>
        <v>5.6877999999999993</v>
      </c>
    </row>
    <row r="7" spans="1:36" x14ac:dyDescent="0.25">
      <c r="A7" s="2"/>
      <c r="B7" s="2" t="s">
        <v>8881</v>
      </c>
      <c r="C7" s="2"/>
      <c r="D7" s="1"/>
      <c r="E7" s="1" t="s">
        <v>8000</v>
      </c>
      <c r="F7" s="1"/>
      <c r="G7" s="1"/>
      <c r="H7" s="1"/>
      <c r="I7" s="1">
        <v>260</v>
      </c>
      <c r="J7" s="16" t="s">
        <v>1929</v>
      </c>
      <c r="K7" s="2"/>
      <c r="L7" s="18">
        <f t="shared" si="0"/>
        <v>10.395799999999999</v>
      </c>
      <c r="M7" s="18" t="s">
        <v>8842</v>
      </c>
      <c r="N7" s="2" t="s">
        <v>1881</v>
      </c>
      <c r="O7" s="2"/>
      <c r="P7" s="32" t="s">
        <v>8833</v>
      </c>
      <c r="Q7" s="1"/>
      <c r="R7" s="49">
        <v>6</v>
      </c>
      <c r="S7" s="1">
        <v>108</v>
      </c>
      <c r="T7" s="2" t="s">
        <v>8783</v>
      </c>
      <c r="U7" s="2">
        <v>10.49</v>
      </c>
      <c r="V7" s="2"/>
      <c r="W7" s="2" t="str">
        <f t="shared" si="1"/>
        <v>1,90</v>
      </c>
      <c r="X7" s="18">
        <v>0.34</v>
      </c>
      <c r="Y7" s="18">
        <v>7.6</v>
      </c>
      <c r="Z7" s="56">
        <f t="shared" si="2"/>
        <v>0.55579999999999996</v>
      </c>
      <c r="AA7">
        <f t="shared" si="3"/>
        <v>10.49</v>
      </c>
      <c r="AB7" s="56">
        <f t="shared" si="4"/>
        <v>10.395799999999999</v>
      </c>
    </row>
    <row r="8" spans="1:36" x14ac:dyDescent="0.25">
      <c r="A8" s="2"/>
      <c r="B8" s="2" t="s">
        <v>8882</v>
      </c>
      <c r="C8" s="2"/>
      <c r="D8" s="1"/>
      <c r="E8" s="1" t="s">
        <v>8000</v>
      </c>
      <c r="F8" s="1"/>
      <c r="G8" s="1"/>
      <c r="H8" s="1"/>
      <c r="I8" s="1">
        <v>117</v>
      </c>
      <c r="J8" s="16" t="s">
        <v>1929</v>
      </c>
      <c r="K8" s="2"/>
      <c r="L8" s="18">
        <f t="shared" si="0"/>
        <v>6.4367999999999999</v>
      </c>
      <c r="M8" s="18" t="s">
        <v>8842</v>
      </c>
      <c r="N8" s="2" t="s">
        <v>8840</v>
      </c>
      <c r="O8" s="2"/>
      <c r="P8" s="32" t="s">
        <v>8834</v>
      </c>
      <c r="Q8" s="1"/>
      <c r="R8" s="49">
        <v>12</v>
      </c>
      <c r="S8" s="1">
        <v>84</v>
      </c>
      <c r="T8" s="2" t="s">
        <v>8784</v>
      </c>
      <c r="U8" s="2">
        <f>4.99+1.49</f>
        <v>6.48</v>
      </c>
      <c r="V8" s="2"/>
      <c r="W8" s="2" t="str">
        <f t="shared" si="1"/>
        <v>1,90</v>
      </c>
      <c r="X8" s="18">
        <v>0.34</v>
      </c>
      <c r="Y8" s="18">
        <v>3.9</v>
      </c>
      <c r="Z8" s="56">
        <f t="shared" si="2"/>
        <v>0.29680000000000001</v>
      </c>
      <c r="AA8">
        <f t="shared" si="3"/>
        <v>6.48</v>
      </c>
      <c r="AB8" s="56">
        <f t="shared" si="4"/>
        <v>6.4367999999999999</v>
      </c>
    </row>
    <row r="9" spans="1:36" x14ac:dyDescent="0.25">
      <c r="A9" s="2"/>
      <c r="B9" s="2" t="s">
        <v>8883</v>
      </c>
      <c r="C9" s="2"/>
      <c r="D9" s="1"/>
      <c r="E9" s="1" t="s">
        <v>8000</v>
      </c>
      <c r="F9" s="1"/>
      <c r="G9" s="1"/>
      <c r="H9" s="1"/>
      <c r="I9" s="1">
        <v>61</v>
      </c>
      <c r="J9" s="16" t="s">
        <v>1929</v>
      </c>
      <c r="K9" s="2"/>
      <c r="L9" s="18">
        <f t="shared" si="0"/>
        <v>4.9388000000000005</v>
      </c>
      <c r="M9" s="18" t="s">
        <v>8842</v>
      </c>
      <c r="N9" s="2" t="s">
        <v>8839</v>
      </c>
      <c r="O9" s="2"/>
      <c r="P9" s="32" t="s">
        <v>8835</v>
      </c>
      <c r="Q9" s="1"/>
      <c r="R9" s="49">
        <v>0</v>
      </c>
      <c r="S9" s="1">
        <v>96</v>
      </c>
      <c r="T9" s="2" t="s">
        <v>8785</v>
      </c>
      <c r="U9" s="2"/>
      <c r="V9" s="2"/>
      <c r="W9" s="2" t="str">
        <f t="shared" si="1"/>
        <v>1,90</v>
      </c>
      <c r="X9" s="18">
        <v>0.34</v>
      </c>
      <c r="Y9" s="18">
        <v>2.5</v>
      </c>
      <c r="Z9" s="56">
        <f t="shared" si="2"/>
        <v>0.19879999999999998</v>
      </c>
      <c r="AA9">
        <f t="shared" si="3"/>
        <v>0</v>
      </c>
      <c r="AB9" s="56">
        <f t="shared" si="4"/>
        <v>4.9388000000000005</v>
      </c>
    </row>
    <row r="10" spans="1:36" x14ac:dyDescent="0.25">
      <c r="A10" s="2"/>
      <c r="B10" s="2" t="s">
        <v>8884</v>
      </c>
      <c r="C10" s="2"/>
      <c r="D10" s="1"/>
      <c r="E10" s="1" t="s">
        <v>8000</v>
      </c>
      <c r="F10" s="1"/>
      <c r="G10" s="1"/>
      <c r="H10" s="1"/>
      <c r="I10" s="1"/>
      <c r="J10" s="16" t="s">
        <v>1929</v>
      </c>
      <c r="K10" s="2"/>
      <c r="L10" s="18">
        <f t="shared" si="0"/>
        <v>4.9388000000000005</v>
      </c>
      <c r="M10" s="18" t="s">
        <v>8842</v>
      </c>
      <c r="N10" s="2"/>
      <c r="O10" s="2"/>
      <c r="P10" s="32" t="s">
        <v>8836</v>
      </c>
      <c r="Q10" s="1"/>
      <c r="R10" s="49">
        <v>0</v>
      </c>
      <c r="S10" s="1">
        <v>105</v>
      </c>
      <c r="T10" s="2" t="s">
        <v>8786</v>
      </c>
      <c r="U10" s="2"/>
      <c r="V10" s="2"/>
      <c r="W10" s="2" t="str">
        <f t="shared" si="1"/>
        <v>1,90</v>
      </c>
      <c r="X10" s="18">
        <v>0.34</v>
      </c>
      <c r="Y10" s="18">
        <v>2.5</v>
      </c>
      <c r="Z10" s="56">
        <f t="shared" si="2"/>
        <v>0.19879999999999998</v>
      </c>
      <c r="AA10">
        <f t="shared" si="3"/>
        <v>0</v>
      </c>
      <c r="AB10" s="56">
        <f t="shared" si="4"/>
        <v>4.9388000000000005</v>
      </c>
    </row>
    <row r="11" spans="1:36" x14ac:dyDescent="0.25">
      <c r="A11" s="2"/>
      <c r="B11" s="2" t="s">
        <v>8885</v>
      </c>
      <c r="C11" s="2"/>
      <c r="D11" s="1"/>
      <c r="E11" s="1" t="s">
        <v>8000</v>
      </c>
      <c r="F11" s="1"/>
      <c r="G11" s="1"/>
      <c r="H11" s="1"/>
      <c r="I11" s="1">
        <v>115</v>
      </c>
      <c r="J11" s="16" t="s">
        <v>1929</v>
      </c>
      <c r="K11" s="2"/>
      <c r="L11" s="18">
        <f t="shared" si="0"/>
        <v>6.4367999999999999</v>
      </c>
      <c r="M11" s="18" t="s">
        <v>8842</v>
      </c>
      <c r="N11" s="2" t="s">
        <v>8838</v>
      </c>
      <c r="O11" s="2"/>
      <c r="P11" s="32" t="s">
        <v>8837</v>
      </c>
      <c r="Q11" s="1"/>
      <c r="R11" s="49">
        <v>6</v>
      </c>
      <c r="S11" s="1">
        <v>119</v>
      </c>
      <c r="T11" s="2" t="s">
        <v>8787</v>
      </c>
      <c r="U11" s="2">
        <v>6.46</v>
      </c>
      <c r="V11" s="2"/>
      <c r="W11" s="2" t="str">
        <f t="shared" si="1"/>
        <v>1,90</v>
      </c>
      <c r="X11" s="18">
        <v>0.34</v>
      </c>
      <c r="Y11" s="18">
        <v>3.9</v>
      </c>
      <c r="Z11" s="56">
        <f t="shared" si="2"/>
        <v>0.29680000000000001</v>
      </c>
      <c r="AA11">
        <f t="shared" si="3"/>
        <v>6.46</v>
      </c>
      <c r="AB11" s="56">
        <f t="shared" si="4"/>
        <v>6.4367999999999999</v>
      </c>
    </row>
    <row r="12" spans="1:36" x14ac:dyDescent="0.25">
      <c r="A12" s="2"/>
      <c r="B12" s="2" t="s">
        <v>8861</v>
      </c>
      <c r="C12" s="2"/>
      <c r="D12" s="1"/>
      <c r="E12" s="1" t="s">
        <v>8000</v>
      </c>
      <c r="F12" s="1"/>
      <c r="G12" s="1"/>
      <c r="H12" s="1"/>
      <c r="I12" s="49">
        <v>94</v>
      </c>
      <c r="J12" s="16" t="s">
        <v>1929</v>
      </c>
      <c r="K12" s="2"/>
      <c r="L12" s="18">
        <f t="shared" si="0"/>
        <v>2.5847999999999995</v>
      </c>
      <c r="M12" s="18" t="s">
        <v>8842</v>
      </c>
      <c r="N12" s="2" t="s">
        <v>1881</v>
      </c>
      <c r="O12" s="2"/>
      <c r="P12" s="32" t="s">
        <v>8843</v>
      </c>
      <c r="Q12" s="1"/>
      <c r="R12" s="49">
        <v>16</v>
      </c>
      <c r="S12" s="49">
        <v>95</v>
      </c>
      <c r="T12" s="2" t="s">
        <v>8788</v>
      </c>
      <c r="U12" s="2">
        <f>1.1+1.5</f>
        <v>2.6</v>
      </c>
      <c r="V12" s="2"/>
      <c r="W12" s="2" t="str">
        <f t="shared" si="1"/>
        <v>1,90</v>
      </c>
      <c r="X12" s="18">
        <v>0.34</v>
      </c>
      <c r="Y12" s="18">
        <v>0.3</v>
      </c>
      <c r="Z12" s="56">
        <f t="shared" si="2"/>
        <v>4.48E-2</v>
      </c>
      <c r="AA12">
        <f t="shared" si="3"/>
        <v>2.6</v>
      </c>
      <c r="AB12" s="56">
        <f t="shared" si="4"/>
        <v>2.5847999999999995</v>
      </c>
    </row>
    <row r="13" spans="1:36" x14ac:dyDescent="0.25">
      <c r="A13" s="2"/>
      <c r="B13" s="2" t="s">
        <v>8862</v>
      </c>
      <c r="C13" s="2"/>
      <c r="D13" s="1"/>
      <c r="E13" s="1" t="s">
        <v>8000</v>
      </c>
      <c r="F13" s="1"/>
      <c r="G13" s="1"/>
      <c r="H13" s="1"/>
      <c r="I13" s="49">
        <v>93</v>
      </c>
      <c r="J13" s="16" t="s">
        <v>1929</v>
      </c>
      <c r="K13" s="2"/>
      <c r="L13" s="18">
        <f t="shared" si="0"/>
        <v>3.6012999999999997</v>
      </c>
      <c r="M13" s="18" t="s">
        <v>8842</v>
      </c>
      <c r="N13" s="2" t="s">
        <v>8860</v>
      </c>
      <c r="O13" s="2"/>
      <c r="P13" s="32" t="s">
        <v>8844</v>
      </c>
      <c r="Q13" s="1"/>
      <c r="R13" s="49">
        <v>16</v>
      </c>
      <c r="S13" s="49">
        <v>88</v>
      </c>
      <c r="T13" s="2" t="s">
        <v>8789</v>
      </c>
      <c r="U13" s="2">
        <v>3.6</v>
      </c>
      <c r="V13" s="2"/>
      <c r="W13" s="2" t="str">
        <f t="shared" si="1"/>
        <v>1,90</v>
      </c>
      <c r="X13" s="18">
        <v>0.34</v>
      </c>
      <c r="Y13" s="18">
        <v>1.25</v>
      </c>
      <c r="Z13" s="56">
        <f t="shared" si="2"/>
        <v>0.11130000000000001</v>
      </c>
      <c r="AA13">
        <f t="shared" si="3"/>
        <v>3.6</v>
      </c>
      <c r="AB13" s="56">
        <f t="shared" si="4"/>
        <v>3.6012999999999997</v>
      </c>
    </row>
    <row r="14" spans="1:36" x14ac:dyDescent="0.25">
      <c r="A14" s="2"/>
      <c r="B14" s="2" t="s">
        <v>8863</v>
      </c>
      <c r="C14" s="2"/>
      <c r="D14" s="1"/>
      <c r="E14" s="1" t="s">
        <v>8000</v>
      </c>
      <c r="F14" s="1"/>
      <c r="G14" s="1"/>
      <c r="H14" s="1"/>
      <c r="I14" s="1">
        <v>83</v>
      </c>
      <c r="J14" s="16" t="s">
        <v>1929</v>
      </c>
      <c r="K14" s="2"/>
      <c r="L14" s="18">
        <f t="shared" si="0"/>
        <v>3.9758</v>
      </c>
      <c r="M14" s="18" t="s">
        <v>8842</v>
      </c>
      <c r="N14" s="2" t="s">
        <v>8840</v>
      </c>
      <c r="O14" s="2"/>
      <c r="P14" s="32" t="s">
        <v>8845</v>
      </c>
      <c r="Q14" s="1"/>
      <c r="R14" s="49">
        <v>12</v>
      </c>
      <c r="S14" s="49">
        <v>89</v>
      </c>
      <c r="T14" s="2" t="s">
        <v>8790</v>
      </c>
      <c r="U14" s="2">
        <f>1.99+1.99</f>
        <v>3.98</v>
      </c>
      <c r="V14" s="2"/>
      <c r="W14" s="2" t="str">
        <f t="shared" si="1"/>
        <v>1,90</v>
      </c>
      <c r="X14" s="18">
        <v>0.34</v>
      </c>
      <c r="Y14" s="18">
        <v>1.6</v>
      </c>
      <c r="Z14" s="56">
        <f t="shared" si="2"/>
        <v>0.1358</v>
      </c>
      <c r="AA14">
        <f t="shared" si="3"/>
        <v>3.98</v>
      </c>
      <c r="AB14" s="56">
        <f t="shared" si="4"/>
        <v>3.9758</v>
      </c>
    </row>
    <row r="15" spans="1:36" x14ac:dyDescent="0.25">
      <c r="A15" s="2"/>
      <c r="B15" s="2" t="s">
        <v>8864</v>
      </c>
      <c r="C15" s="2"/>
      <c r="D15" s="1"/>
      <c r="E15" s="1" t="s">
        <v>8000</v>
      </c>
      <c r="F15" s="1"/>
      <c r="G15" s="1"/>
      <c r="H15" s="1"/>
      <c r="I15" s="1">
        <v>45</v>
      </c>
      <c r="J15" s="16" t="s">
        <v>1929</v>
      </c>
      <c r="K15" s="2"/>
      <c r="L15" s="18">
        <f t="shared" si="0"/>
        <v>8.9512999999999998</v>
      </c>
      <c r="M15" s="18" t="s">
        <v>8842</v>
      </c>
      <c r="N15" s="2" t="s">
        <v>1881</v>
      </c>
      <c r="O15" s="2"/>
      <c r="P15" s="32" t="s">
        <v>8846</v>
      </c>
      <c r="Q15" s="1"/>
      <c r="R15" s="1">
        <v>0</v>
      </c>
      <c r="S15" s="1">
        <v>100</v>
      </c>
      <c r="T15" s="2" t="s">
        <v>8791</v>
      </c>
      <c r="U15" s="2">
        <v>8.99</v>
      </c>
      <c r="V15" s="2"/>
      <c r="W15" s="2" t="str">
        <f t="shared" si="1"/>
        <v>1,90</v>
      </c>
      <c r="X15" s="18">
        <v>0.34</v>
      </c>
      <c r="Y15" s="18">
        <v>6.25</v>
      </c>
      <c r="Z15" s="56">
        <f t="shared" si="2"/>
        <v>0.46129999999999999</v>
      </c>
      <c r="AA15">
        <f t="shared" si="3"/>
        <v>8.99</v>
      </c>
      <c r="AB15" s="56">
        <f t="shared" si="4"/>
        <v>8.9512999999999998</v>
      </c>
    </row>
    <row r="16" spans="1:36" x14ac:dyDescent="0.25">
      <c r="A16" s="2"/>
      <c r="B16" s="2" t="s">
        <v>8865</v>
      </c>
      <c r="C16" s="2"/>
      <c r="D16" s="1"/>
      <c r="E16" s="1" t="s">
        <v>8000</v>
      </c>
      <c r="F16" s="1"/>
      <c r="G16" s="1"/>
      <c r="H16" s="1"/>
      <c r="I16" s="1">
        <v>89</v>
      </c>
      <c r="J16" s="16" t="s">
        <v>1929</v>
      </c>
      <c r="K16" s="2"/>
      <c r="L16" s="18">
        <f t="shared" si="0"/>
        <v>2.6917999999999997</v>
      </c>
      <c r="M16" s="18" t="s">
        <v>8842</v>
      </c>
      <c r="N16" s="2" t="s">
        <v>8840</v>
      </c>
      <c r="O16" s="2"/>
      <c r="P16" s="32" t="s">
        <v>8847</v>
      </c>
      <c r="Q16" s="1"/>
      <c r="R16" s="1">
        <v>12</v>
      </c>
      <c r="S16" s="1">
        <v>92</v>
      </c>
      <c r="T16" s="2" t="s">
        <v>8792</v>
      </c>
      <c r="U16" s="2">
        <v>2.7</v>
      </c>
      <c r="V16" s="2"/>
      <c r="W16" s="2" t="str">
        <f t="shared" si="1"/>
        <v>1,90</v>
      </c>
      <c r="X16" s="18">
        <v>0.34</v>
      </c>
      <c r="Y16" s="18">
        <v>0.4</v>
      </c>
      <c r="Z16" s="56">
        <f t="shared" si="2"/>
        <v>5.1799999999999999E-2</v>
      </c>
      <c r="AA16">
        <f t="shared" si="3"/>
        <v>2.7</v>
      </c>
      <c r="AB16" s="56">
        <f t="shared" si="4"/>
        <v>2.6917999999999997</v>
      </c>
    </row>
    <row r="17" spans="1:28" x14ac:dyDescent="0.25">
      <c r="A17" s="2"/>
      <c r="B17" s="2" t="s">
        <v>8866</v>
      </c>
      <c r="C17" s="2"/>
      <c r="D17" s="1"/>
      <c r="E17" s="1" t="s">
        <v>8000</v>
      </c>
      <c r="F17" s="1"/>
      <c r="G17" s="1"/>
      <c r="H17" s="1"/>
      <c r="I17" s="1">
        <v>85</v>
      </c>
      <c r="J17" s="16" t="s">
        <v>1929</v>
      </c>
      <c r="K17" s="2"/>
      <c r="L17" s="18">
        <f t="shared" si="0"/>
        <v>4.4038000000000004</v>
      </c>
      <c r="M17" s="18" t="s">
        <v>8842</v>
      </c>
      <c r="N17" s="2" t="s">
        <v>8840</v>
      </c>
      <c r="O17" s="2"/>
      <c r="P17" s="32" t="s">
        <v>8848</v>
      </c>
      <c r="Q17" s="1"/>
      <c r="R17" s="1">
        <v>16</v>
      </c>
      <c r="S17" s="1">
        <v>87</v>
      </c>
      <c r="T17" s="2" t="s">
        <v>8793</v>
      </c>
      <c r="U17" s="2">
        <v>4.43</v>
      </c>
      <c r="V17" s="2"/>
      <c r="W17" s="2" t="str">
        <f t="shared" si="1"/>
        <v>1,90</v>
      </c>
      <c r="X17" s="18">
        <v>0.34</v>
      </c>
      <c r="Y17" s="18">
        <v>2</v>
      </c>
      <c r="Z17" s="56">
        <f t="shared" si="2"/>
        <v>0.16379999999999997</v>
      </c>
      <c r="AA17">
        <f t="shared" si="3"/>
        <v>4.43</v>
      </c>
      <c r="AB17" s="56">
        <f t="shared" si="4"/>
        <v>4.4038000000000004</v>
      </c>
    </row>
    <row r="18" spans="1:28" x14ac:dyDescent="0.25">
      <c r="A18" s="2"/>
      <c r="B18" s="2" t="s">
        <v>8867</v>
      </c>
      <c r="C18" s="2"/>
      <c r="D18" s="1"/>
      <c r="E18" s="1" t="s">
        <v>8000</v>
      </c>
      <c r="F18" s="1"/>
      <c r="G18" s="1"/>
      <c r="H18" s="1"/>
      <c r="I18" s="1">
        <v>95</v>
      </c>
      <c r="J18" s="16" t="s">
        <v>1929</v>
      </c>
      <c r="K18" s="2"/>
      <c r="L18" s="18">
        <f t="shared" si="0"/>
        <v>3.0127999999999995</v>
      </c>
      <c r="M18" s="18" t="s">
        <v>8842</v>
      </c>
      <c r="N18" s="2" t="s">
        <v>8840</v>
      </c>
      <c r="O18" s="2"/>
      <c r="P18" s="32" t="s">
        <v>8849</v>
      </c>
      <c r="Q18" s="1"/>
      <c r="R18" s="1">
        <v>16</v>
      </c>
      <c r="S18" s="1">
        <v>97</v>
      </c>
      <c r="T18" s="2" t="s">
        <v>8794</v>
      </c>
      <c r="U18" s="2">
        <f>1.45+1.55</f>
        <v>3</v>
      </c>
      <c r="V18" s="2"/>
      <c r="W18" s="2" t="str">
        <f t="shared" si="1"/>
        <v>1,90</v>
      </c>
      <c r="X18" s="18">
        <v>0.34</v>
      </c>
      <c r="Y18" s="18">
        <v>0.7</v>
      </c>
      <c r="Z18" s="56">
        <f t="shared" si="2"/>
        <v>7.2800000000000004E-2</v>
      </c>
      <c r="AA18">
        <f t="shared" si="3"/>
        <v>3</v>
      </c>
      <c r="AB18" s="56">
        <f t="shared" si="4"/>
        <v>3.0127999999999995</v>
      </c>
    </row>
    <row r="19" spans="1:28" x14ac:dyDescent="0.25">
      <c r="A19" s="2"/>
      <c r="B19" s="2" t="s">
        <v>8868</v>
      </c>
      <c r="C19" s="2"/>
      <c r="D19" s="1"/>
      <c r="E19" s="1" t="s">
        <v>8000</v>
      </c>
      <c r="F19" s="1"/>
      <c r="G19" s="1"/>
      <c r="H19" s="1"/>
      <c r="I19" s="1">
        <v>90</v>
      </c>
      <c r="J19" s="16" t="s">
        <v>1929</v>
      </c>
      <c r="K19" s="2"/>
      <c r="L19" s="18">
        <f t="shared" si="0"/>
        <v>4.8317999999999994</v>
      </c>
      <c r="M19" s="18" t="s">
        <v>8842</v>
      </c>
      <c r="N19" s="2" t="s">
        <v>8840</v>
      </c>
      <c r="O19" s="2"/>
      <c r="P19" s="32" t="s">
        <v>8850</v>
      </c>
      <c r="Q19" s="1"/>
      <c r="R19" s="1">
        <v>0</v>
      </c>
      <c r="S19" s="1">
        <v>96</v>
      </c>
      <c r="T19" s="2" t="s">
        <v>8795</v>
      </c>
      <c r="U19" s="2">
        <v>4.8499999999999996</v>
      </c>
      <c r="V19" s="2"/>
      <c r="W19" s="2" t="str">
        <f t="shared" si="1"/>
        <v>1,90</v>
      </c>
      <c r="X19" s="18">
        <v>0.34</v>
      </c>
      <c r="Y19" s="18">
        <v>2.4</v>
      </c>
      <c r="Z19" s="56">
        <f t="shared" si="2"/>
        <v>0.19179999999999997</v>
      </c>
      <c r="AA19">
        <f t="shared" si="3"/>
        <v>4.8499999999999996</v>
      </c>
      <c r="AB19" s="56">
        <f t="shared" si="4"/>
        <v>4.8317999999999994</v>
      </c>
    </row>
    <row r="20" spans="1:28" x14ac:dyDescent="0.25">
      <c r="A20" s="2"/>
      <c r="B20" s="2" t="s">
        <v>8869</v>
      </c>
      <c r="C20" s="2"/>
      <c r="D20" s="1"/>
      <c r="E20" s="1" t="s">
        <v>8000</v>
      </c>
      <c r="F20" s="1"/>
      <c r="G20" s="1"/>
      <c r="H20" s="1"/>
      <c r="I20" s="1">
        <v>110</v>
      </c>
      <c r="J20" s="16" t="s">
        <v>1929</v>
      </c>
      <c r="K20" s="2"/>
      <c r="L20" s="18">
        <f t="shared" si="0"/>
        <v>2.6917999999999997</v>
      </c>
      <c r="M20" s="18" t="s">
        <v>8842</v>
      </c>
      <c r="N20" s="2" t="s">
        <v>8859</v>
      </c>
      <c r="O20" s="2"/>
      <c r="P20" s="32" t="s">
        <v>8851</v>
      </c>
      <c r="Q20" s="1"/>
      <c r="R20" s="1">
        <v>16</v>
      </c>
      <c r="S20" s="1">
        <v>107</v>
      </c>
      <c r="T20" s="2" t="s">
        <v>8796</v>
      </c>
      <c r="U20" s="2">
        <v>2.7</v>
      </c>
      <c r="V20" s="2"/>
      <c r="W20" s="2" t="str">
        <f t="shared" si="1"/>
        <v>1,90</v>
      </c>
      <c r="X20" s="18">
        <v>0.34</v>
      </c>
      <c r="Y20" s="18">
        <v>0.4</v>
      </c>
      <c r="Z20" s="56">
        <f t="shared" si="2"/>
        <v>5.1799999999999999E-2</v>
      </c>
      <c r="AA20">
        <f t="shared" si="3"/>
        <v>2.7</v>
      </c>
      <c r="AB20" s="56">
        <f t="shared" si="4"/>
        <v>2.6917999999999997</v>
      </c>
    </row>
    <row r="21" spans="1:28" x14ac:dyDescent="0.25">
      <c r="A21" s="2"/>
      <c r="B21" s="2" t="s">
        <v>8870</v>
      </c>
      <c r="C21" s="2"/>
      <c r="D21" s="1"/>
      <c r="E21" s="1" t="s">
        <v>8000</v>
      </c>
      <c r="F21" s="1"/>
      <c r="G21" s="1"/>
      <c r="H21" s="1"/>
      <c r="I21" s="1">
        <v>87</v>
      </c>
      <c r="J21" s="16" t="s">
        <v>1929</v>
      </c>
      <c r="K21" s="2"/>
      <c r="L21" s="18">
        <f t="shared" si="0"/>
        <v>3.5477999999999996</v>
      </c>
      <c r="M21" s="18" t="s">
        <v>8842</v>
      </c>
      <c r="N21" s="2" t="s">
        <v>8840</v>
      </c>
      <c r="O21" s="2"/>
      <c r="P21" s="32" t="s">
        <v>8852</v>
      </c>
      <c r="Q21" s="1"/>
      <c r="R21" s="1">
        <v>16</v>
      </c>
      <c r="S21" s="1">
        <v>88</v>
      </c>
      <c r="T21" s="2" t="s">
        <v>8797</v>
      </c>
      <c r="U21" s="2">
        <f>2.6+0.99</f>
        <v>3.59</v>
      </c>
      <c r="V21" s="2"/>
      <c r="W21" s="2" t="str">
        <f t="shared" si="1"/>
        <v>1,90</v>
      </c>
      <c r="X21" s="18">
        <v>0.34</v>
      </c>
      <c r="Y21" s="18">
        <v>1.2</v>
      </c>
      <c r="Z21" s="56">
        <f t="shared" si="2"/>
        <v>0.10780000000000001</v>
      </c>
      <c r="AA21">
        <f t="shared" si="3"/>
        <v>3.59</v>
      </c>
      <c r="AB21" s="56">
        <f t="shared" si="4"/>
        <v>3.5477999999999996</v>
      </c>
    </row>
    <row r="22" spans="1:28" x14ac:dyDescent="0.25">
      <c r="A22" s="2"/>
      <c r="B22" s="2" t="s">
        <v>8871</v>
      </c>
      <c r="C22" s="2"/>
      <c r="D22" s="1"/>
      <c r="E22" s="1" t="s">
        <v>8000</v>
      </c>
      <c r="F22" s="1"/>
      <c r="G22" s="1"/>
      <c r="H22" s="1"/>
      <c r="I22" s="1">
        <v>96</v>
      </c>
      <c r="J22" s="16" t="s">
        <v>1929</v>
      </c>
      <c r="K22" s="2"/>
      <c r="L22" s="18">
        <f t="shared" si="0"/>
        <v>2.7988</v>
      </c>
      <c r="M22" s="18" t="s">
        <v>8842</v>
      </c>
      <c r="N22" s="2" t="s">
        <v>8841</v>
      </c>
      <c r="O22" s="2"/>
      <c r="P22" s="32" t="s">
        <v>8853</v>
      </c>
      <c r="Q22" s="1"/>
      <c r="R22" s="1">
        <v>16</v>
      </c>
      <c r="S22" s="1">
        <v>94</v>
      </c>
      <c r="T22" s="2" t="s">
        <v>8798</v>
      </c>
      <c r="U22" s="2">
        <f>1.19+1.65</f>
        <v>2.84</v>
      </c>
      <c r="V22" s="2"/>
      <c r="W22" s="2" t="str">
        <f t="shared" si="1"/>
        <v>1,90</v>
      </c>
      <c r="X22" s="18">
        <v>0.34</v>
      </c>
      <c r="Y22" s="18">
        <v>0.5</v>
      </c>
      <c r="Z22" s="56">
        <f t="shared" si="2"/>
        <v>5.8800000000000005E-2</v>
      </c>
      <c r="AA22">
        <f t="shared" si="3"/>
        <v>2.84</v>
      </c>
      <c r="AB22" s="56">
        <f t="shared" si="4"/>
        <v>2.7988</v>
      </c>
    </row>
    <row r="23" spans="1:28" x14ac:dyDescent="0.25">
      <c r="A23" s="2"/>
      <c r="B23" s="2" t="s">
        <v>8872</v>
      </c>
      <c r="C23" s="2"/>
      <c r="D23" s="1"/>
      <c r="E23" s="1" t="s">
        <v>8000</v>
      </c>
      <c r="F23" s="1"/>
      <c r="G23" s="1"/>
      <c r="H23" s="1"/>
      <c r="I23" s="1">
        <v>92</v>
      </c>
      <c r="J23" s="16" t="s">
        <v>1929</v>
      </c>
      <c r="K23" s="2"/>
      <c r="L23" s="18">
        <f t="shared" si="0"/>
        <v>3.4407999999999999</v>
      </c>
      <c r="M23" s="18" t="s">
        <v>8842</v>
      </c>
      <c r="N23" s="2" t="s">
        <v>8840</v>
      </c>
      <c r="O23" s="2"/>
      <c r="P23" s="32" t="s">
        <v>8854</v>
      </c>
      <c r="Q23" s="1"/>
      <c r="R23" s="1">
        <v>16</v>
      </c>
      <c r="S23" s="1">
        <v>100</v>
      </c>
      <c r="T23" s="2" t="s">
        <v>8799</v>
      </c>
      <c r="U23" s="2">
        <v>3.49</v>
      </c>
      <c r="V23" s="2"/>
      <c r="W23" s="2" t="str">
        <f t="shared" si="1"/>
        <v>1,90</v>
      </c>
      <c r="X23" s="18">
        <v>0.34</v>
      </c>
      <c r="Y23" s="18">
        <v>1.1000000000000001</v>
      </c>
      <c r="Z23" s="56">
        <f t="shared" si="2"/>
        <v>0.10080000000000001</v>
      </c>
      <c r="AA23">
        <f t="shared" si="3"/>
        <v>3.49</v>
      </c>
      <c r="AB23" s="56">
        <f t="shared" si="4"/>
        <v>3.4407999999999999</v>
      </c>
    </row>
    <row r="24" spans="1:28" x14ac:dyDescent="0.25">
      <c r="A24" s="2"/>
      <c r="B24" s="2" t="s">
        <v>8873</v>
      </c>
      <c r="C24" s="2"/>
      <c r="D24" s="1"/>
      <c r="E24" s="1" t="s">
        <v>8000</v>
      </c>
      <c r="F24" s="1"/>
      <c r="G24" s="1"/>
      <c r="H24" s="1"/>
      <c r="I24" s="1">
        <v>83</v>
      </c>
      <c r="J24" s="16" t="s">
        <v>1929</v>
      </c>
      <c r="K24" s="2"/>
      <c r="L24" s="18">
        <f t="shared" si="0"/>
        <v>4.1362999999999994</v>
      </c>
      <c r="M24" s="18" t="s">
        <v>8842</v>
      </c>
      <c r="N24" s="2" t="s">
        <v>1881</v>
      </c>
      <c r="O24" s="2"/>
      <c r="P24" s="32" t="s">
        <v>8855</v>
      </c>
      <c r="Q24" s="1"/>
      <c r="R24" s="1">
        <v>12</v>
      </c>
      <c r="S24" s="1">
        <v>93</v>
      </c>
      <c r="T24" s="2" t="s">
        <v>8800</v>
      </c>
      <c r="U24" s="2">
        <f>2.6+1.55</f>
        <v>4.1500000000000004</v>
      </c>
      <c r="V24" s="2"/>
      <c r="W24" s="2" t="str">
        <f t="shared" si="1"/>
        <v>1,90</v>
      </c>
      <c r="X24" s="18">
        <v>0.34</v>
      </c>
      <c r="Y24" s="18">
        <v>1.75</v>
      </c>
      <c r="Z24" s="56">
        <f t="shared" si="2"/>
        <v>0.14629999999999999</v>
      </c>
      <c r="AA24">
        <f t="shared" si="3"/>
        <v>4.1500000000000004</v>
      </c>
      <c r="AB24" s="56">
        <f t="shared" si="4"/>
        <v>4.1362999999999994</v>
      </c>
    </row>
    <row r="25" spans="1:28" x14ac:dyDescent="0.25">
      <c r="A25" s="2"/>
      <c r="B25" s="2" t="s">
        <v>8874</v>
      </c>
      <c r="C25" s="2"/>
      <c r="D25" s="1"/>
      <c r="E25" s="1" t="s">
        <v>8000</v>
      </c>
      <c r="F25" s="1"/>
      <c r="G25" s="1"/>
      <c r="H25" s="1"/>
      <c r="I25" s="1">
        <v>82</v>
      </c>
      <c r="J25" s="16" t="s">
        <v>1929</v>
      </c>
      <c r="K25" s="2"/>
      <c r="L25" s="18">
        <f t="shared" si="0"/>
        <v>2.5312999999999999</v>
      </c>
      <c r="M25" s="18" t="s">
        <v>8842</v>
      </c>
      <c r="N25" s="2" t="s">
        <v>8858</v>
      </c>
      <c r="O25" s="2"/>
      <c r="P25" s="32" t="s">
        <v>8856</v>
      </c>
      <c r="Q25" s="1"/>
      <c r="R25" s="1">
        <v>16</v>
      </c>
      <c r="S25" s="1">
        <v>93</v>
      </c>
      <c r="T25" s="2" t="s">
        <v>8801</v>
      </c>
      <c r="U25" s="2">
        <f>0.85+1.5</f>
        <v>2.35</v>
      </c>
      <c r="V25" s="2"/>
      <c r="W25" s="2" t="str">
        <f t="shared" si="1"/>
        <v>1,90</v>
      </c>
      <c r="X25" s="18">
        <v>0.34</v>
      </c>
      <c r="Y25" s="18">
        <v>0.25</v>
      </c>
      <c r="Z25" s="56">
        <f t="shared" si="2"/>
        <v>4.1300000000000003E-2</v>
      </c>
      <c r="AA25">
        <f t="shared" si="3"/>
        <v>2.35</v>
      </c>
      <c r="AB25" s="56">
        <f t="shared" si="4"/>
        <v>2.5312999999999999</v>
      </c>
    </row>
    <row r="26" spans="1:28" x14ac:dyDescent="0.25">
      <c r="A26" s="2"/>
      <c r="B26" s="2" t="s">
        <v>8875</v>
      </c>
      <c r="C26" s="2"/>
      <c r="D26" s="1"/>
      <c r="E26" s="1" t="s">
        <v>8000</v>
      </c>
      <c r="F26" s="1"/>
      <c r="G26" s="1"/>
      <c r="H26" s="1"/>
      <c r="I26" s="1">
        <v>87</v>
      </c>
      <c r="J26" s="16" t="s">
        <v>1929</v>
      </c>
      <c r="K26" s="2"/>
      <c r="L26" s="18">
        <f t="shared" si="0"/>
        <v>4.9922999999999993</v>
      </c>
      <c r="M26" s="18" t="s">
        <v>8842</v>
      </c>
      <c r="N26" s="2"/>
      <c r="O26" s="2"/>
      <c r="P26" s="32" t="s">
        <v>8857</v>
      </c>
      <c r="Q26" s="1"/>
      <c r="R26" s="1">
        <v>16</v>
      </c>
      <c r="S26" s="1">
        <v>106</v>
      </c>
      <c r="T26" s="2" t="s">
        <v>8802</v>
      </c>
      <c r="U26" s="2">
        <v>5</v>
      </c>
      <c r="V26" s="2"/>
      <c r="W26" s="2" t="str">
        <f t="shared" si="1"/>
        <v>1,90</v>
      </c>
      <c r="X26" s="18">
        <v>0.34</v>
      </c>
      <c r="Y26" s="18">
        <v>2.5499999999999998</v>
      </c>
      <c r="Z26" s="56">
        <f t="shared" si="2"/>
        <v>0.20229999999999998</v>
      </c>
      <c r="AA26">
        <f t="shared" si="3"/>
        <v>5</v>
      </c>
      <c r="AB26" s="56">
        <f t="shared" si="4"/>
        <v>4.9922999999999993</v>
      </c>
    </row>
    <row r="27" spans="1:28" x14ac:dyDescent="0.25">
      <c r="A27" s="2"/>
      <c r="B27" s="2" t="s">
        <v>8894</v>
      </c>
      <c r="C27" s="2"/>
      <c r="D27" s="1"/>
      <c r="E27" s="1" t="s">
        <v>8000</v>
      </c>
      <c r="F27" s="1"/>
      <c r="G27" s="1"/>
      <c r="H27" s="1"/>
      <c r="I27" s="49">
        <v>85</v>
      </c>
      <c r="J27" s="16" t="s">
        <v>1879</v>
      </c>
      <c r="K27" s="2"/>
      <c r="L27" s="18">
        <f t="shared" si="0"/>
        <v>3.6012999999999997</v>
      </c>
      <c r="M27" s="18"/>
      <c r="N27" s="2" t="s">
        <v>8840</v>
      </c>
      <c r="O27" s="2"/>
      <c r="P27" s="32" t="s">
        <v>8893</v>
      </c>
      <c r="Q27" s="1"/>
      <c r="R27" s="49">
        <v>16</v>
      </c>
      <c r="S27" s="49">
        <v>96</v>
      </c>
      <c r="T27" s="2" t="s">
        <v>8803</v>
      </c>
      <c r="U27" s="2">
        <v>3.6</v>
      </c>
      <c r="V27" s="2"/>
      <c r="W27" s="2" t="str">
        <f t="shared" si="1"/>
        <v>1,90</v>
      </c>
      <c r="X27" s="18">
        <v>0.34</v>
      </c>
      <c r="Y27" s="18">
        <v>1.25</v>
      </c>
      <c r="Z27" s="56">
        <f t="shared" si="2"/>
        <v>0.11130000000000001</v>
      </c>
      <c r="AA27">
        <f t="shared" si="3"/>
        <v>3.6</v>
      </c>
      <c r="AB27" s="56">
        <f t="shared" si="4"/>
        <v>3.6012999999999997</v>
      </c>
    </row>
    <row r="28" spans="1:28" x14ac:dyDescent="0.25">
      <c r="A28" s="2"/>
      <c r="B28" s="2" t="s">
        <v>8895</v>
      </c>
      <c r="C28" s="2"/>
      <c r="D28" s="1"/>
      <c r="E28" s="1" t="s">
        <v>8000</v>
      </c>
      <c r="F28" s="1"/>
      <c r="G28" s="1"/>
      <c r="H28" s="1"/>
      <c r="I28" s="49">
        <v>146</v>
      </c>
      <c r="J28" s="16" t="s">
        <v>1879</v>
      </c>
      <c r="K28" s="2"/>
      <c r="L28" s="18">
        <f t="shared" si="0"/>
        <v>2.5312999999999999</v>
      </c>
      <c r="M28" s="18"/>
      <c r="N28" s="2" t="s">
        <v>8902</v>
      </c>
      <c r="O28" s="2"/>
      <c r="P28" s="32" t="s">
        <v>8892</v>
      </c>
      <c r="Q28" s="1"/>
      <c r="R28" s="49">
        <v>6</v>
      </c>
      <c r="S28" s="49">
        <v>111</v>
      </c>
      <c r="T28" s="2" t="s">
        <v>8804</v>
      </c>
      <c r="U28" s="2">
        <v>1.8</v>
      </c>
      <c r="V28" s="2"/>
      <c r="W28" s="2" t="str">
        <f t="shared" si="1"/>
        <v>1,90</v>
      </c>
      <c r="X28" s="18">
        <v>0.34</v>
      </c>
      <c r="Y28" s="18">
        <v>0.25</v>
      </c>
      <c r="Z28" s="56">
        <f t="shared" si="2"/>
        <v>4.1300000000000003E-2</v>
      </c>
      <c r="AA28">
        <f t="shared" si="3"/>
        <v>1.8</v>
      </c>
      <c r="AB28" s="56">
        <f t="shared" si="4"/>
        <v>2.5312999999999999</v>
      </c>
    </row>
    <row r="29" spans="1:28" x14ac:dyDescent="0.25">
      <c r="A29" s="2"/>
      <c r="B29" s="2" t="s">
        <v>8896</v>
      </c>
      <c r="C29" s="2"/>
      <c r="D29" s="1"/>
      <c r="E29" s="1" t="s">
        <v>8000</v>
      </c>
      <c r="F29" s="1"/>
      <c r="G29" s="1"/>
      <c r="H29" s="1"/>
      <c r="I29" s="49">
        <v>106</v>
      </c>
      <c r="J29" s="16" t="s">
        <v>1929</v>
      </c>
      <c r="K29" s="2"/>
      <c r="L29" s="18">
        <f t="shared" si="0"/>
        <v>3.9651000000000001</v>
      </c>
      <c r="M29" s="18"/>
      <c r="N29" s="2" t="s">
        <v>1881</v>
      </c>
      <c r="O29" s="2"/>
      <c r="P29" s="32" t="s">
        <v>8891</v>
      </c>
      <c r="Q29" s="1"/>
      <c r="R29" s="49">
        <v>0</v>
      </c>
      <c r="S29" s="49">
        <v>98</v>
      </c>
      <c r="T29" s="2" t="s">
        <v>8805</v>
      </c>
      <c r="U29" s="2">
        <f>1.99+1.98</f>
        <v>3.9699999999999998</v>
      </c>
      <c r="V29" s="2"/>
      <c r="W29" s="2" t="str">
        <f t="shared" si="1"/>
        <v>1,90</v>
      </c>
      <c r="X29" s="18">
        <v>0.34</v>
      </c>
      <c r="Y29" s="18">
        <v>1.59</v>
      </c>
      <c r="Z29" s="56">
        <f t="shared" si="2"/>
        <v>0.1351</v>
      </c>
      <c r="AA29">
        <f t="shared" si="3"/>
        <v>3.9699999999999998</v>
      </c>
      <c r="AB29" s="56">
        <f t="shared" si="4"/>
        <v>3.9651000000000001</v>
      </c>
    </row>
    <row r="30" spans="1:28" x14ac:dyDescent="0.25">
      <c r="A30" s="2"/>
      <c r="B30" s="2" t="s">
        <v>8897</v>
      </c>
      <c r="C30" s="2"/>
      <c r="D30" s="1"/>
      <c r="E30" s="1" t="s">
        <v>8000</v>
      </c>
      <c r="F30" s="1"/>
      <c r="G30" s="1"/>
      <c r="H30" s="1"/>
      <c r="I30" s="1"/>
      <c r="J30" s="16" t="s">
        <v>1879</v>
      </c>
      <c r="K30" s="2"/>
      <c r="L30" s="18">
        <f t="shared" si="0"/>
        <v>2.9806999999999997</v>
      </c>
      <c r="M30" s="18"/>
      <c r="N30" s="2" t="s">
        <v>8903</v>
      </c>
      <c r="O30" s="2"/>
      <c r="P30" s="32" t="s">
        <v>8890</v>
      </c>
      <c r="Q30" s="1"/>
      <c r="R30" s="1">
        <v>12</v>
      </c>
      <c r="S30" s="49">
        <v>104</v>
      </c>
      <c r="T30" s="2" t="s">
        <v>8806</v>
      </c>
      <c r="U30" s="2">
        <f>0.99+2</f>
        <v>2.99</v>
      </c>
      <c r="V30" s="2"/>
      <c r="W30" s="2" t="str">
        <f t="shared" si="1"/>
        <v>1,90</v>
      </c>
      <c r="X30" s="18">
        <v>0.34</v>
      </c>
      <c r="Y30" s="18">
        <v>0.67</v>
      </c>
      <c r="Z30" s="56">
        <f t="shared" si="2"/>
        <v>7.0699999999999999E-2</v>
      </c>
      <c r="AA30">
        <f t="shared" si="3"/>
        <v>2.99</v>
      </c>
      <c r="AB30" s="56">
        <f t="shared" si="4"/>
        <v>2.9806999999999997</v>
      </c>
    </row>
    <row r="31" spans="1:28" x14ac:dyDescent="0.25">
      <c r="A31" s="2"/>
      <c r="B31" s="2" t="s">
        <v>8898</v>
      </c>
      <c r="C31" s="2"/>
      <c r="D31" s="1"/>
      <c r="E31" s="1" t="s">
        <v>8000</v>
      </c>
      <c r="F31" s="1"/>
      <c r="G31" s="1"/>
      <c r="H31" s="1"/>
      <c r="I31" s="1">
        <v>86</v>
      </c>
      <c r="J31" s="16" t="s">
        <v>1879</v>
      </c>
      <c r="K31" s="2"/>
      <c r="L31" s="18">
        <f t="shared" si="0"/>
        <v>3.9651000000000001</v>
      </c>
      <c r="M31" s="18"/>
      <c r="N31" s="2" t="s">
        <v>8840</v>
      </c>
      <c r="O31" s="2"/>
      <c r="P31" s="32" t="s">
        <v>8889</v>
      </c>
      <c r="Q31" s="1"/>
      <c r="R31" s="1">
        <v>12</v>
      </c>
      <c r="S31" s="49">
        <v>85</v>
      </c>
      <c r="T31" s="2" t="s">
        <v>8807</v>
      </c>
      <c r="U31" s="2">
        <f>1.99+1.98</f>
        <v>3.9699999999999998</v>
      </c>
      <c r="V31" s="2"/>
      <c r="W31" s="2" t="str">
        <f t="shared" si="1"/>
        <v>1,90</v>
      </c>
      <c r="X31" s="18">
        <v>0.34</v>
      </c>
      <c r="Y31" s="18">
        <v>1.59</v>
      </c>
      <c r="Z31" s="56">
        <f t="shared" si="2"/>
        <v>0.1351</v>
      </c>
      <c r="AA31">
        <f t="shared" si="3"/>
        <v>3.9699999999999998</v>
      </c>
      <c r="AB31" s="56">
        <f t="shared" si="4"/>
        <v>3.9651000000000001</v>
      </c>
    </row>
    <row r="32" spans="1:28" x14ac:dyDescent="0.25">
      <c r="A32" s="2"/>
      <c r="B32" s="2" t="s">
        <v>8899</v>
      </c>
      <c r="C32" s="2"/>
      <c r="D32" s="1"/>
      <c r="E32" s="1" t="s">
        <v>8000</v>
      </c>
      <c r="F32" s="1"/>
      <c r="G32" s="1"/>
      <c r="H32" s="1"/>
      <c r="I32" s="1">
        <v>55</v>
      </c>
      <c r="J32" s="16" t="s">
        <v>1879</v>
      </c>
      <c r="K32" s="2"/>
      <c r="L32" s="18">
        <f t="shared" si="0"/>
        <v>3.9758</v>
      </c>
      <c r="M32" s="18"/>
      <c r="N32" s="2" t="s">
        <v>1881</v>
      </c>
      <c r="O32" s="2"/>
      <c r="P32" s="32" t="s">
        <v>8888</v>
      </c>
      <c r="Q32" s="1"/>
      <c r="R32" s="1">
        <v>0</v>
      </c>
      <c r="S32" s="49">
        <v>98</v>
      </c>
      <c r="T32" s="2" t="s">
        <v>8808</v>
      </c>
      <c r="U32" s="2">
        <f>1.99+2</f>
        <v>3.99</v>
      </c>
      <c r="V32" s="2"/>
      <c r="W32" s="2" t="str">
        <f t="shared" si="1"/>
        <v>1,90</v>
      </c>
      <c r="X32" s="18">
        <v>0.34</v>
      </c>
      <c r="Y32" s="18">
        <v>1.6</v>
      </c>
      <c r="Z32" s="56">
        <f t="shared" si="2"/>
        <v>0.1358</v>
      </c>
      <c r="AA32">
        <f t="shared" si="3"/>
        <v>3.99</v>
      </c>
      <c r="AB32" s="56">
        <f t="shared" si="4"/>
        <v>3.9758</v>
      </c>
    </row>
    <row r="33" spans="1:28" x14ac:dyDescent="0.25">
      <c r="A33" s="2"/>
      <c r="B33" s="2" t="s">
        <v>8900</v>
      </c>
      <c r="C33" s="2"/>
      <c r="D33" s="1"/>
      <c r="E33" s="1" t="s">
        <v>8000</v>
      </c>
      <c r="F33" s="1"/>
      <c r="G33" s="1"/>
      <c r="H33" s="1"/>
      <c r="I33" s="1">
        <v>55</v>
      </c>
      <c r="J33" s="16" t="s">
        <v>1879</v>
      </c>
      <c r="K33" s="2"/>
      <c r="L33" s="18">
        <f t="shared" si="0"/>
        <v>3.9971999999999999</v>
      </c>
      <c r="M33" s="18"/>
      <c r="N33" s="2" t="s">
        <v>1881</v>
      </c>
      <c r="O33" s="2"/>
      <c r="P33" s="32" t="s">
        <v>8887</v>
      </c>
      <c r="Q33" s="1"/>
      <c r="R33" s="1">
        <v>0</v>
      </c>
      <c r="S33" s="49">
        <v>86</v>
      </c>
      <c r="T33" s="2" t="s">
        <v>8809</v>
      </c>
      <c r="U33" s="2">
        <v>4</v>
      </c>
      <c r="V33" s="2"/>
      <c r="W33" s="2" t="str">
        <f t="shared" si="1"/>
        <v>1,90</v>
      </c>
      <c r="X33" s="18">
        <v>0.34</v>
      </c>
      <c r="Y33" s="18">
        <v>1.62</v>
      </c>
      <c r="Z33" s="56">
        <f t="shared" si="2"/>
        <v>0.13720000000000002</v>
      </c>
      <c r="AA33">
        <f t="shared" si="3"/>
        <v>4</v>
      </c>
      <c r="AB33" s="56">
        <f t="shared" si="4"/>
        <v>3.9971999999999999</v>
      </c>
    </row>
    <row r="34" spans="1:28" x14ac:dyDescent="0.25">
      <c r="A34" s="2"/>
      <c r="B34" s="2" t="s">
        <v>8901</v>
      </c>
      <c r="C34" s="2"/>
      <c r="D34" s="1"/>
      <c r="E34" s="1" t="s">
        <v>8000</v>
      </c>
      <c r="F34" s="1"/>
      <c r="G34" s="1"/>
      <c r="H34" s="1"/>
      <c r="I34" s="1">
        <v>50</v>
      </c>
      <c r="J34" s="16" t="s">
        <v>1879</v>
      </c>
      <c r="K34" s="2"/>
      <c r="L34" s="18">
        <f t="shared" si="0"/>
        <v>4.3930999999999996</v>
      </c>
      <c r="M34" s="18"/>
      <c r="N34" s="2" t="s">
        <v>1881</v>
      </c>
      <c r="O34" s="2"/>
      <c r="P34" s="32" t="s">
        <v>8886</v>
      </c>
      <c r="Q34" s="1"/>
      <c r="R34" s="1">
        <v>0</v>
      </c>
      <c r="S34" s="49">
        <v>84</v>
      </c>
      <c r="T34" s="2" t="s">
        <v>8810</v>
      </c>
      <c r="U34" s="2">
        <f>1.99+2.4</f>
        <v>4.3899999999999997</v>
      </c>
      <c r="V34" s="2"/>
      <c r="W34" s="2" t="str">
        <f t="shared" si="1"/>
        <v>1,90</v>
      </c>
      <c r="X34" s="18">
        <v>0.34</v>
      </c>
      <c r="Y34" s="18">
        <v>1.99</v>
      </c>
      <c r="Z34" s="56">
        <f t="shared" si="2"/>
        <v>0.16310000000000002</v>
      </c>
      <c r="AA34">
        <f t="shared" si="3"/>
        <v>4.3899999999999997</v>
      </c>
      <c r="AB34" s="56">
        <f t="shared" si="4"/>
        <v>4.3930999999999996</v>
      </c>
    </row>
    <row r="35" spans="1:28" x14ac:dyDescent="0.25">
      <c r="A35" s="2"/>
      <c r="B35" s="2" t="s">
        <v>8949</v>
      </c>
      <c r="C35" s="2"/>
      <c r="D35" s="1"/>
      <c r="E35" s="1" t="s">
        <v>8000</v>
      </c>
      <c r="F35" s="1"/>
      <c r="G35" s="1"/>
      <c r="H35" s="1"/>
      <c r="I35" s="49">
        <v>72</v>
      </c>
      <c r="J35" s="16" t="s">
        <v>1929</v>
      </c>
      <c r="K35" s="2"/>
      <c r="L35" s="18">
        <f t="shared" si="0"/>
        <v>2.8843999999999999</v>
      </c>
      <c r="M35" s="18" t="s">
        <v>8842</v>
      </c>
      <c r="N35" s="2" t="s">
        <v>8950</v>
      </c>
      <c r="O35" s="2" t="s">
        <v>2025</v>
      </c>
      <c r="P35" s="32" t="s">
        <v>8951</v>
      </c>
      <c r="Q35" s="1"/>
      <c r="R35" s="49">
        <v>0</v>
      </c>
      <c r="S35" s="49">
        <v>92</v>
      </c>
      <c r="T35" s="2" t="s">
        <v>8811</v>
      </c>
      <c r="U35" s="2">
        <v>2.89</v>
      </c>
      <c r="V35" s="2"/>
      <c r="W35" s="2" t="str">
        <f t="shared" si="1"/>
        <v>1,90</v>
      </c>
      <c r="X35" s="18">
        <v>0.34</v>
      </c>
      <c r="Y35" s="18">
        <v>0.57999999999999996</v>
      </c>
      <c r="Z35" s="56">
        <f t="shared" si="2"/>
        <v>6.4399999999999999E-2</v>
      </c>
      <c r="AA35">
        <f t="shared" si="3"/>
        <v>2.89</v>
      </c>
      <c r="AB35" s="56">
        <f t="shared" si="4"/>
        <v>2.8843999999999999</v>
      </c>
    </row>
    <row r="36" spans="1:28" x14ac:dyDescent="0.25">
      <c r="A36" s="2"/>
      <c r="B36" s="2" t="s">
        <v>8952</v>
      </c>
      <c r="C36" s="2" t="s">
        <v>8953</v>
      </c>
      <c r="D36" s="1"/>
      <c r="E36" s="1" t="s">
        <v>8000</v>
      </c>
      <c r="F36" s="1"/>
      <c r="G36" s="1"/>
      <c r="H36" s="1"/>
      <c r="I36" s="1"/>
      <c r="J36" s="16" t="s">
        <v>1929</v>
      </c>
      <c r="K36" s="2"/>
      <c r="L36" s="18">
        <f t="shared" si="0"/>
        <v>7.6031000000000004</v>
      </c>
      <c r="M36" s="18" t="s">
        <v>8842</v>
      </c>
      <c r="N36" s="2" t="s">
        <v>8840</v>
      </c>
      <c r="O36" s="2" t="s">
        <v>8840</v>
      </c>
      <c r="P36" s="32" t="s">
        <v>8954</v>
      </c>
      <c r="Q36" s="1"/>
      <c r="R36" s="49">
        <v>18</v>
      </c>
      <c r="S36" s="49">
        <v>176</v>
      </c>
      <c r="T36" s="2" t="s">
        <v>8812</v>
      </c>
      <c r="U36" s="2">
        <f>5+2.6</f>
        <v>7.6</v>
      </c>
      <c r="V36" s="2"/>
      <c r="W36" s="2" t="str">
        <f t="shared" si="1"/>
        <v>1,90</v>
      </c>
      <c r="X36" s="18">
        <v>0.34</v>
      </c>
      <c r="Y36" s="18">
        <v>4.99</v>
      </c>
      <c r="Z36" s="56">
        <f t="shared" si="2"/>
        <v>0.37309999999999999</v>
      </c>
      <c r="AA36">
        <f t="shared" si="3"/>
        <v>7.6</v>
      </c>
      <c r="AB36" s="56">
        <f t="shared" si="4"/>
        <v>7.6031000000000004</v>
      </c>
    </row>
    <row r="37" spans="1:28" x14ac:dyDescent="0.25">
      <c r="A37" s="2"/>
      <c r="B37" s="2" t="s">
        <v>8955</v>
      </c>
      <c r="C37" s="2"/>
      <c r="D37" s="1"/>
      <c r="E37" s="1" t="s">
        <v>8000</v>
      </c>
      <c r="F37" s="1"/>
      <c r="G37" s="1"/>
      <c r="H37" s="1"/>
      <c r="I37" s="49">
        <v>130</v>
      </c>
      <c r="J37" s="16" t="s">
        <v>1929</v>
      </c>
      <c r="K37" s="2"/>
      <c r="L37" s="18">
        <f t="shared" si="0"/>
        <v>2.7452999999999999</v>
      </c>
      <c r="M37" s="18" t="s">
        <v>8842</v>
      </c>
      <c r="N37" s="2" t="s">
        <v>1881</v>
      </c>
      <c r="O37" s="2"/>
      <c r="P37" s="32" t="s">
        <v>8956</v>
      </c>
      <c r="Q37" s="1"/>
      <c r="R37" s="49">
        <v>0</v>
      </c>
      <c r="S37" s="49">
        <v>102</v>
      </c>
      <c r="T37" s="2" t="s">
        <v>8813</v>
      </c>
      <c r="U37" s="2">
        <v>2.75</v>
      </c>
      <c r="V37" s="2"/>
      <c r="W37" s="2" t="str">
        <f t="shared" si="1"/>
        <v>1,90</v>
      </c>
      <c r="X37" s="18">
        <v>0.34</v>
      </c>
      <c r="Y37" s="18">
        <v>0.45</v>
      </c>
      <c r="Z37" s="56">
        <f t="shared" si="2"/>
        <v>5.5300000000000002E-2</v>
      </c>
      <c r="AA37">
        <f t="shared" si="3"/>
        <v>2.75</v>
      </c>
      <c r="AB37" s="56">
        <f t="shared" si="4"/>
        <v>2.7452999999999999</v>
      </c>
    </row>
    <row r="38" spans="1:28" x14ac:dyDescent="0.25">
      <c r="A38" s="2"/>
      <c r="B38" s="2" t="s">
        <v>8957</v>
      </c>
      <c r="C38" s="2"/>
      <c r="D38" s="1"/>
      <c r="E38" s="1" t="s">
        <v>8000</v>
      </c>
      <c r="F38" s="1"/>
      <c r="G38" s="1"/>
      <c r="H38" s="1"/>
      <c r="I38" s="1">
        <f>87+17</f>
        <v>104</v>
      </c>
      <c r="J38" s="16" t="s">
        <v>1929</v>
      </c>
      <c r="K38" s="2"/>
      <c r="L38" s="18">
        <f t="shared" si="0"/>
        <v>3.1732999999999998</v>
      </c>
      <c r="M38" s="18"/>
      <c r="N38" s="2"/>
      <c r="O38" s="2"/>
      <c r="P38" s="32" t="s">
        <v>8967</v>
      </c>
      <c r="Q38" s="1"/>
      <c r="R38" s="49">
        <v>16</v>
      </c>
      <c r="S38" s="49">
        <v>117</v>
      </c>
      <c r="T38" s="2" t="s">
        <v>8814</v>
      </c>
      <c r="U38" s="2">
        <f>1.19+1.98</f>
        <v>3.17</v>
      </c>
      <c r="V38" s="2"/>
      <c r="W38" s="2" t="str">
        <f t="shared" si="1"/>
        <v>1,90</v>
      </c>
      <c r="X38" s="18">
        <v>0.34</v>
      </c>
      <c r="Y38" s="18">
        <v>0.85</v>
      </c>
      <c r="Z38" s="56">
        <f t="shared" si="2"/>
        <v>8.3299999999999999E-2</v>
      </c>
      <c r="AA38">
        <f t="shared" si="3"/>
        <v>3.17</v>
      </c>
      <c r="AB38" s="56">
        <f t="shared" si="4"/>
        <v>3.1732999999999998</v>
      </c>
    </row>
    <row r="39" spans="1:28" x14ac:dyDescent="0.25">
      <c r="A39" s="2"/>
      <c r="B39" s="2" t="s">
        <v>8958</v>
      </c>
      <c r="C39" s="2"/>
      <c r="D39" s="1"/>
      <c r="E39" s="1" t="s">
        <v>8965</v>
      </c>
      <c r="F39" s="1"/>
      <c r="G39" s="1"/>
      <c r="H39" s="1"/>
      <c r="I39" s="1">
        <f>95+28</f>
        <v>123</v>
      </c>
      <c r="J39" s="16" t="s">
        <v>1929</v>
      </c>
      <c r="K39" s="2"/>
      <c r="L39" s="18">
        <f t="shared" si="0"/>
        <v>8.6516999999999982</v>
      </c>
      <c r="M39" s="18"/>
      <c r="N39" s="2" t="s">
        <v>8840</v>
      </c>
      <c r="O39" s="2"/>
      <c r="P39" s="32" t="s">
        <v>8968</v>
      </c>
      <c r="Q39" s="1"/>
      <c r="R39" s="49">
        <v>18</v>
      </c>
      <c r="S39" s="49">
        <v>81</v>
      </c>
      <c r="T39" s="2" t="s">
        <v>8815</v>
      </c>
      <c r="U39" s="2">
        <f>6.9+1.75</f>
        <v>8.65</v>
      </c>
      <c r="V39" s="2"/>
      <c r="W39" s="2" t="str">
        <f t="shared" si="1"/>
        <v>1,90</v>
      </c>
      <c r="X39" s="18">
        <v>0.34</v>
      </c>
      <c r="Y39" s="18">
        <v>5.97</v>
      </c>
      <c r="Z39" s="56">
        <f t="shared" si="2"/>
        <v>0.44169999999999993</v>
      </c>
      <c r="AA39">
        <f t="shared" si="3"/>
        <v>8.65</v>
      </c>
      <c r="AB39" s="56">
        <f t="shared" si="4"/>
        <v>8.6516999999999982</v>
      </c>
    </row>
    <row r="40" spans="1:28" x14ac:dyDescent="0.25">
      <c r="A40" s="2"/>
      <c r="B40" s="2" t="s">
        <v>8959</v>
      </c>
      <c r="C40" s="2"/>
      <c r="D40" s="1"/>
      <c r="E40" s="1" t="s">
        <v>8000</v>
      </c>
      <c r="F40" s="1"/>
      <c r="G40" s="1"/>
      <c r="H40" s="1"/>
      <c r="I40" s="1">
        <v>148</v>
      </c>
      <c r="J40" s="16" t="s">
        <v>1929</v>
      </c>
      <c r="K40" s="2"/>
      <c r="L40" s="18">
        <f t="shared" si="0"/>
        <v>3.1732999999999998</v>
      </c>
      <c r="M40" s="18"/>
      <c r="N40" s="2" t="s">
        <v>8840</v>
      </c>
      <c r="O40" s="2"/>
      <c r="P40" s="32" t="s">
        <v>8969</v>
      </c>
      <c r="Q40" s="1"/>
      <c r="R40" s="49">
        <v>16</v>
      </c>
      <c r="S40" s="49">
        <v>150</v>
      </c>
      <c r="T40" s="2" t="s">
        <v>8816</v>
      </c>
      <c r="U40" s="2">
        <f>1.2+1.98</f>
        <v>3.1799999999999997</v>
      </c>
      <c r="V40" s="2"/>
      <c r="W40" s="2" t="str">
        <f t="shared" si="1"/>
        <v>1,90</v>
      </c>
      <c r="X40" s="18">
        <v>0.34</v>
      </c>
      <c r="Y40" s="18">
        <v>0.85</v>
      </c>
      <c r="Z40" s="56">
        <f t="shared" si="2"/>
        <v>8.3299999999999999E-2</v>
      </c>
      <c r="AA40">
        <f t="shared" si="3"/>
        <v>3.1799999999999997</v>
      </c>
      <c r="AB40" s="56">
        <f t="shared" si="4"/>
        <v>3.1732999999999998</v>
      </c>
    </row>
    <row r="41" spans="1:28" x14ac:dyDescent="0.25">
      <c r="A41" s="2"/>
      <c r="B41" s="2" t="s">
        <v>8960</v>
      </c>
      <c r="C41" s="2"/>
      <c r="D41" s="1"/>
      <c r="E41" s="1" t="s">
        <v>8000</v>
      </c>
      <c r="F41" s="1"/>
      <c r="G41" s="1"/>
      <c r="H41" s="1"/>
      <c r="I41" s="1">
        <v>151</v>
      </c>
      <c r="J41" s="16" t="s">
        <v>1879</v>
      </c>
      <c r="K41" s="2"/>
      <c r="L41" s="18">
        <f t="shared" si="0"/>
        <v>5.1527999999999992</v>
      </c>
      <c r="M41" s="18"/>
      <c r="N41" s="2" t="s">
        <v>8966</v>
      </c>
      <c r="O41" s="2"/>
      <c r="P41" s="32" t="s">
        <v>8970</v>
      </c>
      <c r="Q41" s="1"/>
      <c r="R41" s="1">
        <v>12</v>
      </c>
      <c r="S41" s="49">
        <v>80</v>
      </c>
      <c r="T41" s="2" t="s">
        <v>8817</v>
      </c>
      <c r="U41" s="2">
        <f>3.5+1.66</f>
        <v>5.16</v>
      </c>
      <c r="V41" s="2"/>
      <c r="W41" s="2" t="str">
        <f t="shared" si="1"/>
        <v>1,90</v>
      </c>
      <c r="X41" s="18">
        <v>0.34</v>
      </c>
      <c r="Y41" s="18">
        <v>2.7</v>
      </c>
      <c r="Z41" s="56">
        <f t="shared" si="2"/>
        <v>0.21279999999999999</v>
      </c>
      <c r="AA41">
        <f t="shared" si="3"/>
        <v>5.16</v>
      </c>
      <c r="AB41" s="56">
        <f t="shared" si="4"/>
        <v>5.1527999999999992</v>
      </c>
    </row>
    <row r="42" spans="1:28" x14ac:dyDescent="0.25">
      <c r="A42" s="2"/>
      <c r="B42" s="2" t="s">
        <v>8961</v>
      </c>
      <c r="C42" s="2"/>
      <c r="D42" s="1"/>
      <c r="E42" s="1" t="s">
        <v>8000</v>
      </c>
      <c r="F42" s="1"/>
      <c r="G42" s="1"/>
      <c r="H42" s="1"/>
      <c r="I42" s="1">
        <v>144</v>
      </c>
      <c r="J42" s="16" t="s">
        <v>1879</v>
      </c>
      <c r="K42" s="2"/>
      <c r="L42" s="18">
        <f t="shared" si="0"/>
        <v>2.8843999999999999</v>
      </c>
      <c r="M42" s="18"/>
      <c r="N42" s="2" t="s">
        <v>8840</v>
      </c>
      <c r="O42" s="2"/>
      <c r="P42" s="32" t="s">
        <v>8971</v>
      </c>
      <c r="Q42" s="1"/>
      <c r="R42" s="1">
        <v>16</v>
      </c>
      <c r="S42" s="49">
        <v>115</v>
      </c>
      <c r="T42" s="2" t="s">
        <v>8818</v>
      </c>
      <c r="U42" s="2">
        <f>0.98+1.9</f>
        <v>2.88</v>
      </c>
      <c r="V42" s="2"/>
      <c r="W42" s="2" t="str">
        <f t="shared" si="1"/>
        <v>1,90</v>
      </c>
      <c r="X42" s="18">
        <v>0.34</v>
      </c>
      <c r="Y42" s="18">
        <v>0.57999999999999996</v>
      </c>
      <c r="Z42" s="56">
        <f t="shared" si="2"/>
        <v>6.4399999999999999E-2</v>
      </c>
      <c r="AA42">
        <f t="shared" si="3"/>
        <v>2.88</v>
      </c>
      <c r="AB42" s="56">
        <f t="shared" si="4"/>
        <v>2.8843999999999999</v>
      </c>
    </row>
    <row r="43" spans="1:28" x14ac:dyDescent="0.25">
      <c r="A43" s="2"/>
      <c r="B43" s="2" t="s">
        <v>8962</v>
      </c>
      <c r="C43" s="2"/>
      <c r="D43" s="1"/>
      <c r="E43" s="1" t="s">
        <v>8000</v>
      </c>
      <c r="F43" s="1"/>
      <c r="G43" s="1"/>
      <c r="H43" s="1"/>
      <c r="I43" s="1">
        <v>106</v>
      </c>
      <c r="J43" s="16" t="s">
        <v>1929</v>
      </c>
      <c r="K43" s="2"/>
      <c r="L43" s="18">
        <f t="shared" si="0"/>
        <v>2.5312999999999999</v>
      </c>
      <c r="M43" s="18"/>
      <c r="N43" s="2" t="s">
        <v>1881</v>
      </c>
      <c r="O43" s="2"/>
      <c r="P43" s="32" t="s">
        <v>8972</v>
      </c>
      <c r="Q43" s="1"/>
      <c r="R43" s="1">
        <v>16</v>
      </c>
      <c r="S43" s="49">
        <v>108</v>
      </c>
      <c r="T43" s="2" t="s">
        <v>8819</v>
      </c>
      <c r="U43" s="2">
        <f>0.69+1.55</f>
        <v>2.2400000000000002</v>
      </c>
      <c r="V43" s="2"/>
      <c r="W43" s="2" t="str">
        <f t="shared" si="1"/>
        <v>1,90</v>
      </c>
      <c r="X43" s="18">
        <v>0.34</v>
      </c>
      <c r="Y43" s="18">
        <v>0.25</v>
      </c>
      <c r="Z43" s="56">
        <f t="shared" si="2"/>
        <v>4.1300000000000003E-2</v>
      </c>
      <c r="AA43">
        <f t="shared" si="3"/>
        <v>2.2400000000000002</v>
      </c>
      <c r="AB43" s="56">
        <f t="shared" si="4"/>
        <v>2.5312999999999999</v>
      </c>
    </row>
    <row r="44" spans="1:28" x14ac:dyDescent="0.25">
      <c r="A44" s="2"/>
      <c r="B44" s="2" t="s">
        <v>8963</v>
      </c>
      <c r="C44" s="2"/>
      <c r="D44" s="1"/>
      <c r="E44" s="1" t="s">
        <v>8000</v>
      </c>
      <c r="F44" s="1"/>
      <c r="G44" s="1"/>
      <c r="H44" s="1"/>
      <c r="I44" s="1">
        <v>131</v>
      </c>
      <c r="J44" s="16" t="s">
        <v>1879</v>
      </c>
      <c r="K44" s="2"/>
      <c r="L44" s="18">
        <f t="shared" si="0"/>
        <v>2.5312999999999999</v>
      </c>
      <c r="M44" s="18"/>
      <c r="N44" s="2" t="s">
        <v>1881</v>
      </c>
      <c r="O44" s="2"/>
      <c r="P44" s="32" t="s">
        <v>8973</v>
      </c>
      <c r="Q44" s="1"/>
      <c r="R44" s="1">
        <v>16</v>
      </c>
      <c r="S44" s="49">
        <v>99</v>
      </c>
      <c r="T44" s="2" t="s">
        <v>8820</v>
      </c>
      <c r="U44" s="2">
        <f>0.8+1.55</f>
        <v>2.35</v>
      </c>
      <c r="V44" s="2"/>
      <c r="W44" s="2" t="str">
        <f t="shared" si="1"/>
        <v>1,90</v>
      </c>
      <c r="X44" s="18">
        <v>0.34</v>
      </c>
      <c r="Y44" s="18">
        <v>0.25</v>
      </c>
      <c r="Z44" s="56">
        <f t="shared" si="2"/>
        <v>4.1300000000000003E-2</v>
      </c>
      <c r="AA44">
        <f t="shared" si="3"/>
        <v>2.35</v>
      </c>
      <c r="AB44" s="56">
        <f t="shared" si="4"/>
        <v>2.5312999999999999</v>
      </c>
    </row>
    <row r="45" spans="1:28" x14ac:dyDescent="0.25">
      <c r="A45" s="2"/>
      <c r="B45" s="2" t="s">
        <v>8964</v>
      </c>
      <c r="C45" s="2"/>
      <c r="D45" s="1"/>
      <c r="E45" s="1" t="s">
        <v>8000</v>
      </c>
      <c r="F45" s="1"/>
      <c r="G45" s="1"/>
      <c r="H45" s="1"/>
      <c r="I45" s="1">
        <v>59</v>
      </c>
      <c r="J45" s="16" t="s">
        <v>1879</v>
      </c>
      <c r="K45" s="2"/>
      <c r="L45" s="18">
        <f t="shared" si="0"/>
        <v>9.0903999999999989</v>
      </c>
      <c r="M45" s="18"/>
      <c r="N45" s="2" t="s">
        <v>8840</v>
      </c>
      <c r="O45" s="2"/>
      <c r="P45" s="32" t="s">
        <v>8974</v>
      </c>
      <c r="Q45" s="1"/>
      <c r="R45" s="1">
        <v>0</v>
      </c>
      <c r="S45" s="49">
        <v>70</v>
      </c>
      <c r="T45" s="2" t="s">
        <v>8821</v>
      </c>
      <c r="U45" s="2">
        <f>8+1.1</f>
        <v>9.1</v>
      </c>
      <c r="V45" s="2"/>
      <c r="W45" s="2" t="str">
        <f t="shared" si="1"/>
        <v>1,90</v>
      </c>
      <c r="X45" s="18">
        <v>0.34</v>
      </c>
      <c r="Y45" s="18">
        <v>6.38</v>
      </c>
      <c r="Z45" s="56">
        <f t="shared" si="2"/>
        <v>0.47039999999999998</v>
      </c>
      <c r="AA45">
        <f t="shared" si="3"/>
        <v>9.1</v>
      </c>
      <c r="AB45" s="56">
        <f t="shared" si="4"/>
        <v>9.0903999999999989</v>
      </c>
    </row>
    <row r="46" spans="1:28" x14ac:dyDescent="0.25">
      <c r="A46" s="2"/>
      <c r="B46" s="2" t="s">
        <v>8975</v>
      </c>
      <c r="C46" s="2"/>
      <c r="D46" s="1"/>
      <c r="E46" s="1" t="s">
        <v>8000</v>
      </c>
      <c r="F46" s="1"/>
      <c r="G46" s="1"/>
      <c r="H46" s="1"/>
      <c r="I46" s="1"/>
      <c r="J46" s="16" t="s">
        <v>1929</v>
      </c>
      <c r="K46" s="2"/>
      <c r="L46" s="18">
        <f t="shared" si="0"/>
        <v>17.382899999999999</v>
      </c>
      <c r="M46" s="18" t="s">
        <v>8842</v>
      </c>
      <c r="N46" s="2"/>
      <c r="O46" s="2"/>
      <c r="P46" s="32" t="s">
        <v>8984</v>
      </c>
      <c r="Q46" s="1"/>
      <c r="R46" s="49">
        <v>0</v>
      </c>
      <c r="S46" s="49">
        <v>98</v>
      </c>
      <c r="T46" s="2" t="s">
        <v>8822</v>
      </c>
      <c r="U46" s="2">
        <f>15.99+1.4</f>
        <v>17.39</v>
      </c>
      <c r="V46" s="2"/>
      <c r="W46" s="2" t="str">
        <f t="shared" si="1"/>
        <v>1,90</v>
      </c>
      <c r="X46" s="18">
        <v>0.34</v>
      </c>
      <c r="Y46" s="18">
        <v>14.13</v>
      </c>
      <c r="Z46" s="56">
        <f t="shared" si="2"/>
        <v>1.0128999999999999</v>
      </c>
      <c r="AA46">
        <f t="shared" si="3"/>
        <v>17.39</v>
      </c>
      <c r="AB46" s="56">
        <f t="shared" si="4"/>
        <v>17.382899999999999</v>
      </c>
    </row>
    <row r="47" spans="1:28" x14ac:dyDescent="0.25">
      <c r="A47" s="2"/>
      <c r="B47" s="2" t="s">
        <v>8976</v>
      </c>
      <c r="C47" s="2"/>
      <c r="D47" s="1"/>
      <c r="E47" s="1" t="s">
        <v>8000</v>
      </c>
      <c r="F47" s="1"/>
      <c r="G47" s="1"/>
      <c r="H47" s="1"/>
      <c r="I47" s="1">
        <f>115+23</f>
        <v>138</v>
      </c>
      <c r="J47" s="16" t="s">
        <v>1929</v>
      </c>
      <c r="K47" s="2"/>
      <c r="L47" s="18">
        <f t="shared" si="0"/>
        <v>2.5312999999999999</v>
      </c>
      <c r="M47" s="18" t="s">
        <v>8842</v>
      </c>
      <c r="N47" s="2" t="s">
        <v>8840</v>
      </c>
      <c r="O47" s="2"/>
      <c r="P47" s="32" t="s">
        <v>8985</v>
      </c>
      <c r="Q47" s="1"/>
      <c r="R47" s="49">
        <v>12</v>
      </c>
      <c r="S47" s="49">
        <v>102</v>
      </c>
      <c r="T47" s="2" t="s">
        <v>8823</v>
      </c>
      <c r="U47" s="2">
        <f>0.39+1.55</f>
        <v>1.94</v>
      </c>
      <c r="V47" s="2"/>
      <c r="W47" s="2" t="str">
        <f t="shared" si="1"/>
        <v>1,90</v>
      </c>
      <c r="X47" s="18">
        <v>0.34</v>
      </c>
      <c r="Y47" s="18">
        <v>0.25</v>
      </c>
      <c r="Z47" s="56">
        <f t="shared" si="2"/>
        <v>4.1300000000000003E-2</v>
      </c>
      <c r="AA47">
        <f t="shared" si="3"/>
        <v>1.94</v>
      </c>
      <c r="AB47" s="56">
        <f t="shared" si="4"/>
        <v>2.5312999999999999</v>
      </c>
    </row>
    <row r="48" spans="1:28" x14ac:dyDescent="0.25">
      <c r="A48" s="2"/>
      <c r="B48" s="2" t="s">
        <v>8977</v>
      </c>
      <c r="C48" s="2"/>
      <c r="D48" s="1"/>
      <c r="E48" s="1" t="s">
        <v>8000</v>
      </c>
      <c r="F48" s="1"/>
      <c r="G48" s="1"/>
      <c r="H48" s="1"/>
      <c r="I48" s="49">
        <v>88</v>
      </c>
      <c r="J48" s="16" t="s">
        <v>1929</v>
      </c>
      <c r="K48" s="2"/>
      <c r="L48" s="18">
        <f t="shared" si="0"/>
        <v>3.6869000000000001</v>
      </c>
      <c r="M48" s="18" t="s">
        <v>8842</v>
      </c>
      <c r="N48" s="2" t="s">
        <v>8840</v>
      </c>
      <c r="O48" s="2"/>
      <c r="P48" s="32" t="s">
        <v>8986</v>
      </c>
      <c r="Q48" s="1"/>
      <c r="R48" s="49">
        <v>6</v>
      </c>
      <c r="S48" s="49">
        <v>99</v>
      </c>
      <c r="T48" s="2" t="s">
        <v>8824</v>
      </c>
      <c r="U48" s="2">
        <f>2.1+1.6</f>
        <v>3.7</v>
      </c>
      <c r="V48" s="2"/>
      <c r="W48" s="2" t="str">
        <f t="shared" si="1"/>
        <v>1,90</v>
      </c>
      <c r="X48" s="18">
        <v>0.34</v>
      </c>
      <c r="Y48" s="18">
        <v>1.33</v>
      </c>
      <c r="Z48" s="56">
        <f t="shared" si="2"/>
        <v>0.11690000000000002</v>
      </c>
      <c r="AA48">
        <f t="shared" si="3"/>
        <v>3.7</v>
      </c>
      <c r="AB48" s="56">
        <f t="shared" si="4"/>
        <v>3.6869000000000001</v>
      </c>
    </row>
    <row r="49" spans="1:28" x14ac:dyDescent="0.25">
      <c r="A49" s="2"/>
      <c r="B49" s="2" t="s">
        <v>8978</v>
      </c>
      <c r="C49" s="2"/>
      <c r="D49" s="1"/>
      <c r="E49" s="1" t="s">
        <v>8000</v>
      </c>
      <c r="F49" s="1"/>
      <c r="G49" s="1"/>
      <c r="H49" s="1"/>
      <c r="I49" s="1">
        <v>104</v>
      </c>
      <c r="J49" s="16" t="s">
        <v>7527</v>
      </c>
      <c r="K49" s="2"/>
      <c r="L49" s="18">
        <f t="shared" si="0"/>
        <v>3.5798999999999999</v>
      </c>
      <c r="M49" s="18"/>
      <c r="N49" s="2" t="s">
        <v>8983</v>
      </c>
      <c r="O49" s="2"/>
      <c r="P49" s="32" t="s">
        <v>8987</v>
      </c>
      <c r="Q49" s="1"/>
      <c r="R49" s="1">
        <v>12</v>
      </c>
      <c r="S49" s="49">
        <v>83</v>
      </c>
      <c r="T49" s="2" t="s">
        <v>8825</v>
      </c>
      <c r="U49" s="2">
        <f>1.49+2.1</f>
        <v>3.59</v>
      </c>
      <c r="V49" s="2"/>
      <c r="W49" s="2" t="str">
        <f t="shared" si="1"/>
        <v>1,90</v>
      </c>
      <c r="X49" s="18">
        <v>0.34</v>
      </c>
      <c r="Y49" s="18">
        <v>1.23</v>
      </c>
      <c r="Z49" s="56">
        <f t="shared" si="2"/>
        <v>0.10990000000000001</v>
      </c>
      <c r="AA49">
        <f t="shared" si="3"/>
        <v>3.59</v>
      </c>
      <c r="AB49" s="56">
        <f t="shared" si="4"/>
        <v>3.5798999999999999</v>
      </c>
    </row>
    <row r="50" spans="1:28" x14ac:dyDescent="0.25">
      <c r="A50" s="2"/>
      <c r="B50" s="2" t="s">
        <v>8979</v>
      </c>
      <c r="C50" s="2"/>
      <c r="D50" s="1"/>
      <c r="E50" s="1" t="s">
        <v>8000</v>
      </c>
      <c r="F50" s="1"/>
      <c r="G50" s="1"/>
      <c r="H50" s="1"/>
      <c r="I50" s="1">
        <f>122+109+108</f>
        <v>339</v>
      </c>
      <c r="J50" s="16" t="s">
        <v>1879</v>
      </c>
      <c r="K50" s="2"/>
      <c r="L50" s="18">
        <f t="shared" si="0"/>
        <v>5.0885999999999996</v>
      </c>
      <c r="M50" s="18"/>
      <c r="N50" s="2" t="s">
        <v>8982</v>
      </c>
      <c r="O50" s="2"/>
      <c r="P50" s="32" t="s">
        <v>8988</v>
      </c>
      <c r="Q50" s="1"/>
      <c r="R50" s="1">
        <v>12</v>
      </c>
      <c r="S50" s="49">
        <v>128</v>
      </c>
      <c r="T50" s="2" t="s">
        <v>8826</v>
      </c>
      <c r="U50" s="2">
        <f>2.99+2.1</f>
        <v>5.09</v>
      </c>
      <c r="V50" s="2"/>
      <c r="W50" s="2" t="str">
        <f t="shared" si="1"/>
        <v>1,90</v>
      </c>
      <c r="X50" s="18">
        <v>0.34</v>
      </c>
      <c r="Y50" s="18">
        <v>2.64</v>
      </c>
      <c r="Z50" s="56">
        <f t="shared" si="2"/>
        <v>0.20860000000000001</v>
      </c>
      <c r="AA50">
        <f t="shared" si="3"/>
        <v>5.09</v>
      </c>
      <c r="AB50" s="56">
        <f t="shared" si="4"/>
        <v>5.0885999999999996</v>
      </c>
    </row>
    <row r="51" spans="1:28" x14ac:dyDescent="0.25">
      <c r="A51" s="2"/>
      <c r="B51" s="2" t="s">
        <v>8981</v>
      </c>
      <c r="C51" s="2"/>
      <c r="D51" s="1"/>
      <c r="E51" s="1" t="s">
        <v>8000</v>
      </c>
      <c r="F51" s="1"/>
      <c r="G51" s="1"/>
      <c r="H51" s="1"/>
      <c r="I51" s="1">
        <v>56</v>
      </c>
      <c r="J51" s="16" t="s">
        <v>7527</v>
      </c>
      <c r="K51" s="2"/>
      <c r="L51" s="18">
        <f t="shared" si="0"/>
        <v>3.0876999999999999</v>
      </c>
      <c r="M51" s="18"/>
      <c r="N51" s="2" t="s">
        <v>1881</v>
      </c>
      <c r="O51" s="2"/>
      <c r="P51" s="32" t="s">
        <v>8989</v>
      </c>
      <c r="Q51" s="1"/>
      <c r="R51" s="1">
        <v>0</v>
      </c>
      <c r="S51" s="49">
        <v>97</v>
      </c>
      <c r="T51" s="2" t="s">
        <v>8827</v>
      </c>
      <c r="U51" s="2">
        <f>0.79+2.3</f>
        <v>3.09</v>
      </c>
      <c r="V51" s="2"/>
      <c r="W51" s="2" t="str">
        <f t="shared" si="1"/>
        <v>1,90</v>
      </c>
      <c r="X51" s="18">
        <v>0.34</v>
      </c>
      <c r="Y51" s="18">
        <v>0.77</v>
      </c>
      <c r="Z51" s="56">
        <f t="shared" si="2"/>
        <v>7.7700000000000005E-2</v>
      </c>
      <c r="AA51">
        <f t="shared" si="3"/>
        <v>3.09</v>
      </c>
      <c r="AB51" s="56">
        <f t="shared" si="4"/>
        <v>3.0876999999999999</v>
      </c>
    </row>
    <row r="52" spans="1:28" x14ac:dyDescent="0.25">
      <c r="A52" s="2"/>
      <c r="B52" s="2" t="s">
        <v>8991</v>
      </c>
      <c r="C52" s="2"/>
      <c r="D52" s="1"/>
      <c r="E52" s="1" t="s">
        <v>8000</v>
      </c>
      <c r="F52" s="1"/>
      <c r="G52" s="1"/>
      <c r="H52" s="1"/>
      <c r="I52" s="49">
        <v>53</v>
      </c>
      <c r="J52" s="16" t="s">
        <v>1879</v>
      </c>
      <c r="K52" s="2"/>
      <c r="L52" s="18">
        <f t="shared" si="0"/>
        <v>2.5847999999999995</v>
      </c>
      <c r="M52" s="18"/>
      <c r="N52" s="2" t="s">
        <v>8903</v>
      </c>
      <c r="O52" s="2"/>
      <c r="P52" s="32" t="s">
        <v>9004</v>
      </c>
      <c r="Q52" s="1"/>
      <c r="R52" s="49">
        <v>0</v>
      </c>
      <c r="S52" s="49">
        <v>89</v>
      </c>
      <c r="T52" s="2" t="s">
        <v>8990</v>
      </c>
      <c r="U52" s="2">
        <f>1.19+1.4</f>
        <v>2.59</v>
      </c>
      <c r="V52" s="2"/>
      <c r="W52" s="2" t="str">
        <f t="shared" si="1"/>
        <v>1,90</v>
      </c>
      <c r="X52" s="18">
        <v>0.34</v>
      </c>
      <c r="Y52" s="18">
        <v>0.3</v>
      </c>
      <c r="Z52" s="56">
        <f t="shared" si="2"/>
        <v>4.48E-2</v>
      </c>
      <c r="AA52">
        <f t="shared" si="3"/>
        <v>2.59</v>
      </c>
      <c r="AB52" s="56">
        <f t="shared" si="4"/>
        <v>2.5847999999999995</v>
      </c>
    </row>
    <row r="53" spans="1:28" x14ac:dyDescent="0.25">
      <c r="A53" s="2"/>
      <c r="B53" s="2" t="s">
        <v>8992</v>
      </c>
      <c r="C53" s="2"/>
      <c r="D53" s="1"/>
      <c r="E53" s="1" t="s">
        <v>8000</v>
      </c>
      <c r="F53" s="1"/>
      <c r="G53" s="1"/>
      <c r="H53" s="1"/>
      <c r="I53" s="1">
        <v>100</v>
      </c>
      <c r="J53" s="16" t="s">
        <v>1879</v>
      </c>
      <c r="K53" s="2"/>
      <c r="L53" s="18">
        <f t="shared" si="0"/>
        <v>4.9388000000000005</v>
      </c>
      <c r="M53" s="18"/>
      <c r="N53" s="2" t="s">
        <v>9003</v>
      </c>
      <c r="O53" s="2"/>
      <c r="P53" s="32"/>
      <c r="Q53" s="1"/>
      <c r="R53" s="49">
        <v>0</v>
      </c>
      <c r="S53" s="49">
        <v>82</v>
      </c>
      <c r="T53" s="2" t="s">
        <v>9008</v>
      </c>
      <c r="U53" s="2"/>
      <c r="V53" s="2"/>
      <c r="W53" s="2" t="str">
        <f t="shared" si="1"/>
        <v>1,90</v>
      </c>
      <c r="X53" s="18">
        <v>0.34</v>
      </c>
      <c r="Y53" s="18">
        <v>2.5</v>
      </c>
      <c r="Z53" s="56">
        <f t="shared" si="2"/>
        <v>0.19879999999999998</v>
      </c>
      <c r="AA53">
        <f t="shared" si="3"/>
        <v>0</v>
      </c>
      <c r="AB53" s="56">
        <f t="shared" si="4"/>
        <v>4.9388000000000005</v>
      </c>
    </row>
    <row r="54" spans="1:28" x14ac:dyDescent="0.25">
      <c r="A54" s="2"/>
      <c r="B54" s="2" t="s">
        <v>8993</v>
      </c>
      <c r="C54" s="2"/>
      <c r="D54" s="1"/>
      <c r="E54" s="1" t="s">
        <v>8000</v>
      </c>
      <c r="F54" s="1"/>
      <c r="G54" s="1"/>
      <c r="H54" s="1"/>
      <c r="I54" s="1">
        <v>100</v>
      </c>
      <c r="J54" s="16" t="s">
        <v>1879</v>
      </c>
      <c r="K54" s="2"/>
      <c r="L54" s="18">
        <f t="shared" si="0"/>
        <v>4.9388000000000005</v>
      </c>
      <c r="M54" s="18"/>
      <c r="N54" s="2" t="s">
        <v>9003</v>
      </c>
      <c r="O54" s="2"/>
      <c r="P54" s="32"/>
      <c r="Q54" s="1"/>
      <c r="R54" s="49">
        <v>0</v>
      </c>
      <c r="S54" s="49">
        <v>82</v>
      </c>
      <c r="T54" s="2" t="s">
        <v>9009</v>
      </c>
      <c r="U54" s="2"/>
      <c r="V54" s="2"/>
      <c r="W54" s="2" t="str">
        <f t="shared" si="1"/>
        <v>1,90</v>
      </c>
      <c r="X54" s="18">
        <v>0.34</v>
      </c>
      <c r="Y54" s="18">
        <v>2.5</v>
      </c>
      <c r="Z54" s="56">
        <f t="shared" si="2"/>
        <v>0.19879999999999998</v>
      </c>
      <c r="AA54">
        <f t="shared" si="3"/>
        <v>0</v>
      </c>
      <c r="AB54" s="56">
        <f t="shared" si="4"/>
        <v>4.9388000000000005</v>
      </c>
    </row>
    <row r="55" spans="1:28" x14ac:dyDescent="0.25">
      <c r="A55" s="2"/>
      <c r="B55" s="2" t="s">
        <v>8994</v>
      </c>
      <c r="C55" s="2"/>
      <c r="D55" s="1"/>
      <c r="E55" s="1" t="s">
        <v>8000</v>
      </c>
      <c r="F55" s="1"/>
      <c r="G55" s="1"/>
      <c r="H55" s="1"/>
      <c r="I55" s="1">
        <v>100</v>
      </c>
      <c r="J55" s="16" t="s">
        <v>1879</v>
      </c>
      <c r="K55" s="2"/>
      <c r="L55" s="18">
        <f t="shared" si="0"/>
        <v>4.9388000000000005</v>
      </c>
      <c r="M55" s="18"/>
      <c r="N55" s="2" t="s">
        <v>9003</v>
      </c>
      <c r="O55" s="2"/>
      <c r="P55" s="32"/>
      <c r="Q55" s="1"/>
      <c r="R55" s="1">
        <v>0</v>
      </c>
      <c r="S55" s="49">
        <v>81</v>
      </c>
      <c r="T55" s="2" t="s">
        <v>9010</v>
      </c>
      <c r="U55" s="2"/>
      <c r="V55" s="2"/>
      <c r="W55" s="2" t="str">
        <f t="shared" si="1"/>
        <v>1,90</v>
      </c>
      <c r="X55" s="18">
        <v>0.34</v>
      </c>
      <c r="Y55" s="18">
        <v>2.5</v>
      </c>
      <c r="Z55" s="56">
        <f t="shared" si="2"/>
        <v>0.19879999999999998</v>
      </c>
      <c r="AA55">
        <f t="shared" si="3"/>
        <v>0</v>
      </c>
      <c r="AB55" s="56">
        <f t="shared" si="4"/>
        <v>4.9388000000000005</v>
      </c>
    </row>
    <row r="56" spans="1:28" x14ac:dyDescent="0.25">
      <c r="A56" s="2"/>
      <c r="B56" s="2" t="s">
        <v>8995</v>
      </c>
      <c r="C56" s="2"/>
      <c r="D56" s="1"/>
      <c r="E56" s="1" t="s">
        <v>8000</v>
      </c>
      <c r="F56" s="1"/>
      <c r="G56" s="1"/>
      <c r="H56" s="1"/>
      <c r="I56" s="1">
        <v>60</v>
      </c>
      <c r="J56" s="16" t="s">
        <v>1879</v>
      </c>
      <c r="K56" s="2"/>
      <c r="L56" s="18">
        <f t="shared" si="0"/>
        <v>2.8843999999999999</v>
      </c>
      <c r="M56" s="18"/>
      <c r="N56" s="2" t="s">
        <v>1881</v>
      </c>
      <c r="O56" s="2"/>
      <c r="P56" s="32"/>
      <c r="Q56" s="1"/>
      <c r="R56" s="1">
        <v>0</v>
      </c>
      <c r="S56" s="49">
        <v>78</v>
      </c>
      <c r="T56" s="2" t="s">
        <v>9011</v>
      </c>
      <c r="U56" s="2">
        <f>1.49+1.4</f>
        <v>2.8899999999999997</v>
      </c>
      <c r="V56" s="2"/>
      <c r="W56" s="2" t="str">
        <f t="shared" si="1"/>
        <v>1,90</v>
      </c>
      <c r="X56" s="18">
        <v>0.34</v>
      </c>
      <c r="Y56" s="18">
        <v>0.57999999999999996</v>
      </c>
      <c r="Z56" s="56">
        <f t="shared" si="2"/>
        <v>6.4399999999999999E-2</v>
      </c>
      <c r="AA56">
        <f t="shared" si="3"/>
        <v>2.8899999999999997</v>
      </c>
      <c r="AB56" s="56">
        <f t="shared" si="4"/>
        <v>2.8843999999999999</v>
      </c>
    </row>
    <row r="57" spans="1:28" x14ac:dyDescent="0.25">
      <c r="A57" s="2"/>
      <c r="B57" s="2" t="s">
        <v>8996</v>
      </c>
      <c r="C57" s="2"/>
      <c r="D57" s="1"/>
      <c r="E57" s="1" t="s">
        <v>8000</v>
      </c>
      <c r="F57" s="1"/>
      <c r="G57" s="1"/>
      <c r="H57" s="1"/>
      <c r="I57" s="1">
        <v>55</v>
      </c>
      <c r="J57" s="16" t="s">
        <v>1879</v>
      </c>
      <c r="K57" s="2"/>
      <c r="L57" s="18">
        <f t="shared" si="0"/>
        <v>4.9388000000000005</v>
      </c>
      <c r="M57" s="18"/>
      <c r="N57" s="2" t="s">
        <v>1881</v>
      </c>
      <c r="O57" s="2"/>
      <c r="P57" s="32"/>
      <c r="Q57" s="1"/>
      <c r="R57" s="1">
        <v>0</v>
      </c>
      <c r="S57" s="49">
        <v>91</v>
      </c>
      <c r="T57" s="2" t="s">
        <v>9012</v>
      </c>
      <c r="U57" s="2"/>
      <c r="V57" s="2"/>
      <c r="W57" s="2" t="str">
        <f t="shared" si="1"/>
        <v>1,90</v>
      </c>
      <c r="X57" s="18">
        <v>0.34</v>
      </c>
      <c r="Y57" s="18">
        <v>2.5</v>
      </c>
      <c r="Z57" s="56">
        <f t="shared" si="2"/>
        <v>0.19879999999999998</v>
      </c>
      <c r="AA57">
        <f t="shared" si="3"/>
        <v>0</v>
      </c>
      <c r="AB57" s="56">
        <f t="shared" si="4"/>
        <v>4.9388000000000005</v>
      </c>
    </row>
    <row r="58" spans="1:28" x14ac:dyDescent="0.25">
      <c r="A58" s="2"/>
      <c r="B58" s="2" t="s">
        <v>8997</v>
      </c>
      <c r="C58" s="2"/>
      <c r="D58" s="1"/>
      <c r="E58" s="1" t="s">
        <v>8000</v>
      </c>
      <c r="F58" s="1"/>
      <c r="G58" s="1"/>
      <c r="H58" s="1"/>
      <c r="I58" s="1">
        <v>60</v>
      </c>
      <c r="J58" s="16" t="s">
        <v>1879</v>
      </c>
      <c r="K58" s="2"/>
      <c r="L58" s="18">
        <f t="shared" si="0"/>
        <v>3.1947000000000001</v>
      </c>
      <c r="M58" s="18"/>
      <c r="N58" s="2" t="s">
        <v>9002</v>
      </c>
      <c r="O58" s="2"/>
      <c r="P58" s="32" t="s">
        <v>9005</v>
      </c>
      <c r="Q58" s="1"/>
      <c r="R58" s="1">
        <v>0</v>
      </c>
      <c r="S58" s="49">
        <v>99</v>
      </c>
      <c r="T58" s="2" t="s">
        <v>9013</v>
      </c>
      <c r="U58" s="2">
        <f>1.79+1.4</f>
        <v>3.19</v>
      </c>
      <c r="V58" s="2"/>
      <c r="W58" s="2" t="str">
        <f t="shared" si="1"/>
        <v>1,90</v>
      </c>
      <c r="X58" s="18">
        <v>0.34</v>
      </c>
      <c r="Y58" s="18">
        <v>0.87</v>
      </c>
      <c r="Z58" s="56">
        <f t="shared" si="2"/>
        <v>8.4699999999999998E-2</v>
      </c>
      <c r="AA58">
        <f t="shared" si="3"/>
        <v>3.19</v>
      </c>
      <c r="AB58" s="56">
        <f t="shared" si="4"/>
        <v>3.1947000000000001</v>
      </c>
    </row>
    <row r="59" spans="1:28" x14ac:dyDescent="0.25">
      <c r="A59" s="2"/>
      <c r="B59" s="2" t="s">
        <v>8998</v>
      </c>
      <c r="C59" s="2"/>
      <c r="D59" s="1"/>
      <c r="E59" s="1" t="s">
        <v>8000</v>
      </c>
      <c r="F59" s="1"/>
      <c r="G59" s="1"/>
      <c r="H59" s="1"/>
      <c r="I59" s="1">
        <v>38</v>
      </c>
      <c r="J59" s="16" t="s">
        <v>1879</v>
      </c>
      <c r="K59" s="2"/>
      <c r="L59" s="18">
        <f t="shared" si="0"/>
        <v>2.5312999999999999</v>
      </c>
      <c r="M59" s="18"/>
      <c r="N59" s="2" t="s">
        <v>9001</v>
      </c>
      <c r="O59" s="2"/>
      <c r="P59" s="32" t="s">
        <v>9006</v>
      </c>
      <c r="Q59" s="1"/>
      <c r="R59" s="1">
        <v>0</v>
      </c>
      <c r="S59" s="49">
        <v>105</v>
      </c>
      <c r="T59" s="2" t="s">
        <v>9014</v>
      </c>
      <c r="U59" s="2">
        <f>1.5+0.9</f>
        <v>2.4</v>
      </c>
      <c r="V59" s="2"/>
      <c r="W59" s="2" t="str">
        <f t="shared" si="1"/>
        <v>1,90</v>
      </c>
      <c r="X59" s="18">
        <v>0.34</v>
      </c>
      <c r="Y59" s="18">
        <v>0.25</v>
      </c>
      <c r="Z59" s="56">
        <f t="shared" si="2"/>
        <v>4.1300000000000003E-2</v>
      </c>
      <c r="AA59">
        <f t="shared" si="3"/>
        <v>2.4</v>
      </c>
      <c r="AB59" s="56">
        <f t="shared" si="4"/>
        <v>2.5312999999999999</v>
      </c>
    </row>
    <row r="60" spans="1:28" x14ac:dyDescent="0.25">
      <c r="A60" s="2"/>
      <c r="B60" s="2" t="s">
        <v>8999</v>
      </c>
      <c r="C60" s="2"/>
      <c r="D60" s="1"/>
      <c r="E60" s="1" t="s">
        <v>8000</v>
      </c>
      <c r="F60" s="1"/>
      <c r="G60" s="1"/>
      <c r="H60" s="1"/>
      <c r="I60" s="1">
        <v>26</v>
      </c>
      <c r="J60" s="16" t="s">
        <v>1879</v>
      </c>
      <c r="K60" s="2"/>
      <c r="L60" s="18">
        <f t="shared" si="0"/>
        <v>2.8843999999999999</v>
      </c>
      <c r="M60" s="18"/>
      <c r="N60" s="2" t="s">
        <v>1881</v>
      </c>
      <c r="O60" s="2"/>
      <c r="P60" s="32"/>
      <c r="Q60" s="1"/>
      <c r="R60" s="1">
        <v>6</v>
      </c>
      <c r="S60" s="49">
        <v>74</v>
      </c>
      <c r="T60" s="2" t="s">
        <v>9015</v>
      </c>
      <c r="U60" s="2">
        <f>1.49+1.4</f>
        <v>2.8899999999999997</v>
      </c>
      <c r="V60" s="2"/>
      <c r="W60" s="2" t="str">
        <f t="shared" si="1"/>
        <v>1,90</v>
      </c>
      <c r="X60" s="18">
        <v>0.34</v>
      </c>
      <c r="Y60" s="18">
        <v>0.57999999999999996</v>
      </c>
      <c r="Z60" s="56">
        <f t="shared" si="2"/>
        <v>6.4399999999999999E-2</v>
      </c>
      <c r="AA60">
        <f t="shared" si="3"/>
        <v>2.8899999999999997</v>
      </c>
      <c r="AB60" s="56">
        <f t="shared" si="4"/>
        <v>2.8843999999999999</v>
      </c>
    </row>
    <row r="61" spans="1:28" x14ac:dyDescent="0.25">
      <c r="A61" s="2"/>
      <c r="B61" s="2" t="s">
        <v>9000</v>
      </c>
      <c r="C61" s="2"/>
      <c r="D61" s="1"/>
      <c r="E61" s="1" t="s">
        <v>8000</v>
      </c>
      <c r="F61" s="1"/>
      <c r="G61" s="1"/>
      <c r="H61" s="1"/>
      <c r="I61" s="1">
        <v>45</v>
      </c>
      <c r="J61" s="16" t="s">
        <v>1879</v>
      </c>
      <c r="K61" s="2"/>
      <c r="L61" s="18">
        <f t="shared" si="0"/>
        <v>2.8843999999999999</v>
      </c>
      <c r="M61" s="18"/>
      <c r="N61" s="2" t="s">
        <v>1881</v>
      </c>
      <c r="O61" s="2"/>
      <c r="P61" s="32"/>
      <c r="Q61" s="1"/>
      <c r="R61" s="1">
        <v>6</v>
      </c>
      <c r="S61" s="49">
        <v>82</v>
      </c>
      <c r="T61" s="2" t="s">
        <v>9016</v>
      </c>
      <c r="U61" s="2">
        <f>1.49+1.4</f>
        <v>2.8899999999999997</v>
      </c>
      <c r="V61" s="2"/>
      <c r="W61" s="2" t="str">
        <f t="shared" si="1"/>
        <v>1,90</v>
      </c>
      <c r="X61" s="18">
        <v>0.34</v>
      </c>
      <c r="Y61" s="18">
        <v>0.57999999999999996</v>
      </c>
      <c r="Z61" s="56">
        <f t="shared" si="2"/>
        <v>6.4399999999999999E-2</v>
      </c>
      <c r="AA61">
        <f t="shared" si="3"/>
        <v>2.8899999999999997</v>
      </c>
      <c r="AB61" s="56">
        <f t="shared" si="4"/>
        <v>2.8843999999999999</v>
      </c>
    </row>
    <row r="62" spans="1:28" s="179" customFormat="1" x14ac:dyDescent="0.25">
      <c r="A62" s="178"/>
      <c r="B62" s="178" t="s">
        <v>9589</v>
      </c>
      <c r="C62" s="178"/>
      <c r="D62" s="176"/>
      <c r="E62" s="176" t="s">
        <v>8000</v>
      </c>
      <c r="F62" s="176"/>
      <c r="G62" s="176"/>
      <c r="H62" s="176"/>
      <c r="I62" s="176">
        <v>110</v>
      </c>
      <c r="J62" s="177" t="s">
        <v>1879</v>
      </c>
      <c r="K62" s="178"/>
      <c r="L62" s="174"/>
      <c r="M62" s="174"/>
      <c r="N62" s="178" t="s">
        <v>1881</v>
      </c>
      <c r="O62" s="178"/>
      <c r="P62" s="180" t="s">
        <v>9594</v>
      </c>
      <c r="Q62" s="176"/>
      <c r="R62" s="176">
        <v>12</v>
      </c>
      <c r="S62" s="176">
        <v>209</v>
      </c>
      <c r="T62" s="178" t="s">
        <v>9017</v>
      </c>
      <c r="U62" s="178">
        <f>2.1+2.3</f>
        <v>4.4000000000000004</v>
      </c>
      <c r="V62" s="178"/>
      <c r="W62" s="171" t="str">
        <f t="shared" si="1"/>
        <v>1,90</v>
      </c>
      <c r="X62" s="172">
        <v>0.34</v>
      </c>
      <c r="Y62" s="174">
        <v>2</v>
      </c>
      <c r="Z62" s="175">
        <f t="shared" si="2"/>
        <v>0.16379999999999997</v>
      </c>
      <c r="AA62" s="170">
        <f>U62</f>
        <v>4.4000000000000004</v>
      </c>
      <c r="AB62" s="175">
        <f>V62+W62+X62+Y62+Z62</f>
        <v>4.4038000000000004</v>
      </c>
    </row>
    <row r="63" spans="1:28" x14ac:dyDescent="0.25">
      <c r="A63" s="161"/>
      <c r="B63" s="161" t="s">
        <v>9590</v>
      </c>
      <c r="C63" s="161"/>
      <c r="D63" s="160"/>
      <c r="E63" s="160" t="s">
        <v>8000</v>
      </c>
      <c r="F63" s="1"/>
      <c r="G63" s="1"/>
      <c r="H63" s="1"/>
      <c r="I63" s="164"/>
      <c r="J63" s="165" t="s">
        <v>1879</v>
      </c>
      <c r="K63" s="2"/>
      <c r="L63" s="18"/>
      <c r="M63" s="168" t="s">
        <v>8842</v>
      </c>
      <c r="N63" s="167" t="s">
        <v>1881</v>
      </c>
      <c r="O63" s="2"/>
      <c r="P63" s="169" t="s">
        <v>9595</v>
      </c>
      <c r="Q63" s="1"/>
      <c r="R63" s="173">
        <v>12</v>
      </c>
      <c r="S63" s="173">
        <v>103</v>
      </c>
      <c r="T63" s="171" t="s">
        <v>9599</v>
      </c>
      <c r="U63" s="2"/>
      <c r="V63" s="2"/>
      <c r="W63" s="171" t="str">
        <f t="shared" si="1"/>
        <v>1,90</v>
      </c>
      <c r="X63" s="172">
        <v>0.34</v>
      </c>
      <c r="Y63" s="18">
        <v>2</v>
      </c>
      <c r="Z63" s="175">
        <f t="shared" si="2"/>
        <v>0.16379999999999997</v>
      </c>
      <c r="AA63" s="170">
        <f>U63</f>
        <v>0</v>
      </c>
      <c r="AB63" s="175">
        <f>V63+W63+X63+Y63+Z63</f>
        <v>4.4038000000000004</v>
      </c>
    </row>
    <row r="64" spans="1:28" x14ac:dyDescent="0.25">
      <c r="A64" s="161">
        <v>1789</v>
      </c>
      <c r="B64" s="161" t="s">
        <v>9591</v>
      </c>
      <c r="C64" s="161"/>
      <c r="D64" s="160"/>
      <c r="E64" s="160" t="s">
        <v>8000</v>
      </c>
      <c r="F64" s="1"/>
      <c r="G64" s="1"/>
      <c r="H64" s="1"/>
      <c r="I64" s="166">
        <v>81</v>
      </c>
      <c r="J64" s="165" t="s">
        <v>1879</v>
      </c>
      <c r="K64" s="2"/>
      <c r="L64" s="18"/>
      <c r="M64" s="168"/>
      <c r="N64" s="167" t="s">
        <v>1881</v>
      </c>
      <c r="O64" s="2"/>
      <c r="P64" s="169" t="s">
        <v>9596</v>
      </c>
      <c r="Q64" s="1"/>
      <c r="R64" s="173">
        <v>6</v>
      </c>
      <c r="S64" s="173">
        <v>99</v>
      </c>
      <c r="T64" s="171" t="s">
        <v>9600</v>
      </c>
      <c r="U64" s="2">
        <f>1.95+1.85</f>
        <v>3.8</v>
      </c>
      <c r="V64" s="2"/>
      <c r="W64" s="171" t="str">
        <f t="shared" si="1"/>
        <v>1,90</v>
      </c>
      <c r="X64" s="172">
        <v>0.34</v>
      </c>
      <c r="Y64" s="18">
        <v>1.45</v>
      </c>
      <c r="Z64" s="175">
        <f t="shared" si="2"/>
        <v>0.12529999999999999</v>
      </c>
      <c r="AA64" s="170">
        <f>U64</f>
        <v>3.8</v>
      </c>
      <c r="AB64" s="175">
        <f>V64+W64+X64+Y64+Z64</f>
        <v>3.8152999999999997</v>
      </c>
    </row>
    <row r="65" spans="1:28" x14ac:dyDescent="0.25">
      <c r="A65" s="162">
        <v>1788</v>
      </c>
      <c r="B65" s="161" t="s">
        <v>9592</v>
      </c>
      <c r="C65" s="161"/>
      <c r="D65" s="160"/>
      <c r="E65" s="160" t="s">
        <v>8000</v>
      </c>
      <c r="F65" s="1"/>
      <c r="G65" s="1"/>
      <c r="H65" s="1"/>
      <c r="I65" s="166">
        <v>147</v>
      </c>
      <c r="J65" s="165" t="s">
        <v>1914</v>
      </c>
      <c r="K65" s="2"/>
      <c r="L65" s="18"/>
      <c r="M65" s="168"/>
      <c r="N65" s="167" t="s">
        <v>1881</v>
      </c>
      <c r="O65" s="2"/>
      <c r="P65" s="169" t="s">
        <v>9597</v>
      </c>
      <c r="Q65" s="1"/>
      <c r="R65" s="173">
        <v>0</v>
      </c>
      <c r="S65" s="173">
        <v>96</v>
      </c>
      <c r="T65" s="171" t="s">
        <v>9601</v>
      </c>
      <c r="U65" s="2"/>
      <c r="V65" s="2"/>
      <c r="W65" s="171" t="str">
        <f t="shared" si="1"/>
        <v>1,90</v>
      </c>
      <c r="X65" s="172">
        <v>0.34</v>
      </c>
      <c r="Y65" s="18">
        <v>2</v>
      </c>
      <c r="Z65" s="175">
        <f t="shared" si="2"/>
        <v>0.16379999999999997</v>
      </c>
      <c r="AA65" s="170">
        <f>U65</f>
        <v>0</v>
      </c>
      <c r="AB65" s="175">
        <f>V65+W65+X65+Y65+Z65</f>
        <v>4.4038000000000004</v>
      </c>
    </row>
    <row r="66" spans="1:28" x14ac:dyDescent="0.25">
      <c r="A66" s="161">
        <v>1788</v>
      </c>
      <c r="B66" s="163" t="s">
        <v>9593</v>
      </c>
      <c r="C66" s="161"/>
      <c r="D66" s="160"/>
      <c r="E66" s="160" t="s">
        <v>8000</v>
      </c>
      <c r="F66" s="1"/>
      <c r="G66" s="1"/>
      <c r="H66" s="1"/>
      <c r="I66" s="166">
        <v>50</v>
      </c>
      <c r="J66" s="165" t="s">
        <v>1914</v>
      </c>
      <c r="K66" s="2"/>
      <c r="L66" s="18"/>
      <c r="M66" s="168"/>
      <c r="N66" s="167" t="s">
        <v>1881</v>
      </c>
      <c r="O66" s="2"/>
      <c r="P66" s="169" t="s">
        <v>9598</v>
      </c>
      <c r="Q66" s="1"/>
      <c r="R66" s="173">
        <v>0</v>
      </c>
      <c r="S66" s="173">
        <v>74</v>
      </c>
      <c r="T66" s="171" t="s">
        <v>9602</v>
      </c>
      <c r="U66" s="2">
        <v>8</v>
      </c>
      <c r="V66" s="2"/>
      <c r="W66" s="171" t="str">
        <f t="shared" si="1"/>
        <v>1,90</v>
      </c>
      <c r="X66" s="172">
        <v>0.34</v>
      </c>
      <c r="Y66" s="18">
        <v>2</v>
      </c>
      <c r="Z66" s="175">
        <f t="shared" si="2"/>
        <v>0.16379999999999997</v>
      </c>
      <c r="AA66" s="170">
        <f>U66</f>
        <v>8</v>
      </c>
      <c r="AB66" s="175">
        <f>V66+W66+X66+Y66+Z66</f>
        <v>4.4038000000000004</v>
      </c>
    </row>
    <row r="67" spans="1:28" x14ac:dyDescent="0.25">
      <c r="A67" s="2"/>
      <c r="B67" s="2"/>
      <c r="C67" s="2"/>
      <c r="D67" s="1"/>
      <c r="E67" s="1" t="s">
        <v>56</v>
      </c>
      <c r="F67" s="1"/>
      <c r="G67" s="1"/>
      <c r="H67" s="1"/>
      <c r="I67" s="1"/>
      <c r="J67" s="16"/>
      <c r="K67" s="2"/>
      <c r="L67" s="18"/>
      <c r="M67" s="18"/>
      <c r="N67" s="2"/>
      <c r="O67" s="2"/>
      <c r="P67" s="32"/>
      <c r="Q67" s="1"/>
      <c r="R67" s="1"/>
      <c r="S67" s="1"/>
      <c r="T67" s="2"/>
      <c r="U67" s="2"/>
      <c r="V67" s="2"/>
      <c r="W67" s="2"/>
      <c r="X67" s="2"/>
      <c r="Y67" s="18"/>
    </row>
    <row r="68" spans="1:28" x14ac:dyDescent="0.25">
      <c r="A68" s="2"/>
      <c r="B68" s="2"/>
      <c r="C68" s="2"/>
      <c r="D68" s="1"/>
      <c r="E68" s="1" t="s">
        <v>56</v>
      </c>
      <c r="F68" s="1"/>
      <c r="G68" s="1"/>
      <c r="H68" s="1"/>
      <c r="I68" s="1"/>
      <c r="J68" s="16"/>
      <c r="K68" s="2"/>
      <c r="L68" s="18"/>
      <c r="M68" s="18"/>
      <c r="N68" s="2"/>
      <c r="O68" s="2"/>
      <c r="P68" s="32"/>
      <c r="Q68" s="1"/>
      <c r="R68" s="1"/>
      <c r="S68" s="1"/>
      <c r="T68" s="2"/>
      <c r="U68" s="2"/>
      <c r="V68" s="2"/>
      <c r="W68" s="2"/>
      <c r="X68" s="2"/>
      <c r="Y68" s="18"/>
    </row>
    <row r="69" spans="1:28" x14ac:dyDescent="0.25">
      <c r="A69" s="2"/>
      <c r="B69" s="2"/>
      <c r="C69" s="2"/>
      <c r="D69" s="1"/>
      <c r="E69" s="1" t="s">
        <v>56</v>
      </c>
      <c r="F69" s="1"/>
      <c r="G69" s="1"/>
      <c r="H69" s="1"/>
      <c r="I69" s="1"/>
      <c r="J69" s="16"/>
      <c r="K69" s="2"/>
      <c r="L69" s="18"/>
      <c r="M69" s="18"/>
      <c r="N69" s="2"/>
      <c r="O69" s="2"/>
      <c r="P69" s="32"/>
      <c r="Q69" s="1"/>
      <c r="R69" s="1"/>
      <c r="S69" s="1"/>
      <c r="T69" s="2"/>
      <c r="U69" s="2"/>
      <c r="V69" s="2"/>
      <c r="W69" s="2"/>
      <c r="X69" s="2"/>
      <c r="Y69" s="18"/>
    </row>
    <row r="70" spans="1:28" x14ac:dyDescent="0.25">
      <c r="A70" s="2"/>
      <c r="B70" s="2"/>
      <c r="C70" s="2"/>
      <c r="D70" s="1"/>
      <c r="E70" s="1" t="s">
        <v>56</v>
      </c>
      <c r="F70" s="1"/>
      <c r="G70" s="1"/>
      <c r="H70" s="1"/>
      <c r="I70" s="1"/>
      <c r="J70" s="16"/>
      <c r="K70" s="2"/>
      <c r="L70" s="18"/>
      <c r="M70" s="18"/>
      <c r="N70" s="2"/>
      <c r="O70" s="2"/>
      <c r="P70" s="32"/>
      <c r="Q70" s="1"/>
      <c r="R70" s="1"/>
      <c r="S70" s="1"/>
      <c r="T70" s="2"/>
      <c r="U70" s="2"/>
      <c r="V70" s="2"/>
      <c r="W70" s="2"/>
      <c r="X70" s="2"/>
      <c r="Y70" s="18"/>
    </row>
    <row r="71" spans="1:28" x14ac:dyDescent="0.25">
      <c r="A71" s="2"/>
      <c r="B71" s="2"/>
      <c r="C71" s="2"/>
      <c r="D71" s="1"/>
      <c r="E71" s="1" t="s">
        <v>56</v>
      </c>
      <c r="F71" s="1"/>
      <c r="G71" s="1"/>
      <c r="H71" s="1"/>
      <c r="I71" s="1"/>
      <c r="J71" s="16"/>
      <c r="K71" s="2"/>
      <c r="L71" s="18"/>
      <c r="M71" s="18"/>
      <c r="N71" s="2"/>
      <c r="O71" s="2"/>
      <c r="P71" s="32"/>
      <c r="Q71" s="1"/>
      <c r="R71" s="1"/>
      <c r="S71" s="1"/>
      <c r="T71" s="2"/>
      <c r="U71" s="2"/>
      <c r="V71" s="2"/>
      <c r="W71" s="2"/>
      <c r="X71" s="2"/>
      <c r="Y71" s="18"/>
    </row>
    <row r="72" spans="1:28" x14ac:dyDescent="0.25">
      <c r="A72" s="2"/>
      <c r="B72" s="2"/>
      <c r="C72" s="2"/>
      <c r="D72" s="1"/>
      <c r="E72" s="1" t="s">
        <v>56</v>
      </c>
      <c r="F72" s="1"/>
      <c r="G72" s="1"/>
      <c r="H72" s="1"/>
      <c r="I72" s="1"/>
      <c r="J72" s="16"/>
      <c r="K72" s="2"/>
      <c r="L72" s="18"/>
      <c r="M72" s="18"/>
      <c r="N72" s="2"/>
      <c r="O72" s="2"/>
      <c r="P72" s="32"/>
      <c r="Q72" s="1"/>
      <c r="R72" s="1"/>
      <c r="S72" s="1"/>
      <c r="T72" s="2"/>
      <c r="U72" s="2"/>
      <c r="V72" s="2"/>
      <c r="W72" s="2"/>
      <c r="X72" s="2"/>
      <c r="Y72" s="18"/>
    </row>
    <row r="73" spans="1:28" x14ac:dyDescent="0.25">
      <c r="A73" s="2"/>
      <c r="B73" s="2"/>
      <c r="C73" s="2"/>
      <c r="D73" s="1"/>
      <c r="E73" s="1" t="s">
        <v>56</v>
      </c>
      <c r="F73" s="1"/>
      <c r="G73" s="1"/>
      <c r="H73" s="1"/>
      <c r="I73" s="1"/>
      <c r="J73" s="16"/>
      <c r="K73" s="2"/>
      <c r="L73" s="18"/>
      <c r="M73" s="18"/>
      <c r="N73" s="2"/>
      <c r="O73" s="2"/>
      <c r="P73" s="32"/>
      <c r="Q73" s="1"/>
      <c r="R73" s="1"/>
      <c r="S73" s="1"/>
      <c r="T73" s="2"/>
      <c r="U73" s="2"/>
      <c r="V73" s="2"/>
      <c r="W73" s="2"/>
      <c r="X73" s="2"/>
      <c r="Y73" s="18"/>
    </row>
    <row r="74" spans="1:28" x14ac:dyDescent="0.25">
      <c r="A74" s="2"/>
      <c r="B74" s="2"/>
      <c r="C74" s="2"/>
      <c r="D74" s="1"/>
      <c r="E74" s="1" t="s">
        <v>56</v>
      </c>
      <c r="F74" s="1"/>
      <c r="G74" s="1"/>
      <c r="H74" s="1"/>
      <c r="I74" s="1"/>
      <c r="J74" s="16"/>
      <c r="K74" s="2"/>
      <c r="L74" s="18"/>
      <c r="M74" s="18"/>
      <c r="N74" s="2"/>
      <c r="O74" s="2"/>
      <c r="P74" s="32"/>
      <c r="Q74" s="1"/>
      <c r="R74" s="1"/>
      <c r="S74" s="1"/>
      <c r="T74" s="2"/>
      <c r="U74" s="2"/>
      <c r="V74" s="2"/>
      <c r="W74" s="2"/>
      <c r="X74" s="2"/>
      <c r="Y74" s="18"/>
    </row>
    <row r="75" spans="1:28" x14ac:dyDescent="0.25">
      <c r="A75" s="2"/>
      <c r="B75" s="2"/>
      <c r="C75" s="2"/>
      <c r="D75" s="1"/>
      <c r="E75" s="1" t="s">
        <v>56</v>
      </c>
      <c r="F75" s="1"/>
      <c r="G75" s="1"/>
      <c r="H75" s="1"/>
      <c r="I75" s="1"/>
      <c r="J75" s="16"/>
      <c r="K75" s="2"/>
      <c r="L75" s="18"/>
      <c r="M75" s="18"/>
      <c r="N75" s="2"/>
      <c r="O75" s="2"/>
      <c r="P75" s="32"/>
      <c r="Q75" s="1"/>
      <c r="R75" s="1"/>
      <c r="S75" s="1"/>
      <c r="T75" s="2"/>
      <c r="U75" s="2"/>
      <c r="V75" s="2"/>
      <c r="W75" s="2"/>
      <c r="X75" s="2"/>
      <c r="Y75" s="18"/>
    </row>
    <row r="76" spans="1:28" x14ac:dyDescent="0.25">
      <c r="A76" s="2"/>
      <c r="B76" s="2"/>
      <c r="C76" s="2"/>
      <c r="D76" s="1"/>
      <c r="E76" s="1" t="s">
        <v>56</v>
      </c>
      <c r="F76" s="1"/>
      <c r="G76" s="1"/>
      <c r="H76" s="1"/>
      <c r="I76" s="1"/>
      <c r="J76" s="16"/>
      <c r="K76" s="2"/>
      <c r="L76" s="18"/>
      <c r="M76" s="18"/>
      <c r="N76" s="2"/>
      <c r="O76" s="2"/>
      <c r="P76" s="32"/>
      <c r="Q76" s="1"/>
      <c r="R76" s="1"/>
      <c r="S76" s="1"/>
      <c r="T76" s="2"/>
      <c r="U76" s="2"/>
      <c r="V76" s="2"/>
      <c r="W76" s="2"/>
      <c r="X76" s="2"/>
      <c r="Y76" s="18"/>
    </row>
    <row r="77" spans="1:28" x14ac:dyDescent="0.25">
      <c r="A77" s="2"/>
      <c r="B77" s="2"/>
      <c r="C77" s="2"/>
      <c r="D77" s="1"/>
      <c r="E77" s="1" t="s">
        <v>56</v>
      </c>
      <c r="F77" s="1"/>
      <c r="G77" s="1"/>
      <c r="H77" s="1"/>
      <c r="I77" s="1"/>
      <c r="J77" s="16"/>
      <c r="K77" s="2"/>
      <c r="L77" s="18"/>
      <c r="M77" s="18"/>
      <c r="N77" s="2"/>
      <c r="O77" s="2"/>
      <c r="P77" s="32"/>
      <c r="Q77" s="1"/>
      <c r="R77" s="1"/>
      <c r="S77" s="1"/>
      <c r="T77" s="2"/>
      <c r="U77" s="2"/>
      <c r="V77" s="2"/>
      <c r="W77" s="2"/>
      <c r="X77" s="2"/>
      <c r="Y77" s="18"/>
    </row>
    <row r="78" spans="1:28" x14ac:dyDescent="0.25">
      <c r="A78" s="2"/>
      <c r="B78" s="2"/>
      <c r="C78" s="2"/>
      <c r="D78" s="1"/>
      <c r="E78" s="1" t="s">
        <v>56</v>
      </c>
      <c r="F78" s="1"/>
      <c r="G78" s="1"/>
      <c r="H78" s="1"/>
      <c r="I78" s="1"/>
      <c r="J78" s="16"/>
      <c r="K78" s="2"/>
      <c r="L78" s="18"/>
      <c r="M78" s="18"/>
      <c r="N78" s="2"/>
      <c r="O78" s="2"/>
      <c r="P78" s="32"/>
      <c r="Q78" s="1"/>
      <c r="R78" s="1"/>
      <c r="S78" s="1"/>
      <c r="T78" s="2"/>
      <c r="U78" s="2"/>
      <c r="V78" s="2"/>
      <c r="W78" s="2"/>
      <c r="X78" s="2"/>
      <c r="Y78" s="18"/>
    </row>
    <row r="79" spans="1:28" x14ac:dyDescent="0.25">
      <c r="A79" s="2"/>
      <c r="B79" s="2"/>
      <c r="C79" s="2"/>
      <c r="D79" s="1"/>
      <c r="E79" s="1" t="s">
        <v>56</v>
      </c>
      <c r="F79" s="1"/>
      <c r="G79" s="1"/>
      <c r="H79" s="1"/>
      <c r="I79" s="1"/>
      <c r="J79" s="16"/>
      <c r="K79" s="2"/>
      <c r="L79" s="18"/>
      <c r="M79" s="18"/>
      <c r="N79" s="2"/>
      <c r="O79" s="2"/>
      <c r="P79" s="32"/>
      <c r="Q79" s="1"/>
      <c r="R79" s="1"/>
      <c r="S79" s="1"/>
      <c r="T79" s="2"/>
      <c r="U79" s="2"/>
      <c r="V79" s="2"/>
      <c r="W79" s="2"/>
      <c r="X79" s="2"/>
      <c r="Y79" s="18"/>
    </row>
    <row r="80" spans="1:28" x14ac:dyDescent="0.25">
      <c r="A80" s="2"/>
      <c r="B80" s="2"/>
      <c r="C80" s="2"/>
      <c r="D80" s="1"/>
      <c r="E80" s="1" t="s">
        <v>56</v>
      </c>
      <c r="F80" s="1"/>
      <c r="G80" s="1"/>
      <c r="H80" s="1"/>
      <c r="I80" s="1"/>
      <c r="J80" s="16"/>
      <c r="K80" s="2"/>
      <c r="L80" s="18"/>
      <c r="M80" s="18"/>
      <c r="N80" s="2"/>
      <c r="O80" s="2"/>
      <c r="P80" s="32"/>
      <c r="Q80" s="1"/>
      <c r="R80" s="1"/>
      <c r="S80" s="1"/>
      <c r="T80" s="2"/>
      <c r="U80" s="2"/>
      <c r="V80" s="2"/>
      <c r="W80" s="2"/>
      <c r="X80" s="2"/>
      <c r="Y80" s="18"/>
    </row>
    <row r="81" spans="1:25" x14ac:dyDescent="0.25">
      <c r="A81" s="2"/>
      <c r="B81" s="2"/>
      <c r="C81" s="2"/>
      <c r="D81" s="1"/>
      <c r="E81" s="1" t="s">
        <v>56</v>
      </c>
      <c r="F81" s="1"/>
      <c r="G81" s="1"/>
      <c r="H81" s="1"/>
      <c r="I81" s="1"/>
      <c r="J81" s="16"/>
      <c r="K81" s="2"/>
      <c r="L81" s="18"/>
      <c r="M81" s="18"/>
      <c r="N81" s="2"/>
      <c r="O81" s="2"/>
      <c r="P81" s="32"/>
      <c r="Q81" s="1"/>
      <c r="R81" s="1"/>
      <c r="S81" s="1"/>
      <c r="T81" s="2"/>
      <c r="U81" s="2"/>
      <c r="V81" s="2"/>
      <c r="W81" s="2"/>
      <c r="X81" s="2"/>
      <c r="Y81" s="18"/>
    </row>
    <row r="82" spans="1:25" x14ac:dyDescent="0.25">
      <c r="A82" s="2"/>
      <c r="B82" s="2"/>
      <c r="C82" s="2"/>
      <c r="D82" s="1"/>
      <c r="E82" s="1" t="s">
        <v>56</v>
      </c>
      <c r="F82" s="1"/>
      <c r="G82" s="1"/>
      <c r="H82" s="1"/>
      <c r="I82" s="1"/>
      <c r="J82" s="16"/>
      <c r="K82" s="2"/>
      <c r="L82" s="18"/>
      <c r="M82" s="18"/>
      <c r="N82" s="2"/>
      <c r="O82" s="2"/>
      <c r="P82" s="32"/>
      <c r="Q82" s="1"/>
      <c r="R82" s="1"/>
      <c r="S82" s="1"/>
      <c r="T82" s="2"/>
      <c r="U82" s="2"/>
      <c r="V82" s="2"/>
      <c r="W82" s="2"/>
      <c r="X82" s="2"/>
      <c r="Y82" s="18"/>
    </row>
    <row r="83" spans="1:25" x14ac:dyDescent="0.25">
      <c r="A83" s="2"/>
      <c r="B83" s="2"/>
      <c r="C83" s="2"/>
      <c r="D83" s="1"/>
      <c r="E83" s="1" t="s">
        <v>56</v>
      </c>
      <c r="F83" s="1"/>
      <c r="G83" s="1"/>
      <c r="H83" s="1"/>
      <c r="I83" s="1"/>
      <c r="J83" s="16"/>
      <c r="K83" s="2"/>
      <c r="L83" s="18"/>
      <c r="M83" s="18"/>
      <c r="N83" s="2"/>
      <c r="O83" s="2"/>
      <c r="P83" s="32"/>
      <c r="Q83" s="1"/>
      <c r="R83" s="1"/>
      <c r="S83" s="1"/>
      <c r="T83" s="2"/>
      <c r="U83" s="2"/>
      <c r="V83" s="2"/>
      <c r="W83" s="2"/>
      <c r="X83" s="2"/>
      <c r="Y83" s="18"/>
    </row>
    <row r="84" spans="1:25" x14ac:dyDescent="0.25">
      <c r="A84" s="2"/>
      <c r="B84" s="2"/>
      <c r="C84" s="2"/>
      <c r="D84" s="1"/>
      <c r="E84" s="1" t="s">
        <v>56</v>
      </c>
      <c r="F84" s="1"/>
      <c r="G84" s="1"/>
      <c r="H84" s="1"/>
      <c r="I84" s="1"/>
      <c r="J84" s="16"/>
      <c r="K84" s="2"/>
      <c r="L84" s="18"/>
      <c r="M84" s="18"/>
      <c r="N84" s="2"/>
      <c r="O84" s="2"/>
      <c r="P84" s="32"/>
      <c r="Q84" s="1"/>
      <c r="R84" s="1"/>
      <c r="S84" s="1"/>
      <c r="T84" s="2"/>
      <c r="U84" s="2"/>
      <c r="V84" s="2"/>
      <c r="W84" s="2"/>
      <c r="X84" s="2"/>
      <c r="Y84" s="18"/>
    </row>
    <row r="85" spans="1:25" x14ac:dyDescent="0.25">
      <c r="A85" s="2"/>
      <c r="B85" s="2"/>
      <c r="C85" s="2"/>
      <c r="D85" s="1"/>
      <c r="E85" s="1" t="s">
        <v>56</v>
      </c>
      <c r="F85" s="1"/>
      <c r="G85" s="1"/>
      <c r="H85" s="1"/>
      <c r="I85" s="1"/>
      <c r="J85" s="16"/>
      <c r="K85" s="2"/>
      <c r="L85" s="18"/>
      <c r="M85" s="18"/>
      <c r="N85" s="2"/>
      <c r="O85" s="2"/>
      <c r="P85" s="32"/>
      <c r="Q85" s="1"/>
      <c r="R85" s="1"/>
      <c r="S85" s="1"/>
      <c r="T85" s="2"/>
      <c r="U85" s="2"/>
      <c r="V85" s="2"/>
      <c r="W85" s="2"/>
      <c r="X85" s="2"/>
      <c r="Y85" s="18"/>
    </row>
    <row r="86" spans="1:25" x14ac:dyDescent="0.25">
      <c r="A86" s="2"/>
      <c r="B86" s="2"/>
      <c r="C86" s="2"/>
      <c r="D86" s="1"/>
      <c r="E86" s="1" t="s">
        <v>56</v>
      </c>
      <c r="F86" s="1"/>
      <c r="G86" s="1"/>
      <c r="H86" s="1"/>
      <c r="I86" s="1"/>
      <c r="J86" s="16"/>
      <c r="K86" s="2"/>
      <c r="L86" s="18"/>
      <c r="M86" s="18"/>
      <c r="N86" s="2"/>
      <c r="O86" s="2"/>
      <c r="P86" s="32"/>
      <c r="Q86" s="1"/>
      <c r="R86" s="1"/>
      <c r="S86" s="1"/>
      <c r="T86" s="2"/>
      <c r="U86" s="2"/>
      <c r="V86" s="2"/>
      <c r="W86" s="2"/>
      <c r="X86" s="2"/>
      <c r="Y86" s="18"/>
    </row>
    <row r="87" spans="1:25" x14ac:dyDescent="0.25">
      <c r="A87" s="2"/>
      <c r="B87" s="2"/>
      <c r="C87" s="2"/>
      <c r="D87" s="1"/>
      <c r="E87" s="1" t="s">
        <v>56</v>
      </c>
      <c r="F87" s="1"/>
      <c r="G87" s="1"/>
      <c r="H87" s="1"/>
      <c r="I87" s="1"/>
      <c r="J87" s="16"/>
      <c r="K87" s="2"/>
      <c r="L87" s="18"/>
      <c r="M87" s="18"/>
      <c r="N87" s="2"/>
      <c r="O87" s="2"/>
      <c r="P87" s="32"/>
      <c r="Q87" s="1"/>
      <c r="R87" s="1"/>
      <c r="S87" s="1"/>
      <c r="T87" s="2"/>
      <c r="U87" s="2"/>
      <c r="V87" s="2"/>
      <c r="W87" s="2"/>
      <c r="X87" s="2"/>
      <c r="Y87" s="18"/>
    </row>
    <row r="88" spans="1:25" x14ac:dyDescent="0.25">
      <c r="A88" s="2"/>
      <c r="B88" s="2"/>
      <c r="C88" s="2"/>
      <c r="D88" s="1"/>
      <c r="E88" s="1" t="s">
        <v>56</v>
      </c>
      <c r="F88" s="1"/>
      <c r="G88" s="1"/>
      <c r="H88" s="1"/>
      <c r="I88" s="1"/>
      <c r="J88" s="16"/>
      <c r="K88" s="2"/>
      <c r="L88" s="18"/>
      <c r="M88" s="18"/>
      <c r="N88" s="2"/>
      <c r="O88" s="2"/>
      <c r="P88" s="32"/>
      <c r="Q88" s="1"/>
      <c r="R88" s="1"/>
      <c r="S88" s="1"/>
      <c r="T88" s="2"/>
      <c r="U88" s="2"/>
      <c r="V88" s="2"/>
      <c r="W88" s="2"/>
      <c r="X88" s="2"/>
      <c r="Y88" s="18"/>
    </row>
    <row r="89" spans="1:25" x14ac:dyDescent="0.25">
      <c r="A89" s="2"/>
      <c r="B89" s="2"/>
      <c r="C89" s="2"/>
      <c r="D89" s="1"/>
      <c r="E89" s="1" t="s">
        <v>56</v>
      </c>
      <c r="F89" s="1"/>
      <c r="G89" s="1"/>
      <c r="H89" s="1"/>
      <c r="I89" s="1"/>
      <c r="J89" s="16"/>
      <c r="K89" s="2"/>
      <c r="L89" s="18"/>
      <c r="M89" s="18"/>
      <c r="N89" s="2"/>
      <c r="O89" s="2"/>
      <c r="P89" s="32"/>
      <c r="Q89" s="1"/>
      <c r="R89" s="1"/>
      <c r="S89" s="1"/>
      <c r="T89" s="2"/>
      <c r="U89" s="2"/>
      <c r="V89" s="2"/>
      <c r="W89" s="2"/>
      <c r="X89" s="2"/>
      <c r="Y89" s="18"/>
    </row>
    <row r="90" spans="1:25" x14ac:dyDescent="0.25">
      <c r="A90" s="2"/>
      <c r="B90" s="2"/>
      <c r="C90" s="2"/>
      <c r="D90" s="1"/>
      <c r="E90" s="1" t="s">
        <v>56</v>
      </c>
      <c r="F90" s="1"/>
      <c r="G90" s="1"/>
      <c r="H90" s="1"/>
      <c r="I90" s="1"/>
      <c r="J90" s="16"/>
      <c r="K90" s="2"/>
      <c r="L90" s="18"/>
      <c r="M90" s="18"/>
      <c r="N90" s="2"/>
      <c r="O90" s="2"/>
      <c r="P90" s="32"/>
      <c r="Q90" s="1"/>
      <c r="R90" s="1"/>
      <c r="S90" s="1"/>
      <c r="T90" s="2"/>
      <c r="U90" s="2"/>
      <c r="V90" s="2"/>
      <c r="W90" s="2"/>
      <c r="X90" s="2"/>
      <c r="Y90" s="18"/>
    </row>
    <row r="91" spans="1:25" x14ac:dyDescent="0.25">
      <c r="A91" s="2"/>
      <c r="B91" s="2"/>
      <c r="C91" s="2"/>
      <c r="D91" s="1"/>
      <c r="E91" s="1" t="s">
        <v>56</v>
      </c>
      <c r="F91" s="1"/>
      <c r="G91" s="1"/>
      <c r="H91" s="1"/>
      <c r="I91" s="1"/>
      <c r="J91" s="16"/>
      <c r="K91" s="2"/>
      <c r="L91" s="18"/>
      <c r="M91" s="18"/>
      <c r="N91" s="2"/>
      <c r="O91" s="2"/>
      <c r="P91" s="32"/>
      <c r="Q91" s="1"/>
      <c r="R91" s="1"/>
      <c r="S91" s="1"/>
      <c r="T91" s="2"/>
      <c r="U91" s="2"/>
      <c r="V91" s="2"/>
      <c r="W91" s="2"/>
      <c r="X91" s="2"/>
      <c r="Y91" s="18"/>
    </row>
    <row r="92" spans="1:25" x14ac:dyDescent="0.25">
      <c r="A92" s="2"/>
      <c r="B92" s="2"/>
      <c r="C92" s="2"/>
      <c r="D92" s="1"/>
      <c r="E92" s="1" t="s">
        <v>56</v>
      </c>
      <c r="F92" s="1"/>
      <c r="G92" s="1"/>
      <c r="H92" s="1"/>
      <c r="I92" s="1"/>
      <c r="J92" s="16"/>
      <c r="K92" s="2"/>
      <c r="L92" s="18"/>
      <c r="M92" s="18"/>
      <c r="N92" s="2"/>
      <c r="O92" s="2"/>
      <c r="P92" s="32"/>
      <c r="Q92" s="1"/>
      <c r="R92" s="1"/>
      <c r="S92" s="1"/>
      <c r="T92" s="2"/>
      <c r="U92" s="2"/>
      <c r="V92" s="2"/>
      <c r="W92" s="2"/>
      <c r="X92" s="2"/>
      <c r="Y92" s="18"/>
    </row>
    <row r="93" spans="1:25" x14ac:dyDescent="0.25">
      <c r="A93" s="2"/>
      <c r="B93" s="2"/>
      <c r="C93" s="2"/>
      <c r="D93" s="1"/>
      <c r="E93" s="1" t="s">
        <v>56</v>
      </c>
      <c r="F93" s="1"/>
      <c r="G93" s="1"/>
      <c r="H93" s="1"/>
      <c r="I93" s="1"/>
      <c r="J93" s="16"/>
      <c r="K93" s="2"/>
      <c r="L93" s="18"/>
      <c r="M93" s="18"/>
      <c r="N93" s="2"/>
      <c r="O93" s="2"/>
      <c r="P93" s="32"/>
      <c r="Q93" s="1"/>
      <c r="R93" s="1"/>
      <c r="S93" s="1"/>
      <c r="T93" s="2"/>
      <c r="U93" s="2"/>
      <c r="V93" s="2"/>
      <c r="W93" s="2"/>
      <c r="X93" s="2"/>
      <c r="Y93" s="18"/>
    </row>
    <row r="94" spans="1:25" x14ac:dyDescent="0.25">
      <c r="A94" s="2"/>
      <c r="B94" s="2"/>
      <c r="C94" s="2"/>
      <c r="D94" s="1"/>
      <c r="E94" s="1" t="s">
        <v>56</v>
      </c>
      <c r="F94" s="1"/>
      <c r="G94" s="1"/>
      <c r="H94" s="1"/>
      <c r="I94" s="1"/>
      <c r="J94" s="16"/>
      <c r="K94" s="2"/>
      <c r="L94" s="18"/>
      <c r="M94" s="18"/>
      <c r="N94" s="2"/>
      <c r="O94" s="2"/>
      <c r="P94" s="32"/>
      <c r="Q94" s="1"/>
      <c r="R94" s="1"/>
      <c r="S94" s="1"/>
      <c r="T94" s="2"/>
      <c r="U94" s="2"/>
      <c r="V94" s="2"/>
      <c r="W94" s="2"/>
      <c r="X94" s="2"/>
      <c r="Y94" s="18"/>
    </row>
    <row r="95" spans="1:25" x14ac:dyDescent="0.25">
      <c r="A95" s="2"/>
      <c r="B95" s="2"/>
      <c r="C95" s="2"/>
      <c r="D95" s="1"/>
      <c r="E95" s="1" t="s">
        <v>56</v>
      </c>
      <c r="F95" s="1"/>
      <c r="G95" s="1"/>
      <c r="H95" s="1"/>
      <c r="I95" s="1"/>
      <c r="J95" s="16"/>
      <c r="K95" s="2"/>
      <c r="L95" s="18"/>
      <c r="M95" s="18"/>
      <c r="N95" s="2"/>
      <c r="O95" s="2"/>
      <c r="P95" s="32"/>
      <c r="Q95" s="1"/>
      <c r="R95" s="1"/>
      <c r="S95" s="1"/>
      <c r="T95" s="2"/>
      <c r="U95" s="2"/>
      <c r="V95" s="2"/>
      <c r="W95" s="2"/>
      <c r="X95" s="2"/>
      <c r="Y95" s="18"/>
    </row>
    <row r="96" spans="1:25" x14ac:dyDescent="0.25">
      <c r="A96" s="2"/>
      <c r="B96" s="2"/>
      <c r="C96" s="2"/>
      <c r="D96" s="1"/>
      <c r="E96" s="1" t="s">
        <v>56</v>
      </c>
      <c r="F96" s="1"/>
      <c r="G96" s="1"/>
      <c r="H96" s="1"/>
      <c r="I96" s="1"/>
      <c r="J96" s="16"/>
      <c r="K96" s="2"/>
      <c r="L96" s="18"/>
      <c r="M96" s="18"/>
      <c r="N96" s="2"/>
      <c r="O96" s="2"/>
      <c r="P96" s="32"/>
      <c r="Q96" s="1"/>
      <c r="R96" s="1"/>
      <c r="S96" s="1"/>
      <c r="T96" s="2"/>
      <c r="U96" s="2"/>
      <c r="V96" s="2"/>
      <c r="W96" s="2"/>
      <c r="X96" s="2"/>
      <c r="Y96" s="18"/>
    </row>
    <row r="97" spans="1:25" x14ac:dyDescent="0.25">
      <c r="A97" s="2"/>
      <c r="B97" s="2"/>
      <c r="C97" s="2"/>
      <c r="D97" s="1"/>
      <c r="E97" s="1" t="s">
        <v>56</v>
      </c>
      <c r="F97" s="1"/>
      <c r="G97" s="1"/>
      <c r="H97" s="1"/>
      <c r="I97" s="1"/>
      <c r="J97" s="16"/>
      <c r="K97" s="2"/>
      <c r="L97" s="18"/>
      <c r="M97" s="18"/>
      <c r="N97" s="2"/>
      <c r="O97" s="2"/>
      <c r="P97" s="32"/>
      <c r="Q97" s="1"/>
      <c r="R97" s="1"/>
      <c r="S97" s="1"/>
      <c r="T97" s="2"/>
      <c r="U97" s="2"/>
      <c r="V97" s="2"/>
      <c r="W97" s="2"/>
      <c r="X97" s="2"/>
      <c r="Y97" s="18"/>
    </row>
    <row r="98" spans="1:25" x14ac:dyDescent="0.25">
      <c r="A98" s="2"/>
      <c r="B98" s="2"/>
      <c r="C98" s="2"/>
      <c r="D98" s="1"/>
      <c r="E98" s="1" t="s">
        <v>56</v>
      </c>
      <c r="F98" s="1"/>
      <c r="G98" s="1"/>
      <c r="H98" s="1"/>
      <c r="I98" s="1"/>
      <c r="J98" s="16"/>
      <c r="K98" s="2"/>
      <c r="L98" s="18"/>
      <c r="M98" s="18"/>
      <c r="N98" s="2"/>
      <c r="O98" s="2"/>
      <c r="P98" s="32"/>
      <c r="Q98" s="1"/>
      <c r="R98" s="1"/>
      <c r="S98" s="1"/>
      <c r="T98" s="2"/>
      <c r="U98" s="2"/>
      <c r="V98" s="2"/>
      <c r="W98" s="2"/>
      <c r="X98" s="2"/>
      <c r="Y98" s="18"/>
    </row>
    <row r="99" spans="1:25" x14ac:dyDescent="0.25">
      <c r="A99" s="2"/>
      <c r="T99" s="2"/>
      <c r="V99" s="2"/>
      <c r="W99" s="2"/>
      <c r="X99" s="2"/>
      <c r="Y99" s="18"/>
    </row>
  </sheetData>
  <sheetProtection selectLockedCells="1" selectUnlockedCells="1"/>
  <dataValidations count="4">
    <dataValidation type="list" allowBlank="1" showErrorMessage="1" sqref="W67:W99" xr:uid="{6831F4A3-0FDD-40EA-A6E7-124CA078D48F}">
      <formula1>"nein,ja"</formula1>
      <formula2>0</formula2>
    </dataValidation>
    <dataValidation type="list" allowBlank="1" showErrorMessage="1" sqref="X67:X99" xr:uid="{1209F6DE-EF4F-4D04-8831-AD95C25A2B55}">
      <formula1>"nein,ja (nur gewerblich),"</formula1>
      <formula2>0</formula2>
    </dataValidation>
    <dataValidation type="decimal" allowBlank="1" showDropDown="1" showErrorMessage="1" sqref="L1" xr:uid="{7E6B431B-5797-402B-B0AB-071EEB117E37}">
      <formula1>0</formula1>
      <formula2>100000</formula2>
    </dataValidation>
    <dataValidation type="list" allowBlank="1" showErrorMessage="1" sqref="E2:E98" xr:uid="{BBE7C269-62CC-47BF-8ADE-A4AFA54928C1}">
      <formula1>"bitte auswählen,DVD,VHS,Blue-Ray,Super-8,Video2000,Laserdisc,Filmposter,Sonstiges Format"</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99"/>
  <sheetViews>
    <sheetView workbookViewId="0">
      <selection activeCell="B23" sqref="B23"/>
    </sheetView>
  </sheetViews>
  <sheetFormatPr baseColWidth="10" defaultColWidth="11.5546875" defaultRowHeight="13.2" x14ac:dyDescent="0.25"/>
  <cols>
    <col min="4" max="5" width="22.109375" customWidth="1"/>
    <col min="8" max="8" width="15.33203125" customWidth="1"/>
    <col min="9" max="9" width="25.44140625" customWidth="1"/>
    <col min="12" max="12" width="13.109375" customWidth="1"/>
    <col min="13" max="13" width="15" customWidth="1"/>
    <col min="18" max="18" width="21.88671875" customWidth="1"/>
    <col min="20" max="20" width="39.109375" style="2" customWidth="1"/>
  </cols>
  <sheetData>
    <row r="1" spans="1:20" x14ac:dyDescent="0.25">
      <c r="A1" s="21" t="s">
        <v>26</v>
      </c>
      <c r="B1" s="22" t="s">
        <v>67</v>
      </c>
      <c r="C1" s="23" t="s">
        <v>28</v>
      </c>
      <c r="D1" s="23" t="s">
        <v>68</v>
      </c>
      <c r="E1" s="21" t="s">
        <v>69</v>
      </c>
      <c r="F1" s="21" t="s">
        <v>70</v>
      </c>
      <c r="G1" s="21" t="s">
        <v>31</v>
      </c>
      <c r="H1" s="24" t="s">
        <v>34</v>
      </c>
      <c r="I1" s="21" t="s">
        <v>35</v>
      </c>
      <c r="J1" s="25" t="s">
        <v>64</v>
      </c>
      <c r="K1" s="21" t="s">
        <v>40</v>
      </c>
      <c r="L1" s="26" t="s">
        <v>41</v>
      </c>
      <c r="M1" s="27" t="s">
        <v>42</v>
      </c>
      <c r="N1" s="31" t="s">
        <v>43</v>
      </c>
      <c r="O1" s="21" t="s">
        <v>55</v>
      </c>
      <c r="P1" s="21" t="s">
        <v>44</v>
      </c>
      <c r="Q1" s="21" t="s">
        <v>45</v>
      </c>
      <c r="R1" s="21" t="s">
        <v>46</v>
      </c>
      <c r="S1" s="21" t="s">
        <v>47</v>
      </c>
      <c r="T1" s="21" t="s">
        <v>50</v>
      </c>
    </row>
    <row r="2" spans="1:20" x14ac:dyDescent="0.25">
      <c r="A2" s="183"/>
      <c r="B2" s="183"/>
      <c r="C2" s="183" t="s">
        <v>8904</v>
      </c>
      <c r="D2" s="182" t="s">
        <v>8905</v>
      </c>
      <c r="E2" s="183"/>
      <c r="F2" s="183"/>
      <c r="G2" s="183"/>
      <c r="H2" s="184" t="s">
        <v>1879</v>
      </c>
      <c r="I2" s="183"/>
      <c r="J2" s="195" t="s">
        <v>8906</v>
      </c>
      <c r="K2" s="183" t="s">
        <v>8940</v>
      </c>
      <c r="L2" s="182">
        <v>179</v>
      </c>
      <c r="M2" s="18">
        <v>2.6688000000000001</v>
      </c>
      <c r="N2" s="18"/>
      <c r="O2" s="2"/>
      <c r="P2" s="2"/>
      <c r="Q2" s="2"/>
      <c r="R2" s="2" t="s">
        <v>51</v>
      </c>
      <c r="S2" s="2" t="s">
        <v>51</v>
      </c>
      <c r="T2" s="18"/>
    </row>
    <row r="3" spans="1:20" x14ac:dyDescent="0.25">
      <c r="A3" s="183"/>
      <c r="B3" s="183"/>
      <c r="C3" s="183" t="s">
        <v>8907</v>
      </c>
      <c r="D3" s="182" t="s">
        <v>8905</v>
      </c>
      <c r="E3" s="183"/>
      <c r="F3" s="183"/>
      <c r="G3" s="183"/>
      <c r="H3" s="184" t="s">
        <v>1929</v>
      </c>
      <c r="I3" s="183"/>
      <c r="J3" s="195"/>
      <c r="K3" s="183" t="s">
        <v>8941</v>
      </c>
      <c r="L3" s="182">
        <v>89</v>
      </c>
      <c r="M3" s="18">
        <v>2.6688000000000001</v>
      </c>
      <c r="N3" s="18"/>
      <c r="O3" s="2"/>
      <c r="P3" s="2"/>
      <c r="Q3" s="2"/>
      <c r="R3" s="2" t="s">
        <v>51</v>
      </c>
      <c r="S3" s="2" t="s">
        <v>51</v>
      </c>
      <c r="T3" s="18"/>
    </row>
    <row r="4" spans="1:20" x14ac:dyDescent="0.25">
      <c r="A4" s="183"/>
      <c r="B4" s="183"/>
      <c r="C4" s="183" t="s">
        <v>8908</v>
      </c>
      <c r="D4" s="182" t="s">
        <v>8905</v>
      </c>
      <c r="E4" s="183"/>
      <c r="F4" s="183"/>
      <c r="G4" s="183"/>
      <c r="H4" s="184" t="s">
        <v>1914</v>
      </c>
      <c r="I4" s="183"/>
      <c r="J4" s="195" t="s">
        <v>8909</v>
      </c>
      <c r="K4" s="183" t="s">
        <v>8942</v>
      </c>
      <c r="L4" s="182">
        <v>67</v>
      </c>
      <c r="M4" s="18">
        <v>1.8448999999999998</v>
      </c>
      <c r="N4" s="18"/>
      <c r="O4" s="2"/>
      <c r="P4" s="2"/>
      <c r="Q4" s="2"/>
      <c r="R4" s="2" t="s">
        <v>51</v>
      </c>
      <c r="S4" s="2" t="s">
        <v>51</v>
      </c>
      <c r="T4" s="18"/>
    </row>
    <row r="5" spans="1:20" x14ac:dyDescent="0.25">
      <c r="A5" s="183"/>
      <c r="B5" s="183" t="s">
        <v>8910</v>
      </c>
      <c r="C5" s="183" t="s">
        <v>8911</v>
      </c>
      <c r="D5" s="196" t="s">
        <v>8905</v>
      </c>
      <c r="E5" s="183"/>
      <c r="F5" s="183"/>
      <c r="G5" s="183"/>
      <c r="H5" s="184" t="s">
        <v>1879</v>
      </c>
      <c r="I5" s="183"/>
      <c r="J5" s="195" t="s">
        <v>8912</v>
      </c>
      <c r="K5" s="183" t="s">
        <v>8943</v>
      </c>
      <c r="L5" s="182">
        <v>66</v>
      </c>
      <c r="M5" s="18">
        <v>2.9362999999999992</v>
      </c>
      <c r="N5" s="18"/>
      <c r="O5" s="2"/>
      <c r="P5" s="2"/>
      <c r="Q5" s="2"/>
      <c r="R5" s="2" t="s">
        <v>51</v>
      </c>
      <c r="S5" s="2" t="s">
        <v>51</v>
      </c>
      <c r="T5" s="18"/>
    </row>
    <row r="6" spans="1:20" x14ac:dyDescent="0.25">
      <c r="A6" s="183"/>
      <c r="B6" s="183" t="s">
        <v>8913</v>
      </c>
      <c r="C6" s="183" t="s">
        <v>8914</v>
      </c>
      <c r="D6" s="196" t="s">
        <v>8905</v>
      </c>
      <c r="E6" s="183"/>
      <c r="F6" s="183"/>
      <c r="G6" s="183"/>
      <c r="H6" s="184" t="s">
        <v>1879</v>
      </c>
      <c r="I6" s="183"/>
      <c r="J6" s="195" t="s">
        <v>8915</v>
      </c>
      <c r="K6" s="183" t="s">
        <v>8944</v>
      </c>
      <c r="L6" s="182">
        <v>91</v>
      </c>
      <c r="M6" s="18">
        <v>1.6201999999999999</v>
      </c>
      <c r="N6" s="18"/>
      <c r="O6" s="2"/>
      <c r="P6" s="2"/>
      <c r="Q6" s="2"/>
      <c r="R6" s="2" t="s">
        <v>51</v>
      </c>
      <c r="S6" s="2" t="s">
        <v>51</v>
      </c>
      <c r="T6" s="18"/>
    </row>
    <row r="7" spans="1:20" x14ac:dyDescent="0.25">
      <c r="A7" s="183"/>
      <c r="B7" s="183" t="s">
        <v>8916</v>
      </c>
      <c r="C7" s="183" t="s">
        <v>8917</v>
      </c>
      <c r="D7" s="196" t="s">
        <v>8905</v>
      </c>
      <c r="E7" s="183"/>
      <c r="F7" s="183"/>
      <c r="G7" s="183"/>
      <c r="H7" s="184" t="s">
        <v>7527</v>
      </c>
      <c r="I7" s="183"/>
      <c r="J7" s="195" t="s">
        <v>8918</v>
      </c>
      <c r="K7" s="183" t="s">
        <v>8945</v>
      </c>
      <c r="L7" s="182">
        <v>70</v>
      </c>
      <c r="M7" s="18">
        <v>2.2835999999999999</v>
      </c>
      <c r="N7" s="18"/>
      <c r="O7" s="2"/>
      <c r="P7" s="2"/>
      <c r="Q7" s="2"/>
      <c r="R7" s="2" t="s">
        <v>51</v>
      </c>
      <c r="S7" s="2" t="s">
        <v>51</v>
      </c>
      <c r="T7" s="18"/>
    </row>
    <row r="8" spans="1:20" x14ac:dyDescent="0.25">
      <c r="A8" s="183"/>
      <c r="B8" s="183" t="s">
        <v>8919</v>
      </c>
      <c r="C8" s="183" t="s">
        <v>8920</v>
      </c>
      <c r="D8" s="196" t="s">
        <v>8905</v>
      </c>
      <c r="E8" s="183"/>
      <c r="F8" s="183"/>
      <c r="G8" s="183"/>
      <c r="H8" s="184" t="s">
        <v>8921</v>
      </c>
      <c r="I8" s="183" t="s">
        <v>8927</v>
      </c>
      <c r="J8" s="195" t="s">
        <v>8922</v>
      </c>
      <c r="K8" s="183" t="s">
        <v>8946</v>
      </c>
      <c r="L8" s="182">
        <v>68</v>
      </c>
      <c r="M8" s="18">
        <v>1.4382999999999997</v>
      </c>
      <c r="N8" s="18"/>
      <c r="O8" s="2"/>
      <c r="P8" s="2"/>
      <c r="Q8" s="2"/>
      <c r="R8" s="2" t="s">
        <v>51</v>
      </c>
      <c r="S8" s="2" t="s">
        <v>51</v>
      </c>
      <c r="T8" s="18"/>
    </row>
    <row r="9" spans="1:20" x14ac:dyDescent="0.25">
      <c r="A9" s="183"/>
      <c r="B9" s="183"/>
      <c r="C9" s="183" t="s">
        <v>8923</v>
      </c>
      <c r="D9" s="196" t="s">
        <v>8905</v>
      </c>
      <c r="E9" s="183"/>
      <c r="F9" s="183"/>
      <c r="G9" s="183"/>
      <c r="H9" s="184" t="s">
        <v>1879</v>
      </c>
      <c r="I9" s="183"/>
      <c r="J9" s="195" t="s">
        <v>8924</v>
      </c>
      <c r="K9" s="183" t="s">
        <v>8947</v>
      </c>
      <c r="L9" s="182">
        <v>108</v>
      </c>
      <c r="M9" s="18">
        <v>2.1444999999999999</v>
      </c>
      <c r="N9" s="18"/>
      <c r="O9" s="2"/>
      <c r="P9" s="2"/>
      <c r="Q9" s="2"/>
      <c r="R9" s="2" t="s">
        <v>51</v>
      </c>
      <c r="S9" s="2" t="s">
        <v>51</v>
      </c>
      <c r="T9" s="18"/>
    </row>
    <row r="10" spans="1:20" x14ac:dyDescent="0.25">
      <c r="A10" s="183"/>
      <c r="B10" s="183" t="s">
        <v>8925</v>
      </c>
      <c r="C10" s="183" t="s">
        <v>8926</v>
      </c>
      <c r="D10" s="196" t="s">
        <v>8905</v>
      </c>
      <c r="E10" s="183"/>
      <c r="F10" s="183"/>
      <c r="G10" s="183"/>
      <c r="H10" s="184" t="s">
        <v>7527</v>
      </c>
      <c r="I10" s="183" t="s">
        <v>8927</v>
      </c>
      <c r="J10" s="195" t="s">
        <v>8928</v>
      </c>
      <c r="K10" s="183" t="s">
        <v>8948</v>
      </c>
      <c r="L10" s="182">
        <v>93</v>
      </c>
      <c r="M10" s="18">
        <v>17.113799999999998</v>
      </c>
      <c r="N10" s="18"/>
      <c r="O10" s="2"/>
      <c r="P10" s="2"/>
      <c r="Q10" s="2"/>
      <c r="R10" s="2" t="s">
        <v>51</v>
      </c>
      <c r="S10" s="2" t="s">
        <v>51</v>
      </c>
      <c r="T10" s="18"/>
    </row>
    <row r="11" spans="1:20" x14ac:dyDescent="0.25">
      <c r="A11" s="183"/>
      <c r="B11" s="183" t="s">
        <v>8929</v>
      </c>
      <c r="C11" s="183" t="s">
        <v>8930</v>
      </c>
      <c r="D11" s="196" t="s">
        <v>8905</v>
      </c>
      <c r="E11" s="183"/>
      <c r="F11" s="183"/>
      <c r="G11" s="183"/>
      <c r="H11" s="184" t="s">
        <v>1879</v>
      </c>
      <c r="I11" s="183"/>
      <c r="J11" s="195"/>
      <c r="K11" s="183" t="s">
        <v>9603</v>
      </c>
      <c r="L11" s="182"/>
      <c r="M11" s="18">
        <v>1.4382999999999997</v>
      </c>
      <c r="N11" s="18"/>
      <c r="O11" s="2"/>
      <c r="P11" s="2"/>
      <c r="Q11" s="2"/>
      <c r="R11" s="2" t="s">
        <v>51</v>
      </c>
      <c r="S11" s="2" t="s">
        <v>51</v>
      </c>
      <c r="T11" s="18"/>
    </row>
    <row r="12" spans="1:20" x14ac:dyDescent="0.25">
      <c r="A12" s="183"/>
      <c r="B12" s="183" t="s">
        <v>9604</v>
      </c>
      <c r="C12" s="183" t="s">
        <v>9605</v>
      </c>
      <c r="D12" s="196" t="s">
        <v>8905</v>
      </c>
      <c r="E12" s="183"/>
      <c r="F12" s="183"/>
      <c r="G12" s="183"/>
      <c r="H12" s="184" t="s">
        <v>1879</v>
      </c>
      <c r="I12" s="183"/>
      <c r="J12" s="195" t="s">
        <v>9606</v>
      </c>
      <c r="K12" s="183" t="s">
        <v>9607</v>
      </c>
      <c r="L12" s="196">
        <v>67</v>
      </c>
      <c r="M12" s="18">
        <v>1.4382999999999997</v>
      </c>
      <c r="N12" s="18"/>
      <c r="O12" s="2"/>
      <c r="P12" s="2"/>
      <c r="Q12" s="2"/>
      <c r="R12" s="2" t="s">
        <v>51</v>
      </c>
      <c r="S12" s="2" t="s">
        <v>51</v>
      </c>
      <c r="T12" s="18"/>
    </row>
    <row r="13" spans="1:20" x14ac:dyDescent="0.25">
      <c r="A13" s="183"/>
      <c r="B13" s="183" t="s">
        <v>9608</v>
      </c>
      <c r="C13" s="183" t="s">
        <v>9609</v>
      </c>
      <c r="D13" s="196" t="s">
        <v>8905</v>
      </c>
      <c r="E13" s="183"/>
      <c r="F13" s="183"/>
      <c r="G13" s="183"/>
      <c r="H13" s="184" t="s">
        <v>1879</v>
      </c>
      <c r="I13" s="183"/>
      <c r="J13" s="195" t="s">
        <v>9610</v>
      </c>
      <c r="K13" s="183" t="s">
        <v>9611</v>
      </c>
      <c r="L13" s="196">
        <v>69</v>
      </c>
      <c r="M13" s="18">
        <v>1.5988</v>
      </c>
      <c r="N13" s="18"/>
      <c r="O13" s="2"/>
      <c r="P13" s="2"/>
      <c r="Q13" s="2"/>
      <c r="R13" s="2" t="s">
        <v>51</v>
      </c>
      <c r="S13" s="2" t="s">
        <v>51</v>
      </c>
      <c r="T13" s="18"/>
    </row>
    <row r="14" spans="1:20" x14ac:dyDescent="0.25">
      <c r="A14" s="183"/>
      <c r="B14" s="183" t="s">
        <v>9612</v>
      </c>
      <c r="C14" s="183" t="s">
        <v>9613</v>
      </c>
      <c r="D14" s="196" t="s">
        <v>8905</v>
      </c>
      <c r="E14" s="183"/>
      <c r="F14" s="183"/>
      <c r="G14" s="183"/>
      <c r="H14" s="184" t="s">
        <v>1879</v>
      </c>
      <c r="I14" s="183"/>
      <c r="J14" s="195" t="s">
        <v>9614</v>
      </c>
      <c r="K14" s="183" t="s">
        <v>9615</v>
      </c>
      <c r="L14" s="196">
        <v>68</v>
      </c>
      <c r="M14" s="18">
        <v>1.7057999999999998</v>
      </c>
      <c r="N14" s="18"/>
      <c r="O14" s="2"/>
      <c r="P14" s="2"/>
      <c r="Q14" s="2"/>
      <c r="R14" s="2" t="s">
        <v>51</v>
      </c>
      <c r="S14" s="2" t="s">
        <v>51</v>
      </c>
      <c r="T14" s="18"/>
    </row>
    <row r="15" spans="1:20" x14ac:dyDescent="0.25">
      <c r="A15" s="183"/>
      <c r="B15" s="183" t="s">
        <v>9616</v>
      </c>
      <c r="C15" s="183" t="s">
        <v>9617</v>
      </c>
      <c r="D15" s="196" t="s">
        <v>8905</v>
      </c>
      <c r="E15" s="183"/>
      <c r="F15" s="183"/>
      <c r="G15" s="183"/>
      <c r="H15" s="184" t="s">
        <v>1879</v>
      </c>
      <c r="I15" s="183"/>
      <c r="J15" s="195" t="s">
        <v>9618</v>
      </c>
      <c r="K15" s="183" t="s">
        <v>9619</v>
      </c>
      <c r="L15" s="196">
        <v>66</v>
      </c>
      <c r="M15" s="18">
        <v>2.3477999999999994</v>
      </c>
      <c r="N15" s="18"/>
      <c r="O15" s="2"/>
      <c r="P15" s="2"/>
      <c r="Q15" s="2"/>
      <c r="R15" s="2" t="s">
        <v>51</v>
      </c>
      <c r="S15" s="2" t="s">
        <v>51</v>
      </c>
      <c r="T15" s="18"/>
    </row>
    <row r="16" spans="1:20" x14ac:dyDescent="0.25">
      <c r="A16" s="183"/>
      <c r="B16" s="183" t="s">
        <v>9620</v>
      </c>
      <c r="C16" s="183" t="s">
        <v>9621</v>
      </c>
      <c r="D16" s="196" t="s">
        <v>8905</v>
      </c>
      <c r="E16" s="183"/>
      <c r="F16" s="183"/>
      <c r="G16" s="183"/>
      <c r="H16" s="184" t="s">
        <v>1879</v>
      </c>
      <c r="I16" s="183"/>
      <c r="J16" s="195" t="s">
        <v>9622</v>
      </c>
      <c r="K16" s="183" t="s">
        <v>9623</v>
      </c>
      <c r="L16" s="196">
        <v>70</v>
      </c>
      <c r="M16" s="18">
        <v>2.9362999999999992</v>
      </c>
      <c r="N16" s="18"/>
      <c r="O16" s="2"/>
      <c r="P16" s="2"/>
      <c r="Q16" s="2"/>
      <c r="R16" s="2" t="s">
        <v>51</v>
      </c>
      <c r="S16" s="2" t="s">
        <v>51</v>
      </c>
      <c r="T16" s="18"/>
    </row>
    <row r="17" spans="1:20" x14ac:dyDescent="0.25">
      <c r="A17" s="183"/>
      <c r="B17" s="183" t="s">
        <v>9624</v>
      </c>
      <c r="C17" s="183" t="s">
        <v>9625</v>
      </c>
      <c r="D17" s="196" t="s">
        <v>8905</v>
      </c>
      <c r="E17" s="183"/>
      <c r="F17" s="183"/>
      <c r="G17" s="183"/>
      <c r="H17" s="184" t="s">
        <v>1879</v>
      </c>
      <c r="I17" s="183"/>
      <c r="J17" s="195" t="s">
        <v>9626</v>
      </c>
      <c r="K17" s="183" t="s">
        <v>9627</v>
      </c>
      <c r="L17" s="196">
        <v>68</v>
      </c>
      <c r="M17" s="18">
        <v>1.4382999999999997</v>
      </c>
      <c r="N17" s="18"/>
      <c r="O17" s="2"/>
      <c r="P17" s="2"/>
      <c r="Q17" s="2"/>
      <c r="R17" s="2" t="s">
        <v>51</v>
      </c>
      <c r="S17" s="2" t="s">
        <v>51</v>
      </c>
      <c r="T17" s="18"/>
    </row>
    <row r="18" spans="1:20" x14ac:dyDescent="0.25">
      <c r="A18" s="183"/>
      <c r="B18" s="183" t="s">
        <v>9628</v>
      </c>
      <c r="C18" s="183" t="s">
        <v>9628</v>
      </c>
      <c r="D18" s="196" t="s">
        <v>8905</v>
      </c>
      <c r="E18" s="183"/>
      <c r="F18" s="183"/>
      <c r="G18" s="183"/>
      <c r="H18" s="184" t="s">
        <v>1879</v>
      </c>
      <c r="I18" s="183"/>
      <c r="J18" s="195" t="s">
        <v>9629</v>
      </c>
      <c r="K18" s="183" t="s">
        <v>9630</v>
      </c>
      <c r="L18" s="196">
        <v>118</v>
      </c>
      <c r="M18" s="18">
        <v>2.0374999999999996</v>
      </c>
      <c r="N18" s="18"/>
      <c r="O18" s="2"/>
      <c r="P18" s="2"/>
      <c r="Q18" s="2"/>
      <c r="R18" s="2" t="s">
        <v>51</v>
      </c>
      <c r="S18" s="2" t="s">
        <v>51</v>
      </c>
      <c r="T18" s="18"/>
    </row>
    <row r="19" spans="1:20" x14ac:dyDescent="0.25">
      <c r="A19" s="183"/>
      <c r="B19" s="183" t="s">
        <v>9631</v>
      </c>
      <c r="C19" s="183" t="s">
        <v>9632</v>
      </c>
      <c r="D19" s="196" t="s">
        <v>8905</v>
      </c>
      <c r="E19" s="183"/>
      <c r="F19" s="183"/>
      <c r="G19" s="183"/>
      <c r="H19" s="184" t="s">
        <v>1879</v>
      </c>
      <c r="I19" s="183"/>
      <c r="J19" s="195" t="s">
        <v>9633</v>
      </c>
      <c r="K19" s="183" t="s">
        <v>9634</v>
      </c>
      <c r="L19" s="196">
        <v>70</v>
      </c>
      <c r="M19" s="18">
        <v>1.4917999999999998</v>
      </c>
      <c r="N19" s="18"/>
      <c r="O19" s="2"/>
      <c r="P19" s="2"/>
      <c r="Q19" s="2"/>
      <c r="R19" s="2" t="s">
        <v>51</v>
      </c>
      <c r="S19" s="2" t="s">
        <v>51</v>
      </c>
      <c r="T19" s="18"/>
    </row>
    <row r="20" spans="1:20" x14ac:dyDescent="0.25">
      <c r="A20" s="183"/>
      <c r="B20" s="183" t="s">
        <v>9635</v>
      </c>
      <c r="C20" s="183" t="s">
        <v>9635</v>
      </c>
      <c r="D20" s="196" t="s">
        <v>8905</v>
      </c>
      <c r="E20" s="183"/>
      <c r="F20" s="183"/>
      <c r="G20" s="183"/>
      <c r="H20" s="184" t="s">
        <v>1879</v>
      </c>
      <c r="I20" s="183"/>
      <c r="J20" s="195" t="s">
        <v>9636</v>
      </c>
      <c r="K20" s="183" t="s">
        <v>9637</v>
      </c>
      <c r="L20" s="196">
        <v>109</v>
      </c>
      <c r="M20" s="18">
        <v>40.643100000000004</v>
      </c>
      <c r="N20" s="18"/>
      <c r="O20" s="2"/>
      <c r="P20" s="2"/>
      <c r="Q20" s="2"/>
      <c r="R20" s="2" t="s">
        <v>51</v>
      </c>
      <c r="S20" s="2" t="s">
        <v>51</v>
      </c>
      <c r="T20" s="18"/>
    </row>
    <row r="21" spans="1:20" x14ac:dyDescent="0.25">
      <c r="A21" s="183"/>
      <c r="B21" s="183" t="s">
        <v>9638</v>
      </c>
      <c r="C21" s="183" t="s">
        <v>9639</v>
      </c>
      <c r="D21" s="196" t="s">
        <v>8905</v>
      </c>
      <c r="E21" s="183"/>
      <c r="F21" s="183"/>
      <c r="G21" s="183"/>
      <c r="H21" s="184" t="s">
        <v>1879</v>
      </c>
      <c r="I21" s="183"/>
      <c r="J21" s="195" t="s">
        <v>9640</v>
      </c>
      <c r="K21" s="183" t="s">
        <v>9641</v>
      </c>
      <c r="L21" s="196">
        <v>101</v>
      </c>
      <c r="M21" s="18">
        <v>2.6688000000000001</v>
      </c>
      <c r="N21" s="18"/>
      <c r="O21" s="2"/>
      <c r="P21" s="2"/>
      <c r="Q21" s="2"/>
      <c r="R21" s="2" t="s">
        <v>51</v>
      </c>
      <c r="S21" s="2" t="s">
        <v>51</v>
      </c>
      <c r="T21" s="18"/>
    </row>
    <row r="22" spans="1:20" x14ac:dyDescent="0.25">
      <c r="A22" s="2"/>
      <c r="B22" s="2"/>
      <c r="C22" s="2"/>
      <c r="D22" s="1"/>
      <c r="E22" s="2"/>
      <c r="F22" s="2"/>
      <c r="G22" s="2"/>
      <c r="H22" s="16"/>
      <c r="I22" s="2"/>
      <c r="J22" s="32"/>
      <c r="K22" s="2"/>
      <c r="L22" s="1"/>
      <c r="M22" s="18"/>
      <c r="N22" s="18"/>
      <c r="O22" s="2"/>
      <c r="P22" s="2"/>
      <c r="Q22" s="2"/>
      <c r="R22" s="2" t="s">
        <v>51</v>
      </c>
      <c r="S22" s="2" t="s">
        <v>51</v>
      </c>
      <c r="T22" s="18"/>
    </row>
    <row r="23" spans="1:20" x14ac:dyDescent="0.25">
      <c r="A23" s="2"/>
      <c r="B23" s="2"/>
      <c r="C23" s="2"/>
      <c r="D23" s="1"/>
      <c r="E23" s="2"/>
      <c r="F23" s="2"/>
      <c r="G23" s="2"/>
      <c r="H23" s="16"/>
      <c r="I23" s="2"/>
      <c r="J23" s="32"/>
      <c r="K23" s="2"/>
      <c r="L23" s="1"/>
      <c r="M23" s="18"/>
      <c r="N23" s="18"/>
      <c r="O23" s="2"/>
      <c r="P23" s="2"/>
      <c r="Q23" s="2"/>
      <c r="R23" s="2" t="s">
        <v>51</v>
      </c>
      <c r="S23" s="2" t="s">
        <v>51</v>
      </c>
      <c r="T23" s="18"/>
    </row>
    <row r="24" spans="1:20" x14ac:dyDescent="0.25">
      <c r="A24" s="2"/>
      <c r="B24" s="2"/>
      <c r="C24" s="2"/>
      <c r="D24" s="1"/>
      <c r="E24" s="2"/>
      <c r="F24" s="2"/>
      <c r="G24" s="2"/>
      <c r="H24" s="16"/>
      <c r="I24" s="2"/>
      <c r="J24" s="32"/>
      <c r="K24" s="2"/>
      <c r="L24" s="1"/>
      <c r="M24" s="18"/>
      <c r="N24" s="18"/>
      <c r="O24" s="2"/>
      <c r="P24" s="2"/>
      <c r="Q24" s="2"/>
      <c r="R24" s="2" t="s">
        <v>51</v>
      </c>
      <c r="S24" s="2" t="s">
        <v>51</v>
      </c>
      <c r="T24" s="18"/>
    </row>
    <row r="25" spans="1:20" x14ac:dyDescent="0.25">
      <c r="A25" s="2"/>
      <c r="B25" s="2"/>
      <c r="C25" s="2"/>
      <c r="D25" s="1"/>
      <c r="E25" s="2"/>
      <c r="F25" s="2"/>
      <c r="G25" s="2"/>
      <c r="H25" s="16"/>
      <c r="I25" s="2"/>
      <c r="J25" s="32"/>
      <c r="K25" s="2"/>
      <c r="L25" s="1"/>
      <c r="M25" s="18"/>
      <c r="N25" s="18"/>
      <c r="O25" s="2"/>
      <c r="P25" s="2"/>
      <c r="Q25" s="2"/>
      <c r="R25" s="2" t="s">
        <v>51</v>
      </c>
      <c r="S25" s="2" t="s">
        <v>51</v>
      </c>
      <c r="T25" s="18"/>
    </row>
    <row r="26" spans="1:20" x14ac:dyDescent="0.25">
      <c r="A26" s="2"/>
      <c r="B26" s="2"/>
      <c r="C26" s="2"/>
      <c r="D26" s="1"/>
      <c r="E26" s="2"/>
      <c r="F26" s="2"/>
      <c r="G26" s="2"/>
      <c r="H26" s="16"/>
      <c r="I26" s="2"/>
      <c r="J26" s="32"/>
      <c r="K26" s="2"/>
      <c r="L26" s="1"/>
      <c r="M26" s="18"/>
      <c r="N26" s="18"/>
      <c r="O26" s="2"/>
      <c r="P26" s="2"/>
      <c r="Q26" s="2"/>
      <c r="R26" s="2" t="s">
        <v>51</v>
      </c>
      <c r="S26" s="2" t="s">
        <v>51</v>
      </c>
      <c r="T26" s="18"/>
    </row>
    <row r="27" spans="1:20" x14ac:dyDescent="0.25">
      <c r="A27" s="2"/>
      <c r="B27" s="2"/>
      <c r="C27" s="2"/>
      <c r="D27" s="1"/>
      <c r="E27" s="2"/>
      <c r="F27" s="2"/>
      <c r="G27" s="2"/>
      <c r="H27" s="16"/>
      <c r="I27" s="2"/>
      <c r="J27" s="32"/>
      <c r="K27" s="2"/>
      <c r="L27" s="1"/>
      <c r="M27" s="18"/>
      <c r="N27" s="18"/>
      <c r="O27" s="2"/>
      <c r="P27" s="2"/>
      <c r="Q27" s="2"/>
      <c r="R27" s="2" t="s">
        <v>51</v>
      </c>
      <c r="S27" s="2" t="s">
        <v>51</v>
      </c>
      <c r="T27" s="18"/>
    </row>
    <row r="28" spans="1:20" x14ac:dyDescent="0.25">
      <c r="A28" s="2"/>
      <c r="B28" s="2"/>
      <c r="C28" s="2"/>
      <c r="D28" s="1"/>
      <c r="E28" s="2"/>
      <c r="F28" s="2"/>
      <c r="G28" s="2"/>
      <c r="H28" s="16"/>
      <c r="I28" s="2"/>
      <c r="J28" s="32"/>
      <c r="K28" s="2"/>
      <c r="L28" s="1"/>
      <c r="M28" s="18"/>
      <c r="N28" s="18"/>
      <c r="O28" s="2"/>
      <c r="P28" s="2"/>
      <c r="Q28" s="2"/>
      <c r="R28" s="2" t="s">
        <v>51</v>
      </c>
      <c r="S28" s="2" t="s">
        <v>51</v>
      </c>
      <c r="T28" s="18"/>
    </row>
    <row r="29" spans="1:20" x14ac:dyDescent="0.25">
      <c r="A29" s="2"/>
      <c r="B29" s="2"/>
      <c r="C29" s="2"/>
      <c r="D29" s="1"/>
      <c r="E29" s="2"/>
      <c r="F29" s="2"/>
      <c r="G29" s="2"/>
      <c r="H29" s="16"/>
      <c r="I29" s="2"/>
      <c r="J29" s="32"/>
      <c r="K29" s="2"/>
      <c r="L29" s="1"/>
      <c r="M29" s="18"/>
      <c r="N29" s="18"/>
      <c r="O29" s="2"/>
      <c r="P29" s="2"/>
      <c r="Q29" s="2"/>
      <c r="R29" s="2" t="s">
        <v>51</v>
      </c>
      <c r="S29" s="2" t="s">
        <v>51</v>
      </c>
      <c r="T29" s="18"/>
    </row>
    <row r="30" spans="1:20" x14ac:dyDescent="0.25">
      <c r="A30" s="2"/>
      <c r="B30" s="2"/>
      <c r="C30" s="2"/>
      <c r="D30" s="1"/>
      <c r="E30" s="2"/>
      <c r="F30" s="2"/>
      <c r="G30" s="2"/>
      <c r="H30" s="16"/>
      <c r="I30" s="2"/>
      <c r="J30" s="32"/>
      <c r="K30" s="2"/>
      <c r="L30" s="1"/>
      <c r="M30" s="18"/>
      <c r="N30" s="18"/>
      <c r="O30" s="2"/>
      <c r="P30" s="2"/>
      <c r="Q30" s="2"/>
      <c r="R30" s="2" t="s">
        <v>51</v>
      </c>
      <c r="S30" s="2" t="s">
        <v>51</v>
      </c>
      <c r="T30" s="18"/>
    </row>
    <row r="31" spans="1:20" x14ac:dyDescent="0.25">
      <c r="A31" s="2"/>
      <c r="B31" s="2"/>
      <c r="C31" s="2"/>
      <c r="D31" s="1"/>
      <c r="E31" s="2"/>
      <c r="F31" s="2"/>
      <c r="G31" s="2"/>
      <c r="H31" s="16"/>
      <c r="I31" s="2"/>
      <c r="J31" s="32"/>
      <c r="K31" s="2"/>
      <c r="L31" s="1"/>
      <c r="M31" s="18"/>
      <c r="N31" s="18"/>
      <c r="O31" s="2"/>
      <c r="P31" s="2"/>
      <c r="Q31" s="2"/>
      <c r="R31" s="2" t="s">
        <v>51</v>
      </c>
      <c r="S31" s="2" t="s">
        <v>51</v>
      </c>
      <c r="T31" s="18"/>
    </row>
    <row r="32" spans="1:20" x14ac:dyDescent="0.25">
      <c r="A32" s="2"/>
      <c r="B32" s="2"/>
      <c r="C32" s="2"/>
      <c r="D32" s="1"/>
      <c r="E32" s="2"/>
      <c r="F32" s="2"/>
      <c r="G32" s="2"/>
      <c r="H32" s="16"/>
      <c r="I32" s="2"/>
      <c r="J32" s="32"/>
      <c r="K32" s="2"/>
      <c r="L32" s="1"/>
      <c r="M32" s="18"/>
      <c r="N32" s="18"/>
      <c r="O32" s="2"/>
      <c r="P32" s="2"/>
      <c r="Q32" s="2"/>
      <c r="R32" s="2" t="s">
        <v>51</v>
      </c>
      <c r="S32" s="2" t="s">
        <v>51</v>
      </c>
      <c r="T32" s="18"/>
    </row>
    <row r="33" spans="1:20" x14ac:dyDescent="0.25">
      <c r="A33" s="2"/>
      <c r="B33" s="2"/>
      <c r="C33" s="2"/>
      <c r="D33" s="1"/>
      <c r="E33" s="2"/>
      <c r="F33" s="2"/>
      <c r="G33" s="2"/>
      <c r="H33" s="16"/>
      <c r="I33" s="2"/>
      <c r="J33" s="32"/>
      <c r="K33" s="2"/>
      <c r="L33" s="1"/>
      <c r="M33" s="18"/>
      <c r="N33" s="18"/>
      <c r="O33" s="2"/>
      <c r="P33" s="2"/>
      <c r="Q33" s="2"/>
      <c r="R33" s="2" t="s">
        <v>51</v>
      </c>
      <c r="S33" s="2" t="s">
        <v>51</v>
      </c>
      <c r="T33" s="18"/>
    </row>
    <row r="34" spans="1:20" x14ac:dyDescent="0.25">
      <c r="A34" s="2"/>
      <c r="B34" s="2"/>
      <c r="C34" s="2"/>
      <c r="D34" s="1"/>
      <c r="E34" s="2"/>
      <c r="F34" s="2"/>
      <c r="G34" s="2"/>
      <c r="H34" s="16"/>
      <c r="I34" s="2"/>
      <c r="J34" s="32"/>
      <c r="K34" s="2"/>
      <c r="L34" s="1"/>
      <c r="M34" s="18"/>
      <c r="N34" s="18"/>
      <c r="O34" s="2"/>
      <c r="P34" s="2"/>
      <c r="Q34" s="2"/>
      <c r="R34" s="2" t="s">
        <v>51</v>
      </c>
      <c r="S34" s="2" t="s">
        <v>51</v>
      </c>
      <c r="T34" s="18"/>
    </row>
    <row r="35" spans="1:20" x14ac:dyDescent="0.25">
      <c r="A35" s="2"/>
      <c r="B35" s="2"/>
      <c r="C35" s="2"/>
      <c r="D35" s="1"/>
      <c r="E35" s="2"/>
      <c r="F35" s="2"/>
      <c r="G35" s="2"/>
      <c r="H35" s="16"/>
      <c r="I35" s="2"/>
      <c r="J35" s="32"/>
      <c r="K35" s="2"/>
      <c r="L35" s="1"/>
      <c r="M35" s="18"/>
      <c r="N35" s="18"/>
      <c r="O35" s="2"/>
      <c r="P35" s="2"/>
      <c r="Q35" s="2"/>
      <c r="R35" s="2" t="s">
        <v>51</v>
      </c>
      <c r="S35" s="2" t="s">
        <v>51</v>
      </c>
      <c r="T35" s="18"/>
    </row>
    <row r="36" spans="1:20" x14ac:dyDescent="0.25">
      <c r="A36" s="2"/>
      <c r="B36" s="2"/>
      <c r="C36" s="2"/>
      <c r="D36" s="1"/>
      <c r="E36" s="2"/>
      <c r="F36" s="2"/>
      <c r="G36" s="2"/>
      <c r="H36" s="16"/>
      <c r="I36" s="2"/>
      <c r="J36" s="32"/>
      <c r="K36" s="2"/>
      <c r="L36" s="1"/>
      <c r="M36" s="18"/>
      <c r="N36" s="18"/>
      <c r="O36" s="2"/>
      <c r="P36" s="2"/>
      <c r="Q36" s="2"/>
      <c r="R36" s="2" t="s">
        <v>51</v>
      </c>
      <c r="S36" s="2" t="s">
        <v>51</v>
      </c>
      <c r="T36" s="18"/>
    </row>
    <row r="37" spans="1:20" x14ac:dyDescent="0.25">
      <c r="A37" s="2"/>
      <c r="B37" s="2"/>
      <c r="C37" s="2"/>
      <c r="D37" s="1"/>
      <c r="E37" s="2"/>
      <c r="F37" s="2"/>
      <c r="G37" s="2"/>
      <c r="H37" s="16"/>
      <c r="I37" s="2"/>
      <c r="J37" s="32"/>
      <c r="K37" s="2"/>
      <c r="L37" s="1"/>
      <c r="M37" s="18"/>
      <c r="N37" s="18"/>
      <c r="O37" s="2"/>
      <c r="P37" s="2"/>
      <c r="Q37" s="2"/>
      <c r="R37" s="2" t="s">
        <v>51</v>
      </c>
      <c r="S37" s="2" t="s">
        <v>51</v>
      </c>
      <c r="T37" s="18"/>
    </row>
    <row r="38" spans="1:20" x14ac:dyDescent="0.25">
      <c r="A38" s="2"/>
      <c r="B38" s="2"/>
      <c r="C38" s="2"/>
      <c r="D38" s="1"/>
      <c r="E38" s="2"/>
      <c r="F38" s="2"/>
      <c r="G38" s="2"/>
      <c r="H38" s="16"/>
      <c r="I38" s="2"/>
      <c r="J38" s="32"/>
      <c r="K38" s="2"/>
      <c r="L38" s="1"/>
      <c r="M38" s="18"/>
      <c r="N38" s="18"/>
      <c r="O38" s="2"/>
      <c r="P38" s="2"/>
      <c r="Q38" s="2"/>
      <c r="R38" s="2" t="s">
        <v>51</v>
      </c>
      <c r="S38" s="2" t="s">
        <v>51</v>
      </c>
      <c r="T38" s="18"/>
    </row>
    <row r="39" spans="1:20" x14ac:dyDescent="0.25">
      <c r="A39" s="2"/>
      <c r="B39" s="2"/>
      <c r="C39" s="2"/>
      <c r="D39" s="1"/>
      <c r="E39" s="2"/>
      <c r="F39" s="2"/>
      <c r="G39" s="2"/>
      <c r="H39" s="16"/>
      <c r="I39" s="2"/>
      <c r="J39" s="32"/>
      <c r="K39" s="2"/>
      <c r="L39" s="1"/>
      <c r="M39" s="18"/>
      <c r="N39" s="18"/>
      <c r="O39" s="2"/>
      <c r="P39" s="2"/>
      <c r="Q39" s="2"/>
      <c r="R39" s="2" t="s">
        <v>51</v>
      </c>
      <c r="S39" s="2" t="s">
        <v>51</v>
      </c>
      <c r="T39" s="18"/>
    </row>
    <row r="40" spans="1:20" x14ac:dyDescent="0.25">
      <c r="A40" s="2"/>
      <c r="B40" s="2"/>
      <c r="C40" s="2"/>
      <c r="D40" s="1"/>
      <c r="E40" s="2"/>
      <c r="F40" s="2"/>
      <c r="G40" s="2"/>
      <c r="H40" s="16"/>
      <c r="I40" s="2"/>
      <c r="J40" s="32"/>
      <c r="K40" s="2"/>
      <c r="L40" s="1"/>
      <c r="M40" s="18"/>
      <c r="N40" s="18"/>
      <c r="O40" s="2"/>
      <c r="P40" s="2"/>
      <c r="Q40" s="2"/>
      <c r="R40" s="2" t="s">
        <v>51</v>
      </c>
      <c r="S40" s="2" t="s">
        <v>51</v>
      </c>
      <c r="T40" s="18"/>
    </row>
    <row r="41" spans="1:20" x14ac:dyDescent="0.25">
      <c r="A41" s="2"/>
      <c r="B41" s="2"/>
      <c r="C41" s="2"/>
      <c r="D41" s="1"/>
      <c r="E41" s="2"/>
      <c r="F41" s="2"/>
      <c r="G41" s="2"/>
      <c r="H41" s="16"/>
      <c r="I41" s="2"/>
      <c r="J41" s="32"/>
      <c r="K41" s="2"/>
      <c r="L41" s="1"/>
      <c r="M41" s="18"/>
      <c r="N41" s="18"/>
      <c r="O41" s="2"/>
      <c r="P41" s="2"/>
      <c r="Q41" s="2"/>
      <c r="R41" s="2" t="s">
        <v>51</v>
      </c>
      <c r="S41" s="2" t="s">
        <v>51</v>
      </c>
      <c r="T41" s="18"/>
    </row>
    <row r="42" spans="1:20" x14ac:dyDescent="0.25">
      <c r="A42" s="2"/>
      <c r="B42" s="2"/>
      <c r="C42" s="2"/>
      <c r="D42" s="1"/>
      <c r="E42" s="2"/>
      <c r="F42" s="2"/>
      <c r="G42" s="2"/>
      <c r="H42" s="16"/>
      <c r="I42" s="2"/>
      <c r="J42" s="32"/>
      <c r="K42" s="2"/>
      <c r="L42" s="1"/>
      <c r="M42" s="18"/>
      <c r="N42" s="18"/>
      <c r="O42" s="2"/>
      <c r="P42" s="2"/>
      <c r="Q42" s="2"/>
      <c r="R42" s="2" t="s">
        <v>51</v>
      </c>
      <c r="S42" s="2" t="s">
        <v>51</v>
      </c>
      <c r="T42" s="18"/>
    </row>
    <row r="43" spans="1:20" x14ac:dyDescent="0.25">
      <c r="A43" s="2"/>
      <c r="B43" s="2"/>
      <c r="C43" s="2"/>
      <c r="D43" s="1"/>
      <c r="E43" s="2"/>
      <c r="F43" s="2"/>
      <c r="G43" s="2"/>
      <c r="H43" s="16"/>
      <c r="I43" s="2"/>
      <c r="J43" s="32"/>
      <c r="K43" s="2"/>
      <c r="L43" s="1"/>
      <c r="M43" s="18"/>
      <c r="N43" s="18"/>
      <c r="O43" s="2"/>
      <c r="P43" s="2"/>
      <c r="Q43" s="2"/>
      <c r="R43" s="2" t="s">
        <v>51</v>
      </c>
      <c r="S43" s="2" t="s">
        <v>51</v>
      </c>
      <c r="T43" s="18"/>
    </row>
    <row r="44" spans="1:20" x14ac:dyDescent="0.25">
      <c r="A44" s="2"/>
      <c r="B44" s="2"/>
      <c r="C44" s="2"/>
      <c r="D44" s="1"/>
      <c r="E44" s="2"/>
      <c r="F44" s="2"/>
      <c r="G44" s="2"/>
      <c r="H44" s="16"/>
      <c r="I44" s="2"/>
      <c r="J44" s="32"/>
      <c r="K44" s="2"/>
      <c r="L44" s="1"/>
      <c r="M44" s="18"/>
      <c r="N44" s="18"/>
      <c r="O44" s="2"/>
      <c r="P44" s="2"/>
      <c r="Q44" s="2"/>
      <c r="R44" s="2" t="s">
        <v>51</v>
      </c>
      <c r="S44" s="2" t="s">
        <v>51</v>
      </c>
      <c r="T44" s="18"/>
    </row>
    <row r="45" spans="1:20" x14ac:dyDescent="0.25">
      <c r="A45" s="2"/>
      <c r="B45" s="2"/>
      <c r="C45" s="2"/>
      <c r="D45" s="1"/>
      <c r="E45" s="2"/>
      <c r="F45" s="2"/>
      <c r="G45" s="2"/>
      <c r="H45" s="16"/>
      <c r="I45" s="2"/>
      <c r="J45" s="32"/>
      <c r="K45" s="2"/>
      <c r="L45" s="1"/>
      <c r="M45" s="18"/>
      <c r="N45" s="18"/>
      <c r="O45" s="2"/>
      <c r="P45" s="2"/>
      <c r="Q45" s="2"/>
      <c r="R45" s="2" t="s">
        <v>51</v>
      </c>
      <c r="S45" s="2" t="s">
        <v>51</v>
      </c>
      <c r="T45" s="18"/>
    </row>
    <row r="46" spans="1:20" x14ac:dyDescent="0.25">
      <c r="A46" s="2"/>
      <c r="B46" s="2"/>
      <c r="C46" s="2"/>
      <c r="D46" s="1"/>
      <c r="E46" s="2"/>
      <c r="F46" s="2"/>
      <c r="G46" s="2"/>
      <c r="H46" s="16"/>
      <c r="I46" s="2"/>
      <c r="J46" s="32"/>
      <c r="K46" s="2"/>
      <c r="L46" s="1"/>
      <c r="M46" s="18"/>
      <c r="N46" s="18"/>
      <c r="O46" s="2"/>
      <c r="P46" s="2"/>
      <c r="Q46" s="2"/>
      <c r="R46" s="2" t="s">
        <v>51</v>
      </c>
      <c r="S46" s="2" t="s">
        <v>51</v>
      </c>
      <c r="T46" s="18"/>
    </row>
    <row r="47" spans="1:20" x14ac:dyDescent="0.25">
      <c r="A47" s="2"/>
      <c r="B47" s="2"/>
      <c r="C47" s="2"/>
      <c r="D47" s="1"/>
      <c r="E47" s="2"/>
      <c r="F47" s="2"/>
      <c r="G47" s="2"/>
      <c r="H47" s="16"/>
      <c r="I47" s="2"/>
      <c r="J47" s="32"/>
      <c r="K47" s="2"/>
      <c r="L47" s="1"/>
      <c r="M47" s="18"/>
      <c r="N47" s="18"/>
      <c r="O47" s="2"/>
      <c r="P47" s="2"/>
      <c r="Q47" s="2"/>
      <c r="R47" s="2" t="s">
        <v>51</v>
      </c>
      <c r="S47" s="2" t="s">
        <v>51</v>
      </c>
      <c r="T47" s="18"/>
    </row>
    <row r="48" spans="1:20" x14ac:dyDescent="0.25">
      <c r="A48" s="2"/>
      <c r="B48" s="2"/>
      <c r="C48" s="2"/>
      <c r="D48" s="1"/>
      <c r="E48" s="2"/>
      <c r="F48" s="2"/>
      <c r="G48" s="2"/>
      <c r="H48" s="16"/>
      <c r="I48" s="2"/>
      <c r="J48" s="32"/>
      <c r="K48" s="2"/>
      <c r="L48" s="1"/>
      <c r="M48" s="18"/>
      <c r="N48" s="18"/>
      <c r="O48" s="2"/>
      <c r="P48" s="2"/>
      <c r="Q48" s="2"/>
      <c r="R48" s="2" t="s">
        <v>51</v>
      </c>
      <c r="S48" s="2" t="s">
        <v>51</v>
      </c>
      <c r="T48" s="18"/>
    </row>
    <row r="49" spans="1:20" x14ac:dyDescent="0.25">
      <c r="A49" s="2"/>
      <c r="B49" s="2"/>
      <c r="C49" s="2"/>
      <c r="D49" s="1"/>
      <c r="E49" s="2"/>
      <c r="F49" s="2"/>
      <c r="G49" s="2"/>
      <c r="H49" s="16"/>
      <c r="I49" s="2"/>
      <c r="J49" s="32"/>
      <c r="K49" s="2"/>
      <c r="L49" s="1"/>
      <c r="M49" s="18"/>
      <c r="N49" s="18"/>
      <c r="O49" s="2"/>
      <c r="P49" s="2"/>
      <c r="Q49" s="2"/>
      <c r="R49" s="2" t="s">
        <v>51</v>
      </c>
      <c r="S49" s="2" t="s">
        <v>51</v>
      </c>
      <c r="T49" s="18"/>
    </row>
    <row r="50" spans="1:20" x14ac:dyDescent="0.25">
      <c r="A50" s="2"/>
      <c r="B50" s="2"/>
      <c r="C50" s="2"/>
      <c r="D50" s="1"/>
      <c r="E50" s="2"/>
      <c r="F50" s="2"/>
      <c r="G50" s="2"/>
      <c r="H50" s="16"/>
      <c r="I50" s="2"/>
      <c r="J50" s="32"/>
      <c r="K50" s="2"/>
      <c r="L50" s="1"/>
      <c r="M50" s="18"/>
      <c r="N50" s="18"/>
      <c r="O50" s="2"/>
      <c r="P50" s="2"/>
      <c r="Q50" s="2"/>
      <c r="R50" s="2" t="s">
        <v>51</v>
      </c>
      <c r="S50" s="2" t="s">
        <v>51</v>
      </c>
      <c r="T50" s="18"/>
    </row>
    <row r="51" spans="1:20" x14ac:dyDescent="0.25">
      <c r="A51" s="2"/>
      <c r="B51" s="2"/>
      <c r="C51" s="2"/>
      <c r="D51" s="1"/>
      <c r="E51" s="2"/>
      <c r="F51" s="2"/>
      <c r="G51" s="2"/>
      <c r="H51" s="16"/>
      <c r="I51" s="2"/>
      <c r="J51" s="32"/>
      <c r="K51" s="2"/>
      <c r="L51" s="1"/>
      <c r="M51" s="18"/>
      <c r="N51" s="18"/>
      <c r="O51" s="2"/>
      <c r="P51" s="2"/>
      <c r="Q51" s="2"/>
      <c r="R51" s="2" t="s">
        <v>51</v>
      </c>
      <c r="S51" s="2" t="s">
        <v>51</v>
      </c>
      <c r="T51" s="18"/>
    </row>
    <row r="52" spans="1:20" x14ac:dyDescent="0.25">
      <c r="A52" s="2"/>
      <c r="B52" s="2"/>
      <c r="C52" s="2"/>
      <c r="D52" s="1"/>
      <c r="E52" s="2"/>
      <c r="F52" s="2"/>
      <c r="G52" s="2"/>
      <c r="H52" s="16"/>
      <c r="I52" s="2"/>
      <c r="J52" s="32"/>
      <c r="K52" s="2"/>
      <c r="L52" s="1"/>
      <c r="M52" s="18"/>
      <c r="N52" s="18"/>
      <c r="O52" s="2"/>
      <c r="P52" s="2"/>
      <c r="Q52" s="2"/>
      <c r="R52" s="2" t="s">
        <v>51</v>
      </c>
      <c r="S52" s="2" t="s">
        <v>51</v>
      </c>
      <c r="T52" s="18"/>
    </row>
    <row r="53" spans="1:20" x14ac:dyDescent="0.25">
      <c r="A53" s="2"/>
      <c r="B53" s="2"/>
      <c r="C53" s="2"/>
      <c r="D53" s="1"/>
      <c r="E53" s="2"/>
      <c r="F53" s="2"/>
      <c r="G53" s="2"/>
      <c r="H53" s="16"/>
      <c r="I53" s="2"/>
      <c r="J53" s="32"/>
      <c r="K53" s="2"/>
      <c r="L53" s="1"/>
      <c r="M53" s="18"/>
      <c r="N53" s="18"/>
      <c r="O53" s="2"/>
      <c r="P53" s="2"/>
      <c r="Q53" s="2"/>
      <c r="R53" s="2" t="s">
        <v>51</v>
      </c>
      <c r="S53" s="2" t="s">
        <v>51</v>
      </c>
      <c r="T53" s="18"/>
    </row>
    <row r="54" spans="1:20" x14ac:dyDescent="0.25">
      <c r="A54" s="2"/>
      <c r="B54" s="2"/>
      <c r="C54" s="2"/>
      <c r="D54" s="1"/>
      <c r="E54" s="2"/>
      <c r="F54" s="2"/>
      <c r="G54" s="2"/>
      <c r="H54" s="16"/>
      <c r="I54" s="2"/>
      <c r="J54" s="32"/>
      <c r="K54" s="2"/>
      <c r="L54" s="1"/>
      <c r="M54" s="18"/>
      <c r="N54" s="18"/>
      <c r="O54" s="2"/>
      <c r="P54" s="2"/>
      <c r="Q54" s="2"/>
      <c r="R54" s="2" t="s">
        <v>51</v>
      </c>
      <c r="S54" s="2" t="s">
        <v>51</v>
      </c>
      <c r="T54" s="18"/>
    </row>
    <row r="55" spans="1:20" x14ac:dyDescent="0.25">
      <c r="A55" s="2"/>
      <c r="B55" s="2"/>
      <c r="C55" s="2"/>
      <c r="D55" s="1"/>
      <c r="E55" s="2"/>
      <c r="F55" s="2"/>
      <c r="G55" s="2"/>
      <c r="H55" s="16"/>
      <c r="I55" s="2"/>
      <c r="J55" s="32"/>
      <c r="K55" s="2"/>
      <c r="L55" s="1"/>
      <c r="M55" s="18"/>
      <c r="N55" s="18"/>
      <c r="O55" s="2"/>
      <c r="P55" s="2"/>
      <c r="Q55" s="2"/>
      <c r="R55" s="2" t="s">
        <v>51</v>
      </c>
      <c r="S55" s="2" t="s">
        <v>51</v>
      </c>
      <c r="T55" s="18"/>
    </row>
    <row r="56" spans="1:20" x14ac:dyDescent="0.25">
      <c r="A56" s="2"/>
      <c r="B56" s="2"/>
      <c r="C56" s="2"/>
      <c r="D56" s="1"/>
      <c r="E56" s="2"/>
      <c r="F56" s="2"/>
      <c r="G56" s="2"/>
      <c r="H56" s="16"/>
      <c r="I56" s="2"/>
      <c r="J56" s="32"/>
      <c r="K56" s="2"/>
      <c r="L56" s="1"/>
      <c r="M56" s="18"/>
      <c r="N56" s="18"/>
      <c r="O56" s="2"/>
      <c r="P56" s="2"/>
      <c r="Q56" s="2"/>
      <c r="R56" s="2" t="s">
        <v>51</v>
      </c>
      <c r="S56" s="2" t="s">
        <v>51</v>
      </c>
      <c r="T56" s="18"/>
    </row>
    <row r="57" spans="1:20" x14ac:dyDescent="0.25">
      <c r="A57" s="2"/>
      <c r="B57" s="2"/>
      <c r="C57" s="2"/>
      <c r="D57" s="1"/>
      <c r="E57" s="2"/>
      <c r="F57" s="2"/>
      <c r="G57" s="2"/>
      <c r="H57" s="16"/>
      <c r="I57" s="2"/>
      <c r="J57" s="32"/>
      <c r="K57" s="2"/>
      <c r="L57" s="1"/>
      <c r="M57" s="18"/>
      <c r="N57" s="18"/>
      <c r="O57" s="2"/>
      <c r="P57" s="2"/>
      <c r="Q57" s="2"/>
      <c r="R57" s="2" t="s">
        <v>51</v>
      </c>
      <c r="S57" s="2" t="s">
        <v>51</v>
      </c>
      <c r="T57" s="18"/>
    </row>
    <row r="58" spans="1:20" x14ac:dyDescent="0.25">
      <c r="A58" s="2"/>
      <c r="B58" s="2"/>
      <c r="C58" s="2"/>
      <c r="D58" s="1"/>
      <c r="E58" s="2"/>
      <c r="F58" s="2"/>
      <c r="G58" s="2"/>
      <c r="H58" s="16"/>
      <c r="I58" s="2"/>
      <c r="J58" s="32"/>
      <c r="K58" s="2"/>
      <c r="L58" s="1"/>
      <c r="M58" s="18"/>
      <c r="N58" s="18"/>
      <c r="O58" s="2"/>
      <c r="P58" s="2"/>
      <c r="Q58" s="2"/>
      <c r="R58" s="2" t="s">
        <v>51</v>
      </c>
      <c r="S58" s="2" t="s">
        <v>51</v>
      </c>
      <c r="T58" s="18"/>
    </row>
    <row r="59" spans="1:20" x14ac:dyDescent="0.25">
      <c r="A59" s="2"/>
      <c r="B59" s="2"/>
      <c r="C59" s="2"/>
      <c r="D59" s="1"/>
      <c r="E59" s="2"/>
      <c r="F59" s="2"/>
      <c r="G59" s="2"/>
      <c r="H59" s="16"/>
      <c r="I59" s="2"/>
      <c r="J59" s="32"/>
      <c r="K59" s="2"/>
      <c r="L59" s="1"/>
      <c r="M59" s="18"/>
      <c r="N59" s="18"/>
      <c r="O59" s="2"/>
      <c r="P59" s="2"/>
      <c r="Q59" s="2"/>
      <c r="R59" s="2" t="s">
        <v>51</v>
      </c>
      <c r="S59" s="2" t="s">
        <v>51</v>
      </c>
      <c r="T59" s="18"/>
    </row>
    <row r="60" spans="1:20" x14ac:dyDescent="0.25">
      <c r="A60" s="2"/>
      <c r="B60" s="2"/>
      <c r="C60" s="2"/>
      <c r="D60" s="1"/>
      <c r="E60" s="2"/>
      <c r="F60" s="2"/>
      <c r="G60" s="2"/>
      <c r="H60" s="16"/>
      <c r="I60" s="2"/>
      <c r="J60" s="32"/>
      <c r="K60" s="2"/>
      <c r="L60" s="1"/>
      <c r="M60" s="18"/>
      <c r="N60" s="18"/>
      <c r="O60" s="2"/>
      <c r="P60" s="2"/>
      <c r="Q60" s="2"/>
      <c r="R60" s="2" t="s">
        <v>51</v>
      </c>
      <c r="S60" s="2" t="s">
        <v>51</v>
      </c>
      <c r="T60" s="18"/>
    </row>
    <row r="61" spans="1:20" x14ac:dyDescent="0.25">
      <c r="A61" s="2"/>
      <c r="B61" s="2"/>
      <c r="C61" s="2"/>
      <c r="D61" s="1"/>
      <c r="E61" s="2"/>
      <c r="F61" s="2"/>
      <c r="G61" s="2"/>
      <c r="H61" s="16"/>
      <c r="I61" s="2"/>
      <c r="J61" s="32"/>
      <c r="K61" s="2"/>
      <c r="L61" s="1"/>
      <c r="M61" s="18"/>
      <c r="N61" s="18"/>
      <c r="O61" s="2"/>
      <c r="P61" s="2"/>
      <c r="Q61" s="2"/>
      <c r="R61" s="2" t="s">
        <v>51</v>
      </c>
      <c r="S61" s="2" t="s">
        <v>51</v>
      </c>
      <c r="T61" s="18"/>
    </row>
    <row r="62" spans="1:20" x14ac:dyDescent="0.25">
      <c r="A62" s="2"/>
      <c r="B62" s="2"/>
      <c r="C62" s="2"/>
      <c r="D62" s="1"/>
      <c r="E62" s="2"/>
      <c r="F62" s="2"/>
      <c r="G62" s="2"/>
      <c r="H62" s="16"/>
      <c r="I62" s="2"/>
      <c r="J62" s="32"/>
      <c r="K62" s="2"/>
      <c r="L62" s="1"/>
      <c r="M62" s="18"/>
      <c r="N62" s="18"/>
      <c r="O62" s="2"/>
      <c r="P62" s="2"/>
      <c r="Q62" s="2"/>
      <c r="R62" s="2" t="s">
        <v>51</v>
      </c>
      <c r="S62" s="2" t="s">
        <v>51</v>
      </c>
      <c r="T62" s="18"/>
    </row>
    <row r="63" spans="1:20" x14ac:dyDescent="0.25">
      <c r="A63" s="2"/>
      <c r="B63" s="2"/>
      <c r="C63" s="2"/>
      <c r="D63" s="1"/>
      <c r="E63" s="2"/>
      <c r="F63" s="2"/>
      <c r="G63" s="2"/>
      <c r="H63" s="16"/>
      <c r="I63" s="2"/>
      <c r="J63" s="32"/>
      <c r="K63" s="2"/>
      <c r="L63" s="1"/>
      <c r="M63" s="18"/>
      <c r="N63" s="18"/>
      <c r="O63" s="2"/>
      <c r="P63" s="2"/>
      <c r="Q63" s="2"/>
      <c r="R63" s="2" t="s">
        <v>51</v>
      </c>
      <c r="S63" s="2" t="s">
        <v>51</v>
      </c>
      <c r="T63" s="18"/>
    </row>
    <row r="64" spans="1:20" x14ac:dyDescent="0.25">
      <c r="A64" s="2"/>
      <c r="B64" s="2"/>
      <c r="C64" s="2"/>
      <c r="D64" s="1"/>
      <c r="E64" s="2"/>
      <c r="F64" s="2"/>
      <c r="G64" s="2"/>
      <c r="H64" s="16"/>
      <c r="I64" s="2"/>
      <c r="J64" s="32"/>
      <c r="K64" s="2"/>
      <c r="L64" s="1"/>
      <c r="M64" s="18"/>
      <c r="N64" s="18"/>
      <c r="O64" s="2"/>
      <c r="P64" s="2"/>
      <c r="Q64" s="2"/>
      <c r="R64" s="2" t="s">
        <v>51</v>
      </c>
      <c r="S64" s="2" t="s">
        <v>51</v>
      </c>
      <c r="T64" s="18"/>
    </row>
    <row r="65" spans="1:20" x14ac:dyDescent="0.25">
      <c r="A65" s="2"/>
      <c r="B65" s="2"/>
      <c r="C65" s="2"/>
      <c r="D65" s="1"/>
      <c r="E65" s="2"/>
      <c r="F65" s="2"/>
      <c r="G65" s="2"/>
      <c r="H65" s="16"/>
      <c r="I65" s="2"/>
      <c r="J65" s="32"/>
      <c r="K65" s="2"/>
      <c r="L65" s="1"/>
      <c r="M65" s="18"/>
      <c r="N65" s="18"/>
      <c r="O65" s="2"/>
      <c r="P65" s="2"/>
      <c r="Q65" s="2"/>
      <c r="R65" s="2" t="s">
        <v>51</v>
      </c>
      <c r="S65" s="2" t="s">
        <v>51</v>
      </c>
      <c r="T65" s="18"/>
    </row>
    <row r="66" spans="1:20" x14ac:dyDescent="0.25">
      <c r="A66" s="2"/>
      <c r="B66" s="2"/>
      <c r="C66" s="2"/>
      <c r="D66" s="1"/>
      <c r="E66" s="2"/>
      <c r="F66" s="2"/>
      <c r="G66" s="2"/>
      <c r="H66" s="16"/>
      <c r="I66" s="2"/>
      <c r="J66" s="32"/>
      <c r="K66" s="2"/>
      <c r="L66" s="1"/>
      <c r="M66" s="18"/>
      <c r="N66" s="18"/>
      <c r="O66" s="2"/>
      <c r="P66" s="2"/>
      <c r="Q66" s="2"/>
      <c r="R66" s="2" t="s">
        <v>51</v>
      </c>
      <c r="S66" s="2" t="s">
        <v>51</v>
      </c>
      <c r="T66" s="18"/>
    </row>
    <row r="67" spans="1:20" x14ac:dyDescent="0.25">
      <c r="A67" s="2"/>
      <c r="B67" s="2"/>
      <c r="C67" s="2"/>
      <c r="D67" s="1"/>
      <c r="E67" s="2"/>
      <c r="F67" s="2"/>
      <c r="G67" s="2"/>
      <c r="H67" s="16"/>
      <c r="I67" s="2"/>
      <c r="J67" s="32"/>
      <c r="K67" s="2"/>
      <c r="L67" s="1"/>
      <c r="M67" s="18"/>
      <c r="N67" s="18"/>
      <c r="O67" s="2"/>
      <c r="P67" s="2"/>
      <c r="Q67" s="2"/>
      <c r="R67" s="2" t="s">
        <v>51</v>
      </c>
      <c r="S67" s="2" t="s">
        <v>51</v>
      </c>
      <c r="T67" s="18"/>
    </row>
    <row r="68" spans="1:20" x14ac:dyDescent="0.25">
      <c r="A68" s="2"/>
      <c r="B68" s="2"/>
      <c r="C68" s="2"/>
      <c r="D68" s="1"/>
      <c r="E68" s="2"/>
      <c r="F68" s="2"/>
      <c r="G68" s="2"/>
      <c r="H68" s="16"/>
      <c r="I68" s="2"/>
      <c r="J68" s="32"/>
      <c r="K68" s="2"/>
      <c r="L68" s="1"/>
      <c r="M68" s="18"/>
      <c r="N68" s="18"/>
      <c r="O68" s="2"/>
      <c r="P68" s="2"/>
      <c r="Q68" s="2"/>
      <c r="R68" s="2" t="s">
        <v>51</v>
      </c>
      <c r="S68" s="2" t="s">
        <v>51</v>
      </c>
      <c r="T68" s="18"/>
    </row>
    <row r="69" spans="1:20" x14ac:dyDescent="0.25">
      <c r="A69" s="2"/>
      <c r="B69" s="2"/>
      <c r="C69" s="2"/>
      <c r="D69" s="1"/>
      <c r="E69" s="2"/>
      <c r="F69" s="2"/>
      <c r="G69" s="2"/>
      <c r="H69" s="16"/>
      <c r="I69" s="2"/>
      <c r="J69" s="32"/>
      <c r="K69" s="2"/>
      <c r="L69" s="1"/>
      <c r="M69" s="18"/>
      <c r="N69" s="18"/>
      <c r="O69" s="2"/>
      <c r="P69" s="2"/>
      <c r="Q69" s="2"/>
      <c r="R69" s="2" t="s">
        <v>51</v>
      </c>
      <c r="S69" s="2" t="s">
        <v>51</v>
      </c>
      <c r="T69" s="18"/>
    </row>
    <row r="70" spans="1:20" x14ac:dyDescent="0.25">
      <c r="A70" s="2"/>
      <c r="B70" s="2"/>
      <c r="C70" s="2"/>
      <c r="D70" s="1"/>
      <c r="E70" s="2"/>
      <c r="F70" s="2"/>
      <c r="G70" s="2"/>
      <c r="H70" s="16"/>
      <c r="I70" s="2"/>
      <c r="J70" s="32"/>
      <c r="K70" s="2"/>
      <c r="L70" s="1"/>
      <c r="M70" s="18"/>
      <c r="N70" s="18"/>
      <c r="O70" s="2"/>
      <c r="P70" s="2"/>
      <c r="Q70" s="2"/>
      <c r="R70" s="2" t="s">
        <v>51</v>
      </c>
      <c r="S70" s="2" t="s">
        <v>51</v>
      </c>
      <c r="T70" s="18"/>
    </row>
    <row r="71" spans="1:20" x14ac:dyDescent="0.25">
      <c r="A71" s="2"/>
      <c r="B71" s="2"/>
      <c r="C71" s="2"/>
      <c r="D71" s="1"/>
      <c r="E71" s="2"/>
      <c r="F71" s="2"/>
      <c r="G71" s="2"/>
      <c r="H71" s="16"/>
      <c r="I71" s="2"/>
      <c r="J71" s="32"/>
      <c r="K71" s="2"/>
      <c r="L71" s="1"/>
      <c r="M71" s="18"/>
      <c r="N71" s="18"/>
      <c r="O71" s="2"/>
      <c r="P71" s="2"/>
      <c r="Q71" s="2"/>
      <c r="R71" s="2" t="s">
        <v>51</v>
      </c>
      <c r="S71" s="2" t="s">
        <v>51</v>
      </c>
      <c r="T71" s="18"/>
    </row>
    <row r="72" spans="1:20" x14ac:dyDescent="0.25">
      <c r="A72" s="2"/>
      <c r="B72" s="2"/>
      <c r="C72" s="2"/>
      <c r="D72" s="1"/>
      <c r="E72" s="2"/>
      <c r="F72" s="2"/>
      <c r="G72" s="2"/>
      <c r="H72" s="16"/>
      <c r="I72" s="2"/>
      <c r="J72" s="32"/>
      <c r="K72" s="2"/>
      <c r="L72" s="1"/>
      <c r="M72" s="18"/>
      <c r="N72" s="18"/>
      <c r="O72" s="2"/>
      <c r="P72" s="2"/>
      <c r="Q72" s="2"/>
      <c r="R72" s="2" t="s">
        <v>51</v>
      </c>
      <c r="S72" s="2" t="s">
        <v>51</v>
      </c>
      <c r="T72" s="18"/>
    </row>
    <row r="73" spans="1:20" x14ac:dyDescent="0.25">
      <c r="A73" s="2"/>
      <c r="B73" s="2"/>
      <c r="C73" s="2"/>
      <c r="D73" s="1"/>
      <c r="E73" s="2"/>
      <c r="F73" s="2"/>
      <c r="G73" s="2"/>
      <c r="H73" s="16"/>
      <c r="I73" s="2"/>
      <c r="J73" s="32"/>
      <c r="K73" s="2"/>
      <c r="L73" s="1"/>
      <c r="M73" s="18"/>
      <c r="N73" s="18"/>
      <c r="O73" s="2"/>
      <c r="P73" s="2"/>
      <c r="Q73" s="2"/>
      <c r="R73" s="2" t="s">
        <v>51</v>
      </c>
      <c r="S73" s="2" t="s">
        <v>51</v>
      </c>
      <c r="T73" s="18"/>
    </row>
    <row r="74" spans="1:20" x14ac:dyDescent="0.25">
      <c r="A74" s="2"/>
      <c r="B74" s="2"/>
      <c r="C74" s="2"/>
      <c r="D74" s="1"/>
      <c r="E74" s="2"/>
      <c r="F74" s="2"/>
      <c r="G74" s="2"/>
      <c r="H74" s="16"/>
      <c r="I74" s="2"/>
      <c r="J74" s="32"/>
      <c r="K74" s="2"/>
      <c r="L74" s="1"/>
      <c r="M74" s="18"/>
      <c r="N74" s="18"/>
      <c r="O74" s="2"/>
      <c r="P74" s="2"/>
      <c r="Q74" s="2"/>
      <c r="R74" s="2" t="s">
        <v>51</v>
      </c>
      <c r="S74" s="2" t="s">
        <v>51</v>
      </c>
      <c r="T74" s="18"/>
    </row>
    <row r="75" spans="1:20" x14ac:dyDescent="0.25">
      <c r="A75" s="2"/>
      <c r="B75" s="2"/>
      <c r="C75" s="2"/>
      <c r="D75" s="1"/>
      <c r="E75" s="2"/>
      <c r="F75" s="2"/>
      <c r="G75" s="2"/>
      <c r="H75" s="16"/>
      <c r="I75" s="2"/>
      <c r="J75" s="32"/>
      <c r="K75" s="2"/>
      <c r="L75" s="1"/>
      <c r="M75" s="18"/>
      <c r="N75" s="18"/>
      <c r="O75" s="2"/>
      <c r="P75" s="2"/>
      <c r="Q75" s="2"/>
      <c r="R75" s="2" t="s">
        <v>51</v>
      </c>
      <c r="S75" s="2" t="s">
        <v>51</v>
      </c>
      <c r="T75" s="18"/>
    </row>
    <row r="76" spans="1:20" x14ac:dyDescent="0.25">
      <c r="A76" s="2"/>
      <c r="B76" s="2"/>
      <c r="C76" s="2"/>
      <c r="D76" s="1"/>
      <c r="E76" s="2"/>
      <c r="F76" s="2"/>
      <c r="G76" s="2"/>
      <c r="H76" s="16"/>
      <c r="I76" s="2"/>
      <c r="J76" s="32"/>
      <c r="K76" s="2"/>
      <c r="L76" s="1"/>
      <c r="M76" s="18"/>
      <c r="N76" s="18"/>
      <c r="O76" s="2"/>
      <c r="P76" s="2"/>
      <c r="Q76" s="2"/>
      <c r="R76" s="2" t="s">
        <v>51</v>
      </c>
      <c r="S76" s="2" t="s">
        <v>51</v>
      </c>
      <c r="T76" s="18"/>
    </row>
    <row r="77" spans="1:20" x14ac:dyDescent="0.25">
      <c r="A77" s="2"/>
      <c r="B77" s="2"/>
      <c r="C77" s="2"/>
      <c r="D77" s="1"/>
      <c r="E77" s="2"/>
      <c r="F77" s="2"/>
      <c r="G77" s="2"/>
      <c r="H77" s="16"/>
      <c r="I77" s="2"/>
      <c r="J77" s="32"/>
      <c r="K77" s="2"/>
      <c r="L77" s="1"/>
      <c r="M77" s="18"/>
      <c r="N77" s="18"/>
      <c r="O77" s="2"/>
      <c r="P77" s="2"/>
      <c r="Q77" s="2"/>
      <c r="R77" s="2" t="s">
        <v>51</v>
      </c>
      <c r="S77" s="2" t="s">
        <v>51</v>
      </c>
      <c r="T77" s="18"/>
    </row>
    <row r="78" spans="1:20" x14ac:dyDescent="0.25">
      <c r="A78" s="2"/>
      <c r="B78" s="2"/>
      <c r="C78" s="2"/>
      <c r="D78" s="1"/>
      <c r="E78" s="2"/>
      <c r="F78" s="2"/>
      <c r="G78" s="2"/>
      <c r="H78" s="16"/>
      <c r="I78" s="2"/>
      <c r="J78" s="32"/>
      <c r="K78" s="2"/>
      <c r="L78" s="1"/>
      <c r="M78" s="18"/>
      <c r="N78" s="18"/>
      <c r="O78" s="2"/>
      <c r="P78" s="2"/>
      <c r="Q78" s="2"/>
      <c r="R78" s="2" t="s">
        <v>51</v>
      </c>
      <c r="S78" s="2" t="s">
        <v>51</v>
      </c>
      <c r="T78" s="18"/>
    </row>
    <row r="79" spans="1:20" x14ac:dyDescent="0.25">
      <c r="A79" s="2"/>
      <c r="B79" s="2"/>
      <c r="C79" s="2"/>
      <c r="D79" s="1"/>
      <c r="E79" s="2"/>
      <c r="F79" s="2"/>
      <c r="G79" s="2"/>
      <c r="H79" s="16"/>
      <c r="I79" s="2"/>
      <c r="J79" s="32"/>
      <c r="K79" s="2"/>
      <c r="L79" s="1"/>
      <c r="M79" s="18"/>
      <c r="N79" s="18"/>
      <c r="O79" s="2"/>
      <c r="P79" s="2"/>
      <c r="Q79" s="2"/>
      <c r="R79" s="2" t="s">
        <v>51</v>
      </c>
      <c r="S79" s="2" t="s">
        <v>51</v>
      </c>
      <c r="T79" s="18"/>
    </row>
    <row r="80" spans="1:20" x14ac:dyDescent="0.25">
      <c r="A80" s="2"/>
      <c r="B80" s="2"/>
      <c r="C80" s="2"/>
      <c r="D80" s="1"/>
      <c r="E80" s="2"/>
      <c r="F80" s="2"/>
      <c r="G80" s="2"/>
      <c r="H80" s="16"/>
      <c r="I80" s="2"/>
      <c r="J80" s="32"/>
      <c r="K80" s="2"/>
      <c r="L80" s="1"/>
      <c r="M80" s="18"/>
      <c r="N80" s="18"/>
      <c r="O80" s="2"/>
      <c r="P80" s="2"/>
      <c r="Q80" s="2"/>
      <c r="R80" s="2" t="s">
        <v>51</v>
      </c>
      <c r="S80" s="2" t="s">
        <v>51</v>
      </c>
      <c r="T80" s="18"/>
    </row>
    <row r="81" spans="1:20" x14ac:dyDescent="0.25">
      <c r="A81" s="2"/>
      <c r="B81" s="2"/>
      <c r="C81" s="2"/>
      <c r="D81" s="1"/>
      <c r="E81" s="2"/>
      <c r="F81" s="2"/>
      <c r="G81" s="2"/>
      <c r="H81" s="16"/>
      <c r="I81" s="2"/>
      <c r="J81" s="32"/>
      <c r="K81" s="2"/>
      <c r="L81" s="1"/>
      <c r="M81" s="18"/>
      <c r="N81" s="18"/>
      <c r="O81" s="2"/>
      <c r="P81" s="2"/>
      <c r="Q81" s="2"/>
      <c r="R81" s="2" t="s">
        <v>51</v>
      </c>
      <c r="S81" s="2" t="s">
        <v>51</v>
      </c>
      <c r="T81" s="18"/>
    </row>
    <row r="82" spans="1:20" x14ac:dyDescent="0.25">
      <c r="A82" s="2"/>
      <c r="B82" s="2"/>
      <c r="C82" s="2"/>
      <c r="D82" s="1"/>
      <c r="E82" s="2"/>
      <c r="F82" s="2"/>
      <c r="G82" s="2"/>
      <c r="H82" s="16"/>
      <c r="I82" s="2"/>
      <c r="J82" s="32"/>
      <c r="K82" s="2"/>
      <c r="L82" s="1"/>
      <c r="M82" s="18"/>
      <c r="N82" s="18"/>
      <c r="O82" s="2"/>
      <c r="P82" s="2"/>
      <c r="Q82" s="2"/>
      <c r="R82" s="2" t="s">
        <v>51</v>
      </c>
      <c r="S82" s="2" t="s">
        <v>51</v>
      </c>
      <c r="T82" s="18"/>
    </row>
    <row r="83" spans="1:20" x14ac:dyDescent="0.25">
      <c r="A83" s="2"/>
      <c r="B83" s="2"/>
      <c r="C83" s="2"/>
      <c r="D83" s="1"/>
      <c r="E83" s="2"/>
      <c r="F83" s="2"/>
      <c r="G83" s="2"/>
      <c r="H83" s="16"/>
      <c r="I83" s="2"/>
      <c r="J83" s="32"/>
      <c r="K83" s="2"/>
      <c r="L83" s="1"/>
      <c r="M83" s="18"/>
      <c r="N83" s="18"/>
      <c r="O83" s="2"/>
      <c r="P83" s="2"/>
      <c r="Q83" s="2"/>
      <c r="R83" s="2" t="s">
        <v>51</v>
      </c>
      <c r="S83" s="2" t="s">
        <v>51</v>
      </c>
      <c r="T83" s="18"/>
    </row>
    <row r="84" spans="1:20" x14ac:dyDescent="0.25">
      <c r="A84" s="2"/>
      <c r="B84" s="2"/>
      <c r="C84" s="2"/>
      <c r="D84" s="1"/>
      <c r="E84" s="2"/>
      <c r="F84" s="2"/>
      <c r="G84" s="2"/>
      <c r="H84" s="16"/>
      <c r="I84" s="2"/>
      <c r="J84" s="32"/>
      <c r="K84" s="2"/>
      <c r="L84" s="1"/>
      <c r="M84" s="18"/>
      <c r="N84" s="18"/>
      <c r="O84" s="2"/>
      <c r="P84" s="2"/>
      <c r="Q84" s="2"/>
      <c r="R84" s="2" t="s">
        <v>51</v>
      </c>
      <c r="S84" s="2" t="s">
        <v>51</v>
      </c>
      <c r="T84" s="18"/>
    </row>
    <row r="85" spans="1:20" x14ac:dyDescent="0.25">
      <c r="A85" s="2"/>
      <c r="B85" s="2"/>
      <c r="C85" s="2"/>
      <c r="D85" s="1"/>
      <c r="E85" s="2"/>
      <c r="F85" s="2"/>
      <c r="G85" s="2"/>
      <c r="H85" s="16"/>
      <c r="I85" s="2"/>
      <c r="J85" s="32"/>
      <c r="K85" s="2"/>
      <c r="L85" s="1"/>
      <c r="M85" s="18"/>
      <c r="N85" s="18"/>
      <c r="O85" s="2"/>
      <c r="P85" s="2"/>
      <c r="Q85" s="2"/>
      <c r="R85" s="2" t="s">
        <v>51</v>
      </c>
      <c r="S85" s="2" t="s">
        <v>51</v>
      </c>
      <c r="T85" s="18"/>
    </row>
    <row r="86" spans="1:20" x14ac:dyDescent="0.25">
      <c r="A86" s="2"/>
      <c r="B86" s="2"/>
      <c r="C86" s="2"/>
      <c r="D86" s="1"/>
      <c r="E86" s="2"/>
      <c r="F86" s="2"/>
      <c r="G86" s="2"/>
      <c r="H86" s="16"/>
      <c r="I86" s="2"/>
      <c r="J86" s="32"/>
      <c r="K86" s="2"/>
      <c r="L86" s="1"/>
      <c r="M86" s="18"/>
      <c r="N86" s="18"/>
      <c r="O86" s="2"/>
      <c r="P86" s="2"/>
      <c r="Q86" s="2"/>
      <c r="R86" s="2" t="s">
        <v>51</v>
      </c>
      <c r="S86" s="2" t="s">
        <v>51</v>
      </c>
      <c r="T86" s="18"/>
    </row>
    <row r="87" spans="1:20" x14ac:dyDescent="0.25">
      <c r="A87" s="2"/>
      <c r="B87" s="2"/>
      <c r="C87" s="2"/>
      <c r="D87" s="1"/>
      <c r="E87" s="2"/>
      <c r="F87" s="2"/>
      <c r="G87" s="2"/>
      <c r="H87" s="16"/>
      <c r="I87" s="2"/>
      <c r="J87" s="32"/>
      <c r="K87" s="2"/>
      <c r="L87" s="1"/>
      <c r="M87" s="18"/>
      <c r="N87" s="18"/>
      <c r="O87" s="2"/>
      <c r="P87" s="2"/>
      <c r="Q87" s="2"/>
      <c r="R87" s="2" t="s">
        <v>51</v>
      </c>
      <c r="S87" s="2" t="s">
        <v>51</v>
      </c>
      <c r="T87" s="18"/>
    </row>
    <row r="88" spans="1:20" x14ac:dyDescent="0.25">
      <c r="A88" s="2"/>
      <c r="B88" s="2"/>
      <c r="C88" s="2"/>
      <c r="D88" s="1"/>
      <c r="E88" s="2"/>
      <c r="F88" s="2"/>
      <c r="G88" s="2"/>
      <c r="H88" s="16"/>
      <c r="I88" s="2"/>
      <c r="J88" s="32"/>
      <c r="K88" s="2"/>
      <c r="L88" s="1"/>
      <c r="M88" s="18"/>
      <c r="N88" s="18"/>
      <c r="O88" s="2"/>
      <c r="P88" s="2"/>
      <c r="Q88" s="2"/>
      <c r="R88" s="2" t="s">
        <v>51</v>
      </c>
      <c r="S88" s="2" t="s">
        <v>51</v>
      </c>
      <c r="T88" s="18"/>
    </row>
    <row r="89" spans="1:20" x14ac:dyDescent="0.25">
      <c r="A89" s="2"/>
      <c r="B89" s="2"/>
      <c r="C89" s="2"/>
      <c r="D89" s="1"/>
      <c r="E89" s="2"/>
      <c r="F89" s="2"/>
      <c r="G89" s="2"/>
      <c r="H89" s="16"/>
      <c r="I89" s="2"/>
      <c r="J89" s="32"/>
      <c r="K89" s="2"/>
      <c r="L89" s="1"/>
      <c r="M89" s="18"/>
      <c r="N89" s="18"/>
      <c r="O89" s="2"/>
      <c r="P89" s="2"/>
      <c r="Q89" s="2"/>
      <c r="R89" s="2" t="s">
        <v>51</v>
      </c>
      <c r="S89" s="2" t="s">
        <v>51</v>
      </c>
      <c r="T89" s="18"/>
    </row>
    <row r="90" spans="1:20" x14ac:dyDescent="0.25">
      <c r="A90" s="2"/>
      <c r="B90" s="2"/>
      <c r="C90" s="2"/>
      <c r="D90" s="1"/>
      <c r="E90" s="2"/>
      <c r="F90" s="2"/>
      <c r="G90" s="2"/>
      <c r="H90" s="16"/>
      <c r="I90" s="2"/>
      <c r="J90" s="32"/>
      <c r="K90" s="2"/>
      <c r="L90" s="1"/>
      <c r="M90" s="18"/>
      <c r="N90" s="18"/>
      <c r="O90" s="2"/>
      <c r="P90" s="2"/>
      <c r="Q90" s="2"/>
      <c r="R90" s="2" t="s">
        <v>51</v>
      </c>
      <c r="S90" s="2" t="s">
        <v>51</v>
      </c>
      <c r="T90" s="18"/>
    </row>
    <row r="91" spans="1:20" x14ac:dyDescent="0.25">
      <c r="A91" s="2"/>
      <c r="B91" s="2"/>
      <c r="C91" s="2"/>
      <c r="D91" s="1"/>
      <c r="E91" s="2"/>
      <c r="F91" s="2"/>
      <c r="G91" s="2"/>
      <c r="H91" s="16"/>
      <c r="I91" s="2"/>
      <c r="J91" s="32"/>
      <c r="K91" s="2"/>
      <c r="L91" s="1"/>
      <c r="M91" s="18"/>
      <c r="N91" s="18"/>
      <c r="O91" s="2"/>
      <c r="P91" s="2"/>
      <c r="Q91" s="2"/>
      <c r="R91" s="2" t="s">
        <v>51</v>
      </c>
      <c r="S91" s="2" t="s">
        <v>51</v>
      </c>
      <c r="T91" s="18"/>
    </row>
    <row r="92" spans="1:20" x14ac:dyDescent="0.25">
      <c r="A92" s="2"/>
      <c r="B92" s="2"/>
      <c r="C92" s="2"/>
      <c r="D92" s="1"/>
      <c r="E92" s="2"/>
      <c r="F92" s="2"/>
      <c r="G92" s="2"/>
      <c r="H92" s="16"/>
      <c r="I92" s="2"/>
      <c r="J92" s="32"/>
      <c r="K92" s="2"/>
      <c r="L92" s="1"/>
      <c r="M92" s="18"/>
      <c r="N92" s="18"/>
      <c r="O92" s="2"/>
      <c r="P92" s="2"/>
      <c r="Q92" s="2"/>
      <c r="R92" s="2" t="s">
        <v>51</v>
      </c>
      <c r="S92" s="2" t="s">
        <v>51</v>
      </c>
      <c r="T92" s="18"/>
    </row>
    <row r="93" spans="1:20" x14ac:dyDescent="0.25">
      <c r="A93" s="2"/>
      <c r="B93" s="2"/>
      <c r="C93" s="2"/>
      <c r="D93" s="1"/>
      <c r="E93" s="2"/>
      <c r="F93" s="2"/>
      <c r="G93" s="2"/>
      <c r="H93" s="16"/>
      <c r="I93" s="2"/>
      <c r="J93" s="32"/>
      <c r="K93" s="2"/>
      <c r="L93" s="1"/>
      <c r="M93" s="18"/>
      <c r="N93" s="18"/>
      <c r="O93" s="2"/>
      <c r="P93" s="2"/>
      <c r="Q93" s="2"/>
      <c r="R93" s="2" t="s">
        <v>51</v>
      </c>
      <c r="S93" s="2" t="s">
        <v>51</v>
      </c>
      <c r="T93" s="18"/>
    </row>
    <row r="94" spans="1:20" x14ac:dyDescent="0.25">
      <c r="A94" s="2"/>
      <c r="B94" s="2"/>
      <c r="C94" s="2"/>
      <c r="D94" s="1"/>
      <c r="E94" s="2"/>
      <c r="F94" s="2"/>
      <c r="G94" s="2"/>
      <c r="H94" s="16"/>
      <c r="I94" s="2"/>
      <c r="J94" s="32"/>
      <c r="K94" s="2"/>
      <c r="L94" s="1"/>
      <c r="M94" s="18"/>
      <c r="N94" s="18"/>
      <c r="O94" s="2"/>
      <c r="P94" s="2"/>
      <c r="Q94" s="2"/>
      <c r="R94" s="2" t="s">
        <v>51</v>
      </c>
      <c r="S94" s="2" t="s">
        <v>51</v>
      </c>
      <c r="T94" s="18"/>
    </row>
    <row r="95" spans="1:20" x14ac:dyDescent="0.25">
      <c r="A95" s="2"/>
      <c r="B95" s="2"/>
      <c r="C95" s="2"/>
      <c r="D95" s="1"/>
      <c r="E95" s="2"/>
      <c r="F95" s="2"/>
      <c r="G95" s="2"/>
      <c r="H95" s="16"/>
      <c r="I95" s="2"/>
      <c r="J95" s="32"/>
      <c r="K95" s="2"/>
      <c r="L95" s="1"/>
      <c r="M95" s="18"/>
      <c r="N95" s="18"/>
      <c r="O95" s="2"/>
      <c r="P95" s="2"/>
      <c r="Q95" s="2"/>
      <c r="R95" s="2" t="s">
        <v>51</v>
      </c>
      <c r="S95" s="2" t="s">
        <v>51</v>
      </c>
      <c r="T95" s="18"/>
    </row>
    <row r="96" spans="1:20" x14ac:dyDescent="0.25">
      <c r="A96" s="2"/>
      <c r="B96" s="2"/>
      <c r="C96" s="2"/>
      <c r="D96" s="1"/>
      <c r="E96" s="2"/>
      <c r="F96" s="2"/>
      <c r="G96" s="2"/>
      <c r="H96" s="16"/>
      <c r="I96" s="2"/>
      <c r="J96" s="32"/>
      <c r="K96" s="2"/>
      <c r="L96" s="1"/>
      <c r="M96" s="18"/>
      <c r="N96" s="18"/>
      <c r="O96" s="2"/>
      <c r="P96" s="2"/>
      <c r="Q96" s="2"/>
      <c r="R96" s="2" t="s">
        <v>51</v>
      </c>
      <c r="S96" s="2" t="s">
        <v>51</v>
      </c>
      <c r="T96" s="18"/>
    </row>
    <row r="97" spans="1:20" x14ac:dyDescent="0.25">
      <c r="A97" s="2"/>
      <c r="B97" s="2"/>
      <c r="C97" s="2"/>
      <c r="D97" s="1"/>
      <c r="E97" s="2"/>
      <c r="F97" s="2"/>
      <c r="G97" s="2"/>
      <c r="H97" s="16"/>
      <c r="I97" s="2"/>
      <c r="J97" s="32"/>
      <c r="K97" s="2"/>
      <c r="L97" s="1"/>
      <c r="M97" s="18"/>
      <c r="N97" s="18"/>
      <c r="O97" s="2"/>
      <c r="P97" s="2"/>
      <c r="Q97" s="2"/>
      <c r="R97" s="2" t="s">
        <v>51</v>
      </c>
      <c r="S97" s="2" t="s">
        <v>51</v>
      </c>
      <c r="T97" s="18"/>
    </row>
    <row r="98" spans="1:20" x14ac:dyDescent="0.25">
      <c r="A98" s="2"/>
      <c r="B98" s="2"/>
      <c r="C98" s="2"/>
      <c r="D98" s="1"/>
      <c r="E98" s="2"/>
      <c r="F98" s="2"/>
      <c r="G98" s="2"/>
      <c r="H98" s="16"/>
      <c r="I98" s="2"/>
      <c r="J98" s="32"/>
      <c r="K98" s="2"/>
      <c r="L98" s="1"/>
      <c r="M98" s="18"/>
      <c r="N98" s="18"/>
      <c r="O98" s="2"/>
      <c r="P98" s="2"/>
      <c r="Q98" s="2"/>
      <c r="R98" s="2" t="s">
        <v>51</v>
      </c>
      <c r="S98" s="2" t="s">
        <v>51</v>
      </c>
      <c r="T98" s="18"/>
    </row>
    <row r="99" spans="1:20" x14ac:dyDescent="0.25">
      <c r="A99" s="2"/>
      <c r="B99" s="2"/>
      <c r="C99" s="2"/>
      <c r="D99" s="1"/>
      <c r="E99" s="2"/>
      <c r="F99" s="2"/>
      <c r="G99" s="2"/>
      <c r="H99" s="16"/>
      <c r="I99" s="2"/>
      <c r="J99" s="32"/>
      <c r="K99" s="2"/>
      <c r="L99" s="1"/>
      <c r="M99" s="18"/>
      <c r="N99" s="18"/>
      <c r="O99" s="2"/>
      <c r="P99" s="2"/>
      <c r="Q99" s="2"/>
      <c r="R99" s="2" t="s">
        <v>51</v>
      </c>
      <c r="S99" s="2" t="s">
        <v>51</v>
      </c>
      <c r="T99" s="18"/>
    </row>
  </sheetData>
  <sheetProtection selectLockedCells="1" selectUnlockedCells="1"/>
  <phoneticPr fontId="14" type="noConversion"/>
  <dataValidations count="3">
    <dataValidation type="decimal" allowBlank="1" showDropDown="1" showErrorMessage="1" sqref="M1" xr:uid="{00000000-0002-0000-0400-000000000000}">
      <formula1>0</formula1>
      <formula2>100000</formula2>
    </dataValidation>
    <dataValidation type="list" allowBlank="1" showErrorMessage="1" sqref="S2:S99" xr:uid="{00000000-0002-0000-0400-000001000000}">
      <formula1>"nein,ja (nur gewerblich),"</formula1>
      <formula2>0</formula2>
    </dataValidation>
    <dataValidation type="list" allowBlank="1" showErrorMessage="1" sqref="R2:R99" xr:uid="{00000000-0002-0000-0400-000002000000}">
      <formula1>"nein,ja"</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29EE-54C6-43F0-B574-DAF5D665919A}">
  <dimension ref="A1:AA99"/>
  <sheetViews>
    <sheetView topLeftCell="J1" workbookViewId="0">
      <selection activeCell="Y2" sqref="Y2"/>
    </sheetView>
  </sheetViews>
  <sheetFormatPr baseColWidth="10" defaultColWidth="11.5546875" defaultRowHeight="13.2" x14ac:dyDescent="0.25"/>
  <cols>
    <col min="1" max="3" width="11.5546875" style="181"/>
    <col min="4" max="4" width="22.109375" style="181" customWidth="1"/>
    <col min="5" max="5" width="22.109375" style="181" hidden="1" customWidth="1"/>
    <col min="6" max="7" width="0" style="181" hidden="1" customWidth="1"/>
    <col min="8" max="8" width="15.33203125" style="181" customWidth="1"/>
    <col min="9" max="9" width="25.44140625" style="181" customWidth="1"/>
    <col min="10" max="11" width="11.5546875" style="181"/>
    <col min="12" max="12" width="13.109375" style="181" customWidth="1"/>
    <col min="13" max="13" width="15" style="181" customWidth="1"/>
    <col min="14" max="20" width="11.5546875" style="181"/>
    <col min="21" max="21" width="22.109375" style="181" customWidth="1"/>
    <col min="22" max="22" width="21.88671875" style="181" hidden="1" customWidth="1"/>
    <col min="23" max="23" width="0" style="181" hidden="1" customWidth="1"/>
    <col min="24" max="24" width="39.109375" style="183" hidden="1" customWidth="1"/>
    <col min="25" max="16384" width="11.5546875" style="181"/>
  </cols>
  <sheetData>
    <row r="1" spans="1:27" x14ac:dyDescent="0.25">
      <c r="A1" s="186" t="s">
        <v>26</v>
      </c>
      <c r="B1" s="187" t="s">
        <v>67</v>
      </c>
      <c r="C1" s="188" t="s">
        <v>28</v>
      </c>
      <c r="D1" s="188" t="s">
        <v>68</v>
      </c>
      <c r="E1" s="186" t="s">
        <v>69</v>
      </c>
      <c r="F1" s="186" t="s">
        <v>70</v>
      </c>
      <c r="G1" s="186" t="s">
        <v>31</v>
      </c>
      <c r="H1" s="189" t="s">
        <v>34</v>
      </c>
      <c r="I1" s="186" t="s">
        <v>35</v>
      </c>
      <c r="J1" s="190" t="s">
        <v>64</v>
      </c>
      <c r="K1" s="186" t="s">
        <v>40</v>
      </c>
      <c r="L1" s="191" t="s">
        <v>41</v>
      </c>
      <c r="M1" s="192" t="s">
        <v>42</v>
      </c>
      <c r="N1" s="194" t="s">
        <v>43</v>
      </c>
      <c r="O1" s="186" t="s">
        <v>55</v>
      </c>
      <c r="P1" s="186" t="s">
        <v>4882</v>
      </c>
      <c r="Q1" s="186" t="s">
        <v>8641</v>
      </c>
      <c r="R1" s="186" t="s">
        <v>6554</v>
      </c>
      <c r="S1" s="186" t="s">
        <v>6556</v>
      </c>
      <c r="T1" s="186" t="s">
        <v>8607</v>
      </c>
      <c r="U1" s="186" t="s">
        <v>8608</v>
      </c>
      <c r="V1" s="186" t="s">
        <v>46</v>
      </c>
      <c r="W1" s="186" t="s">
        <v>47</v>
      </c>
      <c r="X1" s="186" t="s">
        <v>50</v>
      </c>
      <c r="Y1" s="225">
        <v>43739</v>
      </c>
      <c r="Z1" s="225">
        <v>43770</v>
      </c>
      <c r="AA1" s="225">
        <v>43800</v>
      </c>
    </row>
    <row r="2" spans="1:27" x14ac:dyDescent="0.25">
      <c r="A2" s="183"/>
      <c r="B2" s="183"/>
      <c r="C2" s="183" t="s">
        <v>8904</v>
      </c>
      <c r="D2" s="182" t="s">
        <v>8905</v>
      </c>
      <c r="E2" s="183"/>
      <c r="F2" s="183"/>
      <c r="G2" s="183"/>
      <c r="H2" s="184" t="s">
        <v>1879</v>
      </c>
      <c r="I2" s="183"/>
      <c r="J2" s="195" t="s">
        <v>8906</v>
      </c>
      <c r="K2" s="183" t="s">
        <v>8940</v>
      </c>
      <c r="L2" s="182">
        <v>179</v>
      </c>
      <c r="M2" s="185">
        <f>U2-1.2</f>
        <v>2.6688000000000001</v>
      </c>
      <c r="N2" s="185"/>
      <c r="O2" s="183"/>
      <c r="P2" s="183">
        <v>1.9</v>
      </c>
      <c r="Q2" s="183">
        <v>0.34</v>
      </c>
      <c r="R2" s="183">
        <v>1.5</v>
      </c>
      <c r="S2" s="224">
        <f>(Q2+R2)/100*7</f>
        <v>0.1288</v>
      </c>
      <c r="T2" s="183"/>
      <c r="U2" s="223">
        <f>SUM(P2:S2)</f>
        <v>3.8687999999999998</v>
      </c>
      <c r="V2" s="183" t="s">
        <v>51</v>
      </c>
      <c r="W2" s="183" t="s">
        <v>51</v>
      </c>
      <c r="X2" s="185"/>
    </row>
    <row r="3" spans="1:27" x14ac:dyDescent="0.25">
      <c r="A3" s="183"/>
      <c r="B3" s="183"/>
      <c r="C3" s="183" t="s">
        <v>8907</v>
      </c>
      <c r="D3" s="182" t="s">
        <v>8905</v>
      </c>
      <c r="E3" s="183"/>
      <c r="F3" s="183"/>
      <c r="G3" s="183"/>
      <c r="H3" s="184" t="s">
        <v>1929</v>
      </c>
      <c r="I3" s="183"/>
      <c r="J3" s="195"/>
      <c r="K3" s="183" t="s">
        <v>8941</v>
      </c>
      <c r="L3" s="182">
        <v>89</v>
      </c>
      <c r="M3" s="199">
        <f t="shared" ref="M3:M21" si="0">U3-1.2</f>
        <v>2.6688000000000001</v>
      </c>
      <c r="N3" s="185"/>
      <c r="O3" s="183"/>
      <c r="P3" s="183">
        <v>1.9</v>
      </c>
      <c r="Q3" s="183">
        <v>0.34</v>
      </c>
      <c r="R3" s="183">
        <v>1.5</v>
      </c>
      <c r="S3" s="224">
        <f t="shared" ref="S3:S21" si="1">(Q3+R3)/100*7</f>
        <v>0.1288</v>
      </c>
      <c r="T3" s="183"/>
      <c r="U3" s="223">
        <f t="shared" ref="U3:U21" si="2">SUM(P3:S3)</f>
        <v>3.8687999999999998</v>
      </c>
      <c r="V3" s="183" t="s">
        <v>51</v>
      </c>
      <c r="W3" s="183" t="s">
        <v>51</v>
      </c>
      <c r="X3" s="185"/>
    </row>
    <row r="4" spans="1:27" x14ac:dyDescent="0.25">
      <c r="A4" s="183"/>
      <c r="B4" s="183"/>
      <c r="C4" s="183" t="s">
        <v>8908</v>
      </c>
      <c r="D4" s="182" t="s">
        <v>8905</v>
      </c>
      <c r="E4" s="183"/>
      <c r="F4" s="183"/>
      <c r="G4" s="183"/>
      <c r="H4" s="184" t="s">
        <v>1914</v>
      </c>
      <c r="I4" s="183"/>
      <c r="J4" s="195" t="s">
        <v>8909</v>
      </c>
      <c r="K4" s="183" t="s">
        <v>8942</v>
      </c>
      <c r="L4" s="182">
        <v>67</v>
      </c>
      <c r="M4" s="199">
        <f t="shared" si="0"/>
        <v>1.8448999999999998</v>
      </c>
      <c r="N4" s="185"/>
      <c r="O4" s="183"/>
      <c r="P4" s="183">
        <v>1.9</v>
      </c>
      <c r="Q4" s="183">
        <v>0.34</v>
      </c>
      <c r="R4" s="183">
        <v>0.73</v>
      </c>
      <c r="S4" s="224">
        <f t="shared" si="1"/>
        <v>7.4900000000000008E-2</v>
      </c>
      <c r="T4" s="183">
        <f>1.25+1.8</f>
        <v>3.05</v>
      </c>
      <c r="U4" s="223">
        <f t="shared" si="2"/>
        <v>3.0448999999999997</v>
      </c>
      <c r="V4" s="183" t="s">
        <v>51</v>
      </c>
      <c r="W4" s="183" t="s">
        <v>51</v>
      </c>
      <c r="X4" s="185"/>
    </row>
    <row r="5" spans="1:27" x14ac:dyDescent="0.25">
      <c r="A5" s="183"/>
      <c r="B5" s="183" t="s">
        <v>8910</v>
      </c>
      <c r="C5" s="183" t="s">
        <v>8911</v>
      </c>
      <c r="D5" s="196" t="s">
        <v>8905</v>
      </c>
      <c r="E5" s="183"/>
      <c r="F5" s="183"/>
      <c r="G5" s="183"/>
      <c r="H5" s="184" t="s">
        <v>1879</v>
      </c>
      <c r="I5" s="183"/>
      <c r="J5" s="195" t="s">
        <v>8912</v>
      </c>
      <c r="K5" s="183" t="s">
        <v>8943</v>
      </c>
      <c r="L5" s="182">
        <v>66</v>
      </c>
      <c r="M5" s="199">
        <f t="shared" si="0"/>
        <v>2.9362999999999992</v>
      </c>
      <c r="N5" s="185"/>
      <c r="O5" s="183"/>
      <c r="P5" s="183">
        <v>1.9</v>
      </c>
      <c r="Q5" s="183">
        <v>0.34</v>
      </c>
      <c r="R5" s="198">
        <v>1.75</v>
      </c>
      <c r="S5" s="224">
        <f t="shared" si="1"/>
        <v>0.14629999999999999</v>
      </c>
      <c r="T5" s="183">
        <f>2.5+1.65</f>
        <v>4.1500000000000004</v>
      </c>
      <c r="U5" s="223">
        <f t="shared" si="2"/>
        <v>4.1362999999999994</v>
      </c>
      <c r="V5" s="183" t="s">
        <v>51</v>
      </c>
      <c r="W5" s="183" t="s">
        <v>51</v>
      </c>
      <c r="X5" s="185"/>
    </row>
    <row r="6" spans="1:27" x14ac:dyDescent="0.25">
      <c r="A6" s="183"/>
      <c r="B6" s="183" t="s">
        <v>8913</v>
      </c>
      <c r="C6" s="183" t="s">
        <v>8914</v>
      </c>
      <c r="D6" s="196" t="s">
        <v>8905</v>
      </c>
      <c r="E6" s="183"/>
      <c r="F6" s="183"/>
      <c r="G6" s="183"/>
      <c r="H6" s="184" t="s">
        <v>1879</v>
      </c>
      <c r="I6" s="183"/>
      <c r="J6" s="195" t="s">
        <v>8915</v>
      </c>
      <c r="K6" s="183" t="s">
        <v>8944</v>
      </c>
      <c r="L6" s="182">
        <v>91</v>
      </c>
      <c r="M6" s="199">
        <f t="shared" si="0"/>
        <v>1.6201999999999999</v>
      </c>
      <c r="N6" s="185"/>
      <c r="O6" s="183"/>
      <c r="P6" s="183">
        <v>1.9</v>
      </c>
      <c r="Q6" s="183">
        <v>0.34</v>
      </c>
      <c r="R6" s="198">
        <v>0.52</v>
      </c>
      <c r="S6" s="224">
        <f t="shared" si="1"/>
        <v>6.020000000000001E-2</v>
      </c>
      <c r="T6" s="183">
        <f>1.13+1.7</f>
        <v>2.83</v>
      </c>
      <c r="U6" s="223">
        <f t="shared" si="2"/>
        <v>2.8201999999999998</v>
      </c>
      <c r="V6" s="183" t="s">
        <v>51</v>
      </c>
      <c r="W6" s="183" t="s">
        <v>51</v>
      </c>
      <c r="X6" s="185"/>
    </row>
    <row r="7" spans="1:27" x14ac:dyDescent="0.25">
      <c r="A7" s="183"/>
      <c r="B7" s="183" t="s">
        <v>8916</v>
      </c>
      <c r="C7" s="183" t="s">
        <v>8917</v>
      </c>
      <c r="D7" s="196" t="s">
        <v>8905</v>
      </c>
      <c r="E7" s="183"/>
      <c r="F7" s="183"/>
      <c r="G7" s="183"/>
      <c r="H7" s="184" t="s">
        <v>7527</v>
      </c>
      <c r="I7" s="183"/>
      <c r="J7" s="195" t="s">
        <v>8918</v>
      </c>
      <c r="K7" s="183" t="s">
        <v>8945</v>
      </c>
      <c r="L7" s="182">
        <v>70</v>
      </c>
      <c r="M7" s="199">
        <f t="shared" si="0"/>
        <v>2.2835999999999999</v>
      </c>
      <c r="N7" s="185"/>
      <c r="O7" s="183"/>
      <c r="P7" s="183">
        <v>1.9</v>
      </c>
      <c r="Q7" s="183">
        <v>0.34</v>
      </c>
      <c r="R7" s="198">
        <v>1.1399999999999999</v>
      </c>
      <c r="S7" s="224">
        <f t="shared" si="1"/>
        <v>0.1036</v>
      </c>
      <c r="T7" s="183">
        <v>3.49</v>
      </c>
      <c r="U7" s="223">
        <f t="shared" si="2"/>
        <v>3.4836</v>
      </c>
      <c r="V7" s="183" t="s">
        <v>51</v>
      </c>
      <c r="W7" s="183" t="s">
        <v>51</v>
      </c>
      <c r="X7" s="185"/>
    </row>
    <row r="8" spans="1:27" x14ac:dyDescent="0.25">
      <c r="A8" s="183"/>
      <c r="B8" s="183" t="s">
        <v>8919</v>
      </c>
      <c r="C8" s="183" t="s">
        <v>8920</v>
      </c>
      <c r="D8" s="196" t="s">
        <v>8905</v>
      </c>
      <c r="E8" s="183"/>
      <c r="F8" s="183"/>
      <c r="G8" s="183"/>
      <c r="H8" s="184" t="s">
        <v>8921</v>
      </c>
      <c r="I8" s="183" t="s">
        <v>8927</v>
      </c>
      <c r="J8" s="195" t="s">
        <v>8922</v>
      </c>
      <c r="K8" s="183" t="s">
        <v>8946</v>
      </c>
      <c r="L8" s="182">
        <v>68</v>
      </c>
      <c r="M8" s="199">
        <f t="shared" si="0"/>
        <v>1.4382999999999997</v>
      </c>
      <c r="N8" s="185"/>
      <c r="O8" s="183"/>
      <c r="P8" s="183">
        <v>1.9</v>
      </c>
      <c r="Q8" s="183">
        <v>0.34</v>
      </c>
      <c r="R8" s="198">
        <v>0.35</v>
      </c>
      <c r="S8" s="224">
        <f t="shared" si="1"/>
        <v>4.8299999999999996E-2</v>
      </c>
      <c r="T8" s="183">
        <v>2.15</v>
      </c>
      <c r="U8" s="223">
        <f t="shared" si="2"/>
        <v>2.6382999999999996</v>
      </c>
      <c r="V8" s="183" t="s">
        <v>51</v>
      </c>
      <c r="W8" s="183" t="s">
        <v>51</v>
      </c>
      <c r="X8" s="185"/>
    </row>
    <row r="9" spans="1:27" x14ac:dyDescent="0.25">
      <c r="A9" s="183"/>
      <c r="B9" s="183"/>
      <c r="C9" s="183" t="s">
        <v>8923</v>
      </c>
      <c r="D9" s="196" t="s">
        <v>8905</v>
      </c>
      <c r="E9" s="183"/>
      <c r="F9" s="183"/>
      <c r="G9" s="183"/>
      <c r="H9" s="184" t="s">
        <v>1879</v>
      </c>
      <c r="I9" s="183"/>
      <c r="J9" s="195" t="s">
        <v>8924</v>
      </c>
      <c r="K9" s="183" t="s">
        <v>8947</v>
      </c>
      <c r="L9" s="182">
        <v>108</v>
      </c>
      <c r="M9" s="199">
        <f t="shared" si="0"/>
        <v>2.1444999999999999</v>
      </c>
      <c r="N9" s="185"/>
      <c r="O9" s="183"/>
      <c r="P9" s="183">
        <v>1.9</v>
      </c>
      <c r="Q9" s="183">
        <v>0.34</v>
      </c>
      <c r="R9" s="198">
        <v>1.01</v>
      </c>
      <c r="S9" s="224">
        <f t="shared" si="1"/>
        <v>9.4500000000000015E-2</v>
      </c>
      <c r="T9" s="183">
        <f>1.37+1.98</f>
        <v>3.35</v>
      </c>
      <c r="U9" s="223">
        <f t="shared" si="2"/>
        <v>3.3445</v>
      </c>
      <c r="V9" s="183" t="s">
        <v>51</v>
      </c>
      <c r="W9" s="183" t="s">
        <v>51</v>
      </c>
      <c r="X9" s="185"/>
    </row>
    <row r="10" spans="1:27" x14ac:dyDescent="0.25">
      <c r="A10" s="183"/>
      <c r="B10" s="183" t="s">
        <v>8925</v>
      </c>
      <c r="C10" s="183" t="s">
        <v>8926</v>
      </c>
      <c r="D10" s="196" t="s">
        <v>8905</v>
      </c>
      <c r="E10" s="183"/>
      <c r="F10" s="183"/>
      <c r="G10" s="183"/>
      <c r="H10" s="184" t="s">
        <v>7527</v>
      </c>
      <c r="I10" s="183" t="s">
        <v>8927</v>
      </c>
      <c r="J10" s="195" t="s">
        <v>8928</v>
      </c>
      <c r="K10" s="183" t="s">
        <v>8948</v>
      </c>
      <c r="L10" s="182">
        <v>93</v>
      </c>
      <c r="M10" s="199">
        <f t="shared" si="0"/>
        <v>17.113799999999998</v>
      </c>
      <c r="N10" s="185"/>
      <c r="O10" s="183"/>
      <c r="P10" s="183">
        <v>1.9</v>
      </c>
      <c r="Q10" s="183">
        <v>0.34</v>
      </c>
      <c r="R10" s="198">
        <v>15</v>
      </c>
      <c r="S10" s="224">
        <f t="shared" si="1"/>
        <v>1.0738000000000001</v>
      </c>
      <c r="T10" s="183">
        <v>18.989999999999998</v>
      </c>
      <c r="U10" s="223">
        <f t="shared" si="2"/>
        <v>18.313799999999997</v>
      </c>
      <c r="V10" s="183" t="s">
        <v>51</v>
      </c>
      <c r="W10" s="183" t="s">
        <v>51</v>
      </c>
      <c r="X10" s="185"/>
    </row>
    <row r="11" spans="1:27" x14ac:dyDescent="0.25">
      <c r="A11" s="183"/>
      <c r="B11" s="183" t="s">
        <v>8929</v>
      </c>
      <c r="C11" s="183" t="s">
        <v>8930</v>
      </c>
      <c r="D11" s="196" t="s">
        <v>8905</v>
      </c>
      <c r="E11" s="183"/>
      <c r="F11" s="183"/>
      <c r="G11" s="183"/>
      <c r="H11" s="184" t="s">
        <v>1879</v>
      </c>
      <c r="I11" s="183"/>
      <c r="J11" s="195"/>
      <c r="K11" s="183" t="s">
        <v>9603</v>
      </c>
      <c r="L11" s="182"/>
      <c r="M11" s="199">
        <f t="shared" si="0"/>
        <v>1.4382999999999997</v>
      </c>
      <c r="N11" s="185"/>
      <c r="O11" s="183"/>
      <c r="P11" s="183">
        <v>1.9</v>
      </c>
      <c r="Q11" s="183">
        <v>0.34</v>
      </c>
      <c r="R11" s="198">
        <v>0.35</v>
      </c>
      <c r="S11" s="224">
        <f t="shared" si="1"/>
        <v>4.8299999999999996E-2</v>
      </c>
      <c r="T11" s="183">
        <v>2.5499999999999998</v>
      </c>
      <c r="U11" s="223">
        <f t="shared" si="2"/>
        <v>2.6382999999999996</v>
      </c>
      <c r="V11" s="183" t="s">
        <v>51</v>
      </c>
      <c r="W11" s="183" t="s">
        <v>51</v>
      </c>
      <c r="X11" s="185"/>
    </row>
    <row r="12" spans="1:27" x14ac:dyDescent="0.25">
      <c r="A12" s="183"/>
      <c r="B12" s="183" t="s">
        <v>9604</v>
      </c>
      <c r="C12" s="183" t="s">
        <v>9605</v>
      </c>
      <c r="D12" s="196" t="s">
        <v>8905</v>
      </c>
      <c r="E12" s="183"/>
      <c r="F12" s="183"/>
      <c r="G12" s="183"/>
      <c r="H12" s="184" t="s">
        <v>1879</v>
      </c>
      <c r="I12" s="183"/>
      <c r="J12" s="195" t="s">
        <v>9606</v>
      </c>
      <c r="K12" s="183" t="s">
        <v>9607</v>
      </c>
      <c r="L12" s="196">
        <v>67</v>
      </c>
      <c r="M12" s="199">
        <f t="shared" si="0"/>
        <v>1.4382999999999997</v>
      </c>
      <c r="N12" s="185"/>
      <c r="O12" s="183"/>
      <c r="P12" s="183">
        <v>1.9</v>
      </c>
      <c r="Q12" s="183">
        <v>0.34</v>
      </c>
      <c r="R12" s="198">
        <v>0.35</v>
      </c>
      <c r="S12" s="224">
        <f t="shared" si="1"/>
        <v>4.8299999999999996E-2</v>
      </c>
      <c r="T12" s="183">
        <v>2.6</v>
      </c>
      <c r="U12" s="223">
        <f t="shared" si="2"/>
        <v>2.6382999999999996</v>
      </c>
      <c r="V12" s="183" t="s">
        <v>51</v>
      </c>
      <c r="W12" s="183" t="s">
        <v>51</v>
      </c>
      <c r="X12" s="185"/>
    </row>
    <row r="13" spans="1:27" x14ac:dyDescent="0.25">
      <c r="A13" s="183"/>
      <c r="B13" s="183" t="s">
        <v>9608</v>
      </c>
      <c r="C13" s="183" t="s">
        <v>9609</v>
      </c>
      <c r="D13" s="196" t="s">
        <v>8905</v>
      </c>
      <c r="E13" s="183"/>
      <c r="F13" s="183"/>
      <c r="G13" s="183"/>
      <c r="H13" s="184" t="s">
        <v>1879</v>
      </c>
      <c r="I13" s="183"/>
      <c r="J13" s="195" t="s">
        <v>9610</v>
      </c>
      <c r="K13" s="183" t="s">
        <v>9611</v>
      </c>
      <c r="L13" s="196">
        <v>69</v>
      </c>
      <c r="M13" s="199">
        <f t="shared" si="0"/>
        <v>1.5988</v>
      </c>
      <c r="N13" s="185"/>
      <c r="O13" s="183"/>
      <c r="P13" s="183">
        <v>1.9</v>
      </c>
      <c r="Q13" s="183">
        <v>0.34</v>
      </c>
      <c r="R13" s="198">
        <v>0.5</v>
      </c>
      <c r="S13" s="224">
        <f t="shared" si="1"/>
        <v>5.8800000000000005E-2</v>
      </c>
      <c r="T13" s="183">
        <v>2.85</v>
      </c>
      <c r="U13" s="223">
        <f t="shared" si="2"/>
        <v>2.7988</v>
      </c>
      <c r="V13" s="183" t="s">
        <v>51</v>
      </c>
      <c r="W13" s="183" t="s">
        <v>51</v>
      </c>
      <c r="X13" s="185"/>
    </row>
    <row r="14" spans="1:27" x14ac:dyDescent="0.25">
      <c r="A14" s="183"/>
      <c r="B14" s="183" t="s">
        <v>9612</v>
      </c>
      <c r="C14" s="183" t="s">
        <v>9613</v>
      </c>
      <c r="D14" s="196" t="s">
        <v>8905</v>
      </c>
      <c r="E14" s="183"/>
      <c r="F14" s="183"/>
      <c r="G14" s="183"/>
      <c r="H14" s="184" t="s">
        <v>1879</v>
      </c>
      <c r="I14" s="183"/>
      <c r="J14" s="195" t="s">
        <v>9614</v>
      </c>
      <c r="K14" s="183" t="s">
        <v>9615</v>
      </c>
      <c r="L14" s="196">
        <v>68</v>
      </c>
      <c r="M14" s="199">
        <f t="shared" si="0"/>
        <v>1.7057999999999998</v>
      </c>
      <c r="N14" s="185"/>
      <c r="O14" s="183"/>
      <c r="P14" s="183">
        <v>1.9</v>
      </c>
      <c r="Q14" s="183">
        <v>0.34</v>
      </c>
      <c r="R14" s="198">
        <v>0.6</v>
      </c>
      <c r="S14" s="224">
        <f t="shared" si="1"/>
        <v>6.5799999999999997E-2</v>
      </c>
      <c r="T14" s="183">
        <v>2.95</v>
      </c>
      <c r="U14" s="223">
        <f t="shared" si="2"/>
        <v>2.9057999999999997</v>
      </c>
      <c r="V14" s="183" t="s">
        <v>51</v>
      </c>
      <c r="W14" s="183" t="s">
        <v>51</v>
      </c>
      <c r="X14" s="185"/>
    </row>
    <row r="15" spans="1:27" x14ac:dyDescent="0.25">
      <c r="A15" s="183"/>
      <c r="B15" s="183" t="s">
        <v>9616</v>
      </c>
      <c r="C15" s="183" t="s">
        <v>9617</v>
      </c>
      <c r="D15" s="196" t="s">
        <v>8905</v>
      </c>
      <c r="E15" s="183"/>
      <c r="F15" s="183"/>
      <c r="G15" s="183"/>
      <c r="H15" s="184" t="s">
        <v>1879</v>
      </c>
      <c r="I15" s="183"/>
      <c r="J15" s="195" t="s">
        <v>9618</v>
      </c>
      <c r="K15" s="183" t="s">
        <v>9619</v>
      </c>
      <c r="L15" s="196">
        <v>66</v>
      </c>
      <c r="M15" s="199">
        <f t="shared" si="0"/>
        <v>2.3477999999999994</v>
      </c>
      <c r="N15" s="185"/>
      <c r="O15" s="183"/>
      <c r="P15" s="183">
        <v>1.9</v>
      </c>
      <c r="Q15" s="183">
        <v>0.34</v>
      </c>
      <c r="R15" s="198">
        <v>1.2</v>
      </c>
      <c r="S15" s="224">
        <f t="shared" si="1"/>
        <v>0.10780000000000001</v>
      </c>
      <c r="T15" s="183">
        <v>3.63</v>
      </c>
      <c r="U15" s="223">
        <f t="shared" si="2"/>
        <v>3.5477999999999996</v>
      </c>
      <c r="V15" s="183" t="s">
        <v>51</v>
      </c>
      <c r="W15" s="183" t="s">
        <v>51</v>
      </c>
      <c r="X15" s="185"/>
    </row>
    <row r="16" spans="1:27" x14ac:dyDescent="0.25">
      <c r="A16" s="183"/>
      <c r="B16" s="183" t="s">
        <v>9620</v>
      </c>
      <c r="C16" s="183" t="s">
        <v>9621</v>
      </c>
      <c r="D16" s="196" t="s">
        <v>8905</v>
      </c>
      <c r="E16" s="183"/>
      <c r="F16" s="183"/>
      <c r="G16" s="183"/>
      <c r="H16" s="184" t="s">
        <v>1879</v>
      </c>
      <c r="I16" s="183"/>
      <c r="J16" s="195" t="s">
        <v>9622</v>
      </c>
      <c r="K16" s="183" t="s">
        <v>9623</v>
      </c>
      <c r="L16" s="196">
        <v>70</v>
      </c>
      <c r="M16" s="199">
        <f t="shared" si="0"/>
        <v>2.9362999999999992</v>
      </c>
      <c r="N16" s="185"/>
      <c r="O16" s="183"/>
      <c r="P16" s="183">
        <v>1.9</v>
      </c>
      <c r="Q16" s="183">
        <v>0.34</v>
      </c>
      <c r="R16" s="198">
        <v>1.75</v>
      </c>
      <c r="S16" s="224">
        <f t="shared" si="1"/>
        <v>0.14629999999999999</v>
      </c>
      <c r="T16" s="183">
        <v>4.1500000000000004</v>
      </c>
      <c r="U16" s="223">
        <f t="shared" si="2"/>
        <v>4.1362999999999994</v>
      </c>
      <c r="V16" s="183" t="s">
        <v>51</v>
      </c>
      <c r="W16" s="183" t="s">
        <v>51</v>
      </c>
      <c r="X16" s="185"/>
    </row>
    <row r="17" spans="1:24" x14ac:dyDescent="0.25">
      <c r="A17" s="183"/>
      <c r="B17" s="183" t="s">
        <v>9624</v>
      </c>
      <c r="C17" s="183" t="s">
        <v>9625</v>
      </c>
      <c r="D17" s="196" t="s">
        <v>8905</v>
      </c>
      <c r="E17" s="183"/>
      <c r="F17" s="183"/>
      <c r="G17" s="183"/>
      <c r="H17" s="184" t="s">
        <v>1879</v>
      </c>
      <c r="I17" s="183"/>
      <c r="J17" s="195" t="s">
        <v>9626</v>
      </c>
      <c r="K17" s="183" t="s">
        <v>9627</v>
      </c>
      <c r="L17" s="196">
        <v>68</v>
      </c>
      <c r="M17" s="199">
        <f t="shared" si="0"/>
        <v>1.4382999999999997</v>
      </c>
      <c r="N17" s="185"/>
      <c r="O17" s="183"/>
      <c r="P17" s="183">
        <v>1.9</v>
      </c>
      <c r="Q17" s="183">
        <v>0.34</v>
      </c>
      <c r="R17" s="198">
        <v>0.35</v>
      </c>
      <c r="S17" s="224">
        <f t="shared" si="1"/>
        <v>4.8299999999999996E-2</v>
      </c>
      <c r="T17" s="183">
        <v>2.2400000000000002</v>
      </c>
      <c r="U17" s="223">
        <f t="shared" si="2"/>
        <v>2.6382999999999996</v>
      </c>
      <c r="V17" s="183" t="s">
        <v>51</v>
      </c>
      <c r="W17" s="183" t="s">
        <v>51</v>
      </c>
      <c r="X17" s="185"/>
    </row>
    <row r="18" spans="1:24" x14ac:dyDescent="0.25">
      <c r="A18" s="183"/>
      <c r="B18" s="183" t="s">
        <v>9628</v>
      </c>
      <c r="C18" s="183" t="s">
        <v>9628</v>
      </c>
      <c r="D18" s="196" t="s">
        <v>8905</v>
      </c>
      <c r="E18" s="183"/>
      <c r="F18" s="183"/>
      <c r="G18" s="183"/>
      <c r="H18" s="184" t="s">
        <v>1879</v>
      </c>
      <c r="I18" s="183"/>
      <c r="J18" s="195" t="s">
        <v>9629</v>
      </c>
      <c r="K18" s="183" t="s">
        <v>9630</v>
      </c>
      <c r="L18" s="196">
        <v>118</v>
      </c>
      <c r="M18" s="199">
        <f t="shared" si="0"/>
        <v>2.0374999999999996</v>
      </c>
      <c r="N18" s="185"/>
      <c r="O18" s="183"/>
      <c r="P18" s="183">
        <v>1.9</v>
      </c>
      <c r="Q18" s="183">
        <v>0.34</v>
      </c>
      <c r="R18" s="198">
        <v>0.91</v>
      </c>
      <c r="S18" s="224">
        <f t="shared" si="1"/>
        <v>8.7500000000000008E-2</v>
      </c>
      <c r="T18" s="183">
        <f>1.7+1.55</f>
        <v>3.25</v>
      </c>
      <c r="U18" s="223">
        <f t="shared" si="2"/>
        <v>3.2374999999999998</v>
      </c>
      <c r="V18" s="183" t="s">
        <v>51</v>
      </c>
      <c r="W18" s="183" t="s">
        <v>51</v>
      </c>
      <c r="X18" s="185"/>
    </row>
    <row r="19" spans="1:24" x14ac:dyDescent="0.25">
      <c r="A19" s="183"/>
      <c r="B19" s="183" t="s">
        <v>9631</v>
      </c>
      <c r="C19" s="183" t="s">
        <v>9632</v>
      </c>
      <c r="D19" s="196" t="s">
        <v>8905</v>
      </c>
      <c r="E19" s="183"/>
      <c r="F19" s="183"/>
      <c r="G19" s="183"/>
      <c r="H19" s="184" t="s">
        <v>1879</v>
      </c>
      <c r="I19" s="183"/>
      <c r="J19" s="195" t="s">
        <v>9633</v>
      </c>
      <c r="K19" s="183" t="s">
        <v>9634</v>
      </c>
      <c r="L19" s="196">
        <v>70</v>
      </c>
      <c r="M19" s="199">
        <f t="shared" si="0"/>
        <v>1.4917999999999998</v>
      </c>
      <c r="N19" s="185"/>
      <c r="O19" s="183"/>
      <c r="P19" s="183">
        <v>1.9</v>
      </c>
      <c r="Q19" s="183">
        <v>0.34</v>
      </c>
      <c r="R19" s="198">
        <v>0.4</v>
      </c>
      <c r="S19" s="224">
        <f t="shared" si="1"/>
        <v>5.1799999999999999E-2</v>
      </c>
      <c r="T19" s="183">
        <v>2.7</v>
      </c>
      <c r="U19" s="223">
        <f t="shared" si="2"/>
        <v>2.6917999999999997</v>
      </c>
      <c r="V19" s="183" t="s">
        <v>51</v>
      </c>
      <c r="W19" s="183" t="s">
        <v>51</v>
      </c>
      <c r="X19" s="185"/>
    </row>
    <row r="20" spans="1:24" x14ac:dyDescent="0.25">
      <c r="A20" s="183"/>
      <c r="B20" s="183" t="s">
        <v>9635</v>
      </c>
      <c r="C20" s="183" t="s">
        <v>9635</v>
      </c>
      <c r="D20" s="196" t="s">
        <v>8905</v>
      </c>
      <c r="E20" s="183"/>
      <c r="F20" s="183"/>
      <c r="G20" s="183"/>
      <c r="H20" s="184" t="s">
        <v>1879</v>
      </c>
      <c r="I20" s="183"/>
      <c r="J20" s="195" t="s">
        <v>9636</v>
      </c>
      <c r="K20" s="183" t="s">
        <v>9637</v>
      </c>
      <c r="L20" s="196">
        <v>109</v>
      </c>
      <c r="M20" s="199">
        <f t="shared" si="0"/>
        <v>40.643100000000004</v>
      </c>
      <c r="N20" s="185"/>
      <c r="O20" s="183"/>
      <c r="P20" s="183">
        <v>1.9</v>
      </c>
      <c r="Q20" s="183">
        <v>0.34</v>
      </c>
      <c r="R20" s="198">
        <v>36.99</v>
      </c>
      <c r="S20" s="224">
        <f t="shared" si="1"/>
        <v>2.6131000000000006</v>
      </c>
      <c r="T20" s="183">
        <f>37.04+4.8</f>
        <v>41.839999999999996</v>
      </c>
      <c r="U20" s="223">
        <f t="shared" si="2"/>
        <v>41.843100000000007</v>
      </c>
      <c r="V20" s="183" t="s">
        <v>51</v>
      </c>
      <c r="W20" s="183" t="s">
        <v>51</v>
      </c>
      <c r="X20" s="185"/>
    </row>
    <row r="21" spans="1:24" x14ac:dyDescent="0.25">
      <c r="A21" s="183"/>
      <c r="B21" s="183" t="s">
        <v>9638</v>
      </c>
      <c r="C21" s="183" t="s">
        <v>9639</v>
      </c>
      <c r="D21" s="196" t="s">
        <v>8905</v>
      </c>
      <c r="E21" s="183"/>
      <c r="F21" s="183"/>
      <c r="G21" s="183"/>
      <c r="H21" s="184" t="s">
        <v>1879</v>
      </c>
      <c r="I21" s="183"/>
      <c r="J21" s="195" t="s">
        <v>9640</v>
      </c>
      <c r="K21" s="183" t="s">
        <v>9641</v>
      </c>
      <c r="L21" s="196">
        <v>101</v>
      </c>
      <c r="M21" s="199">
        <f t="shared" si="0"/>
        <v>2.6688000000000001</v>
      </c>
      <c r="N21" s="185"/>
      <c r="O21" s="183"/>
      <c r="P21" s="183">
        <v>1.9</v>
      </c>
      <c r="Q21" s="183">
        <v>0.34</v>
      </c>
      <c r="R21" s="198">
        <v>1.5</v>
      </c>
      <c r="S21" s="224">
        <f t="shared" si="1"/>
        <v>0.1288</v>
      </c>
      <c r="T21" s="183">
        <v>3.9</v>
      </c>
      <c r="U21" s="223">
        <f t="shared" si="2"/>
        <v>3.8687999999999998</v>
      </c>
      <c r="V21" s="183" t="s">
        <v>51</v>
      </c>
      <c r="W21" s="183" t="s">
        <v>51</v>
      </c>
      <c r="X21" s="185"/>
    </row>
    <row r="22" spans="1:24" x14ac:dyDescent="0.25">
      <c r="A22" s="183"/>
      <c r="B22" s="183"/>
      <c r="C22" s="183"/>
      <c r="D22" s="182"/>
      <c r="E22" s="183"/>
      <c r="F22" s="183"/>
      <c r="G22" s="183"/>
      <c r="H22" s="184"/>
      <c r="I22" s="183"/>
      <c r="J22" s="195"/>
      <c r="K22" s="183"/>
      <c r="L22" s="182"/>
      <c r="M22" s="185"/>
      <c r="N22" s="185"/>
      <c r="O22" s="183"/>
      <c r="P22" s="183"/>
      <c r="Q22" s="183"/>
      <c r="R22" s="183"/>
      <c r="S22" s="183"/>
      <c r="T22" s="183"/>
      <c r="U22" s="183"/>
      <c r="V22" s="183" t="s">
        <v>51</v>
      </c>
      <c r="W22" s="183" t="s">
        <v>51</v>
      </c>
      <c r="X22" s="185"/>
    </row>
    <row r="23" spans="1:24" x14ac:dyDescent="0.25">
      <c r="A23" s="183"/>
      <c r="B23" s="183"/>
      <c r="C23" s="183"/>
      <c r="D23" s="182"/>
      <c r="E23" s="183"/>
      <c r="F23" s="183"/>
      <c r="G23" s="183"/>
      <c r="H23" s="184"/>
      <c r="I23" s="183"/>
      <c r="J23" s="195"/>
      <c r="K23" s="183"/>
      <c r="L23" s="182"/>
      <c r="M23" s="185"/>
      <c r="N23" s="185"/>
      <c r="O23" s="183"/>
      <c r="P23" s="183"/>
      <c r="Q23" s="183"/>
      <c r="R23" s="183"/>
      <c r="S23" s="183"/>
      <c r="T23" s="183"/>
      <c r="U23" s="183"/>
      <c r="V23" s="183" t="s">
        <v>51</v>
      </c>
      <c r="W23" s="183" t="s">
        <v>51</v>
      </c>
      <c r="X23" s="185"/>
    </row>
    <row r="24" spans="1:24" x14ac:dyDescent="0.25">
      <c r="A24" s="183"/>
      <c r="B24" s="183"/>
      <c r="C24" s="183"/>
      <c r="D24" s="182"/>
      <c r="E24" s="183"/>
      <c r="F24" s="183"/>
      <c r="G24" s="183"/>
      <c r="H24" s="184"/>
      <c r="I24" s="183"/>
      <c r="J24" s="195"/>
      <c r="K24" s="183"/>
      <c r="L24" s="182"/>
      <c r="M24" s="185"/>
      <c r="N24" s="185"/>
      <c r="O24" s="183"/>
      <c r="P24" s="183"/>
      <c r="Q24" s="183"/>
      <c r="R24" s="183"/>
      <c r="S24" s="183"/>
      <c r="T24" s="183"/>
      <c r="U24" s="183"/>
      <c r="V24" s="183" t="s">
        <v>51</v>
      </c>
      <c r="W24" s="183" t="s">
        <v>51</v>
      </c>
      <c r="X24" s="185"/>
    </row>
    <row r="25" spans="1:24" x14ac:dyDescent="0.25">
      <c r="A25" s="183"/>
      <c r="B25" s="183"/>
      <c r="C25" s="183"/>
      <c r="D25" s="182"/>
      <c r="E25" s="183"/>
      <c r="F25" s="183"/>
      <c r="G25" s="183"/>
      <c r="H25" s="184"/>
      <c r="I25" s="183"/>
      <c r="J25" s="195"/>
      <c r="K25" s="183"/>
      <c r="L25" s="182"/>
      <c r="M25" s="185"/>
      <c r="N25" s="185"/>
      <c r="O25" s="183"/>
      <c r="P25" s="183"/>
      <c r="Q25" s="183"/>
      <c r="R25" s="183"/>
      <c r="S25" s="183"/>
      <c r="T25" s="183"/>
      <c r="U25" s="183"/>
      <c r="V25" s="183" t="s">
        <v>51</v>
      </c>
      <c r="W25" s="183" t="s">
        <v>51</v>
      </c>
      <c r="X25" s="185"/>
    </row>
    <row r="26" spans="1:24" x14ac:dyDescent="0.25">
      <c r="A26" s="183"/>
      <c r="B26" s="183"/>
      <c r="C26" s="183"/>
      <c r="D26" s="182"/>
      <c r="E26" s="183"/>
      <c r="F26" s="183"/>
      <c r="G26" s="183"/>
      <c r="H26" s="184"/>
      <c r="I26" s="183"/>
      <c r="J26" s="195"/>
      <c r="K26" s="183"/>
      <c r="L26" s="182"/>
      <c r="M26" s="185"/>
      <c r="N26" s="185"/>
      <c r="O26" s="183"/>
      <c r="P26" s="183"/>
      <c r="Q26" s="183"/>
      <c r="R26" s="183"/>
      <c r="S26" s="183"/>
      <c r="T26" s="183"/>
      <c r="U26" s="183"/>
      <c r="V26" s="183" t="s">
        <v>51</v>
      </c>
      <c r="W26" s="183" t="s">
        <v>51</v>
      </c>
      <c r="X26" s="185"/>
    </row>
    <row r="27" spans="1:24" x14ac:dyDescent="0.25">
      <c r="A27" s="183"/>
      <c r="B27" s="183"/>
      <c r="C27" s="183"/>
      <c r="D27" s="182"/>
      <c r="E27" s="183"/>
      <c r="F27" s="183"/>
      <c r="G27" s="183"/>
      <c r="H27" s="184"/>
      <c r="I27" s="183"/>
      <c r="J27" s="195"/>
      <c r="K27" s="183"/>
      <c r="L27" s="182"/>
      <c r="M27" s="185"/>
      <c r="N27" s="185"/>
      <c r="O27" s="183"/>
      <c r="P27" s="183"/>
      <c r="Q27" s="183"/>
      <c r="R27" s="183"/>
      <c r="S27" s="183"/>
      <c r="T27" s="183"/>
      <c r="U27" s="183"/>
      <c r="V27" s="183" t="s">
        <v>51</v>
      </c>
      <c r="W27" s="183" t="s">
        <v>51</v>
      </c>
      <c r="X27" s="185"/>
    </row>
    <row r="28" spans="1:24" x14ac:dyDescent="0.25">
      <c r="A28" s="183"/>
      <c r="B28" s="183"/>
      <c r="C28" s="183"/>
      <c r="D28" s="182"/>
      <c r="E28" s="183"/>
      <c r="F28" s="183"/>
      <c r="G28" s="183"/>
      <c r="H28" s="184"/>
      <c r="I28" s="183"/>
      <c r="J28" s="195"/>
      <c r="K28" s="183"/>
      <c r="L28" s="182"/>
      <c r="M28" s="185"/>
      <c r="N28" s="185"/>
      <c r="O28" s="183"/>
      <c r="P28" s="183"/>
      <c r="Q28" s="183"/>
      <c r="R28" s="183"/>
      <c r="S28" s="183"/>
      <c r="T28" s="183"/>
      <c r="U28" s="183"/>
      <c r="V28" s="183" t="s">
        <v>51</v>
      </c>
      <c r="W28" s="183" t="s">
        <v>51</v>
      </c>
      <c r="X28" s="185"/>
    </row>
    <row r="29" spans="1:24" x14ac:dyDescent="0.25">
      <c r="A29" s="183"/>
      <c r="B29" s="183"/>
      <c r="C29" s="183"/>
      <c r="D29" s="182"/>
      <c r="E29" s="183"/>
      <c r="F29" s="183"/>
      <c r="G29" s="183"/>
      <c r="H29" s="184"/>
      <c r="I29" s="183"/>
      <c r="J29" s="195"/>
      <c r="K29" s="183"/>
      <c r="L29" s="182"/>
      <c r="M29" s="185"/>
      <c r="N29" s="185"/>
      <c r="O29" s="183"/>
      <c r="P29" s="183"/>
      <c r="Q29" s="183"/>
      <c r="R29" s="183"/>
      <c r="S29" s="183"/>
      <c r="T29" s="183"/>
      <c r="U29" s="183"/>
      <c r="V29" s="183" t="s">
        <v>51</v>
      </c>
      <c r="W29" s="183" t="s">
        <v>51</v>
      </c>
      <c r="X29" s="185"/>
    </row>
    <row r="30" spans="1:24" x14ac:dyDescent="0.25">
      <c r="A30" s="183"/>
      <c r="B30" s="183"/>
      <c r="C30" s="183"/>
      <c r="D30" s="182"/>
      <c r="E30" s="183"/>
      <c r="F30" s="183"/>
      <c r="G30" s="183"/>
      <c r="H30" s="184"/>
      <c r="I30" s="183"/>
      <c r="J30" s="195"/>
      <c r="K30" s="183"/>
      <c r="L30" s="182"/>
      <c r="M30" s="185"/>
      <c r="N30" s="185"/>
      <c r="O30" s="183"/>
      <c r="P30" s="183"/>
      <c r="Q30" s="183"/>
      <c r="R30" s="183"/>
      <c r="S30" s="183"/>
      <c r="T30" s="183"/>
      <c r="U30" s="183"/>
      <c r="V30" s="183" t="s">
        <v>51</v>
      </c>
      <c r="W30" s="183" t="s">
        <v>51</v>
      </c>
      <c r="X30" s="185"/>
    </row>
    <row r="31" spans="1:24" x14ac:dyDescent="0.25">
      <c r="A31" s="183"/>
      <c r="B31" s="183"/>
      <c r="C31" s="183"/>
      <c r="D31" s="182"/>
      <c r="E31" s="183"/>
      <c r="F31" s="183"/>
      <c r="G31" s="183"/>
      <c r="H31" s="184"/>
      <c r="I31" s="183"/>
      <c r="J31" s="195"/>
      <c r="K31" s="183"/>
      <c r="L31" s="182"/>
      <c r="M31" s="185"/>
      <c r="N31" s="185"/>
      <c r="O31" s="183"/>
      <c r="P31" s="183"/>
      <c r="Q31" s="183"/>
      <c r="R31" s="183"/>
      <c r="S31" s="183"/>
      <c r="T31" s="183"/>
      <c r="U31" s="183"/>
      <c r="V31" s="183" t="s">
        <v>51</v>
      </c>
      <c r="W31" s="183" t="s">
        <v>51</v>
      </c>
      <c r="X31" s="185"/>
    </row>
    <row r="32" spans="1:24" x14ac:dyDescent="0.25">
      <c r="A32" s="183"/>
      <c r="B32" s="183"/>
      <c r="C32" s="183"/>
      <c r="D32" s="182"/>
      <c r="E32" s="183"/>
      <c r="F32" s="183"/>
      <c r="G32" s="183"/>
      <c r="H32" s="184"/>
      <c r="I32" s="183"/>
      <c r="J32" s="195"/>
      <c r="K32" s="183"/>
      <c r="L32" s="182"/>
      <c r="M32" s="185"/>
      <c r="N32" s="185"/>
      <c r="O32" s="183"/>
      <c r="P32" s="183"/>
      <c r="Q32" s="183"/>
      <c r="R32" s="183"/>
      <c r="S32" s="183"/>
      <c r="T32" s="183"/>
      <c r="U32" s="183"/>
      <c r="V32" s="183" t="s">
        <v>51</v>
      </c>
      <c r="W32" s="183" t="s">
        <v>51</v>
      </c>
      <c r="X32" s="185"/>
    </row>
    <row r="33" spans="1:24" x14ac:dyDescent="0.25">
      <c r="A33" s="183"/>
      <c r="B33" s="183"/>
      <c r="C33" s="183"/>
      <c r="D33" s="182"/>
      <c r="E33" s="183"/>
      <c r="F33" s="183"/>
      <c r="G33" s="183"/>
      <c r="H33" s="184"/>
      <c r="I33" s="183"/>
      <c r="J33" s="195"/>
      <c r="K33" s="183"/>
      <c r="L33" s="182"/>
      <c r="M33" s="185"/>
      <c r="N33" s="185"/>
      <c r="O33" s="183"/>
      <c r="P33" s="183"/>
      <c r="Q33" s="183"/>
      <c r="R33" s="183"/>
      <c r="S33" s="183"/>
      <c r="T33" s="183"/>
      <c r="U33" s="183"/>
      <c r="V33" s="183" t="s">
        <v>51</v>
      </c>
      <c r="W33" s="183" t="s">
        <v>51</v>
      </c>
      <c r="X33" s="185"/>
    </row>
    <row r="34" spans="1:24" x14ac:dyDescent="0.25">
      <c r="A34" s="183"/>
      <c r="B34" s="183"/>
      <c r="C34" s="183"/>
      <c r="D34" s="182"/>
      <c r="E34" s="183"/>
      <c r="F34" s="183"/>
      <c r="G34" s="183"/>
      <c r="H34" s="184"/>
      <c r="I34" s="183"/>
      <c r="J34" s="195"/>
      <c r="K34" s="183"/>
      <c r="L34" s="182"/>
      <c r="M34" s="185"/>
      <c r="N34" s="185"/>
      <c r="O34" s="183"/>
      <c r="P34" s="183"/>
      <c r="Q34" s="183"/>
      <c r="R34" s="183"/>
      <c r="S34" s="183"/>
      <c r="T34" s="183"/>
      <c r="U34" s="183"/>
      <c r="V34" s="183" t="s">
        <v>51</v>
      </c>
      <c r="W34" s="183" t="s">
        <v>51</v>
      </c>
      <c r="X34" s="185"/>
    </row>
    <row r="35" spans="1:24" x14ac:dyDescent="0.25">
      <c r="A35" s="183"/>
      <c r="B35" s="183"/>
      <c r="C35" s="183"/>
      <c r="D35" s="182"/>
      <c r="E35" s="183"/>
      <c r="F35" s="183"/>
      <c r="G35" s="183"/>
      <c r="H35" s="184"/>
      <c r="I35" s="183"/>
      <c r="J35" s="195"/>
      <c r="K35" s="183"/>
      <c r="L35" s="182"/>
      <c r="M35" s="185"/>
      <c r="N35" s="185"/>
      <c r="O35" s="183"/>
      <c r="P35" s="183"/>
      <c r="Q35" s="183"/>
      <c r="R35" s="183"/>
      <c r="S35" s="183"/>
      <c r="T35" s="183"/>
      <c r="U35" s="183"/>
      <c r="V35" s="183" t="s">
        <v>51</v>
      </c>
      <c r="W35" s="183" t="s">
        <v>51</v>
      </c>
      <c r="X35" s="185"/>
    </row>
    <row r="36" spans="1:24" x14ac:dyDescent="0.25">
      <c r="A36" s="183"/>
      <c r="B36" s="183"/>
      <c r="C36" s="183"/>
      <c r="D36" s="182"/>
      <c r="E36" s="183"/>
      <c r="F36" s="183"/>
      <c r="G36" s="183"/>
      <c r="H36" s="184"/>
      <c r="I36" s="183"/>
      <c r="J36" s="195"/>
      <c r="K36" s="183"/>
      <c r="L36" s="182"/>
      <c r="M36" s="185"/>
      <c r="N36" s="185"/>
      <c r="O36" s="183"/>
      <c r="P36" s="183"/>
      <c r="Q36" s="183"/>
      <c r="R36" s="183"/>
      <c r="S36" s="183"/>
      <c r="T36" s="183"/>
      <c r="U36" s="183"/>
      <c r="V36" s="183" t="s">
        <v>51</v>
      </c>
      <c r="W36" s="183" t="s">
        <v>51</v>
      </c>
      <c r="X36" s="185"/>
    </row>
    <row r="37" spans="1:24" x14ac:dyDescent="0.25">
      <c r="A37" s="183"/>
      <c r="B37" s="183"/>
      <c r="C37" s="183"/>
      <c r="D37" s="182"/>
      <c r="E37" s="183"/>
      <c r="F37" s="183"/>
      <c r="G37" s="183"/>
      <c r="H37" s="184"/>
      <c r="I37" s="183"/>
      <c r="J37" s="195"/>
      <c r="K37" s="183"/>
      <c r="L37" s="182"/>
      <c r="M37" s="185"/>
      <c r="N37" s="185"/>
      <c r="O37" s="183"/>
      <c r="P37" s="183"/>
      <c r="Q37" s="183"/>
      <c r="R37" s="183"/>
      <c r="S37" s="183"/>
      <c r="T37" s="183"/>
      <c r="U37" s="183"/>
      <c r="V37" s="183" t="s">
        <v>51</v>
      </c>
      <c r="W37" s="183" t="s">
        <v>51</v>
      </c>
      <c r="X37" s="185"/>
    </row>
    <row r="38" spans="1:24" x14ac:dyDescent="0.25">
      <c r="A38" s="183"/>
      <c r="B38" s="183"/>
      <c r="C38" s="183"/>
      <c r="D38" s="182"/>
      <c r="E38" s="183"/>
      <c r="F38" s="183"/>
      <c r="G38" s="183"/>
      <c r="H38" s="184"/>
      <c r="I38" s="183"/>
      <c r="J38" s="195"/>
      <c r="K38" s="183"/>
      <c r="L38" s="182"/>
      <c r="M38" s="185"/>
      <c r="N38" s="185"/>
      <c r="O38" s="183"/>
      <c r="P38" s="183"/>
      <c r="Q38" s="183"/>
      <c r="R38" s="183"/>
      <c r="S38" s="183"/>
      <c r="T38" s="183"/>
      <c r="U38" s="183"/>
      <c r="V38" s="183" t="s">
        <v>51</v>
      </c>
      <c r="W38" s="183" t="s">
        <v>51</v>
      </c>
      <c r="X38" s="185"/>
    </row>
    <row r="39" spans="1:24" x14ac:dyDescent="0.25">
      <c r="A39" s="183"/>
      <c r="B39" s="183"/>
      <c r="C39" s="183"/>
      <c r="D39" s="182"/>
      <c r="E39" s="183"/>
      <c r="F39" s="183"/>
      <c r="G39" s="183"/>
      <c r="H39" s="184"/>
      <c r="I39" s="183"/>
      <c r="J39" s="195"/>
      <c r="K39" s="183"/>
      <c r="L39" s="182"/>
      <c r="M39" s="185"/>
      <c r="N39" s="185"/>
      <c r="O39" s="183"/>
      <c r="P39" s="183"/>
      <c r="Q39" s="183"/>
      <c r="R39" s="183"/>
      <c r="S39" s="183"/>
      <c r="T39" s="183"/>
      <c r="U39" s="183"/>
      <c r="V39" s="183" t="s">
        <v>51</v>
      </c>
      <c r="W39" s="183" t="s">
        <v>51</v>
      </c>
      <c r="X39" s="185"/>
    </row>
    <row r="40" spans="1:24" x14ac:dyDescent="0.25">
      <c r="A40" s="183"/>
      <c r="B40" s="183"/>
      <c r="C40" s="183"/>
      <c r="D40" s="182"/>
      <c r="E40" s="183"/>
      <c r="F40" s="183"/>
      <c r="G40" s="183"/>
      <c r="H40" s="184"/>
      <c r="I40" s="183"/>
      <c r="J40" s="195"/>
      <c r="K40" s="183"/>
      <c r="L40" s="182"/>
      <c r="M40" s="185"/>
      <c r="N40" s="185"/>
      <c r="O40" s="183"/>
      <c r="P40" s="183"/>
      <c r="Q40" s="183"/>
      <c r="R40" s="183"/>
      <c r="S40" s="183"/>
      <c r="T40" s="183"/>
      <c r="U40" s="183"/>
      <c r="V40" s="183" t="s">
        <v>51</v>
      </c>
      <c r="W40" s="183" t="s">
        <v>51</v>
      </c>
      <c r="X40" s="185"/>
    </row>
    <row r="41" spans="1:24" x14ac:dyDescent="0.25">
      <c r="A41" s="183"/>
      <c r="B41" s="183"/>
      <c r="C41" s="183"/>
      <c r="D41" s="182"/>
      <c r="E41" s="183"/>
      <c r="F41" s="183"/>
      <c r="G41" s="183"/>
      <c r="H41" s="184"/>
      <c r="I41" s="183"/>
      <c r="J41" s="195"/>
      <c r="K41" s="183"/>
      <c r="L41" s="182"/>
      <c r="M41" s="185"/>
      <c r="N41" s="185"/>
      <c r="O41" s="183"/>
      <c r="P41" s="183"/>
      <c r="Q41" s="183"/>
      <c r="R41" s="183"/>
      <c r="S41" s="183"/>
      <c r="T41" s="183"/>
      <c r="U41" s="183"/>
      <c r="V41" s="183" t="s">
        <v>51</v>
      </c>
      <c r="W41" s="183" t="s">
        <v>51</v>
      </c>
      <c r="X41" s="185"/>
    </row>
    <row r="42" spans="1:24" x14ac:dyDescent="0.25">
      <c r="A42" s="183"/>
      <c r="B42" s="183"/>
      <c r="C42" s="183"/>
      <c r="D42" s="182"/>
      <c r="E42" s="183"/>
      <c r="F42" s="183"/>
      <c r="G42" s="183"/>
      <c r="H42" s="184"/>
      <c r="I42" s="183"/>
      <c r="J42" s="195"/>
      <c r="K42" s="183"/>
      <c r="L42" s="182"/>
      <c r="M42" s="185"/>
      <c r="N42" s="185"/>
      <c r="O42" s="183"/>
      <c r="P42" s="183"/>
      <c r="Q42" s="183"/>
      <c r="R42" s="183"/>
      <c r="S42" s="183"/>
      <c r="T42" s="183"/>
      <c r="U42" s="183"/>
      <c r="V42" s="183" t="s">
        <v>51</v>
      </c>
      <c r="W42" s="183" t="s">
        <v>51</v>
      </c>
      <c r="X42" s="185"/>
    </row>
    <row r="43" spans="1:24" x14ac:dyDescent="0.25">
      <c r="A43" s="183"/>
      <c r="B43" s="183"/>
      <c r="C43" s="183"/>
      <c r="D43" s="182"/>
      <c r="E43" s="183"/>
      <c r="F43" s="183"/>
      <c r="G43" s="183"/>
      <c r="H43" s="184"/>
      <c r="I43" s="183"/>
      <c r="J43" s="195"/>
      <c r="K43" s="183"/>
      <c r="L43" s="182"/>
      <c r="M43" s="185"/>
      <c r="N43" s="185"/>
      <c r="O43" s="183"/>
      <c r="P43" s="183"/>
      <c r="Q43" s="183"/>
      <c r="R43" s="183"/>
      <c r="S43" s="183"/>
      <c r="T43" s="183"/>
      <c r="U43" s="183"/>
      <c r="V43" s="183" t="s">
        <v>51</v>
      </c>
      <c r="W43" s="183" t="s">
        <v>51</v>
      </c>
      <c r="X43" s="185"/>
    </row>
    <row r="44" spans="1:24" x14ac:dyDescent="0.25">
      <c r="A44" s="183"/>
      <c r="B44" s="183"/>
      <c r="C44" s="183"/>
      <c r="D44" s="182"/>
      <c r="E44" s="183"/>
      <c r="F44" s="183"/>
      <c r="G44" s="183"/>
      <c r="H44" s="184"/>
      <c r="I44" s="183"/>
      <c r="J44" s="195"/>
      <c r="K44" s="183"/>
      <c r="L44" s="182"/>
      <c r="M44" s="185"/>
      <c r="N44" s="185"/>
      <c r="O44" s="183"/>
      <c r="P44" s="183"/>
      <c r="Q44" s="183"/>
      <c r="R44" s="183"/>
      <c r="S44" s="183"/>
      <c r="T44" s="183"/>
      <c r="U44" s="183"/>
      <c r="V44" s="183" t="s">
        <v>51</v>
      </c>
      <c r="W44" s="183" t="s">
        <v>51</v>
      </c>
      <c r="X44" s="185"/>
    </row>
    <row r="45" spans="1:24" x14ac:dyDescent="0.25">
      <c r="A45" s="183"/>
      <c r="B45" s="183"/>
      <c r="C45" s="183"/>
      <c r="D45" s="182"/>
      <c r="E45" s="183"/>
      <c r="F45" s="183"/>
      <c r="G45" s="183"/>
      <c r="H45" s="184"/>
      <c r="I45" s="183"/>
      <c r="J45" s="195"/>
      <c r="K45" s="183"/>
      <c r="L45" s="182"/>
      <c r="M45" s="185"/>
      <c r="N45" s="185"/>
      <c r="O45" s="183"/>
      <c r="P45" s="183"/>
      <c r="Q45" s="183"/>
      <c r="R45" s="183"/>
      <c r="S45" s="183"/>
      <c r="T45" s="183"/>
      <c r="U45" s="183"/>
      <c r="V45" s="183" t="s">
        <v>51</v>
      </c>
      <c r="W45" s="183" t="s">
        <v>51</v>
      </c>
      <c r="X45" s="185"/>
    </row>
    <row r="46" spans="1:24" x14ac:dyDescent="0.25">
      <c r="A46" s="183"/>
      <c r="B46" s="183"/>
      <c r="C46" s="183"/>
      <c r="D46" s="182"/>
      <c r="E46" s="183"/>
      <c r="F46" s="183"/>
      <c r="G46" s="183"/>
      <c r="H46" s="184"/>
      <c r="I46" s="183"/>
      <c r="J46" s="195"/>
      <c r="K46" s="183"/>
      <c r="L46" s="182"/>
      <c r="M46" s="185"/>
      <c r="N46" s="185"/>
      <c r="O46" s="183"/>
      <c r="P46" s="183"/>
      <c r="Q46" s="183"/>
      <c r="R46" s="183"/>
      <c r="S46" s="183"/>
      <c r="T46" s="183"/>
      <c r="U46" s="183"/>
      <c r="V46" s="183" t="s">
        <v>51</v>
      </c>
      <c r="W46" s="183" t="s">
        <v>51</v>
      </c>
      <c r="X46" s="185"/>
    </row>
    <row r="47" spans="1:24" x14ac:dyDescent="0.25">
      <c r="A47" s="183"/>
      <c r="B47" s="183"/>
      <c r="C47" s="183"/>
      <c r="D47" s="182"/>
      <c r="E47" s="183"/>
      <c r="F47" s="183"/>
      <c r="G47" s="183"/>
      <c r="H47" s="184"/>
      <c r="I47" s="183"/>
      <c r="J47" s="195"/>
      <c r="K47" s="183"/>
      <c r="L47" s="182"/>
      <c r="M47" s="185"/>
      <c r="N47" s="185"/>
      <c r="O47" s="183"/>
      <c r="P47" s="183"/>
      <c r="Q47" s="183"/>
      <c r="R47" s="183"/>
      <c r="S47" s="183"/>
      <c r="T47" s="183"/>
      <c r="U47" s="183"/>
      <c r="V47" s="183" t="s">
        <v>51</v>
      </c>
      <c r="W47" s="183" t="s">
        <v>51</v>
      </c>
      <c r="X47" s="185"/>
    </row>
    <row r="48" spans="1:24" x14ac:dyDescent="0.25">
      <c r="A48" s="183"/>
      <c r="B48" s="183"/>
      <c r="C48" s="183"/>
      <c r="D48" s="182"/>
      <c r="E48" s="183"/>
      <c r="F48" s="183"/>
      <c r="G48" s="183"/>
      <c r="H48" s="184"/>
      <c r="I48" s="183"/>
      <c r="J48" s="195"/>
      <c r="K48" s="183"/>
      <c r="L48" s="182"/>
      <c r="M48" s="185"/>
      <c r="N48" s="185"/>
      <c r="O48" s="183"/>
      <c r="P48" s="183"/>
      <c r="Q48" s="183"/>
      <c r="R48" s="183"/>
      <c r="S48" s="183"/>
      <c r="T48" s="183"/>
      <c r="U48" s="183"/>
      <c r="V48" s="183" t="s">
        <v>51</v>
      </c>
      <c r="W48" s="183" t="s">
        <v>51</v>
      </c>
      <c r="X48" s="185"/>
    </row>
    <row r="49" spans="1:24" x14ac:dyDescent="0.25">
      <c r="A49" s="183"/>
      <c r="B49" s="183"/>
      <c r="C49" s="183"/>
      <c r="D49" s="182"/>
      <c r="E49" s="183"/>
      <c r="F49" s="183"/>
      <c r="G49" s="183"/>
      <c r="H49" s="184"/>
      <c r="I49" s="183"/>
      <c r="J49" s="195"/>
      <c r="K49" s="183"/>
      <c r="L49" s="182"/>
      <c r="M49" s="185"/>
      <c r="N49" s="185"/>
      <c r="O49" s="183"/>
      <c r="P49" s="183"/>
      <c r="Q49" s="183"/>
      <c r="R49" s="183"/>
      <c r="S49" s="183"/>
      <c r="T49" s="183"/>
      <c r="U49" s="183"/>
      <c r="V49" s="183" t="s">
        <v>51</v>
      </c>
      <c r="W49" s="183" t="s">
        <v>51</v>
      </c>
      <c r="X49" s="185"/>
    </row>
    <row r="50" spans="1:24" x14ac:dyDescent="0.25">
      <c r="A50" s="183"/>
      <c r="B50" s="183"/>
      <c r="C50" s="183"/>
      <c r="D50" s="182"/>
      <c r="E50" s="183"/>
      <c r="F50" s="183"/>
      <c r="G50" s="183"/>
      <c r="H50" s="184"/>
      <c r="I50" s="183"/>
      <c r="J50" s="195"/>
      <c r="K50" s="183"/>
      <c r="L50" s="182"/>
      <c r="M50" s="185"/>
      <c r="N50" s="185"/>
      <c r="O50" s="183"/>
      <c r="P50" s="183"/>
      <c r="Q50" s="183"/>
      <c r="R50" s="183"/>
      <c r="S50" s="183"/>
      <c r="T50" s="183"/>
      <c r="U50" s="183"/>
      <c r="V50" s="183" t="s">
        <v>51</v>
      </c>
      <c r="W50" s="183" t="s">
        <v>51</v>
      </c>
      <c r="X50" s="185"/>
    </row>
    <row r="51" spans="1:24" x14ac:dyDescent="0.25">
      <c r="A51" s="183"/>
      <c r="B51" s="183"/>
      <c r="C51" s="183"/>
      <c r="D51" s="182"/>
      <c r="E51" s="183"/>
      <c r="F51" s="183"/>
      <c r="G51" s="183"/>
      <c r="H51" s="184"/>
      <c r="I51" s="183"/>
      <c r="J51" s="195"/>
      <c r="K51" s="183"/>
      <c r="L51" s="182"/>
      <c r="M51" s="185"/>
      <c r="N51" s="185"/>
      <c r="O51" s="183"/>
      <c r="P51" s="183"/>
      <c r="Q51" s="183"/>
      <c r="R51" s="183"/>
      <c r="S51" s="183"/>
      <c r="T51" s="183"/>
      <c r="U51" s="183"/>
      <c r="V51" s="183" t="s">
        <v>51</v>
      </c>
      <c r="W51" s="183" t="s">
        <v>51</v>
      </c>
      <c r="X51" s="185"/>
    </row>
    <row r="52" spans="1:24" x14ac:dyDescent="0.25">
      <c r="A52" s="183"/>
      <c r="B52" s="183"/>
      <c r="C52" s="183"/>
      <c r="D52" s="182"/>
      <c r="E52" s="183"/>
      <c r="F52" s="183"/>
      <c r="G52" s="183"/>
      <c r="H52" s="184"/>
      <c r="I52" s="183"/>
      <c r="J52" s="195"/>
      <c r="K52" s="183"/>
      <c r="L52" s="182"/>
      <c r="M52" s="185"/>
      <c r="N52" s="185"/>
      <c r="O52" s="183"/>
      <c r="P52" s="183"/>
      <c r="Q52" s="183"/>
      <c r="R52" s="183"/>
      <c r="S52" s="183"/>
      <c r="T52" s="183"/>
      <c r="U52" s="183"/>
      <c r="V52" s="183" t="s">
        <v>51</v>
      </c>
      <c r="W52" s="183" t="s">
        <v>51</v>
      </c>
      <c r="X52" s="185"/>
    </row>
    <row r="53" spans="1:24" x14ac:dyDescent="0.25">
      <c r="A53" s="183"/>
      <c r="B53" s="183"/>
      <c r="C53" s="183"/>
      <c r="D53" s="182"/>
      <c r="E53" s="183"/>
      <c r="F53" s="183"/>
      <c r="G53" s="183"/>
      <c r="H53" s="184"/>
      <c r="I53" s="183"/>
      <c r="J53" s="195"/>
      <c r="K53" s="183"/>
      <c r="L53" s="182"/>
      <c r="M53" s="185"/>
      <c r="N53" s="185"/>
      <c r="O53" s="183"/>
      <c r="P53" s="183"/>
      <c r="Q53" s="183"/>
      <c r="R53" s="183"/>
      <c r="S53" s="183"/>
      <c r="T53" s="183"/>
      <c r="U53" s="183"/>
      <c r="V53" s="183" t="s">
        <v>51</v>
      </c>
      <c r="W53" s="183" t="s">
        <v>51</v>
      </c>
      <c r="X53" s="185"/>
    </row>
    <row r="54" spans="1:24" x14ac:dyDescent="0.25">
      <c r="A54" s="183"/>
      <c r="B54" s="183"/>
      <c r="C54" s="183"/>
      <c r="D54" s="182"/>
      <c r="E54" s="183"/>
      <c r="F54" s="183"/>
      <c r="G54" s="183"/>
      <c r="H54" s="184"/>
      <c r="I54" s="183"/>
      <c r="J54" s="195"/>
      <c r="K54" s="183"/>
      <c r="L54" s="182"/>
      <c r="M54" s="185"/>
      <c r="N54" s="185"/>
      <c r="O54" s="183"/>
      <c r="P54" s="183"/>
      <c r="Q54" s="183"/>
      <c r="R54" s="183"/>
      <c r="S54" s="183"/>
      <c r="T54" s="183"/>
      <c r="U54" s="183"/>
      <c r="V54" s="183" t="s">
        <v>51</v>
      </c>
      <c r="W54" s="183" t="s">
        <v>51</v>
      </c>
      <c r="X54" s="185"/>
    </row>
    <row r="55" spans="1:24" x14ac:dyDescent="0.25">
      <c r="A55" s="183"/>
      <c r="B55" s="183"/>
      <c r="C55" s="183"/>
      <c r="D55" s="182"/>
      <c r="E55" s="183"/>
      <c r="F55" s="183"/>
      <c r="G55" s="183"/>
      <c r="H55" s="184"/>
      <c r="I55" s="183"/>
      <c r="J55" s="195"/>
      <c r="K55" s="183"/>
      <c r="L55" s="182"/>
      <c r="M55" s="185"/>
      <c r="N55" s="185"/>
      <c r="O55" s="183"/>
      <c r="P55" s="183"/>
      <c r="Q55" s="183"/>
      <c r="R55" s="183"/>
      <c r="S55" s="183"/>
      <c r="T55" s="183"/>
      <c r="U55" s="183"/>
      <c r="V55" s="183" t="s">
        <v>51</v>
      </c>
      <c r="W55" s="183" t="s">
        <v>51</v>
      </c>
      <c r="X55" s="185"/>
    </row>
    <row r="56" spans="1:24" x14ac:dyDescent="0.25">
      <c r="A56" s="183"/>
      <c r="B56" s="183"/>
      <c r="C56" s="183"/>
      <c r="D56" s="182"/>
      <c r="E56" s="183"/>
      <c r="F56" s="183"/>
      <c r="G56" s="183"/>
      <c r="H56" s="184"/>
      <c r="I56" s="183"/>
      <c r="J56" s="195"/>
      <c r="K56" s="183"/>
      <c r="L56" s="182"/>
      <c r="M56" s="185"/>
      <c r="N56" s="185"/>
      <c r="O56" s="183"/>
      <c r="P56" s="183"/>
      <c r="Q56" s="183"/>
      <c r="R56" s="183"/>
      <c r="S56" s="183"/>
      <c r="T56" s="183"/>
      <c r="U56" s="183"/>
      <c r="V56" s="183" t="s">
        <v>51</v>
      </c>
      <c r="W56" s="183" t="s">
        <v>51</v>
      </c>
      <c r="X56" s="185"/>
    </row>
    <row r="57" spans="1:24" x14ac:dyDescent="0.25">
      <c r="A57" s="183"/>
      <c r="B57" s="183"/>
      <c r="C57" s="183"/>
      <c r="D57" s="182"/>
      <c r="E57" s="183"/>
      <c r="F57" s="183"/>
      <c r="G57" s="183"/>
      <c r="H57" s="184"/>
      <c r="I57" s="183"/>
      <c r="J57" s="195"/>
      <c r="K57" s="183"/>
      <c r="L57" s="182"/>
      <c r="M57" s="185"/>
      <c r="N57" s="185"/>
      <c r="O57" s="183"/>
      <c r="P57" s="183"/>
      <c r="Q57" s="183"/>
      <c r="R57" s="183"/>
      <c r="S57" s="183"/>
      <c r="T57" s="183"/>
      <c r="U57" s="183"/>
      <c r="V57" s="183" t="s">
        <v>51</v>
      </c>
      <c r="W57" s="183" t="s">
        <v>51</v>
      </c>
      <c r="X57" s="185"/>
    </row>
    <row r="58" spans="1:24" x14ac:dyDescent="0.25">
      <c r="A58" s="183"/>
      <c r="B58" s="183"/>
      <c r="C58" s="183"/>
      <c r="D58" s="182"/>
      <c r="E58" s="183"/>
      <c r="F58" s="183"/>
      <c r="G58" s="183"/>
      <c r="H58" s="184"/>
      <c r="I58" s="183"/>
      <c r="J58" s="195"/>
      <c r="K58" s="183"/>
      <c r="L58" s="182"/>
      <c r="M58" s="185"/>
      <c r="N58" s="185"/>
      <c r="O58" s="183"/>
      <c r="P58" s="183"/>
      <c r="Q58" s="183"/>
      <c r="R58" s="183"/>
      <c r="S58" s="183"/>
      <c r="T58" s="183"/>
      <c r="U58" s="183"/>
      <c r="V58" s="183" t="s">
        <v>51</v>
      </c>
      <c r="W58" s="183" t="s">
        <v>51</v>
      </c>
      <c r="X58" s="185"/>
    </row>
    <row r="59" spans="1:24" x14ac:dyDescent="0.25">
      <c r="A59" s="183"/>
      <c r="B59" s="183"/>
      <c r="C59" s="183"/>
      <c r="D59" s="182"/>
      <c r="E59" s="183"/>
      <c r="F59" s="183"/>
      <c r="G59" s="183"/>
      <c r="H59" s="184"/>
      <c r="I59" s="183"/>
      <c r="J59" s="195"/>
      <c r="K59" s="183"/>
      <c r="L59" s="182"/>
      <c r="M59" s="185"/>
      <c r="N59" s="185"/>
      <c r="O59" s="183"/>
      <c r="P59" s="183"/>
      <c r="Q59" s="183"/>
      <c r="R59" s="183"/>
      <c r="S59" s="183"/>
      <c r="T59" s="183"/>
      <c r="U59" s="183"/>
      <c r="V59" s="183" t="s">
        <v>51</v>
      </c>
      <c r="W59" s="183" t="s">
        <v>51</v>
      </c>
      <c r="X59" s="185"/>
    </row>
    <row r="60" spans="1:24" x14ac:dyDescent="0.25">
      <c r="A60" s="183"/>
      <c r="B60" s="183"/>
      <c r="C60" s="183"/>
      <c r="D60" s="182"/>
      <c r="E60" s="183"/>
      <c r="F60" s="183"/>
      <c r="G60" s="183"/>
      <c r="H60" s="184"/>
      <c r="I60" s="183"/>
      <c r="J60" s="195"/>
      <c r="K60" s="183"/>
      <c r="L60" s="182"/>
      <c r="M60" s="185"/>
      <c r="N60" s="185"/>
      <c r="O60" s="183"/>
      <c r="P60" s="183"/>
      <c r="Q60" s="183"/>
      <c r="R60" s="183"/>
      <c r="S60" s="183"/>
      <c r="T60" s="183"/>
      <c r="U60" s="183"/>
      <c r="V60" s="183" t="s">
        <v>51</v>
      </c>
      <c r="W60" s="183" t="s">
        <v>51</v>
      </c>
      <c r="X60" s="185"/>
    </row>
    <row r="61" spans="1:24" x14ac:dyDescent="0.25">
      <c r="A61" s="183"/>
      <c r="B61" s="183"/>
      <c r="C61" s="183"/>
      <c r="D61" s="182"/>
      <c r="E61" s="183"/>
      <c r="F61" s="183"/>
      <c r="G61" s="183"/>
      <c r="H61" s="184"/>
      <c r="I61" s="183"/>
      <c r="J61" s="195"/>
      <c r="K61" s="183"/>
      <c r="L61" s="182"/>
      <c r="M61" s="185"/>
      <c r="N61" s="185"/>
      <c r="O61" s="183"/>
      <c r="P61" s="183"/>
      <c r="Q61" s="183"/>
      <c r="R61" s="183"/>
      <c r="S61" s="183"/>
      <c r="T61" s="183"/>
      <c r="U61" s="183"/>
      <c r="V61" s="183" t="s">
        <v>51</v>
      </c>
      <c r="W61" s="183" t="s">
        <v>51</v>
      </c>
      <c r="X61" s="185"/>
    </row>
    <row r="62" spans="1:24" x14ac:dyDescent="0.25">
      <c r="A62" s="183"/>
      <c r="B62" s="183"/>
      <c r="C62" s="183"/>
      <c r="D62" s="182"/>
      <c r="E62" s="183"/>
      <c r="F62" s="183"/>
      <c r="G62" s="183"/>
      <c r="H62" s="184"/>
      <c r="I62" s="183"/>
      <c r="J62" s="195"/>
      <c r="K62" s="183"/>
      <c r="L62" s="182"/>
      <c r="M62" s="185"/>
      <c r="N62" s="185"/>
      <c r="O62" s="183"/>
      <c r="P62" s="183"/>
      <c r="Q62" s="183"/>
      <c r="R62" s="183"/>
      <c r="S62" s="183"/>
      <c r="T62" s="183"/>
      <c r="U62" s="183"/>
      <c r="V62" s="183" t="s">
        <v>51</v>
      </c>
      <c r="W62" s="183" t="s">
        <v>51</v>
      </c>
      <c r="X62" s="185"/>
    </row>
    <row r="63" spans="1:24" x14ac:dyDescent="0.25">
      <c r="A63" s="183"/>
      <c r="B63" s="183"/>
      <c r="C63" s="183"/>
      <c r="D63" s="182"/>
      <c r="E63" s="183"/>
      <c r="F63" s="183"/>
      <c r="G63" s="183"/>
      <c r="H63" s="184"/>
      <c r="I63" s="183"/>
      <c r="J63" s="195"/>
      <c r="K63" s="183"/>
      <c r="L63" s="182"/>
      <c r="M63" s="185"/>
      <c r="N63" s="185"/>
      <c r="O63" s="183"/>
      <c r="P63" s="183"/>
      <c r="Q63" s="183"/>
      <c r="R63" s="183"/>
      <c r="S63" s="183"/>
      <c r="T63" s="183"/>
      <c r="U63" s="183"/>
      <c r="V63" s="183" t="s">
        <v>51</v>
      </c>
      <c r="W63" s="183" t="s">
        <v>51</v>
      </c>
      <c r="X63" s="185"/>
    </row>
    <row r="64" spans="1:24" x14ac:dyDescent="0.25">
      <c r="A64" s="183"/>
      <c r="B64" s="183"/>
      <c r="C64" s="183"/>
      <c r="D64" s="182"/>
      <c r="E64" s="183"/>
      <c r="F64" s="183"/>
      <c r="G64" s="183"/>
      <c r="H64" s="184"/>
      <c r="I64" s="183"/>
      <c r="J64" s="195"/>
      <c r="K64" s="183"/>
      <c r="L64" s="182"/>
      <c r="M64" s="185"/>
      <c r="N64" s="185"/>
      <c r="O64" s="183"/>
      <c r="P64" s="183"/>
      <c r="Q64" s="183"/>
      <c r="R64" s="183"/>
      <c r="S64" s="183"/>
      <c r="T64" s="183"/>
      <c r="U64" s="183"/>
      <c r="V64" s="183" t="s">
        <v>51</v>
      </c>
      <c r="W64" s="183" t="s">
        <v>51</v>
      </c>
      <c r="X64" s="185"/>
    </row>
    <row r="65" spans="1:24" x14ac:dyDescent="0.25">
      <c r="A65" s="183"/>
      <c r="B65" s="183"/>
      <c r="C65" s="183"/>
      <c r="D65" s="182"/>
      <c r="E65" s="183"/>
      <c r="F65" s="183"/>
      <c r="G65" s="183"/>
      <c r="H65" s="184"/>
      <c r="I65" s="183"/>
      <c r="J65" s="195"/>
      <c r="K65" s="183"/>
      <c r="L65" s="182"/>
      <c r="M65" s="185"/>
      <c r="N65" s="185"/>
      <c r="O65" s="183"/>
      <c r="P65" s="183"/>
      <c r="Q65" s="183"/>
      <c r="R65" s="183"/>
      <c r="S65" s="183"/>
      <c r="T65" s="183"/>
      <c r="U65" s="183"/>
      <c r="V65" s="183" t="s">
        <v>51</v>
      </c>
      <c r="W65" s="183" t="s">
        <v>51</v>
      </c>
      <c r="X65" s="185"/>
    </row>
    <row r="66" spans="1:24" x14ac:dyDescent="0.25">
      <c r="A66" s="183"/>
      <c r="B66" s="183"/>
      <c r="C66" s="183"/>
      <c r="D66" s="182"/>
      <c r="E66" s="183"/>
      <c r="F66" s="183"/>
      <c r="G66" s="183"/>
      <c r="H66" s="184"/>
      <c r="I66" s="183"/>
      <c r="J66" s="195"/>
      <c r="K66" s="183"/>
      <c r="L66" s="182"/>
      <c r="M66" s="185"/>
      <c r="N66" s="185"/>
      <c r="O66" s="183"/>
      <c r="P66" s="183"/>
      <c r="Q66" s="183"/>
      <c r="R66" s="183"/>
      <c r="S66" s="183"/>
      <c r="T66" s="183"/>
      <c r="U66" s="183"/>
      <c r="V66" s="183" t="s">
        <v>51</v>
      </c>
      <c r="W66" s="183" t="s">
        <v>51</v>
      </c>
      <c r="X66" s="185"/>
    </row>
    <row r="67" spans="1:24" x14ac:dyDescent="0.25">
      <c r="A67" s="183"/>
      <c r="B67" s="183"/>
      <c r="C67" s="183"/>
      <c r="D67" s="182"/>
      <c r="E67" s="183"/>
      <c r="F67" s="183"/>
      <c r="G67" s="183"/>
      <c r="H67" s="184"/>
      <c r="I67" s="183"/>
      <c r="J67" s="195"/>
      <c r="K67" s="183"/>
      <c r="L67" s="182"/>
      <c r="M67" s="185"/>
      <c r="N67" s="185"/>
      <c r="O67" s="183"/>
      <c r="P67" s="183"/>
      <c r="Q67" s="183"/>
      <c r="R67" s="183"/>
      <c r="S67" s="183"/>
      <c r="T67" s="183"/>
      <c r="U67" s="183"/>
      <c r="V67" s="183" t="s">
        <v>51</v>
      </c>
      <c r="W67" s="183" t="s">
        <v>51</v>
      </c>
      <c r="X67" s="185"/>
    </row>
    <row r="68" spans="1:24" x14ac:dyDescent="0.25">
      <c r="A68" s="183"/>
      <c r="B68" s="183"/>
      <c r="C68" s="183"/>
      <c r="D68" s="182"/>
      <c r="E68" s="183"/>
      <c r="F68" s="183"/>
      <c r="G68" s="183"/>
      <c r="H68" s="184"/>
      <c r="I68" s="183"/>
      <c r="J68" s="195"/>
      <c r="K68" s="183"/>
      <c r="L68" s="182"/>
      <c r="M68" s="185"/>
      <c r="N68" s="185"/>
      <c r="O68" s="183"/>
      <c r="P68" s="183"/>
      <c r="Q68" s="183"/>
      <c r="R68" s="183"/>
      <c r="S68" s="183"/>
      <c r="T68" s="183"/>
      <c r="U68" s="183"/>
      <c r="V68" s="183" t="s">
        <v>51</v>
      </c>
      <c r="W68" s="183" t="s">
        <v>51</v>
      </c>
      <c r="X68" s="185"/>
    </row>
    <row r="69" spans="1:24" x14ac:dyDescent="0.25">
      <c r="A69" s="183"/>
      <c r="B69" s="183"/>
      <c r="C69" s="183"/>
      <c r="D69" s="182"/>
      <c r="E69" s="183"/>
      <c r="F69" s="183"/>
      <c r="G69" s="183"/>
      <c r="H69" s="184"/>
      <c r="I69" s="183"/>
      <c r="J69" s="195"/>
      <c r="K69" s="183"/>
      <c r="L69" s="182"/>
      <c r="M69" s="185"/>
      <c r="N69" s="185"/>
      <c r="O69" s="183"/>
      <c r="P69" s="183"/>
      <c r="Q69" s="183"/>
      <c r="R69" s="183"/>
      <c r="S69" s="183"/>
      <c r="T69" s="183"/>
      <c r="U69" s="183"/>
      <c r="V69" s="183" t="s">
        <v>51</v>
      </c>
      <c r="W69" s="183" t="s">
        <v>51</v>
      </c>
      <c r="X69" s="185"/>
    </row>
    <row r="70" spans="1:24" x14ac:dyDescent="0.25">
      <c r="A70" s="183"/>
      <c r="B70" s="183"/>
      <c r="C70" s="183"/>
      <c r="D70" s="182"/>
      <c r="E70" s="183"/>
      <c r="F70" s="183"/>
      <c r="G70" s="183"/>
      <c r="H70" s="184"/>
      <c r="I70" s="183"/>
      <c r="J70" s="195"/>
      <c r="K70" s="183"/>
      <c r="L70" s="182"/>
      <c r="M70" s="185"/>
      <c r="N70" s="185"/>
      <c r="O70" s="183"/>
      <c r="P70" s="183"/>
      <c r="Q70" s="183"/>
      <c r="R70" s="183"/>
      <c r="S70" s="183"/>
      <c r="T70" s="183"/>
      <c r="U70" s="183"/>
      <c r="V70" s="183" t="s">
        <v>51</v>
      </c>
      <c r="W70" s="183" t="s">
        <v>51</v>
      </c>
      <c r="X70" s="185"/>
    </row>
    <row r="71" spans="1:24" x14ac:dyDescent="0.25">
      <c r="A71" s="183"/>
      <c r="B71" s="183"/>
      <c r="C71" s="183"/>
      <c r="D71" s="182"/>
      <c r="E71" s="183"/>
      <c r="F71" s="183"/>
      <c r="G71" s="183"/>
      <c r="H71" s="184"/>
      <c r="I71" s="183"/>
      <c r="J71" s="195"/>
      <c r="K71" s="183"/>
      <c r="L71" s="182"/>
      <c r="M71" s="185"/>
      <c r="N71" s="185"/>
      <c r="O71" s="183"/>
      <c r="P71" s="183"/>
      <c r="Q71" s="183"/>
      <c r="R71" s="183"/>
      <c r="S71" s="183"/>
      <c r="T71" s="183"/>
      <c r="U71" s="183"/>
      <c r="V71" s="183" t="s">
        <v>51</v>
      </c>
      <c r="W71" s="183" t="s">
        <v>51</v>
      </c>
      <c r="X71" s="185"/>
    </row>
    <row r="72" spans="1:24" x14ac:dyDescent="0.25">
      <c r="A72" s="183"/>
      <c r="B72" s="183"/>
      <c r="C72" s="183"/>
      <c r="D72" s="182"/>
      <c r="E72" s="183"/>
      <c r="F72" s="183"/>
      <c r="G72" s="183"/>
      <c r="H72" s="184"/>
      <c r="I72" s="183"/>
      <c r="J72" s="195"/>
      <c r="K72" s="183"/>
      <c r="L72" s="182"/>
      <c r="M72" s="185"/>
      <c r="N72" s="185"/>
      <c r="O72" s="183"/>
      <c r="P72" s="183"/>
      <c r="Q72" s="183"/>
      <c r="R72" s="183"/>
      <c r="S72" s="183"/>
      <c r="T72" s="183"/>
      <c r="U72" s="183"/>
      <c r="V72" s="183" t="s">
        <v>51</v>
      </c>
      <c r="W72" s="183" t="s">
        <v>51</v>
      </c>
      <c r="X72" s="185"/>
    </row>
    <row r="73" spans="1:24" x14ac:dyDescent="0.25">
      <c r="A73" s="183"/>
      <c r="B73" s="183"/>
      <c r="C73" s="183"/>
      <c r="D73" s="182"/>
      <c r="E73" s="183"/>
      <c r="F73" s="183"/>
      <c r="G73" s="183"/>
      <c r="H73" s="184"/>
      <c r="I73" s="183"/>
      <c r="J73" s="195"/>
      <c r="K73" s="183"/>
      <c r="L73" s="182"/>
      <c r="M73" s="185"/>
      <c r="N73" s="185"/>
      <c r="O73" s="183"/>
      <c r="P73" s="183"/>
      <c r="Q73" s="183"/>
      <c r="R73" s="183"/>
      <c r="S73" s="183"/>
      <c r="T73" s="183"/>
      <c r="U73" s="183"/>
      <c r="V73" s="183" t="s">
        <v>51</v>
      </c>
      <c r="W73" s="183" t="s">
        <v>51</v>
      </c>
      <c r="X73" s="185"/>
    </row>
    <row r="74" spans="1:24" x14ac:dyDescent="0.25">
      <c r="A74" s="183"/>
      <c r="B74" s="183"/>
      <c r="C74" s="183"/>
      <c r="D74" s="182"/>
      <c r="E74" s="183"/>
      <c r="F74" s="183"/>
      <c r="G74" s="183"/>
      <c r="H74" s="184"/>
      <c r="I74" s="183"/>
      <c r="J74" s="195"/>
      <c r="K74" s="183"/>
      <c r="L74" s="182"/>
      <c r="M74" s="185"/>
      <c r="N74" s="185"/>
      <c r="O74" s="183"/>
      <c r="P74" s="183"/>
      <c r="Q74" s="183"/>
      <c r="R74" s="183"/>
      <c r="S74" s="183"/>
      <c r="T74" s="183"/>
      <c r="U74" s="183"/>
      <c r="V74" s="183" t="s">
        <v>51</v>
      </c>
      <c r="W74" s="183" t="s">
        <v>51</v>
      </c>
      <c r="X74" s="185"/>
    </row>
    <row r="75" spans="1:24" x14ac:dyDescent="0.25">
      <c r="A75" s="183"/>
      <c r="B75" s="183"/>
      <c r="C75" s="183"/>
      <c r="D75" s="182"/>
      <c r="E75" s="183"/>
      <c r="F75" s="183"/>
      <c r="G75" s="183"/>
      <c r="H75" s="184"/>
      <c r="I75" s="183"/>
      <c r="J75" s="195"/>
      <c r="K75" s="183"/>
      <c r="L75" s="182"/>
      <c r="M75" s="185"/>
      <c r="N75" s="185"/>
      <c r="O75" s="183"/>
      <c r="P75" s="183"/>
      <c r="Q75" s="183"/>
      <c r="R75" s="183"/>
      <c r="S75" s="183"/>
      <c r="T75" s="183"/>
      <c r="U75" s="183"/>
      <c r="V75" s="183" t="s">
        <v>51</v>
      </c>
      <c r="W75" s="183" t="s">
        <v>51</v>
      </c>
      <c r="X75" s="185"/>
    </row>
    <row r="76" spans="1:24" x14ac:dyDescent="0.25">
      <c r="A76" s="183"/>
      <c r="B76" s="183"/>
      <c r="C76" s="183"/>
      <c r="D76" s="182"/>
      <c r="E76" s="183"/>
      <c r="F76" s="183"/>
      <c r="G76" s="183"/>
      <c r="H76" s="184"/>
      <c r="I76" s="183"/>
      <c r="J76" s="195"/>
      <c r="K76" s="183"/>
      <c r="L76" s="182"/>
      <c r="M76" s="185"/>
      <c r="N76" s="185"/>
      <c r="O76" s="183"/>
      <c r="P76" s="183"/>
      <c r="Q76" s="183"/>
      <c r="R76" s="183"/>
      <c r="S76" s="183"/>
      <c r="T76" s="183"/>
      <c r="U76" s="183"/>
      <c r="V76" s="183" t="s">
        <v>51</v>
      </c>
      <c r="W76" s="183" t="s">
        <v>51</v>
      </c>
      <c r="X76" s="185"/>
    </row>
    <row r="77" spans="1:24" x14ac:dyDescent="0.25">
      <c r="A77" s="183"/>
      <c r="B77" s="183"/>
      <c r="C77" s="183"/>
      <c r="D77" s="182"/>
      <c r="E77" s="183"/>
      <c r="F77" s="183"/>
      <c r="G77" s="183"/>
      <c r="H77" s="184"/>
      <c r="I77" s="183"/>
      <c r="J77" s="195"/>
      <c r="K77" s="183"/>
      <c r="L77" s="182"/>
      <c r="M77" s="185"/>
      <c r="N77" s="185"/>
      <c r="O77" s="183"/>
      <c r="P77" s="183"/>
      <c r="Q77" s="183"/>
      <c r="R77" s="183"/>
      <c r="S77" s="183"/>
      <c r="T77" s="183"/>
      <c r="U77" s="183"/>
      <c r="V77" s="183" t="s">
        <v>51</v>
      </c>
      <c r="W77" s="183" t="s">
        <v>51</v>
      </c>
      <c r="X77" s="185"/>
    </row>
    <row r="78" spans="1:24" x14ac:dyDescent="0.25">
      <c r="A78" s="183"/>
      <c r="B78" s="183"/>
      <c r="C78" s="183"/>
      <c r="D78" s="182"/>
      <c r="E78" s="183"/>
      <c r="F78" s="183"/>
      <c r="G78" s="183"/>
      <c r="H78" s="184"/>
      <c r="I78" s="183"/>
      <c r="J78" s="195"/>
      <c r="K78" s="183"/>
      <c r="L78" s="182"/>
      <c r="M78" s="185"/>
      <c r="N78" s="185"/>
      <c r="O78" s="183"/>
      <c r="P78" s="183"/>
      <c r="Q78" s="183"/>
      <c r="R78" s="183"/>
      <c r="S78" s="183"/>
      <c r="T78" s="183"/>
      <c r="U78" s="183"/>
      <c r="V78" s="183" t="s">
        <v>51</v>
      </c>
      <c r="W78" s="183" t="s">
        <v>51</v>
      </c>
      <c r="X78" s="185"/>
    </row>
    <row r="79" spans="1:24" x14ac:dyDescent="0.25">
      <c r="A79" s="183"/>
      <c r="B79" s="183"/>
      <c r="C79" s="183"/>
      <c r="D79" s="182"/>
      <c r="E79" s="183"/>
      <c r="F79" s="183"/>
      <c r="G79" s="183"/>
      <c r="H79" s="184"/>
      <c r="I79" s="183"/>
      <c r="J79" s="195"/>
      <c r="K79" s="183"/>
      <c r="L79" s="182"/>
      <c r="M79" s="185"/>
      <c r="N79" s="185"/>
      <c r="O79" s="183"/>
      <c r="P79" s="183"/>
      <c r="Q79" s="183"/>
      <c r="R79" s="183"/>
      <c r="S79" s="183"/>
      <c r="T79" s="183"/>
      <c r="U79" s="183"/>
      <c r="V79" s="183" t="s">
        <v>51</v>
      </c>
      <c r="W79" s="183" t="s">
        <v>51</v>
      </c>
      <c r="X79" s="185"/>
    </row>
    <row r="80" spans="1:24" x14ac:dyDescent="0.25">
      <c r="A80" s="183"/>
      <c r="B80" s="183"/>
      <c r="C80" s="183"/>
      <c r="D80" s="182"/>
      <c r="E80" s="183"/>
      <c r="F80" s="183"/>
      <c r="G80" s="183"/>
      <c r="H80" s="184"/>
      <c r="I80" s="183"/>
      <c r="J80" s="195"/>
      <c r="K80" s="183"/>
      <c r="L80" s="182"/>
      <c r="M80" s="185"/>
      <c r="N80" s="185"/>
      <c r="O80" s="183"/>
      <c r="P80" s="183"/>
      <c r="Q80" s="183"/>
      <c r="R80" s="183"/>
      <c r="S80" s="183"/>
      <c r="T80" s="183"/>
      <c r="U80" s="183"/>
      <c r="V80" s="183" t="s">
        <v>51</v>
      </c>
      <c r="W80" s="183" t="s">
        <v>51</v>
      </c>
      <c r="X80" s="185"/>
    </row>
    <row r="81" spans="1:24" x14ac:dyDescent="0.25">
      <c r="A81" s="183"/>
      <c r="B81" s="183"/>
      <c r="C81" s="183"/>
      <c r="D81" s="182"/>
      <c r="E81" s="183"/>
      <c r="F81" s="183"/>
      <c r="G81" s="183"/>
      <c r="H81" s="184"/>
      <c r="I81" s="183"/>
      <c r="J81" s="195"/>
      <c r="K81" s="183"/>
      <c r="L81" s="182"/>
      <c r="M81" s="185"/>
      <c r="N81" s="185"/>
      <c r="O81" s="183"/>
      <c r="P81" s="183"/>
      <c r="Q81" s="183"/>
      <c r="R81" s="183"/>
      <c r="S81" s="183"/>
      <c r="T81" s="183"/>
      <c r="U81" s="183"/>
      <c r="V81" s="183" t="s">
        <v>51</v>
      </c>
      <c r="W81" s="183" t="s">
        <v>51</v>
      </c>
      <c r="X81" s="185"/>
    </row>
    <row r="82" spans="1:24" x14ac:dyDescent="0.25">
      <c r="A82" s="183"/>
      <c r="B82" s="183"/>
      <c r="C82" s="183"/>
      <c r="D82" s="182"/>
      <c r="E82" s="183"/>
      <c r="F82" s="183"/>
      <c r="G82" s="183"/>
      <c r="H82" s="184"/>
      <c r="I82" s="183"/>
      <c r="J82" s="195"/>
      <c r="K82" s="183"/>
      <c r="L82" s="182"/>
      <c r="M82" s="185"/>
      <c r="N82" s="185"/>
      <c r="O82" s="183"/>
      <c r="P82" s="183"/>
      <c r="Q82" s="183"/>
      <c r="R82" s="183"/>
      <c r="S82" s="183"/>
      <c r="T82" s="183"/>
      <c r="U82" s="183"/>
      <c r="V82" s="183" t="s">
        <v>51</v>
      </c>
      <c r="W82" s="183" t="s">
        <v>51</v>
      </c>
      <c r="X82" s="185"/>
    </row>
    <row r="83" spans="1:24" x14ac:dyDescent="0.25">
      <c r="A83" s="183"/>
      <c r="B83" s="183"/>
      <c r="C83" s="183"/>
      <c r="D83" s="182"/>
      <c r="E83" s="183"/>
      <c r="F83" s="183"/>
      <c r="G83" s="183"/>
      <c r="H83" s="184"/>
      <c r="I83" s="183"/>
      <c r="J83" s="195"/>
      <c r="K83" s="183"/>
      <c r="L83" s="182"/>
      <c r="M83" s="185"/>
      <c r="N83" s="185"/>
      <c r="O83" s="183"/>
      <c r="P83" s="183"/>
      <c r="Q83" s="183"/>
      <c r="R83" s="183"/>
      <c r="S83" s="183"/>
      <c r="T83" s="183"/>
      <c r="U83" s="183"/>
      <c r="V83" s="183" t="s">
        <v>51</v>
      </c>
      <c r="W83" s="183" t="s">
        <v>51</v>
      </c>
      <c r="X83" s="185"/>
    </row>
    <row r="84" spans="1:24" x14ac:dyDescent="0.25">
      <c r="A84" s="183"/>
      <c r="B84" s="183"/>
      <c r="C84" s="183"/>
      <c r="D84" s="182"/>
      <c r="E84" s="183"/>
      <c r="F84" s="183"/>
      <c r="G84" s="183"/>
      <c r="H84" s="184"/>
      <c r="I84" s="183"/>
      <c r="J84" s="195"/>
      <c r="K84" s="183"/>
      <c r="L84" s="182"/>
      <c r="M84" s="185"/>
      <c r="N84" s="185"/>
      <c r="O84" s="183"/>
      <c r="P84" s="183"/>
      <c r="Q84" s="183"/>
      <c r="R84" s="183"/>
      <c r="S84" s="183"/>
      <c r="T84" s="183"/>
      <c r="U84" s="183"/>
      <c r="V84" s="183" t="s">
        <v>51</v>
      </c>
      <c r="W84" s="183" t="s">
        <v>51</v>
      </c>
      <c r="X84" s="185"/>
    </row>
    <row r="85" spans="1:24" x14ac:dyDescent="0.25">
      <c r="A85" s="183"/>
      <c r="B85" s="183"/>
      <c r="C85" s="183"/>
      <c r="D85" s="182"/>
      <c r="E85" s="183"/>
      <c r="F85" s="183"/>
      <c r="G85" s="183"/>
      <c r="H85" s="184"/>
      <c r="I85" s="183"/>
      <c r="J85" s="195"/>
      <c r="K85" s="183"/>
      <c r="L85" s="182"/>
      <c r="M85" s="185"/>
      <c r="N85" s="185"/>
      <c r="O85" s="183"/>
      <c r="P85" s="183"/>
      <c r="Q85" s="183"/>
      <c r="R85" s="183"/>
      <c r="S85" s="183"/>
      <c r="T85" s="183"/>
      <c r="U85" s="183"/>
      <c r="V85" s="183" t="s">
        <v>51</v>
      </c>
      <c r="W85" s="183" t="s">
        <v>51</v>
      </c>
      <c r="X85" s="185"/>
    </row>
    <row r="86" spans="1:24" x14ac:dyDescent="0.25">
      <c r="A86" s="183"/>
      <c r="B86" s="183"/>
      <c r="C86" s="183"/>
      <c r="D86" s="182"/>
      <c r="E86" s="183"/>
      <c r="F86" s="183"/>
      <c r="G86" s="183"/>
      <c r="H86" s="184"/>
      <c r="I86" s="183"/>
      <c r="J86" s="195"/>
      <c r="K86" s="183"/>
      <c r="L86" s="182"/>
      <c r="M86" s="185"/>
      <c r="N86" s="185"/>
      <c r="O86" s="183"/>
      <c r="P86" s="183"/>
      <c r="Q86" s="183"/>
      <c r="R86" s="183"/>
      <c r="S86" s="183"/>
      <c r="T86" s="183"/>
      <c r="U86" s="183"/>
      <c r="V86" s="183" t="s">
        <v>51</v>
      </c>
      <c r="W86" s="183" t="s">
        <v>51</v>
      </c>
      <c r="X86" s="185"/>
    </row>
    <row r="87" spans="1:24" x14ac:dyDescent="0.25">
      <c r="A87" s="183"/>
      <c r="B87" s="183"/>
      <c r="C87" s="183"/>
      <c r="D87" s="182"/>
      <c r="E87" s="183"/>
      <c r="F87" s="183"/>
      <c r="G87" s="183"/>
      <c r="H87" s="184"/>
      <c r="I87" s="183"/>
      <c r="J87" s="195"/>
      <c r="K87" s="183"/>
      <c r="L87" s="182"/>
      <c r="M87" s="185"/>
      <c r="N87" s="185"/>
      <c r="O87" s="183"/>
      <c r="P87" s="183"/>
      <c r="Q87" s="183"/>
      <c r="R87" s="183"/>
      <c r="S87" s="183"/>
      <c r="T87" s="183"/>
      <c r="U87" s="183"/>
      <c r="V87" s="183" t="s">
        <v>51</v>
      </c>
      <c r="W87" s="183" t="s">
        <v>51</v>
      </c>
      <c r="X87" s="185"/>
    </row>
    <row r="88" spans="1:24" x14ac:dyDescent="0.25">
      <c r="A88" s="183"/>
      <c r="B88" s="183"/>
      <c r="C88" s="183"/>
      <c r="D88" s="182"/>
      <c r="E88" s="183"/>
      <c r="F88" s="183"/>
      <c r="G88" s="183"/>
      <c r="H88" s="184"/>
      <c r="I88" s="183"/>
      <c r="J88" s="195"/>
      <c r="K88" s="183"/>
      <c r="L88" s="182"/>
      <c r="M88" s="185"/>
      <c r="N88" s="185"/>
      <c r="O88" s="183"/>
      <c r="P88" s="183"/>
      <c r="Q88" s="183"/>
      <c r="R88" s="183"/>
      <c r="S88" s="183"/>
      <c r="T88" s="183"/>
      <c r="U88" s="183"/>
      <c r="V88" s="183" t="s">
        <v>51</v>
      </c>
      <c r="W88" s="183" t="s">
        <v>51</v>
      </c>
      <c r="X88" s="185"/>
    </row>
    <row r="89" spans="1:24" x14ac:dyDescent="0.25">
      <c r="A89" s="183"/>
      <c r="B89" s="183"/>
      <c r="C89" s="183"/>
      <c r="D89" s="182"/>
      <c r="E89" s="183"/>
      <c r="F89" s="183"/>
      <c r="G89" s="183"/>
      <c r="H89" s="184"/>
      <c r="I89" s="183"/>
      <c r="J89" s="195"/>
      <c r="K89" s="183"/>
      <c r="L89" s="182"/>
      <c r="M89" s="185"/>
      <c r="N89" s="185"/>
      <c r="O89" s="183"/>
      <c r="P89" s="183"/>
      <c r="Q89" s="183"/>
      <c r="R89" s="183"/>
      <c r="S89" s="183"/>
      <c r="T89" s="183"/>
      <c r="U89" s="183"/>
      <c r="V89" s="183" t="s">
        <v>51</v>
      </c>
      <c r="W89" s="183" t="s">
        <v>51</v>
      </c>
      <c r="X89" s="185"/>
    </row>
    <row r="90" spans="1:24" x14ac:dyDescent="0.25">
      <c r="A90" s="183"/>
      <c r="B90" s="183"/>
      <c r="C90" s="183"/>
      <c r="D90" s="182"/>
      <c r="E90" s="183"/>
      <c r="F90" s="183"/>
      <c r="G90" s="183"/>
      <c r="H90" s="184"/>
      <c r="I90" s="183"/>
      <c r="J90" s="195"/>
      <c r="K90" s="183"/>
      <c r="L90" s="182"/>
      <c r="M90" s="185"/>
      <c r="N90" s="185"/>
      <c r="O90" s="183"/>
      <c r="P90" s="183"/>
      <c r="Q90" s="183"/>
      <c r="R90" s="183"/>
      <c r="S90" s="183"/>
      <c r="T90" s="183"/>
      <c r="U90" s="183"/>
      <c r="V90" s="183" t="s">
        <v>51</v>
      </c>
      <c r="W90" s="183" t="s">
        <v>51</v>
      </c>
      <c r="X90" s="185"/>
    </row>
    <row r="91" spans="1:24" x14ac:dyDescent="0.25">
      <c r="A91" s="183"/>
      <c r="B91" s="183"/>
      <c r="C91" s="183"/>
      <c r="D91" s="182"/>
      <c r="E91" s="183"/>
      <c r="F91" s="183"/>
      <c r="G91" s="183"/>
      <c r="H91" s="184"/>
      <c r="I91" s="183"/>
      <c r="J91" s="195"/>
      <c r="K91" s="183"/>
      <c r="L91" s="182"/>
      <c r="M91" s="185"/>
      <c r="N91" s="185"/>
      <c r="O91" s="183"/>
      <c r="P91" s="183"/>
      <c r="Q91" s="183"/>
      <c r="R91" s="183"/>
      <c r="S91" s="183"/>
      <c r="T91" s="183"/>
      <c r="U91" s="183"/>
      <c r="V91" s="183" t="s">
        <v>51</v>
      </c>
      <c r="W91" s="183" t="s">
        <v>51</v>
      </c>
      <c r="X91" s="185"/>
    </row>
    <row r="92" spans="1:24" x14ac:dyDescent="0.25">
      <c r="A92" s="183"/>
      <c r="B92" s="183"/>
      <c r="C92" s="183"/>
      <c r="D92" s="182"/>
      <c r="E92" s="183"/>
      <c r="F92" s="183"/>
      <c r="G92" s="183"/>
      <c r="H92" s="184"/>
      <c r="I92" s="183"/>
      <c r="J92" s="195"/>
      <c r="K92" s="183"/>
      <c r="L92" s="182"/>
      <c r="M92" s="185"/>
      <c r="N92" s="185"/>
      <c r="O92" s="183"/>
      <c r="P92" s="183"/>
      <c r="Q92" s="183"/>
      <c r="R92" s="183"/>
      <c r="S92" s="183"/>
      <c r="T92" s="183"/>
      <c r="U92" s="183"/>
      <c r="V92" s="183" t="s">
        <v>51</v>
      </c>
      <c r="W92" s="183" t="s">
        <v>51</v>
      </c>
      <c r="X92" s="185"/>
    </row>
    <row r="93" spans="1:24" x14ac:dyDescent="0.25">
      <c r="A93" s="183"/>
      <c r="B93" s="183"/>
      <c r="C93" s="183"/>
      <c r="D93" s="182"/>
      <c r="E93" s="183"/>
      <c r="F93" s="183"/>
      <c r="G93" s="183"/>
      <c r="H93" s="184"/>
      <c r="I93" s="183"/>
      <c r="J93" s="195"/>
      <c r="K93" s="183"/>
      <c r="L93" s="182"/>
      <c r="M93" s="185"/>
      <c r="N93" s="185"/>
      <c r="O93" s="183"/>
      <c r="P93" s="183"/>
      <c r="Q93" s="183"/>
      <c r="R93" s="183"/>
      <c r="S93" s="183"/>
      <c r="T93" s="183"/>
      <c r="U93" s="183"/>
      <c r="V93" s="183" t="s">
        <v>51</v>
      </c>
      <c r="W93" s="183" t="s">
        <v>51</v>
      </c>
      <c r="X93" s="185"/>
    </row>
    <row r="94" spans="1:24" x14ac:dyDescent="0.25">
      <c r="A94" s="183"/>
      <c r="B94" s="183"/>
      <c r="C94" s="183"/>
      <c r="D94" s="182"/>
      <c r="E94" s="183"/>
      <c r="F94" s="183"/>
      <c r="G94" s="183"/>
      <c r="H94" s="184"/>
      <c r="I94" s="183"/>
      <c r="J94" s="195"/>
      <c r="K94" s="183"/>
      <c r="L94" s="182"/>
      <c r="M94" s="185"/>
      <c r="N94" s="185"/>
      <c r="O94" s="183"/>
      <c r="P94" s="183"/>
      <c r="Q94" s="183"/>
      <c r="R94" s="183"/>
      <c r="S94" s="183"/>
      <c r="T94" s="183"/>
      <c r="U94" s="183"/>
      <c r="V94" s="183" t="s">
        <v>51</v>
      </c>
      <c r="W94" s="183" t="s">
        <v>51</v>
      </c>
      <c r="X94" s="185"/>
    </row>
    <row r="95" spans="1:24" x14ac:dyDescent="0.25">
      <c r="A95" s="183"/>
      <c r="B95" s="183"/>
      <c r="C95" s="183"/>
      <c r="D95" s="182"/>
      <c r="E95" s="183"/>
      <c r="F95" s="183"/>
      <c r="G95" s="183"/>
      <c r="H95" s="184"/>
      <c r="I95" s="183"/>
      <c r="J95" s="195"/>
      <c r="K95" s="183"/>
      <c r="L95" s="182"/>
      <c r="M95" s="185"/>
      <c r="N95" s="185"/>
      <c r="O95" s="183"/>
      <c r="P95" s="183"/>
      <c r="Q95" s="183"/>
      <c r="R95" s="183"/>
      <c r="S95" s="183"/>
      <c r="T95" s="183"/>
      <c r="U95" s="183"/>
      <c r="V95" s="183" t="s">
        <v>51</v>
      </c>
      <c r="W95" s="183" t="s">
        <v>51</v>
      </c>
      <c r="X95" s="185"/>
    </row>
    <row r="96" spans="1:24" x14ac:dyDescent="0.25">
      <c r="A96" s="183"/>
      <c r="B96" s="183"/>
      <c r="C96" s="183"/>
      <c r="D96" s="182"/>
      <c r="E96" s="183"/>
      <c r="F96" s="183"/>
      <c r="G96" s="183"/>
      <c r="H96" s="184"/>
      <c r="I96" s="183"/>
      <c r="J96" s="195"/>
      <c r="K96" s="183"/>
      <c r="L96" s="182"/>
      <c r="M96" s="185"/>
      <c r="N96" s="185"/>
      <c r="O96" s="183"/>
      <c r="P96" s="183"/>
      <c r="Q96" s="183"/>
      <c r="R96" s="183"/>
      <c r="S96" s="183"/>
      <c r="T96" s="183"/>
      <c r="U96" s="183"/>
      <c r="V96" s="183" t="s">
        <v>51</v>
      </c>
      <c r="W96" s="183" t="s">
        <v>51</v>
      </c>
      <c r="X96" s="185"/>
    </row>
    <row r="97" spans="1:24" x14ac:dyDescent="0.25">
      <c r="A97" s="183"/>
      <c r="B97" s="183"/>
      <c r="C97" s="183"/>
      <c r="D97" s="182"/>
      <c r="E97" s="183"/>
      <c r="F97" s="183"/>
      <c r="G97" s="183"/>
      <c r="H97" s="184"/>
      <c r="I97" s="183"/>
      <c r="J97" s="195"/>
      <c r="K97" s="183"/>
      <c r="L97" s="182"/>
      <c r="M97" s="185"/>
      <c r="N97" s="185"/>
      <c r="O97" s="183"/>
      <c r="P97" s="183"/>
      <c r="Q97" s="183"/>
      <c r="R97" s="183"/>
      <c r="S97" s="183"/>
      <c r="T97" s="183"/>
      <c r="U97" s="183"/>
      <c r="V97" s="183" t="s">
        <v>51</v>
      </c>
      <c r="W97" s="183" t="s">
        <v>51</v>
      </c>
      <c r="X97" s="185"/>
    </row>
    <row r="98" spans="1:24" x14ac:dyDescent="0.25">
      <c r="A98" s="183"/>
      <c r="B98" s="183"/>
      <c r="C98" s="183"/>
      <c r="D98" s="182"/>
      <c r="E98" s="183"/>
      <c r="F98" s="183"/>
      <c r="G98" s="183"/>
      <c r="H98" s="184"/>
      <c r="I98" s="183"/>
      <c r="J98" s="195"/>
      <c r="K98" s="183"/>
      <c r="L98" s="182"/>
      <c r="M98" s="185"/>
      <c r="N98" s="185"/>
      <c r="O98" s="183"/>
      <c r="P98" s="183"/>
      <c r="Q98" s="183"/>
      <c r="R98" s="183"/>
      <c r="S98" s="183"/>
      <c r="T98" s="183"/>
      <c r="U98" s="183"/>
      <c r="V98" s="183" t="s">
        <v>51</v>
      </c>
      <c r="W98" s="183" t="s">
        <v>51</v>
      </c>
      <c r="X98" s="185"/>
    </row>
    <row r="99" spans="1:24" x14ac:dyDescent="0.25">
      <c r="A99" s="183"/>
      <c r="B99" s="183"/>
      <c r="C99" s="183"/>
      <c r="D99" s="182"/>
      <c r="E99" s="183"/>
      <c r="F99" s="183"/>
      <c r="G99" s="183"/>
      <c r="H99" s="184"/>
      <c r="I99" s="183"/>
      <c r="J99" s="195"/>
      <c r="K99" s="183"/>
      <c r="L99" s="182"/>
      <c r="M99" s="185"/>
      <c r="N99" s="185"/>
      <c r="O99" s="183"/>
      <c r="P99" s="183"/>
      <c r="Q99" s="183"/>
      <c r="R99" s="183"/>
      <c r="S99" s="183"/>
      <c r="T99" s="183"/>
      <c r="U99" s="183"/>
      <c r="V99" s="183" t="s">
        <v>51</v>
      </c>
      <c r="W99" s="183" t="s">
        <v>51</v>
      </c>
      <c r="X99" s="185"/>
    </row>
  </sheetData>
  <sheetProtection selectLockedCells="1" selectUnlockedCells="1"/>
  <dataValidations count="3">
    <dataValidation type="list" allowBlank="1" showErrorMessage="1" sqref="V2:V99" xr:uid="{74366656-974E-4241-9150-A230827088A5}">
      <formula1>"nein,ja"</formula1>
      <formula2>0</formula2>
    </dataValidation>
    <dataValidation type="list" allowBlank="1" showErrorMessage="1" sqref="W2:W99" xr:uid="{F8733729-1180-4B6D-8D45-56F35CE57BA0}">
      <formula1>"nein,ja (nur gewerblich),"</formula1>
      <formula2>0</formula2>
    </dataValidation>
    <dataValidation type="decimal" allowBlank="1" showDropDown="1" showErrorMessage="1" sqref="M1" xr:uid="{C1B7E489-EF06-448A-A24C-AD992C2BBE6E}">
      <formula1>0</formula1>
      <formula2>100000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99"/>
  <sheetViews>
    <sheetView topLeftCell="H1" workbookViewId="0">
      <selection activeCell="M18" sqref="M18"/>
    </sheetView>
  </sheetViews>
  <sheetFormatPr baseColWidth="10" defaultColWidth="11.5546875" defaultRowHeight="13.2" x14ac:dyDescent="0.25"/>
  <cols>
    <col min="5" max="5" width="20.5546875" customWidth="1"/>
    <col min="7" max="7" width="18.88671875" customWidth="1"/>
    <col min="8" max="8" width="18.109375" customWidth="1"/>
    <col min="9" max="9" width="15.5546875" customWidth="1"/>
    <col min="10" max="10" width="26.109375" customWidth="1"/>
    <col min="12" max="12" width="16.33203125" customWidth="1"/>
    <col min="13" max="13" width="16.5546875" customWidth="1"/>
    <col min="14" max="14" width="16.88671875" customWidth="1"/>
    <col min="16" max="16" width="14.6640625" customWidth="1"/>
    <col min="17" max="17" width="17.33203125" customWidth="1"/>
    <col min="20" max="20" width="23.109375" customWidth="1"/>
    <col min="22" max="22" width="39.6640625" style="2" customWidth="1"/>
  </cols>
  <sheetData>
    <row r="1" spans="1:22" x14ac:dyDescent="0.25">
      <c r="A1" s="22" t="s">
        <v>26</v>
      </c>
      <c r="B1" s="22" t="s">
        <v>27</v>
      </c>
      <c r="C1" s="23" t="s">
        <v>28</v>
      </c>
      <c r="D1" s="21" t="s">
        <v>29</v>
      </c>
      <c r="E1" s="22" t="s">
        <v>71</v>
      </c>
      <c r="F1" s="21" t="s">
        <v>31</v>
      </c>
      <c r="G1" s="21" t="s">
        <v>72</v>
      </c>
      <c r="H1" s="21" t="s">
        <v>73</v>
      </c>
      <c r="I1" s="24" t="s">
        <v>34</v>
      </c>
      <c r="J1" s="21" t="s">
        <v>35</v>
      </c>
      <c r="K1" s="21" t="s">
        <v>36</v>
      </c>
      <c r="L1" s="25" t="s">
        <v>64</v>
      </c>
      <c r="M1" s="23" t="s">
        <v>74</v>
      </c>
      <c r="N1" s="21" t="s">
        <v>75</v>
      </c>
      <c r="O1" s="21" t="s">
        <v>40</v>
      </c>
      <c r="P1" s="26" t="s">
        <v>41</v>
      </c>
      <c r="Q1" s="27" t="s">
        <v>42</v>
      </c>
      <c r="R1" s="21" t="s">
        <v>44</v>
      </c>
      <c r="S1" s="21" t="s">
        <v>45</v>
      </c>
      <c r="T1" s="21" t="s">
        <v>46</v>
      </c>
      <c r="U1" s="21" t="s">
        <v>47</v>
      </c>
      <c r="V1" s="21" t="s">
        <v>50</v>
      </c>
    </row>
    <row r="2" spans="1:22" x14ac:dyDescent="0.25">
      <c r="C2" t="s">
        <v>9642</v>
      </c>
      <c r="E2" s="2" t="s">
        <v>9643</v>
      </c>
      <c r="I2">
        <v>2</v>
      </c>
      <c r="L2" s="222">
        <v>4012160221863</v>
      </c>
      <c r="M2">
        <v>0</v>
      </c>
      <c r="O2" t="s">
        <v>9644</v>
      </c>
      <c r="P2">
        <v>107</v>
      </c>
      <c r="Q2" s="30">
        <v>1.7806999999999997</v>
      </c>
      <c r="T2" s="2" t="s">
        <v>51</v>
      </c>
      <c r="U2" s="2" t="s">
        <v>51</v>
      </c>
      <c r="V2" s="18"/>
    </row>
    <row r="3" spans="1:22" x14ac:dyDescent="0.25">
      <c r="C3" t="s">
        <v>9645</v>
      </c>
      <c r="E3" s="2" t="s">
        <v>9643</v>
      </c>
      <c r="F3">
        <v>2012</v>
      </c>
      <c r="I3">
        <v>2</v>
      </c>
      <c r="L3" s="222">
        <v>4012160221986</v>
      </c>
      <c r="M3">
        <v>7</v>
      </c>
      <c r="O3" t="s">
        <v>9646</v>
      </c>
      <c r="P3">
        <v>88</v>
      </c>
      <c r="Q3" s="30">
        <v>3.7388000000000003</v>
      </c>
      <c r="T3" s="2" t="s">
        <v>51</v>
      </c>
      <c r="U3" s="2" t="s">
        <v>51</v>
      </c>
      <c r="V3" s="18"/>
    </row>
    <row r="4" spans="1:22" s="212" customFormat="1" x14ac:dyDescent="0.25">
      <c r="C4" s="212" t="s">
        <v>9647</v>
      </c>
      <c r="E4" s="209" t="s">
        <v>9643</v>
      </c>
      <c r="F4" s="212">
        <v>2012</v>
      </c>
      <c r="I4" s="212">
        <v>2</v>
      </c>
      <c r="L4" s="227">
        <v>45496522711</v>
      </c>
      <c r="M4" s="212">
        <v>0</v>
      </c>
      <c r="O4" s="212" t="s">
        <v>9648</v>
      </c>
      <c r="P4" s="212">
        <v>101</v>
      </c>
      <c r="Q4" s="228">
        <v>1.4382999999999997</v>
      </c>
      <c r="T4" s="209" t="s">
        <v>51</v>
      </c>
      <c r="U4" s="209" t="s">
        <v>51</v>
      </c>
      <c r="V4" s="207"/>
    </row>
    <row r="5" spans="1:22" x14ac:dyDescent="0.25">
      <c r="C5" t="s">
        <v>9649</v>
      </c>
      <c r="E5" s="2" t="s">
        <v>9643</v>
      </c>
      <c r="F5">
        <v>2013</v>
      </c>
      <c r="I5">
        <v>2</v>
      </c>
      <c r="L5" s="222">
        <v>4012160222037</v>
      </c>
      <c r="M5">
        <v>6</v>
      </c>
      <c r="O5" t="s">
        <v>9650</v>
      </c>
      <c r="P5">
        <v>85</v>
      </c>
      <c r="Q5" s="30">
        <v>2.5510999999999999</v>
      </c>
      <c r="T5" s="2" t="s">
        <v>51</v>
      </c>
      <c r="U5" s="2" t="s">
        <v>51</v>
      </c>
      <c r="V5" s="18"/>
    </row>
    <row r="6" spans="1:22" s="212" customFormat="1" x14ac:dyDescent="0.25">
      <c r="C6" s="212" t="s">
        <v>9651</v>
      </c>
      <c r="E6" s="209" t="s">
        <v>9643</v>
      </c>
      <c r="F6" s="212">
        <v>2011</v>
      </c>
      <c r="I6" s="212">
        <v>2</v>
      </c>
      <c r="L6" s="227">
        <v>45496528584</v>
      </c>
      <c r="M6" s="212">
        <v>0</v>
      </c>
      <c r="O6" s="212" t="s">
        <v>9652</v>
      </c>
      <c r="P6" s="212">
        <v>77</v>
      </c>
      <c r="Q6" s="228">
        <v>1.4382999999999997</v>
      </c>
      <c r="T6" s="209" t="s">
        <v>51</v>
      </c>
      <c r="U6" s="209" t="s">
        <v>51</v>
      </c>
      <c r="V6" s="207"/>
    </row>
    <row r="7" spans="1:22" x14ac:dyDescent="0.25">
      <c r="C7" t="s">
        <v>9653</v>
      </c>
      <c r="E7" s="2" t="s">
        <v>9643</v>
      </c>
      <c r="I7">
        <v>2</v>
      </c>
      <c r="L7" s="222">
        <v>5414233173731</v>
      </c>
      <c r="M7">
        <v>0</v>
      </c>
      <c r="O7" t="s">
        <v>9654</v>
      </c>
      <c r="P7">
        <v>87</v>
      </c>
      <c r="Q7" s="30">
        <v>5.3009999999999993</v>
      </c>
      <c r="T7" s="2" t="s">
        <v>51</v>
      </c>
      <c r="U7" s="2" t="s">
        <v>51</v>
      </c>
      <c r="V7" s="18"/>
    </row>
    <row r="8" spans="1:22" s="212" customFormat="1" x14ac:dyDescent="0.25">
      <c r="C8" s="212" t="s">
        <v>9655</v>
      </c>
      <c r="E8" s="209" t="s">
        <v>9643</v>
      </c>
      <c r="F8" s="212">
        <v>2007</v>
      </c>
      <c r="I8" s="212">
        <v>2</v>
      </c>
      <c r="L8" s="227">
        <v>3307210505996</v>
      </c>
      <c r="M8" s="212">
        <v>0</v>
      </c>
      <c r="O8" s="212" t="s">
        <v>9656</v>
      </c>
      <c r="P8" s="212">
        <v>113</v>
      </c>
      <c r="Q8" s="228">
        <v>5.6969000000000003</v>
      </c>
      <c r="T8" s="209" t="s">
        <v>51</v>
      </c>
      <c r="U8" s="209" t="s">
        <v>51</v>
      </c>
      <c r="V8" s="207"/>
    </row>
    <row r="9" spans="1:22" s="212" customFormat="1" x14ac:dyDescent="0.25">
      <c r="C9" s="212" t="s">
        <v>9657</v>
      </c>
      <c r="E9" s="209" t="s">
        <v>9643</v>
      </c>
      <c r="F9" s="212">
        <v>2005</v>
      </c>
      <c r="I9" s="212">
        <v>2</v>
      </c>
      <c r="L9" s="227">
        <v>4005209084208</v>
      </c>
      <c r="M9" s="212">
        <v>0</v>
      </c>
      <c r="O9" s="212" t="s">
        <v>9658</v>
      </c>
      <c r="P9" s="212">
        <v>93</v>
      </c>
      <c r="Q9" s="228">
        <v>2.7972000000000001</v>
      </c>
      <c r="T9" s="209" t="s">
        <v>51</v>
      </c>
      <c r="U9" s="209" t="s">
        <v>51</v>
      </c>
      <c r="V9" s="207"/>
    </row>
    <row r="10" spans="1:22" x14ac:dyDescent="0.25">
      <c r="C10" t="s">
        <v>9659</v>
      </c>
      <c r="E10" s="2" t="s">
        <v>9660</v>
      </c>
      <c r="F10">
        <v>2009</v>
      </c>
      <c r="I10">
        <v>2</v>
      </c>
      <c r="L10" s="222">
        <v>23272008321</v>
      </c>
      <c r="M10">
        <v>12</v>
      </c>
      <c r="O10" t="s">
        <v>9661</v>
      </c>
      <c r="P10">
        <v>144</v>
      </c>
      <c r="Q10" s="30">
        <v>1.4382999999999997</v>
      </c>
      <c r="T10" s="2" t="s">
        <v>51</v>
      </c>
      <c r="U10" s="2" t="s">
        <v>51</v>
      </c>
      <c r="V10" s="18"/>
    </row>
    <row r="11" spans="1:22" x14ac:dyDescent="0.25">
      <c r="C11" t="s">
        <v>9662</v>
      </c>
      <c r="E11" s="2" t="s">
        <v>9660</v>
      </c>
      <c r="F11">
        <v>2008</v>
      </c>
      <c r="I11">
        <v>2</v>
      </c>
      <c r="L11" s="222">
        <v>4012160010153</v>
      </c>
      <c r="M11">
        <v>6</v>
      </c>
      <c r="O11" t="s">
        <v>9663</v>
      </c>
      <c r="P11">
        <v>139</v>
      </c>
      <c r="Q11" s="30">
        <v>1.4382999999999997</v>
      </c>
      <c r="T11" s="2" t="s">
        <v>51</v>
      </c>
      <c r="U11" s="2" t="s">
        <v>51</v>
      </c>
      <c r="V11" s="18"/>
    </row>
    <row r="12" spans="1:22" s="212" customFormat="1" x14ac:dyDescent="0.25">
      <c r="C12" s="212" t="s">
        <v>9664</v>
      </c>
      <c r="E12" s="209" t="s">
        <v>9665</v>
      </c>
      <c r="F12" s="212">
        <v>2011</v>
      </c>
      <c r="I12" s="212">
        <v>2</v>
      </c>
      <c r="L12" s="227">
        <v>5051890027979</v>
      </c>
      <c r="M12" s="212">
        <v>16</v>
      </c>
      <c r="O12" s="212" t="s">
        <v>9666</v>
      </c>
      <c r="P12" s="212">
        <v>89</v>
      </c>
      <c r="Q12" s="228">
        <v>7.858299999999999</v>
      </c>
      <c r="T12" s="209" t="s">
        <v>51</v>
      </c>
      <c r="U12" s="209" t="s">
        <v>51</v>
      </c>
      <c r="V12" s="207"/>
    </row>
    <row r="13" spans="1:22" x14ac:dyDescent="0.25">
      <c r="C13" t="s">
        <v>9667</v>
      </c>
      <c r="E13" s="2" t="s">
        <v>9665</v>
      </c>
      <c r="F13">
        <v>2013</v>
      </c>
      <c r="I13">
        <v>3</v>
      </c>
      <c r="J13" t="s">
        <v>9668</v>
      </c>
      <c r="L13" s="222">
        <v>3307210333322</v>
      </c>
      <c r="M13">
        <v>18</v>
      </c>
      <c r="O13" t="s">
        <v>9669</v>
      </c>
      <c r="P13">
        <v>79</v>
      </c>
      <c r="Q13" s="30">
        <v>2.1873000000000005</v>
      </c>
      <c r="T13" s="2" t="s">
        <v>51</v>
      </c>
      <c r="U13" s="2" t="s">
        <v>51</v>
      </c>
      <c r="V13" s="18"/>
    </row>
    <row r="14" spans="1:22" s="212" customFormat="1" x14ac:dyDescent="0.25">
      <c r="C14" s="212" t="s">
        <v>9670</v>
      </c>
      <c r="E14" s="209" t="s">
        <v>9665</v>
      </c>
      <c r="F14" s="212">
        <v>2009</v>
      </c>
      <c r="I14" s="212">
        <v>3</v>
      </c>
      <c r="J14" s="212" t="s">
        <v>9668</v>
      </c>
      <c r="L14" s="227">
        <v>5024866339390</v>
      </c>
      <c r="M14" s="212">
        <v>16</v>
      </c>
      <c r="O14" s="212" t="s">
        <v>9671</v>
      </c>
      <c r="P14" s="212">
        <v>86</v>
      </c>
      <c r="Q14" s="228">
        <v>7.858299999999999</v>
      </c>
      <c r="T14" s="209" t="s">
        <v>51</v>
      </c>
      <c r="U14" s="209" t="s">
        <v>51</v>
      </c>
      <c r="V14" s="207"/>
    </row>
    <row r="15" spans="1:22" x14ac:dyDescent="0.25">
      <c r="C15" t="s">
        <v>9672</v>
      </c>
      <c r="E15" s="2" t="s">
        <v>9665</v>
      </c>
      <c r="I15">
        <v>3</v>
      </c>
      <c r="L15" s="222">
        <v>5030917056369</v>
      </c>
      <c r="M15">
        <v>18</v>
      </c>
      <c r="O15" t="s">
        <v>9673</v>
      </c>
      <c r="P15">
        <v>97</v>
      </c>
      <c r="Q15" s="30">
        <v>2.2408000000000001</v>
      </c>
      <c r="T15" s="2" t="s">
        <v>51</v>
      </c>
      <c r="U15" s="2" t="s">
        <v>51</v>
      </c>
      <c r="V15" s="18"/>
    </row>
    <row r="16" spans="1:22" x14ac:dyDescent="0.25">
      <c r="E16" s="2" t="s">
        <v>56</v>
      </c>
      <c r="Q16" s="30"/>
      <c r="T16" s="2" t="s">
        <v>51</v>
      </c>
      <c r="U16" s="2" t="s">
        <v>51</v>
      </c>
      <c r="V16" s="18"/>
    </row>
    <row r="17" spans="5:22" x14ac:dyDescent="0.25">
      <c r="E17" s="2" t="s">
        <v>56</v>
      </c>
      <c r="Q17" s="30"/>
      <c r="T17" s="2" t="s">
        <v>51</v>
      </c>
      <c r="U17" s="2" t="s">
        <v>51</v>
      </c>
      <c r="V17" s="18"/>
    </row>
    <row r="18" spans="5:22" x14ac:dyDescent="0.25">
      <c r="E18" s="2" t="s">
        <v>56</v>
      </c>
      <c r="Q18" s="30"/>
      <c r="T18" s="2" t="s">
        <v>51</v>
      </c>
      <c r="U18" s="2" t="s">
        <v>51</v>
      </c>
      <c r="V18" s="18"/>
    </row>
    <row r="19" spans="5:22" x14ac:dyDescent="0.25">
      <c r="E19" s="2" t="s">
        <v>56</v>
      </c>
      <c r="Q19" s="30"/>
      <c r="T19" s="2" t="s">
        <v>51</v>
      </c>
      <c r="U19" s="2" t="s">
        <v>51</v>
      </c>
      <c r="V19" s="18"/>
    </row>
    <row r="20" spans="5:22" x14ac:dyDescent="0.25">
      <c r="E20" s="2" t="s">
        <v>56</v>
      </c>
      <c r="Q20" s="30"/>
      <c r="T20" s="2" t="s">
        <v>51</v>
      </c>
      <c r="U20" s="2" t="s">
        <v>51</v>
      </c>
      <c r="V20" s="18"/>
    </row>
    <row r="21" spans="5:22" x14ac:dyDescent="0.25">
      <c r="E21" s="2" t="s">
        <v>56</v>
      </c>
      <c r="Q21" s="30"/>
      <c r="T21" s="2" t="s">
        <v>51</v>
      </c>
      <c r="U21" s="2" t="s">
        <v>51</v>
      </c>
      <c r="V21" s="18"/>
    </row>
    <row r="22" spans="5:22" x14ac:dyDescent="0.25">
      <c r="E22" s="2" t="s">
        <v>56</v>
      </c>
      <c r="Q22" s="30"/>
      <c r="T22" s="2" t="s">
        <v>51</v>
      </c>
      <c r="U22" s="2" t="s">
        <v>51</v>
      </c>
      <c r="V22" s="18"/>
    </row>
    <row r="23" spans="5:22" x14ac:dyDescent="0.25">
      <c r="E23" s="2" t="s">
        <v>56</v>
      </c>
      <c r="Q23" s="30"/>
      <c r="T23" s="2" t="s">
        <v>51</v>
      </c>
      <c r="U23" s="2" t="s">
        <v>51</v>
      </c>
      <c r="V23" s="18"/>
    </row>
    <row r="24" spans="5:22" x14ac:dyDescent="0.25">
      <c r="E24" s="2" t="s">
        <v>56</v>
      </c>
      <c r="Q24" s="30"/>
      <c r="T24" s="2" t="s">
        <v>51</v>
      </c>
      <c r="U24" s="2" t="s">
        <v>51</v>
      </c>
      <c r="V24" s="18"/>
    </row>
    <row r="25" spans="5:22" x14ac:dyDescent="0.25">
      <c r="E25" s="2" t="s">
        <v>56</v>
      </c>
      <c r="Q25" s="30"/>
      <c r="T25" s="2" t="s">
        <v>51</v>
      </c>
      <c r="U25" s="2" t="s">
        <v>51</v>
      </c>
      <c r="V25" s="18"/>
    </row>
    <row r="26" spans="5:22" x14ac:dyDescent="0.25">
      <c r="E26" s="2" t="s">
        <v>56</v>
      </c>
      <c r="Q26" s="30"/>
      <c r="T26" s="2" t="s">
        <v>51</v>
      </c>
      <c r="U26" s="2" t="s">
        <v>51</v>
      </c>
      <c r="V26" s="18"/>
    </row>
    <row r="27" spans="5:22" x14ac:dyDescent="0.25">
      <c r="E27" s="2" t="s">
        <v>56</v>
      </c>
      <c r="Q27" s="30"/>
      <c r="T27" s="2" t="s">
        <v>51</v>
      </c>
      <c r="U27" s="2" t="s">
        <v>51</v>
      </c>
      <c r="V27" s="18"/>
    </row>
    <row r="28" spans="5:22" x14ac:dyDescent="0.25">
      <c r="E28" s="2" t="s">
        <v>56</v>
      </c>
      <c r="Q28" s="30"/>
      <c r="T28" s="2" t="s">
        <v>51</v>
      </c>
      <c r="U28" s="2" t="s">
        <v>51</v>
      </c>
      <c r="V28" s="18"/>
    </row>
    <row r="29" spans="5:22" x14ac:dyDescent="0.25">
      <c r="E29" s="2" t="s">
        <v>56</v>
      </c>
      <c r="Q29" s="30"/>
      <c r="T29" s="2" t="s">
        <v>51</v>
      </c>
      <c r="U29" s="2" t="s">
        <v>51</v>
      </c>
      <c r="V29" s="18"/>
    </row>
    <row r="30" spans="5:22" x14ac:dyDescent="0.25">
      <c r="E30" s="2" t="s">
        <v>56</v>
      </c>
      <c r="Q30" s="30"/>
      <c r="T30" s="2" t="s">
        <v>51</v>
      </c>
      <c r="U30" s="2" t="s">
        <v>51</v>
      </c>
      <c r="V30" s="18"/>
    </row>
    <row r="31" spans="5:22" x14ac:dyDescent="0.25">
      <c r="E31" s="2" t="s">
        <v>56</v>
      </c>
      <c r="Q31" s="30"/>
      <c r="T31" s="2" t="s">
        <v>51</v>
      </c>
      <c r="U31" s="2" t="s">
        <v>51</v>
      </c>
      <c r="V31" s="18"/>
    </row>
    <row r="32" spans="5:22" x14ac:dyDescent="0.25">
      <c r="E32" s="2" t="s">
        <v>56</v>
      </c>
      <c r="Q32" s="30"/>
      <c r="T32" s="2" t="s">
        <v>51</v>
      </c>
      <c r="U32" s="2" t="s">
        <v>51</v>
      </c>
      <c r="V32" s="18"/>
    </row>
    <row r="33" spans="5:22" x14ac:dyDescent="0.25">
      <c r="E33" s="2" t="s">
        <v>56</v>
      </c>
      <c r="Q33" s="30"/>
      <c r="T33" s="2" t="s">
        <v>51</v>
      </c>
      <c r="U33" s="2" t="s">
        <v>51</v>
      </c>
      <c r="V33" s="18"/>
    </row>
    <row r="34" spans="5:22" x14ac:dyDescent="0.25">
      <c r="E34" s="2" t="s">
        <v>56</v>
      </c>
      <c r="Q34" s="30"/>
      <c r="T34" s="2" t="s">
        <v>51</v>
      </c>
      <c r="U34" s="2" t="s">
        <v>51</v>
      </c>
      <c r="V34" s="18"/>
    </row>
    <row r="35" spans="5:22" x14ac:dyDescent="0.25">
      <c r="E35" s="2" t="s">
        <v>56</v>
      </c>
      <c r="Q35" s="30"/>
      <c r="T35" s="2" t="s">
        <v>51</v>
      </c>
      <c r="U35" s="2" t="s">
        <v>51</v>
      </c>
      <c r="V35" s="18"/>
    </row>
    <row r="36" spans="5:22" x14ac:dyDescent="0.25">
      <c r="E36" s="2" t="s">
        <v>56</v>
      </c>
      <c r="Q36" s="30"/>
      <c r="T36" s="2" t="s">
        <v>51</v>
      </c>
      <c r="U36" s="2" t="s">
        <v>51</v>
      </c>
      <c r="V36" s="18"/>
    </row>
    <row r="37" spans="5:22" x14ac:dyDescent="0.25">
      <c r="E37" s="2" t="s">
        <v>56</v>
      </c>
      <c r="Q37" s="30"/>
      <c r="T37" s="2" t="s">
        <v>51</v>
      </c>
      <c r="U37" s="2" t="s">
        <v>51</v>
      </c>
      <c r="V37" s="18"/>
    </row>
    <row r="38" spans="5:22" x14ac:dyDescent="0.25">
      <c r="E38" s="2" t="s">
        <v>56</v>
      </c>
      <c r="Q38" s="30"/>
      <c r="T38" s="2" t="s">
        <v>51</v>
      </c>
      <c r="U38" s="2" t="s">
        <v>51</v>
      </c>
      <c r="V38" s="18"/>
    </row>
    <row r="39" spans="5:22" x14ac:dyDescent="0.25">
      <c r="E39" s="2" t="s">
        <v>56</v>
      </c>
      <c r="Q39" s="30"/>
      <c r="T39" s="2" t="s">
        <v>51</v>
      </c>
      <c r="U39" s="2" t="s">
        <v>51</v>
      </c>
      <c r="V39" s="18"/>
    </row>
    <row r="40" spans="5:22" x14ac:dyDescent="0.25">
      <c r="E40" s="2" t="s">
        <v>56</v>
      </c>
      <c r="Q40" s="30"/>
      <c r="T40" s="2" t="s">
        <v>51</v>
      </c>
      <c r="U40" s="2" t="s">
        <v>51</v>
      </c>
      <c r="V40" s="18"/>
    </row>
    <row r="41" spans="5:22" x14ac:dyDescent="0.25">
      <c r="E41" s="2" t="s">
        <v>56</v>
      </c>
      <c r="Q41" s="30"/>
      <c r="T41" s="2" t="s">
        <v>51</v>
      </c>
      <c r="U41" s="2" t="s">
        <v>51</v>
      </c>
      <c r="V41" s="18"/>
    </row>
    <row r="42" spans="5:22" x14ac:dyDescent="0.25">
      <c r="E42" s="2" t="s">
        <v>56</v>
      </c>
      <c r="Q42" s="30"/>
      <c r="T42" s="2" t="s">
        <v>51</v>
      </c>
      <c r="U42" s="2" t="s">
        <v>51</v>
      </c>
      <c r="V42" s="18"/>
    </row>
    <row r="43" spans="5:22" x14ac:dyDescent="0.25">
      <c r="E43" s="2" t="s">
        <v>56</v>
      </c>
      <c r="Q43" s="30"/>
      <c r="T43" s="2" t="s">
        <v>51</v>
      </c>
      <c r="U43" s="2" t="s">
        <v>51</v>
      </c>
      <c r="V43" s="18"/>
    </row>
    <row r="44" spans="5:22" x14ac:dyDescent="0.25">
      <c r="E44" s="2" t="s">
        <v>56</v>
      </c>
      <c r="Q44" s="30"/>
      <c r="T44" s="2" t="s">
        <v>51</v>
      </c>
      <c r="U44" s="2" t="s">
        <v>51</v>
      </c>
      <c r="V44" s="18"/>
    </row>
    <row r="45" spans="5:22" x14ac:dyDescent="0.25">
      <c r="E45" s="2" t="s">
        <v>56</v>
      </c>
      <c r="Q45" s="30"/>
      <c r="T45" s="2" t="s">
        <v>51</v>
      </c>
      <c r="U45" s="2" t="s">
        <v>51</v>
      </c>
      <c r="V45" s="18"/>
    </row>
    <row r="46" spans="5:22" x14ac:dyDescent="0.25">
      <c r="E46" s="2" t="s">
        <v>56</v>
      </c>
      <c r="Q46" s="30"/>
      <c r="T46" s="2" t="s">
        <v>51</v>
      </c>
      <c r="U46" s="2" t="s">
        <v>51</v>
      </c>
      <c r="V46" s="18"/>
    </row>
    <row r="47" spans="5:22" x14ac:dyDescent="0.25">
      <c r="E47" s="2" t="s">
        <v>56</v>
      </c>
      <c r="Q47" s="30"/>
      <c r="T47" s="2" t="s">
        <v>51</v>
      </c>
      <c r="U47" s="2" t="s">
        <v>51</v>
      </c>
      <c r="V47" s="18"/>
    </row>
    <row r="48" spans="5:22" x14ac:dyDescent="0.25">
      <c r="E48" s="2" t="s">
        <v>56</v>
      </c>
      <c r="Q48" s="30"/>
      <c r="T48" s="2" t="s">
        <v>51</v>
      </c>
      <c r="U48" s="2" t="s">
        <v>51</v>
      </c>
      <c r="V48" s="18"/>
    </row>
    <row r="49" spans="5:22" x14ac:dyDescent="0.25">
      <c r="E49" s="2" t="s">
        <v>56</v>
      </c>
      <c r="Q49" s="30"/>
      <c r="T49" s="2" t="s">
        <v>51</v>
      </c>
      <c r="U49" s="2" t="s">
        <v>51</v>
      </c>
      <c r="V49" s="18"/>
    </row>
    <row r="50" spans="5:22" x14ac:dyDescent="0.25">
      <c r="E50" s="2" t="s">
        <v>56</v>
      </c>
      <c r="Q50" s="30"/>
      <c r="T50" s="2" t="s">
        <v>51</v>
      </c>
      <c r="U50" s="2" t="s">
        <v>51</v>
      </c>
      <c r="V50" s="18"/>
    </row>
    <row r="51" spans="5:22" x14ac:dyDescent="0.25">
      <c r="E51" s="2" t="s">
        <v>56</v>
      </c>
      <c r="Q51" s="30"/>
      <c r="T51" s="2" t="s">
        <v>51</v>
      </c>
      <c r="U51" s="2" t="s">
        <v>51</v>
      </c>
      <c r="V51" s="18"/>
    </row>
    <row r="52" spans="5:22" x14ac:dyDescent="0.25">
      <c r="E52" s="2" t="s">
        <v>56</v>
      </c>
      <c r="Q52" s="30"/>
      <c r="T52" s="2" t="s">
        <v>51</v>
      </c>
      <c r="U52" s="2" t="s">
        <v>51</v>
      </c>
      <c r="V52" s="18"/>
    </row>
    <row r="53" spans="5:22" x14ac:dyDescent="0.25">
      <c r="E53" s="2" t="s">
        <v>56</v>
      </c>
      <c r="Q53" s="30"/>
      <c r="T53" s="2" t="s">
        <v>51</v>
      </c>
      <c r="U53" s="2" t="s">
        <v>51</v>
      </c>
      <c r="V53" s="18"/>
    </row>
    <row r="54" spans="5:22" x14ac:dyDescent="0.25">
      <c r="E54" s="2" t="s">
        <v>56</v>
      </c>
      <c r="Q54" s="30"/>
      <c r="T54" s="2" t="s">
        <v>51</v>
      </c>
      <c r="U54" s="2" t="s">
        <v>51</v>
      </c>
      <c r="V54" s="18"/>
    </row>
    <row r="55" spans="5:22" x14ac:dyDescent="0.25">
      <c r="E55" s="2" t="s">
        <v>56</v>
      </c>
      <c r="Q55" s="30"/>
      <c r="T55" s="2" t="s">
        <v>51</v>
      </c>
      <c r="U55" s="2" t="s">
        <v>51</v>
      </c>
      <c r="V55" s="18"/>
    </row>
    <row r="56" spans="5:22" x14ac:dyDescent="0.25">
      <c r="E56" s="2" t="s">
        <v>56</v>
      </c>
      <c r="Q56" s="30"/>
      <c r="T56" s="2" t="s">
        <v>51</v>
      </c>
      <c r="U56" s="2" t="s">
        <v>51</v>
      </c>
      <c r="V56" s="18"/>
    </row>
    <row r="57" spans="5:22" x14ac:dyDescent="0.25">
      <c r="E57" s="2" t="s">
        <v>56</v>
      </c>
      <c r="Q57" s="30"/>
      <c r="T57" s="2" t="s">
        <v>51</v>
      </c>
      <c r="U57" s="2" t="s">
        <v>51</v>
      </c>
      <c r="V57" s="18"/>
    </row>
    <row r="58" spans="5:22" x14ac:dyDescent="0.25">
      <c r="E58" s="2" t="s">
        <v>56</v>
      </c>
      <c r="Q58" s="30"/>
      <c r="T58" s="2" t="s">
        <v>51</v>
      </c>
      <c r="U58" s="2" t="s">
        <v>51</v>
      </c>
      <c r="V58" s="18"/>
    </row>
    <row r="59" spans="5:22" x14ac:dyDescent="0.25">
      <c r="E59" s="2" t="s">
        <v>56</v>
      </c>
      <c r="Q59" s="30"/>
      <c r="T59" s="2" t="s">
        <v>51</v>
      </c>
      <c r="U59" s="2" t="s">
        <v>51</v>
      </c>
      <c r="V59" s="18"/>
    </row>
    <row r="60" spans="5:22" x14ac:dyDescent="0.25">
      <c r="E60" s="2" t="s">
        <v>56</v>
      </c>
      <c r="Q60" s="30"/>
      <c r="T60" s="2" t="s">
        <v>51</v>
      </c>
      <c r="U60" s="2" t="s">
        <v>51</v>
      </c>
      <c r="V60" s="18"/>
    </row>
    <row r="61" spans="5:22" x14ac:dyDescent="0.25">
      <c r="E61" s="2" t="s">
        <v>56</v>
      </c>
      <c r="Q61" s="30"/>
      <c r="T61" s="2" t="s">
        <v>51</v>
      </c>
      <c r="U61" s="2" t="s">
        <v>51</v>
      </c>
      <c r="V61" s="18"/>
    </row>
    <row r="62" spans="5:22" x14ac:dyDescent="0.25">
      <c r="E62" s="2" t="s">
        <v>56</v>
      </c>
      <c r="Q62" s="30"/>
      <c r="T62" s="2" t="s">
        <v>51</v>
      </c>
      <c r="U62" s="2" t="s">
        <v>51</v>
      </c>
      <c r="V62" s="18"/>
    </row>
    <row r="63" spans="5:22" x14ac:dyDescent="0.25">
      <c r="E63" s="2" t="s">
        <v>56</v>
      </c>
      <c r="Q63" s="30"/>
      <c r="T63" s="2" t="s">
        <v>51</v>
      </c>
      <c r="U63" s="2" t="s">
        <v>51</v>
      </c>
      <c r="V63" s="18"/>
    </row>
    <row r="64" spans="5:22" x14ac:dyDescent="0.25">
      <c r="E64" s="2" t="s">
        <v>56</v>
      </c>
      <c r="Q64" s="30"/>
      <c r="T64" s="2" t="s">
        <v>51</v>
      </c>
      <c r="U64" s="2" t="s">
        <v>51</v>
      </c>
      <c r="V64" s="18"/>
    </row>
    <row r="65" spans="5:22" x14ac:dyDescent="0.25">
      <c r="E65" s="2" t="s">
        <v>56</v>
      </c>
      <c r="Q65" s="30"/>
      <c r="T65" s="2" t="s">
        <v>51</v>
      </c>
      <c r="U65" s="2" t="s">
        <v>51</v>
      </c>
      <c r="V65" s="18"/>
    </row>
    <row r="66" spans="5:22" x14ac:dyDescent="0.25">
      <c r="E66" s="2" t="s">
        <v>56</v>
      </c>
      <c r="Q66" s="30"/>
      <c r="T66" s="2" t="s">
        <v>51</v>
      </c>
      <c r="U66" s="2" t="s">
        <v>51</v>
      </c>
      <c r="V66" s="18"/>
    </row>
    <row r="67" spans="5:22" x14ac:dyDescent="0.25">
      <c r="E67" s="2" t="s">
        <v>56</v>
      </c>
      <c r="Q67" s="30"/>
      <c r="T67" s="2" t="s">
        <v>51</v>
      </c>
      <c r="U67" s="2" t="s">
        <v>51</v>
      </c>
      <c r="V67" s="18"/>
    </row>
    <row r="68" spans="5:22" x14ac:dyDescent="0.25">
      <c r="E68" s="2" t="s">
        <v>56</v>
      </c>
      <c r="Q68" s="30"/>
      <c r="T68" s="2" t="s">
        <v>51</v>
      </c>
      <c r="U68" s="2" t="s">
        <v>51</v>
      </c>
      <c r="V68" s="18"/>
    </row>
    <row r="69" spans="5:22" x14ac:dyDescent="0.25">
      <c r="E69" s="2" t="s">
        <v>56</v>
      </c>
      <c r="Q69" s="30"/>
      <c r="T69" s="2" t="s">
        <v>51</v>
      </c>
      <c r="U69" s="2" t="s">
        <v>51</v>
      </c>
      <c r="V69" s="18"/>
    </row>
    <row r="70" spans="5:22" x14ac:dyDescent="0.25">
      <c r="E70" s="2" t="s">
        <v>56</v>
      </c>
      <c r="Q70" s="30"/>
      <c r="T70" s="2" t="s">
        <v>51</v>
      </c>
      <c r="U70" s="2" t="s">
        <v>51</v>
      </c>
      <c r="V70" s="18"/>
    </row>
    <row r="71" spans="5:22" x14ac:dyDescent="0.25">
      <c r="E71" s="2" t="s">
        <v>56</v>
      </c>
      <c r="Q71" s="30"/>
      <c r="T71" s="2" t="s">
        <v>51</v>
      </c>
      <c r="U71" s="2" t="s">
        <v>51</v>
      </c>
      <c r="V71" s="18"/>
    </row>
    <row r="72" spans="5:22" x14ac:dyDescent="0.25">
      <c r="E72" s="2" t="s">
        <v>56</v>
      </c>
      <c r="Q72" s="30"/>
      <c r="T72" s="2" t="s">
        <v>51</v>
      </c>
      <c r="U72" s="2" t="s">
        <v>51</v>
      </c>
      <c r="V72" s="18"/>
    </row>
    <row r="73" spans="5:22" x14ac:dyDescent="0.25">
      <c r="E73" s="2" t="s">
        <v>56</v>
      </c>
      <c r="Q73" s="30"/>
      <c r="T73" s="2" t="s">
        <v>51</v>
      </c>
      <c r="U73" s="2" t="s">
        <v>51</v>
      </c>
      <c r="V73" s="18"/>
    </row>
    <row r="74" spans="5:22" x14ac:dyDescent="0.25">
      <c r="E74" s="2" t="s">
        <v>56</v>
      </c>
      <c r="Q74" s="30"/>
      <c r="T74" s="2" t="s">
        <v>51</v>
      </c>
      <c r="U74" s="2" t="s">
        <v>51</v>
      </c>
      <c r="V74" s="18"/>
    </row>
    <row r="75" spans="5:22" x14ac:dyDescent="0.25">
      <c r="E75" s="2" t="s">
        <v>56</v>
      </c>
      <c r="Q75" s="30"/>
      <c r="T75" s="2" t="s">
        <v>51</v>
      </c>
      <c r="U75" s="2" t="s">
        <v>51</v>
      </c>
      <c r="V75" s="18"/>
    </row>
    <row r="76" spans="5:22" x14ac:dyDescent="0.25">
      <c r="E76" s="2" t="s">
        <v>56</v>
      </c>
      <c r="Q76" s="30"/>
      <c r="T76" s="2" t="s">
        <v>51</v>
      </c>
      <c r="U76" s="2" t="s">
        <v>51</v>
      </c>
      <c r="V76" s="18"/>
    </row>
    <row r="77" spans="5:22" x14ac:dyDescent="0.25">
      <c r="E77" s="2" t="s">
        <v>56</v>
      </c>
      <c r="Q77" s="30"/>
      <c r="T77" s="2" t="s">
        <v>51</v>
      </c>
      <c r="U77" s="2" t="s">
        <v>51</v>
      </c>
      <c r="V77" s="18"/>
    </row>
    <row r="78" spans="5:22" x14ac:dyDescent="0.25">
      <c r="E78" s="2" t="s">
        <v>56</v>
      </c>
      <c r="Q78" s="30"/>
      <c r="T78" s="2" t="s">
        <v>51</v>
      </c>
      <c r="U78" s="2" t="s">
        <v>51</v>
      </c>
      <c r="V78" s="18"/>
    </row>
    <row r="79" spans="5:22" x14ac:dyDescent="0.25">
      <c r="E79" s="2" t="s">
        <v>56</v>
      </c>
      <c r="Q79" s="30"/>
      <c r="T79" s="2" t="s">
        <v>51</v>
      </c>
      <c r="U79" s="2" t="s">
        <v>51</v>
      </c>
      <c r="V79" s="18"/>
    </row>
    <row r="80" spans="5:22" x14ac:dyDescent="0.25">
      <c r="E80" s="2" t="s">
        <v>56</v>
      </c>
      <c r="Q80" s="30"/>
      <c r="T80" s="2" t="s">
        <v>51</v>
      </c>
      <c r="U80" s="2" t="s">
        <v>51</v>
      </c>
      <c r="V80" s="18"/>
    </row>
    <row r="81" spans="5:22" x14ac:dyDescent="0.25">
      <c r="E81" s="2" t="s">
        <v>56</v>
      </c>
      <c r="Q81" s="30"/>
      <c r="T81" s="2" t="s">
        <v>51</v>
      </c>
      <c r="U81" s="2" t="s">
        <v>51</v>
      </c>
      <c r="V81" s="18"/>
    </row>
    <row r="82" spans="5:22" x14ac:dyDescent="0.25">
      <c r="E82" s="2" t="s">
        <v>56</v>
      </c>
      <c r="Q82" s="30"/>
      <c r="T82" s="2" t="s">
        <v>51</v>
      </c>
      <c r="U82" s="2" t="s">
        <v>51</v>
      </c>
      <c r="V82" s="18"/>
    </row>
    <row r="83" spans="5:22" x14ac:dyDescent="0.25">
      <c r="E83" s="2" t="s">
        <v>56</v>
      </c>
      <c r="Q83" s="30"/>
      <c r="T83" s="2" t="s">
        <v>51</v>
      </c>
      <c r="U83" s="2" t="s">
        <v>51</v>
      </c>
      <c r="V83" s="18"/>
    </row>
    <row r="84" spans="5:22" x14ac:dyDescent="0.25">
      <c r="E84" s="2" t="s">
        <v>56</v>
      </c>
      <c r="Q84" s="30"/>
      <c r="T84" s="2" t="s">
        <v>51</v>
      </c>
      <c r="U84" s="2" t="s">
        <v>51</v>
      </c>
      <c r="V84" s="18"/>
    </row>
    <row r="85" spans="5:22" x14ac:dyDescent="0.25">
      <c r="E85" s="2" t="s">
        <v>56</v>
      </c>
      <c r="Q85" s="30"/>
      <c r="T85" s="2" t="s">
        <v>51</v>
      </c>
      <c r="U85" s="2" t="s">
        <v>51</v>
      </c>
      <c r="V85" s="18"/>
    </row>
    <row r="86" spans="5:22" x14ac:dyDescent="0.25">
      <c r="E86" s="2" t="s">
        <v>56</v>
      </c>
      <c r="Q86" s="30"/>
      <c r="T86" s="2" t="s">
        <v>51</v>
      </c>
      <c r="U86" s="2" t="s">
        <v>51</v>
      </c>
      <c r="V86" s="18"/>
    </row>
    <row r="87" spans="5:22" x14ac:dyDescent="0.25">
      <c r="E87" s="2" t="s">
        <v>56</v>
      </c>
      <c r="Q87" s="30"/>
      <c r="T87" s="2" t="s">
        <v>51</v>
      </c>
      <c r="U87" s="2" t="s">
        <v>51</v>
      </c>
      <c r="V87" s="18"/>
    </row>
    <row r="88" spans="5:22" x14ac:dyDescent="0.25">
      <c r="E88" s="2" t="s">
        <v>56</v>
      </c>
      <c r="Q88" s="30"/>
      <c r="T88" s="2" t="s">
        <v>51</v>
      </c>
      <c r="U88" s="2" t="s">
        <v>51</v>
      </c>
      <c r="V88" s="18"/>
    </row>
    <row r="89" spans="5:22" x14ac:dyDescent="0.25">
      <c r="E89" s="2" t="s">
        <v>56</v>
      </c>
      <c r="Q89" s="30"/>
      <c r="T89" s="2" t="s">
        <v>51</v>
      </c>
      <c r="U89" s="2" t="s">
        <v>51</v>
      </c>
      <c r="V89" s="18"/>
    </row>
    <row r="90" spans="5:22" x14ac:dyDescent="0.25">
      <c r="E90" s="2" t="s">
        <v>56</v>
      </c>
      <c r="Q90" s="30"/>
      <c r="T90" s="2" t="s">
        <v>51</v>
      </c>
      <c r="U90" s="2" t="s">
        <v>51</v>
      </c>
      <c r="V90" s="18"/>
    </row>
    <row r="91" spans="5:22" x14ac:dyDescent="0.25">
      <c r="E91" s="2" t="s">
        <v>56</v>
      </c>
      <c r="Q91" s="30"/>
      <c r="T91" s="2" t="s">
        <v>51</v>
      </c>
      <c r="U91" s="2" t="s">
        <v>51</v>
      </c>
      <c r="V91" s="18"/>
    </row>
    <row r="92" spans="5:22" x14ac:dyDescent="0.25">
      <c r="E92" s="2" t="s">
        <v>56</v>
      </c>
      <c r="Q92" s="30"/>
      <c r="T92" s="2" t="s">
        <v>51</v>
      </c>
      <c r="U92" s="2" t="s">
        <v>51</v>
      </c>
      <c r="V92" s="18"/>
    </row>
    <row r="93" spans="5:22" x14ac:dyDescent="0.25">
      <c r="E93" s="2" t="s">
        <v>56</v>
      </c>
      <c r="Q93" s="30"/>
      <c r="T93" s="2" t="s">
        <v>51</v>
      </c>
      <c r="U93" s="2" t="s">
        <v>51</v>
      </c>
      <c r="V93" s="18"/>
    </row>
    <row r="94" spans="5:22" x14ac:dyDescent="0.25">
      <c r="E94" s="2" t="s">
        <v>56</v>
      </c>
      <c r="Q94" s="30"/>
      <c r="T94" s="2" t="s">
        <v>51</v>
      </c>
      <c r="U94" s="2" t="s">
        <v>51</v>
      </c>
      <c r="V94" s="18"/>
    </row>
    <row r="95" spans="5:22" x14ac:dyDescent="0.25">
      <c r="E95" s="2" t="s">
        <v>56</v>
      </c>
      <c r="Q95" s="30"/>
      <c r="T95" s="2" t="s">
        <v>51</v>
      </c>
      <c r="U95" s="2" t="s">
        <v>51</v>
      </c>
      <c r="V95" s="18"/>
    </row>
    <row r="96" spans="5:22" x14ac:dyDescent="0.25">
      <c r="E96" s="2" t="s">
        <v>56</v>
      </c>
      <c r="Q96" s="30"/>
      <c r="T96" s="2" t="s">
        <v>51</v>
      </c>
      <c r="U96" s="2" t="s">
        <v>51</v>
      </c>
      <c r="V96" s="18"/>
    </row>
    <row r="97" spans="5:22" x14ac:dyDescent="0.25">
      <c r="E97" s="2" t="s">
        <v>56</v>
      </c>
      <c r="Q97" s="30"/>
      <c r="T97" s="2" t="s">
        <v>51</v>
      </c>
      <c r="U97" s="2" t="s">
        <v>51</v>
      </c>
      <c r="V97" s="18"/>
    </row>
    <row r="98" spans="5:22" x14ac:dyDescent="0.25">
      <c r="E98" s="2" t="s">
        <v>56</v>
      </c>
      <c r="Q98" s="30"/>
      <c r="T98" s="2" t="s">
        <v>51</v>
      </c>
      <c r="U98" s="2" t="s">
        <v>51</v>
      </c>
      <c r="V98" s="18"/>
    </row>
    <row r="99" spans="5:22" x14ac:dyDescent="0.25">
      <c r="E99" s="2" t="s">
        <v>56</v>
      </c>
      <c r="Q99" s="30"/>
      <c r="T99" s="2" t="s">
        <v>51</v>
      </c>
      <c r="U99" s="2" t="s">
        <v>51</v>
      </c>
      <c r="V99" s="18"/>
    </row>
  </sheetData>
  <sheetProtection selectLockedCells="1" selectUnlockedCells="1"/>
  <dataValidations count="5">
    <dataValidation type="decimal" allowBlank="1" showDropDown="1" showErrorMessage="1" sqref="Q1" xr:uid="{00000000-0002-0000-0500-000000000000}">
      <formula1>0</formula1>
      <formula2>100000</formula2>
    </dataValidation>
    <dataValidation type="list" allowBlank="1" showErrorMessage="1" sqref="E3:E99" xr:uid="{00000000-0002-0000-0500-000001000000}">
      <formula1>"bitte auswählen,Brettspiele,Kartenspiele,Sonstige Gesellschaftsspiele,PC-Spiele,Mac-Spiele,Playstation I,Playstation II,Playstation III,Playstation Portable,Nintendo DS,Nintendo Gameboy,Nintendo Gameboy Advance,Nintendo Gamecube,Wii,Xbox"</formula1>
      <formula2>0</formula2>
    </dataValidation>
    <dataValidation type="list" allowBlank="1" showErrorMessage="1" sqref="E2" xr:uid="{00000000-0002-0000-0500-000002000000}">
      <formula1>"bitte auswählen,Brettspiele,Kartenspiele,Sonstige Gesellschaftsspiele,PC-Spiele,Mac-Spiele,PS I,PS II,PS III,PS Portable,Nintendo DS,Nintendo Gameboy,Nintendo Gameboy Advance,Nintendo Gamecube,Wii,Xbox,Xbox360,Sonstige Konsolen"</formula1>
      <formula2>0</formula2>
    </dataValidation>
    <dataValidation type="list" allowBlank="1" showErrorMessage="1" sqref="U2:U99" xr:uid="{00000000-0002-0000-0500-000003000000}">
      <formula1>"nein,ja (nur gewerblich),"</formula1>
      <formula2>0</formula2>
    </dataValidation>
    <dataValidation type="list" allowBlank="1" showErrorMessage="1" sqref="T2:T99" xr:uid="{00000000-0002-0000-0500-000004000000}">
      <formula1>"nein,ja"</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2DDFD-6FDD-4C36-AAF7-075BC0855786}">
  <dimension ref="A1:AE99"/>
  <sheetViews>
    <sheetView topLeftCell="C1" zoomScale="115" zoomScaleNormal="115" workbookViewId="0">
      <selection activeCell="Y4" sqref="Y4"/>
    </sheetView>
  </sheetViews>
  <sheetFormatPr baseColWidth="10" defaultColWidth="11.5546875" defaultRowHeight="13.2" x14ac:dyDescent="0.25"/>
  <cols>
    <col min="1" max="2" width="11.5546875" style="181" hidden="1" customWidth="1"/>
    <col min="3" max="4" width="11.5546875" style="181"/>
    <col min="5" max="5" width="20.5546875" style="181" customWidth="1"/>
    <col min="6" max="6" width="11.5546875" style="181"/>
    <col min="7" max="7" width="18.88671875" style="181" hidden="1" customWidth="1"/>
    <col min="8" max="8" width="18.109375" style="181" hidden="1" customWidth="1"/>
    <col min="9" max="9" width="15.5546875" style="181" customWidth="1"/>
    <col min="10" max="10" width="26.109375" style="181" customWidth="1"/>
    <col min="11" max="11" width="11.5546875" style="181" hidden="1" customWidth="1"/>
    <col min="12" max="12" width="16.6640625" style="181" customWidth="1"/>
    <col min="13" max="13" width="16.5546875" style="181" customWidth="1"/>
    <col min="14" max="14" width="16.88671875" style="181" hidden="1" customWidth="1"/>
    <col min="15" max="15" width="11.5546875" style="181"/>
    <col min="16" max="16" width="14.6640625" style="181" customWidth="1"/>
    <col min="17" max="17" width="17.33203125" style="181" customWidth="1"/>
    <col min="18" max="22" width="17.33203125" style="197" hidden="1" customWidth="1"/>
    <col min="23" max="23" width="0" style="181" hidden="1" customWidth="1"/>
    <col min="24" max="27" width="11.5546875" style="197"/>
    <col min="28" max="28" width="11.5546875" style="181"/>
    <col min="29" max="29" width="23.109375" style="181" customWidth="1"/>
    <col min="30" max="30" width="11.5546875" style="181"/>
    <col min="31" max="31" width="39.6640625" style="183" customWidth="1"/>
    <col min="32" max="16384" width="11.5546875" style="181"/>
  </cols>
  <sheetData>
    <row r="1" spans="1:31" x14ac:dyDescent="0.25">
      <c r="A1" s="187" t="s">
        <v>26</v>
      </c>
      <c r="B1" s="187" t="s">
        <v>27</v>
      </c>
      <c r="C1" s="188" t="s">
        <v>28</v>
      </c>
      <c r="D1" s="186" t="s">
        <v>29</v>
      </c>
      <c r="E1" s="187" t="s">
        <v>71</v>
      </c>
      <c r="F1" s="186" t="s">
        <v>31</v>
      </c>
      <c r="G1" s="186" t="s">
        <v>72</v>
      </c>
      <c r="H1" s="186" t="s">
        <v>73</v>
      </c>
      <c r="I1" s="189" t="s">
        <v>34</v>
      </c>
      <c r="J1" s="186" t="s">
        <v>35</v>
      </c>
      <c r="K1" s="186" t="s">
        <v>36</v>
      </c>
      <c r="L1" s="190" t="s">
        <v>64</v>
      </c>
      <c r="M1" s="188" t="s">
        <v>74</v>
      </c>
      <c r="N1" s="186" t="s">
        <v>75</v>
      </c>
      <c r="O1" s="186" t="s">
        <v>40</v>
      </c>
      <c r="P1" s="191" t="s">
        <v>41</v>
      </c>
      <c r="Q1" s="192" t="s">
        <v>42</v>
      </c>
      <c r="R1" s="200" t="s">
        <v>4882</v>
      </c>
      <c r="S1" s="200" t="s">
        <v>8641</v>
      </c>
      <c r="T1" s="200" t="s">
        <v>6554</v>
      </c>
      <c r="U1" s="200" t="s">
        <v>6556</v>
      </c>
      <c r="V1" s="200" t="s">
        <v>8607</v>
      </c>
      <c r="W1" s="200" t="s">
        <v>8608</v>
      </c>
      <c r="X1" s="76">
        <v>43739</v>
      </c>
      <c r="Y1" s="76">
        <v>43770</v>
      </c>
      <c r="Z1" s="76">
        <v>43800</v>
      </c>
      <c r="AA1" s="200"/>
      <c r="AB1" s="186" t="s">
        <v>45</v>
      </c>
      <c r="AC1" s="186" t="s">
        <v>46</v>
      </c>
      <c r="AD1" s="186" t="s">
        <v>47</v>
      </c>
      <c r="AE1" s="186" t="s">
        <v>50</v>
      </c>
    </row>
    <row r="2" spans="1:31" s="148" customFormat="1" x14ac:dyDescent="0.25">
      <c r="C2" s="148" t="s">
        <v>9642</v>
      </c>
      <c r="E2" s="146" t="s">
        <v>9643</v>
      </c>
      <c r="I2" s="148">
        <v>2</v>
      </c>
      <c r="L2" s="266">
        <v>4012160221863</v>
      </c>
      <c r="M2" s="148">
        <v>0</v>
      </c>
      <c r="O2" s="148" t="s">
        <v>9644</v>
      </c>
      <c r="P2" s="148">
        <v>107</v>
      </c>
      <c r="Q2" s="245">
        <f>W2-1.2</f>
        <v>1.7806999999999997</v>
      </c>
      <c r="R2" s="245">
        <v>1.9</v>
      </c>
      <c r="S2" s="245">
        <v>0.34</v>
      </c>
      <c r="T2" s="245">
        <v>0.67</v>
      </c>
      <c r="U2" s="245">
        <f>(S2+T2)/100*7</f>
        <v>7.0699999999999999E-2</v>
      </c>
      <c r="V2" s="245">
        <v>2.98</v>
      </c>
      <c r="W2" s="242">
        <f>R2+S2+T2+U2</f>
        <v>2.9806999999999997</v>
      </c>
      <c r="X2" s="242"/>
      <c r="Y2" s="242">
        <f>Q2-U2</f>
        <v>1.7099999999999997</v>
      </c>
      <c r="Z2" s="242"/>
      <c r="AA2" s="242"/>
      <c r="AC2" s="146" t="s">
        <v>51</v>
      </c>
      <c r="AD2" s="146" t="s">
        <v>51</v>
      </c>
      <c r="AE2" s="203"/>
    </row>
    <row r="3" spans="1:31" x14ac:dyDescent="0.25">
      <c r="A3" s="197"/>
      <c r="B3" s="197"/>
      <c r="C3" s="197" t="s">
        <v>9645</v>
      </c>
      <c r="D3" s="197"/>
      <c r="E3" s="198" t="s">
        <v>9643</v>
      </c>
      <c r="F3" s="197">
        <v>2012</v>
      </c>
      <c r="G3" s="197"/>
      <c r="H3" s="197"/>
      <c r="I3" s="197">
        <v>2</v>
      </c>
      <c r="J3" s="197"/>
      <c r="K3" s="197"/>
      <c r="L3" s="222">
        <v>4012160221986</v>
      </c>
      <c r="M3" s="197">
        <v>7</v>
      </c>
      <c r="N3" s="197"/>
      <c r="O3" s="197" t="s">
        <v>9646</v>
      </c>
      <c r="P3" s="197">
        <v>88</v>
      </c>
      <c r="Q3" s="201">
        <f t="shared" ref="Q3:Q15" si="0">W3-1.2</f>
        <v>3.7388000000000003</v>
      </c>
      <c r="R3" s="201">
        <v>1.9</v>
      </c>
      <c r="S3" s="201">
        <v>0.34</v>
      </c>
      <c r="T3" s="201">
        <v>2.5</v>
      </c>
      <c r="U3" s="201">
        <f t="shared" ref="U3:U15" si="1">(S3+T3)/100*7</f>
        <v>0.19879999999999998</v>
      </c>
      <c r="V3" s="201">
        <v>4.93</v>
      </c>
      <c r="W3" s="102">
        <f t="shared" ref="W3:W17" si="2">R3+S3+T3+U3</f>
        <v>4.9388000000000005</v>
      </c>
      <c r="X3" s="102"/>
      <c r="Y3" s="102"/>
      <c r="Z3" s="102"/>
      <c r="AA3" s="102"/>
      <c r="AB3" s="197"/>
      <c r="AC3" s="198" t="s">
        <v>51</v>
      </c>
      <c r="AD3" s="198" t="s">
        <v>51</v>
      </c>
      <c r="AE3" s="199"/>
    </row>
    <row r="4" spans="1:31" s="111" customFormat="1" x14ac:dyDescent="0.25">
      <c r="C4" s="111" t="s">
        <v>9647</v>
      </c>
      <c r="E4" s="113" t="s">
        <v>9643</v>
      </c>
      <c r="F4" s="111">
        <v>2012</v>
      </c>
      <c r="I4" s="111">
        <v>2</v>
      </c>
      <c r="L4" s="272">
        <v>45496522711</v>
      </c>
      <c r="M4" s="111">
        <v>0</v>
      </c>
      <c r="O4" s="111" t="s">
        <v>9648</v>
      </c>
      <c r="P4" s="111">
        <v>101</v>
      </c>
      <c r="Q4" s="273">
        <f t="shared" si="0"/>
        <v>1.4382999999999997</v>
      </c>
      <c r="R4" s="273">
        <v>1.9</v>
      </c>
      <c r="S4" s="273">
        <v>0.34</v>
      </c>
      <c r="T4" s="273">
        <v>0.35</v>
      </c>
      <c r="U4" s="273">
        <f t="shared" si="1"/>
        <v>4.8299999999999996E-2</v>
      </c>
      <c r="V4" s="273"/>
      <c r="W4" s="274">
        <f t="shared" si="2"/>
        <v>2.6382999999999996</v>
      </c>
      <c r="X4" s="274"/>
      <c r="Y4" s="274"/>
      <c r="Z4" s="274">
        <v>9.5</v>
      </c>
      <c r="AA4" s="274"/>
      <c r="AC4" s="113" t="s">
        <v>51</v>
      </c>
      <c r="AD4" s="113" t="s">
        <v>51</v>
      </c>
      <c r="AE4" s="108"/>
    </row>
    <row r="5" spans="1:31" s="111" customFormat="1" x14ac:dyDescent="0.25">
      <c r="C5" s="111" t="s">
        <v>9649</v>
      </c>
      <c r="E5" s="113" t="s">
        <v>9643</v>
      </c>
      <c r="F5" s="111">
        <v>2013</v>
      </c>
      <c r="I5" s="111">
        <v>2</v>
      </c>
      <c r="L5" s="272">
        <v>4012160222037</v>
      </c>
      <c r="M5" s="111">
        <v>6</v>
      </c>
      <c r="O5" s="111" t="s">
        <v>9650</v>
      </c>
      <c r="P5" s="111">
        <v>85</v>
      </c>
      <c r="Q5" s="273">
        <f t="shared" si="0"/>
        <v>2.5510999999999999</v>
      </c>
      <c r="R5" s="273">
        <v>1.9</v>
      </c>
      <c r="S5" s="273">
        <v>0.34</v>
      </c>
      <c r="T5" s="273">
        <v>1.39</v>
      </c>
      <c r="U5" s="273">
        <f t="shared" si="1"/>
        <v>0.1211</v>
      </c>
      <c r="V5" s="273">
        <v>3.79</v>
      </c>
      <c r="W5" s="274">
        <f t="shared" si="2"/>
        <v>3.7511000000000001</v>
      </c>
      <c r="X5" s="274"/>
      <c r="Y5" s="274"/>
      <c r="Z5" s="274">
        <v>3.45</v>
      </c>
      <c r="AA5" s="274"/>
      <c r="AC5" s="113" t="s">
        <v>51</v>
      </c>
      <c r="AD5" s="113" t="s">
        <v>51</v>
      </c>
      <c r="AE5" s="108"/>
    </row>
    <row r="6" spans="1:31" s="111" customFormat="1" x14ac:dyDescent="0.25">
      <c r="C6" s="111" t="s">
        <v>9651</v>
      </c>
      <c r="E6" s="113" t="s">
        <v>9643</v>
      </c>
      <c r="F6" s="111">
        <v>2011</v>
      </c>
      <c r="I6" s="111">
        <v>2</v>
      </c>
      <c r="L6" s="272">
        <v>45496528584</v>
      </c>
      <c r="M6" s="111">
        <v>0</v>
      </c>
      <c r="O6" s="111" t="s">
        <v>9652</v>
      </c>
      <c r="P6" s="111">
        <v>77</v>
      </c>
      <c r="Q6" s="273">
        <f t="shared" si="0"/>
        <v>1.4382999999999997</v>
      </c>
      <c r="R6" s="273">
        <v>1.9</v>
      </c>
      <c r="S6" s="273">
        <v>0.34</v>
      </c>
      <c r="T6" s="273">
        <v>0.35</v>
      </c>
      <c r="U6" s="273">
        <f t="shared" si="1"/>
        <v>4.8299999999999996E-2</v>
      </c>
      <c r="V6" s="273"/>
      <c r="W6" s="274">
        <f t="shared" si="2"/>
        <v>2.6382999999999996</v>
      </c>
      <c r="X6" s="274"/>
      <c r="Y6" s="274"/>
      <c r="Z6" s="274">
        <v>2.4</v>
      </c>
      <c r="AA6" s="274"/>
      <c r="AC6" s="113" t="s">
        <v>51</v>
      </c>
      <c r="AD6" s="113" t="s">
        <v>51</v>
      </c>
      <c r="AE6" s="108"/>
    </row>
    <row r="7" spans="1:31" x14ac:dyDescent="0.25">
      <c r="A7" s="197"/>
      <c r="B7" s="197"/>
      <c r="C7" s="197" t="s">
        <v>9653</v>
      </c>
      <c r="D7" s="197"/>
      <c r="E7" s="198" t="s">
        <v>9643</v>
      </c>
      <c r="F7" s="197"/>
      <c r="G7" s="197"/>
      <c r="H7" s="197"/>
      <c r="I7" s="197">
        <v>2</v>
      </c>
      <c r="J7" s="197"/>
      <c r="K7" s="197"/>
      <c r="L7" s="222">
        <v>5414233173731</v>
      </c>
      <c r="M7" s="197">
        <v>0</v>
      </c>
      <c r="N7" s="197"/>
      <c r="O7" s="197" t="s">
        <v>9654</v>
      </c>
      <c r="P7" s="197">
        <v>87</v>
      </c>
      <c r="Q7" s="201">
        <f t="shared" si="0"/>
        <v>5.3009999999999993</v>
      </c>
      <c r="R7" s="201">
        <v>1.9</v>
      </c>
      <c r="S7" s="201">
        <v>0.34</v>
      </c>
      <c r="T7" s="201">
        <v>3.96</v>
      </c>
      <c r="U7" s="201">
        <f t="shared" si="1"/>
        <v>0.30099999999999999</v>
      </c>
      <c r="V7" s="201">
        <v>6.5</v>
      </c>
      <c r="W7" s="102">
        <f t="shared" si="2"/>
        <v>6.5009999999999994</v>
      </c>
      <c r="X7" s="102"/>
      <c r="Y7" s="102"/>
      <c r="Z7" s="102"/>
      <c r="AA7" s="102"/>
      <c r="AB7" s="197"/>
      <c r="AC7" s="198" t="s">
        <v>51</v>
      </c>
      <c r="AD7" s="198" t="s">
        <v>51</v>
      </c>
      <c r="AE7" s="199"/>
    </row>
    <row r="8" spans="1:31" s="111" customFormat="1" x14ac:dyDescent="0.25">
      <c r="C8" s="111" t="s">
        <v>9655</v>
      </c>
      <c r="E8" s="113" t="s">
        <v>9643</v>
      </c>
      <c r="F8" s="111">
        <v>2007</v>
      </c>
      <c r="I8" s="111">
        <v>2</v>
      </c>
      <c r="L8" s="272">
        <v>3307210505996</v>
      </c>
      <c r="M8" s="111">
        <v>0</v>
      </c>
      <c r="O8" s="111" t="s">
        <v>9656</v>
      </c>
      <c r="P8" s="111">
        <v>113</v>
      </c>
      <c r="Q8" s="273">
        <f t="shared" si="0"/>
        <v>5.6969000000000003</v>
      </c>
      <c r="R8" s="273">
        <v>1.9</v>
      </c>
      <c r="S8" s="273">
        <v>0.34</v>
      </c>
      <c r="T8" s="273">
        <v>4.33</v>
      </c>
      <c r="U8" s="273">
        <f t="shared" si="1"/>
        <v>0.32689999999999997</v>
      </c>
      <c r="V8" s="273">
        <v>6.9</v>
      </c>
      <c r="W8" s="274">
        <f t="shared" si="2"/>
        <v>6.8969000000000005</v>
      </c>
      <c r="X8" s="274"/>
      <c r="Y8" s="274"/>
      <c r="Z8" s="274">
        <v>2.99</v>
      </c>
      <c r="AA8" s="274"/>
      <c r="AC8" s="113" t="s">
        <v>51</v>
      </c>
      <c r="AD8" s="113" t="s">
        <v>51</v>
      </c>
      <c r="AE8" s="108"/>
    </row>
    <row r="9" spans="1:31" s="111" customFormat="1" x14ac:dyDescent="0.25">
      <c r="C9" s="111" t="s">
        <v>9657</v>
      </c>
      <c r="E9" s="113" t="s">
        <v>9643</v>
      </c>
      <c r="F9" s="111">
        <v>2005</v>
      </c>
      <c r="I9" s="111">
        <v>2</v>
      </c>
      <c r="L9" s="272">
        <v>4005209084208</v>
      </c>
      <c r="M9" s="111">
        <v>0</v>
      </c>
      <c r="O9" s="111" t="s">
        <v>9658</v>
      </c>
      <c r="P9" s="111">
        <v>93</v>
      </c>
      <c r="Q9" s="273">
        <f t="shared" si="0"/>
        <v>2.7972000000000001</v>
      </c>
      <c r="R9" s="273">
        <v>1.9</v>
      </c>
      <c r="S9" s="273">
        <v>0.34</v>
      </c>
      <c r="T9" s="273">
        <v>1.62</v>
      </c>
      <c r="U9" s="273">
        <f t="shared" si="1"/>
        <v>0.13720000000000002</v>
      </c>
      <c r="V9" s="273">
        <v>4</v>
      </c>
      <c r="W9" s="274">
        <f t="shared" si="2"/>
        <v>3.9971999999999999</v>
      </c>
      <c r="X9" s="274"/>
      <c r="Y9" s="274"/>
      <c r="Z9" s="274">
        <v>2.7</v>
      </c>
      <c r="AA9" s="274"/>
      <c r="AC9" s="113" t="s">
        <v>51</v>
      </c>
      <c r="AD9" s="113" t="s">
        <v>51</v>
      </c>
      <c r="AE9" s="108"/>
    </row>
    <row r="10" spans="1:31" x14ac:dyDescent="0.25">
      <c r="A10" s="197"/>
      <c r="B10" s="197"/>
      <c r="C10" s="197" t="s">
        <v>9659</v>
      </c>
      <c r="D10" s="197"/>
      <c r="E10" s="198" t="s">
        <v>9660</v>
      </c>
      <c r="F10" s="197">
        <v>2009</v>
      </c>
      <c r="G10" s="197"/>
      <c r="H10" s="197"/>
      <c r="I10" s="197">
        <v>2</v>
      </c>
      <c r="J10" s="197"/>
      <c r="K10" s="197"/>
      <c r="L10" s="222">
        <v>23272008321</v>
      </c>
      <c r="M10" s="197">
        <v>12</v>
      </c>
      <c r="N10" s="197"/>
      <c r="O10" s="197" t="s">
        <v>9661</v>
      </c>
      <c r="P10" s="197">
        <v>144</v>
      </c>
      <c r="Q10" s="201">
        <f t="shared" si="0"/>
        <v>1.4382999999999997</v>
      </c>
      <c r="R10" s="201">
        <v>1.9</v>
      </c>
      <c r="S10" s="201">
        <v>0.34</v>
      </c>
      <c r="T10" s="201">
        <v>0.35</v>
      </c>
      <c r="U10" s="201">
        <f t="shared" si="1"/>
        <v>4.8299999999999996E-2</v>
      </c>
      <c r="V10" s="201"/>
      <c r="W10" s="102">
        <f t="shared" si="2"/>
        <v>2.6382999999999996</v>
      </c>
      <c r="X10" s="102"/>
      <c r="Y10" s="102"/>
      <c r="Z10" s="102"/>
      <c r="AA10" s="102"/>
      <c r="AB10" s="197"/>
      <c r="AC10" s="198" t="s">
        <v>51</v>
      </c>
      <c r="AD10" s="198" t="s">
        <v>51</v>
      </c>
      <c r="AE10" s="199"/>
    </row>
    <row r="11" spans="1:31" x14ac:dyDescent="0.25">
      <c r="A11" s="197"/>
      <c r="B11" s="197"/>
      <c r="C11" s="197" t="s">
        <v>9662</v>
      </c>
      <c r="D11" s="197"/>
      <c r="E11" s="198" t="s">
        <v>9660</v>
      </c>
      <c r="F11" s="197">
        <v>2008</v>
      </c>
      <c r="G11" s="197"/>
      <c r="H11" s="197"/>
      <c r="I11" s="197">
        <v>2</v>
      </c>
      <c r="J11" s="197"/>
      <c r="K11" s="197"/>
      <c r="L11" s="222">
        <v>4012160010153</v>
      </c>
      <c r="M11" s="197">
        <v>6</v>
      </c>
      <c r="N11" s="197"/>
      <c r="O11" s="197" t="s">
        <v>9663</v>
      </c>
      <c r="P11" s="197">
        <v>139</v>
      </c>
      <c r="Q11" s="201">
        <f t="shared" si="0"/>
        <v>1.4382999999999997</v>
      </c>
      <c r="R11" s="201">
        <v>1.9</v>
      </c>
      <c r="S11" s="201">
        <v>0.34</v>
      </c>
      <c r="T11" s="201">
        <v>0.35</v>
      </c>
      <c r="U11" s="201">
        <f t="shared" si="1"/>
        <v>4.8299999999999996E-2</v>
      </c>
      <c r="V11" s="201">
        <v>1.25</v>
      </c>
      <c r="W11" s="102">
        <f t="shared" si="2"/>
        <v>2.6382999999999996</v>
      </c>
      <c r="X11" s="102"/>
      <c r="Y11" s="102"/>
      <c r="Z11" s="102"/>
      <c r="AA11" s="102"/>
      <c r="AB11" s="197"/>
      <c r="AC11" s="198" t="s">
        <v>51</v>
      </c>
      <c r="AD11" s="198" t="s">
        <v>51</v>
      </c>
      <c r="AE11" s="199"/>
    </row>
    <row r="12" spans="1:31" s="111" customFormat="1" x14ac:dyDescent="0.25">
      <c r="C12" s="111" t="s">
        <v>9664</v>
      </c>
      <c r="E12" s="113" t="s">
        <v>9665</v>
      </c>
      <c r="F12" s="111">
        <v>2011</v>
      </c>
      <c r="I12" s="111">
        <v>2</v>
      </c>
      <c r="L12" s="272">
        <v>5051890027979</v>
      </c>
      <c r="M12" s="111">
        <v>16</v>
      </c>
      <c r="O12" s="111" t="s">
        <v>9666</v>
      </c>
      <c r="P12" s="111">
        <v>89</v>
      </c>
      <c r="Q12" s="273">
        <f t="shared" si="0"/>
        <v>7.858299999999999</v>
      </c>
      <c r="R12" s="273">
        <v>1.9</v>
      </c>
      <c r="S12" s="273">
        <v>0.34</v>
      </c>
      <c r="T12" s="273">
        <v>6.35</v>
      </c>
      <c r="U12" s="273">
        <f t="shared" si="1"/>
        <v>0.46829999999999999</v>
      </c>
      <c r="V12" s="273">
        <f>7.5+1.6</f>
        <v>9.1</v>
      </c>
      <c r="W12" s="274">
        <f t="shared" si="2"/>
        <v>9.0582999999999991</v>
      </c>
      <c r="X12" s="274"/>
      <c r="Y12" s="274"/>
      <c r="Z12" s="274">
        <v>1.5</v>
      </c>
      <c r="AA12" s="274"/>
      <c r="AC12" s="113" t="s">
        <v>51</v>
      </c>
      <c r="AD12" s="113" t="s">
        <v>51</v>
      </c>
      <c r="AE12" s="108"/>
    </row>
    <row r="13" spans="1:31" x14ac:dyDescent="0.25">
      <c r="A13" s="197"/>
      <c r="B13" s="197"/>
      <c r="C13" s="197" t="s">
        <v>9667</v>
      </c>
      <c r="D13" s="197"/>
      <c r="E13" s="198" t="s">
        <v>9665</v>
      </c>
      <c r="F13" s="197">
        <v>2013</v>
      </c>
      <c r="G13" s="197"/>
      <c r="H13" s="197"/>
      <c r="I13" s="197">
        <v>3</v>
      </c>
      <c r="J13" s="197" t="s">
        <v>9668</v>
      </c>
      <c r="K13" s="197"/>
      <c r="L13" s="222">
        <v>3307210333322</v>
      </c>
      <c r="M13" s="197">
        <v>18</v>
      </c>
      <c r="N13" s="197"/>
      <c r="O13" s="197" t="s">
        <v>9669</v>
      </c>
      <c r="P13" s="197">
        <v>79</v>
      </c>
      <c r="Q13" s="201">
        <f t="shared" si="0"/>
        <v>2.1873000000000005</v>
      </c>
      <c r="R13" s="201">
        <v>1.9</v>
      </c>
      <c r="S13" s="201">
        <v>0.34</v>
      </c>
      <c r="T13" s="201">
        <v>1.05</v>
      </c>
      <c r="U13" s="201">
        <f t="shared" si="1"/>
        <v>9.7300000000000011E-2</v>
      </c>
      <c r="V13" s="201">
        <v>3.4</v>
      </c>
      <c r="W13" s="102">
        <f t="shared" si="2"/>
        <v>3.3873000000000002</v>
      </c>
      <c r="X13" s="102"/>
      <c r="Y13" s="102"/>
      <c r="Z13" s="102"/>
      <c r="AA13" s="102"/>
      <c r="AB13" s="197"/>
      <c r="AC13" s="198" t="s">
        <v>51</v>
      </c>
      <c r="AD13" s="198" t="s">
        <v>51</v>
      </c>
      <c r="AE13" s="199"/>
    </row>
    <row r="14" spans="1:31" s="111" customFormat="1" x14ac:dyDescent="0.25">
      <c r="C14" s="111" t="s">
        <v>9670</v>
      </c>
      <c r="E14" s="113" t="s">
        <v>9665</v>
      </c>
      <c r="F14" s="111">
        <v>2009</v>
      </c>
      <c r="I14" s="111">
        <v>3</v>
      </c>
      <c r="J14" s="111" t="s">
        <v>9668</v>
      </c>
      <c r="L14" s="272">
        <v>5024866339390</v>
      </c>
      <c r="M14" s="111">
        <v>16</v>
      </c>
      <c r="O14" s="111" t="s">
        <v>9671</v>
      </c>
      <c r="P14" s="111">
        <v>86</v>
      </c>
      <c r="Q14" s="273">
        <f t="shared" si="0"/>
        <v>7.858299999999999</v>
      </c>
      <c r="R14" s="273">
        <v>1.9</v>
      </c>
      <c r="S14" s="273">
        <v>0.34</v>
      </c>
      <c r="T14" s="273">
        <v>6.35</v>
      </c>
      <c r="U14" s="273">
        <f t="shared" si="1"/>
        <v>0.46829999999999999</v>
      </c>
      <c r="V14" s="273">
        <f>7.5+1.6</f>
        <v>9.1</v>
      </c>
      <c r="W14" s="274">
        <f t="shared" si="2"/>
        <v>9.0582999999999991</v>
      </c>
      <c r="X14" s="274"/>
      <c r="Y14" s="274"/>
      <c r="Z14" s="274">
        <v>1</v>
      </c>
      <c r="AA14" s="274"/>
      <c r="AC14" s="113" t="s">
        <v>51</v>
      </c>
      <c r="AD14" s="113" t="s">
        <v>51</v>
      </c>
      <c r="AE14" s="108"/>
    </row>
    <row r="15" spans="1:31" x14ac:dyDescent="0.25">
      <c r="A15" s="197"/>
      <c r="B15" s="197"/>
      <c r="C15" s="197" t="s">
        <v>9672</v>
      </c>
      <c r="D15" s="197"/>
      <c r="E15" s="198" t="s">
        <v>9665</v>
      </c>
      <c r="F15" s="197"/>
      <c r="G15" s="197"/>
      <c r="H15" s="197"/>
      <c r="I15" s="197">
        <v>3</v>
      </c>
      <c r="J15" s="197"/>
      <c r="K15" s="197"/>
      <c r="L15" s="222">
        <v>5030917056369</v>
      </c>
      <c r="M15" s="197">
        <v>18</v>
      </c>
      <c r="N15" s="197"/>
      <c r="O15" s="197" t="s">
        <v>9673</v>
      </c>
      <c r="P15" s="197">
        <v>97</v>
      </c>
      <c r="Q15" s="201">
        <f t="shared" si="0"/>
        <v>2.2408000000000001</v>
      </c>
      <c r="R15" s="201">
        <v>1.9</v>
      </c>
      <c r="S15" s="201">
        <v>0.34</v>
      </c>
      <c r="T15" s="201">
        <v>1.1000000000000001</v>
      </c>
      <c r="U15" s="201">
        <f t="shared" si="1"/>
        <v>0.10080000000000001</v>
      </c>
      <c r="V15" s="201">
        <v>3.46</v>
      </c>
      <c r="W15" s="102">
        <f t="shared" si="2"/>
        <v>3.4407999999999999</v>
      </c>
      <c r="X15" s="102"/>
      <c r="Y15" s="102"/>
      <c r="Z15" s="102"/>
      <c r="AA15" s="102"/>
      <c r="AB15" s="197"/>
      <c r="AC15" s="198" t="s">
        <v>51</v>
      </c>
      <c r="AD15" s="198" t="s">
        <v>51</v>
      </c>
      <c r="AE15" s="199"/>
    </row>
    <row r="16" spans="1:31" x14ac:dyDescent="0.25">
      <c r="E16" s="183" t="s">
        <v>56</v>
      </c>
      <c r="I16" s="197"/>
      <c r="Q16" s="193"/>
      <c r="R16" s="201"/>
      <c r="S16" s="201"/>
      <c r="T16" s="201"/>
      <c r="U16" s="201"/>
      <c r="V16" s="201"/>
      <c r="W16" s="102">
        <f t="shared" si="2"/>
        <v>0</v>
      </c>
      <c r="X16" s="102"/>
      <c r="Y16" s="102"/>
      <c r="Z16" s="102"/>
      <c r="AA16" s="102"/>
      <c r="AC16" s="183" t="s">
        <v>51</v>
      </c>
      <c r="AD16" s="183" t="s">
        <v>51</v>
      </c>
      <c r="AE16" s="185"/>
    </row>
    <row r="17" spans="5:31" x14ac:dyDescent="0.25">
      <c r="E17" s="183" t="s">
        <v>56</v>
      </c>
      <c r="I17" s="197"/>
      <c r="Q17" s="193"/>
      <c r="R17" s="201"/>
      <c r="S17" s="201"/>
      <c r="T17" s="201"/>
      <c r="U17" s="201"/>
      <c r="V17" s="201"/>
      <c r="W17" s="102">
        <f t="shared" si="2"/>
        <v>0</v>
      </c>
      <c r="X17" s="102"/>
      <c r="Y17" s="102"/>
      <c r="Z17" s="102"/>
      <c r="AA17" s="102"/>
      <c r="AC17" s="183" t="s">
        <v>51</v>
      </c>
      <c r="AD17" s="183" t="s">
        <v>51</v>
      </c>
      <c r="AE17" s="185"/>
    </row>
    <row r="18" spans="5:31" x14ac:dyDescent="0.25">
      <c r="E18" s="183" t="s">
        <v>56</v>
      </c>
      <c r="I18" s="197"/>
      <c r="Q18" s="193"/>
      <c r="R18" s="201"/>
      <c r="S18" s="201"/>
      <c r="T18" s="201"/>
      <c r="U18" s="201"/>
      <c r="V18" s="201"/>
      <c r="AC18" s="183" t="s">
        <v>51</v>
      </c>
      <c r="AD18" s="183" t="s">
        <v>51</v>
      </c>
      <c r="AE18" s="185"/>
    </row>
    <row r="19" spans="5:31" x14ac:dyDescent="0.25">
      <c r="E19" s="183" t="s">
        <v>56</v>
      </c>
      <c r="I19" s="197"/>
      <c r="Q19" s="193"/>
      <c r="R19" s="201"/>
      <c r="S19" s="201"/>
      <c r="T19" s="201"/>
      <c r="U19" s="201"/>
      <c r="V19" s="201"/>
      <c r="AC19" s="183" t="s">
        <v>51</v>
      </c>
      <c r="AD19" s="183" t="s">
        <v>51</v>
      </c>
      <c r="AE19" s="185"/>
    </row>
    <row r="20" spans="5:31" x14ac:dyDescent="0.25">
      <c r="E20" s="183" t="s">
        <v>56</v>
      </c>
      <c r="I20" s="197"/>
      <c r="Q20" s="193"/>
      <c r="R20" s="201"/>
      <c r="S20" s="201"/>
      <c r="T20" s="201"/>
      <c r="U20" s="201"/>
      <c r="V20" s="201"/>
      <c r="AC20" s="183" t="s">
        <v>51</v>
      </c>
      <c r="AD20" s="183" t="s">
        <v>51</v>
      </c>
      <c r="AE20" s="185"/>
    </row>
    <row r="21" spans="5:31" x14ac:dyDescent="0.25">
      <c r="E21" s="183" t="s">
        <v>56</v>
      </c>
      <c r="I21" s="197"/>
      <c r="Q21" s="193"/>
      <c r="R21" s="201"/>
      <c r="S21" s="201"/>
      <c r="T21" s="201"/>
      <c r="U21" s="201"/>
      <c r="V21" s="201"/>
      <c r="AC21" s="183" t="s">
        <v>51</v>
      </c>
      <c r="AD21" s="183" t="s">
        <v>51</v>
      </c>
      <c r="AE21" s="185"/>
    </row>
    <row r="22" spans="5:31" x14ac:dyDescent="0.25">
      <c r="E22" s="183" t="s">
        <v>56</v>
      </c>
      <c r="I22" s="197"/>
      <c r="Q22" s="193"/>
      <c r="R22" s="201"/>
      <c r="S22" s="201"/>
      <c r="T22" s="201"/>
      <c r="U22" s="201"/>
      <c r="V22" s="201"/>
      <c r="AC22" s="183" t="s">
        <v>51</v>
      </c>
      <c r="AD22" s="183" t="s">
        <v>51</v>
      </c>
      <c r="AE22" s="185"/>
    </row>
    <row r="23" spans="5:31" x14ac:dyDescent="0.25">
      <c r="E23" s="183" t="s">
        <v>56</v>
      </c>
      <c r="I23" s="197"/>
      <c r="Q23" s="193"/>
      <c r="R23" s="201"/>
      <c r="S23" s="201"/>
      <c r="T23" s="201"/>
      <c r="U23" s="201"/>
      <c r="V23" s="201"/>
      <c r="AC23" s="183" t="s">
        <v>51</v>
      </c>
      <c r="AD23" s="183" t="s">
        <v>51</v>
      </c>
      <c r="AE23" s="185"/>
    </row>
    <row r="24" spans="5:31" x14ac:dyDescent="0.25">
      <c r="E24" s="183" t="s">
        <v>56</v>
      </c>
      <c r="I24" s="197"/>
      <c r="Q24" s="193"/>
      <c r="R24" s="201"/>
      <c r="S24" s="201"/>
      <c r="T24" s="201"/>
      <c r="U24" s="201"/>
      <c r="V24" s="201"/>
      <c r="AC24" s="183" t="s">
        <v>51</v>
      </c>
      <c r="AD24" s="183" t="s">
        <v>51</v>
      </c>
      <c r="AE24" s="185"/>
    </row>
    <row r="25" spans="5:31" x14ac:dyDescent="0.25">
      <c r="E25" s="183" t="s">
        <v>56</v>
      </c>
      <c r="I25" s="197"/>
      <c r="Q25" s="193"/>
      <c r="R25" s="201"/>
      <c r="S25" s="201"/>
      <c r="T25" s="201"/>
      <c r="U25" s="201"/>
      <c r="V25" s="201"/>
      <c r="AC25" s="183" t="s">
        <v>51</v>
      </c>
      <c r="AD25" s="183" t="s">
        <v>51</v>
      </c>
      <c r="AE25" s="185"/>
    </row>
    <row r="26" spans="5:31" x14ac:dyDescent="0.25">
      <c r="E26" s="183" t="s">
        <v>56</v>
      </c>
      <c r="I26" s="197"/>
      <c r="Q26" s="193"/>
      <c r="R26" s="201"/>
      <c r="S26" s="201"/>
      <c r="T26" s="201"/>
      <c r="U26" s="201"/>
      <c r="V26" s="201"/>
      <c r="AC26" s="183" t="s">
        <v>51</v>
      </c>
      <c r="AD26" s="183" t="s">
        <v>51</v>
      </c>
      <c r="AE26" s="185"/>
    </row>
    <row r="27" spans="5:31" x14ac:dyDescent="0.25">
      <c r="E27" s="183" t="s">
        <v>56</v>
      </c>
      <c r="I27" s="197"/>
      <c r="Q27" s="193"/>
      <c r="R27" s="201"/>
      <c r="S27" s="201"/>
      <c r="T27" s="201"/>
      <c r="U27" s="201"/>
      <c r="V27" s="201"/>
      <c r="AC27" s="183" t="s">
        <v>51</v>
      </c>
      <c r="AD27" s="183" t="s">
        <v>51</v>
      </c>
      <c r="AE27" s="185"/>
    </row>
    <row r="28" spans="5:31" x14ac:dyDescent="0.25">
      <c r="E28" s="183" t="s">
        <v>56</v>
      </c>
      <c r="I28" s="197"/>
      <c r="Q28" s="193"/>
      <c r="R28" s="201"/>
      <c r="S28" s="201"/>
      <c r="T28" s="201"/>
      <c r="U28" s="201"/>
      <c r="V28" s="201"/>
      <c r="AC28" s="183" t="s">
        <v>51</v>
      </c>
      <c r="AD28" s="183" t="s">
        <v>51</v>
      </c>
      <c r="AE28" s="185"/>
    </row>
    <row r="29" spans="5:31" x14ac:dyDescent="0.25">
      <c r="E29" s="183" t="s">
        <v>56</v>
      </c>
      <c r="I29" s="197"/>
      <c r="Q29" s="193"/>
      <c r="R29" s="201"/>
      <c r="S29" s="201"/>
      <c r="T29" s="201"/>
      <c r="U29" s="201"/>
      <c r="V29" s="201"/>
      <c r="AC29" s="183" t="s">
        <v>51</v>
      </c>
      <c r="AD29" s="183" t="s">
        <v>51</v>
      </c>
      <c r="AE29" s="185"/>
    </row>
    <row r="30" spans="5:31" x14ac:dyDescent="0.25">
      <c r="E30" s="183" t="s">
        <v>56</v>
      </c>
      <c r="I30" s="197"/>
      <c r="Q30" s="193"/>
      <c r="R30" s="201"/>
      <c r="S30" s="201"/>
      <c r="T30" s="201"/>
      <c r="U30" s="201"/>
      <c r="V30" s="201"/>
      <c r="AC30" s="183" t="s">
        <v>51</v>
      </c>
      <c r="AD30" s="183" t="s">
        <v>51</v>
      </c>
      <c r="AE30" s="185"/>
    </row>
    <row r="31" spans="5:31" x14ac:dyDescent="0.25">
      <c r="E31" s="183" t="s">
        <v>56</v>
      </c>
      <c r="I31" s="197"/>
      <c r="Q31" s="193"/>
      <c r="R31" s="201"/>
      <c r="S31" s="201"/>
      <c r="T31" s="201"/>
      <c r="U31" s="201"/>
      <c r="V31" s="201"/>
      <c r="AC31" s="183" t="s">
        <v>51</v>
      </c>
      <c r="AD31" s="183" t="s">
        <v>51</v>
      </c>
      <c r="AE31" s="185"/>
    </row>
    <row r="32" spans="5:31" x14ac:dyDescent="0.25">
      <c r="E32" s="183" t="s">
        <v>56</v>
      </c>
      <c r="I32" s="197"/>
      <c r="Q32" s="193"/>
      <c r="R32" s="201"/>
      <c r="S32" s="201"/>
      <c r="T32" s="201"/>
      <c r="U32" s="201"/>
      <c r="V32" s="201"/>
      <c r="AC32" s="183" t="s">
        <v>51</v>
      </c>
      <c r="AD32" s="183" t="s">
        <v>51</v>
      </c>
      <c r="AE32" s="185"/>
    </row>
    <row r="33" spans="5:31" x14ac:dyDescent="0.25">
      <c r="E33" s="183" t="s">
        <v>56</v>
      </c>
      <c r="I33" s="197"/>
      <c r="Q33" s="193"/>
      <c r="R33" s="201"/>
      <c r="S33" s="201"/>
      <c r="T33" s="201"/>
      <c r="U33" s="201"/>
      <c r="V33" s="201"/>
      <c r="AC33" s="183" t="s">
        <v>51</v>
      </c>
      <c r="AD33" s="183" t="s">
        <v>51</v>
      </c>
      <c r="AE33" s="185"/>
    </row>
    <row r="34" spans="5:31" x14ac:dyDescent="0.25">
      <c r="E34" s="183" t="s">
        <v>56</v>
      </c>
      <c r="I34" s="197"/>
      <c r="Q34" s="193"/>
      <c r="R34" s="201"/>
      <c r="S34" s="201"/>
      <c r="T34" s="201"/>
      <c r="U34" s="201"/>
      <c r="V34" s="201"/>
      <c r="AC34" s="183" t="s">
        <v>51</v>
      </c>
      <c r="AD34" s="183" t="s">
        <v>51</v>
      </c>
      <c r="AE34" s="185"/>
    </row>
    <row r="35" spans="5:31" x14ac:dyDescent="0.25">
      <c r="E35" s="183" t="s">
        <v>56</v>
      </c>
      <c r="I35" s="197"/>
      <c r="Q35" s="193"/>
      <c r="R35" s="201"/>
      <c r="S35" s="201"/>
      <c r="T35" s="201"/>
      <c r="U35" s="201"/>
      <c r="V35" s="201"/>
      <c r="AC35" s="183" t="s">
        <v>51</v>
      </c>
      <c r="AD35" s="183" t="s">
        <v>51</v>
      </c>
      <c r="AE35" s="185"/>
    </row>
    <row r="36" spans="5:31" x14ac:dyDescent="0.25">
      <c r="E36" s="183" t="s">
        <v>56</v>
      </c>
      <c r="I36" s="197"/>
      <c r="Q36" s="193"/>
      <c r="R36" s="201"/>
      <c r="S36" s="201"/>
      <c r="T36" s="201"/>
      <c r="U36" s="201"/>
      <c r="V36" s="201"/>
      <c r="AC36" s="183" t="s">
        <v>51</v>
      </c>
      <c r="AD36" s="183" t="s">
        <v>51</v>
      </c>
      <c r="AE36" s="185"/>
    </row>
    <row r="37" spans="5:31" x14ac:dyDescent="0.25">
      <c r="E37" s="183" t="s">
        <v>56</v>
      </c>
      <c r="I37" s="197"/>
      <c r="Q37" s="193"/>
      <c r="R37" s="201"/>
      <c r="S37" s="201"/>
      <c r="T37" s="201"/>
      <c r="U37" s="201"/>
      <c r="V37" s="201"/>
      <c r="AC37" s="183" t="s">
        <v>51</v>
      </c>
      <c r="AD37" s="183" t="s">
        <v>51</v>
      </c>
      <c r="AE37" s="185"/>
    </row>
    <row r="38" spans="5:31" x14ac:dyDescent="0.25">
      <c r="E38" s="183" t="s">
        <v>56</v>
      </c>
      <c r="I38" s="197"/>
      <c r="Q38" s="193"/>
      <c r="R38" s="201"/>
      <c r="S38" s="201"/>
      <c r="T38" s="201"/>
      <c r="U38" s="201"/>
      <c r="V38" s="201"/>
      <c r="AC38" s="183" t="s">
        <v>51</v>
      </c>
      <c r="AD38" s="183" t="s">
        <v>51</v>
      </c>
      <c r="AE38" s="185"/>
    </row>
    <row r="39" spans="5:31" x14ac:dyDescent="0.25">
      <c r="E39" s="183" t="s">
        <v>56</v>
      </c>
      <c r="I39" s="197"/>
      <c r="Q39" s="193"/>
      <c r="R39" s="201"/>
      <c r="S39" s="201"/>
      <c r="T39" s="201"/>
      <c r="U39" s="201"/>
      <c r="V39" s="201"/>
      <c r="AC39" s="183" t="s">
        <v>51</v>
      </c>
      <c r="AD39" s="183" t="s">
        <v>51</v>
      </c>
      <c r="AE39" s="185"/>
    </row>
    <row r="40" spans="5:31" x14ac:dyDescent="0.25">
      <c r="E40" s="183" t="s">
        <v>56</v>
      </c>
      <c r="I40" s="197"/>
      <c r="Q40" s="193"/>
      <c r="R40" s="201"/>
      <c r="S40" s="201"/>
      <c r="T40" s="201"/>
      <c r="U40" s="201"/>
      <c r="V40" s="201"/>
      <c r="AC40" s="183" t="s">
        <v>51</v>
      </c>
      <c r="AD40" s="183" t="s">
        <v>51</v>
      </c>
      <c r="AE40" s="185"/>
    </row>
    <row r="41" spans="5:31" x14ac:dyDescent="0.25">
      <c r="E41" s="183" t="s">
        <v>56</v>
      </c>
      <c r="I41" s="197"/>
      <c r="Q41" s="193"/>
      <c r="R41" s="201"/>
      <c r="S41" s="201"/>
      <c r="T41" s="201"/>
      <c r="U41" s="201"/>
      <c r="V41" s="201"/>
      <c r="AC41" s="183" t="s">
        <v>51</v>
      </c>
      <c r="AD41" s="183" t="s">
        <v>51</v>
      </c>
      <c r="AE41" s="185"/>
    </row>
    <row r="42" spans="5:31" x14ac:dyDescent="0.25">
      <c r="E42" s="183" t="s">
        <v>56</v>
      </c>
      <c r="I42" s="197"/>
      <c r="Q42" s="193"/>
      <c r="R42" s="201"/>
      <c r="S42" s="201"/>
      <c r="T42" s="201"/>
      <c r="U42" s="201"/>
      <c r="V42" s="201"/>
      <c r="AC42" s="183" t="s">
        <v>51</v>
      </c>
      <c r="AD42" s="183" t="s">
        <v>51</v>
      </c>
      <c r="AE42" s="185"/>
    </row>
    <row r="43" spans="5:31" x14ac:dyDescent="0.25">
      <c r="E43" s="183" t="s">
        <v>56</v>
      </c>
      <c r="I43" s="197"/>
      <c r="Q43" s="193"/>
      <c r="R43" s="201"/>
      <c r="S43" s="201"/>
      <c r="T43" s="201"/>
      <c r="U43" s="201"/>
      <c r="V43" s="201"/>
      <c r="AC43" s="183" t="s">
        <v>51</v>
      </c>
      <c r="AD43" s="183" t="s">
        <v>51</v>
      </c>
      <c r="AE43" s="185"/>
    </row>
    <row r="44" spans="5:31" x14ac:dyDescent="0.25">
      <c r="E44" s="183" t="s">
        <v>56</v>
      </c>
      <c r="I44" s="197"/>
      <c r="Q44" s="193"/>
      <c r="R44" s="201"/>
      <c r="S44" s="201"/>
      <c r="T44" s="201"/>
      <c r="U44" s="201"/>
      <c r="V44" s="201"/>
      <c r="AC44" s="183" t="s">
        <v>51</v>
      </c>
      <c r="AD44" s="183" t="s">
        <v>51</v>
      </c>
      <c r="AE44" s="185"/>
    </row>
    <row r="45" spans="5:31" x14ac:dyDescent="0.25">
      <c r="E45" s="183" t="s">
        <v>56</v>
      </c>
      <c r="I45" s="197"/>
      <c r="Q45" s="193"/>
      <c r="R45" s="201"/>
      <c r="S45" s="201"/>
      <c r="T45" s="201"/>
      <c r="U45" s="201"/>
      <c r="V45" s="201"/>
      <c r="AC45" s="183" t="s">
        <v>51</v>
      </c>
      <c r="AD45" s="183" t="s">
        <v>51</v>
      </c>
      <c r="AE45" s="185"/>
    </row>
    <row r="46" spans="5:31" x14ac:dyDescent="0.25">
      <c r="E46" s="183" t="s">
        <v>56</v>
      </c>
      <c r="I46" s="197"/>
      <c r="Q46" s="193"/>
      <c r="R46" s="201"/>
      <c r="S46" s="201"/>
      <c r="T46" s="201"/>
      <c r="U46" s="201"/>
      <c r="V46" s="201"/>
      <c r="AC46" s="183" t="s">
        <v>51</v>
      </c>
      <c r="AD46" s="183" t="s">
        <v>51</v>
      </c>
      <c r="AE46" s="185"/>
    </row>
    <row r="47" spans="5:31" x14ac:dyDescent="0.25">
      <c r="E47" s="183" t="s">
        <v>56</v>
      </c>
      <c r="Q47" s="193"/>
      <c r="R47" s="201"/>
      <c r="S47" s="201"/>
      <c r="T47" s="201"/>
      <c r="U47" s="201"/>
      <c r="V47" s="201"/>
      <c r="AC47" s="183" t="s">
        <v>51</v>
      </c>
      <c r="AD47" s="183" t="s">
        <v>51</v>
      </c>
      <c r="AE47" s="185"/>
    </row>
    <row r="48" spans="5:31" x14ac:dyDescent="0.25">
      <c r="E48" s="183" t="s">
        <v>56</v>
      </c>
      <c r="Q48" s="193"/>
      <c r="R48" s="201"/>
      <c r="S48" s="201"/>
      <c r="T48" s="201"/>
      <c r="U48" s="201"/>
      <c r="V48" s="201"/>
      <c r="AC48" s="183" t="s">
        <v>51</v>
      </c>
      <c r="AD48" s="183" t="s">
        <v>51</v>
      </c>
      <c r="AE48" s="185"/>
    </row>
    <row r="49" spans="5:31" x14ac:dyDescent="0.25">
      <c r="E49" s="183" t="s">
        <v>56</v>
      </c>
      <c r="Q49" s="193"/>
      <c r="R49" s="201"/>
      <c r="S49" s="201"/>
      <c r="T49" s="201"/>
      <c r="U49" s="201"/>
      <c r="V49" s="201"/>
      <c r="AC49" s="183" t="s">
        <v>51</v>
      </c>
      <c r="AD49" s="183" t="s">
        <v>51</v>
      </c>
      <c r="AE49" s="185"/>
    </row>
    <row r="50" spans="5:31" x14ac:dyDescent="0.25">
      <c r="E50" s="183" t="s">
        <v>56</v>
      </c>
      <c r="Q50" s="193"/>
      <c r="R50" s="201"/>
      <c r="S50" s="201"/>
      <c r="T50" s="201"/>
      <c r="U50" s="201"/>
      <c r="V50" s="201"/>
      <c r="AC50" s="183" t="s">
        <v>51</v>
      </c>
      <c r="AD50" s="183" t="s">
        <v>51</v>
      </c>
      <c r="AE50" s="185"/>
    </row>
    <row r="51" spans="5:31" x14ac:dyDescent="0.25">
      <c r="E51" s="183" t="s">
        <v>56</v>
      </c>
      <c r="Q51" s="193"/>
      <c r="R51" s="201"/>
      <c r="S51" s="201"/>
      <c r="T51" s="201"/>
      <c r="U51" s="201"/>
      <c r="V51" s="201"/>
      <c r="AC51" s="183" t="s">
        <v>51</v>
      </c>
      <c r="AD51" s="183" t="s">
        <v>51</v>
      </c>
      <c r="AE51" s="185"/>
    </row>
    <row r="52" spans="5:31" x14ac:dyDescent="0.25">
      <c r="E52" s="183" t="s">
        <v>56</v>
      </c>
      <c r="Q52" s="193"/>
      <c r="R52" s="201"/>
      <c r="S52" s="201"/>
      <c r="T52" s="201"/>
      <c r="U52" s="201"/>
      <c r="V52" s="201"/>
      <c r="AC52" s="183" t="s">
        <v>51</v>
      </c>
      <c r="AD52" s="183" t="s">
        <v>51</v>
      </c>
      <c r="AE52" s="185"/>
    </row>
    <row r="53" spans="5:31" x14ac:dyDescent="0.25">
      <c r="E53" s="183" t="s">
        <v>56</v>
      </c>
      <c r="Q53" s="193"/>
      <c r="R53" s="201"/>
      <c r="S53" s="201"/>
      <c r="T53" s="201"/>
      <c r="U53" s="201"/>
      <c r="V53" s="201"/>
      <c r="AC53" s="183" t="s">
        <v>51</v>
      </c>
      <c r="AD53" s="183" t="s">
        <v>51</v>
      </c>
      <c r="AE53" s="185"/>
    </row>
    <row r="54" spans="5:31" x14ac:dyDescent="0.25">
      <c r="E54" s="183" t="s">
        <v>56</v>
      </c>
      <c r="Q54" s="193"/>
      <c r="R54" s="201"/>
      <c r="S54" s="201"/>
      <c r="T54" s="201"/>
      <c r="U54" s="201"/>
      <c r="V54" s="201"/>
      <c r="AC54" s="183" t="s">
        <v>51</v>
      </c>
      <c r="AD54" s="183" t="s">
        <v>51</v>
      </c>
      <c r="AE54" s="185"/>
    </row>
    <row r="55" spans="5:31" x14ac:dyDescent="0.25">
      <c r="E55" s="183" t="s">
        <v>56</v>
      </c>
      <c r="Q55" s="193"/>
      <c r="R55" s="201"/>
      <c r="S55" s="201"/>
      <c r="T55" s="201"/>
      <c r="U55" s="201"/>
      <c r="V55" s="201"/>
      <c r="AC55" s="183" t="s">
        <v>51</v>
      </c>
      <c r="AD55" s="183" t="s">
        <v>51</v>
      </c>
      <c r="AE55" s="185"/>
    </row>
    <row r="56" spans="5:31" x14ac:dyDescent="0.25">
      <c r="E56" s="183" t="s">
        <v>56</v>
      </c>
      <c r="Q56" s="193"/>
      <c r="R56" s="201"/>
      <c r="S56" s="201"/>
      <c r="T56" s="201"/>
      <c r="U56" s="201"/>
      <c r="V56" s="201"/>
      <c r="AC56" s="183" t="s">
        <v>51</v>
      </c>
      <c r="AD56" s="183" t="s">
        <v>51</v>
      </c>
      <c r="AE56" s="185"/>
    </row>
    <row r="57" spans="5:31" x14ac:dyDescent="0.25">
      <c r="E57" s="183" t="s">
        <v>56</v>
      </c>
      <c r="Q57" s="193"/>
      <c r="R57" s="201"/>
      <c r="S57" s="201"/>
      <c r="T57" s="201"/>
      <c r="U57" s="201"/>
      <c r="V57" s="201"/>
      <c r="AC57" s="183" t="s">
        <v>51</v>
      </c>
      <c r="AD57" s="183" t="s">
        <v>51</v>
      </c>
      <c r="AE57" s="185"/>
    </row>
    <row r="58" spans="5:31" x14ac:dyDescent="0.25">
      <c r="E58" s="183" t="s">
        <v>56</v>
      </c>
      <c r="Q58" s="193"/>
      <c r="R58" s="201"/>
      <c r="S58" s="201"/>
      <c r="T58" s="201"/>
      <c r="U58" s="201"/>
      <c r="V58" s="201"/>
      <c r="AC58" s="183" t="s">
        <v>51</v>
      </c>
      <c r="AD58" s="183" t="s">
        <v>51</v>
      </c>
      <c r="AE58" s="185"/>
    </row>
    <row r="59" spans="5:31" x14ac:dyDescent="0.25">
      <c r="E59" s="183" t="s">
        <v>56</v>
      </c>
      <c r="Q59" s="193"/>
      <c r="R59" s="201"/>
      <c r="S59" s="201"/>
      <c r="T59" s="201"/>
      <c r="U59" s="201"/>
      <c r="V59" s="201"/>
      <c r="AC59" s="183" t="s">
        <v>51</v>
      </c>
      <c r="AD59" s="183" t="s">
        <v>51</v>
      </c>
      <c r="AE59" s="185"/>
    </row>
    <row r="60" spans="5:31" x14ac:dyDescent="0.25">
      <c r="E60" s="183" t="s">
        <v>56</v>
      </c>
      <c r="Q60" s="193"/>
      <c r="R60" s="201"/>
      <c r="S60" s="201"/>
      <c r="T60" s="201"/>
      <c r="U60" s="201"/>
      <c r="V60" s="201"/>
      <c r="AC60" s="183" t="s">
        <v>51</v>
      </c>
      <c r="AD60" s="183" t="s">
        <v>51</v>
      </c>
      <c r="AE60" s="185"/>
    </row>
    <row r="61" spans="5:31" x14ac:dyDescent="0.25">
      <c r="E61" s="183" t="s">
        <v>56</v>
      </c>
      <c r="Q61" s="193"/>
      <c r="R61" s="201"/>
      <c r="S61" s="201"/>
      <c r="T61" s="201"/>
      <c r="U61" s="201"/>
      <c r="V61" s="201"/>
      <c r="AC61" s="183" t="s">
        <v>51</v>
      </c>
      <c r="AD61" s="183" t="s">
        <v>51</v>
      </c>
      <c r="AE61" s="185"/>
    </row>
    <row r="62" spans="5:31" x14ac:dyDescent="0.25">
      <c r="E62" s="183" t="s">
        <v>56</v>
      </c>
      <c r="Q62" s="193"/>
      <c r="R62" s="201"/>
      <c r="S62" s="201"/>
      <c r="T62" s="201"/>
      <c r="U62" s="201"/>
      <c r="V62" s="201"/>
      <c r="AC62" s="183" t="s">
        <v>51</v>
      </c>
      <c r="AD62" s="183" t="s">
        <v>51</v>
      </c>
      <c r="AE62" s="185"/>
    </row>
    <row r="63" spans="5:31" x14ac:dyDescent="0.25">
      <c r="E63" s="183" t="s">
        <v>56</v>
      </c>
      <c r="Q63" s="193"/>
      <c r="R63" s="201"/>
      <c r="S63" s="201"/>
      <c r="T63" s="201"/>
      <c r="U63" s="201"/>
      <c r="V63" s="201"/>
      <c r="AC63" s="183" t="s">
        <v>51</v>
      </c>
      <c r="AD63" s="183" t="s">
        <v>51</v>
      </c>
      <c r="AE63" s="185"/>
    </row>
    <row r="64" spans="5:31" x14ac:dyDescent="0.25">
      <c r="E64" s="183" t="s">
        <v>56</v>
      </c>
      <c r="Q64" s="193"/>
      <c r="R64" s="201"/>
      <c r="S64" s="201"/>
      <c r="T64" s="201"/>
      <c r="U64" s="201"/>
      <c r="V64" s="201"/>
      <c r="AC64" s="183" t="s">
        <v>51</v>
      </c>
      <c r="AD64" s="183" t="s">
        <v>51</v>
      </c>
      <c r="AE64" s="185"/>
    </row>
    <row r="65" spans="5:31" x14ac:dyDescent="0.25">
      <c r="E65" s="183" t="s">
        <v>56</v>
      </c>
      <c r="Q65" s="193"/>
      <c r="R65" s="201"/>
      <c r="S65" s="201"/>
      <c r="T65" s="201"/>
      <c r="U65" s="201"/>
      <c r="V65" s="201"/>
      <c r="AC65" s="183" t="s">
        <v>51</v>
      </c>
      <c r="AD65" s="183" t="s">
        <v>51</v>
      </c>
      <c r="AE65" s="185"/>
    </row>
    <row r="66" spans="5:31" x14ac:dyDescent="0.25">
      <c r="E66" s="183" t="s">
        <v>56</v>
      </c>
      <c r="Q66" s="193"/>
      <c r="R66" s="201"/>
      <c r="S66" s="201"/>
      <c r="T66" s="201"/>
      <c r="U66" s="201"/>
      <c r="V66" s="201"/>
      <c r="AC66" s="183" t="s">
        <v>51</v>
      </c>
      <c r="AD66" s="183" t="s">
        <v>51</v>
      </c>
      <c r="AE66" s="185"/>
    </row>
    <row r="67" spans="5:31" x14ac:dyDescent="0.25">
      <c r="E67" s="183" t="s">
        <v>56</v>
      </c>
      <c r="Q67" s="193"/>
      <c r="R67" s="201"/>
      <c r="S67" s="201"/>
      <c r="T67" s="201"/>
      <c r="U67" s="201"/>
      <c r="V67" s="201"/>
      <c r="AC67" s="183" t="s">
        <v>51</v>
      </c>
      <c r="AD67" s="183" t="s">
        <v>51</v>
      </c>
      <c r="AE67" s="185"/>
    </row>
    <row r="68" spans="5:31" x14ac:dyDescent="0.25">
      <c r="E68" s="183" t="s">
        <v>56</v>
      </c>
      <c r="Q68" s="193"/>
      <c r="R68" s="201"/>
      <c r="S68" s="201"/>
      <c r="T68" s="201"/>
      <c r="U68" s="201"/>
      <c r="V68" s="201"/>
      <c r="AC68" s="183" t="s">
        <v>51</v>
      </c>
      <c r="AD68" s="183" t="s">
        <v>51</v>
      </c>
      <c r="AE68" s="185"/>
    </row>
    <row r="69" spans="5:31" x14ac:dyDescent="0.25">
      <c r="E69" s="183" t="s">
        <v>56</v>
      </c>
      <c r="Q69" s="193"/>
      <c r="R69" s="201"/>
      <c r="S69" s="201"/>
      <c r="T69" s="201"/>
      <c r="U69" s="201"/>
      <c r="V69" s="201"/>
      <c r="AC69" s="183" t="s">
        <v>51</v>
      </c>
      <c r="AD69" s="183" t="s">
        <v>51</v>
      </c>
      <c r="AE69" s="185"/>
    </row>
    <row r="70" spans="5:31" x14ac:dyDescent="0.25">
      <c r="E70" s="183" t="s">
        <v>56</v>
      </c>
      <c r="Q70" s="193"/>
      <c r="R70" s="201"/>
      <c r="S70" s="201"/>
      <c r="T70" s="201"/>
      <c r="U70" s="201"/>
      <c r="V70" s="201"/>
      <c r="AC70" s="183" t="s">
        <v>51</v>
      </c>
      <c r="AD70" s="183" t="s">
        <v>51</v>
      </c>
      <c r="AE70" s="185"/>
    </row>
    <row r="71" spans="5:31" x14ac:dyDescent="0.25">
      <c r="E71" s="183" t="s">
        <v>56</v>
      </c>
      <c r="Q71" s="193"/>
      <c r="R71" s="201"/>
      <c r="S71" s="201"/>
      <c r="T71" s="201"/>
      <c r="U71" s="201"/>
      <c r="V71" s="201"/>
      <c r="AC71" s="183" t="s">
        <v>51</v>
      </c>
      <c r="AD71" s="183" t="s">
        <v>51</v>
      </c>
      <c r="AE71" s="185"/>
    </row>
    <row r="72" spans="5:31" x14ac:dyDescent="0.25">
      <c r="E72" s="183" t="s">
        <v>56</v>
      </c>
      <c r="Q72" s="193"/>
      <c r="R72" s="201"/>
      <c r="S72" s="201"/>
      <c r="T72" s="201"/>
      <c r="U72" s="201"/>
      <c r="V72" s="201"/>
      <c r="AC72" s="183" t="s">
        <v>51</v>
      </c>
      <c r="AD72" s="183" t="s">
        <v>51</v>
      </c>
      <c r="AE72" s="185"/>
    </row>
    <row r="73" spans="5:31" x14ac:dyDescent="0.25">
      <c r="E73" s="183" t="s">
        <v>56</v>
      </c>
      <c r="Q73" s="193"/>
      <c r="R73" s="201"/>
      <c r="S73" s="201"/>
      <c r="T73" s="201"/>
      <c r="U73" s="201"/>
      <c r="V73" s="201"/>
      <c r="AC73" s="183" t="s">
        <v>51</v>
      </c>
      <c r="AD73" s="183" t="s">
        <v>51</v>
      </c>
      <c r="AE73" s="185"/>
    </row>
    <row r="74" spans="5:31" x14ac:dyDescent="0.25">
      <c r="E74" s="183" t="s">
        <v>56</v>
      </c>
      <c r="Q74" s="193"/>
      <c r="R74" s="201"/>
      <c r="S74" s="201"/>
      <c r="T74" s="201"/>
      <c r="U74" s="201"/>
      <c r="V74" s="201"/>
      <c r="AC74" s="183" t="s">
        <v>51</v>
      </c>
      <c r="AD74" s="183" t="s">
        <v>51</v>
      </c>
      <c r="AE74" s="185"/>
    </row>
    <row r="75" spans="5:31" x14ac:dyDescent="0.25">
      <c r="E75" s="183" t="s">
        <v>56</v>
      </c>
      <c r="Q75" s="193"/>
      <c r="R75" s="201"/>
      <c r="S75" s="201"/>
      <c r="T75" s="201"/>
      <c r="U75" s="201"/>
      <c r="V75" s="201"/>
      <c r="AC75" s="183" t="s">
        <v>51</v>
      </c>
      <c r="AD75" s="183" t="s">
        <v>51</v>
      </c>
      <c r="AE75" s="185"/>
    </row>
    <row r="76" spans="5:31" x14ac:dyDescent="0.25">
      <c r="E76" s="183" t="s">
        <v>56</v>
      </c>
      <c r="Q76" s="193"/>
      <c r="R76" s="201"/>
      <c r="S76" s="201"/>
      <c r="T76" s="201"/>
      <c r="U76" s="201"/>
      <c r="V76" s="201"/>
      <c r="AC76" s="183" t="s">
        <v>51</v>
      </c>
      <c r="AD76" s="183" t="s">
        <v>51</v>
      </c>
      <c r="AE76" s="185"/>
    </row>
    <row r="77" spans="5:31" x14ac:dyDescent="0.25">
      <c r="E77" s="183" t="s">
        <v>56</v>
      </c>
      <c r="Q77" s="193"/>
      <c r="R77" s="201"/>
      <c r="S77" s="201"/>
      <c r="T77" s="201"/>
      <c r="U77" s="201"/>
      <c r="V77" s="201"/>
      <c r="AC77" s="183" t="s">
        <v>51</v>
      </c>
      <c r="AD77" s="183" t="s">
        <v>51</v>
      </c>
      <c r="AE77" s="185"/>
    </row>
    <row r="78" spans="5:31" x14ac:dyDescent="0.25">
      <c r="E78" s="183" t="s">
        <v>56</v>
      </c>
      <c r="Q78" s="193"/>
      <c r="R78" s="201"/>
      <c r="S78" s="201"/>
      <c r="T78" s="201"/>
      <c r="U78" s="201"/>
      <c r="V78" s="201"/>
      <c r="AC78" s="183" t="s">
        <v>51</v>
      </c>
      <c r="AD78" s="183" t="s">
        <v>51</v>
      </c>
      <c r="AE78" s="185"/>
    </row>
    <row r="79" spans="5:31" x14ac:dyDescent="0.25">
      <c r="E79" s="183" t="s">
        <v>56</v>
      </c>
      <c r="Q79" s="193"/>
      <c r="R79" s="201"/>
      <c r="S79" s="201"/>
      <c r="T79" s="201"/>
      <c r="U79" s="201"/>
      <c r="V79" s="201"/>
      <c r="AC79" s="183" t="s">
        <v>51</v>
      </c>
      <c r="AD79" s="183" t="s">
        <v>51</v>
      </c>
      <c r="AE79" s="185"/>
    </row>
    <row r="80" spans="5:31" x14ac:dyDescent="0.25">
      <c r="E80" s="183" t="s">
        <v>56</v>
      </c>
      <c r="Q80" s="193"/>
      <c r="R80" s="201"/>
      <c r="S80" s="201"/>
      <c r="T80" s="201"/>
      <c r="U80" s="201"/>
      <c r="V80" s="201"/>
      <c r="AC80" s="183" t="s">
        <v>51</v>
      </c>
      <c r="AD80" s="183" t="s">
        <v>51</v>
      </c>
      <c r="AE80" s="185"/>
    </row>
    <row r="81" spans="5:31" x14ac:dyDescent="0.25">
      <c r="E81" s="183" t="s">
        <v>56</v>
      </c>
      <c r="Q81" s="193"/>
      <c r="R81" s="201"/>
      <c r="S81" s="201"/>
      <c r="T81" s="201"/>
      <c r="U81" s="201"/>
      <c r="V81" s="201"/>
      <c r="AC81" s="183" t="s">
        <v>51</v>
      </c>
      <c r="AD81" s="183" t="s">
        <v>51</v>
      </c>
      <c r="AE81" s="185"/>
    </row>
    <row r="82" spans="5:31" x14ac:dyDescent="0.25">
      <c r="E82" s="183" t="s">
        <v>56</v>
      </c>
      <c r="Q82" s="193"/>
      <c r="R82" s="201"/>
      <c r="S82" s="201"/>
      <c r="T82" s="201"/>
      <c r="U82" s="201"/>
      <c r="V82" s="201"/>
      <c r="AC82" s="183" t="s">
        <v>51</v>
      </c>
      <c r="AD82" s="183" t="s">
        <v>51</v>
      </c>
      <c r="AE82" s="185"/>
    </row>
    <row r="83" spans="5:31" x14ac:dyDescent="0.25">
      <c r="E83" s="183" t="s">
        <v>56</v>
      </c>
      <c r="Q83" s="193"/>
      <c r="R83" s="201"/>
      <c r="S83" s="201"/>
      <c r="T83" s="201"/>
      <c r="U83" s="201"/>
      <c r="V83" s="201"/>
      <c r="AC83" s="183" t="s">
        <v>51</v>
      </c>
      <c r="AD83" s="183" t="s">
        <v>51</v>
      </c>
      <c r="AE83" s="185"/>
    </row>
    <row r="84" spans="5:31" x14ac:dyDescent="0.25">
      <c r="E84" s="183" t="s">
        <v>56</v>
      </c>
      <c r="Q84" s="193"/>
      <c r="R84" s="201"/>
      <c r="S84" s="201"/>
      <c r="T84" s="201"/>
      <c r="U84" s="201"/>
      <c r="V84" s="201"/>
      <c r="AC84" s="183" t="s">
        <v>51</v>
      </c>
      <c r="AD84" s="183" t="s">
        <v>51</v>
      </c>
      <c r="AE84" s="185"/>
    </row>
    <row r="85" spans="5:31" x14ac:dyDescent="0.25">
      <c r="E85" s="183" t="s">
        <v>56</v>
      </c>
      <c r="Q85" s="193"/>
      <c r="R85" s="201"/>
      <c r="S85" s="201"/>
      <c r="T85" s="201"/>
      <c r="U85" s="201"/>
      <c r="V85" s="201"/>
      <c r="AC85" s="183" t="s">
        <v>51</v>
      </c>
      <c r="AD85" s="183" t="s">
        <v>51</v>
      </c>
      <c r="AE85" s="185"/>
    </row>
    <row r="86" spans="5:31" x14ac:dyDescent="0.25">
      <c r="E86" s="183" t="s">
        <v>56</v>
      </c>
      <c r="Q86" s="193"/>
      <c r="R86" s="201"/>
      <c r="S86" s="201"/>
      <c r="T86" s="201"/>
      <c r="U86" s="201"/>
      <c r="V86" s="201"/>
      <c r="AC86" s="183" t="s">
        <v>51</v>
      </c>
      <c r="AD86" s="183" t="s">
        <v>51</v>
      </c>
      <c r="AE86" s="185"/>
    </row>
    <row r="87" spans="5:31" x14ac:dyDescent="0.25">
      <c r="E87" s="183" t="s">
        <v>56</v>
      </c>
      <c r="Q87" s="193"/>
      <c r="R87" s="201"/>
      <c r="S87" s="201"/>
      <c r="T87" s="201"/>
      <c r="U87" s="201"/>
      <c r="V87" s="201"/>
      <c r="AC87" s="183" t="s">
        <v>51</v>
      </c>
      <c r="AD87" s="183" t="s">
        <v>51</v>
      </c>
      <c r="AE87" s="185"/>
    </row>
    <row r="88" spans="5:31" x14ac:dyDescent="0.25">
      <c r="E88" s="183" t="s">
        <v>56</v>
      </c>
      <c r="Q88" s="193"/>
      <c r="R88" s="201"/>
      <c r="S88" s="201"/>
      <c r="T88" s="201"/>
      <c r="U88" s="201"/>
      <c r="V88" s="201"/>
      <c r="AC88" s="183" t="s">
        <v>51</v>
      </c>
      <c r="AD88" s="183" t="s">
        <v>51</v>
      </c>
      <c r="AE88" s="185"/>
    </row>
    <row r="89" spans="5:31" x14ac:dyDescent="0.25">
      <c r="E89" s="183" t="s">
        <v>56</v>
      </c>
      <c r="Q89" s="193"/>
      <c r="R89" s="201"/>
      <c r="S89" s="201"/>
      <c r="T89" s="201"/>
      <c r="U89" s="201"/>
      <c r="V89" s="201"/>
      <c r="AC89" s="183" t="s">
        <v>51</v>
      </c>
      <c r="AD89" s="183" t="s">
        <v>51</v>
      </c>
      <c r="AE89" s="185"/>
    </row>
    <row r="90" spans="5:31" x14ac:dyDescent="0.25">
      <c r="E90" s="183" t="s">
        <v>56</v>
      </c>
      <c r="Q90" s="193"/>
      <c r="R90" s="201"/>
      <c r="S90" s="201"/>
      <c r="T90" s="201"/>
      <c r="U90" s="201"/>
      <c r="V90" s="201"/>
      <c r="AC90" s="183" t="s">
        <v>51</v>
      </c>
      <c r="AD90" s="183" t="s">
        <v>51</v>
      </c>
      <c r="AE90" s="185"/>
    </row>
    <row r="91" spans="5:31" x14ac:dyDescent="0.25">
      <c r="E91" s="183" t="s">
        <v>56</v>
      </c>
      <c r="Q91" s="193"/>
      <c r="R91" s="201"/>
      <c r="S91" s="201"/>
      <c r="T91" s="201"/>
      <c r="U91" s="201"/>
      <c r="V91" s="201"/>
      <c r="AC91" s="183" t="s">
        <v>51</v>
      </c>
      <c r="AD91" s="183" t="s">
        <v>51</v>
      </c>
      <c r="AE91" s="185"/>
    </row>
    <row r="92" spans="5:31" x14ac:dyDescent="0.25">
      <c r="E92" s="183" t="s">
        <v>56</v>
      </c>
      <c r="Q92" s="193"/>
      <c r="R92" s="201"/>
      <c r="S92" s="201"/>
      <c r="T92" s="201"/>
      <c r="U92" s="201"/>
      <c r="V92" s="201"/>
      <c r="AC92" s="183" t="s">
        <v>51</v>
      </c>
      <c r="AD92" s="183" t="s">
        <v>51</v>
      </c>
      <c r="AE92" s="185"/>
    </row>
    <row r="93" spans="5:31" x14ac:dyDescent="0.25">
      <c r="E93" s="183" t="s">
        <v>56</v>
      </c>
      <c r="Q93" s="193"/>
      <c r="R93" s="201"/>
      <c r="S93" s="201"/>
      <c r="T93" s="201"/>
      <c r="U93" s="201"/>
      <c r="V93" s="201"/>
      <c r="AC93" s="183" t="s">
        <v>51</v>
      </c>
      <c r="AD93" s="183" t="s">
        <v>51</v>
      </c>
      <c r="AE93" s="185"/>
    </row>
    <row r="94" spans="5:31" x14ac:dyDescent="0.25">
      <c r="E94" s="183" t="s">
        <v>56</v>
      </c>
      <c r="Q94" s="193"/>
      <c r="R94" s="201"/>
      <c r="S94" s="201"/>
      <c r="T94" s="201"/>
      <c r="U94" s="201"/>
      <c r="V94" s="201"/>
      <c r="AC94" s="183" t="s">
        <v>51</v>
      </c>
      <c r="AD94" s="183" t="s">
        <v>51</v>
      </c>
      <c r="AE94" s="185"/>
    </row>
    <row r="95" spans="5:31" x14ac:dyDescent="0.25">
      <c r="E95" s="183" t="s">
        <v>56</v>
      </c>
      <c r="Q95" s="193"/>
      <c r="R95" s="201"/>
      <c r="S95" s="201"/>
      <c r="T95" s="201"/>
      <c r="U95" s="201"/>
      <c r="V95" s="201"/>
      <c r="AC95" s="183" t="s">
        <v>51</v>
      </c>
      <c r="AD95" s="183" t="s">
        <v>51</v>
      </c>
      <c r="AE95" s="185"/>
    </row>
    <row r="96" spans="5:31" x14ac:dyDescent="0.25">
      <c r="E96" s="183" t="s">
        <v>56</v>
      </c>
      <c r="Q96" s="193"/>
      <c r="R96" s="201"/>
      <c r="S96" s="201"/>
      <c r="T96" s="201"/>
      <c r="U96" s="201"/>
      <c r="V96" s="201"/>
      <c r="AC96" s="183" t="s">
        <v>51</v>
      </c>
      <c r="AD96" s="183" t="s">
        <v>51</v>
      </c>
      <c r="AE96" s="185"/>
    </row>
    <row r="97" spans="5:31" x14ac:dyDescent="0.25">
      <c r="E97" s="183" t="s">
        <v>56</v>
      </c>
      <c r="Q97" s="193"/>
      <c r="R97" s="201"/>
      <c r="S97" s="201"/>
      <c r="T97" s="201"/>
      <c r="U97" s="201"/>
      <c r="V97" s="201"/>
      <c r="AC97" s="183" t="s">
        <v>51</v>
      </c>
      <c r="AD97" s="183" t="s">
        <v>51</v>
      </c>
      <c r="AE97" s="185"/>
    </row>
    <row r="98" spans="5:31" x14ac:dyDescent="0.25">
      <c r="E98" s="183" t="s">
        <v>56</v>
      </c>
      <c r="Q98" s="193"/>
      <c r="R98" s="201"/>
      <c r="S98" s="201"/>
      <c r="T98" s="201"/>
      <c r="U98" s="201"/>
      <c r="V98" s="201"/>
      <c r="AC98" s="183" t="s">
        <v>51</v>
      </c>
      <c r="AD98" s="183" t="s">
        <v>51</v>
      </c>
      <c r="AE98" s="185"/>
    </row>
    <row r="99" spans="5:31" x14ac:dyDescent="0.25">
      <c r="E99" s="183" t="s">
        <v>56</v>
      </c>
      <c r="Q99" s="193"/>
      <c r="R99" s="201"/>
      <c r="S99" s="201"/>
      <c r="T99" s="201"/>
      <c r="U99" s="201"/>
      <c r="V99" s="201"/>
      <c r="AC99" s="183" t="s">
        <v>51</v>
      </c>
      <c r="AD99" s="183" t="s">
        <v>51</v>
      </c>
      <c r="AE99" s="185"/>
    </row>
  </sheetData>
  <sheetProtection selectLockedCells="1" selectUnlockedCells="1"/>
  <dataValidations count="5">
    <dataValidation type="list" allowBlank="1" showErrorMessage="1" sqref="AC2:AC99" xr:uid="{B040C28C-3E73-42C7-8E88-C3114074F870}">
      <formula1>"nein,ja"</formula1>
      <formula2>0</formula2>
    </dataValidation>
    <dataValidation type="list" allowBlank="1" showErrorMessage="1" sqref="AD2:AD99" xr:uid="{EC8A1364-9CCD-4F51-97C8-F41D585094F0}">
      <formula1>"nein,ja (nur gewerblich),"</formula1>
      <formula2>0</formula2>
    </dataValidation>
    <dataValidation type="list" allowBlank="1" showErrorMessage="1" sqref="E2" xr:uid="{43743901-318B-4FCB-A08D-A29610E9BFEF}">
      <formula1>"bitte auswählen,Brettspiele,Kartenspiele,Sonstige Gesellschaftsspiele,PC-Spiele,Mac-Spiele,PS I,PS II,PS III,PS Portable,Nintendo DS,Nintendo Gameboy,Nintendo Gameboy Advance,Nintendo Gamecube,Wii,Xbox,Xbox360,Sonstige Konsolen"</formula1>
      <formula2>0</formula2>
    </dataValidation>
    <dataValidation type="list" allowBlank="1" showErrorMessage="1" sqref="E3:E99" xr:uid="{8B0E47E5-1BA0-40C2-8CE4-9E0A26D9EC19}">
      <formula1>"bitte auswählen,Brettspiele,Kartenspiele,Sonstige Gesellschaftsspiele,PC-Spiele,Mac-Spiele,Playstation I,Playstation II,Playstation III,Playstation Portable,Nintendo DS,Nintendo Gameboy,Nintendo Gameboy Advance,Nintendo Gamecube,Wii,Xbox"</formula1>
      <formula2>0</formula2>
    </dataValidation>
    <dataValidation type="decimal" allowBlank="1" showDropDown="1" showErrorMessage="1" sqref="Q1" xr:uid="{AB070BB9-C69D-43E6-A811-BB1615C99C39}">
      <formula1>0</formula1>
      <formula2>100000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9"/>
  <sheetViews>
    <sheetView topLeftCell="A34" workbookViewId="0"/>
  </sheetViews>
  <sheetFormatPr baseColWidth="10" defaultRowHeight="15.6" x14ac:dyDescent="0.3"/>
  <cols>
    <col min="1" max="1" width="30.6640625" style="42" customWidth="1"/>
    <col min="2" max="2" width="24.44140625" style="43" customWidth="1"/>
    <col min="3" max="3" width="15.33203125" style="43" customWidth="1"/>
  </cols>
  <sheetData>
    <row r="1" spans="1:11" s="38" customFormat="1" x14ac:dyDescent="0.3">
      <c r="A1" s="37" t="s">
        <v>76</v>
      </c>
      <c r="B1" s="37" t="s">
        <v>77</v>
      </c>
      <c r="C1" s="37" t="s">
        <v>26</v>
      </c>
      <c r="K1" s="39"/>
    </row>
    <row r="2" spans="1:11" x14ac:dyDescent="0.3">
      <c r="A2" s="44" t="s">
        <v>1412</v>
      </c>
      <c r="B2" s="45"/>
      <c r="C2" s="45"/>
    </row>
    <row r="3" spans="1:11" x14ac:dyDescent="0.3">
      <c r="A3" s="46"/>
      <c r="B3" s="47" t="s">
        <v>1413</v>
      </c>
      <c r="C3" s="47">
        <v>2198</v>
      </c>
    </row>
    <row r="4" spans="1:11" x14ac:dyDescent="0.3">
      <c r="A4" s="46"/>
      <c r="B4" s="47" t="s">
        <v>1414</v>
      </c>
      <c r="C4" s="47">
        <v>2208</v>
      </c>
    </row>
    <row r="5" spans="1:11" x14ac:dyDescent="0.3">
      <c r="A5" s="46"/>
      <c r="B5" s="47" t="s">
        <v>1415</v>
      </c>
      <c r="C5" s="47">
        <v>2372</v>
      </c>
    </row>
    <row r="6" spans="1:11" x14ac:dyDescent="0.3">
      <c r="A6" s="46"/>
      <c r="B6" s="47" t="s">
        <v>1416</v>
      </c>
      <c r="C6" s="47">
        <v>2209</v>
      </c>
    </row>
    <row r="7" spans="1:11" x14ac:dyDescent="0.3">
      <c r="A7" s="46"/>
      <c r="B7" s="47" t="s">
        <v>1417</v>
      </c>
      <c r="C7" s="47">
        <v>2217</v>
      </c>
    </row>
    <row r="8" spans="1:11" x14ac:dyDescent="0.3">
      <c r="A8" s="46"/>
      <c r="B8" s="47" t="s">
        <v>1418</v>
      </c>
      <c r="C8" s="47">
        <v>2216</v>
      </c>
    </row>
    <row r="9" spans="1:11" x14ac:dyDescent="0.3">
      <c r="A9" s="46"/>
      <c r="B9" s="47" t="s">
        <v>1419</v>
      </c>
      <c r="C9" s="47">
        <v>2903</v>
      </c>
    </row>
    <row r="10" spans="1:11" x14ac:dyDescent="0.3">
      <c r="A10" s="46"/>
      <c r="B10" s="47" t="s">
        <v>1420</v>
      </c>
      <c r="C10" s="47">
        <v>2215</v>
      </c>
    </row>
    <row r="11" spans="1:11" x14ac:dyDescent="0.3">
      <c r="A11" s="46"/>
      <c r="B11" s="47" t="s">
        <v>1421</v>
      </c>
      <c r="C11" s="47">
        <v>2214</v>
      </c>
    </row>
    <row r="12" spans="1:11" x14ac:dyDescent="0.3">
      <c r="A12" s="46"/>
      <c r="B12" s="47" t="s">
        <v>1422</v>
      </c>
      <c r="C12" s="47">
        <v>2213</v>
      </c>
    </row>
    <row r="13" spans="1:11" x14ac:dyDescent="0.3">
      <c r="A13" s="46"/>
      <c r="B13" s="47" t="s">
        <v>1423</v>
      </c>
      <c r="C13" s="47">
        <v>2212</v>
      </c>
    </row>
    <row r="14" spans="1:11" x14ac:dyDescent="0.3">
      <c r="A14" s="46"/>
      <c r="B14" s="47" t="s">
        <v>1424</v>
      </c>
      <c r="C14" s="47">
        <v>2211</v>
      </c>
    </row>
    <row r="15" spans="1:11" x14ac:dyDescent="0.3">
      <c r="A15" s="44"/>
      <c r="B15" s="45" t="s">
        <v>1425</v>
      </c>
      <c r="C15" s="45">
        <v>2210</v>
      </c>
    </row>
    <row r="16" spans="1:11" x14ac:dyDescent="0.3">
      <c r="A16" s="46" t="s">
        <v>1426</v>
      </c>
      <c r="B16" s="47"/>
      <c r="C16" s="47"/>
    </row>
    <row r="17" spans="1:3" x14ac:dyDescent="0.3">
      <c r="A17" s="46"/>
      <c r="B17" s="47" t="s">
        <v>1427</v>
      </c>
      <c r="C17" s="47">
        <v>2204</v>
      </c>
    </row>
    <row r="18" spans="1:3" x14ac:dyDescent="0.3">
      <c r="A18" s="46"/>
      <c r="B18" s="47" t="s">
        <v>1428</v>
      </c>
      <c r="C18" s="47">
        <v>2218</v>
      </c>
    </row>
    <row r="19" spans="1:3" x14ac:dyDescent="0.3">
      <c r="A19" s="46"/>
      <c r="B19" s="47" t="s">
        <v>1429</v>
      </c>
      <c r="C19" s="47">
        <v>2219</v>
      </c>
    </row>
    <row r="20" spans="1:3" x14ac:dyDescent="0.3">
      <c r="A20" s="46"/>
      <c r="B20" s="47" t="s">
        <v>1430</v>
      </c>
      <c r="C20" s="47">
        <v>2220</v>
      </c>
    </row>
    <row r="21" spans="1:3" x14ac:dyDescent="0.3">
      <c r="A21" s="46"/>
      <c r="B21" s="47" t="s">
        <v>1431</v>
      </c>
      <c r="C21" s="47">
        <v>2221</v>
      </c>
    </row>
    <row r="22" spans="1:3" x14ac:dyDescent="0.3">
      <c r="A22" s="44"/>
      <c r="B22" s="45" t="s">
        <v>1432</v>
      </c>
      <c r="C22" s="45">
        <v>2222</v>
      </c>
    </row>
    <row r="23" spans="1:3" x14ac:dyDescent="0.3">
      <c r="A23" s="46" t="s">
        <v>1433</v>
      </c>
      <c r="B23" s="47"/>
      <c r="C23" s="47"/>
    </row>
    <row r="24" spans="1:3" x14ac:dyDescent="0.3">
      <c r="A24" s="46"/>
      <c r="B24" s="47" t="s">
        <v>1434</v>
      </c>
      <c r="C24" s="47">
        <v>2223</v>
      </c>
    </row>
    <row r="25" spans="1:3" x14ac:dyDescent="0.3">
      <c r="A25" s="46"/>
      <c r="B25" s="47" t="s">
        <v>1435</v>
      </c>
      <c r="C25" s="47">
        <v>2225</v>
      </c>
    </row>
    <row r="26" spans="1:3" x14ac:dyDescent="0.3">
      <c r="A26" s="46"/>
      <c r="B26" s="47" t="s">
        <v>1436</v>
      </c>
      <c r="C26" s="47">
        <v>2224</v>
      </c>
    </row>
    <row r="27" spans="1:3" x14ac:dyDescent="0.3">
      <c r="A27" s="44"/>
      <c r="B27" s="45" t="s">
        <v>1437</v>
      </c>
      <c r="C27" s="45">
        <v>2226</v>
      </c>
    </row>
    <row r="28" spans="1:3" x14ac:dyDescent="0.3">
      <c r="A28" s="46" t="s">
        <v>1438</v>
      </c>
      <c r="B28" s="47"/>
      <c r="C28" s="47"/>
    </row>
    <row r="29" spans="1:3" x14ac:dyDescent="0.3">
      <c r="A29" s="46"/>
      <c r="B29" s="47" t="s">
        <v>1439</v>
      </c>
      <c r="C29" s="47">
        <v>2413</v>
      </c>
    </row>
    <row r="30" spans="1:3" x14ac:dyDescent="0.3">
      <c r="A30" s="46"/>
      <c r="B30" s="47" t="s">
        <v>1440</v>
      </c>
      <c r="C30" s="47">
        <v>2227</v>
      </c>
    </row>
    <row r="31" spans="1:3" x14ac:dyDescent="0.3">
      <c r="A31" s="46"/>
      <c r="B31" s="47" t="s">
        <v>1441</v>
      </c>
      <c r="C31" s="47">
        <v>2568</v>
      </c>
    </row>
    <row r="32" spans="1:3" x14ac:dyDescent="0.3">
      <c r="A32" s="46"/>
      <c r="B32" s="47" t="s">
        <v>1442</v>
      </c>
      <c r="C32" s="47">
        <v>2231</v>
      </c>
    </row>
    <row r="33" spans="1:3" x14ac:dyDescent="0.3">
      <c r="A33" s="46"/>
      <c r="B33" s="47" t="s">
        <v>1443</v>
      </c>
      <c r="C33" s="47">
        <v>2412</v>
      </c>
    </row>
    <row r="34" spans="1:3" x14ac:dyDescent="0.3">
      <c r="A34" s="46"/>
      <c r="B34" s="47" t="s">
        <v>1444</v>
      </c>
      <c r="C34" s="47">
        <v>2414</v>
      </c>
    </row>
    <row r="35" spans="1:3" x14ac:dyDescent="0.3">
      <c r="A35" s="46"/>
      <c r="B35" s="47" t="s">
        <v>1445</v>
      </c>
      <c r="C35" s="47">
        <v>2229</v>
      </c>
    </row>
    <row r="36" spans="1:3" x14ac:dyDescent="0.3">
      <c r="A36" s="46"/>
      <c r="B36" s="47" t="s">
        <v>1446</v>
      </c>
      <c r="C36" s="47">
        <v>2421</v>
      </c>
    </row>
    <row r="37" spans="1:3" x14ac:dyDescent="0.3">
      <c r="A37" s="46"/>
      <c r="B37" s="47" t="s">
        <v>1447</v>
      </c>
      <c r="C37" s="47">
        <v>2426</v>
      </c>
    </row>
    <row r="38" spans="1:3" x14ac:dyDescent="0.3">
      <c r="A38" s="46"/>
      <c r="B38" s="47" t="s">
        <v>1448</v>
      </c>
      <c r="C38" s="47">
        <v>2230</v>
      </c>
    </row>
    <row r="39" spans="1:3" x14ac:dyDescent="0.3">
      <c r="A39" s="46"/>
      <c r="B39" s="47" t="s">
        <v>1449</v>
      </c>
      <c r="C39" s="47">
        <v>2228</v>
      </c>
    </row>
    <row r="40" spans="1:3" x14ac:dyDescent="0.3">
      <c r="A40" s="44"/>
      <c r="B40" s="45" t="s">
        <v>1450</v>
      </c>
      <c r="C40" s="45">
        <v>2233</v>
      </c>
    </row>
    <row r="41" spans="1:3" x14ac:dyDescent="0.3">
      <c r="A41" s="46" t="s">
        <v>1451</v>
      </c>
      <c r="B41" s="47"/>
      <c r="C41" s="47"/>
    </row>
    <row r="42" spans="1:3" x14ac:dyDescent="0.3">
      <c r="A42" s="46"/>
      <c r="B42" s="47" t="s">
        <v>1452</v>
      </c>
      <c r="C42" s="47">
        <v>2234</v>
      </c>
    </row>
    <row r="43" spans="1:3" x14ac:dyDescent="0.3">
      <c r="A43" s="46"/>
      <c r="B43" s="47" t="s">
        <v>1453</v>
      </c>
      <c r="C43" s="47">
        <v>2235</v>
      </c>
    </row>
    <row r="44" spans="1:3" x14ac:dyDescent="0.3">
      <c r="A44" s="46"/>
      <c r="B44" s="47" t="s">
        <v>1454</v>
      </c>
      <c r="C44" s="47">
        <v>2237</v>
      </c>
    </row>
    <row r="45" spans="1:3" x14ac:dyDescent="0.3">
      <c r="A45" s="46"/>
      <c r="B45" s="47" t="s">
        <v>1455</v>
      </c>
      <c r="C45" s="47">
        <v>2236</v>
      </c>
    </row>
    <row r="46" spans="1:3" x14ac:dyDescent="0.3">
      <c r="A46" s="46"/>
      <c r="B46" s="47" t="s">
        <v>1456</v>
      </c>
      <c r="C46" s="47">
        <v>2238</v>
      </c>
    </row>
    <row r="47" spans="1:3" x14ac:dyDescent="0.3">
      <c r="A47" s="46"/>
      <c r="B47" s="47" t="s">
        <v>1457</v>
      </c>
      <c r="C47" s="47">
        <v>2373</v>
      </c>
    </row>
    <row r="48" spans="1:3" x14ac:dyDescent="0.3">
      <c r="B48" s="43" t="s">
        <v>1458</v>
      </c>
      <c r="C48" s="43">
        <v>2713</v>
      </c>
    </row>
    <row r="49" spans="2:3" x14ac:dyDescent="0.3">
      <c r="B49" s="43" t="s">
        <v>1451</v>
      </c>
      <c r="C49" s="43">
        <v>2239</v>
      </c>
    </row>
  </sheetData>
  <sheetProtection selectLockedCells="1" selectUnlockedCells="1"/>
  <pageMargins left="0.7" right="0.7" top="0.78749999999999998" bottom="0.78749999999999998" header="0.51180555555555551" footer="0.51180555555555551"/>
  <pageSetup paperSize="9" firstPageNumber="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95"/>
  <sheetViews>
    <sheetView workbookViewId="0"/>
  </sheetViews>
  <sheetFormatPr baseColWidth="10" defaultRowHeight="15.6" x14ac:dyDescent="0.3"/>
  <cols>
    <col min="1" max="1" width="29.44140625" style="34" customWidth="1"/>
    <col min="2" max="2" width="30.5546875" style="48" customWidth="1"/>
    <col min="3" max="3" width="16.5546875" style="48" customWidth="1"/>
  </cols>
  <sheetData>
    <row r="1" spans="1:11" s="38" customFormat="1" x14ac:dyDescent="0.3">
      <c r="A1" s="37" t="s">
        <v>76</v>
      </c>
      <c r="B1" s="37" t="s">
        <v>77</v>
      </c>
      <c r="C1" s="37" t="s">
        <v>26</v>
      </c>
      <c r="K1" s="39"/>
    </row>
    <row r="2" spans="1:11" ht="14.25" customHeight="1" x14ac:dyDescent="0.3">
      <c r="A2" s="44" t="s">
        <v>1459</v>
      </c>
      <c r="B2" s="45"/>
      <c r="C2" s="45"/>
    </row>
    <row r="3" spans="1:11" ht="14.25" customHeight="1" x14ac:dyDescent="0.3">
      <c r="A3" s="46"/>
      <c r="B3" s="47" t="s">
        <v>1460</v>
      </c>
      <c r="C3" s="47">
        <v>1740</v>
      </c>
    </row>
    <row r="4" spans="1:11" ht="14.25" customHeight="1" x14ac:dyDescent="0.3">
      <c r="A4" s="46"/>
      <c r="B4" s="47" t="s">
        <v>1461</v>
      </c>
      <c r="C4" s="47">
        <v>1750</v>
      </c>
    </row>
    <row r="5" spans="1:11" ht="14.25" customHeight="1" x14ac:dyDescent="0.3">
      <c r="A5" s="46"/>
      <c r="B5" s="47" t="s">
        <v>1462</v>
      </c>
      <c r="C5" s="47">
        <v>1742</v>
      </c>
    </row>
    <row r="6" spans="1:11" ht="14.25" customHeight="1" x14ac:dyDescent="0.3">
      <c r="A6" s="46"/>
      <c r="B6" s="47" t="s">
        <v>1463</v>
      </c>
      <c r="C6" s="47">
        <v>1743</v>
      </c>
    </row>
    <row r="7" spans="1:11" ht="14.25" customHeight="1" x14ac:dyDescent="0.3">
      <c r="A7" s="46"/>
      <c r="B7" s="47" t="s">
        <v>1464</v>
      </c>
      <c r="C7" s="47">
        <v>1744</v>
      </c>
    </row>
    <row r="8" spans="1:11" ht="14.25" customHeight="1" x14ac:dyDescent="0.3">
      <c r="A8" s="46"/>
      <c r="B8" s="47" t="s">
        <v>1465</v>
      </c>
      <c r="C8" s="47">
        <v>1745</v>
      </c>
    </row>
    <row r="9" spans="1:11" ht="14.25" customHeight="1" x14ac:dyDescent="0.3">
      <c r="A9" s="46"/>
      <c r="B9" s="47" t="s">
        <v>1466</v>
      </c>
      <c r="C9" s="47">
        <v>2425</v>
      </c>
    </row>
    <row r="10" spans="1:11" ht="14.25" customHeight="1" x14ac:dyDescent="0.3">
      <c r="A10" s="46"/>
      <c r="B10" s="47" t="s">
        <v>1467</v>
      </c>
      <c r="C10" s="47">
        <v>1746</v>
      </c>
    </row>
    <row r="11" spans="1:11" ht="14.25" customHeight="1" x14ac:dyDescent="0.3">
      <c r="A11" s="46"/>
      <c r="B11" s="47" t="s">
        <v>1468</v>
      </c>
      <c r="C11" s="47">
        <v>1747</v>
      </c>
    </row>
    <row r="12" spans="1:11" ht="14.25" customHeight="1" x14ac:dyDescent="0.3">
      <c r="A12" s="46"/>
      <c r="B12" s="47" t="s">
        <v>1469</v>
      </c>
      <c r="C12" s="47">
        <v>1748</v>
      </c>
    </row>
    <row r="13" spans="1:11" ht="14.25" customHeight="1" x14ac:dyDescent="0.3">
      <c r="A13" s="46"/>
      <c r="B13" s="47" t="s">
        <v>1470</v>
      </c>
      <c r="C13" s="47">
        <v>1749</v>
      </c>
    </row>
    <row r="14" spans="1:11" ht="14.25" customHeight="1" x14ac:dyDescent="0.3">
      <c r="A14" s="46"/>
      <c r="B14" s="47" t="s">
        <v>1471</v>
      </c>
      <c r="C14" s="47">
        <v>2424</v>
      </c>
    </row>
    <row r="15" spans="1:11" ht="14.25" customHeight="1" x14ac:dyDescent="0.3">
      <c r="A15" s="46"/>
      <c r="B15" s="47" t="s">
        <v>1472</v>
      </c>
      <c r="C15" s="47">
        <v>2005</v>
      </c>
    </row>
    <row r="16" spans="1:11" ht="14.25" customHeight="1" x14ac:dyDescent="0.3">
      <c r="A16" s="46"/>
      <c r="B16" s="47" t="s">
        <v>1473</v>
      </c>
      <c r="C16" s="47">
        <v>1725</v>
      </c>
    </row>
    <row r="17" spans="1:3" ht="14.25" customHeight="1" x14ac:dyDescent="0.3">
      <c r="A17" s="46"/>
      <c r="B17" s="47" t="s">
        <v>1474</v>
      </c>
      <c r="C17" s="47">
        <v>1442</v>
      </c>
    </row>
    <row r="18" spans="1:3" ht="14.25" customHeight="1" x14ac:dyDescent="0.3">
      <c r="A18" s="46"/>
      <c r="B18" s="47" t="s">
        <v>1475</v>
      </c>
      <c r="C18" s="47">
        <v>1441</v>
      </c>
    </row>
    <row r="19" spans="1:3" ht="14.25" customHeight="1" x14ac:dyDescent="0.3">
      <c r="A19" s="46"/>
      <c r="B19" s="47" t="s">
        <v>1476</v>
      </c>
      <c r="C19" s="47">
        <v>1440</v>
      </c>
    </row>
    <row r="20" spans="1:3" ht="14.25" customHeight="1" x14ac:dyDescent="0.3">
      <c r="A20" s="46"/>
      <c r="B20" s="47" t="s">
        <v>1477</v>
      </c>
      <c r="C20" s="47">
        <v>1447</v>
      </c>
    </row>
    <row r="21" spans="1:3" ht="14.25" customHeight="1" x14ac:dyDescent="0.3">
      <c r="A21" s="46"/>
      <c r="B21" s="47" t="s">
        <v>1478</v>
      </c>
      <c r="C21" s="47">
        <v>1851</v>
      </c>
    </row>
    <row r="22" spans="1:3" ht="14.25" customHeight="1" x14ac:dyDescent="0.3">
      <c r="A22" s="46"/>
      <c r="B22" s="47" t="s">
        <v>1479</v>
      </c>
      <c r="C22" s="47">
        <v>1909</v>
      </c>
    </row>
    <row r="23" spans="1:3" ht="14.25" customHeight="1" x14ac:dyDescent="0.3">
      <c r="A23" s="46"/>
      <c r="B23" s="47" t="s">
        <v>1480</v>
      </c>
      <c r="C23" s="47">
        <v>1443</v>
      </c>
    </row>
    <row r="24" spans="1:3" ht="14.25" customHeight="1" x14ac:dyDescent="0.3">
      <c r="A24" s="46"/>
      <c r="B24" s="47" t="s">
        <v>1481</v>
      </c>
      <c r="C24" s="47">
        <v>1449</v>
      </c>
    </row>
    <row r="25" spans="1:3" ht="14.25" customHeight="1" x14ac:dyDescent="0.3">
      <c r="A25" s="46"/>
      <c r="B25" s="47" t="s">
        <v>1482</v>
      </c>
      <c r="C25" s="47">
        <v>1450</v>
      </c>
    </row>
    <row r="26" spans="1:3" ht="14.25" customHeight="1" x14ac:dyDescent="0.3">
      <c r="A26" s="46"/>
      <c r="B26" s="47" t="s">
        <v>1483</v>
      </c>
      <c r="C26" s="47">
        <v>1741</v>
      </c>
    </row>
    <row r="27" spans="1:3" ht="14.25" customHeight="1" x14ac:dyDescent="0.3">
      <c r="A27" s="46"/>
      <c r="B27" s="47" t="s">
        <v>1484</v>
      </c>
      <c r="C27" s="47">
        <v>1444</v>
      </c>
    </row>
    <row r="28" spans="1:3" ht="14.25" customHeight="1" x14ac:dyDescent="0.3">
      <c r="A28" s="46"/>
      <c r="B28" s="47" t="s">
        <v>1485</v>
      </c>
      <c r="C28" s="47">
        <v>1445</v>
      </c>
    </row>
    <row r="29" spans="1:3" ht="14.25" customHeight="1" x14ac:dyDescent="0.3">
      <c r="A29" s="46"/>
      <c r="B29" s="47" t="s">
        <v>1486</v>
      </c>
      <c r="C29" s="47">
        <v>1878</v>
      </c>
    </row>
    <row r="30" spans="1:3" ht="14.25" customHeight="1" x14ac:dyDescent="0.3">
      <c r="A30" s="46"/>
      <c r="B30" s="47" t="s">
        <v>1487</v>
      </c>
      <c r="C30" s="47">
        <v>1446</v>
      </c>
    </row>
    <row r="31" spans="1:3" ht="14.25" customHeight="1" x14ac:dyDescent="0.3">
      <c r="A31" s="46"/>
      <c r="B31" s="47" t="s">
        <v>1488</v>
      </c>
      <c r="C31" s="47">
        <v>1751</v>
      </c>
    </row>
    <row r="32" spans="1:3" ht="14.25" customHeight="1" x14ac:dyDescent="0.3">
      <c r="A32" s="44" t="s">
        <v>1489</v>
      </c>
      <c r="B32" s="45"/>
      <c r="C32" s="45"/>
    </row>
    <row r="33" spans="1:3" ht="14.25" customHeight="1" x14ac:dyDescent="0.3">
      <c r="A33" s="46"/>
      <c r="B33" s="47" t="s">
        <v>1490</v>
      </c>
      <c r="C33" s="47">
        <v>1438</v>
      </c>
    </row>
    <row r="34" spans="1:3" ht="14.25" customHeight="1" x14ac:dyDescent="0.3">
      <c r="A34" s="46"/>
      <c r="B34" s="47" t="s">
        <v>1491</v>
      </c>
      <c r="C34" s="47">
        <v>1397</v>
      </c>
    </row>
    <row r="35" spans="1:3" ht="14.25" customHeight="1" x14ac:dyDescent="0.3">
      <c r="A35" s="46"/>
      <c r="B35" s="47" t="s">
        <v>1492</v>
      </c>
      <c r="C35" s="47">
        <v>1403</v>
      </c>
    </row>
    <row r="36" spans="1:3" ht="14.25" customHeight="1" x14ac:dyDescent="0.3">
      <c r="A36" s="46"/>
      <c r="B36" s="47" t="s">
        <v>1493</v>
      </c>
      <c r="C36" s="47">
        <v>1398</v>
      </c>
    </row>
    <row r="37" spans="1:3" ht="14.25" customHeight="1" x14ac:dyDescent="0.3">
      <c r="A37" s="46"/>
      <c r="B37" s="47" t="s">
        <v>1494</v>
      </c>
      <c r="C37" s="47">
        <v>1404</v>
      </c>
    </row>
    <row r="38" spans="1:3" ht="14.25" customHeight="1" x14ac:dyDescent="0.3">
      <c r="A38" s="46"/>
      <c r="B38" s="47" t="s">
        <v>1495</v>
      </c>
      <c r="C38" s="47">
        <v>1400</v>
      </c>
    </row>
    <row r="39" spans="1:3" ht="14.25" customHeight="1" x14ac:dyDescent="0.3">
      <c r="A39" s="46"/>
      <c r="B39" s="47" t="s">
        <v>1496</v>
      </c>
      <c r="C39" s="47">
        <v>1399</v>
      </c>
    </row>
    <row r="40" spans="1:3" ht="14.25" customHeight="1" x14ac:dyDescent="0.3">
      <c r="A40" s="46"/>
      <c r="B40" s="47" t="s">
        <v>1497</v>
      </c>
      <c r="C40" s="47">
        <v>1401</v>
      </c>
    </row>
    <row r="41" spans="1:3" ht="14.25" customHeight="1" x14ac:dyDescent="0.3">
      <c r="A41" s="46"/>
      <c r="B41" s="47" t="s">
        <v>1498</v>
      </c>
      <c r="C41" s="47">
        <v>1402</v>
      </c>
    </row>
    <row r="42" spans="1:3" ht="14.25" customHeight="1" x14ac:dyDescent="0.3">
      <c r="A42" s="46"/>
      <c r="B42" s="47" t="s">
        <v>1499</v>
      </c>
      <c r="C42" s="47">
        <v>1405</v>
      </c>
    </row>
    <row r="43" spans="1:3" ht="14.25" customHeight="1" x14ac:dyDescent="0.3">
      <c r="A43" s="46"/>
      <c r="B43" s="47" t="s">
        <v>1500</v>
      </c>
      <c r="C43" s="47">
        <v>1879</v>
      </c>
    </row>
    <row r="44" spans="1:3" ht="14.25" customHeight="1" x14ac:dyDescent="0.3">
      <c r="A44" s="46"/>
      <c r="B44" s="47" t="s">
        <v>1501</v>
      </c>
      <c r="C44" s="47">
        <v>1822</v>
      </c>
    </row>
    <row r="45" spans="1:3" ht="14.25" customHeight="1" x14ac:dyDescent="0.3">
      <c r="A45" s="44" t="s">
        <v>1502</v>
      </c>
      <c r="B45" s="45"/>
      <c r="C45" s="45"/>
    </row>
    <row r="46" spans="1:3" ht="14.25" customHeight="1" x14ac:dyDescent="0.3">
      <c r="A46" s="46"/>
      <c r="B46" s="47" t="s">
        <v>1503</v>
      </c>
      <c r="C46" s="47">
        <v>1482</v>
      </c>
    </row>
    <row r="47" spans="1:3" ht="14.25" customHeight="1" x14ac:dyDescent="0.3">
      <c r="A47" s="46"/>
      <c r="B47" s="47" t="s">
        <v>1504</v>
      </c>
      <c r="C47" s="47">
        <v>1483</v>
      </c>
    </row>
    <row r="48" spans="1:3" ht="14.25" customHeight="1" x14ac:dyDescent="0.3">
      <c r="A48" s="46"/>
      <c r="B48" s="47" t="s">
        <v>1505</v>
      </c>
      <c r="C48" s="47">
        <v>1484</v>
      </c>
    </row>
    <row r="49" spans="1:3" ht="14.25" customHeight="1" x14ac:dyDescent="0.3">
      <c r="A49" s="46"/>
      <c r="B49" s="47" t="s">
        <v>1506</v>
      </c>
      <c r="C49" s="47">
        <v>1485</v>
      </c>
    </row>
    <row r="50" spans="1:3" ht="14.25" customHeight="1" x14ac:dyDescent="0.3">
      <c r="A50" s="46"/>
      <c r="B50" s="47" t="s">
        <v>1507</v>
      </c>
      <c r="C50" s="47">
        <v>1486</v>
      </c>
    </row>
    <row r="51" spans="1:3" ht="14.25" customHeight="1" x14ac:dyDescent="0.3">
      <c r="A51" s="46"/>
      <c r="B51" s="47" t="s">
        <v>1508</v>
      </c>
      <c r="C51" s="47">
        <v>1487</v>
      </c>
    </row>
    <row r="52" spans="1:3" ht="14.25" customHeight="1" x14ac:dyDescent="0.3">
      <c r="A52" s="46"/>
      <c r="B52" s="47" t="s">
        <v>1509</v>
      </c>
      <c r="C52" s="47">
        <v>1880</v>
      </c>
    </row>
    <row r="53" spans="1:3" ht="14.25" customHeight="1" x14ac:dyDescent="0.3">
      <c r="A53" s="46"/>
      <c r="B53" s="47" t="s">
        <v>1510</v>
      </c>
      <c r="C53" s="47">
        <v>1823</v>
      </c>
    </row>
    <row r="54" spans="1:3" ht="14.25" customHeight="1" x14ac:dyDescent="0.3">
      <c r="A54" s="44" t="s">
        <v>1511</v>
      </c>
      <c r="B54" s="45"/>
      <c r="C54" s="45"/>
    </row>
    <row r="55" spans="1:3" ht="14.25" customHeight="1" x14ac:dyDescent="0.3">
      <c r="A55" s="46"/>
      <c r="B55" s="47" t="s">
        <v>1512</v>
      </c>
      <c r="C55" s="47">
        <v>1471</v>
      </c>
    </row>
    <row r="56" spans="1:3" ht="14.25" customHeight="1" x14ac:dyDescent="0.3">
      <c r="A56" s="46"/>
      <c r="B56" s="47" t="s">
        <v>1513</v>
      </c>
      <c r="C56" s="47">
        <v>1472</v>
      </c>
    </row>
    <row r="57" spans="1:3" ht="14.25" customHeight="1" x14ac:dyDescent="0.3">
      <c r="A57" s="46"/>
      <c r="B57" s="47" t="s">
        <v>1514</v>
      </c>
      <c r="C57" s="47">
        <v>1473</v>
      </c>
    </row>
    <row r="58" spans="1:3" ht="14.25" customHeight="1" x14ac:dyDescent="0.3">
      <c r="A58" s="46"/>
      <c r="B58" s="47" t="s">
        <v>1515</v>
      </c>
      <c r="C58" s="47">
        <v>1474</v>
      </c>
    </row>
    <row r="59" spans="1:3" ht="14.25" customHeight="1" x14ac:dyDescent="0.3">
      <c r="A59" s="46"/>
      <c r="B59" s="47" t="s">
        <v>1516</v>
      </c>
      <c r="C59" s="47">
        <v>1475</v>
      </c>
    </row>
    <row r="60" spans="1:3" ht="14.25" customHeight="1" x14ac:dyDescent="0.3">
      <c r="A60" s="46"/>
      <c r="B60" s="47" t="s">
        <v>1517</v>
      </c>
      <c r="C60" s="47">
        <v>1476</v>
      </c>
    </row>
    <row r="61" spans="1:3" ht="14.25" customHeight="1" x14ac:dyDescent="0.3">
      <c r="A61" s="46"/>
      <c r="B61" s="47" t="s">
        <v>1518</v>
      </c>
      <c r="C61" s="47">
        <v>1477</v>
      </c>
    </row>
    <row r="62" spans="1:3" ht="14.25" customHeight="1" x14ac:dyDescent="0.3">
      <c r="A62" s="46"/>
      <c r="B62" s="47" t="s">
        <v>1519</v>
      </c>
      <c r="C62" s="47">
        <v>1478</v>
      </c>
    </row>
    <row r="63" spans="1:3" ht="14.25" customHeight="1" x14ac:dyDescent="0.3">
      <c r="A63" s="46"/>
      <c r="B63" s="47" t="s">
        <v>1520</v>
      </c>
      <c r="C63" s="47">
        <v>1479</v>
      </c>
    </row>
    <row r="64" spans="1:3" ht="14.25" customHeight="1" x14ac:dyDescent="0.3">
      <c r="A64" s="46"/>
      <c r="B64" s="47" t="s">
        <v>1521</v>
      </c>
      <c r="C64" s="47">
        <v>1881</v>
      </c>
    </row>
    <row r="65" spans="1:3" ht="14.25" customHeight="1" x14ac:dyDescent="0.3">
      <c r="A65" s="46"/>
      <c r="B65" s="47" t="s">
        <v>1522</v>
      </c>
      <c r="C65" s="47">
        <v>1824</v>
      </c>
    </row>
    <row r="66" spans="1:3" ht="14.25" customHeight="1" x14ac:dyDescent="0.3">
      <c r="A66" s="44" t="s">
        <v>1523</v>
      </c>
      <c r="B66" s="45"/>
      <c r="C66" s="45"/>
    </row>
    <row r="67" spans="1:3" ht="14.25" customHeight="1" x14ac:dyDescent="0.3">
      <c r="A67" s="46"/>
      <c r="B67" s="47" t="s">
        <v>1524</v>
      </c>
      <c r="C67" s="47">
        <v>1452</v>
      </c>
    </row>
    <row r="68" spans="1:3" ht="14.25" customHeight="1" x14ac:dyDescent="0.3">
      <c r="A68" s="46"/>
      <c r="B68" s="47" t="s">
        <v>1473</v>
      </c>
      <c r="C68" s="47">
        <v>1454</v>
      </c>
    </row>
    <row r="69" spans="1:3" ht="14.25" customHeight="1" x14ac:dyDescent="0.3">
      <c r="A69" s="46"/>
      <c r="B69" s="47" t="s">
        <v>1525</v>
      </c>
      <c r="C69" s="47">
        <v>1455</v>
      </c>
    </row>
    <row r="70" spans="1:3" ht="14.25" customHeight="1" x14ac:dyDescent="0.3">
      <c r="A70" s="46"/>
      <c r="B70" s="47" t="s">
        <v>1526</v>
      </c>
      <c r="C70" s="47">
        <v>1456</v>
      </c>
    </row>
    <row r="71" spans="1:3" ht="14.25" customHeight="1" x14ac:dyDescent="0.3">
      <c r="A71" s="46"/>
      <c r="B71" s="47" t="s">
        <v>1527</v>
      </c>
      <c r="C71" s="47">
        <v>1453</v>
      </c>
    </row>
    <row r="72" spans="1:3" ht="14.25" customHeight="1" x14ac:dyDescent="0.3">
      <c r="A72" s="46"/>
      <c r="B72" s="47" t="s">
        <v>1528</v>
      </c>
      <c r="C72" s="47">
        <v>1457</v>
      </c>
    </row>
    <row r="73" spans="1:3" ht="14.25" customHeight="1" x14ac:dyDescent="0.3">
      <c r="A73" s="46"/>
      <c r="B73" s="47" t="s">
        <v>1529</v>
      </c>
      <c r="C73" s="47">
        <v>1458</v>
      </c>
    </row>
    <row r="74" spans="1:3" ht="14.25" customHeight="1" x14ac:dyDescent="0.3">
      <c r="A74" s="46"/>
      <c r="B74" s="47" t="s">
        <v>1484</v>
      </c>
      <c r="C74" s="47">
        <v>1444</v>
      </c>
    </row>
    <row r="75" spans="1:3" ht="14.25" customHeight="1" x14ac:dyDescent="0.3">
      <c r="A75" s="46"/>
      <c r="B75" s="47" t="s">
        <v>1530</v>
      </c>
      <c r="C75" s="47">
        <v>1460</v>
      </c>
    </row>
    <row r="76" spans="1:3" ht="14.25" customHeight="1" x14ac:dyDescent="0.3">
      <c r="A76" s="46"/>
      <c r="B76" s="47" t="s">
        <v>1531</v>
      </c>
      <c r="C76" s="47">
        <v>1459</v>
      </c>
    </row>
    <row r="77" spans="1:3" ht="14.25" customHeight="1" x14ac:dyDescent="0.3">
      <c r="A77" s="46"/>
      <c r="B77" s="47" t="s">
        <v>1532</v>
      </c>
      <c r="C77" s="47">
        <v>1876</v>
      </c>
    </row>
    <row r="78" spans="1:3" ht="14.25" customHeight="1" x14ac:dyDescent="0.3">
      <c r="A78" s="46"/>
      <c r="B78" s="47" t="s">
        <v>1533</v>
      </c>
      <c r="C78" s="47">
        <v>1877</v>
      </c>
    </row>
    <row r="79" spans="1:3" ht="14.25" customHeight="1" x14ac:dyDescent="0.3">
      <c r="A79" s="46"/>
      <c r="B79" s="47" t="s">
        <v>1534</v>
      </c>
      <c r="C79" s="47">
        <v>1821</v>
      </c>
    </row>
    <row r="80" spans="1:3" ht="14.25" customHeight="1" x14ac:dyDescent="0.3">
      <c r="A80" s="44" t="s">
        <v>1535</v>
      </c>
      <c r="B80" s="45"/>
      <c r="C80" s="45"/>
    </row>
    <row r="81" spans="1:3" ht="14.25" customHeight="1" x14ac:dyDescent="0.3">
      <c r="A81" s="46"/>
      <c r="B81" s="47" t="s">
        <v>1536</v>
      </c>
      <c r="C81" s="47">
        <v>2599</v>
      </c>
    </row>
    <row r="82" spans="1:3" ht="14.25" customHeight="1" x14ac:dyDescent="0.3">
      <c r="A82" s="46"/>
      <c r="B82" s="47" t="s">
        <v>1537</v>
      </c>
      <c r="C82" s="47">
        <v>1494</v>
      </c>
    </row>
    <row r="83" spans="1:3" ht="14.25" customHeight="1" x14ac:dyDescent="0.3">
      <c r="A83" s="46"/>
      <c r="B83" s="47" t="s">
        <v>1538</v>
      </c>
      <c r="C83" s="47">
        <v>1495</v>
      </c>
    </row>
    <row r="84" spans="1:3" ht="14.25" customHeight="1" x14ac:dyDescent="0.3">
      <c r="A84" s="46"/>
      <c r="B84" s="47" t="s">
        <v>1539</v>
      </c>
      <c r="C84" s="47">
        <v>1496</v>
      </c>
    </row>
    <row r="85" spans="1:3" ht="14.25" customHeight="1" x14ac:dyDescent="0.3">
      <c r="A85" s="46"/>
      <c r="B85" s="47" t="s">
        <v>1540</v>
      </c>
      <c r="C85" s="47">
        <v>1497</v>
      </c>
    </row>
    <row r="86" spans="1:3" ht="14.25" customHeight="1" x14ac:dyDescent="0.3">
      <c r="A86" s="46"/>
      <c r="B86" s="47" t="s">
        <v>1541</v>
      </c>
      <c r="C86" s="47">
        <v>1499</v>
      </c>
    </row>
    <row r="87" spans="1:3" ht="14.25" customHeight="1" x14ac:dyDescent="0.3">
      <c r="A87" s="46"/>
      <c r="B87" s="47" t="s">
        <v>1542</v>
      </c>
      <c r="C87" s="47">
        <v>1728</v>
      </c>
    </row>
    <row r="88" spans="1:3" ht="14.25" customHeight="1" x14ac:dyDescent="0.3">
      <c r="A88" s="46"/>
      <c r="B88" s="47" t="s">
        <v>1543</v>
      </c>
      <c r="C88" s="47">
        <v>1729</v>
      </c>
    </row>
    <row r="89" spans="1:3" ht="14.25" customHeight="1" x14ac:dyDescent="0.3">
      <c r="A89" s="46"/>
      <c r="B89" s="47" t="s">
        <v>1544</v>
      </c>
      <c r="C89" s="47">
        <v>1730</v>
      </c>
    </row>
    <row r="90" spans="1:3" ht="14.25" customHeight="1" x14ac:dyDescent="0.3">
      <c r="A90" s="46"/>
      <c r="B90" s="47" t="s">
        <v>1545</v>
      </c>
      <c r="C90" s="47">
        <v>1731</v>
      </c>
    </row>
    <row r="91" spans="1:3" ht="14.25" customHeight="1" x14ac:dyDescent="0.3">
      <c r="A91" s="46"/>
      <c r="B91" s="47" t="s">
        <v>1546</v>
      </c>
      <c r="C91" s="47">
        <v>1866</v>
      </c>
    </row>
    <row r="92" spans="1:3" ht="14.25" customHeight="1" x14ac:dyDescent="0.3">
      <c r="A92" s="46"/>
      <c r="B92" s="47" t="s">
        <v>1547</v>
      </c>
      <c r="C92" s="47">
        <v>1882</v>
      </c>
    </row>
    <row r="93" spans="1:3" ht="14.25" customHeight="1" x14ac:dyDescent="0.3">
      <c r="A93" s="46"/>
      <c r="B93" s="47" t="s">
        <v>1548</v>
      </c>
      <c r="C93" s="47">
        <v>1825</v>
      </c>
    </row>
    <row r="94" spans="1:3" ht="14.25" customHeight="1" x14ac:dyDescent="0.3">
      <c r="A94" s="44" t="s">
        <v>1549</v>
      </c>
      <c r="B94" s="45"/>
      <c r="C94" s="45"/>
    </row>
    <row r="95" spans="1:3" ht="14.25" customHeight="1" x14ac:dyDescent="0.3">
      <c r="A95" s="46"/>
      <c r="B95" s="47" t="s">
        <v>1550</v>
      </c>
      <c r="C95" s="47">
        <v>1502</v>
      </c>
    </row>
    <row r="96" spans="1:3" ht="14.25" customHeight="1" x14ac:dyDescent="0.3">
      <c r="A96" s="46"/>
      <c r="B96" s="47" t="s">
        <v>1551</v>
      </c>
      <c r="C96" s="47">
        <v>1504</v>
      </c>
    </row>
    <row r="97" spans="1:3" ht="14.25" customHeight="1" x14ac:dyDescent="0.3">
      <c r="A97" s="46"/>
      <c r="B97" s="47" t="s">
        <v>1552</v>
      </c>
      <c r="C97" s="47">
        <v>1505</v>
      </c>
    </row>
    <row r="98" spans="1:3" ht="14.25" customHeight="1" x14ac:dyDescent="0.3">
      <c r="A98" s="46"/>
      <c r="B98" s="47" t="s">
        <v>1553</v>
      </c>
      <c r="C98" s="47">
        <v>1827</v>
      </c>
    </row>
    <row r="99" spans="1:3" ht="14.25" customHeight="1" x14ac:dyDescent="0.3">
      <c r="A99" s="46"/>
      <c r="B99" s="47" t="s">
        <v>1554</v>
      </c>
      <c r="C99" s="47">
        <v>1828</v>
      </c>
    </row>
    <row r="100" spans="1:3" ht="14.25" customHeight="1" x14ac:dyDescent="0.3">
      <c r="A100" s="46"/>
      <c r="B100" s="47" t="s">
        <v>1555</v>
      </c>
      <c r="C100" s="47">
        <v>1503</v>
      </c>
    </row>
    <row r="101" spans="1:3" ht="14.25" customHeight="1" x14ac:dyDescent="0.3">
      <c r="A101" s="46"/>
      <c r="B101" s="47" t="s">
        <v>1556</v>
      </c>
      <c r="C101" s="47">
        <v>1883</v>
      </c>
    </row>
    <row r="102" spans="1:3" ht="14.25" customHeight="1" x14ac:dyDescent="0.3">
      <c r="A102" s="46"/>
      <c r="B102" s="47" t="s">
        <v>1557</v>
      </c>
      <c r="C102" s="47">
        <v>1826</v>
      </c>
    </row>
    <row r="103" spans="1:3" ht="14.25" customHeight="1" x14ac:dyDescent="0.3">
      <c r="A103" s="44" t="s">
        <v>1558</v>
      </c>
      <c r="B103" s="45"/>
      <c r="C103" s="45"/>
    </row>
    <row r="104" spans="1:3" ht="14.25" customHeight="1" x14ac:dyDescent="0.3">
      <c r="A104" s="46"/>
      <c r="B104" s="47" t="s">
        <v>1559</v>
      </c>
      <c r="C104" s="47">
        <v>1506</v>
      </c>
    </row>
    <row r="105" spans="1:3" ht="14.25" customHeight="1" x14ac:dyDescent="0.3">
      <c r="A105" s="46"/>
      <c r="B105" s="47" t="s">
        <v>1560</v>
      </c>
      <c r="C105" s="47">
        <v>1801</v>
      </c>
    </row>
    <row r="106" spans="1:3" ht="14.25" customHeight="1" x14ac:dyDescent="0.3">
      <c r="A106" s="46"/>
      <c r="B106" s="47" t="s">
        <v>1453</v>
      </c>
      <c r="C106" s="47">
        <v>1800</v>
      </c>
    </row>
    <row r="107" spans="1:3" ht="14.25" customHeight="1" x14ac:dyDescent="0.3">
      <c r="A107" s="46"/>
      <c r="B107" s="47" t="s">
        <v>1561</v>
      </c>
      <c r="C107" s="47">
        <v>1508</v>
      </c>
    </row>
    <row r="108" spans="1:3" ht="14.25" customHeight="1" x14ac:dyDescent="0.3">
      <c r="A108" s="46"/>
      <c r="B108" s="47" t="s">
        <v>1562</v>
      </c>
      <c r="C108" s="47">
        <v>1510</v>
      </c>
    </row>
    <row r="109" spans="1:3" ht="14.25" customHeight="1" x14ac:dyDescent="0.3">
      <c r="A109" s="46"/>
      <c r="B109" s="47" t="s">
        <v>1563</v>
      </c>
      <c r="C109" s="47">
        <v>1511</v>
      </c>
    </row>
    <row r="110" spans="1:3" ht="14.25" customHeight="1" x14ac:dyDescent="0.3">
      <c r="A110" s="46"/>
      <c r="B110" s="47" t="s">
        <v>1564</v>
      </c>
      <c r="C110" s="47">
        <v>1753</v>
      </c>
    </row>
    <row r="111" spans="1:3" ht="14.25" customHeight="1" x14ac:dyDescent="0.3">
      <c r="A111" s="46"/>
      <c r="B111" s="47" t="s">
        <v>1565</v>
      </c>
      <c r="C111" s="47">
        <v>1755</v>
      </c>
    </row>
    <row r="112" spans="1:3" ht="14.25" customHeight="1" x14ac:dyDescent="0.3">
      <c r="A112" s="46"/>
      <c r="B112" s="47" t="s">
        <v>1566</v>
      </c>
      <c r="C112" s="47">
        <v>1512</v>
      </c>
    </row>
    <row r="113" spans="1:3" ht="14.25" customHeight="1" x14ac:dyDescent="0.3">
      <c r="A113" s="46"/>
      <c r="B113" s="47" t="s">
        <v>1567</v>
      </c>
      <c r="C113" s="47">
        <v>1756</v>
      </c>
    </row>
    <row r="114" spans="1:3" ht="14.25" customHeight="1" x14ac:dyDescent="0.3">
      <c r="A114" s="46"/>
      <c r="B114" s="47" t="s">
        <v>1568</v>
      </c>
      <c r="C114" s="47">
        <v>1509</v>
      </c>
    </row>
    <row r="115" spans="1:3" ht="14.25" customHeight="1" x14ac:dyDescent="0.3">
      <c r="A115" s="46"/>
      <c r="B115" s="47" t="s">
        <v>1569</v>
      </c>
      <c r="C115" s="47">
        <v>1752</v>
      </c>
    </row>
    <row r="116" spans="1:3" ht="14.25" customHeight="1" x14ac:dyDescent="0.3">
      <c r="A116" s="46"/>
      <c r="B116" s="47" t="s">
        <v>1570</v>
      </c>
      <c r="C116" s="47">
        <v>1507</v>
      </c>
    </row>
    <row r="117" spans="1:3" ht="14.25" customHeight="1" x14ac:dyDescent="0.3">
      <c r="A117" s="46"/>
      <c r="B117" s="47" t="s">
        <v>1571</v>
      </c>
      <c r="C117" s="47">
        <v>1884</v>
      </c>
    </row>
    <row r="118" spans="1:3" ht="14.25" customHeight="1" x14ac:dyDescent="0.3">
      <c r="A118" s="46"/>
      <c r="B118" s="47" t="s">
        <v>1572</v>
      </c>
      <c r="C118" s="47">
        <v>1754</v>
      </c>
    </row>
    <row r="119" spans="1:3" ht="14.25" customHeight="1" x14ac:dyDescent="0.3">
      <c r="A119" s="44" t="s">
        <v>1573</v>
      </c>
      <c r="B119" s="45"/>
      <c r="C119" s="45"/>
    </row>
    <row r="120" spans="1:3" ht="14.25" customHeight="1" x14ac:dyDescent="0.3">
      <c r="A120" s="46"/>
      <c r="B120" s="47" t="s">
        <v>1574</v>
      </c>
      <c r="C120" s="47">
        <v>1766</v>
      </c>
    </row>
    <row r="121" spans="1:3" ht="14.25" customHeight="1" x14ac:dyDescent="0.3">
      <c r="A121" s="46"/>
      <c r="B121" s="47" t="s">
        <v>1575</v>
      </c>
      <c r="C121" s="47">
        <v>1761</v>
      </c>
    </row>
    <row r="122" spans="1:3" ht="14.25" customHeight="1" x14ac:dyDescent="0.3">
      <c r="A122" s="46"/>
      <c r="B122" s="47" t="s">
        <v>1576</v>
      </c>
      <c r="C122" s="47">
        <v>1767</v>
      </c>
    </row>
    <row r="123" spans="1:3" ht="14.25" customHeight="1" x14ac:dyDescent="0.3">
      <c r="A123" s="46"/>
      <c r="B123" s="47" t="s">
        <v>1577</v>
      </c>
      <c r="C123" s="47">
        <v>1758</v>
      </c>
    </row>
    <row r="124" spans="1:3" ht="14.25" customHeight="1" x14ac:dyDescent="0.3">
      <c r="A124" s="46"/>
      <c r="B124" s="47" t="s">
        <v>1578</v>
      </c>
      <c r="C124" s="47">
        <v>1466</v>
      </c>
    </row>
    <row r="125" spans="1:3" ht="14.25" customHeight="1" x14ac:dyDescent="0.3">
      <c r="A125" s="46"/>
      <c r="B125" s="47" t="s">
        <v>1579</v>
      </c>
      <c r="C125" s="47">
        <v>1863</v>
      </c>
    </row>
    <row r="126" spans="1:3" ht="14.25" customHeight="1" x14ac:dyDescent="0.3">
      <c r="A126" s="46"/>
      <c r="B126" s="47" t="s">
        <v>1580</v>
      </c>
      <c r="C126" s="47">
        <v>1467</v>
      </c>
    </row>
    <row r="127" spans="1:3" ht="14.25" customHeight="1" x14ac:dyDescent="0.3">
      <c r="A127" s="46"/>
      <c r="B127" s="47" t="s">
        <v>1573</v>
      </c>
      <c r="C127" s="47">
        <v>1762</v>
      </c>
    </row>
    <row r="128" spans="1:3" ht="14.25" customHeight="1" x14ac:dyDescent="0.3">
      <c r="A128" s="46"/>
      <c r="B128" s="47" t="s">
        <v>1581</v>
      </c>
      <c r="C128" s="47">
        <v>1864</v>
      </c>
    </row>
    <row r="129" spans="1:3" ht="14.25" customHeight="1" x14ac:dyDescent="0.3">
      <c r="A129" s="46"/>
      <c r="B129" s="47" t="s">
        <v>1582</v>
      </c>
      <c r="C129" s="47">
        <v>1759</v>
      </c>
    </row>
    <row r="130" spans="1:3" ht="14.25" customHeight="1" x14ac:dyDescent="0.3">
      <c r="A130" s="46"/>
      <c r="B130" s="47" t="s">
        <v>1583</v>
      </c>
      <c r="C130" s="47">
        <v>1764</v>
      </c>
    </row>
    <row r="131" spans="1:3" ht="14.25" customHeight="1" x14ac:dyDescent="0.3">
      <c r="A131" s="46"/>
      <c r="B131" s="47" t="s">
        <v>1584</v>
      </c>
      <c r="C131" s="47">
        <v>1765</v>
      </c>
    </row>
    <row r="132" spans="1:3" ht="14.25" customHeight="1" x14ac:dyDescent="0.3">
      <c r="A132" s="46"/>
      <c r="B132" s="47" t="s">
        <v>1585</v>
      </c>
      <c r="C132" s="47">
        <v>1468</v>
      </c>
    </row>
    <row r="133" spans="1:3" ht="14.25" customHeight="1" x14ac:dyDescent="0.3">
      <c r="A133" s="46"/>
      <c r="B133" s="47" t="s">
        <v>1586</v>
      </c>
      <c r="C133" s="47">
        <v>1757</v>
      </c>
    </row>
    <row r="134" spans="1:3" ht="14.25" customHeight="1" x14ac:dyDescent="0.3">
      <c r="A134" s="46"/>
      <c r="B134" s="47" t="s">
        <v>1587</v>
      </c>
      <c r="C134" s="47">
        <v>1469</v>
      </c>
    </row>
    <row r="135" spans="1:3" ht="14.25" customHeight="1" x14ac:dyDescent="0.3">
      <c r="A135" s="46"/>
      <c r="B135" s="47" t="s">
        <v>1588</v>
      </c>
      <c r="C135" s="47">
        <v>1865</v>
      </c>
    </row>
    <row r="136" spans="1:3" ht="14.25" customHeight="1" x14ac:dyDescent="0.3">
      <c r="A136" s="46"/>
      <c r="B136" s="47" t="s">
        <v>1589</v>
      </c>
      <c r="C136" s="47">
        <v>1760</v>
      </c>
    </row>
    <row r="137" spans="1:3" ht="14.25" customHeight="1" x14ac:dyDescent="0.3">
      <c r="A137" s="46"/>
      <c r="B137" s="47" t="s">
        <v>1590</v>
      </c>
      <c r="C137" s="47">
        <v>1763</v>
      </c>
    </row>
    <row r="138" spans="1:3" ht="14.25" customHeight="1" x14ac:dyDescent="0.3">
      <c r="A138" s="46"/>
      <c r="B138" s="47" t="s">
        <v>1591</v>
      </c>
      <c r="C138" s="47">
        <v>1470</v>
      </c>
    </row>
    <row r="139" spans="1:3" ht="14.25" customHeight="1" x14ac:dyDescent="0.3">
      <c r="A139" s="46"/>
      <c r="B139" s="47" t="s">
        <v>1592</v>
      </c>
      <c r="C139" s="47">
        <v>2014</v>
      </c>
    </row>
    <row r="140" spans="1:3" ht="14.25" customHeight="1" x14ac:dyDescent="0.3">
      <c r="A140" s="46"/>
      <c r="B140" s="47" t="s">
        <v>1593</v>
      </c>
      <c r="C140" s="47">
        <v>2013</v>
      </c>
    </row>
    <row r="141" spans="1:3" ht="14.25" customHeight="1" x14ac:dyDescent="0.3">
      <c r="A141" s="46"/>
      <c r="B141" s="47" t="s">
        <v>1594</v>
      </c>
      <c r="C141" s="47">
        <v>1885</v>
      </c>
    </row>
    <row r="142" spans="1:3" ht="14.25" customHeight="1" x14ac:dyDescent="0.3">
      <c r="A142" s="46"/>
      <c r="B142" s="47" t="s">
        <v>1595</v>
      </c>
      <c r="C142" s="47">
        <v>1768</v>
      </c>
    </row>
    <row r="143" spans="1:3" ht="14.25" customHeight="1" x14ac:dyDescent="0.3">
      <c r="A143" s="44" t="s">
        <v>1596</v>
      </c>
      <c r="B143" s="45"/>
      <c r="C143" s="45"/>
    </row>
    <row r="144" spans="1:3" ht="14.25" customHeight="1" x14ac:dyDescent="0.3">
      <c r="A144" s="46"/>
      <c r="B144" s="47" t="s">
        <v>1597</v>
      </c>
      <c r="C144" s="47">
        <v>1462</v>
      </c>
    </row>
    <row r="145" spans="1:3" ht="14.25" customHeight="1" x14ac:dyDescent="0.3">
      <c r="A145" s="46"/>
      <c r="B145" s="47" t="s">
        <v>1598</v>
      </c>
      <c r="C145" s="47">
        <v>1778</v>
      </c>
    </row>
    <row r="146" spans="1:3" ht="14.25" customHeight="1" x14ac:dyDescent="0.3">
      <c r="A146" s="46"/>
      <c r="B146" s="47" t="s">
        <v>1599</v>
      </c>
      <c r="C146" s="47">
        <v>1779</v>
      </c>
    </row>
    <row r="147" spans="1:3" ht="14.25" customHeight="1" x14ac:dyDescent="0.3">
      <c r="A147" s="46"/>
      <c r="B147" s="47" t="s">
        <v>1600</v>
      </c>
      <c r="C147" s="47">
        <v>1770</v>
      </c>
    </row>
    <row r="148" spans="1:3" ht="14.25" customHeight="1" x14ac:dyDescent="0.3">
      <c r="A148" s="46"/>
      <c r="B148" s="47" t="s">
        <v>1601</v>
      </c>
      <c r="C148" s="47">
        <v>1887</v>
      </c>
    </row>
    <row r="149" spans="1:3" ht="14.25" customHeight="1" x14ac:dyDescent="0.3">
      <c r="A149" s="46"/>
      <c r="B149" s="47" t="s">
        <v>1602</v>
      </c>
      <c r="C149" s="47">
        <v>1780</v>
      </c>
    </row>
    <row r="150" spans="1:3" ht="14.25" customHeight="1" x14ac:dyDescent="0.3">
      <c r="A150" s="46"/>
      <c r="B150" s="47" t="s">
        <v>1603</v>
      </c>
      <c r="C150" s="47">
        <v>1771</v>
      </c>
    </row>
    <row r="151" spans="1:3" ht="14.25" customHeight="1" x14ac:dyDescent="0.3">
      <c r="A151" s="46"/>
      <c r="B151" s="47" t="s">
        <v>1604</v>
      </c>
      <c r="C151" s="47">
        <v>1772</v>
      </c>
    </row>
    <row r="152" spans="1:3" ht="14.25" customHeight="1" x14ac:dyDescent="0.3">
      <c r="A152" s="46"/>
      <c r="B152" s="47" t="s">
        <v>1605</v>
      </c>
      <c r="C152" s="47">
        <v>1947</v>
      </c>
    </row>
    <row r="153" spans="1:3" ht="14.25" customHeight="1" x14ac:dyDescent="0.3">
      <c r="A153" s="46"/>
      <c r="B153" s="47" t="s">
        <v>1606</v>
      </c>
      <c r="C153" s="47">
        <v>1773</v>
      </c>
    </row>
    <row r="154" spans="1:3" ht="14.25" customHeight="1" x14ac:dyDescent="0.3">
      <c r="A154" s="46"/>
      <c r="B154" s="47" t="s">
        <v>1607</v>
      </c>
      <c r="C154" s="47">
        <v>1461</v>
      </c>
    </row>
    <row r="155" spans="1:3" ht="14.25" customHeight="1" x14ac:dyDescent="0.3">
      <c r="A155" s="46"/>
      <c r="B155" s="47" t="s">
        <v>1608</v>
      </c>
      <c r="C155" s="47">
        <v>1769</v>
      </c>
    </row>
    <row r="156" spans="1:3" ht="14.25" customHeight="1" x14ac:dyDescent="0.3">
      <c r="A156" s="46"/>
      <c r="B156" s="47" t="s">
        <v>1609</v>
      </c>
      <c r="C156" s="47">
        <v>1774</v>
      </c>
    </row>
    <row r="157" spans="1:3" ht="14.25" customHeight="1" x14ac:dyDescent="0.3">
      <c r="A157" s="46"/>
      <c r="B157" s="47" t="s">
        <v>1610</v>
      </c>
      <c r="C157" s="47">
        <v>2774</v>
      </c>
    </row>
    <row r="158" spans="1:3" ht="14.25" customHeight="1" x14ac:dyDescent="0.3">
      <c r="A158" s="46"/>
      <c r="B158" s="47" t="s">
        <v>1611</v>
      </c>
      <c r="C158" s="47">
        <v>1777</v>
      </c>
    </row>
    <row r="159" spans="1:3" ht="14.25" customHeight="1" x14ac:dyDescent="0.3">
      <c r="A159" s="46"/>
      <c r="B159" s="47" t="s">
        <v>1612</v>
      </c>
      <c r="C159" s="47">
        <v>1775</v>
      </c>
    </row>
    <row r="160" spans="1:3" ht="14.25" customHeight="1" x14ac:dyDescent="0.3">
      <c r="A160" s="46"/>
      <c r="B160" s="47" t="s">
        <v>1613</v>
      </c>
      <c r="C160" s="47">
        <v>1776</v>
      </c>
    </row>
    <row r="161" spans="1:3" ht="14.25" customHeight="1" x14ac:dyDescent="0.3">
      <c r="A161" s="46"/>
      <c r="B161" s="47" t="s">
        <v>1614</v>
      </c>
      <c r="C161" s="47">
        <v>2773</v>
      </c>
    </row>
    <row r="162" spans="1:3" ht="14.25" customHeight="1" x14ac:dyDescent="0.3">
      <c r="A162" s="44"/>
      <c r="B162" s="45" t="s">
        <v>1615</v>
      </c>
      <c r="C162" s="45">
        <v>1886</v>
      </c>
    </row>
    <row r="163" spans="1:3" ht="14.25" customHeight="1" x14ac:dyDescent="0.3">
      <c r="A163" s="46"/>
      <c r="B163" s="47" t="s">
        <v>1616</v>
      </c>
      <c r="C163" s="47">
        <v>1781</v>
      </c>
    </row>
    <row r="164" spans="1:3" ht="14.25" customHeight="1" x14ac:dyDescent="0.3">
      <c r="A164" s="46" t="s">
        <v>1617</v>
      </c>
      <c r="B164" s="47"/>
      <c r="C164" s="47"/>
    </row>
    <row r="165" spans="1:3" ht="14.25" customHeight="1" x14ac:dyDescent="0.3">
      <c r="A165" s="46"/>
      <c r="B165" s="47" t="s">
        <v>1618</v>
      </c>
      <c r="C165" s="47">
        <v>1513</v>
      </c>
    </row>
    <row r="166" spans="1:3" ht="14.25" customHeight="1" x14ac:dyDescent="0.3">
      <c r="A166" s="46"/>
      <c r="B166" s="47" t="s">
        <v>1619</v>
      </c>
      <c r="C166" s="47">
        <v>1514</v>
      </c>
    </row>
    <row r="167" spans="1:3" ht="14.25" customHeight="1" x14ac:dyDescent="0.3">
      <c r="A167" s="46"/>
      <c r="B167" s="47" t="s">
        <v>1620</v>
      </c>
      <c r="C167" s="47">
        <v>1515</v>
      </c>
    </row>
    <row r="168" spans="1:3" ht="14.25" customHeight="1" x14ac:dyDescent="0.3">
      <c r="A168" s="44"/>
      <c r="B168" s="45" t="s">
        <v>1621</v>
      </c>
      <c r="C168" s="45">
        <v>1888</v>
      </c>
    </row>
    <row r="169" spans="1:3" ht="14.25" customHeight="1" x14ac:dyDescent="0.3">
      <c r="A169" s="46"/>
      <c r="B169" s="47" t="s">
        <v>1622</v>
      </c>
      <c r="C169" s="47">
        <v>1829</v>
      </c>
    </row>
    <row r="170" spans="1:3" ht="14.25" customHeight="1" x14ac:dyDescent="0.3">
      <c r="A170" s="46" t="s">
        <v>1623</v>
      </c>
      <c r="B170" s="47"/>
      <c r="C170" s="47"/>
    </row>
    <row r="171" spans="1:3" ht="14.25" customHeight="1" x14ac:dyDescent="0.3">
      <c r="A171" s="46"/>
      <c r="B171" s="47" t="s">
        <v>1624</v>
      </c>
      <c r="C171" s="47">
        <v>1493</v>
      </c>
    </row>
    <row r="172" spans="1:3" ht="14.25" customHeight="1" x14ac:dyDescent="0.3">
      <c r="A172" s="46"/>
      <c r="B172" s="47" t="s">
        <v>1625</v>
      </c>
      <c r="C172" s="47">
        <v>1491</v>
      </c>
    </row>
    <row r="173" spans="1:3" ht="14.25" customHeight="1" x14ac:dyDescent="0.3">
      <c r="A173" s="46"/>
      <c r="B173" s="47" t="s">
        <v>1626</v>
      </c>
      <c r="C173" s="47">
        <v>1489</v>
      </c>
    </row>
    <row r="174" spans="1:3" ht="14.25" customHeight="1" x14ac:dyDescent="0.3">
      <c r="A174" s="46"/>
      <c r="B174" s="47" t="s">
        <v>1627</v>
      </c>
      <c r="C174" s="47">
        <v>1492</v>
      </c>
    </row>
    <row r="175" spans="1:3" ht="14.25" customHeight="1" x14ac:dyDescent="0.3">
      <c r="A175" s="46"/>
      <c r="B175" s="47" t="s">
        <v>1628</v>
      </c>
      <c r="C175" s="47">
        <v>1490</v>
      </c>
    </row>
    <row r="176" spans="1:3" ht="14.25" customHeight="1" x14ac:dyDescent="0.3">
      <c r="A176" s="46"/>
      <c r="B176" s="47" t="s">
        <v>1629</v>
      </c>
      <c r="C176" s="47">
        <v>1843</v>
      </c>
    </row>
    <row r="177" spans="1:3" ht="14.25" customHeight="1" x14ac:dyDescent="0.3">
      <c r="A177" s="44"/>
      <c r="B177" s="45" t="s">
        <v>1630</v>
      </c>
      <c r="C177" s="45">
        <v>1889</v>
      </c>
    </row>
    <row r="178" spans="1:3" ht="14.25" customHeight="1" x14ac:dyDescent="0.3">
      <c r="A178" s="46"/>
      <c r="B178" s="47" t="s">
        <v>1631</v>
      </c>
      <c r="C178" s="47">
        <v>1830</v>
      </c>
    </row>
    <row r="179" spans="1:3" ht="14.25" customHeight="1" x14ac:dyDescent="0.3">
      <c r="A179" s="46" t="s">
        <v>1632</v>
      </c>
      <c r="B179" s="47"/>
      <c r="C179" s="47"/>
    </row>
    <row r="180" spans="1:3" ht="14.25" customHeight="1" x14ac:dyDescent="0.3">
      <c r="A180" s="46"/>
      <c r="B180" s="47" t="s">
        <v>1633</v>
      </c>
      <c r="C180" s="47">
        <v>1844</v>
      </c>
    </row>
    <row r="181" spans="1:3" ht="14.25" customHeight="1" x14ac:dyDescent="0.3">
      <c r="A181" s="46"/>
      <c r="B181" s="47" t="s">
        <v>1634</v>
      </c>
      <c r="C181" s="47">
        <v>1893</v>
      </c>
    </row>
    <row r="182" spans="1:3" ht="14.25" customHeight="1" x14ac:dyDescent="0.3">
      <c r="A182" s="46"/>
      <c r="B182" s="47" t="s">
        <v>1635</v>
      </c>
      <c r="C182" s="47">
        <v>1862</v>
      </c>
    </row>
    <row r="183" spans="1:3" ht="14.25" customHeight="1" x14ac:dyDescent="0.3">
      <c r="A183" s="46"/>
      <c r="B183" s="47" t="s">
        <v>1636</v>
      </c>
      <c r="C183" s="47">
        <v>1867</v>
      </c>
    </row>
    <row r="184" spans="1:3" ht="14.25" customHeight="1" x14ac:dyDescent="0.3">
      <c r="A184" s="46"/>
      <c r="B184" s="47" t="s">
        <v>1637</v>
      </c>
      <c r="C184" s="47">
        <v>2003</v>
      </c>
    </row>
    <row r="185" spans="1:3" ht="14.25" customHeight="1" x14ac:dyDescent="0.3">
      <c r="A185" s="46"/>
      <c r="B185" s="47" t="s">
        <v>1638</v>
      </c>
      <c r="C185" s="47">
        <v>2676</v>
      </c>
    </row>
    <row r="186" spans="1:3" ht="14.25" customHeight="1" x14ac:dyDescent="0.3">
      <c r="A186" s="46"/>
      <c r="B186" s="47" t="s">
        <v>1639</v>
      </c>
      <c r="C186" s="47">
        <v>1522</v>
      </c>
    </row>
    <row r="187" spans="1:3" ht="14.25" customHeight="1" x14ac:dyDescent="0.3">
      <c r="A187" s="46"/>
      <c r="B187" s="47" t="s">
        <v>1453</v>
      </c>
      <c r="C187" s="47">
        <v>1800</v>
      </c>
    </row>
    <row r="188" spans="1:3" ht="14.25" customHeight="1" x14ac:dyDescent="0.3">
      <c r="A188" s="46"/>
      <c r="B188" s="47" t="s">
        <v>1640</v>
      </c>
      <c r="C188" s="47">
        <v>1868</v>
      </c>
    </row>
    <row r="189" spans="1:3" ht="14.25" customHeight="1" x14ac:dyDescent="0.3">
      <c r="A189" s="46"/>
      <c r="B189" s="47" t="s">
        <v>1641</v>
      </c>
      <c r="C189" s="47">
        <v>2675</v>
      </c>
    </row>
    <row r="190" spans="1:3" ht="14.25" customHeight="1" x14ac:dyDescent="0.3">
      <c r="A190" s="46"/>
      <c r="B190" s="47" t="s">
        <v>1642</v>
      </c>
      <c r="C190" s="47">
        <v>1859</v>
      </c>
    </row>
    <row r="191" spans="1:3" ht="14.25" customHeight="1" x14ac:dyDescent="0.3">
      <c r="A191" s="42"/>
      <c r="B191" s="43" t="s">
        <v>1643</v>
      </c>
      <c r="C191" s="43">
        <v>2018</v>
      </c>
    </row>
    <row r="192" spans="1:3" ht="14.25" customHeight="1" x14ac:dyDescent="0.3">
      <c r="A192" s="42"/>
      <c r="B192" s="43" t="s">
        <v>1644</v>
      </c>
      <c r="C192" s="43">
        <v>1521</v>
      </c>
    </row>
    <row r="193" spans="1:3" ht="14.25" customHeight="1" x14ac:dyDescent="0.3">
      <c r="A193" s="42"/>
      <c r="B193" s="43" t="s">
        <v>1645</v>
      </c>
      <c r="C193" s="43">
        <v>2904</v>
      </c>
    </row>
    <row r="194" spans="1:3" ht="14.25" customHeight="1" x14ac:dyDescent="0.3">
      <c r="A194" s="42"/>
      <c r="B194" s="43" t="s">
        <v>1646</v>
      </c>
      <c r="C194" s="43">
        <v>1890</v>
      </c>
    </row>
    <row r="195" spans="1:3" ht="14.25" customHeight="1" x14ac:dyDescent="0.3">
      <c r="A195" s="42"/>
      <c r="B195" s="43" t="s">
        <v>1451</v>
      </c>
      <c r="C195" s="43">
        <v>1523</v>
      </c>
    </row>
  </sheetData>
  <sheetProtection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76"/>
  <sheetViews>
    <sheetView workbookViewId="0"/>
  </sheetViews>
  <sheetFormatPr baseColWidth="10" defaultColWidth="11" defaultRowHeight="15.6" x14ac:dyDescent="0.3"/>
  <cols>
    <col min="1" max="1" width="29" style="34" customWidth="1"/>
    <col min="2" max="2" width="30.5546875" style="48" customWidth="1"/>
    <col min="3" max="3" width="16.5546875" style="48" customWidth="1"/>
    <col min="4" max="16384" width="11" style="2"/>
  </cols>
  <sheetData>
    <row r="1" spans="1:11" s="38" customFormat="1" x14ac:dyDescent="0.3">
      <c r="A1" s="37" t="s">
        <v>76</v>
      </c>
      <c r="B1" s="37" t="s">
        <v>77</v>
      </c>
      <c r="C1" s="37" t="s">
        <v>26</v>
      </c>
      <c r="K1" s="39"/>
    </row>
    <row r="2" spans="1:11" s="38" customFormat="1" x14ac:dyDescent="0.3">
      <c r="A2" s="44" t="s">
        <v>1647</v>
      </c>
      <c r="B2" s="45"/>
      <c r="C2" s="45"/>
      <c r="K2" s="39"/>
    </row>
    <row r="3" spans="1:11" x14ac:dyDescent="0.3">
      <c r="A3" s="46"/>
      <c r="B3" s="47" t="s">
        <v>1648</v>
      </c>
      <c r="C3" s="47">
        <v>1555</v>
      </c>
    </row>
    <row r="4" spans="1:11" x14ac:dyDescent="0.3">
      <c r="A4" s="46"/>
      <c r="B4" s="47" t="s">
        <v>1649</v>
      </c>
      <c r="C4" s="47">
        <v>1553</v>
      </c>
    </row>
    <row r="5" spans="1:11" x14ac:dyDescent="0.3">
      <c r="A5" s="46"/>
      <c r="B5" s="47" t="s">
        <v>1650</v>
      </c>
      <c r="C5" s="47">
        <v>1965</v>
      </c>
    </row>
    <row r="6" spans="1:11" x14ac:dyDescent="0.3">
      <c r="A6" s="46"/>
      <c r="B6" s="47" t="s">
        <v>1651</v>
      </c>
      <c r="C6" s="47">
        <v>1550</v>
      </c>
    </row>
    <row r="7" spans="1:11" x14ac:dyDescent="0.3">
      <c r="A7" s="46"/>
      <c r="B7" s="47" t="s">
        <v>1416</v>
      </c>
      <c r="C7" s="47">
        <v>1548</v>
      </c>
    </row>
    <row r="8" spans="1:11" x14ac:dyDescent="0.3">
      <c r="A8" s="46"/>
      <c r="B8" s="47" t="s">
        <v>1652</v>
      </c>
      <c r="C8" s="47">
        <v>1549</v>
      </c>
    </row>
    <row r="9" spans="1:11" x14ac:dyDescent="0.3">
      <c r="A9" s="46"/>
      <c r="B9" s="47" t="s">
        <v>1653</v>
      </c>
      <c r="C9" s="47">
        <v>1551</v>
      </c>
    </row>
    <row r="10" spans="1:11" x14ac:dyDescent="0.3">
      <c r="A10" s="46"/>
      <c r="B10" s="47" t="s">
        <v>1654</v>
      </c>
      <c r="C10" s="47">
        <v>1552</v>
      </c>
    </row>
    <row r="11" spans="1:11" x14ac:dyDescent="0.3">
      <c r="A11" s="46"/>
      <c r="B11" s="47" t="s">
        <v>1655</v>
      </c>
      <c r="C11" s="47">
        <v>1554</v>
      </c>
    </row>
    <row r="12" spans="1:11" x14ac:dyDescent="0.3">
      <c r="A12" s="46"/>
      <c r="B12" s="47" t="s">
        <v>1424</v>
      </c>
      <c r="C12" s="47">
        <v>1557</v>
      </c>
    </row>
    <row r="13" spans="1:11" x14ac:dyDescent="0.3">
      <c r="A13" s="46"/>
      <c r="B13" s="47" t="s">
        <v>1656</v>
      </c>
      <c r="C13" s="47">
        <v>1831</v>
      </c>
    </row>
    <row r="14" spans="1:11" x14ac:dyDescent="0.3">
      <c r="A14" s="44" t="s">
        <v>1657</v>
      </c>
      <c r="B14" s="45"/>
      <c r="C14" s="45"/>
    </row>
    <row r="15" spans="1:11" x14ac:dyDescent="0.3">
      <c r="A15" s="46"/>
      <c r="B15" s="47" t="s">
        <v>1658</v>
      </c>
      <c r="C15" s="47">
        <v>1562</v>
      </c>
    </row>
    <row r="16" spans="1:11" x14ac:dyDescent="0.3">
      <c r="A16" s="46"/>
      <c r="B16" s="47" t="s">
        <v>1659</v>
      </c>
      <c r="C16" s="47">
        <v>2004</v>
      </c>
    </row>
    <row r="17" spans="1:3" x14ac:dyDescent="0.3">
      <c r="A17" s="46"/>
      <c r="B17" s="47" t="s">
        <v>1439</v>
      </c>
      <c r="C17" s="47">
        <v>1563</v>
      </c>
    </row>
    <row r="18" spans="1:3" x14ac:dyDescent="0.3">
      <c r="A18" s="46"/>
      <c r="B18" s="47" t="s">
        <v>1660</v>
      </c>
      <c r="C18" s="47">
        <v>1564</v>
      </c>
    </row>
    <row r="19" spans="1:3" x14ac:dyDescent="0.3">
      <c r="A19" s="46"/>
      <c r="B19" s="47" t="s">
        <v>1442</v>
      </c>
      <c r="C19" s="47">
        <v>1856</v>
      </c>
    </row>
    <row r="20" spans="1:3" x14ac:dyDescent="0.3">
      <c r="A20" s="46"/>
      <c r="B20" s="47" t="s">
        <v>1661</v>
      </c>
      <c r="C20" s="47">
        <v>2525</v>
      </c>
    </row>
    <row r="21" spans="1:3" x14ac:dyDescent="0.3">
      <c r="A21" s="46"/>
      <c r="B21" s="47" t="s">
        <v>1662</v>
      </c>
      <c r="C21" s="47">
        <v>1566</v>
      </c>
    </row>
    <row r="22" spans="1:3" x14ac:dyDescent="0.3">
      <c r="A22" s="46"/>
      <c r="B22" s="47" t="s">
        <v>1663</v>
      </c>
      <c r="C22" s="47">
        <v>1568</v>
      </c>
    </row>
    <row r="23" spans="1:3" x14ac:dyDescent="0.3">
      <c r="A23" s="46"/>
      <c r="B23" s="47" t="s">
        <v>1664</v>
      </c>
      <c r="C23" s="47">
        <v>1783</v>
      </c>
    </row>
    <row r="24" spans="1:3" x14ac:dyDescent="0.3">
      <c r="A24" s="46"/>
      <c r="B24" s="47" t="s">
        <v>1665</v>
      </c>
      <c r="C24" s="47">
        <v>1569</v>
      </c>
    </row>
    <row r="25" spans="1:3" x14ac:dyDescent="0.3">
      <c r="A25" s="46"/>
      <c r="B25" s="47" t="s">
        <v>1666</v>
      </c>
      <c r="C25" s="47">
        <v>1567</v>
      </c>
    </row>
    <row r="26" spans="1:3" x14ac:dyDescent="0.3">
      <c r="A26" s="46"/>
      <c r="B26" s="47" t="s">
        <v>1667</v>
      </c>
      <c r="C26" s="47">
        <v>1832</v>
      </c>
    </row>
    <row r="27" spans="1:3" x14ac:dyDescent="0.3">
      <c r="A27" s="44" t="s">
        <v>1668</v>
      </c>
      <c r="B27" s="45"/>
      <c r="C27" s="45"/>
    </row>
    <row r="28" spans="1:3" x14ac:dyDescent="0.3">
      <c r="A28" s="46"/>
      <c r="B28" s="47" t="s">
        <v>1669</v>
      </c>
      <c r="C28" s="47">
        <v>1570</v>
      </c>
    </row>
    <row r="29" spans="1:3" x14ac:dyDescent="0.3">
      <c r="A29" s="46"/>
      <c r="B29" s="47" t="s">
        <v>1670</v>
      </c>
      <c r="C29" s="47">
        <v>1576</v>
      </c>
    </row>
    <row r="30" spans="1:3" x14ac:dyDescent="0.3">
      <c r="A30" s="46"/>
      <c r="B30" s="47" t="s">
        <v>1671</v>
      </c>
      <c r="C30" s="47">
        <v>1715</v>
      </c>
    </row>
    <row r="31" spans="1:3" x14ac:dyDescent="0.3">
      <c r="A31" s="46"/>
      <c r="B31" s="47" t="s">
        <v>1672</v>
      </c>
      <c r="C31" s="47">
        <v>1572</v>
      </c>
    </row>
    <row r="32" spans="1:3" x14ac:dyDescent="0.3">
      <c r="A32" s="46"/>
      <c r="B32" s="47" t="s">
        <v>1673</v>
      </c>
      <c r="C32" s="47">
        <v>1571</v>
      </c>
    </row>
    <row r="33" spans="1:3" x14ac:dyDescent="0.3">
      <c r="A33" s="46"/>
      <c r="B33" s="47" t="s">
        <v>1674</v>
      </c>
      <c r="C33" s="47">
        <v>1833</v>
      </c>
    </row>
    <row r="34" spans="1:3" x14ac:dyDescent="0.3">
      <c r="A34" s="44" t="s">
        <v>1675</v>
      </c>
      <c r="B34" s="45"/>
      <c r="C34" s="45"/>
    </row>
    <row r="35" spans="1:3" x14ac:dyDescent="0.3">
      <c r="A35" s="46"/>
      <c r="B35" s="47" t="s">
        <v>1676</v>
      </c>
      <c r="C35" s="47">
        <v>1591</v>
      </c>
    </row>
    <row r="36" spans="1:3" x14ac:dyDescent="0.3">
      <c r="A36" s="46"/>
      <c r="B36" s="47" t="s">
        <v>1677</v>
      </c>
      <c r="C36" s="47">
        <v>1589</v>
      </c>
    </row>
    <row r="37" spans="1:3" x14ac:dyDescent="0.3">
      <c r="A37" s="46"/>
      <c r="B37" s="47" t="s">
        <v>1416</v>
      </c>
      <c r="C37" s="47">
        <v>1548</v>
      </c>
    </row>
    <row r="38" spans="1:3" x14ac:dyDescent="0.3">
      <c r="A38" s="46"/>
      <c r="B38" s="47" t="s">
        <v>1678</v>
      </c>
      <c r="C38" s="47">
        <v>1601</v>
      </c>
    </row>
    <row r="39" spans="1:3" x14ac:dyDescent="0.3">
      <c r="A39" s="46"/>
      <c r="B39" s="47" t="s">
        <v>1679</v>
      </c>
      <c r="C39" s="47">
        <v>1600</v>
      </c>
    </row>
    <row r="40" spans="1:3" x14ac:dyDescent="0.3">
      <c r="A40" s="46"/>
      <c r="B40" s="47" t="s">
        <v>1680</v>
      </c>
      <c r="C40" s="47">
        <v>1594</v>
      </c>
    </row>
    <row r="41" spans="1:3" x14ac:dyDescent="0.3">
      <c r="A41" s="46"/>
      <c r="B41" s="47" t="s">
        <v>1681</v>
      </c>
      <c r="C41" s="47">
        <v>1795</v>
      </c>
    </row>
    <row r="42" spans="1:3" x14ac:dyDescent="0.3">
      <c r="A42" s="46"/>
      <c r="B42" s="47" t="s">
        <v>1682</v>
      </c>
      <c r="C42" s="47">
        <v>1602</v>
      </c>
    </row>
    <row r="43" spans="1:3" x14ac:dyDescent="0.3">
      <c r="A43" s="46"/>
      <c r="B43" s="47" t="s">
        <v>1683</v>
      </c>
      <c r="C43" s="47">
        <v>1598</v>
      </c>
    </row>
    <row r="44" spans="1:3" x14ac:dyDescent="0.3">
      <c r="A44" s="46"/>
      <c r="B44" s="47" t="s">
        <v>1684</v>
      </c>
      <c r="C44" s="47">
        <v>1794</v>
      </c>
    </row>
    <row r="45" spans="1:3" x14ac:dyDescent="0.3">
      <c r="A45" s="46"/>
      <c r="B45" s="47" t="s">
        <v>1685</v>
      </c>
      <c r="C45" s="47">
        <v>1793</v>
      </c>
    </row>
    <row r="46" spans="1:3" x14ac:dyDescent="0.3">
      <c r="A46" s="44"/>
      <c r="B46" s="45" t="s">
        <v>1686</v>
      </c>
      <c r="C46" s="45">
        <v>1834</v>
      </c>
    </row>
    <row r="47" spans="1:3" x14ac:dyDescent="0.3">
      <c r="A47" s="46" t="s">
        <v>1418</v>
      </c>
      <c r="B47" s="47"/>
      <c r="C47" s="47"/>
    </row>
    <row r="48" spans="1:3" x14ac:dyDescent="0.3">
      <c r="A48" s="46"/>
      <c r="B48" s="47" t="s">
        <v>1687</v>
      </c>
      <c r="C48" s="47">
        <v>1786</v>
      </c>
    </row>
    <row r="49" spans="1:3" x14ac:dyDescent="0.3">
      <c r="A49" s="46"/>
      <c r="B49" s="47" t="s">
        <v>1688</v>
      </c>
      <c r="C49" s="47">
        <v>1607</v>
      </c>
    </row>
    <row r="50" spans="1:3" x14ac:dyDescent="0.3">
      <c r="A50" s="46"/>
      <c r="B50" s="47" t="s">
        <v>1689</v>
      </c>
      <c r="C50" s="47">
        <v>1430</v>
      </c>
    </row>
    <row r="51" spans="1:3" x14ac:dyDescent="0.3">
      <c r="A51" s="46"/>
      <c r="B51" s="47" t="s">
        <v>1690</v>
      </c>
      <c r="C51" s="47">
        <v>1608</v>
      </c>
    </row>
    <row r="52" spans="1:3" x14ac:dyDescent="0.3">
      <c r="A52" s="46"/>
      <c r="B52" s="47" t="s">
        <v>1691</v>
      </c>
      <c r="C52" s="47">
        <v>1609</v>
      </c>
    </row>
    <row r="53" spans="1:3" x14ac:dyDescent="0.3">
      <c r="A53" s="46"/>
      <c r="B53" s="47" t="s">
        <v>1692</v>
      </c>
      <c r="C53" s="47">
        <v>1610</v>
      </c>
    </row>
    <row r="54" spans="1:3" x14ac:dyDescent="0.3">
      <c r="A54" s="46"/>
      <c r="B54" s="47" t="s">
        <v>1693</v>
      </c>
      <c r="C54" s="47">
        <v>1427</v>
      </c>
    </row>
    <row r="55" spans="1:3" x14ac:dyDescent="0.3">
      <c r="A55" s="46"/>
      <c r="B55" s="47" t="s">
        <v>1694</v>
      </c>
      <c r="C55" s="47">
        <v>1426</v>
      </c>
    </row>
    <row r="56" spans="1:3" x14ac:dyDescent="0.3">
      <c r="A56" s="46"/>
      <c r="B56" s="47" t="s">
        <v>1695</v>
      </c>
      <c r="C56" s="47">
        <v>1428</v>
      </c>
    </row>
    <row r="57" spans="1:3" x14ac:dyDescent="0.3">
      <c r="A57" s="44"/>
      <c r="B57" s="45" t="s">
        <v>1696</v>
      </c>
      <c r="C57" s="45">
        <v>1835</v>
      </c>
    </row>
    <row r="58" spans="1:3" x14ac:dyDescent="0.3">
      <c r="A58" s="46" t="s">
        <v>1697</v>
      </c>
      <c r="B58" s="47"/>
      <c r="C58" s="47"/>
    </row>
    <row r="59" spans="1:3" x14ac:dyDescent="0.3">
      <c r="A59" s="46"/>
      <c r="B59" s="47" t="s">
        <v>1698</v>
      </c>
      <c r="C59" s="47">
        <v>1788</v>
      </c>
    </row>
    <row r="60" spans="1:3" x14ac:dyDescent="0.3">
      <c r="A60" s="46"/>
      <c r="B60" s="47" t="s">
        <v>1699</v>
      </c>
      <c r="C60" s="47">
        <v>1789</v>
      </c>
    </row>
    <row r="61" spans="1:3" x14ac:dyDescent="0.3">
      <c r="A61" s="46"/>
      <c r="B61" s="47" t="s">
        <v>1700</v>
      </c>
      <c r="C61" s="47">
        <v>1617</v>
      </c>
    </row>
    <row r="62" spans="1:3" x14ac:dyDescent="0.3">
      <c r="A62" s="46"/>
      <c r="B62" s="47" t="s">
        <v>1701</v>
      </c>
      <c r="C62" s="47">
        <v>1618</v>
      </c>
    </row>
    <row r="63" spans="1:3" x14ac:dyDescent="0.3">
      <c r="A63" s="46"/>
      <c r="B63" s="47" t="s">
        <v>1702</v>
      </c>
      <c r="C63" s="47">
        <v>1790</v>
      </c>
    </row>
    <row r="64" spans="1:3" x14ac:dyDescent="0.3">
      <c r="A64" s="46"/>
      <c r="B64" s="47" t="s">
        <v>1703</v>
      </c>
      <c r="C64" s="47">
        <v>1787</v>
      </c>
    </row>
    <row r="65" spans="1:3" x14ac:dyDescent="0.3">
      <c r="A65" s="46"/>
      <c r="B65" s="47" t="s">
        <v>1704</v>
      </c>
      <c r="C65" s="47">
        <v>1615</v>
      </c>
    </row>
    <row r="66" spans="1:3" x14ac:dyDescent="0.3">
      <c r="A66" s="46"/>
      <c r="B66" s="47" t="s">
        <v>1705</v>
      </c>
      <c r="C66" s="47">
        <v>1626</v>
      </c>
    </row>
    <row r="67" spans="1:3" x14ac:dyDescent="0.3">
      <c r="A67" s="46"/>
      <c r="B67" s="47" t="s">
        <v>1697</v>
      </c>
      <c r="C67" s="47">
        <v>1622</v>
      </c>
    </row>
    <row r="68" spans="1:3" x14ac:dyDescent="0.3">
      <c r="A68" s="46"/>
      <c r="B68" s="47" t="s">
        <v>1430</v>
      </c>
      <c r="C68" s="47">
        <v>1624</v>
      </c>
    </row>
    <row r="69" spans="1:3" x14ac:dyDescent="0.3">
      <c r="A69" s="44"/>
      <c r="B69" s="45" t="s">
        <v>1706</v>
      </c>
      <c r="C69" s="45">
        <v>1837</v>
      </c>
    </row>
    <row r="70" spans="1:3" x14ac:dyDescent="0.3">
      <c r="A70" s="46" t="s">
        <v>1707</v>
      </c>
      <c r="B70" s="47"/>
      <c r="C70" s="47"/>
    </row>
    <row r="71" spans="1:3" x14ac:dyDescent="0.3">
      <c r="A71" s="46"/>
      <c r="B71" s="47" t="s">
        <v>1649</v>
      </c>
      <c r="C71" s="47">
        <v>1553</v>
      </c>
    </row>
    <row r="72" spans="1:3" x14ac:dyDescent="0.3">
      <c r="A72" s="46"/>
      <c r="B72" s="47" t="s">
        <v>1650</v>
      </c>
      <c r="C72" s="47">
        <v>1965</v>
      </c>
    </row>
    <row r="73" spans="1:3" x14ac:dyDescent="0.3">
      <c r="A73" s="46"/>
      <c r="B73" s="47" t="s">
        <v>1433</v>
      </c>
      <c r="C73" s="47">
        <v>1792</v>
      </c>
    </row>
    <row r="74" spans="1:3" x14ac:dyDescent="0.3">
      <c r="A74" s="46"/>
      <c r="B74" s="47" t="s">
        <v>1708</v>
      </c>
      <c r="C74" s="47">
        <v>1628</v>
      </c>
    </row>
    <row r="75" spans="1:3" x14ac:dyDescent="0.3">
      <c r="A75" s="46"/>
      <c r="B75" s="47" t="s">
        <v>1709</v>
      </c>
      <c r="C75" s="47">
        <v>1629</v>
      </c>
    </row>
    <row r="76" spans="1:3" x14ac:dyDescent="0.3">
      <c r="A76" s="46"/>
      <c r="B76" s="47" t="s">
        <v>1710</v>
      </c>
      <c r="C76" s="47">
        <v>1631</v>
      </c>
    </row>
    <row r="77" spans="1:3" x14ac:dyDescent="0.3">
      <c r="A77" s="46"/>
      <c r="B77" s="47" t="s">
        <v>1711</v>
      </c>
      <c r="C77" s="47">
        <v>1632</v>
      </c>
    </row>
    <row r="78" spans="1:3" x14ac:dyDescent="0.3">
      <c r="A78" s="46"/>
      <c r="B78" s="47" t="s">
        <v>1712</v>
      </c>
      <c r="C78" s="47">
        <v>1633</v>
      </c>
    </row>
    <row r="79" spans="1:3" x14ac:dyDescent="0.3">
      <c r="A79" s="46"/>
      <c r="B79" s="47" t="s">
        <v>1713</v>
      </c>
      <c r="C79" s="47">
        <v>1636</v>
      </c>
    </row>
    <row r="80" spans="1:3" x14ac:dyDescent="0.3">
      <c r="A80" s="46"/>
      <c r="B80" s="47" t="s">
        <v>1714</v>
      </c>
      <c r="C80" s="47">
        <v>1791</v>
      </c>
    </row>
    <row r="81" spans="1:3" x14ac:dyDescent="0.3">
      <c r="A81" s="46"/>
      <c r="B81" s="47" t="s">
        <v>1688</v>
      </c>
      <c r="C81" s="47">
        <v>1607</v>
      </c>
    </row>
    <row r="82" spans="1:3" x14ac:dyDescent="0.3">
      <c r="A82" s="44"/>
      <c r="B82" s="45" t="s">
        <v>1715</v>
      </c>
      <c r="C82" s="45">
        <v>1838</v>
      </c>
    </row>
    <row r="83" spans="1:3" x14ac:dyDescent="0.3">
      <c r="A83" s="46" t="s">
        <v>1420</v>
      </c>
      <c r="B83" s="47"/>
      <c r="C83" s="47"/>
    </row>
    <row r="84" spans="1:3" x14ac:dyDescent="0.3">
      <c r="A84" s="46"/>
      <c r="B84" s="47" t="s">
        <v>1716</v>
      </c>
      <c r="C84" s="47">
        <v>1538</v>
      </c>
    </row>
    <row r="85" spans="1:3" x14ac:dyDescent="0.3">
      <c r="A85" s="46"/>
      <c r="B85" s="47" t="s">
        <v>1717</v>
      </c>
      <c r="C85" s="47">
        <v>1785</v>
      </c>
    </row>
    <row r="86" spans="1:3" x14ac:dyDescent="0.3">
      <c r="A86" s="46"/>
      <c r="B86" s="47" t="s">
        <v>1718</v>
      </c>
      <c r="C86" s="47">
        <v>1539</v>
      </c>
    </row>
    <row r="87" spans="1:3" x14ac:dyDescent="0.3">
      <c r="A87" s="46"/>
      <c r="B87" s="47" t="s">
        <v>1719</v>
      </c>
      <c r="C87" s="47">
        <v>1540</v>
      </c>
    </row>
    <row r="88" spans="1:3" x14ac:dyDescent="0.3">
      <c r="A88" s="46"/>
      <c r="B88" s="47" t="s">
        <v>1720</v>
      </c>
      <c r="C88" s="47">
        <v>1784</v>
      </c>
    </row>
    <row r="89" spans="1:3" x14ac:dyDescent="0.3">
      <c r="A89" s="46"/>
      <c r="B89" s="47" t="s">
        <v>1721</v>
      </c>
      <c r="C89" s="47">
        <v>1541</v>
      </c>
    </row>
    <row r="90" spans="1:3" x14ac:dyDescent="0.3">
      <c r="A90" s="46"/>
      <c r="B90" s="47" t="s">
        <v>1722</v>
      </c>
      <c r="C90" s="47">
        <v>1542</v>
      </c>
    </row>
    <row r="91" spans="1:3" x14ac:dyDescent="0.3">
      <c r="A91" s="46"/>
      <c r="B91" s="47" t="s">
        <v>1723</v>
      </c>
      <c r="C91" s="47">
        <v>1543</v>
      </c>
    </row>
    <row r="92" spans="1:3" x14ac:dyDescent="0.3">
      <c r="A92" s="46"/>
      <c r="B92" s="47" t="s">
        <v>1724</v>
      </c>
      <c r="C92" s="47">
        <v>1544</v>
      </c>
    </row>
    <row r="93" spans="1:3" x14ac:dyDescent="0.3">
      <c r="A93" s="46"/>
      <c r="B93" s="47" t="s">
        <v>1725</v>
      </c>
      <c r="C93" s="47">
        <v>1546</v>
      </c>
    </row>
    <row r="94" spans="1:3" x14ac:dyDescent="0.3">
      <c r="A94" s="44"/>
      <c r="B94" s="45" t="s">
        <v>1726</v>
      </c>
      <c r="C94" s="45">
        <v>1839</v>
      </c>
    </row>
    <row r="95" spans="1:3" x14ac:dyDescent="0.3">
      <c r="A95" s="46" t="s">
        <v>1727</v>
      </c>
      <c r="B95" s="47"/>
      <c r="C95" s="47"/>
    </row>
    <row r="96" spans="1:3" x14ac:dyDescent="0.3">
      <c r="A96" s="46"/>
      <c r="B96" s="47" t="s">
        <v>1728</v>
      </c>
      <c r="C96" s="47">
        <v>1433</v>
      </c>
    </row>
    <row r="97" spans="1:3" x14ac:dyDescent="0.3">
      <c r="A97" s="46"/>
      <c r="B97" s="47" t="s">
        <v>1729</v>
      </c>
      <c r="C97" s="47">
        <v>1434</v>
      </c>
    </row>
    <row r="98" spans="1:3" x14ac:dyDescent="0.3">
      <c r="A98" s="46"/>
      <c r="B98" s="47" t="s">
        <v>1730</v>
      </c>
      <c r="C98" s="47">
        <v>1643</v>
      </c>
    </row>
    <row r="99" spans="1:3" x14ac:dyDescent="0.3">
      <c r="A99" s="46"/>
      <c r="B99" s="47" t="s">
        <v>1523</v>
      </c>
      <c r="C99" s="47">
        <v>1435</v>
      </c>
    </row>
    <row r="100" spans="1:3" x14ac:dyDescent="0.3">
      <c r="A100" s="46"/>
      <c r="B100" s="47" t="s">
        <v>1731</v>
      </c>
      <c r="C100" s="47">
        <v>1644</v>
      </c>
    </row>
    <row r="101" spans="1:3" x14ac:dyDescent="0.3">
      <c r="A101" s="46"/>
      <c r="B101" s="47" t="s">
        <v>1596</v>
      </c>
      <c r="C101" s="47">
        <v>1642</v>
      </c>
    </row>
    <row r="102" spans="1:3" x14ac:dyDescent="0.3">
      <c r="A102" s="46"/>
      <c r="B102" s="47" t="s">
        <v>1732</v>
      </c>
      <c r="C102" s="47">
        <v>1645</v>
      </c>
    </row>
    <row r="103" spans="1:3" x14ac:dyDescent="0.3">
      <c r="A103" s="46"/>
      <c r="B103" s="47" t="s">
        <v>1733</v>
      </c>
      <c r="C103" s="47">
        <v>1646</v>
      </c>
    </row>
    <row r="104" spans="1:3" x14ac:dyDescent="0.3">
      <c r="A104" s="46"/>
      <c r="B104" s="47" t="s">
        <v>1734</v>
      </c>
      <c r="C104" s="47">
        <v>1647</v>
      </c>
    </row>
    <row r="105" spans="1:3" x14ac:dyDescent="0.3">
      <c r="A105" s="46"/>
      <c r="B105" s="47" t="s">
        <v>1735</v>
      </c>
      <c r="C105" s="47">
        <v>2560</v>
      </c>
    </row>
    <row r="106" spans="1:3" x14ac:dyDescent="0.3">
      <c r="A106" s="46"/>
      <c r="B106" s="47" t="s">
        <v>1736</v>
      </c>
      <c r="C106" s="47">
        <v>1648</v>
      </c>
    </row>
    <row r="107" spans="1:3" x14ac:dyDescent="0.3">
      <c r="A107" s="46"/>
      <c r="B107" s="47" t="s">
        <v>1618</v>
      </c>
      <c r="C107" s="47">
        <v>1649</v>
      </c>
    </row>
    <row r="108" spans="1:3" x14ac:dyDescent="0.3">
      <c r="A108" s="46"/>
      <c r="B108" s="47" t="s">
        <v>1737</v>
      </c>
      <c r="C108" s="47">
        <v>1650</v>
      </c>
    </row>
    <row r="109" spans="1:3" x14ac:dyDescent="0.3">
      <c r="A109" s="46"/>
      <c r="B109" s="47" t="s">
        <v>1738</v>
      </c>
      <c r="C109" s="47">
        <v>1651</v>
      </c>
    </row>
    <row r="110" spans="1:3" x14ac:dyDescent="0.3">
      <c r="A110" s="46"/>
      <c r="B110" s="47" t="s">
        <v>1508</v>
      </c>
      <c r="C110" s="47">
        <v>1653</v>
      </c>
    </row>
    <row r="111" spans="1:3" x14ac:dyDescent="0.3">
      <c r="A111" s="46"/>
      <c r="B111" s="47" t="s">
        <v>1739</v>
      </c>
      <c r="C111" s="47">
        <v>1654</v>
      </c>
    </row>
    <row r="112" spans="1:3" x14ac:dyDescent="0.3">
      <c r="A112" s="46"/>
      <c r="B112" s="47" t="s">
        <v>1740</v>
      </c>
      <c r="C112" s="47">
        <v>1655</v>
      </c>
    </row>
    <row r="113" spans="1:3" x14ac:dyDescent="0.3">
      <c r="A113" s="44"/>
      <c r="B113" s="45" t="s">
        <v>1741</v>
      </c>
      <c r="C113" s="45">
        <v>1652</v>
      </c>
    </row>
    <row r="114" spans="1:3" x14ac:dyDescent="0.3">
      <c r="A114" s="46" t="s">
        <v>1742</v>
      </c>
      <c r="B114" s="47"/>
      <c r="C114" s="47"/>
    </row>
    <row r="115" spans="1:3" x14ac:dyDescent="0.3">
      <c r="A115" s="46"/>
      <c r="B115" s="47" t="s">
        <v>1743</v>
      </c>
      <c r="C115" s="47">
        <v>1797</v>
      </c>
    </row>
    <row r="116" spans="1:3" x14ac:dyDescent="0.3">
      <c r="A116" s="46"/>
      <c r="B116" s="47" t="s">
        <v>1744</v>
      </c>
      <c r="C116" s="47">
        <v>1671</v>
      </c>
    </row>
    <row r="117" spans="1:3" x14ac:dyDescent="0.3">
      <c r="A117" s="46"/>
      <c r="B117" s="47" t="s">
        <v>1745</v>
      </c>
      <c r="C117" s="47">
        <v>1672</v>
      </c>
    </row>
    <row r="118" spans="1:3" x14ac:dyDescent="0.3">
      <c r="A118" s="46"/>
      <c r="B118" s="47" t="s">
        <v>1746</v>
      </c>
      <c r="C118" s="47">
        <v>1673</v>
      </c>
    </row>
    <row r="119" spans="1:3" x14ac:dyDescent="0.3">
      <c r="A119" s="46"/>
      <c r="B119" s="47" t="s">
        <v>1747</v>
      </c>
      <c r="C119" s="47">
        <v>1674</v>
      </c>
    </row>
    <row r="120" spans="1:3" x14ac:dyDescent="0.3">
      <c r="A120" s="46"/>
      <c r="B120" s="47" t="s">
        <v>1748</v>
      </c>
      <c r="C120" s="47">
        <v>2686</v>
      </c>
    </row>
    <row r="121" spans="1:3" x14ac:dyDescent="0.3">
      <c r="A121" s="46"/>
      <c r="B121" s="47" t="s">
        <v>1749</v>
      </c>
      <c r="C121" s="47">
        <v>1675</v>
      </c>
    </row>
    <row r="122" spans="1:3" x14ac:dyDescent="0.3">
      <c r="A122" s="46"/>
      <c r="B122" s="47" t="s">
        <v>1750</v>
      </c>
      <c r="C122" s="47">
        <v>1676</v>
      </c>
    </row>
    <row r="123" spans="1:3" x14ac:dyDescent="0.3">
      <c r="A123" s="46"/>
      <c r="B123" s="47" t="s">
        <v>1751</v>
      </c>
      <c r="C123" s="47">
        <v>1796</v>
      </c>
    </row>
    <row r="124" spans="1:3" x14ac:dyDescent="0.3">
      <c r="A124" s="46"/>
      <c r="B124" s="47" t="s">
        <v>1752</v>
      </c>
      <c r="C124" s="47">
        <v>2558</v>
      </c>
    </row>
    <row r="125" spans="1:3" x14ac:dyDescent="0.3">
      <c r="A125" s="44"/>
      <c r="B125" s="45" t="s">
        <v>1753</v>
      </c>
      <c r="C125" s="45">
        <v>2762</v>
      </c>
    </row>
    <row r="126" spans="1:3" x14ac:dyDescent="0.3">
      <c r="A126" s="46"/>
      <c r="B126" s="47" t="s">
        <v>1754</v>
      </c>
      <c r="C126" s="47">
        <v>1710</v>
      </c>
    </row>
    <row r="127" spans="1:3" x14ac:dyDescent="0.3">
      <c r="A127" s="46"/>
      <c r="B127" s="47" t="s">
        <v>1755</v>
      </c>
      <c r="C127" s="47">
        <v>1840</v>
      </c>
    </row>
    <row r="128" spans="1:3" x14ac:dyDescent="0.3">
      <c r="A128" s="46" t="s">
        <v>1685</v>
      </c>
      <c r="B128" s="47"/>
      <c r="C128" s="47"/>
    </row>
    <row r="129" spans="1:3" x14ac:dyDescent="0.3">
      <c r="A129" s="46"/>
      <c r="B129" s="47" t="s">
        <v>1756</v>
      </c>
      <c r="C129" s="47">
        <v>1677</v>
      </c>
    </row>
    <row r="130" spans="1:3" x14ac:dyDescent="0.3">
      <c r="A130" s="46"/>
      <c r="B130" s="47" t="s">
        <v>1757</v>
      </c>
      <c r="C130" s="47">
        <v>1678</v>
      </c>
    </row>
    <row r="131" spans="1:3" x14ac:dyDescent="0.3">
      <c r="A131" s="46"/>
      <c r="B131" s="47" t="s">
        <v>1758</v>
      </c>
      <c r="C131" s="47">
        <v>1679</v>
      </c>
    </row>
    <row r="132" spans="1:3" x14ac:dyDescent="0.3">
      <c r="A132" s="46"/>
      <c r="B132" s="47" t="s">
        <v>1759</v>
      </c>
      <c r="C132" s="47">
        <v>1680</v>
      </c>
    </row>
    <row r="133" spans="1:3" x14ac:dyDescent="0.3">
      <c r="A133" s="46"/>
      <c r="B133" s="47" t="s">
        <v>1760</v>
      </c>
      <c r="C133" s="47">
        <v>1681</v>
      </c>
    </row>
    <row r="134" spans="1:3" x14ac:dyDescent="0.3">
      <c r="A134" s="46"/>
      <c r="B134" s="47" t="s">
        <v>1761</v>
      </c>
      <c r="C134" s="47">
        <v>1982</v>
      </c>
    </row>
    <row r="135" spans="1:3" x14ac:dyDescent="0.3">
      <c r="A135" s="46"/>
      <c r="B135" s="47" t="s">
        <v>1762</v>
      </c>
      <c r="C135" s="47">
        <v>1683</v>
      </c>
    </row>
    <row r="136" spans="1:3" x14ac:dyDescent="0.3">
      <c r="A136" s="46"/>
      <c r="B136" s="47" t="s">
        <v>1763</v>
      </c>
      <c r="C136" s="47">
        <v>1684</v>
      </c>
    </row>
    <row r="137" spans="1:3" x14ac:dyDescent="0.3">
      <c r="A137" s="46"/>
      <c r="B137" s="47" t="s">
        <v>1764</v>
      </c>
      <c r="C137" s="47">
        <v>1981</v>
      </c>
    </row>
    <row r="138" spans="1:3" x14ac:dyDescent="0.3">
      <c r="A138" s="46"/>
      <c r="B138" s="47" t="s">
        <v>1765</v>
      </c>
      <c r="C138" s="47">
        <v>1685</v>
      </c>
    </row>
    <row r="139" spans="1:3" x14ac:dyDescent="0.3">
      <c r="A139" s="46"/>
      <c r="B139" s="47" t="s">
        <v>1766</v>
      </c>
      <c r="C139" s="47">
        <v>1686</v>
      </c>
    </row>
    <row r="140" spans="1:3" x14ac:dyDescent="0.3">
      <c r="A140" s="46"/>
      <c r="B140" s="47" t="s">
        <v>1767</v>
      </c>
      <c r="C140" s="47">
        <v>1687</v>
      </c>
    </row>
    <row r="141" spans="1:3" x14ac:dyDescent="0.3">
      <c r="A141" s="46"/>
      <c r="B141" s="47" t="s">
        <v>1424</v>
      </c>
      <c r="C141" s="47">
        <v>1688</v>
      </c>
    </row>
    <row r="142" spans="1:3" x14ac:dyDescent="0.3">
      <c r="A142" s="46"/>
      <c r="B142" s="47" t="s">
        <v>1768</v>
      </c>
      <c r="C142" s="47">
        <v>1689</v>
      </c>
    </row>
    <row r="143" spans="1:3" x14ac:dyDescent="0.3">
      <c r="A143" s="46"/>
      <c r="B143" s="47" t="s">
        <v>1769</v>
      </c>
      <c r="C143" s="47">
        <v>1690</v>
      </c>
    </row>
    <row r="144" spans="1:3" x14ac:dyDescent="0.3">
      <c r="A144" s="46"/>
      <c r="B144" s="47" t="s">
        <v>1770</v>
      </c>
      <c r="C144" s="47">
        <v>1691</v>
      </c>
    </row>
    <row r="145" spans="1:3" x14ac:dyDescent="0.3">
      <c r="A145" s="46"/>
      <c r="B145" s="47" t="s">
        <v>1771</v>
      </c>
      <c r="C145" s="47">
        <v>1692</v>
      </c>
    </row>
    <row r="146" spans="1:3" x14ac:dyDescent="0.3">
      <c r="A146" s="46"/>
      <c r="B146" s="47" t="s">
        <v>1666</v>
      </c>
      <c r="C146" s="47">
        <v>1693</v>
      </c>
    </row>
    <row r="147" spans="1:3" x14ac:dyDescent="0.3">
      <c r="A147" s="44"/>
      <c r="B147" s="45" t="s">
        <v>1772</v>
      </c>
      <c r="C147" s="45">
        <v>1694</v>
      </c>
    </row>
    <row r="148" spans="1:3" x14ac:dyDescent="0.3">
      <c r="A148" s="46"/>
      <c r="B148" s="47" t="s">
        <v>1773</v>
      </c>
      <c r="C148" s="47">
        <v>1695</v>
      </c>
    </row>
    <row r="149" spans="1:3" x14ac:dyDescent="0.3">
      <c r="A149" s="46"/>
      <c r="B149" s="47" t="s">
        <v>1774</v>
      </c>
      <c r="C149" s="47">
        <v>1841</v>
      </c>
    </row>
    <row r="150" spans="1:3" x14ac:dyDescent="0.3">
      <c r="A150" s="46" t="s">
        <v>1775</v>
      </c>
      <c r="B150" s="47"/>
      <c r="C150" s="47"/>
    </row>
    <row r="151" spans="1:3" x14ac:dyDescent="0.3">
      <c r="A151" s="46"/>
      <c r="B151" s="47" t="s">
        <v>1776</v>
      </c>
      <c r="C151" s="47">
        <v>1413</v>
      </c>
    </row>
    <row r="152" spans="1:3" x14ac:dyDescent="0.3">
      <c r="A152" s="44"/>
      <c r="B152" s="45" t="s">
        <v>1777</v>
      </c>
      <c r="C152" s="45">
        <v>1414</v>
      </c>
    </row>
    <row r="153" spans="1:3" x14ac:dyDescent="0.3">
      <c r="A153" s="46"/>
      <c r="B153" s="47" t="s">
        <v>1778</v>
      </c>
      <c r="C153" s="47">
        <v>1415</v>
      </c>
    </row>
    <row r="154" spans="1:3" x14ac:dyDescent="0.3">
      <c r="A154" s="46"/>
      <c r="B154" s="47" t="s">
        <v>1779</v>
      </c>
      <c r="C154" s="47">
        <v>1416</v>
      </c>
    </row>
    <row r="155" spans="1:3" x14ac:dyDescent="0.3">
      <c r="A155" s="46" t="s">
        <v>1780</v>
      </c>
      <c r="B155" s="47"/>
      <c r="C155" s="47"/>
    </row>
    <row r="156" spans="1:3" x14ac:dyDescent="0.3">
      <c r="A156" s="46"/>
      <c r="B156" s="47" t="s">
        <v>1648</v>
      </c>
      <c r="C156" s="47">
        <v>1555</v>
      </c>
    </row>
    <row r="157" spans="1:3" x14ac:dyDescent="0.3">
      <c r="A157" s="46"/>
      <c r="B157" s="47" t="s">
        <v>1700</v>
      </c>
      <c r="C157" s="47">
        <v>1617</v>
      </c>
    </row>
    <row r="158" spans="1:3" x14ac:dyDescent="0.3">
      <c r="A158" s="46"/>
      <c r="B158" s="47" t="s">
        <v>1763</v>
      </c>
      <c r="C158" s="47">
        <v>1684</v>
      </c>
    </row>
    <row r="159" spans="1:3" x14ac:dyDescent="0.3">
      <c r="A159" s="46"/>
      <c r="B159" s="47" t="s">
        <v>1705</v>
      </c>
      <c r="C159" s="47">
        <v>1626</v>
      </c>
    </row>
    <row r="160" spans="1:3" x14ac:dyDescent="0.3">
      <c r="A160" s="44"/>
      <c r="B160" s="45" t="s">
        <v>1769</v>
      </c>
      <c r="C160" s="45">
        <v>1690</v>
      </c>
    </row>
    <row r="161" spans="1:3" x14ac:dyDescent="0.3">
      <c r="A161" s="46"/>
      <c r="B161" s="47" t="s">
        <v>1781</v>
      </c>
      <c r="C161" s="47">
        <v>1799</v>
      </c>
    </row>
    <row r="162" spans="1:3" x14ac:dyDescent="0.3">
      <c r="A162" s="46"/>
      <c r="B162" s="47" t="s">
        <v>1782</v>
      </c>
      <c r="C162" s="47">
        <v>1842</v>
      </c>
    </row>
    <row r="163" spans="1:3" x14ac:dyDescent="0.3">
      <c r="A163" s="46" t="s">
        <v>1451</v>
      </c>
      <c r="B163" s="47"/>
      <c r="C163" s="47"/>
    </row>
    <row r="164" spans="1:3" x14ac:dyDescent="0.3">
      <c r="A164" s="46"/>
      <c r="B164" s="47" t="s">
        <v>1783</v>
      </c>
      <c r="C164" s="47">
        <v>2646</v>
      </c>
    </row>
    <row r="165" spans="1:3" x14ac:dyDescent="0.3">
      <c r="A165" s="46"/>
      <c r="B165" s="47" t="s">
        <v>1784</v>
      </c>
      <c r="C165" s="47">
        <v>1423</v>
      </c>
    </row>
    <row r="166" spans="1:3" x14ac:dyDescent="0.3">
      <c r="A166" s="46"/>
      <c r="B166" s="47" t="s">
        <v>1785</v>
      </c>
      <c r="C166" s="47">
        <v>2427</v>
      </c>
    </row>
    <row r="167" spans="1:3" x14ac:dyDescent="0.3">
      <c r="A167" s="46"/>
      <c r="B167" s="47" t="s">
        <v>1786</v>
      </c>
      <c r="C167" s="47">
        <v>1422</v>
      </c>
    </row>
    <row r="168" spans="1:3" x14ac:dyDescent="0.3">
      <c r="A168" s="46"/>
      <c r="B168" s="47" t="s">
        <v>1787</v>
      </c>
      <c r="C168" s="47">
        <v>1910</v>
      </c>
    </row>
    <row r="169" spans="1:3" x14ac:dyDescent="0.3">
      <c r="A169" s="46"/>
      <c r="B169" s="47" t="s">
        <v>1788</v>
      </c>
      <c r="C169" s="47">
        <v>2197</v>
      </c>
    </row>
    <row r="170" spans="1:3" x14ac:dyDescent="0.3">
      <c r="A170" s="46"/>
      <c r="B170" s="47" t="s">
        <v>1789</v>
      </c>
      <c r="C170" s="47">
        <v>1711</v>
      </c>
    </row>
    <row r="171" spans="1:3" x14ac:dyDescent="0.3">
      <c r="A171" s="46"/>
      <c r="B171" s="47" t="s">
        <v>1790</v>
      </c>
      <c r="C171" s="47">
        <v>1713</v>
      </c>
    </row>
    <row r="172" spans="1:3" x14ac:dyDescent="0.3">
      <c r="A172" s="46"/>
      <c r="B172" s="47" t="s">
        <v>1791</v>
      </c>
      <c r="C172" s="47">
        <v>1871</v>
      </c>
    </row>
    <row r="173" spans="1:3" x14ac:dyDescent="0.3">
      <c r="A173" s="46"/>
      <c r="B173" s="47" t="s">
        <v>1792</v>
      </c>
      <c r="C173" s="47">
        <v>1969</v>
      </c>
    </row>
    <row r="174" spans="1:3" x14ac:dyDescent="0.3">
      <c r="A174" s="42"/>
      <c r="B174" s="43" t="s">
        <v>1793</v>
      </c>
      <c r="C174" s="43">
        <v>1424</v>
      </c>
    </row>
    <row r="175" spans="1:3" x14ac:dyDescent="0.3">
      <c r="A175" s="42"/>
      <c r="B175" s="43" t="s">
        <v>1794</v>
      </c>
      <c r="C175" s="43">
        <v>1870</v>
      </c>
    </row>
    <row r="176" spans="1:3" x14ac:dyDescent="0.3">
      <c r="A176" s="42"/>
      <c r="B176" s="43" t="s">
        <v>1795</v>
      </c>
      <c r="C176" s="43">
        <v>1798</v>
      </c>
    </row>
  </sheetData>
  <sheetProtection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89CA-6B4B-4F27-9A86-42E83EA1A768}">
  <dimension ref="A2:J158"/>
  <sheetViews>
    <sheetView workbookViewId="0">
      <selection activeCell="D2" sqref="D2:J2"/>
    </sheetView>
  </sheetViews>
  <sheetFormatPr baseColWidth="10" defaultRowHeight="13.2" x14ac:dyDescent="0.25"/>
  <cols>
    <col min="1" max="1" width="16.33203125" customWidth="1"/>
    <col min="2" max="2" width="17.33203125" customWidth="1"/>
  </cols>
  <sheetData>
    <row r="2" spans="1:10" x14ac:dyDescent="0.25">
      <c r="D2">
        <f>SUM(D4:D3000)</f>
        <v>87.21</v>
      </c>
      <c r="E2" s="304">
        <f t="shared" ref="E2:J2" si="0">SUM(E4:E3000)</f>
        <v>106.72999999999999</v>
      </c>
      <c r="F2" s="304">
        <f t="shared" si="0"/>
        <v>161.33999999999992</v>
      </c>
      <c r="G2" s="304">
        <f t="shared" si="0"/>
        <v>66.16</v>
      </c>
      <c r="H2" s="304">
        <f t="shared" si="0"/>
        <v>0</v>
      </c>
      <c r="I2" s="304">
        <f t="shared" si="0"/>
        <v>0</v>
      </c>
      <c r="J2" s="304">
        <f t="shared" si="0"/>
        <v>0</v>
      </c>
    </row>
    <row r="3" spans="1:10" x14ac:dyDescent="0.25">
      <c r="A3" t="s">
        <v>14511</v>
      </c>
      <c r="B3" t="s">
        <v>28</v>
      </c>
      <c r="C3" t="s">
        <v>14512</v>
      </c>
      <c r="D3" t="s">
        <v>14513</v>
      </c>
    </row>
    <row r="4" spans="1:10" x14ac:dyDescent="0.25">
      <c r="A4" s="306">
        <v>43756.550798611112</v>
      </c>
      <c r="B4" t="s">
        <v>2929</v>
      </c>
      <c r="C4" t="s">
        <v>2907</v>
      </c>
      <c r="D4">
        <v>4.79</v>
      </c>
    </row>
    <row r="5" spans="1:10" x14ac:dyDescent="0.25">
      <c r="A5" s="306">
        <v>43756.550798611112</v>
      </c>
      <c r="B5" t="s">
        <v>3268</v>
      </c>
      <c r="C5" t="s">
        <v>3255</v>
      </c>
      <c r="D5">
        <v>2.25</v>
      </c>
    </row>
    <row r="6" spans="1:10" x14ac:dyDescent="0.25">
      <c r="A6" s="306">
        <v>43756.696562500001</v>
      </c>
      <c r="B6" t="s">
        <v>14514</v>
      </c>
      <c r="C6" t="s">
        <v>7090</v>
      </c>
      <c r="D6">
        <v>2.99</v>
      </c>
    </row>
    <row r="7" spans="1:10" x14ac:dyDescent="0.25">
      <c r="A7" s="306">
        <v>43757.452361111114</v>
      </c>
      <c r="B7" t="s">
        <v>4328</v>
      </c>
      <c r="C7" t="s">
        <v>4281</v>
      </c>
      <c r="D7">
        <v>5.99</v>
      </c>
    </row>
    <row r="8" spans="1:10" x14ac:dyDescent="0.25">
      <c r="A8" s="306">
        <v>43758.920717592591</v>
      </c>
      <c r="B8" t="s">
        <v>2212</v>
      </c>
      <c r="C8" t="s">
        <v>2135</v>
      </c>
      <c r="D8">
        <v>2.4900000000000002</v>
      </c>
    </row>
    <row r="9" spans="1:10" x14ac:dyDescent="0.25">
      <c r="A9" s="306">
        <v>43758.920717592591</v>
      </c>
      <c r="B9" t="s">
        <v>2624</v>
      </c>
      <c r="C9" t="s">
        <v>2555</v>
      </c>
      <c r="D9">
        <v>2.25</v>
      </c>
    </row>
    <row r="10" spans="1:10" x14ac:dyDescent="0.25">
      <c r="A10" s="306">
        <v>43758.920717592591</v>
      </c>
      <c r="B10" t="s">
        <v>14515</v>
      </c>
      <c r="C10" t="s">
        <v>7088</v>
      </c>
      <c r="D10">
        <v>2.4900000000000002</v>
      </c>
    </row>
    <row r="11" spans="1:10" x14ac:dyDescent="0.25">
      <c r="A11" s="306">
        <v>43758.920717592591</v>
      </c>
      <c r="B11" t="s">
        <v>14516</v>
      </c>
      <c r="C11" t="s">
        <v>7089</v>
      </c>
      <c r="D11">
        <v>2.65</v>
      </c>
    </row>
    <row r="12" spans="1:10" x14ac:dyDescent="0.25">
      <c r="A12" s="306">
        <v>43758.960312499999</v>
      </c>
      <c r="B12" t="s">
        <v>3628</v>
      </c>
      <c r="C12" t="s">
        <v>3540</v>
      </c>
      <c r="D12">
        <v>4.49</v>
      </c>
    </row>
    <row r="13" spans="1:10" x14ac:dyDescent="0.25">
      <c r="A13" s="306">
        <v>43759.393020833333</v>
      </c>
      <c r="B13" t="s">
        <v>3814</v>
      </c>
      <c r="C13" t="s">
        <v>3582</v>
      </c>
      <c r="D13">
        <v>3.89</v>
      </c>
    </row>
    <row r="14" spans="1:10" x14ac:dyDescent="0.25">
      <c r="A14" s="306">
        <v>43760.757326388892</v>
      </c>
      <c r="B14" t="s">
        <v>3827</v>
      </c>
      <c r="C14" t="s">
        <v>3750</v>
      </c>
      <c r="D14">
        <v>2.39</v>
      </c>
    </row>
    <row r="15" spans="1:10" x14ac:dyDescent="0.25">
      <c r="A15" s="306">
        <v>43760.901678240742</v>
      </c>
      <c r="B15" t="s">
        <v>5074</v>
      </c>
      <c r="C15" t="s">
        <v>4972</v>
      </c>
      <c r="D15">
        <v>2.99</v>
      </c>
    </row>
    <row r="16" spans="1:10" x14ac:dyDescent="0.25">
      <c r="A16" s="306">
        <v>43761.597442129627</v>
      </c>
      <c r="B16" t="s">
        <v>2983</v>
      </c>
      <c r="C16" t="s">
        <v>2950</v>
      </c>
      <c r="D16">
        <v>4.79</v>
      </c>
    </row>
    <row r="17" spans="1:4" x14ac:dyDescent="0.25">
      <c r="A17" s="306">
        <v>43761.654328703706</v>
      </c>
      <c r="B17" t="s">
        <v>3473</v>
      </c>
      <c r="C17" t="s">
        <v>3422</v>
      </c>
      <c r="D17">
        <v>2.25</v>
      </c>
    </row>
    <row r="18" spans="1:4" x14ac:dyDescent="0.25">
      <c r="A18" s="306">
        <v>43761.794444444444</v>
      </c>
      <c r="B18" t="s">
        <v>4032</v>
      </c>
      <c r="C18" t="s">
        <v>3922</v>
      </c>
      <c r="D18">
        <v>2.79</v>
      </c>
    </row>
    <row r="19" spans="1:4" x14ac:dyDescent="0.25">
      <c r="A19" s="306">
        <v>43761.828541666669</v>
      </c>
      <c r="B19" t="s">
        <v>3039</v>
      </c>
      <c r="C19" t="s">
        <v>2999</v>
      </c>
      <c r="D19">
        <v>2.99</v>
      </c>
    </row>
    <row r="20" spans="1:4" x14ac:dyDescent="0.25">
      <c r="A20" s="306">
        <v>43762.450289351851</v>
      </c>
      <c r="B20" t="s">
        <v>14517</v>
      </c>
      <c r="C20" t="s">
        <v>7087</v>
      </c>
      <c r="D20">
        <v>5.99</v>
      </c>
    </row>
    <row r="21" spans="1:4" x14ac:dyDescent="0.25">
      <c r="A21" s="306">
        <v>43762.748819444445</v>
      </c>
      <c r="B21" t="s">
        <v>4516</v>
      </c>
      <c r="C21" t="s">
        <v>4419</v>
      </c>
      <c r="D21">
        <v>2.89</v>
      </c>
    </row>
    <row r="22" spans="1:4" x14ac:dyDescent="0.25">
      <c r="A22" s="306">
        <v>43762.942118055558</v>
      </c>
      <c r="B22" t="s">
        <v>4346</v>
      </c>
      <c r="C22" t="s">
        <v>4283</v>
      </c>
      <c r="D22">
        <v>2.99</v>
      </c>
    </row>
    <row r="23" spans="1:4" x14ac:dyDescent="0.25">
      <c r="A23" s="306">
        <v>43763.75576388889</v>
      </c>
      <c r="B23" t="s">
        <v>3685</v>
      </c>
      <c r="C23" t="s">
        <v>3558</v>
      </c>
      <c r="D23">
        <v>2.25</v>
      </c>
    </row>
    <row r="24" spans="1:4" x14ac:dyDescent="0.25">
      <c r="A24" s="306">
        <v>43763.75576388889</v>
      </c>
      <c r="B24" t="s">
        <v>3792</v>
      </c>
      <c r="C24" t="s">
        <v>3589</v>
      </c>
      <c r="D24">
        <v>2.75</v>
      </c>
    </row>
    <row r="25" spans="1:4" x14ac:dyDescent="0.25">
      <c r="A25" s="306">
        <v>43764.606608796297</v>
      </c>
      <c r="B25" t="s">
        <v>14518</v>
      </c>
      <c r="C25" t="s">
        <v>7086</v>
      </c>
      <c r="D25">
        <v>3.49</v>
      </c>
    </row>
    <row r="26" spans="1:4" x14ac:dyDescent="0.25">
      <c r="A26" s="306">
        <v>43764.784699074073</v>
      </c>
      <c r="B26" t="s">
        <v>14519</v>
      </c>
      <c r="C26" t="s">
        <v>7085</v>
      </c>
      <c r="D26">
        <v>2.25</v>
      </c>
    </row>
    <row r="27" spans="1:4" x14ac:dyDescent="0.25">
      <c r="A27" s="306">
        <v>43765.5546875</v>
      </c>
      <c r="B27" t="s">
        <v>5801</v>
      </c>
      <c r="C27" t="s">
        <v>5165</v>
      </c>
      <c r="D27">
        <v>2.69</v>
      </c>
    </row>
    <row r="28" spans="1:4" x14ac:dyDescent="0.25">
      <c r="A28" s="306">
        <v>43765.928611111114</v>
      </c>
      <c r="B28" t="s">
        <v>3868</v>
      </c>
      <c r="C28" t="s">
        <v>3822</v>
      </c>
      <c r="D28">
        <v>3</v>
      </c>
    </row>
    <row r="29" spans="1:4" x14ac:dyDescent="0.25">
      <c r="A29" s="306">
        <v>43768.428749999999</v>
      </c>
      <c r="B29" t="s">
        <v>2374</v>
      </c>
      <c r="C29" t="s">
        <v>2278</v>
      </c>
      <c r="D29">
        <v>0.97</v>
      </c>
    </row>
    <row r="30" spans="1:4" x14ac:dyDescent="0.25">
      <c r="A30" s="306">
        <v>43768.748032407406</v>
      </c>
      <c r="B30" t="s">
        <v>3245</v>
      </c>
      <c r="C30" t="s">
        <v>3237</v>
      </c>
      <c r="D30">
        <v>0.72</v>
      </c>
    </row>
    <row r="31" spans="1:4" x14ac:dyDescent="0.25">
      <c r="A31" s="306">
        <v>43768.748032407406</v>
      </c>
      <c r="B31" t="s">
        <v>4609</v>
      </c>
      <c r="C31" t="s">
        <v>4549</v>
      </c>
      <c r="D31">
        <v>1.19</v>
      </c>
    </row>
    <row r="32" spans="1:4" x14ac:dyDescent="0.25">
      <c r="A32" s="306">
        <v>43768.914317129631</v>
      </c>
      <c r="B32" t="s">
        <v>3409</v>
      </c>
      <c r="C32" t="s">
        <v>3367</v>
      </c>
      <c r="D32">
        <v>1.83</v>
      </c>
    </row>
    <row r="33" spans="1:5" x14ac:dyDescent="0.25">
      <c r="A33" s="306">
        <v>43769.715451388889</v>
      </c>
      <c r="B33" t="s">
        <v>6084</v>
      </c>
      <c r="C33" t="s">
        <v>5265</v>
      </c>
      <c r="D33">
        <v>1.72</v>
      </c>
    </row>
    <row r="34" spans="1:5" x14ac:dyDescent="0.25">
      <c r="A34" s="306">
        <v>43771.087476851855</v>
      </c>
      <c r="B34" t="s">
        <v>3706</v>
      </c>
      <c r="C34" t="s">
        <v>3565</v>
      </c>
      <c r="E34">
        <v>0.72</v>
      </c>
    </row>
    <row r="35" spans="1:5" x14ac:dyDescent="0.25">
      <c r="A35" s="306">
        <v>43771.729131944441</v>
      </c>
      <c r="B35" t="s">
        <v>6522</v>
      </c>
      <c r="C35" t="s">
        <v>5413</v>
      </c>
      <c r="E35">
        <v>3.76</v>
      </c>
    </row>
    <row r="36" spans="1:5" x14ac:dyDescent="0.25">
      <c r="A36" s="306">
        <v>43771.860810185186</v>
      </c>
      <c r="B36" t="s">
        <v>2253</v>
      </c>
      <c r="C36" t="s">
        <v>2247</v>
      </c>
      <c r="E36">
        <v>0.72</v>
      </c>
    </row>
    <row r="37" spans="1:5" x14ac:dyDescent="0.25">
      <c r="A37" s="306">
        <v>43772.881863425922</v>
      </c>
      <c r="B37" t="s">
        <v>1892</v>
      </c>
      <c r="C37" t="s">
        <v>1896</v>
      </c>
      <c r="E37">
        <v>1.68</v>
      </c>
    </row>
    <row r="38" spans="1:5" x14ac:dyDescent="0.25">
      <c r="A38" s="306">
        <v>43773.956365740742</v>
      </c>
      <c r="B38" t="s">
        <v>7736</v>
      </c>
      <c r="C38" t="s">
        <v>5650</v>
      </c>
      <c r="E38">
        <v>2.78</v>
      </c>
    </row>
    <row r="39" spans="1:5" x14ac:dyDescent="0.25">
      <c r="A39" s="306">
        <v>43774.587800925925</v>
      </c>
      <c r="B39" t="s">
        <v>2834</v>
      </c>
      <c r="C39" t="s">
        <v>2767</v>
      </c>
      <c r="E39">
        <v>2.69</v>
      </c>
    </row>
    <row r="40" spans="1:5" x14ac:dyDescent="0.25">
      <c r="A40" s="306">
        <v>43774.683483796296</v>
      </c>
      <c r="B40" t="s">
        <v>7684</v>
      </c>
      <c r="C40" t="s">
        <v>5633</v>
      </c>
      <c r="E40">
        <v>0.69</v>
      </c>
    </row>
    <row r="41" spans="1:5" x14ac:dyDescent="0.25">
      <c r="A41" s="306">
        <v>43774.727395833332</v>
      </c>
      <c r="B41" t="s">
        <v>3713</v>
      </c>
      <c r="C41" t="s">
        <v>3567</v>
      </c>
      <c r="E41">
        <v>2.2200000000000002</v>
      </c>
    </row>
    <row r="42" spans="1:5" x14ac:dyDescent="0.25">
      <c r="A42" s="306">
        <v>43774.728784722225</v>
      </c>
      <c r="B42" t="s">
        <v>2457</v>
      </c>
      <c r="C42" t="s">
        <v>2429</v>
      </c>
      <c r="E42">
        <v>2.2200000000000002</v>
      </c>
    </row>
    <row r="43" spans="1:5" x14ac:dyDescent="0.25">
      <c r="A43" s="306">
        <v>43774.728784722225</v>
      </c>
      <c r="B43" t="s">
        <v>2917</v>
      </c>
      <c r="C43" t="s">
        <v>2904</v>
      </c>
      <c r="E43">
        <v>1.72</v>
      </c>
    </row>
    <row r="44" spans="1:5" x14ac:dyDescent="0.25">
      <c r="A44" s="306">
        <v>43774.728784722225</v>
      </c>
      <c r="B44" t="s">
        <v>3942</v>
      </c>
      <c r="C44" t="s">
        <v>3887</v>
      </c>
      <c r="E44">
        <v>2.5099999999999998</v>
      </c>
    </row>
    <row r="45" spans="1:5" x14ac:dyDescent="0.25">
      <c r="A45" s="306">
        <v>43774.728784722225</v>
      </c>
      <c r="B45" t="s">
        <v>4891</v>
      </c>
      <c r="C45" t="s">
        <v>4775</v>
      </c>
      <c r="E45">
        <v>1.97</v>
      </c>
    </row>
    <row r="46" spans="1:5" x14ac:dyDescent="0.25">
      <c r="A46" s="306">
        <v>43774.728784722225</v>
      </c>
      <c r="B46" t="s">
        <v>4896</v>
      </c>
      <c r="C46" t="s">
        <v>4777</v>
      </c>
      <c r="E46">
        <v>2.8</v>
      </c>
    </row>
    <row r="47" spans="1:5" x14ac:dyDescent="0.25">
      <c r="A47" s="306">
        <v>43774.728784722225</v>
      </c>
      <c r="B47" t="s">
        <v>2613</v>
      </c>
      <c r="C47" t="s">
        <v>4778</v>
      </c>
      <c r="E47">
        <v>2.8</v>
      </c>
    </row>
    <row r="48" spans="1:5" x14ac:dyDescent="0.25">
      <c r="A48" s="306">
        <v>43774.728784722225</v>
      </c>
      <c r="B48" t="s">
        <v>7395</v>
      </c>
      <c r="C48" t="s">
        <v>5530</v>
      </c>
      <c r="E48">
        <v>0.65</v>
      </c>
    </row>
    <row r="49" spans="1:5" x14ac:dyDescent="0.25">
      <c r="A49" s="306">
        <v>43774.728784722225</v>
      </c>
      <c r="B49" t="s">
        <v>7542</v>
      </c>
      <c r="C49" t="s">
        <v>5578</v>
      </c>
      <c r="E49">
        <v>0.65</v>
      </c>
    </row>
    <row r="50" spans="1:5" x14ac:dyDescent="0.25">
      <c r="A50" s="306">
        <v>43775.49386574074</v>
      </c>
      <c r="B50" t="s">
        <v>7530</v>
      </c>
      <c r="C50" t="s">
        <v>5574</v>
      </c>
      <c r="E50">
        <v>2.95</v>
      </c>
    </row>
    <row r="51" spans="1:5" x14ac:dyDescent="0.25">
      <c r="A51" s="306">
        <v>43776.059745370374</v>
      </c>
      <c r="B51" t="s">
        <v>3833</v>
      </c>
      <c r="C51" t="s">
        <v>3752</v>
      </c>
      <c r="E51">
        <v>2.5099999999999998</v>
      </c>
    </row>
    <row r="52" spans="1:5" x14ac:dyDescent="0.25">
      <c r="A52" s="306">
        <v>43776.059745370374</v>
      </c>
      <c r="B52" t="s">
        <v>4795</v>
      </c>
      <c r="C52" t="s">
        <v>9019</v>
      </c>
      <c r="E52">
        <v>2.25</v>
      </c>
    </row>
    <row r="53" spans="1:5" x14ac:dyDescent="0.25">
      <c r="A53" s="306">
        <v>43776.059745370374</v>
      </c>
      <c r="B53" t="s">
        <v>7575</v>
      </c>
      <c r="C53" t="s">
        <v>5591</v>
      </c>
      <c r="E53">
        <v>0.65</v>
      </c>
    </row>
    <row r="54" spans="1:5" x14ac:dyDescent="0.25">
      <c r="A54" s="306">
        <v>43777.648912037039</v>
      </c>
      <c r="B54" t="s">
        <v>8061</v>
      </c>
      <c r="C54" t="s">
        <v>6631</v>
      </c>
      <c r="E54">
        <v>1.02</v>
      </c>
    </row>
    <row r="55" spans="1:5" x14ac:dyDescent="0.25">
      <c r="A55" s="306">
        <v>43778.956932870373</v>
      </c>
      <c r="B55" t="s">
        <v>8068</v>
      </c>
      <c r="C55" t="s">
        <v>6633</v>
      </c>
      <c r="E55">
        <v>2.86</v>
      </c>
    </row>
    <row r="56" spans="1:5" x14ac:dyDescent="0.25">
      <c r="A56" s="306">
        <v>43779.304432870369</v>
      </c>
      <c r="B56" t="s">
        <v>7838</v>
      </c>
      <c r="C56" t="s">
        <v>5690</v>
      </c>
      <c r="E56">
        <v>0.8</v>
      </c>
    </row>
    <row r="57" spans="1:5" x14ac:dyDescent="0.25">
      <c r="A57" s="306">
        <v>43779.546111111114</v>
      </c>
      <c r="B57" t="s">
        <v>7900</v>
      </c>
      <c r="C57" t="s">
        <v>6573</v>
      </c>
      <c r="E57">
        <v>0.65</v>
      </c>
    </row>
    <row r="58" spans="1:5" x14ac:dyDescent="0.25">
      <c r="A58" s="306">
        <v>43779.546111111114</v>
      </c>
      <c r="B58" t="s">
        <v>7908</v>
      </c>
      <c r="C58" t="s">
        <v>6577</v>
      </c>
      <c r="E58">
        <v>0.65</v>
      </c>
    </row>
    <row r="59" spans="1:5" x14ac:dyDescent="0.25">
      <c r="A59" s="306">
        <v>43781.785462962966</v>
      </c>
      <c r="B59" t="s">
        <v>8304</v>
      </c>
      <c r="C59" t="s">
        <v>6721</v>
      </c>
      <c r="E59">
        <v>2.5099999999999998</v>
      </c>
    </row>
    <row r="60" spans="1:5" x14ac:dyDescent="0.25">
      <c r="A60" s="306">
        <v>43781.90115740741</v>
      </c>
      <c r="B60" t="s">
        <v>2040</v>
      </c>
      <c r="C60" t="s">
        <v>1948</v>
      </c>
      <c r="E60">
        <v>7.13</v>
      </c>
    </row>
    <row r="61" spans="1:5" x14ac:dyDescent="0.25">
      <c r="A61" s="306">
        <v>43781.914513888885</v>
      </c>
      <c r="B61" t="s">
        <v>3699</v>
      </c>
      <c r="C61" t="s">
        <v>3563</v>
      </c>
      <c r="E61">
        <v>2.4</v>
      </c>
    </row>
    <row r="62" spans="1:5" x14ac:dyDescent="0.25">
      <c r="A62" s="306">
        <v>43782.542175925926</v>
      </c>
      <c r="B62" t="s">
        <v>6548</v>
      </c>
      <c r="C62" t="s">
        <v>5421</v>
      </c>
      <c r="E62">
        <v>1.63</v>
      </c>
    </row>
    <row r="63" spans="1:5" x14ac:dyDescent="0.25">
      <c r="A63" s="306">
        <v>43783.891643518517</v>
      </c>
      <c r="B63" t="s">
        <v>7787</v>
      </c>
      <c r="C63" t="s">
        <v>5671</v>
      </c>
      <c r="E63">
        <v>1.76</v>
      </c>
    </row>
    <row r="64" spans="1:5" x14ac:dyDescent="0.25">
      <c r="A64" s="306">
        <v>43784.850787037038</v>
      </c>
      <c r="B64" t="s">
        <v>4169</v>
      </c>
      <c r="C64" t="s">
        <v>4138</v>
      </c>
      <c r="E64">
        <v>3.87</v>
      </c>
    </row>
    <row r="65" spans="1:5" x14ac:dyDescent="0.25">
      <c r="A65" s="306">
        <v>43784.879131944443</v>
      </c>
      <c r="B65" t="s">
        <v>8510</v>
      </c>
      <c r="C65" t="s">
        <v>6794</v>
      </c>
      <c r="E65">
        <v>1.23</v>
      </c>
    </row>
    <row r="66" spans="1:5" x14ac:dyDescent="0.25">
      <c r="A66" s="306">
        <v>43785.457789351851</v>
      </c>
      <c r="B66" t="s">
        <v>14520</v>
      </c>
      <c r="C66" t="s">
        <v>9018</v>
      </c>
      <c r="E66">
        <v>0.99</v>
      </c>
    </row>
    <row r="67" spans="1:5" x14ac:dyDescent="0.25">
      <c r="A67" s="306">
        <v>43785.612905092596</v>
      </c>
      <c r="B67" t="s">
        <v>7393</v>
      </c>
      <c r="C67" t="s">
        <v>5529</v>
      </c>
      <c r="E67">
        <v>1.76</v>
      </c>
    </row>
    <row r="68" spans="1:5" x14ac:dyDescent="0.25">
      <c r="A68" s="306">
        <v>43785.922824074078</v>
      </c>
      <c r="B68" t="s">
        <v>1992</v>
      </c>
      <c r="C68" t="s">
        <v>1938</v>
      </c>
      <c r="E68">
        <v>1.69</v>
      </c>
    </row>
    <row r="69" spans="1:5" x14ac:dyDescent="0.25">
      <c r="A69" s="306">
        <v>43786.643761574072</v>
      </c>
      <c r="B69" t="s">
        <v>2012</v>
      </c>
      <c r="C69" t="s">
        <v>1942</v>
      </c>
      <c r="E69">
        <v>1.19</v>
      </c>
    </row>
    <row r="70" spans="1:5" x14ac:dyDescent="0.25">
      <c r="A70" s="306">
        <v>43787.38826388889</v>
      </c>
      <c r="B70" t="s">
        <v>2107</v>
      </c>
      <c r="C70" t="s">
        <v>1963</v>
      </c>
      <c r="E70">
        <v>1.97</v>
      </c>
    </row>
    <row r="71" spans="1:5" x14ac:dyDescent="0.25">
      <c r="A71" s="306">
        <v>43787.470960648148</v>
      </c>
      <c r="B71" t="s">
        <v>2393</v>
      </c>
      <c r="C71" t="s">
        <v>2283</v>
      </c>
      <c r="E71">
        <v>2.58</v>
      </c>
    </row>
    <row r="72" spans="1:5" x14ac:dyDescent="0.25">
      <c r="A72" s="306">
        <v>43787.756550925929</v>
      </c>
      <c r="B72" t="s">
        <v>4621</v>
      </c>
      <c r="C72" t="s">
        <v>4553</v>
      </c>
      <c r="E72">
        <v>2.09</v>
      </c>
    </row>
    <row r="73" spans="1:5" x14ac:dyDescent="0.25">
      <c r="A73" s="306">
        <v>43790.832592592589</v>
      </c>
      <c r="B73" t="s">
        <v>2357</v>
      </c>
      <c r="C73" t="s">
        <v>2274</v>
      </c>
      <c r="E73">
        <v>1.97</v>
      </c>
    </row>
    <row r="74" spans="1:5" x14ac:dyDescent="0.25">
      <c r="A74" s="306">
        <v>43791.373229166667</v>
      </c>
      <c r="B74" t="s">
        <v>7518</v>
      </c>
      <c r="C74" t="s">
        <v>5570</v>
      </c>
      <c r="E74">
        <v>0.65</v>
      </c>
    </row>
    <row r="75" spans="1:5" x14ac:dyDescent="0.25">
      <c r="A75" s="306">
        <v>43791.977581018517</v>
      </c>
      <c r="B75" t="s">
        <v>8001</v>
      </c>
      <c r="C75" t="s">
        <v>6609</v>
      </c>
      <c r="E75">
        <v>1.77</v>
      </c>
    </row>
    <row r="76" spans="1:5" x14ac:dyDescent="0.25">
      <c r="A76" s="306">
        <v>43792.675937499997</v>
      </c>
      <c r="B76" t="s">
        <v>7667</v>
      </c>
      <c r="C76" t="s">
        <v>5626</v>
      </c>
      <c r="E76">
        <v>0.65</v>
      </c>
    </row>
    <row r="77" spans="1:5" x14ac:dyDescent="0.25">
      <c r="A77" s="306">
        <v>43792.756041666667</v>
      </c>
      <c r="B77" t="s">
        <v>4442</v>
      </c>
      <c r="C77" t="s">
        <v>4394</v>
      </c>
      <c r="E77">
        <v>1.72</v>
      </c>
    </row>
    <row r="78" spans="1:5" x14ac:dyDescent="0.25">
      <c r="A78" s="306">
        <v>43793.77275462963</v>
      </c>
      <c r="B78" t="s">
        <v>3609</v>
      </c>
      <c r="C78" t="s">
        <v>3535</v>
      </c>
      <c r="E78">
        <v>3.79</v>
      </c>
    </row>
    <row r="79" spans="1:5" x14ac:dyDescent="0.25">
      <c r="A79" s="306">
        <v>43794.511145833334</v>
      </c>
      <c r="B79" t="s">
        <v>8485</v>
      </c>
      <c r="C79" t="s">
        <v>6785</v>
      </c>
      <c r="E79">
        <v>2.79</v>
      </c>
    </row>
    <row r="80" spans="1:5" x14ac:dyDescent="0.25">
      <c r="A80" s="306">
        <v>43794.53802083333</v>
      </c>
      <c r="B80" t="s">
        <v>8411</v>
      </c>
      <c r="C80" t="s">
        <v>6760</v>
      </c>
      <c r="E80">
        <v>0.89</v>
      </c>
    </row>
    <row r="81" spans="1:6" x14ac:dyDescent="0.25">
      <c r="A81" s="306">
        <v>43795.607303240744</v>
      </c>
      <c r="B81" t="s">
        <v>9524</v>
      </c>
      <c r="C81" t="s">
        <v>7067</v>
      </c>
      <c r="E81">
        <v>1.71</v>
      </c>
    </row>
    <row r="82" spans="1:6" x14ac:dyDescent="0.25">
      <c r="A82" s="306">
        <v>43795.824155092596</v>
      </c>
      <c r="B82" t="s">
        <v>7366</v>
      </c>
      <c r="C82" t="s">
        <v>5520</v>
      </c>
      <c r="E82">
        <v>1.01</v>
      </c>
    </row>
    <row r="83" spans="1:6" x14ac:dyDescent="0.25">
      <c r="A83" s="306">
        <v>43796.577118055553</v>
      </c>
      <c r="B83" t="s">
        <v>9338</v>
      </c>
      <c r="C83" t="s">
        <v>6999</v>
      </c>
      <c r="E83">
        <v>1.53</v>
      </c>
    </row>
    <row r="84" spans="1:6" x14ac:dyDescent="0.25">
      <c r="A84" s="306">
        <v>43796.598645833335</v>
      </c>
      <c r="B84" t="s">
        <v>4655</v>
      </c>
      <c r="C84" t="s">
        <v>6689</v>
      </c>
      <c r="E84">
        <v>1.1599999999999999</v>
      </c>
    </row>
    <row r="85" spans="1:6" x14ac:dyDescent="0.25">
      <c r="A85" s="306">
        <v>43797.722557870373</v>
      </c>
      <c r="B85" t="s">
        <v>7341</v>
      </c>
      <c r="C85" t="s">
        <v>5511</v>
      </c>
      <c r="E85">
        <v>0.8</v>
      </c>
    </row>
    <row r="86" spans="1:6" x14ac:dyDescent="0.25">
      <c r="A86" s="306">
        <v>43798.436111111114</v>
      </c>
      <c r="B86" t="s">
        <v>3245</v>
      </c>
      <c r="C86" t="s">
        <v>3237</v>
      </c>
      <c r="E86">
        <v>0.72</v>
      </c>
    </row>
    <row r="87" spans="1:6" x14ac:dyDescent="0.25">
      <c r="A87" s="306">
        <v>43798.67359953704</v>
      </c>
      <c r="B87" t="s">
        <v>9221</v>
      </c>
      <c r="C87" t="s">
        <v>6959</v>
      </c>
      <c r="E87">
        <v>1.71</v>
      </c>
    </row>
    <row r="88" spans="1:6" x14ac:dyDescent="0.25">
      <c r="A88" s="306">
        <v>43799.01152777778</v>
      </c>
      <c r="B88" t="s">
        <v>9536</v>
      </c>
      <c r="C88" t="s">
        <v>7071</v>
      </c>
      <c r="E88">
        <v>3.58</v>
      </c>
    </row>
    <row r="89" spans="1:6" x14ac:dyDescent="0.25">
      <c r="A89" s="306">
        <v>43799.449745370373</v>
      </c>
      <c r="B89" t="s">
        <v>8072</v>
      </c>
      <c r="C89" t="s">
        <v>6634</v>
      </c>
      <c r="E89">
        <v>1.02</v>
      </c>
    </row>
    <row r="90" spans="1:6" x14ac:dyDescent="0.25">
      <c r="A90" s="306">
        <v>43799.466516203705</v>
      </c>
      <c r="B90" t="s">
        <v>8298</v>
      </c>
      <c r="C90" t="s">
        <v>6719</v>
      </c>
      <c r="E90">
        <v>0.89</v>
      </c>
    </row>
    <row r="91" spans="1:6" x14ac:dyDescent="0.25">
      <c r="A91" s="306">
        <v>43799.550520833334</v>
      </c>
      <c r="B91" t="s">
        <v>7623</v>
      </c>
      <c r="C91" t="s">
        <v>5608</v>
      </c>
      <c r="E91">
        <v>0.65</v>
      </c>
    </row>
    <row r="92" spans="1:6" x14ac:dyDescent="0.25">
      <c r="A92" s="306">
        <v>43800.508842592593</v>
      </c>
      <c r="B92" t="s">
        <v>10075</v>
      </c>
      <c r="C92" t="s">
        <v>10077</v>
      </c>
      <c r="F92">
        <v>3.2</v>
      </c>
    </row>
    <row r="93" spans="1:6" x14ac:dyDescent="0.25">
      <c r="A93" s="306">
        <v>43800.70921296296</v>
      </c>
      <c r="B93" t="s">
        <v>9152</v>
      </c>
      <c r="C93" t="s">
        <v>6941</v>
      </c>
      <c r="F93">
        <v>1.53</v>
      </c>
    </row>
    <row r="94" spans="1:6" x14ac:dyDescent="0.25">
      <c r="A94" s="306">
        <v>43801.899027777778</v>
      </c>
      <c r="B94" t="s">
        <v>10146</v>
      </c>
      <c r="C94" t="s">
        <v>10149</v>
      </c>
      <c r="F94">
        <v>4.0599999999999996</v>
      </c>
    </row>
    <row r="95" spans="1:6" x14ac:dyDescent="0.25">
      <c r="A95" s="306">
        <v>43803.685300925928</v>
      </c>
      <c r="B95" t="s">
        <v>2378</v>
      </c>
      <c r="C95" t="s">
        <v>2279</v>
      </c>
      <c r="F95">
        <v>4.01</v>
      </c>
    </row>
    <row r="96" spans="1:6" x14ac:dyDescent="0.25">
      <c r="A96" s="306">
        <v>43803.785775462966</v>
      </c>
      <c r="B96" t="s">
        <v>14521</v>
      </c>
      <c r="C96" t="s">
        <v>10273</v>
      </c>
      <c r="F96">
        <v>0.99</v>
      </c>
    </row>
    <row r="97" spans="1:6" x14ac:dyDescent="0.25">
      <c r="A97" s="306">
        <v>43803.785775462966</v>
      </c>
      <c r="B97" t="s">
        <v>2511</v>
      </c>
      <c r="C97" t="s">
        <v>2444</v>
      </c>
      <c r="F97">
        <v>2.8</v>
      </c>
    </row>
    <row r="98" spans="1:6" x14ac:dyDescent="0.25">
      <c r="A98" s="306">
        <v>43803.785775462966</v>
      </c>
      <c r="B98" t="s">
        <v>2624</v>
      </c>
      <c r="C98" t="s">
        <v>2556</v>
      </c>
      <c r="F98">
        <v>2.2200000000000002</v>
      </c>
    </row>
    <row r="99" spans="1:6" x14ac:dyDescent="0.25">
      <c r="A99" s="306">
        <v>43803.785787037035</v>
      </c>
      <c r="B99" t="s">
        <v>3383</v>
      </c>
      <c r="C99" t="s">
        <v>3294</v>
      </c>
      <c r="F99">
        <v>2.08</v>
      </c>
    </row>
    <row r="100" spans="1:6" x14ac:dyDescent="0.25">
      <c r="A100" s="306">
        <v>43803.785787037035</v>
      </c>
      <c r="B100" t="s">
        <v>3398</v>
      </c>
      <c r="C100" t="s">
        <v>3298</v>
      </c>
      <c r="F100">
        <v>2.19</v>
      </c>
    </row>
    <row r="101" spans="1:6" x14ac:dyDescent="0.25">
      <c r="A101" s="306">
        <v>43803.785787037035</v>
      </c>
      <c r="B101" t="s">
        <v>4471</v>
      </c>
      <c r="C101" t="s">
        <v>4404</v>
      </c>
      <c r="F101">
        <v>1.87</v>
      </c>
    </row>
    <row r="102" spans="1:6" x14ac:dyDescent="0.25">
      <c r="A102" s="306">
        <v>43803.785787037035</v>
      </c>
      <c r="B102" t="s">
        <v>6208</v>
      </c>
      <c r="C102" t="s">
        <v>5307</v>
      </c>
      <c r="F102">
        <v>2.5099999999999998</v>
      </c>
    </row>
    <row r="103" spans="1:6" x14ac:dyDescent="0.25">
      <c r="A103" s="306">
        <v>43803.785787037035</v>
      </c>
      <c r="B103" t="s">
        <v>7201</v>
      </c>
      <c r="C103" t="s">
        <v>5465</v>
      </c>
      <c r="F103">
        <v>1.33</v>
      </c>
    </row>
    <row r="104" spans="1:6" x14ac:dyDescent="0.25">
      <c r="A104" s="306">
        <v>43803.785787037035</v>
      </c>
      <c r="B104" t="s">
        <v>7794</v>
      </c>
      <c r="C104" t="s">
        <v>5674</v>
      </c>
      <c r="F104">
        <v>0.7</v>
      </c>
    </row>
    <row r="105" spans="1:6" x14ac:dyDescent="0.25">
      <c r="A105" s="306">
        <v>43803.785787037035</v>
      </c>
      <c r="B105" t="s">
        <v>9930</v>
      </c>
      <c r="C105" t="s">
        <v>9932</v>
      </c>
      <c r="F105">
        <v>2.74</v>
      </c>
    </row>
    <row r="106" spans="1:6" x14ac:dyDescent="0.25">
      <c r="A106" s="306">
        <v>43805.440289351849</v>
      </c>
      <c r="B106" t="s">
        <v>3906</v>
      </c>
      <c r="C106" t="s">
        <v>3881</v>
      </c>
      <c r="F106">
        <v>4.1100000000000003</v>
      </c>
    </row>
    <row r="107" spans="1:6" x14ac:dyDescent="0.25">
      <c r="A107" s="306">
        <v>43806.669537037036</v>
      </c>
      <c r="B107" t="s">
        <v>9527</v>
      </c>
      <c r="C107" t="s">
        <v>7068</v>
      </c>
      <c r="F107">
        <v>10.8</v>
      </c>
    </row>
    <row r="108" spans="1:6" x14ac:dyDescent="0.25">
      <c r="A108" s="306">
        <v>43806.85224537037</v>
      </c>
      <c r="B108" t="s">
        <v>7853</v>
      </c>
      <c r="C108" t="s">
        <v>5695</v>
      </c>
      <c r="F108">
        <v>1.33</v>
      </c>
    </row>
    <row r="109" spans="1:6" x14ac:dyDescent="0.25">
      <c r="A109" s="306">
        <v>43807.910231481481</v>
      </c>
      <c r="B109" t="s">
        <v>10342</v>
      </c>
      <c r="C109" t="s">
        <v>10345</v>
      </c>
      <c r="F109">
        <v>9.76</v>
      </c>
    </row>
    <row r="110" spans="1:6" x14ac:dyDescent="0.25">
      <c r="A110" s="306">
        <v>43808.500162037039</v>
      </c>
      <c r="B110" t="s">
        <v>8438</v>
      </c>
      <c r="C110" t="s">
        <v>6770</v>
      </c>
      <c r="F110">
        <v>1.78</v>
      </c>
    </row>
    <row r="111" spans="1:6" x14ac:dyDescent="0.25">
      <c r="A111" s="306">
        <v>43808.565868055557</v>
      </c>
      <c r="B111" t="s">
        <v>9977</v>
      </c>
      <c r="C111" t="s">
        <v>9979</v>
      </c>
      <c r="F111">
        <v>2.54</v>
      </c>
    </row>
    <row r="112" spans="1:6" x14ac:dyDescent="0.25">
      <c r="A112" s="306">
        <v>43809.44159722222</v>
      </c>
      <c r="B112" t="s">
        <v>10576</v>
      </c>
      <c r="C112" t="s">
        <v>10578</v>
      </c>
      <c r="F112">
        <v>4.79</v>
      </c>
    </row>
    <row r="113" spans="1:6" x14ac:dyDescent="0.25">
      <c r="A113" s="306">
        <v>43809.541296296295</v>
      </c>
      <c r="B113" t="s">
        <v>9028</v>
      </c>
      <c r="C113" t="s">
        <v>6895</v>
      </c>
      <c r="F113">
        <v>1.85</v>
      </c>
    </row>
    <row r="114" spans="1:6" x14ac:dyDescent="0.25">
      <c r="A114" s="306">
        <v>43810.721250000002</v>
      </c>
      <c r="B114" t="s">
        <v>10591</v>
      </c>
      <c r="C114" t="s">
        <v>10594</v>
      </c>
      <c r="F114">
        <v>6.3</v>
      </c>
    </row>
    <row r="115" spans="1:6" x14ac:dyDescent="0.25">
      <c r="A115" s="306">
        <v>43811.684201388889</v>
      </c>
      <c r="B115" t="s">
        <v>8293</v>
      </c>
      <c r="C115" t="s">
        <v>6717</v>
      </c>
      <c r="F115">
        <v>0.85</v>
      </c>
    </row>
    <row r="116" spans="1:6" x14ac:dyDescent="0.25">
      <c r="A116" s="306">
        <v>43811.850277777776</v>
      </c>
      <c r="B116" t="s">
        <v>10081</v>
      </c>
      <c r="C116" t="s">
        <v>10083</v>
      </c>
      <c r="F116">
        <v>6.8</v>
      </c>
    </row>
    <row r="117" spans="1:6" x14ac:dyDescent="0.25">
      <c r="A117" s="306">
        <v>43812.987395833334</v>
      </c>
      <c r="B117" t="s">
        <v>4931</v>
      </c>
      <c r="C117" t="s">
        <v>4789</v>
      </c>
      <c r="F117">
        <v>4.33</v>
      </c>
    </row>
    <row r="118" spans="1:6" x14ac:dyDescent="0.25">
      <c r="A118" s="306">
        <v>43812.987395833334</v>
      </c>
      <c r="B118" t="s">
        <v>7220</v>
      </c>
      <c r="C118" t="s">
        <v>5470</v>
      </c>
      <c r="F118">
        <v>0.8</v>
      </c>
    </row>
    <row r="119" spans="1:6" x14ac:dyDescent="0.25">
      <c r="A119" s="306">
        <v>43812.987395833334</v>
      </c>
      <c r="B119" t="s">
        <v>9404</v>
      </c>
      <c r="C119" t="s">
        <v>7024</v>
      </c>
      <c r="F119">
        <v>1.71</v>
      </c>
    </row>
    <row r="120" spans="1:6" x14ac:dyDescent="0.25">
      <c r="A120" s="306">
        <v>43812.995717592596</v>
      </c>
      <c r="B120" t="s">
        <v>7432</v>
      </c>
      <c r="C120" t="s">
        <v>5542</v>
      </c>
      <c r="F120">
        <v>1.01</v>
      </c>
    </row>
    <row r="121" spans="1:6" x14ac:dyDescent="0.25">
      <c r="A121" s="306">
        <v>43813.513113425928</v>
      </c>
      <c r="B121" t="s">
        <v>10611</v>
      </c>
      <c r="C121" t="s">
        <v>10613</v>
      </c>
      <c r="F121">
        <v>14.79</v>
      </c>
    </row>
    <row r="122" spans="1:6" x14ac:dyDescent="0.25">
      <c r="A122" s="306">
        <v>43813.717465277776</v>
      </c>
      <c r="B122" t="s">
        <v>2975</v>
      </c>
      <c r="C122" t="s">
        <v>2948</v>
      </c>
      <c r="F122">
        <v>4.4400000000000004</v>
      </c>
    </row>
    <row r="123" spans="1:6" x14ac:dyDescent="0.25">
      <c r="A123" s="306">
        <v>43813.967372685183</v>
      </c>
      <c r="B123" t="s">
        <v>10299</v>
      </c>
      <c r="C123" t="s">
        <v>10301</v>
      </c>
      <c r="F123">
        <v>3.63</v>
      </c>
    </row>
    <row r="124" spans="1:6" x14ac:dyDescent="0.25">
      <c r="A124" s="306">
        <v>43814.88590277778</v>
      </c>
      <c r="B124" t="s">
        <v>9128</v>
      </c>
      <c r="C124" t="s">
        <v>6931</v>
      </c>
      <c r="F124">
        <v>1.85</v>
      </c>
    </row>
    <row r="125" spans="1:6" x14ac:dyDescent="0.25">
      <c r="A125" s="306">
        <v>43814.958055555559</v>
      </c>
      <c r="B125" t="s">
        <v>9715</v>
      </c>
      <c r="C125" t="s">
        <v>9718</v>
      </c>
      <c r="F125">
        <v>3.88</v>
      </c>
    </row>
    <row r="126" spans="1:6" x14ac:dyDescent="0.25">
      <c r="A126" s="306">
        <v>43815.353437500002</v>
      </c>
      <c r="B126" t="s">
        <v>10872</v>
      </c>
      <c r="C126" t="s">
        <v>10874</v>
      </c>
      <c r="F126">
        <v>7.79</v>
      </c>
    </row>
    <row r="127" spans="1:6" x14ac:dyDescent="0.25">
      <c r="A127" s="306">
        <v>43815.650949074072</v>
      </c>
      <c r="B127" t="s">
        <v>2072</v>
      </c>
      <c r="C127" t="s">
        <v>1955</v>
      </c>
      <c r="F127">
        <v>1.0900000000000001</v>
      </c>
    </row>
    <row r="128" spans="1:6" x14ac:dyDescent="0.25">
      <c r="A128" s="306">
        <v>43815.68645833333</v>
      </c>
      <c r="B128" t="s">
        <v>8233</v>
      </c>
      <c r="C128" t="s">
        <v>6693</v>
      </c>
      <c r="F128">
        <v>0.69</v>
      </c>
    </row>
    <row r="129" spans="1:7" x14ac:dyDescent="0.25">
      <c r="A129" s="306">
        <v>43816.944918981484</v>
      </c>
      <c r="B129" t="s">
        <v>9543</v>
      </c>
      <c r="C129" t="s">
        <v>7073</v>
      </c>
      <c r="F129">
        <v>1.51</v>
      </c>
    </row>
    <row r="130" spans="1:7" x14ac:dyDescent="0.25">
      <c r="A130" s="306">
        <v>43817.400833333333</v>
      </c>
      <c r="B130" t="s">
        <v>9144</v>
      </c>
      <c r="C130" t="s">
        <v>6937</v>
      </c>
      <c r="F130">
        <v>1.53</v>
      </c>
    </row>
    <row r="131" spans="1:7" x14ac:dyDescent="0.25">
      <c r="A131" s="306">
        <v>43817.47078703704</v>
      </c>
      <c r="B131" t="s">
        <v>10247</v>
      </c>
      <c r="C131" t="s">
        <v>10250</v>
      </c>
      <c r="F131">
        <v>5.96</v>
      </c>
    </row>
    <row r="132" spans="1:7" x14ac:dyDescent="0.25">
      <c r="A132" s="306">
        <v>43817.660115740742</v>
      </c>
      <c r="B132" t="s">
        <v>6429</v>
      </c>
      <c r="C132" t="s">
        <v>5381</v>
      </c>
      <c r="F132">
        <v>1.84</v>
      </c>
    </row>
    <row r="133" spans="1:7" x14ac:dyDescent="0.25">
      <c r="A133" s="306">
        <v>43819.395775462966</v>
      </c>
      <c r="B133" t="s">
        <v>10564</v>
      </c>
      <c r="C133" t="s">
        <v>10566</v>
      </c>
      <c r="F133">
        <v>1.79</v>
      </c>
    </row>
    <row r="134" spans="1:7" x14ac:dyDescent="0.25">
      <c r="A134" s="306">
        <v>43824.507789351854</v>
      </c>
      <c r="B134" t="s">
        <v>8957</v>
      </c>
      <c r="C134" t="s">
        <v>8814</v>
      </c>
      <c r="F134">
        <v>3.17</v>
      </c>
    </row>
    <row r="135" spans="1:7" x14ac:dyDescent="0.25">
      <c r="A135" s="306">
        <v>43825.679305555554</v>
      </c>
      <c r="B135" t="s">
        <v>9324</v>
      </c>
      <c r="C135" t="s">
        <v>6995</v>
      </c>
      <c r="F135">
        <v>5.59</v>
      </c>
    </row>
    <row r="136" spans="1:7" x14ac:dyDescent="0.25">
      <c r="A136" s="306">
        <v>43825.78875</v>
      </c>
      <c r="B136" t="s">
        <v>8371</v>
      </c>
      <c r="C136" t="s">
        <v>6745</v>
      </c>
      <c r="F136">
        <v>1.71</v>
      </c>
    </row>
    <row r="137" spans="1:7" x14ac:dyDescent="0.25">
      <c r="A137" s="306">
        <v>43825.809293981481</v>
      </c>
      <c r="B137" t="s">
        <v>10330</v>
      </c>
      <c r="C137" t="s">
        <v>10332</v>
      </c>
      <c r="F137">
        <v>5.0999999999999996</v>
      </c>
    </row>
    <row r="138" spans="1:7" x14ac:dyDescent="0.25">
      <c r="A138" s="306">
        <v>43826.524988425925</v>
      </c>
      <c r="B138" t="s">
        <v>7373</v>
      </c>
      <c r="C138" t="s">
        <v>5522</v>
      </c>
      <c r="F138">
        <v>1.01</v>
      </c>
    </row>
    <row r="139" spans="1:7" x14ac:dyDescent="0.25">
      <c r="A139" s="306">
        <v>43827.856249999997</v>
      </c>
      <c r="B139" t="s">
        <v>10745</v>
      </c>
      <c r="C139" t="s">
        <v>10747</v>
      </c>
      <c r="F139">
        <v>2.98</v>
      </c>
    </row>
    <row r="140" spans="1:7" x14ac:dyDescent="0.25">
      <c r="A140" s="306">
        <v>43831.660543981481</v>
      </c>
      <c r="B140" t="s">
        <v>10783</v>
      </c>
      <c r="C140" t="s">
        <v>10786</v>
      </c>
      <c r="G140">
        <v>16.79</v>
      </c>
    </row>
    <row r="141" spans="1:7" x14ac:dyDescent="0.25">
      <c r="A141" s="306">
        <v>43831.824247685188</v>
      </c>
      <c r="B141" t="s">
        <v>2465</v>
      </c>
      <c r="C141" t="s">
        <v>2431</v>
      </c>
      <c r="G141">
        <v>1.97</v>
      </c>
    </row>
    <row r="142" spans="1:7" x14ac:dyDescent="0.25">
      <c r="A142" s="306">
        <v>43831.877083333333</v>
      </c>
      <c r="B142" t="s">
        <v>10700</v>
      </c>
      <c r="C142" t="s">
        <v>10702</v>
      </c>
      <c r="G142">
        <v>3.01</v>
      </c>
    </row>
    <row r="143" spans="1:7" x14ac:dyDescent="0.25">
      <c r="A143" s="306">
        <v>43832.962847222225</v>
      </c>
      <c r="B143" t="s">
        <v>11125</v>
      </c>
      <c r="C143" t="s">
        <v>11126</v>
      </c>
      <c r="G143">
        <v>5.29</v>
      </c>
    </row>
    <row r="144" spans="1:7" x14ac:dyDescent="0.25">
      <c r="A144" s="306">
        <v>43833.08289351852</v>
      </c>
      <c r="B144" t="s">
        <v>7566</v>
      </c>
      <c r="C144" t="s">
        <v>5588</v>
      </c>
      <c r="G144">
        <v>0.65</v>
      </c>
    </row>
    <row r="145" spans="1:7" x14ac:dyDescent="0.25">
      <c r="A145" s="306">
        <v>43833.08289351852</v>
      </c>
      <c r="B145" t="s">
        <v>6199</v>
      </c>
      <c r="C145" t="s">
        <v>5609</v>
      </c>
      <c r="G145">
        <v>0.65</v>
      </c>
    </row>
    <row r="146" spans="1:7" x14ac:dyDescent="0.25">
      <c r="A146" s="306">
        <v>43833.08289351852</v>
      </c>
      <c r="B146" t="s">
        <v>5063</v>
      </c>
      <c r="C146" t="s">
        <v>5665</v>
      </c>
      <c r="G146">
        <v>0.65</v>
      </c>
    </row>
    <row r="147" spans="1:7" x14ac:dyDescent="0.25">
      <c r="A147" s="306">
        <v>43833.08289351852</v>
      </c>
      <c r="B147" t="s">
        <v>7957</v>
      </c>
      <c r="C147" t="s">
        <v>6594</v>
      </c>
      <c r="G147">
        <v>0.65</v>
      </c>
    </row>
    <row r="148" spans="1:7" x14ac:dyDescent="0.25">
      <c r="A148" s="306">
        <v>43833.08289351852</v>
      </c>
      <c r="B148" t="s">
        <v>11094</v>
      </c>
      <c r="C148" t="s">
        <v>11095</v>
      </c>
      <c r="G148">
        <v>3.08</v>
      </c>
    </row>
    <row r="149" spans="1:7" x14ac:dyDescent="0.25">
      <c r="A149" s="306">
        <v>43833.932372685187</v>
      </c>
      <c r="B149" t="s">
        <v>8979</v>
      </c>
      <c r="C149" t="s">
        <v>8826</v>
      </c>
      <c r="G149">
        <v>5.09</v>
      </c>
    </row>
    <row r="150" spans="1:7" x14ac:dyDescent="0.25">
      <c r="A150" s="306">
        <v>43834.2341087963</v>
      </c>
      <c r="B150" t="s">
        <v>13810</v>
      </c>
      <c r="C150" t="s">
        <v>12221</v>
      </c>
      <c r="G150">
        <v>4.9800000000000004</v>
      </c>
    </row>
    <row r="151" spans="1:7" x14ac:dyDescent="0.25">
      <c r="A151" s="306">
        <v>43834.2341087963</v>
      </c>
      <c r="B151" t="s">
        <v>13812</v>
      </c>
      <c r="C151" t="s">
        <v>12222</v>
      </c>
      <c r="G151">
        <v>6.78</v>
      </c>
    </row>
    <row r="152" spans="1:7" x14ac:dyDescent="0.25">
      <c r="A152" s="306">
        <v>43834.2341087963</v>
      </c>
      <c r="B152" t="s">
        <v>13814</v>
      </c>
      <c r="C152" t="s">
        <v>12223</v>
      </c>
      <c r="G152">
        <v>4.3899999999999997</v>
      </c>
    </row>
    <row r="153" spans="1:7" x14ac:dyDescent="0.25">
      <c r="A153" s="306">
        <v>43834.607777777775</v>
      </c>
      <c r="B153" t="s">
        <v>9083</v>
      </c>
      <c r="C153" t="s">
        <v>6913</v>
      </c>
      <c r="G153">
        <v>2.38</v>
      </c>
    </row>
    <row r="154" spans="1:7" x14ac:dyDescent="0.25">
      <c r="A154" s="306">
        <v>43834.829317129632</v>
      </c>
      <c r="B154" t="s">
        <v>7180</v>
      </c>
      <c r="C154" t="s">
        <v>5457</v>
      </c>
      <c r="G154">
        <v>0.93</v>
      </c>
    </row>
    <row r="155" spans="1:7" x14ac:dyDescent="0.25">
      <c r="A155" s="306">
        <v>43835.461527777778</v>
      </c>
      <c r="B155" t="s">
        <v>13706</v>
      </c>
      <c r="C155" t="s">
        <v>12049</v>
      </c>
      <c r="G155">
        <v>1.1399999999999999</v>
      </c>
    </row>
    <row r="156" spans="1:7" x14ac:dyDescent="0.25">
      <c r="A156" s="306">
        <v>43836.296180555553</v>
      </c>
      <c r="B156" t="s">
        <v>11188</v>
      </c>
      <c r="C156" t="s">
        <v>11189</v>
      </c>
      <c r="G156">
        <v>2.74</v>
      </c>
    </row>
    <row r="157" spans="1:7" x14ac:dyDescent="0.25">
      <c r="A157" s="306">
        <v>43836.449224537035</v>
      </c>
      <c r="B157" t="s">
        <v>14050</v>
      </c>
      <c r="C157" t="s">
        <v>12233</v>
      </c>
      <c r="G157">
        <v>2.95</v>
      </c>
    </row>
    <row r="158" spans="1:7" x14ac:dyDescent="0.25">
      <c r="A158" s="306">
        <v>43837.775335648148</v>
      </c>
      <c r="B158" t="s">
        <v>14081</v>
      </c>
      <c r="C158" t="s">
        <v>12245</v>
      </c>
      <c r="G158">
        <v>2.04</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C1F9-3885-43C3-9BC3-0A4A16A74653}">
  <dimension ref="A1"/>
  <sheetViews>
    <sheetView workbookViewId="0"/>
  </sheetViews>
  <sheetFormatPr baseColWidth="10" defaultRowHeight="13.2" x14ac:dyDescent="0.25"/>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26"/>
  <sheetViews>
    <sheetView workbookViewId="0"/>
  </sheetViews>
  <sheetFormatPr baseColWidth="10" defaultRowHeight="15.6" x14ac:dyDescent="0.3"/>
  <cols>
    <col min="1" max="1" width="32.6640625" style="42" customWidth="1"/>
    <col min="2" max="2" width="23.88671875" style="43" customWidth="1"/>
    <col min="3" max="3" width="14.109375" style="43" customWidth="1"/>
  </cols>
  <sheetData>
    <row r="1" spans="1:11" s="38" customFormat="1" x14ac:dyDescent="0.3">
      <c r="A1" s="37" t="s">
        <v>76</v>
      </c>
      <c r="B1" s="37" t="s">
        <v>77</v>
      </c>
      <c r="C1" s="37" t="s">
        <v>26</v>
      </c>
      <c r="K1" s="39"/>
    </row>
    <row r="2" spans="1:11" x14ac:dyDescent="0.3">
      <c r="A2" s="44" t="s">
        <v>1796</v>
      </c>
      <c r="B2" s="45"/>
      <c r="C2" s="45"/>
    </row>
    <row r="3" spans="1:11" x14ac:dyDescent="0.3">
      <c r="A3" s="46"/>
      <c r="B3" s="47" t="s">
        <v>1797</v>
      </c>
      <c r="C3" s="47">
        <v>2027</v>
      </c>
    </row>
    <row r="4" spans="1:11" x14ac:dyDescent="0.3">
      <c r="A4" s="46"/>
      <c r="B4" s="47" t="s">
        <v>1798</v>
      </c>
      <c r="C4" s="47">
        <v>2400</v>
      </c>
    </row>
    <row r="5" spans="1:11" x14ac:dyDescent="0.3">
      <c r="A5" s="46"/>
      <c r="B5" s="47" t="s">
        <v>1799</v>
      </c>
      <c r="C5" s="47">
        <v>2335</v>
      </c>
    </row>
    <row r="6" spans="1:11" x14ac:dyDescent="0.3">
      <c r="A6" s="46"/>
      <c r="B6" s="47" t="s">
        <v>1800</v>
      </c>
      <c r="C6" s="47">
        <v>2024</v>
      </c>
    </row>
    <row r="7" spans="1:11" x14ac:dyDescent="0.3">
      <c r="A7" s="46"/>
      <c r="B7" s="47" t="s">
        <v>1801</v>
      </c>
      <c r="C7" s="47">
        <v>2026</v>
      </c>
    </row>
    <row r="8" spans="1:11" x14ac:dyDescent="0.3">
      <c r="A8" s="46"/>
      <c r="B8" s="47" t="s">
        <v>1802</v>
      </c>
      <c r="C8" s="47">
        <v>2025</v>
      </c>
    </row>
    <row r="9" spans="1:11" x14ac:dyDescent="0.3">
      <c r="A9" s="46"/>
      <c r="B9" s="47" t="s">
        <v>1803</v>
      </c>
      <c r="C9" s="47">
        <v>2205</v>
      </c>
    </row>
    <row r="10" spans="1:11" x14ac:dyDescent="0.3">
      <c r="A10" s="44" t="s">
        <v>1804</v>
      </c>
      <c r="B10" s="45"/>
      <c r="C10" s="45"/>
    </row>
    <row r="11" spans="1:11" x14ac:dyDescent="0.3">
      <c r="A11" s="46"/>
      <c r="B11" s="47" t="s">
        <v>1797</v>
      </c>
      <c r="C11" s="47">
        <v>2031</v>
      </c>
    </row>
    <row r="12" spans="1:11" x14ac:dyDescent="0.3">
      <c r="A12" s="46"/>
      <c r="B12" s="47" t="s">
        <v>1805</v>
      </c>
      <c r="C12" s="47">
        <v>2797</v>
      </c>
    </row>
    <row r="13" spans="1:11" x14ac:dyDescent="0.3">
      <c r="A13" s="46"/>
      <c r="B13" s="47" t="s">
        <v>1799</v>
      </c>
      <c r="C13" s="47">
        <v>2336</v>
      </c>
    </row>
    <row r="14" spans="1:11" x14ac:dyDescent="0.3">
      <c r="A14" s="46"/>
      <c r="B14" s="47" t="s">
        <v>1806</v>
      </c>
      <c r="C14" s="47">
        <v>2028</v>
      </c>
    </row>
    <row r="15" spans="1:11" x14ac:dyDescent="0.3">
      <c r="A15" s="46"/>
      <c r="B15" s="47" t="s">
        <v>1801</v>
      </c>
      <c r="C15" s="47">
        <v>2030</v>
      </c>
    </row>
    <row r="16" spans="1:11" x14ac:dyDescent="0.3">
      <c r="A16" s="46"/>
      <c r="B16" s="47" t="s">
        <v>1802</v>
      </c>
      <c r="C16" s="47">
        <v>2029</v>
      </c>
    </row>
    <row r="17" spans="1:3" x14ac:dyDescent="0.3">
      <c r="A17" s="44"/>
      <c r="B17" s="45" t="s">
        <v>1807</v>
      </c>
      <c r="C17" s="45">
        <v>2206</v>
      </c>
    </row>
    <row r="18" spans="1:3" x14ac:dyDescent="0.3">
      <c r="A18" s="46" t="s">
        <v>1808</v>
      </c>
      <c r="B18" s="47"/>
      <c r="C18" s="47"/>
    </row>
    <row r="19" spans="1:3" x14ac:dyDescent="0.3">
      <c r="A19" s="46"/>
      <c r="B19" s="47" t="s">
        <v>1809</v>
      </c>
      <c r="C19" s="47">
        <v>2032</v>
      </c>
    </row>
    <row r="20" spans="1:3" ht="27" x14ac:dyDescent="0.3">
      <c r="A20" s="46"/>
      <c r="B20" s="47" t="s">
        <v>1810</v>
      </c>
      <c r="C20" s="47">
        <v>2401</v>
      </c>
    </row>
    <row r="21" spans="1:3" x14ac:dyDescent="0.3">
      <c r="A21" s="46"/>
      <c r="B21" s="47" t="s">
        <v>1811</v>
      </c>
      <c r="C21" s="47">
        <v>2033</v>
      </c>
    </row>
    <row r="22" spans="1:3" x14ac:dyDescent="0.3">
      <c r="A22" s="46"/>
      <c r="B22" s="47" t="s">
        <v>1812</v>
      </c>
      <c r="C22" s="47">
        <v>2603</v>
      </c>
    </row>
    <row r="23" spans="1:3" x14ac:dyDescent="0.3">
      <c r="A23" s="46"/>
      <c r="B23" s="47" t="s">
        <v>1813</v>
      </c>
      <c r="C23" s="47">
        <v>2660</v>
      </c>
    </row>
    <row r="24" spans="1:3" x14ac:dyDescent="0.3">
      <c r="A24" s="46"/>
      <c r="B24" s="47" t="s">
        <v>1814</v>
      </c>
      <c r="C24" s="47">
        <v>2035</v>
      </c>
    </row>
    <row r="25" spans="1:3" x14ac:dyDescent="0.3">
      <c r="A25" s="46"/>
      <c r="B25" s="47" t="s">
        <v>1815</v>
      </c>
      <c r="C25" s="47">
        <v>2034</v>
      </c>
    </row>
    <row r="26" spans="1:3" x14ac:dyDescent="0.3">
      <c r="A26" s="46"/>
      <c r="B26" s="47" t="s">
        <v>1799</v>
      </c>
      <c r="C26" s="47">
        <v>2047</v>
      </c>
    </row>
    <row r="27" spans="1:3" x14ac:dyDescent="0.3">
      <c r="A27" s="46"/>
      <c r="B27" s="47" t="s">
        <v>1816</v>
      </c>
      <c r="C27" s="47">
        <v>2334</v>
      </c>
    </row>
    <row r="28" spans="1:3" x14ac:dyDescent="0.3">
      <c r="A28" s="46"/>
      <c r="B28" s="47" t="s">
        <v>1817</v>
      </c>
      <c r="C28" s="47">
        <v>2036</v>
      </c>
    </row>
    <row r="29" spans="1:3" x14ac:dyDescent="0.3">
      <c r="A29" s="44"/>
      <c r="B29" s="45" t="s">
        <v>1451</v>
      </c>
      <c r="C29" s="45">
        <v>2207</v>
      </c>
    </row>
    <row r="30" spans="1:3" x14ac:dyDescent="0.3">
      <c r="A30" s="46" t="s">
        <v>1818</v>
      </c>
      <c r="B30" s="47"/>
      <c r="C30" s="47"/>
    </row>
    <row r="31" spans="1:3" x14ac:dyDescent="0.3">
      <c r="A31" s="46"/>
      <c r="B31" s="47" t="s">
        <v>1819</v>
      </c>
      <c r="C31" s="47">
        <v>2037</v>
      </c>
    </row>
    <row r="32" spans="1:3" x14ac:dyDescent="0.3">
      <c r="A32" s="46"/>
      <c r="B32" s="47" t="s">
        <v>1820</v>
      </c>
      <c r="C32" s="47">
        <v>2038</v>
      </c>
    </row>
    <row r="33" spans="1:3" x14ac:dyDescent="0.3">
      <c r="A33" s="46"/>
      <c r="B33" s="47" t="s">
        <v>1821</v>
      </c>
      <c r="C33" s="47">
        <v>2039</v>
      </c>
    </row>
    <row r="34" spans="1:3" x14ac:dyDescent="0.3">
      <c r="A34" s="46"/>
      <c r="B34" s="47" t="s">
        <v>1822</v>
      </c>
      <c r="C34" s="47">
        <v>2040</v>
      </c>
    </row>
    <row r="35" spans="1:3" x14ac:dyDescent="0.3">
      <c r="A35" s="46"/>
      <c r="B35" s="47" t="s">
        <v>1823</v>
      </c>
      <c r="C35" s="47">
        <v>2041</v>
      </c>
    </row>
    <row r="36" spans="1:3" x14ac:dyDescent="0.3">
      <c r="A36" s="46"/>
      <c r="B36" s="47" t="s">
        <v>1824</v>
      </c>
      <c r="C36" s="47">
        <v>2374</v>
      </c>
    </row>
    <row r="37" spans="1:3" x14ac:dyDescent="0.3">
      <c r="A37" s="46"/>
      <c r="B37" s="47" t="s">
        <v>1825</v>
      </c>
      <c r="C37" s="47">
        <v>2042</v>
      </c>
    </row>
    <row r="38" spans="1:3" x14ac:dyDescent="0.3">
      <c r="A38" s="46"/>
      <c r="B38" s="47" t="s">
        <v>1799</v>
      </c>
      <c r="C38" s="47">
        <v>2337</v>
      </c>
    </row>
    <row r="39" spans="1:3" x14ac:dyDescent="0.3">
      <c r="A39" s="46"/>
      <c r="B39" s="47" t="s">
        <v>1826</v>
      </c>
      <c r="C39" s="47">
        <v>2043</v>
      </c>
    </row>
    <row r="40" spans="1:3" x14ac:dyDescent="0.3">
      <c r="A40" s="46"/>
      <c r="B40" s="47" t="s">
        <v>1827</v>
      </c>
      <c r="C40" s="47">
        <v>2044</v>
      </c>
    </row>
    <row r="41" spans="1:3" x14ac:dyDescent="0.3">
      <c r="A41" s="46"/>
      <c r="B41" s="47" t="s">
        <v>1828</v>
      </c>
      <c r="C41" s="47">
        <v>2045</v>
      </c>
    </row>
    <row r="42" spans="1:3" x14ac:dyDescent="0.3">
      <c r="A42" s="46"/>
      <c r="B42" s="47" t="s">
        <v>1829</v>
      </c>
      <c r="C42" s="47">
        <v>2046</v>
      </c>
    </row>
    <row r="43" spans="1:3" x14ac:dyDescent="0.3">
      <c r="A43" s="46"/>
      <c r="B43" s="47" t="s">
        <v>1830</v>
      </c>
      <c r="C43" s="47">
        <v>2375</v>
      </c>
    </row>
    <row r="44" spans="1:3" x14ac:dyDescent="0.3">
      <c r="A44" s="44"/>
      <c r="B44" s="45" t="s">
        <v>1831</v>
      </c>
      <c r="C44" s="45">
        <v>2769</v>
      </c>
    </row>
    <row r="45" spans="1:3" x14ac:dyDescent="0.3">
      <c r="A45" s="46"/>
      <c r="B45" s="47" t="s">
        <v>1451</v>
      </c>
      <c r="C45" s="47">
        <v>2118</v>
      </c>
    </row>
    <row r="46" spans="1:3" x14ac:dyDescent="0.3">
      <c r="A46" s="46" t="s">
        <v>1832</v>
      </c>
      <c r="B46" s="47"/>
      <c r="C46" s="47"/>
    </row>
    <row r="47" spans="1:3" x14ac:dyDescent="0.3">
      <c r="A47" s="46"/>
      <c r="B47" s="47" t="s">
        <v>1819</v>
      </c>
      <c r="C47" s="47">
        <v>2128</v>
      </c>
    </row>
    <row r="48" spans="1:3" x14ac:dyDescent="0.3">
      <c r="A48" s="46"/>
      <c r="B48" s="47" t="s">
        <v>1820</v>
      </c>
      <c r="C48" s="47">
        <v>2127</v>
      </c>
    </row>
    <row r="49" spans="1:3" x14ac:dyDescent="0.3">
      <c r="A49" s="46"/>
      <c r="B49" s="47" t="s">
        <v>1821</v>
      </c>
      <c r="C49" s="47">
        <v>2122</v>
      </c>
    </row>
    <row r="50" spans="1:3" x14ac:dyDescent="0.3">
      <c r="A50" s="46"/>
      <c r="B50" s="47" t="s">
        <v>1822</v>
      </c>
      <c r="C50" s="47">
        <v>2123</v>
      </c>
    </row>
    <row r="51" spans="1:3" x14ac:dyDescent="0.3">
      <c r="A51" s="46"/>
      <c r="B51" s="47" t="s">
        <v>1823</v>
      </c>
      <c r="C51" s="47">
        <v>2124</v>
      </c>
    </row>
    <row r="52" spans="1:3" x14ac:dyDescent="0.3">
      <c r="A52" s="46"/>
      <c r="B52" s="47" t="s">
        <v>1824</v>
      </c>
      <c r="C52" s="47">
        <v>2376</v>
      </c>
    </row>
    <row r="53" spans="1:3" x14ac:dyDescent="0.3">
      <c r="A53" s="46"/>
      <c r="B53" s="47" t="s">
        <v>1825</v>
      </c>
      <c r="C53" s="47">
        <v>2121</v>
      </c>
    </row>
    <row r="54" spans="1:3" x14ac:dyDescent="0.3">
      <c r="A54" s="46"/>
      <c r="B54" s="47" t="s">
        <v>1799</v>
      </c>
      <c r="C54" s="47">
        <v>2338</v>
      </c>
    </row>
    <row r="55" spans="1:3" x14ac:dyDescent="0.3">
      <c r="A55" s="46"/>
      <c r="B55" s="47" t="s">
        <v>1826</v>
      </c>
      <c r="C55" s="47">
        <v>2125</v>
      </c>
    </row>
    <row r="56" spans="1:3" x14ac:dyDescent="0.3">
      <c r="A56" s="46"/>
      <c r="B56" s="47" t="s">
        <v>1827</v>
      </c>
      <c r="C56" s="47">
        <v>2126</v>
      </c>
    </row>
    <row r="57" spans="1:3" x14ac:dyDescent="0.3">
      <c r="A57" s="46"/>
      <c r="B57" s="47" t="s">
        <v>1828</v>
      </c>
      <c r="C57" s="47">
        <v>2120</v>
      </c>
    </row>
    <row r="58" spans="1:3" x14ac:dyDescent="0.3">
      <c r="A58" s="46"/>
      <c r="B58" s="47" t="s">
        <v>1829</v>
      </c>
      <c r="C58" s="47">
        <v>2119</v>
      </c>
    </row>
    <row r="59" spans="1:3" x14ac:dyDescent="0.3">
      <c r="A59" s="44"/>
      <c r="B59" s="45" t="s">
        <v>1830</v>
      </c>
      <c r="C59" s="45">
        <v>2377</v>
      </c>
    </row>
    <row r="60" spans="1:3" x14ac:dyDescent="0.3">
      <c r="A60" s="46"/>
      <c r="B60" s="47" t="s">
        <v>1451</v>
      </c>
      <c r="C60" s="47">
        <v>2129</v>
      </c>
    </row>
    <row r="61" spans="1:3" x14ac:dyDescent="0.3">
      <c r="A61" s="46" t="s">
        <v>1833</v>
      </c>
      <c r="B61" s="47"/>
      <c r="C61" s="47"/>
    </row>
    <row r="62" spans="1:3" x14ac:dyDescent="0.3">
      <c r="A62" s="46"/>
      <c r="B62" s="47" t="s">
        <v>1834</v>
      </c>
      <c r="C62" s="47">
        <v>2580</v>
      </c>
    </row>
    <row r="63" spans="1:3" x14ac:dyDescent="0.3">
      <c r="A63" s="46"/>
      <c r="B63" s="47" t="s">
        <v>1819</v>
      </c>
      <c r="C63" s="47">
        <v>2139</v>
      </c>
    </row>
    <row r="64" spans="1:3" x14ac:dyDescent="0.3">
      <c r="A64" s="46"/>
      <c r="B64" s="47" t="s">
        <v>1820</v>
      </c>
      <c r="C64" s="47">
        <v>2138</v>
      </c>
    </row>
    <row r="65" spans="1:3" x14ac:dyDescent="0.3">
      <c r="A65" s="46"/>
      <c r="B65" s="47" t="s">
        <v>1821</v>
      </c>
      <c r="C65" s="47">
        <v>2133</v>
      </c>
    </row>
    <row r="66" spans="1:3" x14ac:dyDescent="0.3">
      <c r="A66" s="46"/>
      <c r="B66" s="47" t="s">
        <v>1822</v>
      </c>
      <c r="C66" s="47">
        <v>2134</v>
      </c>
    </row>
    <row r="67" spans="1:3" x14ac:dyDescent="0.3">
      <c r="A67" s="46"/>
      <c r="B67" s="47" t="s">
        <v>1823</v>
      </c>
      <c r="C67" s="47">
        <v>2135</v>
      </c>
    </row>
    <row r="68" spans="1:3" x14ac:dyDescent="0.3">
      <c r="A68" s="46"/>
      <c r="B68" s="47" t="s">
        <v>1824</v>
      </c>
      <c r="C68" s="47">
        <v>2378</v>
      </c>
    </row>
    <row r="69" spans="1:3" x14ac:dyDescent="0.3">
      <c r="A69" s="46"/>
      <c r="B69" s="47" t="s">
        <v>1825</v>
      </c>
      <c r="C69" s="47">
        <v>2132</v>
      </c>
    </row>
    <row r="70" spans="1:3" x14ac:dyDescent="0.3">
      <c r="A70" s="46"/>
      <c r="B70" s="47" t="s">
        <v>1826</v>
      </c>
      <c r="C70" s="47">
        <v>2136</v>
      </c>
    </row>
    <row r="71" spans="1:3" x14ac:dyDescent="0.3">
      <c r="A71" s="46"/>
      <c r="B71" s="47" t="s">
        <v>1799</v>
      </c>
      <c r="C71" s="47">
        <v>2341</v>
      </c>
    </row>
    <row r="72" spans="1:3" x14ac:dyDescent="0.3">
      <c r="A72" s="46"/>
      <c r="B72" s="47" t="s">
        <v>1827</v>
      </c>
      <c r="C72" s="47">
        <v>2137</v>
      </c>
    </row>
    <row r="73" spans="1:3" x14ac:dyDescent="0.3">
      <c r="A73" s="46"/>
      <c r="B73" s="47" t="s">
        <v>1828</v>
      </c>
      <c r="C73" s="47">
        <v>2131</v>
      </c>
    </row>
    <row r="74" spans="1:3" x14ac:dyDescent="0.3">
      <c r="A74" s="46"/>
      <c r="B74" s="47" t="s">
        <v>1829</v>
      </c>
      <c r="C74" s="47">
        <v>2130</v>
      </c>
    </row>
    <row r="75" spans="1:3" x14ac:dyDescent="0.3">
      <c r="A75" s="44"/>
      <c r="B75" s="45" t="s">
        <v>1830</v>
      </c>
      <c r="C75" s="45">
        <v>2379</v>
      </c>
    </row>
    <row r="76" spans="1:3" x14ac:dyDescent="0.3">
      <c r="A76" s="46"/>
      <c r="B76" s="47" t="s">
        <v>1451</v>
      </c>
      <c r="C76" s="47">
        <v>2140</v>
      </c>
    </row>
    <row r="77" spans="1:3" x14ac:dyDescent="0.3">
      <c r="A77" s="46" t="s">
        <v>1835</v>
      </c>
      <c r="B77" s="47"/>
      <c r="C77" s="47"/>
    </row>
    <row r="78" spans="1:3" x14ac:dyDescent="0.3">
      <c r="A78" s="46"/>
      <c r="B78" s="47" t="s">
        <v>1836</v>
      </c>
      <c r="C78" s="47">
        <v>2581</v>
      </c>
    </row>
    <row r="79" spans="1:3" x14ac:dyDescent="0.3">
      <c r="A79" s="46"/>
      <c r="B79" s="47" t="s">
        <v>1819</v>
      </c>
      <c r="C79" s="47">
        <v>2249</v>
      </c>
    </row>
    <row r="80" spans="1:3" x14ac:dyDescent="0.3">
      <c r="A80" s="46"/>
      <c r="B80" s="47" t="s">
        <v>1820</v>
      </c>
      <c r="C80" s="47">
        <v>2248</v>
      </c>
    </row>
    <row r="81" spans="1:3" x14ac:dyDescent="0.3">
      <c r="A81" s="46"/>
      <c r="B81" s="47" t="s">
        <v>1821</v>
      </c>
      <c r="C81" s="47">
        <v>2243</v>
      </c>
    </row>
    <row r="82" spans="1:3" x14ac:dyDescent="0.3">
      <c r="A82" s="46"/>
      <c r="B82" s="47" t="s">
        <v>1822</v>
      </c>
      <c r="C82" s="47">
        <v>2244</v>
      </c>
    </row>
    <row r="83" spans="1:3" x14ac:dyDescent="0.3">
      <c r="A83" s="46"/>
      <c r="B83" s="47" t="s">
        <v>1823</v>
      </c>
      <c r="C83" s="47">
        <v>2245</v>
      </c>
    </row>
    <row r="84" spans="1:3" x14ac:dyDescent="0.3">
      <c r="A84" s="46"/>
      <c r="B84" s="47" t="s">
        <v>1825</v>
      </c>
      <c r="C84" s="47">
        <v>2242</v>
      </c>
    </row>
    <row r="85" spans="1:3" x14ac:dyDescent="0.3">
      <c r="A85" s="46"/>
      <c r="B85" s="47" t="s">
        <v>1824</v>
      </c>
      <c r="C85" s="47">
        <v>2390</v>
      </c>
    </row>
    <row r="86" spans="1:3" x14ac:dyDescent="0.3">
      <c r="A86" s="46"/>
      <c r="B86" s="47" t="s">
        <v>1826</v>
      </c>
      <c r="C86" s="47">
        <v>2246</v>
      </c>
    </row>
    <row r="87" spans="1:3" x14ac:dyDescent="0.3">
      <c r="A87" s="46"/>
      <c r="B87" s="47" t="s">
        <v>1799</v>
      </c>
      <c r="C87" s="47">
        <v>2359</v>
      </c>
    </row>
    <row r="88" spans="1:3" x14ac:dyDescent="0.3">
      <c r="A88" s="46"/>
      <c r="B88" s="47" t="s">
        <v>1827</v>
      </c>
      <c r="C88" s="47">
        <v>2247</v>
      </c>
    </row>
    <row r="89" spans="1:3" x14ac:dyDescent="0.3">
      <c r="A89" s="46"/>
      <c r="B89" s="47" t="s">
        <v>1828</v>
      </c>
      <c r="C89" s="47">
        <v>2241</v>
      </c>
    </row>
    <row r="90" spans="1:3" x14ac:dyDescent="0.3">
      <c r="A90" s="46"/>
      <c r="B90" s="47" t="s">
        <v>1829</v>
      </c>
      <c r="C90" s="47">
        <v>2240</v>
      </c>
    </row>
    <row r="91" spans="1:3" x14ac:dyDescent="0.3">
      <c r="A91" s="44"/>
      <c r="B91" s="45" t="s">
        <v>1830</v>
      </c>
      <c r="C91" s="45">
        <v>2391</v>
      </c>
    </row>
    <row r="92" spans="1:3" x14ac:dyDescent="0.3">
      <c r="A92" s="46"/>
      <c r="B92" s="47" t="s">
        <v>1451</v>
      </c>
      <c r="C92" s="47">
        <v>2250</v>
      </c>
    </row>
    <row r="93" spans="1:3" x14ac:dyDescent="0.3">
      <c r="A93" s="46" t="s">
        <v>1837</v>
      </c>
      <c r="B93" s="47"/>
      <c r="C93" s="47"/>
    </row>
    <row r="94" spans="1:3" x14ac:dyDescent="0.3">
      <c r="A94" s="46"/>
      <c r="B94" s="47" t="s">
        <v>1838</v>
      </c>
      <c r="C94" s="47">
        <v>2582</v>
      </c>
    </row>
    <row r="95" spans="1:3" x14ac:dyDescent="0.3">
      <c r="A95" s="46"/>
      <c r="B95" s="47" t="s">
        <v>1819</v>
      </c>
      <c r="C95" s="47">
        <v>2260</v>
      </c>
    </row>
    <row r="96" spans="1:3" x14ac:dyDescent="0.3">
      <c r="A96" s="46"/>
      <c r="B96" s="47" t="s">
        <v>1820</v>
      </c>
      <c r="C96" s="47">
        <v>2259</v>
      </c>
    </row>
    <row r="97" spans="1:3" x14ac:dyDescent="0.3">
      <c r="A97" s="46"/>
      <c r="B97" s="47" t="s">
        <v>1821</v>
      </c>
      <c r="C97" s="47">
        <v>2254</v>
      </c>
    </row>
    <row r="98" spans="1:3" x14ac:dyDescent="0.3">
      <c r="A98" s="46"/>
      <c r="B98" s="47" t="s">
        <v>1822</v>
      </c>
      <c r="C98" s="47">
        <v>2255</v>
      </c>
    </row>
    <row r="99" spans="1:3" x14ac:dyDescent="0.3">
      <c r="A99" s="46"/>
      <c r="B99" s="47" t="s">
        <v>1823</v>
      </c>
      <c r="C99" s="47">
        <v>2256</v>
      </c>
    </row>
    <row r="100" spans="1:3" x14ac:dyDescent="0.3">
      <c r="A100" s="46"/>
      <c r="B100" s="47" t="s">
        <v>1825</v>
      </c>
      <c r="C100" s="47">
        <v>2253</v>
      </c>
    </row>
    <row r="101" spans="1:3" x14ac:dyDescent="0.3">
      <c r="A101" s="46"/>
      <c r="B101" s="47" t="s">
        <v>1824</v>
      </c>
      <c r="C101" s="47">
        <v>2392</v>
      </c>
    </row>
    <row r="102" spans="1:3" x14ac:dyDescent="0.3">
      <c r="A102" s="46"/>
      <c r="B102" s="47" t="s">
        <v>1826</v>
      </c>
      <c r="C102" s="47">
        <v>2257</v>
      </c>
    </row>
    <row r="103" spans="1:3" x14ac:dyDescent="0.3">
      <c r="A103" s="46"/>
      <c r="B103" s="47" t="s">
        <v>1799</v>
      </c>
      <c r="C103" s="47">
        <v>2362</v>
      </c>
    </row>
    <row r="104" spans="1:3" x14ac:dyDescent="0.3">
      <c r="A104" s="46"/>
      <c r="B104" s="47" t="s">
        <v>1827</v>
      </c>
      <c r="C104" s="47">
        <v>2258</v>
      </c>
    </row>
    <row r="105" spans="1:3" x14ac:dyDescent="0.3">
      <c r="A105" s="46"/>
      <c r="B105" s="47" t="s">
        <v>1828</v>
      </c>
      <c r="C105" s="47">
        <v>2252</v>
      </c>
    </row>
    <row r="106" spans="1:3" x14ac:dyDescent="0.3">
      <c r="A106" s="46"/>
      <c r="B106" s="47" t="s">
        <v>1829</v>
      </c>
      <c r="C106" s="47">
        <v>2251</v>
      </c>
    </row>
    <row r="107" spans="1:3" x14ac:dyDescent="0.3">
      <c r="A107" s="44"/>
      <c r="B107" s="45" t="s">
        <v>1830</v>
      </c>
      <c r="C107" s="45">
        <v>2393</v>
      </c>
    </row>
    <row r="108" spans="1:3" x14ac:dyDescent="0.3">
      <c r="A108" s="46"/>
      <c r="B108" s="47" t="s">
        <v>1451</v>
      </c>
      <c r="C108" s="47">
        <v>2261</v>
      </c>
    </row>
    <row r="109" spans="1:3" x14ac:dyDescent="0.3">
      <c r="A109" s="46" t="s">
        <v>1839</v>
      </c>
      <c r="B109" s="47"/>
      <c r="C109" s="47"/>
    </row>
    <row r="110" spans="1:3" x14ac:dyDescent="0.3">
      <c r="A110" s="46"/>
      <c r="B110" s="47" t="s">
        <v>1840</v>
      </c>
      <c r="C110" s="47">
        <v>2817</v>
      </c>
    </row>
    <row r="111" spans="1:3" x14ac:dyDescent="0.3">
      <c r="A111" s="46"/>
      <c r="B111" s="47" t="s">
        <v>1819</v>
      </c>
      <c r="C111" s="47">
        <v>2824</v>
      </c>
    </row>
    <row r="112" spans="1:3" x14ac:dyDescent="0.3">
      <c r="A112" s="46"/>
      <c r="B112" s="47" t="s">
        <v>1820</v>
      </c>
      <c r="C112" s="47">
        <v>2825</v>
      </c>
    </row>
    <row r="113" spans="1:3" x14ac:dyDescent="0.3">
      <c r="A113" s="46"/>
      <c r="B113" s="47" t="s">
        <v>1821</v>
      </c>
      <c r="C113" s="47">
        <v>2819</v>
      </c>
    </row>
    <row r="114" spans="1:3" x14ac:dyDescent="0.3">
      <c r="A114" s="46"/>
      <c r="B114" s="47" t="s">
        <v>1822</v>
      </c>
      <c r="C114" s="47">
        <v>2818</v>
      </c>
    </row>
    <row r="115" spans="1:3" x14ac:dyDescent="0.3">
      <c r="A115" s="46"/>
      <c r="B115" s="47" t="s">
        <v>1823</v>
      </c>
      <c r="C115" s="47">
        <v>2828</v>
      </c>
    </row>
    <row r="116" spans="1:3" x14ac:dyDescent="0.3">
      <c r="A116" s="46"/>
      <c r="B116" s="47" t="s">
        <v>1824</v>
      </c>
      <c r="C116" s="47">
        <v>2830</v>
      </c>
    </row>
    <row r="117" spans="1:3" x14ac:dyDescent="0.3">
      <c r="A117" s="46"/>
      <c r="B117" s="47" t="s">
        <v>1825</v>
      </c>
      <c r="C117" s="47">
        <v>2820</v>
      </c>
    </row>
    <row r="118" spans="1:3" x14ac:dyDescent="0.3">
      <c r="A118" s="46"/>
      <c r="B118" s="47" t="s">
        <v>1799</v>
      </c>
      <c r="C118" s="47">
        <v>2829</v>
      </c>
    </row>
    <row r="119" spans="1:3" x14ac:dyDescent="0.3">
      <c r="A119" s="46"/>
      <c r="B119" s="47" t="s">
        <v>1826</v>
      </c>
      <c r="C119" s="47">
        <v>2827</v>
      </c>
    </row>
    <row r="120" spans="1:3" x14ac:dyDescent="0.3">
      <c r="A120" s="46"/>
      <c r="B120" s="47" t="s">
        <v>1827</v>
      </c>
      <c r="C120" s="47">
        <v>2826</v>
      </c>
    </row>
    <row r="121" spans="1:3" x14ac:dyDescent="0.3">
      <c r="A121" s="46"/>
      <c r="B121" s="47" t="s">
        <v>1828</v>
      </c>
      <c r="C121" s="47">
        <v>2821</v>
      </c>
    </row>
    <row r="122" spans="1:3" x14ac:dyDescent="0.3">
      <c r="A122" s="46"/>
      <c r="B122" s="47" t="s">
        <v>1829</v>
      </c>
      <c r="C122" s="47">
        <v>2822</v>
      </c>
    </row>
    <row r="123" spans="1:3" x14ac:dyDescent="0.3">
      <c r="A123" s="44"/>
      <c r="B123" s="45" t="s">
        <v>1830</v>
      </c>
      <c r="C123" s="45">
        <v>2831</v>
      </c>
    </row>
    <row r="124" spans="1:3" x14ac:dyDescent="0.3">
      <c r="A124" s="46"/>
      <c r="B124" s="47" t="s">
        <v>1451</v>
      </c>
      <c r="C124" s="47">
        <v>2823</v>
      </c>
    </row>
    <row r="125" spans="1:3" x14ac:dyDescent="0.3">
      <c r="A125" s="46" t="s">
        <v>1841</v>
      </c>
      <c r="B125" s="47"/>
      <c r="C125" s="47"/>
    </row>
    <row r="126" spans="1:3" x14ac:dyDescent="0.3">
      <c r="A126" s="46"/>
      <c r="B126" s="47" t="s">
        <v>1842</v>
      </c>
      <c r="C126" s="47">
        <v>2583</v>
      </c>
    </row>
    <row r="127" spans="1:3" x14ac:dyDescent="0.3">
      <c r="A127" s="46"/>
      <c r="B127" s="47" t="s">
        <v>1819</v>
      </c>
      <c r="C127" s="47">
        <v>2282</v>
      </c>
    </row>
    <row r="128" spans="1:3" x14ac:dyDescent="0.3">
      <c r="A128" s="46"/>
      <c r="B128" s="47" t="s">
        <v>1820</v>
      </c>
      <c r="C128" s="47">
        <v>2281</v>
      </c>
    </row>
    <row r="129" spans="1:3" x14ac:dyDescent="0.3">
      <c r="A129" s="46"/>
      <c r="B129" s="47" t="s">
        <v>1821</v>
      </c>
      <c r="C129" s="47">
        <v>2276</v>
      </c>
    </row>
    <row r="130" spans="1:3" x14ac:dyDescent="0.3">
      <c r="A130" s="46"/>
      <c r="B130" s="47" t="s">
        <v>1822</v>
      </c>
      <c r="C130" s="47">
        <v>2277</v>
      </c>
    </row>
    <row r="131" spans="1:3" x14ac:dyDescent="0.3">
      <c r="A131" s="46"/>
      <c r="B131" s="47" t="s">
        <v>1823</v>
      </c>
      <c r="C131" s="47">
        <v>2278</v>
      </c>
    </row>
    <row r="132" spans="1:3" x14ac:dyDescent="0.3">
      <c r="A132" s="46"/>
      <c r="B132" s="47" t="s">
        <v>1825</v>
      </c>
      <c r="C132" s="47">
        <v>2275</v>
      </c>
    </row>
    <row r="133" spans="1:3" x14ac:dyDescent="0.3">
      <c r="A133" s="46"/>
      <c r="B133" s="47" t="s">
        <v>1824</v>
      </c>
      <c r="C133" s="47">
        <v>2396</v>
      </c>
    </row>
    <row r="134" spans="1:3" x14ac:dyDescent="0.3">
      <c r="A134" s="46"/>
      <c r="B134" s="47" t="s">
        <v>1799</v>
      </c>
      <c r="C134" s="47">
        <v>2368</v>
      </c>
    </row>
    <row r="135" spans="1:3" x14ac:dyDescent="0.3">
      <c r="A135" s="46"/>
      <c r="B135" s="47" t="s">
        <v>1826</v>
      </c>
      <c r="C135" s="47">
        <v>2279</v>
      </c>
    </row>
    <row r="136" spans="1:3" x14ac:dyDescent="0.3">
      <c r="A136" s="46"/>
      <c r="B136" s="47" t="s">
        <v>1827</v>
      </c>
      <c r="C136" s="47">
        <v>2280</v>
      </c>
    </row>
    <row r="137" spans="1:3" x14ac:dyDescent="0.3">
      <c r="A137" s="46"/>
      <c r="B137" s="47" t="s">
        <v>1828</v>
      </c>
      <c r="C137" s="47">
        <v>2274</v>
      </c>
    </row>
    <row r="138" spans="1:3" x14ac:dyDescent="0.3">
      <c r="A138" s="46"/>
      <c r="B138" s="47" t="s">
        <v>1829</v>
      </c>
      <c r="C138" s="47">
        <v>2273</v>
      </c>
    </row>
    <row r="139" spans="1:3" x14ac:dyDescent="0.3">
      <c r="A139" s="44"/>
      <c r="B139" s="45" t="s">
        <v>1830</v>
      </c>
      <c r="C139" s="45">
        <v>2397</v>
      </c>
    </row>
    <row r="140" spans="1:3" x14ac:dyDescent="0.3">
      <c r="A140" s="46"/>
      <c r="B140" s="47" t="s">
        <v>1451</v>
      </c>
      <c r="C140" s="47">
        <v>2283</v>
      </c>
    </row>
    <row r="141" spans="1:3" x14ac:dyDescent="0.3">
      <c r="A141" s="46" t="s">
        <v>1843</v>
      </c>
      <c r="B141" s="47"/>
      <c r="C141" s="47"/>
    </row>
    <row r="142" spans="1:3" x14ac:dyDescent="0.3">
      <c r="A142" s="46"/>
      <c r="B142" s="47" t="s">
        <v>1844</v>
      </c>
      <c r="C142" s="47">
        <v>2759</v>
      </c>
    </row>
    <row r="143" spans="1:3" x14ac:dyDescent="0.3">
      <c r="A143" s="46"/>
      <c r="B143" s="47" t="s">
        <v>1819</v>
      </c>
      <c r="C143" s="47">
        <v>2755</v>
      </c>
    </row>
    <row r="144" spans="1:3" x14ac:dyDescent="0.3">
      <c r="A144" s="46"/>
      <c r="B144" s="47" t="s">
        <v>1820</v>
      </c>
      <c r="C144" s="47">
        <v>2754</v>
      </c>
    </row>
    <row r="145" spans="1:3" x14ac:dyDescent="0.3">
      <c r="A145" s="46"/>
      <c r="B145" s="47" t="s">
        <v>1821</v>
      </c>
      <c r="C145" s="47">
        <v>2749</v>
      </c>
    </row>
    <row r="146" spans="1:3" x14ac:dyDescent="0.3">
      <c r="A146" s="46"/>
      <c r="B146" s="47" t="s">
        <v>1822</v>
      </c>
      <c r="C146" s="47">
        <v>2750</v>
      </c>
    </row>
    <row r="147" spans="1:3" x14ac:dyDescent="0.3">
      <c r="A147" s="46"/>
      <c r="B147" s="47" t="s">
        <v>1823</v>
      </c>
      <c r="C147" s="47">
        <v>2751</v>
      </c>
    </row>
    <row r="148" spans="1:3" x14ac:dyDescent="0.3">
      <c r="A148" s="46"/>
      <c r="B148" s="47" t="s">
        <v>1824</v>
      </c>
      <c r="C148" s="47">
        <v>2757</v>
      </c>
    </row>
    <row r="149" spans="1:3" x14ac:dyDescent="0.3">
      <c r="A149" s="46"/>
      <c r="B149" s="47" t="s">
        <v>1825</v>
      </c>
      <c r="C149" s="47">
        <v>2748</v>
      </c>
    </row>
    <row r="150" spans="1:3" x14ac:dyDescent="0.3">
      <c r="A150" s="46"/>
      <c r="B150" s="47" t="s">
        <v>1799</v>
      </c>
      <c r="C150" s="47">
        <v>2745</v>
      </c>
    </row>
    <row r="151" spans="1:3" x14ac:dyDescent="0.3">
      <c r="A151" s="46"/>
      <c r="B151" s="47" t="s">
        <v>1826</v>
      </c>
      <c r="C151" s="47">
        <v>2752</v>
      </c>
    </row>
    <row r="152" spans="1:3" x14ac:dyDescent="0.3">
      <c r="A152" s="46"/>
      <c r="B152" s="47" t="s">
        <v>1827</v>
      </c>
      <c r="C152" s="47">
        <v>2753</v>
      </c>
    </row>
    <row r="153" spans="1:3" x14ac:dyDescent="0.3">
      <c r="A153" s="46"/>
      <c r="B153" s="47" t="s">
        <v>1828</v>
      </c>
      <c r="C153" s="47">
        <v>2747</v>
      </c>
    </row>
    <row r="154" spans="1:3" x14ac:dyDescent="0.3">
      <c r="A154" s="46"/>
      <c r="B154" s="47" t="s">
        <v>1829</v>
      </c>
      <c r="C154" s="47">
        <v>2746</v>
      </c>
    </row>
    <row r="155" spans="1:3" x14ac:dyDescent="0.3">
      <c r="A155" s="44"/>
      <c r="B155" s="45" t="s">
        <v>1830</v>
      </c>
      <c r="C155" s="45">
        <v>2758</v>
      </c>
    </row>
    <row r="156" spans="1:3" x14ac:dyDescent="0.3">
      <c r="A156" s="46"/>
      <c r="B156" s="47" t="s">
        <v>1451</v>
      </c>
      <c r="C156" s="47">
        <v>2756</v>
      </c>
    </row>
    <row r="157" spans="1:3" x14ac:dyDescent="0.3">
      <c r="A157" s="46" t="s">
        <v>1845</v>
      </c>
      <c r="B157" s="47"/>
      <c r="C157" s="47"/>
    </row>
    <row r="158" spans="1:3" x14ac:dyDescent="0.3">
      <c r="A158" s="46"/>
      <c r="B158" s="47" t="s">
        <v>1846</v>
      </c>
      <c r="C158" s="47">
        <v>2584</v>
      </c>
    </row>
    <row r="159" spans="1:3" x14ac:dyDescent="0.3">
      <c r="A159" s="46"/>
      <c r="B159" s="47" t="s">
        <v>1819</v>
      </c>
      <c r="C159" s="47">
        <v>2172</v>
      </c>
    </row>
    <row r="160" spans="1:3" x14ac:dyDescent="0.3">
      <c r="A160" s="46"/>
      <c r="B160" s="47" t="s">
        <v>1820</v>
      </c>
      <c r="C160" s="47">
        <v>2171</v>
      </c>
    </row>
    <row r="161" spans="1:3" x14ac:dyDescent="0.3">
      <c r="A161" s="46"/>
      <c r="B161" s="47" t="s">
        <v>1821</v>
      </c>
      <c r="C161" s="47">
        <v>2166</v>
      </c>
    </row>
    <row r="162" spans="1:3" x14ac:dyDescent="0.3">
      <c r="A162" s="46"/>
      <c r="B162" s="47" t="s">
        <v>1822</v>
      </c>
      <c r="C162" s="47">
        <v>2167</v>
      </c>
    </row>
    <row r="163" spans="1:3" x14ac:dyDescent="0.3">
      <c r="A163" s="46"/>
      <c r="B163" s="47" t="s">
        <v>1823</v>
      </c>
      <c r="C163" s="47">
        <v>2168</v>
      </c>
    </row>
    <row r="164" spans="1:3" x14ac:dyDescent="0.3">
      <c r="A164" s="46"/>
      <c r="B164" s="47" t="s">
        <v>1824</v>
      </c>
      <c r="C164" s="47">
        <v>2384</v>
      </c>
    </row>
    <row r="165" spans="1:3" x14ac:dyDescent="0.3">
      <c r="A165" s="46"/>
      <c r="B165" s="47" t="s">
        <v>1825</v>
      </c>
      <c r="C165" s="47">
        <v>2165</v>
      </c>
    </row>
    <row r="166" spans="1:3" x14ac:dyDescent="0.3">
      <c r="A166" s="46"/>
      <c r="B166" s="47" t="s">
        <v>1826</v>
      </c>
      <c r="C166" s="47">
        <v>2169</v>
      </c>
    </row>
    <row r="167" spans="1:3" x14ac:dyDescent="0.3">
      <c r="A167" s="46"/>
      <c r="B167" s="47" t="s">
        <v>1799</v>
      </c>
      <c r="C167" s="47">
        <v>2350</v>
      </c>
    </row>
    <row r="168" spans="1:3" x14ac:dyDescent="0.3">
      <c r="A168" s="46"/>
      <c r="B168" s="47" t="s">
        <v>1827</v>
      </c>
      <c r="C168" s="47">
        <v>2170</v>
      </c>
    </row>
    <row r="169" spans="1:3" x14ac:dyDescent="0.3">
      <c r="A169" s="46"/>
      <c r="B169" s="47" t="s">
        <v>1828</v>
      </c>
      <c r="C169" s="47">
        <v>2164</v>
      </c>
    </row>
    <row r="170" spans="1:3" x14ac:dyDescent="0.3">
      <c r="A170" s="46"/>
      <c r="B170" s="47" t="s">
        <v>1829</v>
      </c>
      <c r="C170" s="47">
        <v>2163</v>
      </c>
    </row>
    <row r="171" spans="1:3" x14ac:dyDescent="0.3">
      <c r="A171" s="44"/>
      <c r="B171" s="45" t="s">
        <v>1830</v>
      </c>
      <c r="C171" s="45">
        <v>2385</v>
      </c>
    </row>
    <row r="172" spans="1:3" x14ac:dyDescent="0.3">
      <c r="A172" s="46"/>
      <c r="B172" s="47" t="s">
        <v>1451</v>
      </c>
      <c r="C172" s="47">
        <v>2173</v>
      </c>
    </row>
    <row r="173" spans="1:3" x14ac:dyDescent="0.3">
      <c r="A173" s="46" t="s">
        <v>1847</v>
      </c>
      <c r="B173" s="47"/>
      <c r="C173" s="47"/>
    </row>
    <row r="174" spans="1:3" x14ac:dyDescent="0.3">
      <c r="A174" s="46"/>
      <c r="B174" s="47" t="s">
        <v>1848</v>
      </c>
      <c r="C174" s="47">
        <v>2605</v>
      </c>
    </row>
    <row r="175" spans="1:3" x14ac:dyDescent="0.3">
      <c r="A175" s="46"/>
      <c r="B175" s="47" t="s">
        <v>1820</v>
      </c>
      <c r="C175" s="47">
        <v>2607</v>
      </c>
    </row>
    <row r="176" spans="1:3" x14ac:dyDescent="0.3">
      <c r="A176" s="46"/>
      <c r="B176" s="47" t="s">
        <v>1819</v>
      </c>
      <c r="C176" s="47">
        <v>2606</v>
      </c>
    </row>
    <row r="177" spans="1:3" x14ac:dyDescent="0.3">
      <c r="A177" s="46"/>
      <c r="B177" s="47" t="s">
        <v>1821</v>
      </c>
      <c r="C177" s="47">
        <v>2608</v>
      </c>
    </row>
    <row r="178" spans="1:3" x14ac:dyDescent="0.3">
      <c r="A178" s="46"/>
      <c r="B178" s="47" t="s">
        <v>1822</v>
      </c>
      <c r="C178" s="47">
        <v>2609</v>
      </c>
    </row>
    <row r="179" spans="1:3" x14ac:dyDescent="0.3">
      <c r="A179" s="46"/>
      <c r="B179" s="47" t="s">
        <v>1823</v>
      </c>
      <c r="C179" s="47">
        <v>2610</v>
      </c>
    </row>
    <row r="180" spans="1:3" x14ac:dyDescent="0.3">
      <c r="A180" s="46"/>
      <c r="B180" s="47" t="s">
        <v>1824</v>
      </c>
      <c r="C180" s="47">
        <v>2611</v>
      </c>
    </row>
    <row r="181" spans="1:3" x14ac:dyDescent="0.3">
      <c r="A181" s="46"/>
      <c r="B181" s="47" t="s">
        <v>1825</v>
      </c>
      <c r="C181" s="47">
        <v>2612</v>
      </c>
    </row>
    <row r="182" spans="1:3" x14ac:dyDescent="0.3">
      <c r="A182" s="46"/>
      <c r="B182" s="47" t="s">
        <v>1799</v>
      </c>
      <c r="C182" s="47">
        <v>2614</v>
      </c>
    </row>
    <row r="183" spans="1:3" x14ac:dyDescent="0.3">
      <c r="A183" s="46"/>
      <c r="B183" s="47" t="s">
        <v>1826</v>
      </c>
      <c r="C183" s="47">
        <v>2613</v>
      </c>
    </row>
    <row r="184" spans="1:3" x14ac:dyDescent="0.3">
      <c r="A184" s="46"/>
      <c r="B184" s="47" t="s">
        <v>1827</v>
      </c>
      <c r="C184" s="47">
        <v>2615</v>
      </c>
    </row>
    <row r="185" spans="1:3" x14ac:dyDescent="0.3">
      <c r="A185" s="46"/>
      <c r="B185" s="47" t="s">
        <v>1828</v>
      </c>
      <c r="C185" s="47">
        <v>2616</v>
      </c>
    </row>
    <row r="186" spans="1:3" x14ac:dyDescent="0.3">
      <c r="A186" s="46"/>
      <c r="B186" s="47" t="s">
        <v>1829</v>
      </c>
      <c r="C186" s="47">
        <v>2617</v>
      </c>
    </row>
    <row r="187" spans="1:3" x14ac:dyDescent="0.3">
      <c r="A187" s="44"/>
      <c r="B187" s="45" t="s">
        <v>1830</v>
      </c>
      <c r="C187" s="45">
        <v>2618</v>
      </c>
    </row>
    <row r="188" spans="1:3" x14ac:dyDescent="0.3">
      <c r="A188" s="46"/>
      <c r="B188" s="47" t="s">
        <v>1451</v>
      </c>
      <c r="C188" s="47">
        <v>2619</v>
      </c>
    </row>
    <row r="189" spans="1:3" x14ac:dyDescent="0.3">
      <c r="A189" s="46" t="s">
        <v>1849</v>
      </c>
      <c r="B189" s="47"/>
      <c r="C189" s="47"/>
    </row>
    <row r="190" spans="1:3" ht="27" x14ac:dyDescent="0.3">
      <c r="A190" s="46"/>
      <c r="B190" s="47" t="s">
        <v>1850</v>
      </c>
      <c r="C190" s="47">
        <v>2586</v>
      </c>
    </row>
    <row r="191" spans="1:3" x14ac:dyDescent="0.3">
      <c r="A191" s="46"/>
      <c r="B191" s="47" t="s">
        <v>1819</v>
      </c>
      <c r="C191" s="47">
        <v>2271</v>
      </c>
    </row>
    <row r="192" spans="1:3" x14ac:dyDescent="0.3">
      <c r="A192" s="46"/>
      <c r="B192" s="47" t="s">
        <v>1820</v>
      </c>
      <c r="C192" s="47">
        <v>2270</v>
      </c>
    </row>
    <row r="193" spans="1:3" x14ac:dyDescent="0.3">
      <c r="A193" s="46"/>
      <c r="B193" s="47" t="s">
        <v>1821</v>
      </c>
      <c r="C193" s="47">
        <v>2265</v>
      </c>
    </row>
    <row r="194" spans="1:3" x14ac:dyDescent="0.3">
      <c r="A194" s="46"/>
      <c r="B194" s="47" t="s">
        <v>1822</v>
      </c>
      <c r="C194" s="47">
        <v>2266</v>
      </c>
    </row>
    <row r="195" spans="1:3" x14ac:dyDescent="0.3">
      <c r="A195" s="46"/>
      <c r="B195" s="47" t="s">
        <v>1823</v>
      </c>
      <c r="C195" s="47">
        <v>2267</v>
      </c>
    </row>
    <row r="196" spans="1:3" x14ac:dyDescent="0.3">
      <c r="A196" s="46"/>
      <c r="B196" s="47" t="s">
        <v>1825</v>
      </c>
      <c r="C196" s="47">
        <v>2264</v>
      </c>
    </row>
    <row r="197" spans="1:3" x14ac:dyDescent="0.3">
      <c r="A197" s="46"/>
      <c r="B197" s="47" t="s">
        <v>1824</v>
      </c>
      <c r="C197" s="47">
        <v>2394</v>
      </c>
    </row>
    <row r="198" spans="1:3" x14ac:dyDescent="0.3">
      <c r="A198" s="46"/>
      <c r="B198" s="47" t="s">
        <v>1826</v>
      </c>
      <c r="C198" s="47">
        <v>2268</v>
      </c>
    </row>
    <row r="199" spans="1:3" x14ac:dyDescent="0.3">
      <c r="A199" s="46"/>
      <c r="B199" s="47" t="s">
        <v>1799</v>
      </c>
      <c r="C199" s="47">
        <v>2365</v>
      </c>
    </row>
    <row r="200" spans="1:3" x14ac:dyDescent="0.3">
      <c r="A200" s="46"/>
      <c r="B200" s="47" t="s">
        <v>1827</v>
      </c>
      <c r="C200" s="47">
        <v>2269</v>
      </c>
    </row>
    <row r="201" spans="1:3" x14ac:dyDescent="0.3">
      <c r="A201" s="46"/>
      <c r="B201" s="47" t="s">
        <v>1828</v>
      </c>
      <c r="C201" s="47">
        <v>2263</v>
      </c>
    </row>
    <row r="202" spans="1:3" x14ac:dyDescent="0.3">
      <c r="A202" s="46"/>
      <c r="B202" s="47" t="s">
        <v>1829</v>
      </c>
      <c r="C202" s="47">
        <v>2262</v>
      </c>
    </row>
    <row r="203" spans="1:3" x14ac:dyDescent="0.3">
      <c r="A203" s="44"/>
      <c r="B203" s="45" t="s">
        <v>1830</v>
      </c>
      <c r="C203" s="45">
        <v>2395</v>
      </c>
    </row>
    <row r="204" spans="1:3" x14ac:dyDescent="0.3">
      <c r="A204" s="46"/>
      <c r="B204" s="47" t="s">
        <v>1451</v>
      </c>
      <c r="C204" s="47">
        <v>2272</v>
      </c>
    </row>
    <row r="205" spans="1:3" x14ac:dyDescent="0.3">
      <c r="A205" s="46" t="s">
        <v>1851</v>
      </c>
      <c r="B205" s="47"/>
      <c r="C205" s="47"/>
    </row>
    <row r="206" spans="1:3" x14ac:dyDescent="0.3">
      <c r="A206" s="46"/>
      <c r="B206" s="47" t="s">
        <v>1852</v>
      </c>
      <c r="C206" s="47">
        <v>2587</v>
      </c>
    </row>
    <row r="207" spans="1:3" x14ac:dyDescent="0.3">
      <c r="A207" s="46"/>
      <c r="B207" s="47" t="s">
        <v>1819</v>
      </c>
      <c r="C207" s="47">
        <v>2194</v>
      </c>
    </row>
    <row r="208" spans="1:3" x14ac:dyDescent="0.3">
      <c r="A208" s="46"/>
      <c r="B208" s="47" t="s">
        <v>1820</v>
      </c>
      <c r="C208" s="47">
        <v>2193</v>
      </c>
    </row>
    <row r="209" spans="1:3" x14ac:dyDescent="0.3">
      <c r="A209" s="46"/>
      <c r="B209" s="47" t="s">
        <v>1821</v>
      </c>
      <c r="C209" s="47">
        <v>2188</v>
      </c>
    </row>
    <row r="210" spans="1:3" x14ac:dyDescent="0.3">
      <c r="A210" s="46"/>
      <c r="B210" s="47" t="s">
        <v>1822</v>
      </c>
      <c r="C210" s="47">
        <v>2189</v>
      </c>
    </row>
    <row r="211" spans="1:3" x14ac:dyDescent="0.3">
      <c r="A211" s="46"/>
      <c r="B211" s="47" t="s">
        <v>1823</v>
      </c>
      <c r="C211" s="47">
        <v>2190</v>
      </c>
    </row>
    <row r="212" spans="1:3" x14ac:dyDescent="0.3">
      <c r="A212" s="46"/>
      <c r="B212" s="47" t="s">
        <v>1825</v>
      </c>
      <c r="C212" s="47">
        <v>2187</v>
      </c>
    </row>
    <row r="213" spans="1:3" x14ac:dyDescent="0.3">
      <c r="A213" s="46"/>
      <c r="B213" s="47" t="s">
        <v>1824</v>
      </c>
      <c r="C213" s="47">
        <v>2388</v>
      </c>
    </row>
    <row r="214" spans="1:3" x14ac:dyDescent="0.3">
      <c r="A214" s="46"/>
      <c r="B214" s="47" t="s">
        <v>1826</v>
      </c>
      <c r="C214" s="47">
        <v>2191</v>
      </c>
    </row>
    <row r="215" spans="1:3" x14ac:dyDescent="0.3">
      <c r="A215" s="46"/>
      <c r="B215" s="47" t="s">
        <v>1799</v>
      </c>
      <c r="C215" s="47">
        <v>2356</v>
      </c>
    </row>
    <row r="216" spans="1:3" x14ac:dyDescent="0.3">
      <c r="A216" s="46"/>
      <c r="B216" s="47" t="s">
        <v>1827</v>
      </c>
      <c r="C216" s="47">
        <v>2192</v>
      </c>
    </row>
    <row r="217" spans="1:3" x14ac:dyDescent="0.3">
      <c r="A217" s="46"/>
      <c r="B217" s="47" t="s">
        <v>1828</v>
      </c>
      <c r="C217" s="47">
        <v>2186</v>
      </c>
    </row>
    <row r="218" spans="1:3" x14ac:dyDescent="0.3">
      <c r="A218" s="46"/>
      <c r="B218" s="47" t="s">
        <v>1829</v>
      </c>
      <c r="C218" s="47">
        <v>2185</v>
      </c>
    </row>
    <row r="219" spans="1:3" x14ac:dyDescent="0.3">
      <c r="A219" s="44"/>
      <c r="B219" s="45" t="s">
        <v>1830</v>
      </c>
      <c r="C219" s="45">
        <v>2389</v>
      </c>
    </row>
    <row r="220" spans="1:3" x14ac:dyDescent="0.3">
      <c r="A220" s="46"/>
      <c r="B220" s="47" t="s">
        <v>1451</v>
      </c>
      <c r="C220" s="47">
        <v>2195</v>
      </c>
    </row>
    <row r="221" spans="1:3" x14ac:dyDescent="0.3">
      <c r="A221" s="46" t="s">
        <v>1853</v>
      </c>
      <c r="B221" s="47"/>
      <c r="C221" s="47"/>
    </row>
    <row r="222" spans="1:3" x14ac:dyDescent="0.3">
      <c r="A222" s="46"/>
      <c r="B222" s="47" t="s">
        <v>1854</v>
      </c>
      <c r="C222" s="47">
        <v>2585</v>
      </c>
    </row>
    <row r="223" spans="1:3" x14ac:dyDescent="0.3">
      <c r="A223" s="46"/>
      <c r="B223" s="47" t="s">
        <v>1819</v>
      </c>
      <c r="C223" s="47">
        <v>2183</v>
      </c>
    </row>
    <row r="224" spans="1:3" x14ac:dyDescent="0.3">
      <c r="A224" s="46"/>
      <c r="B224" s="47" t="s">
        <v>1820</v>
      </c>
      <c r="C224" s="47">
        <v>2182</v>
      </c>
    </row>
    <row r="225" spans="1:3" x14ac:dyDescent="0.3">
      <c r="A225" s="46"/>
      <c r="B225" s="47" t="s">
        <v>1821</v>
      </c>
      <c r="C225" s="47">
        <v>2177</v>
      </c>
    </row>
    <row r="226" spans="1:3" x14ac:dyDescent="0.3">
      <c r="A226" s="46"/>
      <c r="B226" s="47" t="s">
        <v>1822</v>
      </c>
      <c r="C226" s="47">
        <v>2178</v>
      </c>
    </row>
    <row r="227" spans="1:3" x14ac:dyDescent="0.3">
      <c r="A227" s="46"/>
      <c r="B227" s="47" t="s">
        <v>1823</v>
      </c>
      <c r="C227" s="47">
        <v>2179</v>
      </c>
    </row>
    <row r="228" spans="1:3" x14ac:dyDescent="0.3">
      <c r="A228" s="46"/>
      <c r="B228" s="47" t="s">
        <v>1825</v>
      </c>
      <c r="C228" s="47">
        <v>2176</v>
      </c>
    </row>
    <row r="229" spans="1:3" x14ac:dyDescent="0.3">
      <c r="A229" s="46"/>
      <c r="B229" s="47" t="s">
        <v>1824</v>
      </c>
      <c r="C229" s="47">
        <v>2386</v>
      </c>
    </row>
    <row r="230" spans="1:3" x14ac:dyDescent="0.3">
      <c r="A230" s="46"/>
      <c r="B230" s="47" t="s">
        <v>1826</v>
      </c>
      <c r="C230" s="47">
        <v>2180</v>
      </c>
    </row>
    <row r="231" spans="1:3" x14ac:dyDescent="0.3">
      <c r="A231" s="46"/>
      <c r="B231" s="47" t="s">
        <v>1799</v>
      </c>
      <c r="C231" s="47">
        <v>2353</v>
      </c>
    </row>
    <row r="232" spans="1:3" x14ac:dyDescent="0.3">
      <c r="A232" s="46"/>
      <c r="B232" s="47" t="s">
        <v>1827</v>
      </c>
      <c r="C232" s="47">
        <v>2181</v>
      </c>
    </row>
    <row r="233" spans="1:3" x14ac:dyDescent="0.3">
      <c r="A233" s="46"/>
      <c r="B233" s="47" t="s">
        <v>1828</v>
      </c>
      <c r="C233" s="47">
        <v>2175</v>
      </c>
    </row>
    <row r="234" spans="1:3" x14ac:dyDescent="0.3">
      <c r="A234" s="46"/>
      <c r="B234" s="47" t="s">
        <v>1829</v>
      </c>
      <c r="C234" s="47">
        <v>2174</v>
      </c>
    </row>
    <row r="235" spans="1:3" x14ac:dyDescent="0.3">
      <c r="A235" s="44"/>
      <c r="B235" s="45" t="s">
        <v>1451</v>
      </c>
      <c r="C235" s="45">
        <v>2184</v>
      </c>
    </row>
    <row r="236" spans="1:3" x14ac:dyDescent="0.3">
      <c r="A236" s="46"/>
      <c r="B236" s="47" t="s">
        <v>1830</v>
      </c>
      <c r="C236" s="47">
        <v>2387</v>
      </c>
    </row>
    <row r="237" spans="1:3" x14ac:dyDescent="0.3">
      <c r="A237" s="46" t="s">
        <v>1855</v>
      </c>
      <c r="B237" s="47"/>
      <c r="C237" s="47"/>
    </row>
    <row r="238" spans="1:3" x14ac:dyDescent="0.3">
      <c r="A238" s="46"/>
      <c r="B238" s="47" t="s">
        <v>1856</v>
      </c>
      <c r="C238" s="47">
        <v>2588</v>
      </c>
    </row>
    <row r="239" spans="1:3" x14ac:dyDescent="0.3">
      <c r="A239" s="46"/>
      <c r="B239" s="47" t="s">
        <v>1819</v>
      </c>
      <c r="C239" s="47">
        <v>2161</v>
      </c>
    </row>
    <row r="240" spans="1:3" x14ac:dyDescent="0.3">
      <c r="A240" s="46"/>
      <c r="B240" s="47" t="s">
        <v>1820</v>
      </c>
      <c r="C240" s="47">
        <v>2160</v>
      </c>
    </row>
    <row r="241" spans="1:3" x14ac:dyDescent="0.3">
      <c r="A241" s="46"/>
      <c r="B241" s="47" t="s">
        <v>1821</v>
      </c>
      <c r="C241" s="47">
        <v>2155</v>
      </c>
    </row>
    <row r="242" spans="1:3" x14ac:dyDescent="0.3">
      <c r="A242" s="46"/>
      <c r="B242" s="47" t="s">
        <v>1822</v>
      </c>
      <c r="C242" s="47">
        <v>2156</v>
      </c>
    </row>
    <row r="243" spans="1:3" x14ac:dyDescent="0.3">
      <c r="A243" s="46"/>
      <c r="B243" s="47" t="s">
        <v>1823</v>
      </c>
      <c r="C243" s="47">
        <v>2157</v>
      </c>
    </row>
    <row r="244" spans="1:3" x14ac:dyDescent="0.3">
      <c r="A244" s="46"/>
      <c r="B244" s="47" t="s">
        <v>1824</v>
      </c>
      <c r="C244" s="47">
        <v>2382</v>
      </c>
    </row>
    <row r="245" spans="1:3" x14ac:dyDescent="0.3">
      <c r="A245" s="46"/>
      <c r="B245" s="47" t="s">
        <v>1825</v>
      </c>
      <c r="C245" s="47">
        <v>2154</v>
      </c>
    </row>
    <row r="246" spans="1:3" x14ac:dyDescent="0.3">
      <c r="A246" s="46"/>
      <c r="B246" s="47" t="s">
        <v>1826</v>
      </c>
      <c r="C246" s="47">
        <v>2158</v>
      </c>
    </row>
    <row r="247" spans="1:3" x14ac:dyDescent="0.3">
      <c r="A247" s="46"/>
      <c r="B247" s="47" t="s">
        <v>1799</v>
      </c>
      <c r="C247" s="47">
        <v>2347</v>
      </c>
    </row>
    <row r="248" spans="1:3" x14ac:dyDescent="0.3">
      <c r="A248" s="46"/>
      <c r="B248" s="47" t="s">
        <v>1827</v>
      </c>
      <c r="C248" s="47">
        <v>2159</v>
      </c>
    </row>
    <row r="249" spans="1:3" x14ac:dyDescent="0.3">
      <c r="A249" s="46"/>
      <c r="B249" s="47" t="s">
        <v>1828</v>
      </c>
      <c r="C249" s="47">
        <v>2153</v>
      </c>
    </row>
    <row r="250" spans="1:3" x14ac:dyDescent="0.3">
      <c r="A250" s="46"/>
      <c r="B250" s="47" t="s">
        <v>1829</v>
      </c>
      <c r="C250" s="47">
        <v>2152</v>
      </c>
    </row>
    <row r="251" spans="1:3" x14ac:dyDescent="0.3">
      <c r="A251" s="44"/>
      <c r="B251" s="45" t="s">
        <v>1830</v>
      </c>
      <c r="C251" s="45">
        <v>2383</v>
      </c>
    </row>
    <row r="252" spans="1:3" x14ac:dyDescent="0.3">
      <c r="A252" s="46"/>
      <c r="B252" s="47" t="s">
        <v>1451</v>
      </c>
      <c r="C252" s="47">
        <v>2162</v>
      </c>
    </row>
    <row r="253" spans="1:3" x14ac:dyDescent="0.3">
      <c r="A253" s="46" t="s">
        <v>1857</v>
      </c>
      <c r="B253" s="47"/>
      <c r="C253" s="47"/>
    </row>
    <row r="254" spans="1:3" x14ac:dyDescent="0.3">
      <c r="A254" s="46"/>
      <c r="B254" s="47" t="s">
        <v>1858</v>
      </c>
      <c r="C254" s="47">
        <v>2879</v>
      </c>
    </row>
    <row r="255" spans="1:3" x14ac:dyDescent="0.3">
      <c r="A255" s="46"/>
      <c r="B255" s="47" t="s">
        <v>1819</v>
      </c>
      <c r="C255" s="47">
        <v>2888</v>
      </c>
    </row>
    <row r="256" spans="1:3" x14ac:dyDescent="0.3">
      <c r="A256" s="46"/>
      <c r="B256" s="47" t="s">
        <v>1820</v>
      </c>
      <c r="C256" s="47">
        <v>2889</v>
      </c>
    </row>
    <row r="257" spans="1:3" x14ac:dyDescent="0.3">
      <c r="A257" s="46"/>
      <c r="B257" s="47" t="s">
        <v>1821</v>
      </c>
      <c r="C257" s="47">
        <v>2886</v>
      </c>
    </row>
    <row r="258" spans="1:3" x14ac:dyDescent="0.3">
      <c r="A258" s="46"/>
      <c r="B258" s="47" t="s">
        <v>1822</v>
      </c>
      <c r="C258" s="47">
        <v>2884</v>
      </c>
    </row>
    <row r="259" spans="1:3" x14ac:dyDescent="0.3">
      <c r="A259" s="46"/>
      <c r="B259" s="47" t="s">
        <v>1823</v>
      </c>
      <c r="C259" s="47">
        <v>2883</v>
      </c>
    </row>
    <row r="260" spans="1:3" x14ac:dyDescent="0.3">
      <c r="B260" s="43" t="s">
        <v>1824</v>
      </c>
      <c r="C260" s="43">
        <v>2892</v>
      </c>
    </row>
    <row r="261" spans="1:3" x14ac:dyDescent="0.3">
      <c r="B261" s="43" t="s">
        <v>1825</v>
      </c>
      <c r="C261" s="43">
        <v>2887</v>
      </c>
    </row>
    <row r="262" spans="1:3" x14ac:dyDescent="0.3">
      <c r="B262" s="43" t="s">
        <v>1799</v>
      </c>
      <c r="C262" s="43">
        <v>2891</v>
      </c>
    </row>
    <row r="263" spans="1:3" x14ac:dyDescent="0.3">
      <c r="B263" s="43" t="s">
        <v>1826</v>
      </c>
      <c r="C263" s="43">
        <v>2880</v>
      </c>
    </row>
    <row r="264" spans="1:3" x14ac:dyDescent="0.3">
      <c r="B264" s="43" t="s">
        <v>1827</v>
      </c>
      <c r="C264" s="43">
        <v>2890</v>
      </c>
    </row>
    <row r="265" spans="1:3" x14ac:dyDescent="0.3">
      <c r="B265" s="43" t="s">
        <v>1828</v>
      </c>
      <c r="C265" s="43">
        <v>2881</v>
      </c>
    </row>
    <row r="266" spans="1:3" x14ac:dyDescent="0.3">
      <c r="B266" s="43" t="s">
        <v>1829</v>
      </c>
      <c r="C266" s="43">
        <v>2882</v>
      </c>
    </row>
    <row r="267" spans="1:3" x14ac:dyDescent="0.3">
      <c r="B267" s="43" t="s">
        <v>1451</v>
      </c>
      <c r="C267" s="43">
        <v>2885</v>
      </c>
    </row>
    <row r="268" spans="1:3" x14ac:dyDescent="0.3">
      <c r="B268" s="43" t="s">
        <v>1830</v>
      </c>
      <c r="C268" s="43">
        <v>2893</v>
      </c>
    </row>
    <row r="269" spans="1:3" x14ac:dyDescent="0.3">
      <c r="A269" s="42" t="s">
        <v>1859</v>
      </c>
    </row>
    <row r="270" spans="1:3" x14ac:dyDescent="0.3">
      <c r="B270" s="43" t="s">
        <v>1860</v>
      </c>
      <c r="C270" s="43">
        <v>2589</v>
      </c>
    </row>
    <row r="271" spans="1:3" x14ac:dyDescent="0.3">
      <c r="B271" s="43" t="s">
        <v>1819</v>
      </c>
      <c r="C271" s="43">
        <v>2150</v>
      </c>
    </row>
    <row r="272" spans="1:3" x14ac:dyDescent="0.3">
      <c r="B272" s="43" t="s">
        <v>1820</v>
      </c>
      <c r="C272" s="43">
        <v>2149</v>
      </c>
    </row>
    <row r="273" spans="1:3" x14ac:dyDescent="0.3">
      <c r="B273" s="43" t="s">
        <v>1821</v>
      </c>
      <c r="C273" s="43">
        <v>2144</v>
      </c>
    </row>
    <row r="274" spans="1:3" x14ac:dyDescent="0.3">
      <c r="B274" s="43" t="s">
        <v>1822</v>
      </c>
      <c r="C274" s="43">
        <v>2145</v>
      </c>
    </row>
    <row r="275" spans="1:3" x14ac:dyDescent="0.3">
      <c r="B275" s="43" t="s">
        <v>1823</v>
      </c>
      <c r="C275" s="43">
        <v>2146</v>
      </c>
    </row>
    <row r="276" spans="1:3" x14ac:dyDescent="0.3">
      <c r="B276" s="43" t="s">
        <v>1824</v>
      </c>
      <c r="C276" s="43">
        <v>2380</v>
      </c>
    </row>
    <row r="277" spans="1:3" x14ac:dyDescent="0.3">
      <c r="B277" s="43" t="s">
        <v>1825</v>
      </c>
      <c r="C277" s="43">
        <v>2143</v>
      </c>
    </row>
    <row r="278" spans="1:3" x14ac:dyDescent="0.3">
      <c r="B278" s="43" t="s">
        <v>1826</v>
      </c>
      <c r="C278" s="43">
        <v>2147</v>
      </c>
    </row>
    <row r="279" spans="1:3" x14ac:dyDescent="0.3">
      <c r="B279" s="43" t="s">
        <v>1799</v>
      </c>
      <c r="C279" s="43">
        <v>2344</v>
      </c>
    </row>
    <row r="280" spans="1:3" x14ac:dyDescent="0.3">
      <c r="B280" s="43" t="s">
        <v>1827</v>
      </c>
      <c r="C280" s="43">
        <v>2148</v>
      </c>
    </row>
    <row r="281" spans="1:3" x14ac:dyDescent="0.3">
      <c r="B281" s="43" t="s">
        <v>1828</v>
      </c>
      <c r="C281" s="43">
        <v>2142</v>
      </c>
    </row>
    <row r="282" spans="1:3" x14ac:dyDescent="0.3">
      <c r="B282" s="43" t="s">
        <v>1829</v>
      </c>
      <c r="C282" s="43">
        <v>2141</v>
      </c>
    </row>
    <row r="283" spans="1:3" x14ac:dyDescent="0.3">
      <c r="B283" s="43" t="s">
        <v>1830</v>
      </c>
      <c r="C283" s="43">
        <v>2381</v>
      </c>
    </row>
    <row r="284" spans="1:3" x14ac:dyDescent="0.3">
      <c r="B284" s="43" t="s">
        <v>1451</v>
      </c>
      <c r="C284" s="43">
        <v>2151</v>
      </c>
    </row>
    <row r="285" spans="1:3" x14ac:dyDescent="0.3">
      <c r="A285" s="42" t="s">
        <v>1861</v>
      </c>
    </row>
    <row r="286" spans="1:3" x14ac:dyDescent="0.3">
      <c r="B286" s="43" t="s">
        <v>1862</v>
      </c>
      <c r="C286" s="43">
        <v>2590</v>
      </c>
    </row>
    <row r="287" spans="1:3" x14ac:dyDescent="0.3">
      <c r="B287" s="43" t="s">
        <v>1819</v>
      </c>
      <c r="C287" s="43">
        <v>2332</v>
      </c>
    </row>
    <row r="288" spans="1:3" x14ac:dyDescent="0.3">
      <c r="B288" s="43" t="s">
        <v>1820</v>
      </c>
      <c r="C288" s="43">
        <v>2331</v>
      </c>
    </row>
    <row r="289" spans="1:3" x14ac:dyDescent="0.3">
      <c r="B289" s="43" t="s">
        <v>1821</v>
      </c>
      <c r="C289" s="43">
        <v>2326</v>
      </c>
    </row>
    <row r="290" spans="1:3" x14ac:dyDescent="0.3">
      <c r="B290" s="43" t="s">
        <v>1822</v>
      </c>
      <c r="C290" s="43">
        <v>2327</v>
      </c>
    </row>
    <row r="291" spans="1:3" x14ac:dyDescent="0.3">
      <c r="B291" s="43" t="s">
        <v>1823</v>
      </c>
      <c r="C291" s="43">
        <v>2328</v>
      </c>
    </row>
    <row r="292" spans="1:3" x14ac:dyDescent="0.3">
      <c r="B292" s="43" t="s">
        <v>1825</v>
      </c>
      <c r="C292" s="43">
        <v>2325</v>
      </c>
    </row>
    <row r="293" spans="1:3" x14ac:dyDescent="0.3">
      <c r="B293" s="43" t="s">
        <v>1824</v>
      </c>
      <c r="C293" s="43">
        <v>2398</v>
      </c>
    </row>
    <row r="294" spans="1:3" x14ac:dyDescent="0.3">
      <c r="B294" s="43" t="s">
        <v>1826</v>
      </c>
      <c r="C294" s="43">
        <v>2329</v>
      </c>
    </row>
    <row r="295" spans="1:3" x14ac:dyDescent="0.3">
      <c r="B295" s="43" t="s">
        <v>1799</v>
      </c>
      <c r="C295" s="43">
        <v>2371</v>
      </c>
    </row>
    <row r="296" spans="1:3" x14ac:dyDescent="0.3">
      <c r="B296" s="43" t="s">
        <v>1827</v>
      </c>
      <c r="C296" s="43">
        <v>2330</v>
      </c>
    </row>
    <row r="297" spans="1:3" x14ac:dyDescent="0.3">
      <c r="B297" s="43" t="s">
        <v>1828</v>
      </c>
      <c r="C297" s="43">
        <v>2324</v>
      </c>
    </row>
    <row r="298" spans="1:3" x14ac:dyDescent="0.3">
      <c r="B298" s="43" t="s">
        <v>1829</v>
      </c>
      <c r="C298" s="43">
        <v>2323</v>
      </c>
    </row>
    <row r="299" spans="1:3" x14ac:dyDescent="0.3">
      <c r="B299" s="43" t="s">
        <v>1830</v>
      </c>
      <c r="C299" s="43">
        <v>2399</v>
      </c>
    </row>
    <row r="300" spans="1:3" x14ac:dyDescent="0.3">
      <c r="B300" s="43" t="s">
        <v>1451</v>
      </c>
      <c r="C300" s="43">
        <v>2333</v>
      </c>
    </row>
    <row r="301" spans="1:3" x14ac:dyDescent="0.3">
      <c r="A301" s="42" t="s">
        <v>1863</v>
      </c>
    </row>
    <row r="302" spans="1:3" x14ac:dyDescent="0.3">
      <c r="B302" s="43" t="s">
        <v>1864</v>
      </c>
      <c r="C302" s="43">
        <v>2832</v>
      </c>
    </row>
    <row r="303" spans="1:3" x14ac:dyDescent="0.3">
      <c r="B303" s="43" t="s">
        <v>1819</v>
      </c>
      <c r="C303" s="43">
        <v>2839</v>
      </c>
    </row>
    <row r="304" spans="1:3" x14ac:dyDescent="0.3">
      <c r="B304" s="43" t="s">
        <v>1820</v>
      </c>
      <c r="C304" s="43">
        <v>2840</v>
      </c>
    </row>
    <row r="305" spans="1:3" x14ac:dyDescent="0.3">
      <c r="B305" s="43" t="s">
        <v>1821</v>
      </c>
      <c r="C305" s="43">
        <v>2834</v>
      </c>
    </row>
    <row r="306" spans="1:3" x14ac:dyDescent="0.3">
      <c r="B306" s="43" t="s">
        <v>1822</v>
      </c>
      <c r="C306" s="43">
        <v>2833</v>
      </c>
    </row>
    <row r="307" spans="1:3" x14ac:dyDescent="0.3">
      <c r="B307" s="43" t="s">
        <v>1823</v>
      </c>
      <c r="C307" s="43">
        <v>2843</v>
      </c>
    </row>
    <row r="308" spans="1:3" x14ac:dyDescent="0.3">
      <c r="B308" s="43" t="s">
        <v>1824</v>
      </c>
      <c r="C308" s="43">
        <v>2845</v>
      </c>
    </row>
    <row r="309" spans="1:3" x14ac:dyDescent="0.3">
      <c r="B309" s="43" t="s">
        <v>1825</v>
      </c>
      <c r="C309" s="43">
        <v>2835</v>
      </c>
    </row>
    <row r="310" spans="1:3" x14ac:dyDescent="0.3">
      <c r="B310" s="43" t="s">
        <v>1799</v>
      </c>
      <c r="C310" s="43">
        <v>2844</v>
      </c>
    </row>
    <row r="311" spans="1:3" x14ac:dyDescent="0.3">
      <c r="B311" s="43" t="s">
        <v>1826</v>
      </c>
      <c r="C311" s="43">
        <v>2842</v>
      </c>
    </row>
    <row r="312" spans="1:3" x14ac:dyDescent="0.3">
      <c r="B312" s="43" t="s">
        <v>1827</v>
      </c>
      <c r="C312" s="43">
        <v>2841</v>
      </c>
    </row>
    <row r="313" spans="1:3" x14ac:dyDescent="0.3">
      <c r="B313" s="43" t="s">
        <v>1828</v>
      </c>
      <c r="C313" s="43">
        <v>2836</v>
      </c>
    </row>
    <row r="314" spans="1:3" x14ac:dyDescent="0.3">
      <c r="B314" s="43" t="s">
        <v>1829</v>
      </c>
      <c r="C314" s="43">
        <v>2837</v>
      </c>
    </row>
    <row r="315" spans="1:3" x14ac:dyDescent="0.3">
      <c r="B315" s="43" t="s">
        <v>1830</v>
      </c>
      <c r="C315" s="43">
        <v>2846</v>
      </c>
    </row>
    <row r="316" spans="1:3" x14ac:dyDescent="0.3">
      <c r="B316" s="43" t="s">
        <v>1451</v>
      </c>
      <c r="C316" s="43">
        <v>2838</v>
      </c>
    </row>
    <row r="317" spans="1:3" x14ac:dyDescent="0.3">
      <c r="A317" s="42" t="s">
        <v>1865</v>
      </c>
    </row>
    <row r="318" spans="1:3" x14ac:dyDescent="0.3">
      <c r="B318" s="43" t="s">
        <v>1866</v>
      </c>
      <c r="C318" s="43">
        <v>2407</v>
      </c>
    </row>
    <row r="319" spans="1:3" x14ac:dyDescent="0.3">
      <c r="B319" s="43" t="s">
        <v>1867</v>
      </c>
      <c r="C319" s="43">
        <v>2404</v>
      </c>
    </row>
    <row r="320" spans="1:3" x14ac:dyDescent="0.3">
      <c r="B320" s="43" t="s">
        <v>1868</v>
      </c>
      <c r="C320" s="43">
        <v>2403</v>
      </c>
    </row>
    <row r="321" spans="2:3" x14ac:dyDescent="0.3">
      <c r="B321" s="43" t="s">
        <v>1869</v>
      </c>
      <c r="C321" s="43">
        <v>2695</v>
      </c>
    </row>
    <row r="322" spans="2:3" x14ac:dyDescent="0.3">
      <c r="B322" s="43" t="s">
        <v>1870</v>
      </c>
      <c r="C322" s="43">
        <v>2406</v>
      </c>
    </row>
    <row r="323" spans="2:3" x14ac:dyDescent="0.3">
      <c r="B323" s="43" t="s">
        <v>1871</v>
      </c>
      <c r="C323" s="43">
        <v>2405</v>
      </c>
    </row>
    <row r="324" spans="2:3" x14ac:dyDescent="0.3">
      <c r="B324" s="43" t="s">
        <v>1872</v>
      </c>
      <c r="C324" s="43">
        <v>2402</v>
      </c>
    </row>
    <row r="325" spans="2:3" x14ac:dyDescent="0.3">
      <c r="B325" s="43" t="s">
        <v>1873</v>
      </c>
      <c r="C325" s="43">
        <v>2408</v>
      </c>
    </row>
    <row r="326" spans="2:3" x14ac:dyDescent="0.3">
      <c r="B326" s="43" t="s">
        <v>1865</v>
      </c>
      <c r="C326" s="43">
        <v>2409</v>
      </c>
    </row>
  </sheetData>
  <sheetProtection selectLockedCells="1" selectUnlockedCells="1"/>
  <pageMargins left="0.7" right="0.7" top="0.78749999999999998" bottom="0.78749999999999998" header="0.51180555555555551" footer="0.51180555555555551"/>
  <pageSetup paperSize="9" firstPageNumber="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FB44E-7FF2-45EB-A1A0-99D355F63359}">
  <dimension ref="A1"/>
  <sheetViews>
    <sheetView workbookViewId="0">
      <selection activeCell="F15" sqref="F15"/>
    </sheetView>
  </sheetViews>
  <sheetFormatPr baseColWidth="10" defaultRowHeight="13.2" x14ac:dyDescent="0.25"/>
  <sheetData/>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90310-F68E-4B42-ACED-6D8AA7B3E4EE}">
  <dimension ref="A1:IV1444"/>
  <sheetViews>
    <sheetView topLeftCell="A902" workbookViewId="0">
      <selection activeCell="C912" sqref="C912"/>
    </sheetView>
  </sheetViews>
  <sheetFormatPr baseColWidth="10" defaultRowHeight="15.6" x14ac:dyDescent="0.3"/>
  <cols>
    <col min="1" max="1" width="28.88671875" style="34" customWidth="1"/>
    <col min="2" max="2" width="36.44140625" style="35" customWidth="1"/>
    <col min="3" max="3" width="12.88671875" style="36" customWidth="1"/>
    <col min="4" max="255" width="11" style="198" customWidth="1"/>
    <col min="256" max="16384" width="11.5546875" style="297"/>
  </cols>
  <sheetData>
    <row r="1" spans="1:256" s="38" customFormat="1" x14ac:dyDescent="0.3">
      <c r="A1" s="37" t="s">
        <v>76</v>
      </c>
      <c r="B1" s="37" t="s">
        <v>77</v>
      </c>
      <c r="C1" s="37" t="s">
        <v>26</v>
      </c>
      <c r="K1" s="39"/>
      <c r="IV1" s="297"/>
    </row>
    <row r="2" spans="1:256" x14ac:dyDescent="0.3">
      <c r="A2" s="40" t="s">
        <v>78</v>
      </c>
      <c r="B2" s="281"/>
      <c r="C2" s="281"/>
      <c r="D2" s="297"/>
      <c r="E2" s="297"/>
      <c r="F2" s="297"/>
    </row>
    <row r="3" spans="1:256" x14ac:dyDescent="0.3">
      <c r="A3" s="40"/>
      <c r="B3" s="281" t="s">
        <v>79</v>
      </c>
      <c r="C3" s="281">
        <v>2573</v>
      </c>
      <c r="D3" s="297"/>
      <c r="E3" s="297"/>
      <c r="F3" s="297"/>
    </row>
    <row r="4" spans="1:256" x14ac:dyDescent="0.3">
      <c r="A4" s="40"/>
      <c r="B4" s="281" t="s">
        <v>80</v>
      </c>
      <c r="C4" s="281">
        <v>886</v>
      </c>
      <c r="D4" s="297"/>
      <c r="E4" s="297"/>
      <c r="F4" s="297"/>
    </row>
    <row r="5" spans="1:256" x14ac:dyDescent="0.3">
      <c r="A5" s="40"/>
      <c r="B5" s="281" t="s">
        <v>81</v>
      </c>
      <c r="C5" s="281">
        <v>887</v>
      </c>
      <c r="D5" s="297"/>
      <c r="E5" s="297"/>
      <c r="F5" s="297"/>
    </row>
    <row r="6" spans="1:256" x14ac:dyDescent="0.3">
      <c r="A6" s="40"/>
      <c r="B6" s="281" t="s">
        <v>82</v>
      </c>
      <c r="C6" s="281">
        <v>881</v>
      </c>
      <c r="D6" s="297"/>
      <c r="E6" s="297"/>
      <c r="F6" s="297"/>
    </row>
    <row r="7" spans="1:256" x14ac:dyDescent="0.3">
      <c r="A7" s="40"/>
      <c r="B7" s="281" t="s">
        <v>83</v>
      </c>
      <c r="C7" s="281">
        <v>880</v>
      </c>
      <c r="D7" s="297"/>
      <c r="E7" s="297"/>
      <c r="F7" s="297"/>
    </row>
    <row r="8" spans="1:256" x14ac:dyDescent="0.3">
      <c r="A8" s="40"/>
      <c r="B8" s="281" t="s">
        <v>84</v>
      </c>
      <c r="C8" s="281">
        <v>1806</v>
      </c>
      <c r="D8" s="297"/>
      <c r="E8" s="297"/>
      <c r="F8" s="297"/>
    </row>
    <row r="9" spans="1:256" x14ac:dyDescent="0.3">
      <c r="A9" s="40"/>
      <c r="B9" s="281" t="s">
        <v>85</v>
      </c>
      <c r="C9" s="281">
        <v>2968</v>
      </c>
      <c r="D9" s="297"/>
      <c r="E9" s="297"/>
      <c r="F9" s="297"/>
    </row>
    <row r="10" spans="1:256" x14ac:dyDescent="0.3">
      <c r="A10" s="40"/>
      <c r="B10" s="281" t="s">
        <v>86</v>
      </c>
      <c r="C10" s="281">
        <v>2534</v>
      </c>
      <c r="D10" s="297"/>
      <c r="E10" s="297"/>
      <c r="F10" s="297"/>
    </row>
    <row r="11" spans="1:256" x14ac:dyDescent="0.3">
      <c r="A11" s="40"/>
      <c r="B11" s="281" t="s">
        <v>87</v>
      </c>
      <c r="C11" s="281">
        <v>873</v>
      </c>
      <c r="D11" s="297"/>
      <c r="E11" s="297"/>
      <c r="F11" s="297"/>
    </row>
    <row r="12" spans="1:256" x14ac:dyDescent="0.3">
      <c r="A12" s="40"/>
      <c r="B12" s="281" t="s">
        <v>88</v>
      </c>
      <c r="C12" s="281">
        <v>879</v>
      </c>
      <c r="D12" s="297"/>
      <c r="E12" s="297"/>
      <c r="F12" s="297"/>
    </row>
    <row r="13" spans="1:256" x14ac:dyDescent="0.3">
      <c r="A13" s="40"/>
      <c r="B13" s="281" t="s">
        <v>89</v>
      </c>
      <c r="C13" s="281">
        <v>878</v>
      </c>
      <c r="D13" s="297"/>
      <c r="E13" s="297"/>
      <c r="F13" s="297"/>
    </row>
    <row r="14" spans="1:256" x14ac:dyDescent="0.3">
      <c r="A14" s="40"/>
      <c r="B14" s="281" t="s">
        <v>90</v>
      </c>
      <c r="C14" s="281">
        <v>877</v>
      </c>
      <c r="D14" s="297"/>
      <c r="E14" s="297"/>
      <c r="F14" s="297"/>
    </row>
    <row r="15" spans="1:256" x14ac:dyDescent="0.3">
      <c r="A15" s="40"/>
      <c r="B15" s="281" t="s">
        <v>91</v>
      </c>
      <c r="C15" s="281">
        <v>884</v>
      </c>
      <c r="D15" s="297"/>
      <c r="E15" s="297"/>
      <c r="F15" s="297"/>
    </row>
    <row r="16" spans="1:256" x14ac:dyDescent="0.3">
      <c r="A16" s="40"/>
      <c r="B16" s="281" t="s">
        <v>92</v>
      </c>
      <c r="C16" s="281">
        <v>883</v>
      </c>
      <c r="D16" s="297"/>
      <c r="E16" s="297"/>
      <c r="F16" s="297"/>
    </row>
    <row r="17" spans="1:6" x14ac:dyDescent="0.3">
      <c r="A17" s="40"/>
      <c r="B17" s="281" t="s">
        <v>93</v>
      </c>
      <c r="C17" s="281">
        <v>693</v>
      </c>
      <c r="D17" s="297"/>
      <c r="E17" s="297"/>
      <c r="F17" s="297"/>
    </row>
    <row r="18" spans="1:6" x14ac:dyDescent="0.3">
      <c r="A18" s="40"/>
      <c r="B18" s="281" t="s">
        <v>94</v>
      </c>
      <c r="C18" s="281">
        <v>885</v>
      </c>
      <c r="D18" s="297"/>
      <c r="E18" s="297"/>
      <c r="F18" s="297"/>
    </row>
    <row r="19" spans="1:6" x14ac:dyDescent="0.3">
      <c r="A19" s="40"/>
      <c r="B19" s="281" t="s">
        <v>95</v>
      </c>
      <c r="C19" s="281">
        <v>882</v>
      </c>
      <c r="D19" s="297"/>
      <c r="E19" s="297"/>
      <c r="F19" s="297"/>
    </row>
    <row r="20" spans="1:6" x14ac:dyDescent="0.3">
      <c r="A20" s="40"/>
      <c r="B20" s="281" t="s">
        <v>96</v>
      </c>
      <c r="C20" s="281">
        <v>665</v>
      </c>
      <c r="D20" s="297"/>
      <c r="E20" s="297"/>
      <c r="F20" s="297"/>
    </row>
    <row r="21" spans="1:6" x14ac:dyDescent="0.3">
      <c r="A21" s="40"/>
      <c r="B21" s="281" t="s">
        <v>97</v>
      </c>
      <c r="C21" s="281">
        <v>666</v>
      </c>
      <c r="D21" s="297"/>
      <c r="E21" s="297"/>
      <c r="F21" s="297"/>
    </row>
    <row r="22" spans="1:6" x14ac:dyDescent="0.3">
      <c r="A22" s="40"/>
      <c r="B22" s="281" t="s">
        <v>98</v>
      </c>
      <c r="C22" s="281">
        <v>667</v>
      </c>
      <c r="D22" s="297"/>
      <c r="E22" s="297"/>
      <c r="F22" s="297"/>
    </row>
    <row r="23" spans="1:6" x14ac:dyDescent="0.3">
      <c r="A23" s="40"/>
      <c r="B23" s="281" t="s">
        <v>99</v>
      </c>
      <c r="C23" s="281">
        <v>960</v>
      </c>
      <c r="D23" s="297"/>
      <c r="E23" s="297"/>
      <c r="F23" s="297"/>
    </row>
    <row r="24" spans="1:6" x14ac:dyDescent="0.3">
      <c r="A24" s="40"/>
      <c r="B24" s="281" t="s">
        <v>100</v>
      </c>
      <c r="C24" s="281">
        <v>2648</v>
      </c>
      <c r="D24" s="297"/>
      <c r="E24" s="297"/>
      <c r="F24" s="297"/>
    </row>
    <row r="25" spans="1:6" x14ac:dyDescent="0.3">
      <c r="A25" s="40"/>
      <c r="B25" s="281" t="s">
        <v>101</v>
      </c>
      <c r="C25" s="281">
        <v>668</v>
      </c>
      <c r="D25" s="297"/>
      <c r="E25" s="297"/>
      <c r="F25" s="297"/>
    </row>
    <row r="26" spans="1:6" x14ac:dyDescent="0.3">
      <c r="A26" s="40"/>
      <c r="B26" s="281" t="s">
        <v>102</v>
      </c>
      <c r="C26" s="281">
        <v>798</v>
      </c>
      <c r="D26" s="297"/>
      <c r="E26" s="297"/>
      <c r="F26" s="297"/>
    </row>
    <row r="27" spans="1:6" x14ac:dyDescent="0.3">
      <c r="A27" s="40"/>
      <c r="B27" s="281" t="s">
        <v>103</v>
      </c>
      <c r="C27" s="281">
        <v>2008</v>
      </c>
      <c r="D27" s="297"/>
      <c r="E27" s="297"/>
      <c r="F27" s="297"/>
    </row>
    <row r="28" spans="1:6" x14ac:dyDescent="0.3">
      <c r="A28" s="40"/>
      <c r="B28" s="281" t="s">
        <v>104</v>
      </c>
      <c r="C28" s="281">
        <v>669</v>
      </c>
      <c r="D28" s="297"/>
      <c r="E28" s="297"/>
      <c r="F28" s="297"/>
    </row>
    <row r="29" spans="1:6" x14ac:dyDescent="0.3">
      <c r="A29" s="40"/>
      <c r="B29" s="281" t="s">
        <v>105</v>
      </c>
      <c r="C29" s="281">
        <v>670</v>
      </c>
      <c r="D29" s="297"/>
      <c r="E29" s="297"/>
      <c r="F29" s="297"/>
    </row>
    <row r="30" spans="1:6" x14ac:dyDescent="0.3">
      <c r="A30" s="40"/>
      <c r="B30" s="281" t="s">
        <v>106</v>
      </c>
      <c r="C30" s="281">
        <v>671</v>
      </c>
      <c r="D30" s="297"/>
      <c r="E30" s="297"/>
      <c r="F30" s="297"/>
    </row>
    <row r="31" spans="1:6" x14ac:dyDescent="0.3">
      <c r="A31" s="40"/>
      <c r="B31" s="281" t="s">
        <v>107</v>
      </c>
      <c r="C31" s="281">
        <v>672</v>
      </c>
      <c r="D31" s="297"/>
      <c r="E31" s="297"/>
      <c r="F31" s="297"/>
    </row>
    <row r="32" spans="1:6" x14ac:dyDescent="0.3">
      <c r="A32" s="40"/>
      <c r="B32" s="281" t="s">
        <v>108</v>
      </c>
      <c r="C32" s="281">
        <v>673</v>
      </c>
      <c r="D32" s="297"/>
      <c r="E32" s="297"/>
      <c r="F32" s="297"/>
    </row>
    <row r="33" spans="1:6" x14ac:dyDescent="0.3">
      <c r="A33" s="40"/>
      <c r="B33" s="281" t="s">
        <v>109</v>
      </c>
      <c r="C33" s="281">
        <v>674</v>
      </c>
      <c r="D33" s="297"/>
      <c r="E33" s="297"/>
      <c r="F33" s="297"/>
    </row>
    <row r="34" spans="1:6" x14ac:dyDescent="0.3">
      <c r="A34" s="40"/>
      <c r="B34" s="281" t="s">
        <v>110</v>
      </c>
      <c r="C34" s="281">
        <v>1211</v>
      </c>
      <c r="D34" s="297"/>
      <c r="E34" s="297"/>
      <c r="F34" s="297"/>
    </row>
    <row r="35" spans="1:6" x14ac:dyDescent="0.3">
      <c r="A35" s="40"/>
      <c r="B35" s="281" t="s">
        <v>111</v>
      </c>
      <c r="C35" s="281">
        <v>675</v>
      </c>
      <c r="D35" s="297"/>
      <c r="E35" s="297"/>
      <c r="F35" s="297"/>
    </row>
    <row r="36" spans="1:6" x14ac:dyDescent="0.3">
      <c r="A36" s="40"/>
      <c r="B36" s="281" t="s">
        <v>112</v>
      </c>
      <c r="C36" s="281">
        <v>874</v>
      </c>
      <c r="D36" s="297"/>
      <c r="E36" s="297"/>
      <c r="F36" s="297"/>
    </row>
    <row r="37" spans="1:6" x14ac:dyDescent="0.3">
      <c r="A37" s="40"/>
      <c r="B37" s="281" t="s">
        <v>113</v>
      </c>
      <c r="C37" s="281">
        <v>876</v>
      </c>
      <c r="D37" s="297"/>
      <c r="E37" s="297"/>
      <c r="F37" s="297"/>
    </row>
    <row r="38" spans="1:6" x14ac:dyDescent="0.3">
      <c r="A38" s="40"/>
      <c r="B38" s="281" t="s">
        <v>114</v>
      </c>
      <c r="C38" s="281">
        <v>875</v>
      </c>
      <c r="D38" s="297"/>
      <c r="E38" s="297"/>
      <c r="F38" s="297"/>
    </row>
    <row r="39" spans="1:6" x14ac:dyDescent="0.3">
      <c r="A39" s="40"/>
      <c r="B39" s="281" t="s">
        <v>115</v>
      </c>
      <c r="C39" s="281">
        <v>2561</v>
      </c>
      <c r="D39" s="297"/>
      <c r="E39" s="297"/>
      <c r="F39" s="297"/>
    </row>
    <row r="40" spans="1:6" x14ac:dyDescent="0.3">
      <c r="A40" s="40"/>
      <c r="B40" s="281" t="s">
        <v>116</v>
      </c>
      <c r="C40" s="281">
        <v>2597</v>
      </c>
      <c r="D40" s="297"/>
      <c r="E40" s="297"/>
      <c r="F40" s="297"/>
    </row>
    <row r="41" spans="1:6" x14ac:dyDescent="0.3">
      <c r="A41" s="40"/>
      <c r="B41" s="281" t="s">
        <v>117</v>
      </c>
      <c r="C41" s="281">
        <v>2932</v>
      </c>
      <c r="D41" s="297"/>
      <c r="E41" s="297"/>
      <c r="F41" s="297"/>
    </row>
    <row r="42" spans="1:6" x14ac:dyDescent="0.3">
      <c r="A42" s="40"/>
      <c r="B42" s="281" t="s">
        <v>118</v>
      </c>
      <c r="C42" s="281">
        <v>680</v>
      </c>
      <c r="D42" s="297"/>
      <c r="E42" s="297"/>
      <c r="F42" s="297"/>
    </row>
    <row r="43" spans="1:6" x14ac:dyDescent="0.3">
      <c r="A43" s="40" t="s">
        <v>119</v>
      </c>
      <c r="B43" s="281"/>
      <c r="C43" s="281"/>
      <c r="D43" s="297"/>
      <c r="E43" s="297"/>
      <c r="F43" s="297"/>
    </row>
    <row r="44" spans="1:6" x14ac:dyDescent="0.3">
      <c r="A44" s="40"/>
      <c r="B44" s="281" t="s">
        <v>120</v>
      </c>
      <c r="C44" s="281">
        <v>1279</v>
      </c>
      <c r="D44" s="297"/>
      <c r="E44" s="297"/>
      <c r="F44" s="297"/>
    </row>
    <row r="45" spans="1:6" x14ac:dyDescent="0.3">
      <c r="A45" s="40"/>
      <c r="B45" s="281" t="s">
        <v>121</v>
      </c>
      <c r="C45" s="281">
        <v>1816</v>
      </c>
      <c r="D45" s="297"/>
      <c r="E45" s="297"/>
      <c r="F45" s="297"/>
    </row>
    <row r="46" spans="1:6" x14ac:dyDescent="0.3">
      <c r="A46" s="40"/>
      <c r="B46" s="281" t="s">
        <v>122</v>
      </c>
      <c r="C46" s="281">
        <v>840</v>
      </c>
      <c r="D46" s="297"/>
      <c r="E46" s="297"/>
      <c r="F46" s="297"/>
    </row>
    <row r="47" spans="1:6" x14ac:dyDescent="0.3">
      <c r="A47" s="40"/>
      <c r="B47" s="281" t="s">
        <v>123</v>
      </c>
      <c r="C47" s="281">
        <v>41</v>
      </c>
      <c r="D47" s="297"/>
      <c r="E47" s="297"/>
      <c r="F47" s="297"/>
    </row>
    <row r="48" spans="1:6" x14ac:dyDescent="0.3">
      <c r="A48" s="40"/>
      <c r="B48" s="281" t="s">
        <v>124</v>
      </c>
      <c r="C48" s="281">
        <v>2694</v>
      </c>
      <c r="D48" s="297"/>
      <c r="E48" s="297"/>
      <c r="F48" s="297"/>
    </row>
    <row r="49" spans="1:6" x14ac:dyDescent="0.3">
      <c r="A49" s="40"/>
      <c r="B49" s="281" t="s">
        <v>125</v>
      </c>
      <c r="C49" s="281">
        <v>1918</v>
      </c>
      <c r="D49" s="297"/>
      <c r="E49" s="297"/>
      <c r="F49" s="297"/>
    </row>
    <row r="50" spans="1:6" x14ac:dyDescent="0.3">
      <c r="A50" s="40"/>
      <c r="B50" s="281" t="s">
        <v>126</v>
      </c>
      <c r="C50" s="281">
        <v>65</v>
      </c>
      <c r="D50" s="297"/>
      <c r="E50" s="297"/>
      <c r="F50" s="297"/>
    </row>
    <row r="51" spans="1:6" x14ac:dyDescent="0.3">
      <c r="A51" s="40"/>
      <c r="B51" s="281" t="s">
        <v>127</v>
      </c>
      <c r="C51" s="281">
        <v>2728</v>
      </c>
      <c r="D51" s="297"/>
      <c r="E51" s="297"/>
      <c r="F51" s="297"/>
    </row>
    <row r="52" spans="1:6" x14ac:dyDescent="0.3">
      <c r="A52" s="40"/>
      <c r="B52" s="281" t="s">
        <v>128</v>
      </c>
      <c r="C52" s="281">
        <v>81</v>
      </c>
      <c r="D52" s="297"/>
      <c r="E52" s="297"/>
      <c r="F52" s="297"/>
    </row>
    <row r="53" spans="1:6" x14ac:dyDescent="0.3">
      <c r="A53" s="40"/>
      <c r="B53" s="281" t="s">
        <v>129</v>
      </c>
      <c r="C53" s="281">
        <v>1286</v>
      </c>
      <c r="D53" s="297"/>
      <c r="E53" s="297"/>
      <c r="F53" s="297"/>
    </row>
    <row r="54" spans="1:6" x14ac:dyDescent="0.3">
      <c r="A54" s="40"/>
      <c r="B54" s="281" t="s">
        <v>130</v>
      </c>
      <c r="C54" s="281">
        <v>2958</v>
      </c>
      <c r="D54" s="297"/>
      <c r="E54" s="297"/>
      <c r="F54" s="297"/>
    </row>
    <row r="55" spans="1:6" x14ac:dyDescent="0.3">
      <c r="A55" s="40"/>
      <c r="B55" s="281" t="s">
        <v>131</v>
      </c>
      <c r="C55" s="281">
        <v>128</v>
      </c>
      <c r="D55" s="297"/>
      <c r="E55" s="297"/>
      <c r="F55" s="297"/>
    </row>
    <row r="56" spans="1:6" x14ac:dyDescent="0.3">
      <c r="A56" s="40"/>
      <c r="B56" s="281" t="s">
        <v>132</v>
      </c>
      <c r="C56" s="281">
        <v>129</v>
      </c>
      <c r="D56" s="297"/>
      <c r="E56" s="297"/>
      <c r="F56" s="297"/>
    </row>
    <row r="57" spans="1:6" x14ac:dyDescent="0.3">
      <c r="A57" s="40"/>
      <c r="B57" s="281" t="s">
        <v>133</v>
      </c>
      <c r="C57" s="281">
        <v>780</v>
      </c>
      <c r="D57" s="297"/>
      <c r="E57" s="297"/>
      <c r="F57" s="297"/>
    </row>
    <row r="58" spans="1:6" x14ac:dyDescent="0.3">
      <c r="A58" s="40"/>
      <c r="B58" s="281" t="s">
        <v>134</v>
      </c>
      <c r="C58" s="281">
        <v>824</v>
      </c>
      <c r="D58" s="297"/>
      <c r="E58" s="297"/>
      <c r="F58" s="297"/>
    </row>
    <row r="59" spans="1:6" x14ac:dyDescent="0.3">
      <c r="A59" s="40"/>
      <c r="B59" s="281" t="s">
        <v>135</v>
      </c>
      <c r="C59" s="281">
        <v>134</v>
      </c>
      <c r="D59" s="297"/>
      <c r="E59" s="297"/>
      <c r="F59" s="297"/>
    </row>
    <row r="60" spans="1:6" x14ac:dyDescent="0.3">
      <c r="A60" s="40"/>
      <c r="B60" s="281" t="s">
        <v>136</v>
      </c>
      <c r="C60" s="281">
        <v>1907</v>
      </c>
      <c r="D60" s="297"/>
      <c r="E60" s="297"/>
      <c r="F60" s="297"/>
    </row>
    <row r="61" spans="1:6" x14ac:dyDescent="0.3">
      <c r="A61" s="40"/>
      <c r="B61" s="281" t="s">
        <v>137</v>
      </c>
      <c r="C61" s="281">
        <v>172</v>
      </c>
      <c r="D61" s="297"/>
      <c r="E61" s="297"/>
      <c r="F61" s="297"/>
    </row>
    <row r="62" spans="1:6" x14ac:dyDescent="0.3">
      <c r="A62" s="40"/>
      <c r="B62" s="281" t="s">
        <v>138</v>
      </c>
      <c r="C62" s="281">
        <v>173</v>
      </c>
      <c r="D62" s="297"/>
      <c r="E62" s="297"/>
      <c r="F62" s="297"/>
    </row>
    <row r="63" spans="1:6" x14ac:dyDescent="0.3">
      <c r="A63" s="40"/>
      <c r="B63" s="281" t="s">
        <v>139</v>
      </c>
      <c r="C63" s="281">
        <v>175</v>
      </c>
      <c r="D63" s="297"/>
      <c r="E63" s="297"/>
      <c r="F63" s="297"/>
    </row>
    <row r="64" spans="1:6" x14ac:dyDescent="0.3">
      <c r="A64" s="40"/>
      <c r="B64" s="281" t="s">
        <v>140</v>
      </c>
      <c r="C64" s="281">
        <v>192</v>
      </c>
      <c r="D64" s="297"/>
      <c r="E64" s="297"/>
      <c r="F64" s="297"/>
    </row>
    <row r="65" spans="1:6" x14ac:dyDescent="0.3">
      <c r="A65" s="40"/>
      <c r="B65" s="281" t="s">
        <v>141</v>
      </c>
      <c r="C65" s="281">
        <v>2620</v>
      </c>
      <c r="D65" s="297"/>
      <c r="E65" s="297"/>
      <c r="F65" s="297"/>
    </row>
    <row r="66" spans="1:6" x14ac:dyDescent="0.3">
      <c r="A66" s="40"/>
      <c r="B66" s="281" t="s">
        <v>142</v>
      </c>
      <c r="C66" s="281">
        <v>2683</v>
      </c>
      <c r="D66" s="297"/>
      <c r="E66" s="297"/>
      <c r="F66" s="297"/>
    </row>
    <row r="67" spans="1:6" x14ac:dyDescent="0.3">
      <c r="A67" s="40"/>
      <c r="B67" s="281" t="s">
        <v>143</v>
      </c>
      <c r="C67" s="281">
        <v>240</v>
      </c>
      <c r="D67" s="297"/>
      <c r="E67" s="297"/>
      <c r="F67" s="297"/>
    </row>
    <row r="68" spans="1:6" x14ac:dyDescent="0.3">
      <c r="A68" s="40"/>
      <c r="B68" s="281" t="s">
        <v>144</v>
      </c>
      <c r="C68" s="281">
        <v>245</v>
      </c>
      <c r="D68" s="297"/>
      <c r="E68" s="297"/>
      <c r="F68" s="297"/>
    </row>
    <row r="69" spans="1:6" x14ac:dyDescent="0.3">
      <c r="A69" s="40"/>
      <c r="B69" s="281" t="s">
        <v>145</v>
      </c>
      <c r="C69" s="281">
        <v>614</v>
      </c>
      <c r="D69" s="297"/>
      <c r="E69" s="297"/>
      <c r="F69" s="297"/>
    </row>
    <row r="70" spans="1:6" x14ac:dyDescent="0.3">
      <c r="A70" s="40"/>
      <c r="B70" s="281" t="s">
        <v>146</v>
      </c>
      <c r="C70" s="281">
        <v>1285</v>
      </c>
      <c r="D70" s="297"/>
      <c r="E70" s="297"/>
      <c r="F70" s="297"/>
    </row>
    <row r="71" spans="1:6" x14ac:dyDescent="0.3">
      <c r="A71" s="40"/>
      <c r="B71" s="281" t="s">
        <v>147</v>
      </c>
      <c r="C71" s="281">
        <v>1282</v>
      </c>
      <c r="D71" s="297"/>
      <c r="E71" s="297"/>
      <c r="F71" s="297"/>
    </row>
    <row r="72" spans="1:6" x14ac:dyDescent="0.3">
      <c r="A72" s="40"/>
      <c r="B72" s="281" t="s">
        <v>148</v>
      </c>
      <c r="C72" s="281">
        <v>273</v>
      </c>
      <c r="D72" s="297"/>
      <c r="E72" s="297"/>
      <c r="F72" s="297"/>
    </row>
    <row r="73" spans="1:6" x14ac:dyDescent="0.3">
      <c r="A73" s="40"/>
      <c r="B73" s="281" t="s">
        <v>149</v>
      </c>
      <c r="C73" s="281">
        <v>2602</v>
      </c>
      <c r="D73" s="297"/>
      <c r="E73" s="297"/>
      <c r="F73" s="297"/>
    </row>
    <row r="74" spans="1:6" x14ac:dyDescent="0.3">
      <c r="A74" s="40"/>
      <c r="B74" s="281" t="s">
        <v>150</v>
      </c>
      <c r="C74" s="281">
        <v>2642</v>
      </c>
      <c r="D74" s="297"/>
      <c r="E74" s="297"/>
      <c r="F74" s="297"/>
    </row>
    <row r="75" spans="1:6" x14ac:dyDescent="0.3">
      <c r="A75" s="40"/>
      <c r="B75" s="281" t="s">
        <v>151</v>
      </c>
      <c r="C75" s="281">
        <v>2955</v>
      </c>
      <c r="D75" s="297"/>
      <c r="E75" s="297"/>
      <c r="F75" s="297"/>
    </row>
    <row r="76" spans="1:6" x14ac:dyDescent="0.3">
      <c r="A76" s="40"/>
      <c r="B76" s="281" t="s">
        <v>152</v>
      </c>
      <c r="C76" s="281">
        <v>797</v>
      </c>
      <c r="D76" s="297"/>
      <c r="E76" s="297"/>
      <c r="F76" s="297"/>
    </row>
    <row r="77" spans="1:6" x14ac:dyDescent="0.3">
      <c r="A77" s="40"/>
      <c r="B77" s="281" t="s">
        <v>153</v>
      </c>
      <c r="C77" s="281">
        <v>297</v>
      </c>
      <c r="D77" s="297"/>
      <c r="E77" s="297"/>
      <c r="F77" s="297"/>
    </row>
    <row r="78" spans="1:6" x14ac:dyDescent="0.3">
      <c r="A78" s="40"/>
      <c r="B78" s="281" t="s">
        <v>154</v>
      </c>
      <c r="C78" s="281">
        <v>315</v>
      </c>
      <c r="D78" s="297"/>
      <c r="E78" s="297"/>
      <c r="F78" s="297"/>
    </row>
    <row r="79" spans="1:6" x14ac:dyDescent="0.3">
      <c r="A79" s="40"/>
      <c r="B79" s="281" t="s">
        <v>155</v>
      </c>
      <c r="C79" s="281">
        <v>322</v>
      </c>
      <c r="D79" s="297"/>
      <c r="E79" s="297"/>
      <c r="F79" s="297"/>
    </row>
    <row r="80" spans="1:6" x14ac:dyDescent="0.3">
      <c r="A80" s="40"/>
      <c r="B80" s="281" t="s">
        <v>156</v>
      </c>
      <c r="C80" s="281">
        <v>340</v>
      </c>
      <c r="D80" s="297"/>
      <c r="E80" s="297"/>
      <c r="F80" s="297"/>
    </row>
    <row r="81" spans="1:6" x14ac:dyDescent="0.3">
      <c r="A81" s="40"/>
      <c r="B81" s="281" t="s">
        <v>157</v>
      </c>
      <c r="C81" s="281">
        <v>1280</v>
      </c>
      <c r="D81" s="297"/>
      <c r="E81" s="297"/>
      <c r="F81" s="297"/>
    </row>
    <row r="82" spans="1:6" x14ac:dyDescent="0.3">
      <c r="A82" s="40"/>
      <c r="B82" s="281" t="s">
        <v>158</v>
      </c>
      <c r="C82" s="281">
        <v>1917</v>
      </c>
      <c r="D82" s="297"/>
      <c r="E82" s="297"/>
      <c r="F82" s="297"/>
    </row>
    <row r="83" spans="1:6" x14ac:dyDescent="0.3">
      <c r="A83" s="40"/>
      <c r="B83" s="281" t="s">
        <v>159</v>
      </c>
      <c r="C83" s="281">
        <v>388</v>
      </c>
      <c r="D83" s="297"/>
      <c r="E83" s="297"/>
      <c r="F83" s="297"/>
    </row>
    <row r="84" spans="1:6" x14ac:dyDescent="0.3">
      <c r="A84" s="40"/>
      <c r="B84" s="281" t="s">
        <v>160</v>
      </c>
      <c r="C84" s="281">
        <v>1811</v>
      </c>
      <c r="D84" s="297"/>
      <c r="E84" s="297"/>
      <c r="F84" s="297"/>
    </row>
    <row r="85" spans="1:6" x14ac:dyDescent="0.3">
      <c r="A85" s="40"/>
      <c r="B85" s="281" t="s">
        <v>161</v>
      </c>
      <c r="C85" s="281">
        <v>1916</v>
      </c>
      <c r="D85" s="297"/>
      <c r="E85" s="297"/>
      <c r="F85" s="297"/>
    </row>
    <row r="86" spans="1:6" x14ac:dyDescent="0.3">
      <c r="A86" s="40"/>
      <c r="B86" s="281" t="s">
        <v>162</v>
      </c>
      <c r="C86" s="281">
        <v>2645</v>
      </c>
      <c r="D86" s="297"/>
      <c r="E86" s="297"/>
      <c r="F86" s="297"/>
    </row>
    <row r="87" spans="1:6" x14ac:dyDescent="0.3">
      <c r="A87" s="40"/>
      <c r="B87" s="281" t="s">
        <v>163</v>
      </c>
      <c r="C87" s="281">
        <v>480</v>
      </c>
      <c r="D87" s="297"/>
      <c r="E87" s="297"/>
      <c r="F87" s="297"/>
    </row>
    <row r="88" spans="1:6" x14ac:dyDescent="0.3">
      <c r="A88" s="40"/>
      <c r="B88" s="281" t="s">
        <v>164</v>
      </c>
      <c r="C88" s="281">
        <v>2730</v>
      </c>
      <c r="D88" s="297"/>
      <c r="E88" s="297"/>
      <c r="F88" s="297"/>
    </row>
    <row r="89" spans="1:6" x14ac:dyDescent="0.3">
      <c r="A89" s="40"/>
      <c r="B89" s="281" t="s">
        <v>165</v>
      </c>
      <c r="C89" s="281">
        <v>1899</v>
      </c>
      <c r="D89" s="297"/>
      <c r="E89" s="297"/>
      <c r="F89" s="297"/>
    </row>
    <row r="90" spans="1:6" x14ac:dyDescent="0.3">
      <c r="A90" s="40"/>
      <c r="B90" s="281" t="s">
        <v>166</v>
      </c>
      <c r="C90" s="281">
        <v>2709</v>
      </c>
      <c r="D90" s="297"/>
      <c r="E90" s="297"/>
      <c r="F90" s="297"/>
    </row>
    <row r="91" spans="1:6" x14ac:dyDescent="0.3">
      <c r="A91" s="40"/>
      <c r="B91" s="281" t="s">
        <v>167</v>
      </c>
      <c r="C91" s="281">
        <v>14</v>
      </c>
      <c r="D91" s="297"/>
      <c r="E91" s="297"/>
      <c r="F91" s="297"/>
    </row>
    <row r="92" spans="1:6" x14ac:dyDescent="0.3">
      <c r="A92" s="40" t="s">
        <v>168</v>
      </c>
      <c r="B92" s="281"/>
      <c r="C92" s="281"/>
      <c r="D92" s="297"/>
      <c r="E92" s="297"/>
      <c r="F92" s="297"/>
    </row>
    <row r="93" spans="1:6" x14ac:dyDescent="0.3">
      <c r="A93" s="40"/>
      <c r="B93" s="281" t="s">
        <v>169</v>
      </c>
      <c r="C93" s="281">
        <v>2717</v>
      </c>
      <c r="D93" s="297"/>
      <c r="E93" s="297"/>
      <c r="F93" s="297"/>
    </row>
    <row r="94" spans="1:6" x14ac:dyDescent="0.3">
      <c r="A94" s="40"/>
      <c r="B94" s="281" t="s">
        <v>170</v>
      </c>
      <c r="C94" s="281">
        <v>147</v>
      </c>
      <c r="D94" s="297"/>
      <c r="E94" s="297"/>
      <c r="F94" s="297"/>
    </row>
    <row r="95" spans="1:6" x14ac:dyDescent="0.3">
      <c r="A95" s="40"/>
      <c r="B95" s="281" t="s">
        <v>171</v>
      </c>
      <c r="C95" s="281">
        <v>1215</v>
      </c>
      <c r="D95" s="297"/>
      <c r="E95" s="297"/>
      <c r="F95" s="297"/>
    </row>
    <row r="96" spans="1:6" x14ac:dyDescent="0.3">
      <c r="A96" s="40"/>
      <c r="B96" s="281" t="s">
        <v>172</v>
      </c>
      <c r="C96" s="281">
        <v>751</v>
      </c>
      <c r="D96" s="297"/>
      <c r="E96" s="297"/>
      <c r="F96" s="297"/>
    </row>
    <row r="97" spans="1:6" x14ac:dyDescent="0.3">
      <c r="A97" s="40"/>
      <c r="B97" s="281" t="s">
        <v>173</v>
      </c>
      <c r="C97" s="281">
        <v>750</v>
      </c>
      <c r="D97" s="297"/>
      <c r="E97" s="297"/>
      <c r="F97" s="297"/>
    </row>
    <row r="98" spans="1:6" x14ac:dyDescent="0.3">
      <c r="A98" s="40"/>
      <c r="B98" s="281" t="s">
        <v>174</v>
      </c>
      <c r="C98" s="281">
        <v>149</v>
      </c>
      <c r="D98" s="297"/>
      <c r="E98" s="297"/>
      <c r="F98" s="297"/>
    </row>
    <row r="99" spans="1:6" x14ac:dyDescent="0.3">
      <c r="A99" s="40"/>
      <c r="B99" s="281" t="s">
        <v>175</v>
      </c>
      <c r="C99" s="281">
        <v>145</v>
      </c>
      <c r="D99" s="297"/>
      <c r="E99" s="297"/>
      <c r="F99" s="297"/>
    </row>
    <row r="100" spans="1:6" x14ac:dyDescent="0.3">
      <c r="A100" s="40"/>
      <c r="B100" s="281" t="s">
        <v>176</v>
      </c>
      <c r="C100" s="281">
        <v>1213</v>
      </c>
      <c r="D100" s="297"/>
      <c r="E100" s="297"/>
      <c r="F100" s="297"/>
    </row>
    <row r="101" spans="1:6" x14ac:dyDescent="0.3">
      <c r="A101" s="40"/>
      <c r="B101" s="281" t="s">
        <v>177</v>
      </c>
      <c r="C101" s="281">
        <v>748</v>
      </c>
      <c r="D101" s="297"/>
      <c r="E101" s="297"/>
      <c r="F101" s="297"/>
    </row>
    <row r="102" spans="1:6" x14ac:dyDescent="0.3">
      <c r="A102" s="40"/>
      <c r="B102" s="281" t="s">
        <v>178</v>
      </c>
      <c r="C102" s="281">
        <v>1293</v>
      </c>
      <c r="D102" s="297"/>
      <c r="E102" s="297"/>
      <c r="F102" s="297"/>
    </row>
    <row r="103" spans="1:6" x14ac:dyDescent="0.3">
      <c r="A103" s="40"/>
      <c r="B103" s="281" t="s">
        <v>179</v>
      </c>
      <c r="C103" s="281">
        <v>1212</v>
      </c>
      <c r="D103" s="297"/>
      <c r="E103" s="297"/>
      <c r="F103" s="297"/>
    </row>
    <row r="104" spans="1:6" x14ac:dyDescent="0.3">
      <c r="A104" s="40"/>
      <c r="B104" s="281" t="s">
        <v>180</v>
      </c>
      <c r="C104" s="281">
        <v>337</v>
      </c>
      <c r="D104" s="297"/>
      <c r="E104" s="297"/>
      <c r="F104" s="297"/>
    </row>
    <row r="105" spans="1:6" x14ac:dyDescent="0.3">
      <c r="A105" s="40"/>
      <c r="B105" s="281" t="s">
        <v>181</v>
      </c>
      <c r="C105" s="281">
        <v>2716</v>
      </c>
      <c r="D105" s="297"/>
      <c r="E105" s="297"/>
      <c r="F105" s="297"/>
    </row>
    <row r="106" spans="1:6" x14ac:dyDescent="0.3">
      <c r="A106" s="40"/>
      <c r="B106" s="281" t="s">
        <v>182</v>
      </c>
      <c r="C106" s="281">
        <v>1292</v>
      </c>
      <c r="D106" s="297"/>
      <c r="E106" s="297"/>
      <c r="F106" s="297"/>
    </row>
    <row r="107" spans="1:6" x14ac:dyDescent="0.3">
      <c r="A107" s="40"/>
      <c r="B107" s="281" t="s">
        <v>183</v>
      </c>
      <c r="C107" s="281">
        <v>1214</v>
      </c>
      <c r="D107" s="297"/>
      <c r="E107" s="297"/>
      <c r="F107" s="297"/>
    </row>
    <row r="108" spans="1:6" x14ac:dyDescent="0.3">
      <c r="A108" s="40"/>
      <c r="B108" s="281" t="s">
        <v>184</v>
      </c>
      <c r="C108" s="281">
        <v>749</v>
      </c>
      <c r="D108" s="297"/>
      <c r="E108" s="297"/>
      <c r="F108" s="297"/>
    </row>
    <row r="109" spans="1:6" x14ac:dyDescent="0.3">
      <c r="A109" s="40"/>
      <c r="B109" s="281" t="s">
        <v>185</v>
      </c>
      <c r="C109" s="281">
        <v>1294</v>
      </c>
      <c r="D109" s="297"/>
      <c r="E109" s="297"/>
      <c r="F109" s="297"/>
    </row>
    <row r="110" spans="1:6" x14ac:dyDescent="0.3">
      <c r="A110" s="40"/>
      <c r="B110" s="281" t="s">
        <v>186</v>
      </c>
      <c r="C110" s="281">
        <v>604</v>
      </c>
      <c r="D110" s="297"/>
      <c r="E110" s="297"/>
      <c r="F110" s="297"/>
    </row>
    <row r="111" spans="1:6" x14ac:dyDescent="0.3">
      <c r="A111" s="40" t="s">
        <v>187</v>
      </c>
      <c r="B111" s="281"/>
      <c r="C111" s="281"/>
      <c r="D111" s="297"/>
      <c r="E111" s="297"/>
      <c r="F111" s="297"/>
    </row>
    <row r="112" spans="1:6" x14ac:dyDescent="0.3">
      <c r="A112" s="40"/>
      <c r="B112" s="281" t="s">
        <v>188</v>
      </c>
      <c r="C112" s="281">
        <v>820</v>
      </c>
      <c r="D112" s="297"/>
      <c r="E112" s="297"/>
      <c r="F112" s="297"/>
    </row>
    <row r="113" spans="1:6" x14ac:dyDescent="0.3">
      <c r="A113" s="40"/>
      <c r="B113" s="281" t="s">
        <v>189</v>
      </c>
      <c r="C113" s="281">
        <v>159</v>
      </c>
      <c r="D113" s="297"/>
      <c r="E113" s="297"/>
      <c r="F113" s="297"/>
    </row>
    <row r="114" spans="1:6" x14ac:dyDescent="0.3">
      <c r="A114" s="40"/>
      <c r="B114" s="281" t="s">
        <v>190</v>
      </c>
      <c r="C114" s="281">
        <v>161</v>
      </c>
      <c r="D114" s="297"/>
      <c r="E114" s="297"/>
      <c r="F114" s="297"/>
    </row>
    <row r="115" spans="1:6" x14ac:dyDescent="0.3">
      <c r="A115" s="40"/>
      <c r="B115" s="281" t="s">
        <v>191</v>
      </c>
      <c r="C115" s="281">
        <v>1380</v>
      </c>
      <c r="D115" s="297"/>
      <c r="E115" s="297"/>
      <c r="F115" s="297"/>
    </row>
    <row r="116" spans="1:6" x14ac:dyDescent="0.3">
      <c r="A116" s="40"/>
      <c r="B116" s="281" t="s">
        <v>192</v>
      </c>
      <c r="C116" s="281">
        <v>2575</v>
      </c>
      <c r="D116" s="297"/>
      <c r="E116" s="297"/>
      <c r="F116" s="297"/>
    </row>
    <row r="117" spans="1:6" x14ac:dyDescent="0.3">
      <c r="A117" s="40"/>
      <c r="B117" s="281" t="s">
        <v>193</v>
      </c>
      <c r="C117" s="281">
        <v>1381</v>
      </c>
      <c r="D117" s="297"/>
      <c r="E117" s="297"/>
      <c r="F117" s="297"/>
    </row>
    <row r="118" spans="1:6" x14ac:dyDescent="0.3">
      <c r="A118" s="40"/>
      <c r="B118" s="281" t="s">
        <v>194</v>
      </c>
      <c r="C118" s="281">
        <v>163</v>
      </c>
      <c r="D118" s="297"/>
      <c r="E118" s="297"/>
      <c r="F118" s="297"/>
    </row>
    <row r="119" spans="1:6" x14ac:dyDescent="0.3">
      <c r="A119" s="40"/>
      <c r="B119" s="281" t="s">
        <v>195</v>
      </c>
      <c r="C119" s="281">
        <v>1721</v>
      </c>
      <c r="D119" s="297"/>
      <c r="E119" s="297"/>
      <c r="F119" s="297"/>
    </row>
    <row r="120" spans="1:6" x14ac:dyDescent="0.3">
      <c r="A120" s="40"/>
      <c r="B120" s="281" t="s">
        <v>196</v>
      </c>
      <c r="C120" s="281">
        <v>1722</v>
      </c>
      <c r="D120" s="297"/>
      <c r="E120" s="297"/>
      <c r="F120" s="297"/>
    </row>
    <row r="121" spans="1:6" x14ac:dyDescent="0.3">
      <c r="A121" s="40"/>
      <c r="B121" s="281" t="s">
        <v>197</v>
      </c>
      <c r="C121" s="281">
        <v>724</v>
      </c>
      <c r="D121" s="297"/>
      <c r="E121" s="297"/>
      <c r="F121" s="297"/>
    </row>
    <row r="122" spans="1:6" x14ac:dyDescent="0.3">
      <c r="A122" s="40"/>
      <c r="B122" s="281" t="s">
        <v>198</v>
      </c>
      <c r="C122" s="281">
        <v>1371</v>
      </c>
      <c r="D122" s="297"/>
      <c r="E122" s="297"/>
      <c r="F122" s="297"/>
    </row>
    <row r="123" spans="1:6" x14ac:dyDescent="0.3">
      <c r="A123" s="40"/>
      <c r="B123" s="281" t="s">
        <v>199</v>
      </c>
      <c r="C123" s="281">
        <v>1372</v>
      </c>
      <c r="D123" s="297"/>
      <c r="E123" s="297"/>
      <c r="F123" s="297"/>
    </row>
    <row r="124" spans="1:6" x14ac:dyDescent="0.3">
      <c r="A124" s="40"/>
      <c r="B124" s="281" t="s">
        <v>200</v>
      </c>
      <c r="C124" s="281">
        <v>1216</v>
      </c>
      <c r="D124" s="297"/>
      <c r="E124" s="297"/>
      <c r="F124" s="297"/>
    </row>
    <row r="125" spans="1:6" x14ac:dyDescent="0.3">
      <c r="A125" s="40"/>
      <c r="B125" s="281" t="s">
        <v>201</v>
      </c>
      <c r="C125" s="281">
        <v>1218</v>
      </c>
      <c r="D125" s="297"/>
      <c r="E125" s="297"/>
      <c r="F125" s="297"/>
    </row>
    <row r="126" spans="1:6" x14ac:dyDescent="0.3">
      <c r="A126" s="40"/>
      <c r="B126" s="281" t="s">
        <v>202</v>
      </c>
      <c r="C126" s="281">
        <v>1219</v>
      </c>
      <c r="D126" s="297"/>
      <c r="E126" s="297"/>
      <c r="F126" s="297"/>
    </row>
    <row r="127" spans="1:6" x14ac:dyDescent="0.3">
      <c r="A127" s="40"/>
      <c r="B127" s="281" t="s">
        <v>203</v>
      </c>
      <c r="C127" s="281">
        <v>1220</v>
      </c>
      <c r="D127" s="297"/>
      <c r="E127" s="297"/>
      <c r="F127" s="297"/>
    </row>
    <row r="128" spans="1:6" x14ac:dyDescent="0.3">
      <c r="A128" s="40"/>
      <c r="B128" s="281" t="s">
        <v>204</v>
      </c>
      <c r="C128" s="281">
        <v>2852</v>
      </c>
      <c r="D128" s="297"/>
      <c r="E128" s="297"/>
      <c r="F128" s="297"/>
    </row>
    <row r="129" spans="1:6" x14ac:dyDescent="0.3">
      <c r="A129" s="40"/>
      <c r="B129" s="281" t="s">
        <v>205</v>
      </c>
      <c r="C129" s="281">
        <v>1221</v>
      </c>
      <c r="D129" s="297"/>
      <c r="E129" s="297"/>
      <c r="F129" s="297"/>
    </row>
    <row r="130" spans="1:6" x14ac:dyDescent="0.3">
      <c r="A130" s="40"/>
      <c r="B130" s="281" t="s">
        <v>206</v>
      </c>
      <c r="C130" s="281">
        <v>1222</v>
      </c>
      <c r="D130" s="297"/>
      <c r="E130" s="297"/>
      <c r="F130" s="297"/>
    </row>
    <row r="131" spans="1:6" x14ac:dyDescent="0.3">
      <c r="A131" s="40"/>
      <c r="B131" s="281" t="s">
        <v>207</v>
      </c>
      <c r="C131" s="281">
        <v>3</v>
      </c>
      <c r="D131" s="297"/>
      <c r="E131" s="297"/>
      <c r="F131" s="297"/>
    </row>
    <row r="132" spans="1:6" x14ac:dyDescent="0.3">
      <c r="A132" s="40"/>
      <c r="B132" s="281" t="s">
        <v>208</v>
      </c>
      <c r="C132" s="281">
        <v>662</v>
      </c>
      <c r="D132" s="297"/>
      <c r="E132" s="297"/>
      <c r="F132" s="297"/>
    </row>
    <row r="133" spans="1:6" x14ac:dyDescent="0.3">
      <c r="A133" s="40"/>
      <c r="B133" s="281" t="s">
        <v>209</v>
      </c>
      <c r="C133" s="281">
        <v>2776</v>
      </c>
      <c r="D133" s="297"/>
      <c r="E133" s="297"/>
      <c r="F133" s="297"/>
    </row>
    <row r="134" spans="1:6" x14ac:dyDescent="0.3">
      <c r="A134" s="40"/>
      <c r="B134" s="281" t="s">
        <v>210</v>
      </c>
      <c r="C134" s="281">
        <v>854</v>
      </c>
      <c r="D134" s="297"/>
      <c r="E134" s="297"/>
      <c r="F134" s="297"/>
    </row>
    <row r="135" spans="1:6" x14ac:dyDescent="0.3">
      <c r="A135" s="40"/>
      <c r="B135" s="281" t="s">
        <v>211</v>
      </c>
      <c r="C135" s="281">
        <v>2640</v>
      </c>
      <c r="D135" s="297"/>
      <c r="E135" s="297"/>
      <c r="F135" s="297"/>
    </row>
    <row r="136" spans="1:6" x14ac:dyDescent="0.3">
      <c r="A136" s="40"/>
      <c r="B136" s="281" t="s">
        <v>212</v>
      </c>
      <c r="C136" s="281">
        <v>2567</v>
      </c>
      <c r="D136" s="297"/>
      <c r="E136" s="297"/>
      <c r="F136" s="297"/>
    </row>
    <row r="137" spans="1:6" x14ac:dyDescent="0.3">
      <c r="A137" s="40"/>
      <c r="B137" s="281" t="s">
        <v>213</v>
      </c>
      <c r="C137" s="281">
        <v>1021</v>
      </c>
      <c r="D137" s="297"/>
      <c r="E137" s="297"/>
      <c r="F137" s="297"/>
    </row>
    <row r="138" spans="1:6" x14ac:dyDescent="0.3">
      <c r="A138" s="40"/>
      <c r="B138" s="281" t="s">
        <v>214</v>
      </c>
      <c r="C138" s="281">
        <v>18</v>
      </c>
      <c r="D138" s="297"/>
      <c r="E138" s="297"/>
      <c r="F138" s="297"/>
    </row>
    <row r="139" spans="1:6" x14ac:dyDescent="0.3">
      <c r="A139" s="40"/>
      <c r="B139" s="281" t="s">
        <v>215</v>
      </c>
      <c r="C139" s="281">
        <v>2849</v>
      </c>
      <c r="D139" s="297"/>
      <c r="E139" s="297"/>
      <c r="F139" s="297"/>
    </row>
    <row r="140" spans="1:6" x14ac:dyDescent="0.3">
      <c r="A140" s="40"/>
      <c r="B140" s="281" t="s">
        <v>216</v>
      </c>
      <c r="C140" s="281">
        <v>2595</v>
      </c>
      <c r="D140" s="297"/>
      <c r="E140" s="297"/>
      <c r="F140" s="297"/>
    </row>
    <row r="141" spans="1:6" x14ac:dyDescent="0.3">
      <c r="A141" s="40"/>
      <c r="B141" s="281" t="s">
        <v>217</v>
      </c>
      <c r="C141" s="281">
        <v>2569</v>
      </c>
      <c r="D141" s="297"/>
      <c r="E141" s="297"/>
      <c r="F141" s="297"/>
    </row>
    <row r="142" spans="1:6" x14ac:dyDescent="0.3">
      <c r="A142" s="40"/>
      <c r="B142" s="281" t="s">
        <v>218</v>
      </c>
      <c r="C142" s="281">
        <v>2933</v>
      </c>
      <c r="D142" s="297"/>
      <c r="E142" s="297"/>
      <c r="F142" s="297"/>
    </row>
    <row r="143" spans="1:6" x14ac:dyDescent="0.3">
      <c r="A143" s="40"/>
      <c r="B143" s="281" t="s">
        <v>219</v>
      </c>
      <c r="C143" s="281">
        <v>2199</v>
      </c>
      <c r="D143" s="297"/>
      <c r="E143" s="297"/>
      <c r="F143" s="297"/>
    </row>
    <row r="144" spans="1:6" x14ac:dyDescent="0.3">
      <c r="A144" s="40"/>
      <c r="B144" s="281" t="s">
        <v>220</v>
      </c>
      <c r="C144" s="281">
        <v>1805</v>
      </c>
      <c r="D144" s="297"/>
      <c r="E144" s="297"/>
      <c r="F144" s="297"/>
    </row>
    <row r="145" spans="1:6" x14ac:dyDescent="0.3">
      <c r="A145" s="40"/>
      <c r="B145" s="281" t="s">
        <v>221</v>
      </c>
      <c r="C145" s="281">
        <v>2559</v>
      </c>
      <c r="D145" s="297"/>
      <c r="E145" s="297"/>
      <c r="F145" s="297"/>
    </row>
    <row r="146" spans="1:6" x14ac:dyDescent="0.3">
      <c r="A146" s="40"/>
      <c r="B146" s="281" t="s">
        <v>222</v>
      </c>
      <c r="C146" s="281">
        <v>2712</v>
      </c>
      <c r="D146" s="297"/>
      <c r="E146" s="297"/>
      <c r="F146" s="297"/>
    </row>
    <row r="147" spans="1:6" x14ac:dyDescent="0.3">
      <c r="A147" s="40"/>
      <c r="B147" s="281" t="s">
        <v>223</v>
      </c>
      <c r="C147" s="281">
        <v>2855</v>
      </c>
      <c r="D147" s="297"/>
      <c r="E147" s="297"/>
      <c r="F147" s="297"/>
    </row>
    <row r="148" spans="1:6" x14ac:dyDescent="0.3">
      <c r="A148" s="40"/>
      <c r="B148" s="281" t="s">
        <v>224</v>
      </c>
      <c r="C148" s="281">
        <v>1804</v>
      </c>
      <c r="D148" s="297"/>
      <c r="E148" s="297"/>
      <c r="F148" s="297"/>
    </row>
    <row r="149" spans="1:6" x14ac:dyDescent="0.3">
      <c r="A149" s="40"/>
      <c r="B149" s="281" t="s">
        <v>225</v>
      </c>
      <c r="C149" s="281">
        <v>2670</v>
      </c>
      <c r="D149" s="297"/>
      <c r="E149" s="297"/>
      <c r="F149" s="297"/>
    </row>
    <row r="150" spans="1:6" x14ac:dyDescent="0.3">
      <c r="A150" s="40"/>
      <c r="B150" s="281" t="s">
        <v>226</v>
      </c>
      <c r="C150" s="281">
        <v>1803</v>
      </c>
      <c r="D150" s="297"/>
      <c r="E150" s="297"/>
      <c r="F150" s="297"/>
    </row>
    <row r="151" spans="1:6" x14ac:dyDescent="0.3">
      <c r="A151" s="40"/>
      <c r="B151" s="281" t="s">
        <v>227</v>
      </c>
      <c r="C151" s="281">
        <v>2001</v>
      </c>
      <c r="D151" s="297"/>
      <c r="E151" s="297"/>
      <c r="F151" s="297"/>
    </row>
    <row r="152" spans="1:6" x14ac:dyDescent="0.3">
      <c r="A152" s="40"/>
      <c r="B152" s="281" t="s">
        <v>228</v>
      </c>
      <c r="C152" s="281">
        <v>2596</v>
      </c>
      <c r="D152" s="297"/>
      <c r="E152" s="297"/>
      <c r="F152" s="297"/>
    </row>
    <row r="153" spans="1:6" x14ac:dyDescent="0.3">
      <c r="A153" s="40"/>
      <c r="B153" s="281" t="s">
        <v>229</v>
      </c>
      <c r="C153" s="281">
        <v>2924</v>
      </c>
      <c r="D153" s="297"/>
      <c r="E153" s="297"/>
      <c r="F153" s="297"/>
    </row>
    <row r="154" spans="1:6" x14ac:dyDescent="0.3">
      <c r="A154" s="40"/>
      <c r="B154" s="281" t="s">
        <v>230</v>
      </c>
      <c r="C154" s="281">
        <v>2923</v>
      </c>
      <c r="D154" s="297"/>
      <c r="E154" s="297"/>
      <c r="F154" s="297"/>
    </row>
    <row r="155" spans="1:6" x14ac:dyDescent="0.3">
      <c r="A155" s="40"/>
      <c r="B155" s="281" t="s">
        <v>231</v>
      </c>
      <c r="C155" s="281">
        <v>2792</v>
      </c>
      <c r="D155" s="297"/>
      <c r="E155" s="297"/>
      <c r="F155" s="297"/>
    </row>
    <row r="156" spans="1:6" x14ac:dyDescent="0.3">
      <c r="A156" s="40"/>
      <c r="B156" s="281" t="s">
        <v>232</v>
      </c>
      <c r="C156" s="281">
        <v>1896</v>
      </c>
      <c r="D156" s="297"/>
      <c r="E156" s="297"/>
      <c r="F156" s="297"/>
    </row>
    <row r="157" spans="1:6" x14ac:dyDescent="0.3">
      <c r="A157" s="40"/>
      <c r="B157" s="281" t="s">
        <v>233</v>
      </c>
      <c r="C157" s="281">
        <v>2023</v>
      </c>
      <c r="D157" s="297"/>
      <c r="E157" s="297"/>
      <c r="F157" s="297"/>
    </row>
    <row r="158" spans="1:6" x14ac:dyDescent="0.3">
      <c r="A158" s="40"/>
      <c r="B158" s="281" t="s">
        <v>234</v>
      </c>
      <c r="C158" s="281">
        <v>1377</v>
      </c>
      <c r="D158" s="297"/>
      <c r="E158" s="297"/>
      <c r="F158" s="297"/>
    </row>
    <row r="159" spans="1:6" x14ac:dyDescent="0.3">
      <c r="A159" s="40"/>
      <c r="B159" s="281" t="s">
        <v>235</v>
      </c>
      <c r="C159" s="281">
        <v>2570</v>
      </c>
      <c r="D159" s="297"/>
      <c r="E159" s="297"/>
      <c r="F159" s="297"/>
    </row>
    <row r="160" spans="1:6" x14ac:dyDescent="0.3">
      <c r="A160" s="40"/>
      <c r="B160" s="281" t="s">
        <v>236</v>
      </c>
      <c r="C160" s="281">
        <v>2594</v>
      </c>
      <c r="D160" s="297"/>
      <c r="E160" s="297"/>
      <c r="F160" s="297"/>
    </row>
    <row r="161" spans="1:6" x14ac:dyDescent="0.3">
      <c r="A161" s="40"/>
      <c r="B161" s="281" t="s">
        <v>237</v>
      </c>
      <c r="C161" s="281">
        <v>1375</v>
      </c>
      <c r="D161" s="297"/>
      <c r="E161" s="297"/>
      <c r="F161" s="297"/>
    </row>
    <row r="162" spans="1:6" x14ac:dyDescent="0.3">
      <c r="A162" s="40"/>
      <c r="B162" s="281" t="s">
        <v>238</v>
      </c>
      <c r="C162" s="281">
        <v>1378</v>
      </c>
      <c r="D162" s="297"/>
      <c r="E162" s="297"/>
      <c r="F162" s="297"/>
    </row>
    <row r="163" spans="1:6" x14ac:dyDescent="0.3">
      <c r="A163" s="40"/>
      <c r="B163" s="281" t="s">
        <v>239</v>
      </c>
      <c r="C163" s="281">
        <v>1345</v>
      </c>
      <c r="D163" s="297"/>
      <c r="E163" s="297"/>
      <c r="F163" s="297"/>
    </row>
    <row r="164" spans="1:6" x14ac:dyDescent="0.3">
      <c r="A164" s="40"/>
      <c r="B164" s="281" t="s">
        <v>240</v>
      </c>
      <c r="C164" s="281">
        <v>1364</v>
      </c>
      <c r="D164" s="297"/>
      <c r="E164" s="297"/>
      <c r="F164" s="297"/>
    </row>
    <row r="165" spans="1:6" x14ac:dyDescent="0.3">
      <c r="A165" s="40"/>
      <c r="B165" s="281" t="s">
        <v>241</v>
      </c>
      <c r="C165" s="281">
        <v>2593</v>
      </c>
      <c r="D165" s="297"/>
      <c r="E165" s="297"/>
      <c r="F165" s="297"/>
    </row>
    <row r="166" spans="1:6" x14ac:dyDescent="0.3">
      <c r="A166" s="40"/>
      <c r="B166" s="281" t="s">
        <v>242</v>
      </c>
      <c r="C166" s="281">
        <v>1379</v>
      </c>
      <c r="D166" s="297"/>
      <c r="E166" s="297"/>
      <c r="F166" s="297"/>
    </row>
    <row r="167" spans="1:6" x14ac:dyDescent="0.3">
      <c r="A167" s="40"/>
      <c r="B167" s="281" t="s">
        <v>243</v>
      </c>
      <c r="C167" s="281">
        <v>1921</v>
      </c>
      <c r="D167" s="297"/>
      <c r="E167" s="297"/>
      <c r="F167" s="297"/>
    </row>
    <row r="168" spans="1:6" x14ac:dyDescent="0.3">
      <c r="A168" s="40"/>
      <c r="B168" s="281" t="s">
        <v>244</v>
      </c>
      <c r="C168" s="281">
        <v>1723</v>
      </c>
      <c r="D168" s="297"/>
      <c r="E168" s="297"/>
      <c r="F168" s="297"/>
    </row>
    <row r="169" spans="1:6" x14ac:dyDescent="0.3">
      <c r="A169" s="40"/>
      <c r="B169" s="281" t="s">
        <v>245</v>
      </c>
      <c r="C169" s="281">
        <v>1933</v>
      </c>
      <c r="D169" s="297"/>
      <c r="E169" s="297"/>
      <c r="F169" s="297"/>
    </row>
    <row r="170" spans="1:6" x14ac:dyDescent="0.3">
      <c r="A170" s="40"/>
      <c r="B170" s="281" t="s">
        <v>246</v>
      </c>
      <c r="C170" s="281">
        <v>2636</v>
      </c>
      <c r="D170" s="297"/>
      <c r="E170" s="297"/>
      <c r="F170" s="297"/>
    </row>
    <row r="171" spans="1:6" x14ac:dyDescent="0.3">
      <c r="A171" s="40"/>
      <c r="B171" s="281" t="s">
        <v>247</v>
      </c>
      <c r="C171" s="281">
        <v>1376</v>
      </c>
      <c r="D171" s="297"/>
      <c r="E171" s="297"/>
      <c r="F171" s="297"/>
    </row>
    <row r="172" spans="1:6" x14ac:dyDescent="0.3">
      <c r="A172" s="40"/>
      <c r="B172" s="281" t="s">
        <v>248</v>
      </c>
      <c r="C172" s="281">
        <v>684</v>
      </c>
      <c r="D172" s="297"/>
      <c r="E172" s="297"/>
      <c r="F172" s="297"/>
    </row>
    <row r="173" spans="1:6" ht="31.2" x14ac:dyDescent="0.3">
      <c r="A173" s="40" t="s">
        <v>249</v>
      </c>
      <c r="B173" s="281"/>
      <c r="C173" s="281"/>
      <c r="D173" s="297"/>
      <c r="E173" s="297"/>
      <c r="F173" s="297"/>
    </row>
    <row r="174" spans="1:6" x14ac:dyDescent="0.3">
      <c r="A174" s="40"/>
      <c r="B174" s="281" t="s">
        <v>250</v>
      </c>
      <c r="C174" s="281">
        <v>1201</v>
      </c>
      <c r="D174" s="297"/>
      <c r="E174" s="297"/>
      <c r="F174" s="297"/>
    </row>
    <row r="175" spans="1:6" x14ac:dyDescent="0.3">
      <c r="A175" s="40"/>
      <c r="B175" s="281" t="s">
        <v>251</v>
      </c>
      <c r="C175" s="281">
        <v>25</v>
      </c>
      <c r="D175" s="297"/>
      <c r="E175" s="297"/>
      <c r="F175" s="297"/>
    </row>
    <row r="176" spans="1:6" x14ac:dyDescent="0.3">
      <c r="A176" s="40"/>
      <c r="B176" s="281" t="s">
        <v>252</v>
      </c>
      <c r="C176" s="281">
        <v>37</v>
      </c>
      <c r="D176" s="297"/>
      <c r="E176" s="297"/>
      <c r="F176" s="297"/>
    </row>
    <row r="177" spans="1:6" x14ac:dyDescent="0.3">
      <c r="A177" s="40"/>
      <c r="B177" s="281" t="s">
        <v>253</v>
      </c>
      <c r="C177" s="281">
        <v>2411</v>
      </c>
      <c r="D177" s="297"/>
      <c r="E177" s="297"/>
      <c r="F177" s="297"/>
    </row>
    <row r="178" spans="1:6" x14ac:dyDescent="0.3">
      <c r="A178" s="40"/>
      <c r="B178" s="281" t="s">
        <v>254</v>
      </c>
      <c r="C178" s="281">
        <v>57</v>
      </c>
      <c r="D178" s="297"/>
      <c r="E178" s="297"/>
      <c r="F178" s="297"/>
    </row>
    <row r="179" spans="1:6" x14ac:dyDescent="0.3">
      <c r="A179" s="40"/>
      <c r="B179" s="281" t="s">
        <v>255</v>
      </c>
      <c r="C179" s="281">
        <v>2533</v>
      </c>
      <c r="D179" s="297"/>
      <c r="E179" s="297"/>
      <c r="F179" s="297"/>
    </row>
    <row r="180" spans="1:6" x14ac:dyDescent="0.3">
      <c r="A180" s="40"/>
      <c r="B180" s="281" t="s">
        <v>256</v>
      </c>
      <c r="C180" s="281">
        <v>1277</v>
      </c>
      <c r="D180" s="297"/>
      <c r="E180" s="297"/>
      <c r="F180" s="297"/>
    </row>
    <row r="181" spans="1:6" x14ac:dyDescent="0.3">
      <c r="A181" s="40"/>
      <c r="B181" s="281" t="s">
        <v>257</v>
      </c>
      <c r="C181" s="281">
        <v>212</v>
      </c>
      <c r="D181" s="297"/>
      <c r="E181" s="297"/>
      <c r="F181" s="297"/>
    </row>
    <row r="182" spans="1:6" x14ac:dyDescent="0.3">
      <c r="A182" s="40"/>
      <c r="B182" s="281" t="s">
        <v>258</v>
      </c>
      <c r="C182" s="281">
        <v>846</v>
      </c>
      <c r="D182" s="297"/>
      <c r="E182" s="297"/>
      <c r="F182" s="297"/>
    </row>
    <row r="183" spans="1:6" x14ac:dyDescent="0.3">
      <c r="A183" s="40"/>
      <c r="B183" s="281" t="s">
        <v>259</v>
      </c>
      <c r="C183" s="281">
        <v>102</v>
      </c>
      <c r="D183" s="297"/>
      <c r="E183" s="297"/>
      <c r="F183" s="297"/>
    </row>
    <row r="184" spans="1:6" x14ac:dyDescent="0.3">
      <c r="A184" s="40"/>
      <c r="B184" s="281" t="s">
        <v>260</v>
      </c>
      <c r="C184" s="281">
        <v>100</v>
      </c>
      <c r="D184" s="297"/>
      <c r="E184" s="297"/>
      <c r="F184" s="297"/>
    </row>
    <row r="185" spans="1:6" x14ac:dyDescent="0.3">
      <c r="A185" s="40"/>
      <c r="B185" s="281" t="s">
        <v>261</v>
      </c>
      <c r="C185" s="281">
        <v>119</v>
      </c>
      <c r="D185" s="297"/>
      <c r="E185" s="297"/>
      <c r="F185" s="297"/>
    </row>
    <row r="186" spans="1:6" x14ac:dyDescent="0.3">
      <c r="A186" s="40"/>
      <c r="B186" s="281" t="s">
        <v>262</v>
      </c>
      <c r="C186" s="281">
        <v>2947</v>
      </c>
      <c r="D186" s="297"/>
      <c r="E186" s="297"/>
      <c r="F186" s="297"/>
    </row>
    <row r="187" spans="1:6" x14ac:dyDescent="0.3">
      <c r="A187" s="40"/>
      <c r="B187" s="281" t="s">
        <v>263</v>
      </c>
      <c r="C187" s="281">
        <v>140</v>
      </c>
      <c r="D187" s="297"/>
      <c r="E187" s="297"/>
      <c r="F187" s="297"/>
    </row>
    <row r="188" spans="1:6" x14ac:dyDescent="0.3">
      <c r="A188" s="40"/>
      <c r="B188" s="281" t="s">
        <v>264</v>
      </c>
      <c r="C188" s="281">
        <v>2012</v>
      </c>
      <c r="D188" s="297"/>
      <c r="E188" s="297"/>
      <c r="F188" s="297"/>
    </row>
    <row r="189" spans="1:6" x14ac:dyDescent="0.3">
      <c r="A189" s="40"/>
      <c r="B189" s="281" t="s">
        <v>265</v>
      </c>
      <c r="C189" s="281">
        <v>190</v>
      </c>
      <c r="D189" s="297"/>
      <c r="E189" s="297"/>
      <c r="F189" s="297"/>
    </row>
    <row r="190" spans="1:6" x14ac:dyDescent="0.3">
      <c r="A190" s="40"/>
      <c r="B190" s="281" t="s">
        <v>266</v>
      </c>
      <c r="C190" s="281">
        <v>1874</v>
      </c>
      <c r="D190" s="297"/>
      <c r="E190" s="297"/>
      <c r="F190" s="297"/>
    </row>
    <row r="191" spans="1:6" x14ac:dyDescent="0.3">
      <c r="A191" s="40"/>
      <c r="B191" s="281" t="s">
        <v>267</v>
      </c>
      <c r="C191" s="281">
        <v>2848</v>
      </c>
      <c r="D191" s="297"/>
      <c r="E191" s="297"/>
      <c r="F191" s="297"/>
    </row>
    <row r="192" spans="1:6" x14ac:dyDescent="0.3">
      <c r="A192" s="40"/>
      <c r="B192" s="281" t="s">
        <v>268</v>
      </c>
      <c r="C192" s="281">
        <v>294</v>
      </c>
      <c r="D192" s="297"/>
      <c r="E192" s="297"/>
      <c r="F192" s="297"/>
    </row>
    <row r="193" spans="1:6" x14ac:dyDescent="0.3">
      <c r="A193" s="40"/>
      <c r="B193" s="281" t="s">
        <v>269</v>
      </c>
      <c r="C193" s="281">
        <v>305</v>
      </c>
      <c r="D193" s="297"/>
      <c r="E193" s="297"/>
      <c r="F193" s="297"/>
    </row>
    <row r="194" spans="1:6" x14ac:dyDescent="0.3">
      <c r="A194" s="40"/>
      <c r="B194" s="281" t="s">
        <v>270</v>
      </c>
      <c r="C194" s="281">
        <v>1202</v>
      </c>
      <c r="D194" s="297"/>
      <c r="E194" s="297"/>
      <c r="F194" s="297"/>
    </row>
    <row r="195" spans="1:6" x14ac:dyDescent="0.3">
      <c r="A195" s="40"/>
      <c r="B195" s="281" t="s">
        <v>271</v>
      </c>
      <c r="C195" s="281">
        <v>833</v>
      </c>
      <c r="D195" s="297"/>
      <c r="E195" s="297"/>
      <c r="F195" s="297"/>
    </row>
    <row r="196" spans="1:6" x14ac:dyDescent="0.3">
      <c r="A196" s="40"/>
      <c r="B196" s="281" t="s">
        <v>272</v>
      </c>
      <c r="C196" s="281">
        <v>819</v>
      </c>
      <c r="D196" s="297"/>
      <c r="E196" s="297"/>
      <c r="F196" s="297"/>
    </row>
    <row r="197" spans="1:6" x14ac:dyDescent="0.3">
      <c r="A197" s="40"/>
      <c r="B197" s="281" t="s">
        <v>273</v>
      </c>
      <c r="C197" s="281">
        <v>2850</v>
      </c>
      <c r="D197" s="297"/>
      <c r="E197" s="297"/>
      <c r="F197" s="297"/>
    </row>
    <row r="198" spans="1:6" x14ac:dyDescent="0.3">
      <c r="A198" s="40"/>
      <c r="B198" s="281" t="s">
        <v>274</v>
      </c>
      <c r="C198" s="281">
        <v>1278</v>
      </c>
      <c r="D198" s="297"/>
      <c r="E198" s="297"/>
      <c r="F198" s="297"/>
    </row>
    <row r="199" spans="1:6" x14ac:dyDescent="0.3">
      <c r="A199" s="40"/>
      <c r="B199" s="281" t="s">
        <v>275</v>
      </c>
      <c r="C199" s="281">
        <v>1814</v>
      </c>
      <c r="D199" s="297"/>
      <c r="E199" s="297"/>
      <c r="F199" s="297"/>
    </row>
    <row r="200" spans="1:6" x14ac:dyDescent="0.3">
      <c r="A200" s="40"/>
      <c r="B200" s="281" t="s">
        <v>276</v>
      </c>
      <c r="C200" s="281">
        <v>1891</v>
      </c>
      <c r="D200" s="297"/>
      <c r="E200" s="297"/>
      <c r="F200" s="297"/>
    </row>
    <row r="201" spans="1:6" x14ac:dyDescent="0.3">
      <c r="A201" s="40"/>
      <c r="B201" s="281" t="s">
        <v>277</v>
      </c>
      <c r="C201" s="281">
        <v>503</v>
      </c>
      <c r="D201" s="297"/>
      <c r="E201" s="297"/>
      <c r="F201" s="297"/>
    </row>
    <row r="202" spans="1:6" x14ac:dyDescent="0.3">
      <c r="A202" s="40"/>
      <c r="B202" s="281" t="s">
        <v>278</v>
      </c>
      <c r="C202" s="281">
        <v>507</v>
      </c>
      <c r="D202" s="297"/>
      <c r="E202" s="297"/>
      <c r="F202" s="297"/>
    </row>
    <row r="203" spans="1:6" x14ac:dyDescent="0.3">
      <c r="A203" s="40"/>
      <c r="B203" s="281" t="s">
        <v>279</v>
      </c>
      <c r="C203" s="281">
        <v>509</v>
      </c>
      <c r="D203" s="297"/>
      <c r="E203" s="297"/>
      <c r="F203" s="297"/>
    </row>
    <row r="204" spans="1:6" x14ac:dyDescent="0.3">
      <c r="A204" s="40"/>
      <c r="B204" s="281" t="s">
        <v>280</v>
      </c>
      <c r="C204" s="281">
        <v>520</v>
      </c>
      <c r="D204" s="297"/>
      <c r="E204" s="297"/>
      <c r="F204" s="297"/>
    </row>
    <row r="205" spans="1:6" x14ac:dyDescent="0.3">
      <c r="A205" s="40"/>
      <c r="B205" s="281" t="s">
        <v>281</v>
      </c>
      <c r="C205" s="281">
        <v>525</v>
      </c>
      <c r="D205" s="297"/>
      <c r="E205" s="297"/>
      <c r="F205" s="297"/>
    </row>
    <row r="206" spans="1:6" x14ac:dyDescent="0.3">
      <c r="A206" s="40"/>
      <c r="B206" s="281" t="s">
        <v>282</v>
      </c>
      <c r="C206" s="281">
        <v>578</v>
      </c>
      <c r="D206" s="297"/>
      <c r="E206" s="297"/>
      <c r="F206" s="297"/>
    </row>
    <row r="207" spans="1:6" x14ac:dyDescent="0.3">
      <c r="A207" s="40" t="s">
        <v>283</v>
      </c>
      <c r="B207" s="281"/>
      <c r="C207" s="281"/>
      <c r="D207" s="297"/>
      <c r="E207" s="297"/>
      <c r="F207" s="297"/>
    </row>
    <row r="208" spans="1:6" x14ac:dyDescent="0.3">
      <c r="A208" s="40"/>
      <c r="B208" s="281" t="s">
        <v>284</v>
      </c>
      <c r="C208" s="281">
        <v>857</v>
      </c>
      <c r="D208" s="297"/>
      <c r="E208" s="297"/>
      <c r="F208" s="297"/>
    </row>
    <row r="209" spans="1:6" x14ac:dyDescent="0.3">
      <c r="A209" s="40"/>
      <c r="B209" s="281" t="s">
        <v>285</v>
      </c>
      <c r="C209" s="281">
        <v>861</v>
      </c>
      <c r="D209" s="297"/>
      <c r="E209" s="297"/>
      <c r="F209" s="297"/>
    </row>
    <row r="210" spans="1:6" x14ac:dyDescent="0.3">
      <c r="A210" s="40"/>
      <c r="B210" s="281" t="s">
        <v>286</v>
      </c>
      <c r="C210" s="281">
        <v>1997</v>
      </c>
      <c r="D210" s="297"/>
      <c r="E210" s="297"/>
      <c r="F210" s="297"/>
    </row>
    <row r="211" spans="1:6" x14ac:dyDescent="0.3">
      <c r="A211" s="40"/>
      <c r="B211" s="281" t="s">
        <v>287</v>
      </c>
      <c r="C211" s="281">
        <v>1018</v>
      </c>
      <c r="D211" s="297"/>
      <c r="E211" s="297"/>
      <c r="F211" s="297"/>
    </row>
    <row r="212" spans="1:6" x14ac:dyDescent="0.3">
      <c r="A212" s="40"/>
      <c r="B212" s="281" t="s">
        <v>288</v>
      </c>
      <c r="C212" s="281">
        <v>1223</v>
      </c>
      <c r="D212" s="297"/>
      <c r="E212" s="297"/>
      <c r="F212" s="297"/>
    </row>
    <row r="213" spans="1:6" x14ac:dyDescent="0.3">
      <c r="A213" s="40"/>
      <c r="B213" s="281" t="s">
        <v>289</v>
      </c>
      <c r="C213" s="281">
        <v>867</v>
      </c>
      <c r="D213" s="297"/>
      <c r="E213" s="297"/>
      <c r="F213" s="297"/>
    </row>
    <row r="214" spans="1:6" x14ac:dyDescent="0.3">
      <c r="A214" s="40"/>
      <c r="B214" s="281" t="s">
        <v>290</v>
      </c>
      <c r="C214" s="281">
        <v>1995</v>
      </c>
      <c r="D214" s="297"/>
      <c r="E214" s="297"/>
      <c r="F214" s="297"/>
    </row>
    <row r="215" spans="1:6" x14ac:dyDescent="0.3">
      <c r="A215" s="40"/>
      <c r="B215" s="281" t="s">
        <v>291</v>
      </c>
      <c r="C215" s="281">
        <v>699</v>
      </c>
      <c r="D215" s="297"/>
      <c r="E215" s="297"/>
      <c r="F215" s="297"/>
    </row>
    <row r="216" spans="1:6" x14ac:dyDescent="0.3">
      <c r="A216" s="40"/>
      <c r="B216" s="281" t="s">
        <v>292</v>
      </c>
      <c r="C216" s="281">
        <v>864</v>
      </c>
      <c r="D216" s="297"/>
      <c r="E216" s="297"/>
      <c r="F216" s="297"/>
    </row>
    <row r="217" spans="1:6" x14ac:dyDescent="0.3">
      <c r="A217" s="40"/>
      <c r="B217" s="281" t="s">
        <v>293</v>
      </c>
      <c r="C217" s="281">
        <v>1998</v>
      </c>
      <c r="D217" s="297"/>
      <c r="E217" s="297"/>
      <c r="F217" s="297"/>
    </row>
    <row r="218" spans="1:6" x14ac:dyDescent="0.3">
      <c r="A218" s="40"/>
      <c r="B218" s="281" t="s">
        <v>294</v>
      </c>
      <c r="C218" s="281">
        <v>856</v>
      </c>
      <c r="D218" s="297"/>
      <c r="E218" s="297"/>
      <c r="F218" s="297"/>
    </row>
    <row r="219" spans="1:6" x14ac:dyDescent="0.3">
      <c r="A219" s="40"/>
      <c r="B219" s="281" t="s">
        <v>295</v>
      </c>
      <c r="C219" s="281">
        <v>862</v>
      </c>
      <c r="D219" s="297"/>
      <c r="E219" s="297"/>
      <c r="F219" s="297"/>
    </row>
    <row r="220" spans="1:6" x14ac:dyDescent="0.3">
      <c r="A220" s="40"/>
      <c r="B220" s="281" t="s">
        <v>296</v>
      </c>
      <c r="C220" s="281">
        <v>1224</v>
      </c>
      <c r="D220" s="297"/>
      <c r="E220" s="297"/>
      <c r="F220" s="297"/>
    </row>
    <row r="221" spans="1:6" x14ac:dyDescent="0.3">
      <c r="A221" s="40"/>
      <c r="B221" s="281" t="s">
        <v>297</v>
      </c>
      <c r="C221" s="281">
        <v>866</v>
      </c>
      <c r="D221" s="297"/>
      <c r="E221" s="297"/>
      <c r="F221" s="297"/>
    </row>
    <row r="222" spans="1:6" x14ac:dyDescent="0.3">
      <c r="A222" s="40"/>
      <c r="B222" s="281" t="s">
        <v>298</v>
      </c>
      <c r="C222" s="281">
        <v>2919</v>
      </c>
      <c r="D222" s="297"/>
      <c r="E222" s="297"/>
      <c r="F222" s="297"/>
    </row>
    <row r="223" spans="1:6" x14ac:dyDescent="0.3">
      <c r="A223" s="40"/>
      <c r="B223" s="281" t="s">
        <v>299</v>
      </c>
      <c r="C223" s="281">
        <v>865</v>
      </c>
      <c r="D223" s="297"/>
      <c r="E223" s="297"/>
      <c r="F223" s="297"/>
    </row>
    <row r="224" spans="1:6" x14ac:dyDescent="0.3">
      <c r="A224" s="40"/>
      <c r="B224" s="281" t="s">
        <v>300</v>
      </c>
      <c r="C224" s="281">
        <v>574</v>
      </c>
      <c r="D224" s="297"/>
      <c r="E224" s="297"/>
      <c r="F224" s="297"/>
    </row>
    <row r="225" spans="1:6" x14ac:dyDescent="0.3">
      <c r="A225" s="40"/>
      <c r="B225" s="281" t="s">
        <v>301</v>
      </c>
      <c r="C225" s="281">
        <v>1996</v>
      </c>
      <c r="D225" s="297"/>
      <c r="E225" s="297"/>
      <c r="F225" s="297"/>
    </row>
    <row r="226" spans="1:6" x14ac:dyDescent="0.3">
      <c r="A226" s="40"/>
      <c r="B226" s="281" t="s">
        <v>302</v>
      </c>
      <c r="C226" s="281">
        <v>575</v>
      </c>
      <c r="D226" s="297"/>
      <c r="E226" s="297"/>
      <c r="F226" s="297"/>
    </row>
    <row r="227" spans="1:6" x14ac:dyDescent="0.3">
      <c r="A227" s="40"/>
      <c r="B227" s="281" t="s">
        <v>303</v>
      </c>
      <c r="C227" s="281">
        <v>1991</v>
      </c>
      <c r="D227" s="297"/>
      <c r="E227" s="297"/>
      <c r="F227" s="297"/>
    </row>
    <row r="228" spans="1:6" x14ac:dyDescent="0.3">
      <c r="A228" s="40"/>
      <c r="B228" s="281" t="s">
        <v>304</v>
      </c>
      <c r="C228" s="281">
        <v>2541</v>
      </c>
      <c r="D228" s="297"/>
      <c r="E228" s="297"/>
      <c r="F228" s="297"/>
    </row>
    <row r="229" spans="1:6" x14ac:dyDescent="0.3">
      <c r="A229" s="40"/>
      <c r="B229" s="281" t="s">
        <v>305</v>
      </c>
      <c r="C229" s="281">
        <v>573</v>
      </c>
      <c r="D229" s="297"/>
      <c r="E229" s="297"/>
      <c r="F229" s="297"/>
    </row>
    <row r="230" spans="1:6" x14ac:dyDescent="0.3">
      <c r="A230" s="40"/>
      <c r="B230" s="281" t="s">
        <v>306</v>
      </c>
      <c r="C230" s="281">
        <v>1993</v>
      </c>
      <c r="D230" s="297"/>
      <c r="E230" s="297"/>
      <c r="F230" s="297"/>
    </row>
    <row r="231" spans="1:6" x14ac:dyDescent="0.3">
      <c r="A231" s="40"/>
      <c r="B231" s="281" t="s">
        <v>307</v>
      </c>
      <c r="C231" s="281">
        <v>860</v>
      </c>
      <c r="D231" s="297"/>
      <c r="E231" s="297"/>
      <c r="F231" s="297"/>
    </row>
    <row r="232" spans="1:6" x14ac:dyDescent="0.3">
      <c r="A232" s="40"/>
      <c r="B232" s="281" t="s">
        <v>308</v>
      </c>
      <c r="C232" s="281">
        <v>2540</v>
      </c>
      <c r="D232" s="297"/>
      <c r="E232" s="297"/>
      <c r="F232" s="297"/>
    </row>
    <row r="233" spans="1:6" x14ac:dyDescent="0.3">
      <c r="A233" s="40"/>
      <c r="B233" s="281" t="s">
        <v>309</v>
      </c>
      <c r="C233" s="281">
        <v>859</v>
      </c>
      <c r="D233" s="297"/>
      <c r="E233" s="297"/>
      <c r="F233" s="297"/>
    </row>
    <row r="234" spans="1:6" x14ac:dyDescent="0.3">
      <c r="A234" s="40"/>
      <c r="B234" s="281" t="s">
        <v>310</v>
      </c>
      <c r="C234" s="281">
        <v>1992</v>
      </c>
      <c r="D234" s="297"/>
      <c r="E234" s="297"/>
      <c r="F234" s="297"/>
    </row>
    <row r="235" spans="1:6" x14ac:dyDescent="0.3">
      <c r="A235" s="40"/>
      <c r="B235" s="281" t="s">
        <v>311</v>
      </c>
      <c r="C235" s="281">
        <v>1994</v>
      </c>
      <c r="D235" s="297"/>
      <c r="E235" s="297"/>
      <c r="F235" s="297"/>
    </row>
    <row r="236" spans="1:6" x14ac:dyDescent="0.3">
      <c r="A236" s="40"/>
      <c r="B236" s="281" t="s">
        <v>312</v>
      </c>
      <c r="C236" s="281">
        <v>858</v>
      </c>
      <c r="D236" s="297"/>
      <c r="E236" s="297"/>
      <c r="F236" s="297"/>
    </row>
    <row r="237" spans="1:6" x14ac:dyDescent="0.3">
      <c r="A237" s="40"/>
      <c r="B237" s="281" t="s">
        <v>313</v>
      </c>
      <c r="C237" s="281">
        <v>572</v>
      </c>
      <c r="D237" s="297"/>
      <c r="E237" s="297"/>
      <c r="F237" s="297"/>
    </row>
    <row r="238" spans="1:6" x14ac:dyDescent="0.3">
      <c r="A238" s="40"/>
      <c r="B238" s="281" t="s">
        <v>314</v>
      </c>
      <c r="C238" s="281">
        <v>4</v>
      </c>
      <c r="D238" s="297"/>
      <c r="E238" s="297"/>
      <c r="F238" s="297"/>
    </row>
    <row r="239" spans="1:6" x14ac:dyDescent="0.3">
      <c r="A239" s="40" t="s">
        <v>315</v>
      </c>
      <c r="B239" s="281"/>
      <c r="C239" s="281"/>
      <c r="D239" s="297"/>
      <c r="E239" s="297"/>
      <c r="F239" s="297"/>
    </row>
    <row r="240" spans="1:6" x14ac:dyDescent="0.3">
      <c r="A240" s="40"/>
      <c r="B240" s="281" t="s">
        <v>316</v>
      </c>
      <c r="C240" s="281">
        <v>46</v>
      </c>
      <c r="D240" s="297"/>
      <c r="E240" s="297"/>
      <c r="F240" s="297"/>
    </row>
    <row r="241" spans="1:6" x14ac:dyDescent="0.3">
      <c r="A241" s="40"/>
      <c r="B241" s="281" t="s">
        <v>317</v>
      </c>
      <c r="C241" s="281">
        <v>1351</v>
      </c>
      <c r="D241" s="297"/>
      <c r="E241" s="297"/>
      <c r="F241" s="297"/>
    </row>
    <row r="242" spans="1:6" x14ac:dyDescent="0.3">
      <c r="A242" s="40"/>
      <c r="B242" s="281" t="s">
        <v>318</v>
      </c>
      <c r="C242" s="281">
        <v>36</v>
      </c>
      <c r="D242" s="297"/>
      <c r="E242" s="297"/>
      <c r="F242" s="297"/>
    </row>
    <row r="243" spans="1:6" x14ac:dyDescent="0.3">
      <c r="A243" s="40"/>
      <c r="B243" s="281" t="s">
        <v>319</v>
      </c>
      <c r="C243" s="281">
        <v>698</v>
      </c>
      <c r="D243" s="297"/>
      <c r="E243" s="297"/>
      <c r="F243" s="297"/>
    </row>
    <row r="244" spans="1:6" x14ac:dyDescent="0.3">
      <c r="A244" s="40"/>
      <c r="B244" s="281" t="s">
        <v>132</v>
      </c>
      <c r="C244" s="281">
        <v>129</v>
      </c>
      <c r="D244" s="297"/>
      <c r="E244" s="297"/>
      <c r="F244" s="297"/>
    </row>
    <row r="245" spans="1:6" x14ac:dyDescent="0.3">
      <c r="A245" s="40"/>
      <c r="B245" s="281" t="s">
        <v>320</v>
      </c>
      <c r="C245" s="281">
        <v>203</v>
      </c>
      <c r="D245" s="297"/>
      <c r="E245" s="297"/>
      <c r="F245" s="297"/>
    </row>
    <row r="246" spans="1:6" x14ac:dyDescent="0.3">
      <c r="A246" s="40"/>
      <c r="B246" s="281" t="s">
        <v>321</v>
      </c>
      <c r="C246" s="281">
        <v>231</v>
      </c>
      <c r="D246" s="297"/>
      <c r="E246" s="297"/>
      <c r="F246" s="297"/>
    </row>
    <row r="247" spans="1:6" x14ac:dyDescent="0.3">
      <c r="A247" s="40"/>
      <c r="B247" s="281" t="s">
        <v>322</v>
      </c>
      <c r="C247" s="281">
        <v>773</v>
      </c>
      <c r="D247" s="297"/>
      <c r="E247" s="297"/>
      <c r="F247" s="297"/>
    </row>
    <row r="248" spans="1:6" x14ac:dyDescent="0.3">
      <c r="A248" s="40"/>
      <c r="B248" s="281" t="s">
        <v>148</v>
      </c>
      <c r="C248" s="281">
        <v>273</v>
      </c>
      <c r="D248" s="297"/>
      <c r="E248" s="297"/>
      <c r="F248" s="297"/>
    </row>
    <row r="249" spans="1:6" x14ac:dyDescent="0.3">
      <c r="A249" s="40"/>
      <c r="B249" s="281" t="s">
        <v>151</v>
      </c>
      <c r="C249" s="281">
        <v>2955</v>
      </c>
      <c r="D249" s="297"/>
      <c r="E249" s="297"/>
      <c r="F249" s="297"/>
    </row>
    <row r="250" spans="1:6" x14ac:dyDescent="0.3">
      <c r="A250" s="40"/>
      <c r="B250" s="281" t="s">
        <v>155</v>
      </c>
      <c r="C250" s="281">
        <v>322</v>
      </c>
      <c r="D250" s="297"/>
      <c r="E250" s="297"/>
      <c r="F250" s="297"/>
    </row>
    <row r="251" spans="1:6" x14ac:dyDescent="0.3">
      <c r="A251" s="40"/>
      <c r="B251" s="281" t="s">
        <v>323</v>
      </c>
      <c r="C251" s="281">
        <v>361</v>
      </c>
      <c r="D251" s="297"/>
      <c r="E251" s="297"/>
      <c r="F251" s="297"/>
    </row>
    <row r="252" spans="1:6" x14ac:dyDescent="0.3">
      <c r="A252" s="40"/>
      <c r="B252" s="281" t="s">
        <v>324</v>
      </c>
      <c r="C252" s="281">
        <v>427</v>
      </c>
      <c r="D252" s="297"/>
      <c r="E252" s="297"/>
      <c r="F252" s="297"/>
    </row>
    <row r="253" spans="1:6" x14ac:dyDescent="0.3">
      <c r="A253" s="40"/>
      <c r="B253" s="281" t="s">
        <v>325</v>
      </c>
      <c r="C253" s="281">
        <v>1356</v>
      </c>
      <c r="D253" s="297"/>
      <c r="E253" s="297"/>
      <c r="F253" s="297"/>
    </row>
    <row r="254" spans="1:6" x14ac:dyDescent="0.3">
      <c r="A254" s="40"/>
      <c r="B254" s="281" t="s">
        <v>163</v>
      </c>
      <c r="C254" s="281">
        <v>480</v>
      </c>
      <c r="D254" s="297"/>
      <c r="E254" s="297"/>
      <c r="F254" s="297"/>
    </row>
    <row r="255" spans="1:6" x14ac:dyDescent="0.3">
      <c r="A255" s="40"/>
      <c r="B255" s="281" t="s">
        <v>326</v>
      </c>
      <c r="C255" s="281">
        <v>702</v>
      </c>
      <c r="D255" s="297"/>
      <c r="E255" s="297"/>
      <c r="F255" s="297"/>
    </row>
    <row r="256" spans="1:6" x14ac:dyDescent="0.3">
      <c r="A256" s="40"/>
      <c r="B256" s="281" t="s">
        <v>327</v>
      </c>
      <c r="C256" s="281">
        <v>799</v>
      </c>
      <c r="D256" s="297"/>
      <c r="E256" s="297"/>
      <c r="F256" s="297"/>
    </row>
    <row r="257" spans="1:6" ht="27" x14ac:dyDescent="0.3">
      <c r="A257" s="40"/>
      <c r="B257" s="281" t="s">
        <v>328</v>
      </c>
      <c r="C257" s="281">
        <v>2634</v>
      </c>
      <c r="D257" s="297"/>
      <c r="E257" s="297"/>
      <c r="F257" s="297"/>
    </row>
    <row r="258" spans="1:6" x14ac:dyDescent="0.3">
      <c r="A258" s="40"/>
      <c r="B258" s="281" t="s">
        <v>329</v>
      </c>
      <c r="C258" s="281">
        <v>270</v>
      </c>
      <c r="D258" s="297"/>
      <c r="E258" s="297"/>
      <c r="F258" s="297"/>
    </row>
    <row r="259" spans="1:6" x14ac:dyDescent="0.3">
      <c r="A259" s="40" t="s">
        <v>330</v>
      </c>
      <c r="B259" s="281"/>
      <c r="C259" s="281"/>
      <c r="D259" s="297"/>
      <c r="E259" s="297"/>
      <c r="F259" s="297"/>
    </row>
    <row r="260" spans="1:6" x14ac:dyDescent="0.3">
      <c r="A260" s="40"/>
      <c r="B260" s="281" t="s">
        <v>331</v>
      </c>
      <c r="C260" s="281">
        <v>629</v>
      </c>
      <c r="D260" s="297"/>
      <c r="E260" s="297"/>
      <c r="F260" s="297"/>
    </row>
    <row r="261" spans="1:6" x14ac:dyDescent="0.3">
      <c r="A261" s="40"/>
      <c r="B261" s="281" t="s">
        <v>332</v>
      </c>
      <c r="C261" s="281">
        <v>630</v>
      </c>
      <c r="D261" s="297"/>
      <c r="E261" s="297"/>
      <c r="F261" s="297"/>
    </row>
    <row r="262" spans="1:6" x14ac:dyDescent="0.3">
      <c r="A262" s="40"/>
      <c r="B262" s="281" t="s">
        <v>333</v>
      </c>
      <c r="C262" s="281">
        <v>770</v>
      </c>
      <c r="D262" s="297"/>
      <c r="E262" s="297"/>
      <c r="F262" s="297"/>
    </row>
    <row r="263" spans="1:6" x14ac:dyDescent="0.3">
      <c r="A263" s="40"/>
      <c r="B263" s="281" t="s">
        <v>334</v>
      </c>
      <c r="C263" s="281">
        <v>769</v>
      </c>
      <c r="D263" s="297"/>
      <c r="E263" s="297"/>
      <c r="F263" s="297"/>
    </row>
    <row r="264" spans="1:6" x14ac:dyDescent="0.3">
      <c r="A264" s="40"/>
      <c r="B264" s="281" t="s">
        <v>335</v>
      </c>
      <c r="C264" s="281">
        <v>5</v>
      </c>
      <c r="D264" s="297"/>
      <c r="E264" s="297"/>
      <c r="F264" s="297"/>
    </row>
    <row r="265" spans="1:6" x14ac:dyDescent="0.3">
      <c r="A265" s="40" t="s">
        <v>336</v>
      </c>
      <c r="B265" s="281"/>
      <c r="C265" s="281"/>
      <c r="D265" s="297"/>
      <c r="E265" s="297"/>
      <c r="F265" s="297"/>
    </row>
    <row r="266" spans="1:6" x14ac:dyDescent="0.3">
      <c r="A266" s="40"/>
      <c r="B266" s="281" t="s">
        <v>337</v>
      </c>
      <c r="C266" s="281">
        <v>909</v>
      </c>
      <c r="D266" s="297"/>
      <c r="E266" s="297"/>
      <c r="F266" s="297"/>
    </row>
    <row r="267" spans="1:6" x14ac:dyDescent="0.3">
      <c r="A267" s="40"/>
      <c r="B267" s="281" t="s">
        <v>338</v>
      </c>
      <c r="C267" s="281">
        <v>2592</v>
      </c>
      <c r="D267" s="297"/>
      <c r="E267" s="297"/>
      <c r="F267" s="297"/>
    </row>
    <row r="268" spans="1:6" x14ac:dyDescent="0.3">
      <c r="A268" s="40"/>
      <c r="B268" s="281" t="s">
        <v>339</v>
      </c>
      <c r="C268" s="281">
        <v>1027</v>
      </c>
      <c r="D268" s="297"/>
      <c r="E268" s="297"/>
      <c r="F268" s="297"/>
    </row>
    <row r="269" spans="1:6" x14ac:dyDescent="0.3">
      <c r="A269" s="40"/>
      <c r="B269" s="281" t="s">
        <v>340</v>
      </c>
      <c r="C269" s="281">
        <v>736</v>
      </c>
      <c r="D269" s="297"/>
      <c r="E269" s="297"/>
      <c r="F269" s="297"/>
    </row>
    <row r="270" spans="1:6" x14ac:dyDescent="0.3">
      <c r="A270" s="40"/>
      <c r="B270" s="281" t="s">
        <v>341</v>
      </c>
      <c r="C270" s="281">
        <v>652</v>
      </c>
      <c r="D270" s="297"/>
      <c r="E270" s="297"/>
      <c r="F270" s="297"/>
    </row>
    <row r="271" spans="1:6" x14ac:dyDescent="0.3">
      <c r="A271" s="40"/>
      <c r="B271" s="281" t="s">
        <v>342</v>
      </c>
      <c r="C271" s="281">
        <v>1932</v>
      </c>
      <c r="D271" s="297"/>
      <c r="E271" s="297"/>
      <c r="F271" s="297"/>
    </row>
    <row r="272" spans="1:6" x14ac:dyDescent="0.3">
      <c r="A272" s="40"/>
      <c r="B272" s="281" t="s">
        <v>343</v>
      </c>
      <c r="C272" s="281">
        <v>2965</v>
      </c>
      <c r="D272" s="297"/>
      <c r="E272" s="297"/>
      <c r="F272" s="297"/>
    </row>
    <row r="273" spans="1:6" x14ac:dyDescent="0.3">
      <c r="A273" s="40"/>
      <c r="B273" s="281" t="s">
        <v>344</v>
      </c>
      <c r="C273" s="281">
        <v>1987</v>
      </c>
      <c r="D273" s="297"/>
      <c r="E273" s="297"/>
      <c r="F273" s="297"/>
    </row>
    <row r="274" spans="1:6" x14ac:dyDescent="0.3">
      <c r="A274" s="40"/>
      <c r="B274" s="281" t="s">
        <v>345</v>
      </c>
      <c r="C274" s="281">
        <v>42</v>
      </c>
      <c r="D274" s="297"/>
      <c r="E274" s="297"/>
      <c r="F274" s="297"/>
    </row>
    <row r="275" spans="1:6" x14ac:dyDescent="0.3">
      <c r="A275" s="40"/>
      <c r="B275" s="281" t="s">
        <v>346</v>
      </c>
      <c r="C275" s="281">
        <v>741</v>
      </c>
      <c r="D275" s="297"/>
      <c r="E275" s="297"/>
      <c r="F275" s="297"/>
    </row>
    <row r="276" spans="1:6" x14ac:dyDescent="0.3">
      <c r="A276" s="40"/>
      <c r="B276" s="281" t="s">
        <v>347</v>
      </c>
      <c r="C276" s="281">
        <v>2761</v>
      </c>
      <c r="D276" s="297"/>
      <c r="E276" s="297"/>
      <c r="F276" s="297"/>
    </row>
    <row r="277" spans="1:6" x14ac:dyDescent="0.3">
      <c r="A277" s="40"/>
      <c r="B277" s="281" t="s">
        <v>348</v>
      </c>
      <c r="C277" s="281">
        <v>738</v>
      </c>
      <c r="D277" s="297"/>
      <c r="E277" s="297"/>
      <c r="F277" s="297"/>
    </row>
    <row r="278" spans="1:6" x14ac:dyDescent="0.3">
      <c r="A278" s="40"/>
      <c r="B278" s="281" t="s">
        <v>349</v>
      </c>
      <c r="C278" s="281">
        <v>2794</v>
      </c>
      <c r="D278" s="297"/>
      <c r="E278" s="297"/>
      <c r="F278" s="297"/>
    </row>
    <row r="279" spans="1:6" x14ac:dyDescent="0.3">
      <c r="A279" s="40"/>
      <c r="B279" s="281" t="s">
        <v>350</v>
      </c>
      <c r="C279" s="281">
        <v>2795</v>
      </c>
      <c r="D279" s="297"/>
      <c r="E279" s="297"/>
      <c r="F279" s="297"/>
    </row>
    <row r="280" spans="1:6" x14ac:dyDescent="0.3">
      <c r="A280" s="40"/>
      <c r="B280" s="281" t="s">
        <v>351</v>
      </c>
      <c r="C280" s="281">
        <v>2909</v>
      </c>
      <c r="D280" s="297"/>
      <c r="E280" s="297"/>
      <c r="F280" s="297"/>
    </row>
    <row r="281" spans="1:6" x14ac:dyDescent="0.3">
      <c r="A281" s="40"/>
      <c r="B281" s="281" t="s">
        <v>352</v>
      </c>
      <c r="C281" s="281">
        <v>2928</v>
      </c>
      <c r="D281" s="297"/>
      <c r="E281" s="297"/>
      <c r="F281" s="297"/>
    </row>
    <row r="282" spans="1:6" x14ac:dyDescent="0.3">
      <c r="A282" s="40"/>
      <c r="B282" s="281" t="s">
        <v>353</v>
      </c>
      <c r="C282" s="281">
        <v>1923</v>
      </c>
      <c r="D282" s="297"/>
      <c r="E282" s="297"/>
      <c r="F282" s="297"/>
    </row>
    <row r="283" spans="1:6" x14ac:dyDescent="0.3">
      <c r="A283" s="40"/>
      <c r="B283" s="281" t="s">
        <v>354</v>
      </c>
      <c r="C283" s="281">
        <v>2961</v>
      </c>
      <c r="D283" s="297"/>
      <c r="E283" s="297"/>
      <c r="F283" s="297"/>
    </row>
    <row r="284" spans="1:6" x14ac:dyDescent="0.3">
      <c r="A284" s="40"/>
      <c r="B284" s="281" t="s">
        <v>355</v>
      </c>
      <c r="C284" s="281">
        <v>144</v>
      </c>
      <c r="D284" s="297"/>
      <c r="E284" s="297"/>
      <c r="F284" s="297"/>
    </row>
    <row r="285" spans="1:6" x14ac:dyDescent="0.3">
      <c r="A285" s="40"/>
      <c r="B285" s="281" t="s">
        <v>356</v>
      </c>
      <c r="C285" s="281">
        <v>744</v>
      </c>
      <c r="D285" s="297"/>
      <c r="E285" s="297"/>
      <c r="F285" s="297"/>
    </row>
    <row r="286" spans="1:6" x14ac:dyDescent="0.3">
      <c r="A286" s="40"/>
      <c r="B286" s="281" t="s">
        <v>225</v>
      </c>
      <c r="C286" s="281">
        <v>2670</v>
      </c>
      <c r="D286" s="297"/>
      <c r="E286" s="297"/>
      <c r="F286" s="297"/>
    </row>
    <row r="287" spans="1:6" x14ac:dyDescent="0.3">
      <c r="A287" s="40"/>
      <c r="B287" s="281" t="s">
        <v>357</v>
      </c>
      <c r="C287" s="281">
        <v>855</v>
      </c>
      <c r="D287" s="297"/>
      <c r="E287" s="297"/>
      <c r="F287" s="297"/>
    </row>
    <row r="288" spans="1:6" x14ac:dyDescent="0.3">
      <c r="A288" s="40"/>
      <c r="B288" s="281" t="s">
        <v>358</v>
      </c>
      <c r="C288" s="281">
        <v>185</v>
      </c>
      <c r="D288" s="297"/>
      <c r="E288" s="297"/>
      <c r="F288" s="297"/>
    </row>
    <row r="289" spans="1:6" x14ac:dyDescent="0.3">
      <c r="A289" s="40"/>
      <c r="B289" s="281" t="s">
        <v>359</v>
      </c>
      <c r="C289" s="281">
        <v>2929</v>
      </c>
      <c r="D289" s="297"/>
      <c r="E289" s="297"/>
      <c r="F289" s="297"/>
    </row>
    <row r="290" spans="1:6" x14ac:dyDescent="0.3">
      <c r="A290" s="40"/>
      <c r="B290" s="281" t="s">
        <v>360</v>
      </c>
      <c r="C290" s="281">
        <v>2966</v>
      </c>
      <c r="D290" s="297"/>
      <c r="E290" s="297"/>
      <c r="F290" s="297"/>
    </row>
    <row r="291" spans="1:6" x14ac:dyDescent="0.3">
      <c r="A291" s="40"/>
      <c r="B291" s="281" t="s">
        <v>361</v>
      </c>
      <c r="C291" s="281">
        <v>737</v>
      </c>
      <c r="D291" s="297"/>
      <c r="E291" s="297"/>
      <c r="F291" s="297"/>
    </row>
    <row r="292" spans="1:6" x14ac:dyDescent="0.3">
      <c r="A292" s="40"/>
      <c r="B292" s="281" t="s">
        <v>362</v>
      </c>
      <c r="C292" s="281">
        <v>2673</v>
      </c>
      <c r="D292" s="297"/>
      <c r="E292" s="297"/>
      <c r="F292" s="297"/>
    </row>
    <row r="293" spans="1:6" x14ac:dyDescent="0.3">
      <c r="A293" s="40"/>
      <c r="B293" s="281" t="s">
        <v>363</v>
      </c>
      <c r="C293" s="281">
        <v>2727</v>
      </c>
      <c r="D293" s="297"/>
      <c r="E293" s="297"/>
      <c r="F293" s="297"/>
    </row>
    <row r="294" spans="1:6" x14ac:dyDescent="0.3">
      <c r="A294" s="40"/>
      <c r="B294" s="281" t="s">
        <v>364</v>
      </c>
      <c r="C294" s="281">
        <v>653</v>
      </c>
      <c r="D294" s="297"/>
      <c r="E294" s="297"/>
      <c r="F294" s="297"/>
    </row>
    <row r="295" spans="1:6" x14ac:dyDescent="0.3">
      <c r="A295" s="40"/>
      <c r="B295" s="281" t="s">
        <v>365</v>
      </c>
      <c r="C295" s="281">
        <v>904</v>
      </c>
      <c r="D295" s="297"/>
      <c r="E295" s="297"/>
      <c r="F295" s="297"/>
    </row>
    <row r="296" spans="1:6" x14ac:dyDescent="0.3">
      <c r="A296" s="40"/>
      <c r="B296" s="281" t="s">
        <v>366</v>
      </c>
      <c r="C296" s="281">
        <v>2667</v>
      </c>
      <c r="D296" s="297"/>
      <c r="E296" s="297"/>
      <c r="F296" s="297"/>
    </row>
    <row r="297" spans="1:6" x14ac:dyDescent="0.3">
      <c r="A297" s="40"/>
      <c r="B297" s="281" t="s">
        <v>367</v>
      </c>
      <c r="C297" s="281">
        <v>2936</v>
      </c>
      <c r="D297" s="297"/>
      <c r="E297" s="297"/>
      <c r="F297" s="297"/>
    </row>
    <row r="298" spans="1:6" x14ac:dyDescent="0.3">
      <c r="A298" s="40"/>
      <c r="B298" s="281" t="s">
        <v>368</v>
      </c>
      <c r="C298" s="281">
        <v>907</v>
      </c>
      <c r="D298" s="297"/>
      <c r="E298" s="297"/>
      <c r="F298" s="297"/>
    </row>
    <row r="299" spans="1:6" x14ac:dyDescent="0.3">
      <c r="A299" s="40"/>
      <c r="B299" s="281" t="s">
        <v>369</v>
      </c>
      <c r="C299" s="281">
        <v>327</v>
      </c>
      <c r="D299" s="297"/>
      <c r="E299" s="297"/>
      <c r="F299" s="297"/>
    </row>
    <row r="300" spans="1:6" x14ac:dyDescent="0.3">
      <c r="A300" s="40"/>
      <c r="B300" s="281" t="s">
        <v>370</v>
      </c>
      <c r="C300" s="281">
        <v>729</v>
      </c>
      <c r="D300" s="297"/>
      <c r="E300" s="297"/>
      <c r="F300" s="297"/>
    </row>
    <row r="301" spans="1:6" x14ac:dyDescent="0.3">
      <c r="A301" s="40"/>
      <c r="B301" s="281" t="s">
        <v>371</v>
      </c>
      <c r="C301" s="281">
        <v>2962</v>
      </c>
      <c r="D301" s="297"/>
      <c r="E301" s="297"/>
      <c r="F301" s="297"/>
    </row>
    <row r="302" spans="1:6" x14ac:dyDescent="0.3">
      <c r="A302" s="40"/>
      <c r="B302" s="281" t="s">
        <v>372</v>
      </c>
      <c r="C302" s="281">
        <v>739</v>
      </c>
      <c r="D302" s="297"/>
      <c r="E302" s="297"/>
      <c r="F302" s="297"/>
    </row>
    <row r="303" spans="1:6" x14ac:dyDescent="0.3">
      <c r="A303" s="40"/>
      <c r="B303" s="281" t="s">
        <v>373</v>
      </c>
      <c r="C303" s="281">
        <v>742</v>
      </c>
      <c r="D303" s="297"/>
      <c r="E303" s="297"/>
      <c r="F303" s="297"/>
    </row>
    <row r="304" spans="1:6" x14ac:dyDescent="0.3">
      <c r="A304" s="40"/>
      <c r="B304" s="281" t="s">
        <v>374</v>
      </c>
      <c r="C304" s="281">
        <v>905</v>
      </c>
      <c r="D304" s="297"/>
      <c r="E304" s="297"/>
      <c r="F304" s="297"/>
    </row>
    <row r="305" spans="1:6" x14ac:dyDescent="0.3">
      <c r="A305" s="40"/>
      <c r="B305" s="281" t="s">
        <v>375</v>
      </c>
      <c r="C305" s="281">
        <v>696</v>
      </c>
      <c r="D305" s="297"/>
      <c r="E305" s="297"/>
      <c r="F305" s="297"/>
    </row>
    <row r="306" spans="1:6" x14ac:dyDescent="0.3">
      <c r="A306" s="40"/>
      <c r="B306" s="281" t="s">
        <v>376</v>
      </c>
      <c r="C306" s="281">
        <v>2960</v>
      </c>
      <c r="D306" s="297"/>
      <c r="E306" s="297"/>
      <c r="F306" s="297"/>
    </row>
    <row r="307" spans="1:6" x14ac:dyDescent="0.3">
      <c r="A307" s="40"/>
      <c r="B307" s="281" t="s">
        <v>377</v>
      </c>
      <c r="C307" s="281">
        <v>2566</v>
      </c>
      <c r="D307" s="297"/>
      <c r="E307" s="297"/>
      <c r="F307" s="297"/>
    </row>
    <row r="308" spans="1:6" x14ac:dyDescent="0.3">
      <c r="A308" s="40"/>
      <c r="B308" s="281" t="s">
        <v>378</v>
      </c>
      <c r="C308" s="281">
        <v>2949</v>
      </c>
      <c r="D308" s="297"/>
      <c r="E308" s="297"/>
      <c r="F308" s="297"/>
    </row>
    <row r="309" spans="1:6" x14ac:dyDescent="0.3">
      <c r="A309" s="40"/>
      <c r="B309" s="281" t="s">
        <v>379</v>
      </c>
      <c r="C309" s="281">
        <v>654</v>
      </c>
      <c r="D309" s="297"/>
      <c r="E309" s="297"/>
      <c r="F309" s="297"/>
    </row>
    <row r="310" spans="1:6" x14ac:dyDescent="0.3">
      <c r="A310" s="40"/>
      <c r="B310" s="281" t="s">
        <v>380</v>
      </c>
      <c r="C310" s="281">
        <v>906</v>
      </c>
      <c r="D310" s="297"/>
      <c r="E310" s="297"/>
      <c r="F310" s="297"/>
    </row>
    <row r="311" spans="1:6" x14ac:dyDescent="0.3">
      <c r="A311" s="40"/>
      <c r="B311" s="281" t="s">
        <v>381</v>
      </c>
      <c r="C311" s="281">
        <v>2793</v>
      </c>
      <c r="D311" s="297"/>
      <c r="E311" s="297"/>
      <c r="F311" s="297"/>
    </row>
    <row r="312" spans="1:6" x14ac:dyDescent="0.3">
      <c r="A312" s="40"/>
      <c r="B312" s="281" t="s">
        <v>382</v>
      </c>
      <c r="C312" s="281">
        <v>2669</v>
      </c>
      <c r="D312" s="297"/>
      <c r="E312" s="297"/>
      <c r="F312" s="297"/>
    </row>
    <row r="313" spans="1:6" x14ac:dyDescent="0.3">
      <c r="A313" s="40"/>
      <c r="B313" s="281" t="s">
        <v>383</v>
      </c>
      <c r="C313" s="281">
        <v>263</v>
      </c>
      <c r="D313" s="297"/>
      <c r="E313" s="297"/>
      <c r="F313" s="297"/>
    </row>
    <row r="314" spans="1:6" x14ac:dyDescent="0.3">
      <c r="A314" s="40"/>
      <c r="B314" s="281" t="s">
        <v>384</v>
      </c>
      <c r="C314" s="281">
        <v>2665</v>
      </c>
      <c r="D314" s="297"/>
      <c r="E314" s="297"/>
      <c r="F314" s="297"/>
    </row>
    <row r="315" spans="1:6" x14ac:dyDescent="0.3">
      <c r="A315" s="40"/>
      <c r="B315" s="281" t="s">
        <v>385</v>
      </c>
      <c r="C315" s="281">
        <v>2954</v>
      </c>
      <c r="D315" s="297"/>
      <c r="E315" s="297"/>
      <c r="F315" s="297"/>
    </row>
    <row r="316" spans="1:6" x14ac:dyDescent="0.3">
      <c r="A316" s="40"/>
      <c r="B316" s="281" t="s">
        <v>386</v>
      </c>
      <c r="C316" s="281">
        <v>2666</v>
      </c>
      <c r="D316" s="297"/>
      <c r="E316" s="297"/>
      <c r="F316" s="297"/>
    </row>
    <row r="317" spans="1:6" x14ac:dyDescent="0.3">
      <c r="A317" s="40"/>
      <c r="B317" s="281" t="s">
        <v>387</v>
      </c>
      <c r="C317" s="281">
        <v>377</v>
      </c>
      <c r="D317" s="297"/>
      <c r="E317" s="297"/>
      <c r="F317" s="297"/>
    </row>
    <row r="318" spans="1:6" x14ac:dyDescent="0.3">
      <c r="A318" s="40"/>
      <c r="B318" s="281" t="s">
        <v>388</v>
      </c>
      <c r="C318" s="281">
        <v>1229</v>
      </c>
      <c r="D318" s="297"/>
      <c r="E318" s="297"/>
      <c r="F318" s="297"/>
    </row>
    <row r="319" spans="1:6" x14ac:dyDescent="0.3">
      <c r="A319" s="40"/>
      <c r="B319" s="281" t="s">
        <v>389</v>
      </c>
      <c r="C319" s="281">
        <v>1924</v>
      </c>
      <c r="D319" s="297"/>
      <c r="E319" s="297"/>
      <c r="F319" s="297"/>
    </row>
    <row r="320" spans="1:6" x14ac:dyDescent="0.3">
      <c r="A320" s="40"/>
      <c r="B320" s="281" t="s">
        <v>390</v>
      </c>
      <c r="C320" s="281">
        <v>1989</v>
      </c>
      <c r="D320" s="297"/>
      <c r="E320" s="297"/>
      <c r="F320" s="297"/>
    </row>
    <row r="321" spans="1:6" x14ac:dyDescent="0.3">
      <c r="A321" s="40"/>
      <c r="B321" s="281" t="s">
        <v>391</v>
      </c>
      <c r="C321" s="281">
        <v>835</v>
      </c>
      <c r="D321" s="297"/>
      <c r="E321" s="297"/>
      <c r="F321" s="297"/>
    </row>
    <row r="322" spans="1:6" x14ac:dyDescent="0.3">
      <c r="A322" s="40"/>
      <c r="B322" s="281" t="s">
        <v>392</v>
      </c>
      <c r="C322" s="281">
        <v>2565</v>
      </c>
      <c r="D322" s="297"/>
      <c r="E322" s="297"/>
      <c r="F322" s="297"/>
    </row>
    <row r="323" spans="1:6" x14ac:dyDescent="0.3">
      <c r="A323" s="40"/>
      <c r="B323" s="281" t="s">
        <v>393</v>
      </c>
      <c r="C323" s="281">
        <v>743</v>
      </c>
      <c r="D323" s="297"/>
      <c r="E323" s="297"/>
      <c r="F323" s="297"/>
    </row>
    <row r="324" spans="1:6" x14ac:dyDescent="0.3">
      <c r="A324" s="40"/>
      <c r="B324" s="281" t="s">
        <v>394</v>
      </c>
      <c r="C324" s="281">
        <v>1990</v>
      </c>
      <c r="D324" s="297"/>
      <c r="E324" s="297"/>
      <c r="F324" s="297"/>
    </row>
    <row r="325" spans="1:6" x14ac:dyDescent="0.3">
      <c r="A325" s="40"/>
      <c r="B325" s="281" t="s">
        <v>395</v>
      </c>
      <c r="C325" s="281">
        <v>2937</v>
      </c>
      <c r="D325" s="297"/>
      <c r="E325" s="297"/>
      <c r="F325" s="297"/>
    </row>
    <row r="326" spans="1:6" x14ac:dyDescent="0.3">
      <c r="A326" s="40"/>
      <c r="B326" s="281" t="s">
        <v>396</v>
      </c>
      <c r="C326" s="281">
        <v>2959</v>
      </c>
      <c r="D326" s="297"/>
      <c r="E326" s="297"/>
      <c r="F326" s="297"/>
    </row>
    <row r="327" spans="1:6" x14ac:dyDescent="0.3">
      <c r="A327" s="40"/>
      <c r="B327" s="281" t="s">
        <v>397</v>
      </c>
      <c r="C327" s="281">
        <v>444</v>
      </c>
      <c r="D327" s="297"/>
      <c r="E327" s="297"/>
      <c r="F327" s="297"/>
    </row>
    <row r="328" spans="1:6" x14ac:dyDescent="0.3">
      <c r="A328" s="40"/>
      <c r="B328" s="281" t="s">
        <v>398</v>
      </c>
      <c r="C328" s="281">
        <v>1802</v>
      </c>
      <c r="D328" s="297"/>
      <c r="E328" s="297"/>
      <c r="F328" s="297"/>
    </row>
    <row r="329" spans="1:6" x14ac:dyDescent="0.3">
      <c r="A329" s="40"/>
      <c r="B329" s="281" t="s">
        <v>399</v>
      </c>
      <c r="C329" s="281">
        <v>2577</v>
      </c>
      <c r="D329" s="297"/>
      <c r="E329" s="297"/>
      <c r="F329" s="297"/>
    </row>
    <row r="330" spans="1:6" x14ac:dyDescent="0.3">
      <c r="A330" s="40"/>
      <c r="B330" s="281" t="s">
        <v>400</v>
      </c>
      <c r="C330" s="281">
        <v>725</v>
      </c>
      <c r="D330" s="297"/>
      <c r="E330" s="297"/>
      <c r="F330" s="297"/>
    </row>
    <row r="331" spans="1:6" x14ac:dyDescent="0.3">
      <c r="A331" s="40"/>
      <c r="B331" s="281" t="s">
        <v>401</v>
      </c>
      <c r="C331" s="281">
        <v>1988</v>
      </c>
      <c r="D331" s="297"/>
      <c r="E331" s="297"/>
      <c r="F331" s="297"/>
    </row>
    <row r="332" spans="1:6" x14ac:dyDescent="0.3">
      <c r="A332" s="40"/>
      <c r="B332" s="281" t="s">
        <v>402</v>
      </c>
      <c r="C332" s="281">
        <v>2926</v>
      </c>
      <c r="D332" s="297"/>
      <c r="E332" s="297"/>
      <c r="F332" s="297"/>
    </row>
    <row r="333" spans="1:6" x14ac:dyDescent="0.3">
      <c r="A333" s="40"/>
      <c r="B333" s="281" t="s">
        <v>403</v>
      </c>
      <c r="C333" s="281">
        <v>740</v>
      </c>
      <c r="D333" s="297"/>
      <c r="E333" s="297"/>
      <c r="F333" s="297"/>
    </row>
    <row r="334" spans="1:6" x14ac:dyDescent="0.3">
      <c r="A334" s="40"/>
      <c r="B334" s="281" t="s">
        <v>404</v>
      </c>
      <c r="C334" s="281">
        <v>908</v>
      </c>
      <c r="D334" s="297"/>
      <c r="E334" s="297"/>
      <c r="F334" s="297"/>
    </row>
    <row r="335" spans="1:6" x14ac:dyDescent="0.3">
      <c r="A335" s="40"/>
      <c r="B335" s="281" t="s">
        <v>405</v>
      </c>
      <c r="C335" s="281">
        <v>843</v>
      </c>
      <c r="D335" s="297"/>
      <c r="E335" s="297"/>
      <c r="F335" s="297"/>
    </row>
    <row r="336" spans="1:6" x14ac:dyDescent="0.3">
      <c r="A336" s="40"/>
      <c r="B336" s="281" t="s">
        <v>406</v>
      </c>
      <c r="C336" s="281">
        <v>546</v>
      </c>
      <c r="D336" s="297"/>
      <c r="E336" s="297"/>
      <c r="F336" s="297"/>
    </row>
    <row r="337" spans="1:6" x14ac:dyDescent="0.3">
      <c r="A337" s="40"/>
      <c r="B337" s="281" t="s">
        <v>407</v>
      </c>
      <c r="C337" s="281">
        <v>910</v>
      </c>
      <c r="D337" s="297"/>
      <c r="E337" s="297"/>
      <c r="F337" s="297"/>
    </row>
    <row r="338" spans="1:6" x14ac:dyDescent="0.3">
      <c r="A338" s="40"/>
      <c r="B338" s="281" t="s">
        <v>408</v>
      </c>
      <c r="C338" s="281">
        <v>323</v>
      </c>
      <c r="D338" s="297"/>
      <c r="E338" s="297"/>
      <c r="F338" s="297"/>
    </row>
    <row r="339" spans="1:6" x14ac:dyDescent="0.3">
      <c r="A339" s="40" t="s">
        <v>409</v>
      </c>
      <c r="B339" s="281"/>
      <c r="C339" s="281"/>
      <c r="D339" s="297"/>
      <c r="E339" s="297"/>
      <c r="F339" s="297"/>
    </row>
    <row r="340" spans="1:6" x14ac:dyDescent="0.3">
      <c r="A340" s="40"/>
      <c r="B340" s="281" t="s">
        <v>410</v>
      </c>
      <c r="C340" s="281">
        <v>888</v>
      </c>
      <c r="D340" s="297"/>
      <c r="E340" s="297"/>
      <c r="F340" s="297"/>
    </row>
    <row r="341" spans="1:6" x14ac:dyDescent="0.3">
      <c r="A341" s="40"/>
      <c r="B341" s="281" t="s">
        <v>411</v>
      </c>
      <c r="C341" s="281">
        <v>2931</v>
      </c>
      <c r="D341" s="297"/>
      <c r="E341" s="297"/>
      <c r="F341" s="297"/>
    </row>
    <row r="342" spans="1:6" x14ac:dyDescent="0.3">
      <c r="A342" s="40"/>
      <c r="B342" s="281" t="s">
        <v>412</v>
      </c>
      <c r="C342" s="281">
        <v>892</v>
      </c>
      <c r="D342" s="297"/>
      <c r="E342" s="297"/>
      <c r="F342" s="297"/>
    </row>
    <row r="343" spans="1:6" x14ac:dyDescent="0.3">
      <c r="A343" s="40"/>
      <c r="B343" s="281" t="s">
        <v>413</v>
      </c>
      <c r="C343" s="281">
        <v>683</v>
      </c>
      <c r="D343" s="297"/>
      <c r="E343" s="297"/>
      <c r="F343" s="297"/>
    </row>
    <row r="344" spans="1:6" x14ac:dyDescent="0.3">
      <c r="A344" s="40"/>
      <c r="B344" s="281" t="s">
        <v>414</v>
      </c>
      <c r="C344" s="281">
        <v>890</v>
      </c>
      <c r="D344" s="297"/>
      <c r="E344" s="297"/>
      <c r="F344" s="297"/>
    </row>
    <row r="345" spans="1:6" x14ac:dyDescent="0.3">
      <c r="A345" s="40"/>
      <c r="B345" s="281" t="s">
        <v>415</v>
      </c>
      <c r="C345" s="281">
        <v>891</v>
      </c>
      <c r="D345" s="297"/>
      <c r="E345" s="297"/>
      <c r="F345" s="297"/>
    </row>
    <row r="346" spans="1:6" x14ac:dyDescent="0.3">
      <c r="A346" s="40"/>
      <c r="B346" s="281" t="s">
        <v>416</v>
      </c>
      <c r="C346" s="281">
        <v>232</v>
      </c>
      <c r="D346" s="297"/>
      <c r="E346" s="297"/>
      <c r="F346" s="297"/>
    </row>
    <row r="347" spans="1:6" x14ac:dyDescent="0.3">
      <c r="A347" s="40"/>
      <c r="B347" s="281" t="s">
        <v>417</v>
      </c>
      <c r="C347" s="281">
        <v>682</v>
      </c>
      <c r="D347" s="297"/>
      <c r="E347" s="297"/>
      <c r="F347" s="297"/>
    </row>
    <row r="348" spans="1:6" x14ac:dyDescent="0.3">
      <c r="A348" s="40"/>
      <c r="B348" s="281" t="s">
        <v>418</v>
      </c>
      <c r="C348" s="281">
        <v>1931</v>
      </c>
      <c r="D348" s="297"/>
      <c r="E348" s="297"/>
      <c r="F348" s="297"/>
    </row>
    <row r="349" spans="1:6" x14ac:dyDescent="0.3">
      <c r="A349" s="40"/>
      <c r="B349" s="281" t="s">
        <v>419</v>
      </c>
      <c r="C349" s="281">
        <v>1210</v>
      </c>
      <c r="D349" s="297"/>
      <c r="E349" s="297"/>
      <c r="F349" s="297"/>
    </row>
    <row r="350" spans="1:6" x14ac:dyDescent="0.3">
      <c r="A350" s="40"/>
      <c r="B350" s="281" t="s">
        <v>420</v>
      </c>
      <c r="C350" s="281">
        <v>681</v>
      </c>
      <c r="D350" s="297"/>
      <c r="E350" s="297"/>
      <c r="F350" s="297"/>
    </row>
    <row r="351" spans="1:6" x14ac:dyDescent="0.3">
      <c r="A351" s="40"/>
      <c r="B351" s="281" t="s">
        <v>421</v>
      </c>
      <c r="C351" s="281">
        <v>894</v>
      </c>
      <c r="D351" s="297"/>
      <c r="E351" s="297"/>
      <c r="F351" s="297"/>
    </row>
    <row r="352" spans="1:6" x14ac:dyDescent="0.3">
      <c r="A352" s="40"/>
      <c r="B352" s="281" t="s">
        <v>422</v>
      </c>
      <c r="C352" s="281">
        <v>889</v>
      </c>
      <c r="D352" s="297"/>
      <c r="E352" s="297"/>
      <c r="F352" s="297"/>
    </row>
    <row r="353" spans="1:6" x14ac:dyDescent="0.3">
      <c r="A353" s="40"/>
      <c r="B353" s="281" t="s">
        <v>423</v>
      </c>
      <c r="C353" s="281">
        <v>896</v>
      </c>
      <c r="D353" s="297"/>
      <c r="E353" s="297"/>
      <c r="F353" s="297"/>
    </row>
    <row r="354" spans="1:6" x14ac:dyDescent="0.3">
      <c r="A354" s="40"/>
      <c r="B354" s="281" t="s">
        <v>424</v>
      </c>
      <c r="C354" s="281">
        <v>1225</v>
      </c>
      <c r="D354" s="297"/>
      <c r="E354" s="297"/>
      <c r="F354" s="297"/>
    </row>
    <row r="355" spans="1:6" x14ac:dyDescent="0.3">
      <c r="A355" s="40"/>
      <c r="B355" s="281" t="s">
        <v>425</v>
      </c>
      <c r="C355" s="281">
        <v>901</v>
      </c>
      <c r="D355" s="297"/>
      <c r="E355" s="297"/>
      <c r="F355" s="297"/>
    </row>
    <row r="356" spans="1:6" x14ac:dyDescent="0.3">
      <c r="A356" s="40"/>
      <c r="B356" s="281" t="s">
        <v>426</v>
      </c>
      <c r="C356" s="281">
        <v>902</v>
      </c>
      <c r="D356" s="297"/>
      <c r="E356" s="297"/>
      <c r="F356" s="297"/>
    </row>
    <row r="357" spans="1:6" x14ac:dyDescent="0.3">
      <c r="A357" s="40"/>
      <c r="B357" s="281" t="s">
        <v>427</v>
      </c>
      <c r="C357" s="281">
        <v>899</v>
      </c>
      <c r="D357" s="297"/>
      <c r="E357" s="297"/>
      <c r="F357" s="297"/>
    </row>
    <row r="358" spans="1:6" x14ac:dyDescent="0.3">
      <c r="A358" s="40"/>
      <c r="B358" s="281" t="s">
        <v>428</v>
      </c>
      <c r="C358" s="281">
        <v>897</v>
      </c>
      <c r="D358" s="297"/>
      <c r="E358" s="297"/>
      <c r="F358" s="297"/>
    </row>
    <row r="359" spans="1:6" x14ac:dyDescent="0.3">
      <c r="A359" s="40"/>
      <c r="B359" s="281" t="s">
        <v>429</v>
      </c>
      <c r="C359" s="281">
        <v>898</v>
      </c>
      <c r="D359" s="297"/>
      <c r="E359" s="297"/>
      <c r="F359" s="297"/>
    </row>
    <row r="360" spans="1:6" x14ac:dyDescent="0.3">
      <c r="A360" s="40"/>
      <c r="B360" s="281" t="s">
        <v>430</v>
      </c>
      <c r="C360" s="281">
        <v>903</v>
      </c>
      <c r="D360" s="297"/>
      <c r="E360" s="297"/>
      <c r="F360" s="297"/>
    </row>
    <row r="361" spans="1:6" x14ac:dyDescent="0.3">
      <c r="A361" s="40"/>
      <c r="B361" s="281" t="s">
        <v>431</v>
      </c>
      <c r="C361" s="281">
        <v>900</v>
      </c>
      <c r="D361" s="297"/>
      <c r="E361" s="297"/>
      <c r="F361" s="297"/>
    </row>
    <row r="362" spans="1:6" x14ac:dyDescent="0.3">
      <c r="A362" s="40"/>
      <c r="B362" s="281" t="s">
        <v>432</v>
      </c>
      <c r="C362" s="281">
        <v>2600</v>
      </c>
      <c r="D362" s="297"/>
      <c r="E362" s="297"/>
      <c r="F362" s="297"/>
    </row>
    <row r="363" spans="1:6" x14ac:dyDescent="0.3">
      <c r="A363" s="40"/>
      <c r="B363" s="281" t="s">
        <v>433</v>
      </c>
      <c r="C363" s="281">
        <v>557</v>
      </c>
      <c r="D363" s="297"/>
      <c r="E363" s="297"/>
      <c r="F363" s="297"/>
    </row>
    <row r="364" spans="1:6" x14ac:dyDescent="0.3">
      <c r="A364" s="40"/>
      <c r="B364" s="281" t="s">
        <v>434</v>
      </c>
      <c r="C364" s="281">
        <v>1295</v>
      </c>
      <c r="D364" s="297"/>
      <c r="E364" s="297"/>
      <c r="F364" s="297"/>
    </row>
    <row r="365" spans="1:6" x14ac:dyDescent="0.3">
      <c r="A365" s="40"/>
      <c r="B365" s="281" t="s">
        <v>435</v>
      </c>
      <c r="C365" s="281">
        <v>351</v>
      </c>
      <c r="D365" s="297"/>
      <c r="E365" s="297"/>
      <c r="F365" s="297"/>
    </row>
    <row r="366" spans="1:6" x14ac:dyDescent="0.3">
      <c r="A366" s="40"/>
      <c r="B366" s="281" t="s">
        <v>436</v>
      </c>
      <c r="C366" s="281">
        <v>350</v>
      </c>
      <c r="D366" s="297"/>
      <c r="E366" s="297"/>
      <c r="F366" s="297"/>
    </row>
    <row r="367" spans="1:6" x14ac:dyDescent="0.3">
      <c r="A367" s="40"/>
      <c r="B367" s="281" t="s">
        <v>437</v>
      </c>
      <c r="C367" s="281">
        <v>2643</v>
      </c>
      <c r="D367" s="297"/>
      <c r="E367" s="297"/>
      <c r="F367" s="297"/>
    </row>
    <row r="368" spans="1:6" x14ac:dyDescent="0.3">
      <c r="A368" s="40"/>
      <c r="B368" s="281" t="s">
        <v>438</v>
      </c>
      <c r="C368" s="281">
        <v>353</v>
      </c>
      <c r="D368" s="297"/>
      <c r="E368" s="297"/>
      <c r="F368" s="297"/>
    </row>
    <row r="369" spans="1:6" x14ac:dyDescent="0.3">
      <c r="A369" s="40"/>
      <c r="B369" s="281" t="s">
        <v>439</v>
      </c>
      <c r="C369" s="281">
        <v>2963</v>
      </c>
      <c r="D369" s="297"/>
      <c r="E369" s="297"/>
      <c r="F369" s="297"/>
    </row>
    <row r="370" spans="1:6" x14ac:dyDescent="0.3">
      <c r="A370" s="40"/>
      <c r="B370" s="281" t="s">
        <v>440</v>
      </c>
      <c r="C370" s="281">
        <v>2696</v>
      </c>
      <c r="D370" s="297"/>
      <c r="E370" s="297"/>
      <c r="F370" s="297"/>
    </row>
    <row r="371" spans="1:6" x14ac:dyDescent="0.3">
      <c r="A371" s="40"/>
      <c r="B371" s="281" t="s">
        <v>441</v>
      </c>
      <c r="C371" s="281">
        <v>2700</v>
      </c>
      <c r="D371" s="297"/>
      <c r="E371" s="297"/>
      <c r="F371" s="297"/>
    </row>
    <row r="372" spans="1:6" x14ac:dyDescent="0.3">
      <c r="A372" s="40"/>
      <c r="B372" s="281" t="s">
        <v>442</v>
      </c>
      <c r="C372" s="281">
        <v>2701</v>
      </c>
      <c r="D372" s="297"/>
      <c r="E372" s="297"/>
      <c r="F372" s="297"/>
    </row>
    <row r="373" spans="1:6" x14ac:dyDescent="0.3">
      <c r="A373" s="40"/>
      <c r="B373" s="281" t="s">
        <v>443</v>
      </c>
      <c r="C373" s="281">
        <v>2697</v>
      </c>
      <c r="D373" s="297"/>
      <c r="E373" s="297"/>
      <c r="F373" s="297"/>
    </row>
    <row r="374" spans="1:6" x14ac:dyDescent="0.3">
      <c r="A374" s="40"/>
      <c r="B374" s="281" t="s">
        <v>444</v>
      </c>
      <c r="C374" s="281">
        <v>2699</v>
      </c>
      <c r="D374" s="297"/>
      <c r="E374" s="297"/>
      <c r="F374" s="297"/>
    </row>
    <row r="375" spans="1:6" x14ac:dyDescent="0.3">
      <c r="A375" s="40"/>
      <c r="B375" s="281" t="s">
        <v>445</v>
      </c>
      <c r="C375" s="281">
        <v>2698</v>
      </c>
      <c r="D375" s="297"/>
      <c r="E375" s="297"/>
      <c r="F375" s="297"/>
    </row>
    <row r="376" spans="1:6" x14ac:dyDescent="0.3">
      <c r="A376" s="40"/>
      <c r="B376" s="281" t="s">
        <v>446</v>
      </c>
      <c r="C376" s="281">
        <v>2790</v>
      </c>
      <c r="D376" s="297"/>
      <c r="E376" s="297"/>
      <c r="F376" s="297"/>
    </row>
    <row r="377" spans="1:6" x14ac:dyDescent="0.3">
      <c r="A377" s="40"/>
      <c r="B377" s="281" t="s">
        <v>447</v>
      </c>
      <c r="C377" s="281">
        <v>556</v>
      </c>
      <c r="D377" s="297"/>
      <c r="E377" s="297"/>
      <c r="F377" s="297"/>
    </row>
    <row r="378" spans="1:6" x14ac:dyDescent="0.3">
      <c r="A378" s="40"/>
      <c r="B378" s="281" t="s">
        <v>448</v>
      </c>
      <c r="C378" s="281">
        <v>895</v>
      </c>
      <c r="D378" s="297"/>
      <c r="E378" s="297"/>
      <c r="F378" s="297"/>
    </row>
    <row r="379" spans="1:6" x14ac:dyDescent="0.3">
      <c r="A379" s="40"/>
      <c r="B379" s="281" t="s">
        <v>449</v>
      </c>
      <c r="C379" s="281">
        <v>779</v>
      </c>
      <c r="D379" s="297"/>
      <c r="E379" s="297"/>
      <c r="F379" s="297"/>
    </row>
    <row r="380" spans="1:6" x14ac:dyDescent="0.3">
      <c r="A380" s="40"/>
      <c r="B380" s="281" t="s">
        <v>450</v>
      </c>
      <c r="C380" s="281">
        <v>2956</v>
      </c>
      <c r="D380" s="297"/>
      <c r="E380" s="297"/>
      <c r="F380" s="297"/>
    </row>
    <row r="381" spans="1:6" x14ac:dyDescent="0.3">
      <c r="A381" s="40"/>
      <c r="B381" s="281" t="s">
        <v>451</v>
      </c>
      <c r="C381" s="281">
        <v>13</v>
      </c>
      <c r="D381" s="297"/>
      <c r="E381" s="297"/>
      <c r="F381" s="297"/>
    </row>
    <row r="382" spans="1:6" ht="31.2" x14ac:dyDescent="0.3">
      <c r="A382" s="40" t="s">
        <v>452</v>
      </c>
      <c r="B382" s="281"/>
      <c r="C382" s="281"/>
      <c r="D382" s="297"/>
      <c r="E382" s="297"/>
      <c r="F382" s="297"/>
    </row>
    <row r="383" spans="1:6" x14ac:dyDescent="0.3">
      <c r="A383" s="40"/>
      <c r="B383" s="281" t="s">
        <v>453</v>
      </c>
      <c r="C383" s="281">
        <v>40</v>
      </c>
      <c r="D383" s="297"/>
      <c r="E383" s="297"/>
      <c r="F383" s="297"/>
    </row>
    <row r="384" spans="1:6" x14ac:dyDescent="0.3">
      <c r="A384" s="40"/>
      <c r="B384" s="281" t="s">
        <v>454</v>
      </c>
      <c r="C384" s="281">
        <v>1273</v>
      </c>
      <c r="D384" s="297"/>
      <c r="E384" s="297"/>
      <c r="F384" s="297"/>
    </row>
    <row r="385" spans="1:6" x14ac:dyDescent="0.3">
      <c r="A385" s="40"/>
      <c r="B385" s="281" t="s">
        <v>455</v>
      </c>
      <c r="C385" s="281">
        <v>1272</v>
      </c>
      <c r="D385" s="297"/>
      <c r="E385" s="297"/>
      <c r="F385" s="297"/>
    </row>
    <row r="386" spans="1:6" x14ac:dyDescent="0.3">
      <c r="A386" s="40"/>
      <c r="B386" s="281" t="s">
        <v>355</v>
      </c>
      <c r="C386" s="281">
        <v>144</v>
      </c>
      <c r="D386" s="297"/>
      <c r="E386" s="297"/>
      <c r="F386" s="297"/>
    </row>
    <row r="387" spans="1:6" x14ac:dyDescent="0.3">
      <c r="A387" s="40"/>
      <c r="B387" s="281" t="s">
        <v>456</v>
      </c>
      <c r="C387" s="281">
        <v>2798</v>
      </c>
      <c r="D387" s="297"/>
      <c r="E387" s="297"/>
      <c r="F387" s="297"/>
    </row>
    <row r="388" spans="1:6" x14ac:dyDescent="0.3">
      <c r="A388" s="40"/>
      <c r="B388" s="281" t="s">
        <v>457</v>
      </c>
      <c r="C388" s="281">
        <v>2800</v>
      </c>
      <c r="D388" s="297"/>
      <c r="E388" s="297"/>
      <c r="F388" s="297"/>
    </row>
    <row r="389" spans="1:6" x14ac:dyDescent="0.3">
      <c r="A389" s="40"/>
      <c r="B389" s="281" t="s">
        <v>458</v>
      </c>
      <c r="C389" s="281">
        <v>2799</v>
      </c>
      <c r="D389" s="297"/>
      <c r="E389" s="297"/>
      <c r="F389" s="297"/>
    </row>
    <row r="390" spans="1:6" x14ac:dyDescent="0.3">
      <c r="A390" s="40"/>
      <c r="B390" s="281" t="s">
        <v>459</v>
      </c>
      <c r="C390" s="281">
        <v>1979</v>
      </c>
      <c r="D390" s="297"/>
      <c r="E390" s="297"/>
      <c r="F390" s="297"/>
    </row>
    <row r="391" spans="1:6" x14ac:dyDescent="0.3">
      <c r="A391" s="40"/>
      <c r="B391" s="281" t="s">
        <v>460</v>
      </c>
      <c r="C391" s="281">
        <v>816</v>
      </c>
      <c r="D391" s="297"/>
      <c r="E391" s="297"/>
      <c r="F391" s="297"/>
    </row>
    <row r="392" spans="1:6" x14ac:dyDescent="0.3">
      <c r="A392" s="40"/>
      <c r="B392" s="281" t="s">
        <v>461</v>
      </c>
      <c r="C392" s="281">
        <v>2801</v>
      </c>
      <c r="D392" s="297"/>
      <c r="E392" s="297"/>
      <c r="F392" s="297"/>
    </row>
    <row r="393" spans="1:6" x14ac:dyDescent="0.3">
      <c r="A393" s="40"/>
      <c r="B393" s="281" t="s">
        <v>462</v>
      </c>
      <c r="C393" s="281">
        <v>802</v>
      </c>
      <c r="D393" s="297"/>
      <c r="E393" s="297"/>
      <c r="F393" s="297"/>
    </row>
    <row r="394" spans="1:6" x14ac:dyDescent="0.3">
      <c r="A394" s="40"/>
      <c r="B394" s="281" t="s">
        <v>463</v>
      </c>
      <c r="C394" s="281">
        <v>67</v>
      </c>
      <c r="D394" s="297"/>
      <c r="E394" s="297"/>
      <c r="F394" s="297"/>
    </row>
    <row r="395" spans="1:6" x14ac:dyDescent="0.3">
      <c r="A395" s="40"/>
      <c r="B395" s="281" t="s">
        <v>464</v>
      </c>
      <c r="C395" s="281">
        <v>66</v>
      </c>
      <c r="D395" s="297"/>
      <c r="E395" s="297"/>
      <c r="F395" s="297"/>
    </row>
    <row r="396" spans="1:6" x14ac:dyDescent="0.3">
      <c r="A396" s="40"/>
      <c r="B396" s="281" t="s">
        <v>465</v>
      </c>
      <c r="C396" s="281">
        <v>1274</v>
      </c>
      <c r="D396" s="297"/>
      <c r="E396" s="297"/>
      <c r="F396" s="297"/>
    </row>
    <row r="397" spans="1:6" x14ac:dyDescent="0.3">
      <c r="A397" s="40"/>
      <c r="B397" s="281" t="s">
        <v>466</v>
      </c>
      <c r="C397" s="281">
        <v>1265</v>
      </c>
      <c r="D397" s="297"/>
      <c r="E397" s="297"/>
      <c r="F397" s="297"/>
    </row>
    <row r="398" spans="1:6" x14ac:dyDescent="0.3">
      <c r="A398" s="40"/>
      <c r="B398" s="281" t="s">
        <v>467</v>
      </c>
      <c r="C398" s="281">
        <v>1264</v>
      </c>
      <c r="D398" s="297"/>
      <c r="E398" s="297"/>
      <c r="F398" s="297"/>
    </row>
    <row r="399" spans="1:6" x14ac:dyDescent="0.3">
      <c r="A399" s="40"/>
      <c r="B399" s="281" t="s">
        <v>468</v>
      </c>
      <c r="C399" s="281">
        <v>1977</v>
      </c>
      <c r="D399" s="297"/>
      <c r="E399" s="297"/>
      <c r="F399" s="297"/>
    </row>
    <row r="400" spans="1:6" x14ac:dyDescent="0.3">
      <c r="A400" s="40"/>
      <c r="B400" s="281" t="s">
        <v>469</v>
      </c>
      <c r="C400" s="281">
        <v>1266</v>
      </c>
      <c r="D400" s="297"/>
      <c r="E400" s="297"/>
      <c r="F400" s="297"/>
    </row>
    <row r="401" spans="1:6" x14ac:dyDescent="0.3">
      <c r="A401" s="40"/>
      <c r="B401" s="281" t="s">
        <v>470</v>
      </c>
      <c r="C401" s="281">
        <v>86</v>
      </c>
      <c r="D401" s="297"/>
      <c r="E401" s="297"/>
      <c r="F401" s="297"/>
    </row>
    <row r="402" spans="1:6" x14ac:dyDescent="0.3">
      <c r="A402" s="40"/>
      <c r="B402" s="281" t="s">
        <v>471</v>
      </c>
      <c r="C402" s="281">
        <v>1275</v>
      </c>
      <c r="D402" s="297"/>
      <c r="E402" s="297"/>
      <c r="F402" s="297"/>
    </row>
    <row r="403" spans="1:6" x14ac:dyDescent="0.3">
      <c r="A403" s="40"/>
      <c r="B403" s="281" t="s">
        <v>472</v>
      </c>
      <c r="C403" s="281">
        <v>1259</v>
      </c>
      <c r="D403" s="297"/>
      <c r="E403" s="297"/>
      <c r="F403" s="297"/>
    </row>
    <row r="404" spans="1:6" x14ac:dyDescent="0.3">
      <c r="A404" s="40"/>
      <c r="B404" s="281" t="s">
        <v>473</v>
      </c>
      <c r="C404" s="281">
        <v>1258</v>
      </c>
      <c r="D404" s="297"/>
      <c r="E404" s="297"/>
      <c r="F404" s="297"/>
    </row>
    <row r="405" spans="1:6" x14ac:dyDescent="0.3">
      <c r="A405" s="40"/>
      <c r="B405" s="281" t="s">
        <v>474</v>
      </c>
      <c r="C405" s="281">
        <v>1261</v>
      </c>
      <c r="D405" s="297"/>
      <c r="E405" s="297"/>
      <c r="F405" s="297"/>
    </row>
    <row r="406" spans="1:6" x14ac:dyDescent="0.3">
      <c r="A406" s="40"/>
      <c r="B406" s="281" t="s">
        <v>475</v>
      </c>
      <c r="C406" s="281">
        <v>1255</v>
      </c>
      <c r="D406" s="297"/>
      <c r="E406" s="297"/>
      <c r="F406" s="297"/>
    </row>
    <row r="407" spans="1:6" x14ac:dyDescent="0.3">
      <c r="A407" s="40"/>
      <c r="B407" s="281" t="s">
        <v>476</v>
      </c>
      <c r="C407" s="281">
        <v>1256</v>
      </c>
      <c r="D407" s="297"/>
      <c r="E407" s="297"/>
      <c r="F407" s="297"/>
    </row>
    <row r="408" spans="1:6" x14ac:dyDescent="0.3">
      <c r="A408" s="40"/>
      <c r="B408" s="281" t="s">
        <v>477</v>
      </c>
      <c r="C408" s="281">
        <v>1260</v>
      </c>
      <c r="D408" s="297"/>
      <c r="E408" s="297"/>
      <c r="F408" s="297"/>
    </row>
    <row r="409" spans="1:6" x14ac:dyDescent="0.3">
      <c r="A409" s="40"/>
      <c r="B409" s="281" t="s">
        <v>478</v>
      </c>
      <c r="C409" s="281">
        <v>454</v>
      </c>
      <c r="D409" s="297"/>
      <c r="E409" s="297"/>
      <c r="F409" s="297"/>
    </row>
    <row r="410" spans="1:6" x14ac:dyDescent="0.3">
      <c r="A410" s="40"/>
      <c r="B410" s="281" t="s">
        <v>479</v>
      </c>
      <c r="C410" s="281">
        <v>1257</v>
      </c>
      <c r="D410" s="297"/>
      <c r="E410" s="297"/>
      <c r="F410" s="297"/>
    </row>
    <row r="411" spans="1:6" x14ac:dyDescent="0.3">
      <c r="A411" s="40"/>
      <c r="B411" s="281" t="s">
        <v>480</v>
      </c>
      <c r="C411" s="281">
        <v>538</v>
      </c>
      <c r="D411" s="297"/>
      <c r="E411" s="297"/>
      <c r="F411" s="297"/>
    </row>
    <row r="412" spans="1:6" x14ac:dyDescent="0.3">
      <c r="A412" s="40"/>
      <c r="B412" s="281" t="s">
        <v>481</v>
      </c>
      <c r="C412" s="281">
        <v>2009</v>
      </c>
      <c r="D412" s="297"/>
      <c r="E412" s="297"/>
      <c r="F412" s="297"/>
    </row>
    <row r="413" spans="1:6" x14ac:dyDescent="0.3">
      <c r="A413" s="40"/>
      <c r="B413" s="281" t="s">
        <v>482</v>
      </c>
      <c r="C413" s="281">
        <v>311</v>
      </c>
      <c r="D413" s="297"/>
      <c r="E413" s="297"/>
      <c r="F413" s="297"/>
    </row>
    <row r="414" spans="1:6" x14ac:dyDescent="0.3">
      <c r="A414" s="40"/>
      <c r="B414" s="281" t="s">
        <v>483</v>
      </c>
      <c r="C414" s="281">
        <v>1276</v>
      </c>
      <c r="D414" s="297"/>
      <c r="E414" s="297"/>
      <c r="F414" s="297"/>
    </row>
    <row r="415" spans="1:6" x14ac:dyDescent="0.3">
      <c r="A415" s="40"/>
      <c r="B415" s="281" t="s">
        <v>484</v>
      </c>
      <c r="C415" s="281">
        <v>1268</v>
      </c>
      <c r="D415" s="297"/>
      <c r="E415" s="297"/>
      <c r="F415" s="297"/>
    </row>
    <row r="416" spans="1:6" x14ac:dyDescent="0.3">
      <c r="A416" s="40"/>
      <c r="B416" s="281" t="s">
        <v>485</v>
      </c>
      <c r="C416" s="281">
        <v>1262</v>
      </c>
      <c r="D416" s="297"/>
      <c r="E416" s="297"/>
      <c r="F416" s="297"/>
    </row>
    <row r="417" spans="1:6" x14ac:dyDescent="0.3">
      <c r="A417" s="40"/>
      <c r="B417" s="281" t="s">
        <v>486</v>
      </c>
      <c r="C417" s="281">
        <v>2914</v>
      </c>
      <c r="D417" s="297"/>
      <c r="E417" s="297"/>
      <c r="F417" s="297"/>
    </row>
    <row r="418" spans="1:6" x14ac:dyDescent="0.3">
      <c r="A418" s="40"/>
      <c r="B418" s="281" t="s">
        <v>487</v>
      </c>
      <c r="C418" s="281">
        <v>1271</v>
      </c>
      <c r="D418" s="297"/>
      <c r="E418" s="297"/>
      <c r="F418" s="297"/>
    </row>
    <row r="419" spans="1:6" x14ac:dyDescent="0.3">
      <c r="A419" s="40"/>
      <c r="B419" s="281" t="s">
        <v>488</v>
      </c>
      <c r="C419" s="281">
        <v>1267</v>
      </c>
      <c r="D419" s="297"/>
      <c r="E419" s="297"/>
      <c r="F419" s="297"/>
    </row>
    <row r="420" spans="1:6" x14ac:dyDescent="0.3">
      <c r="A420" s="40"/>
      <c r="B420" s="281" t="s">
        <v>489</v>
      </c>
      <c r="C420" s="281">
        <v>1269</v>
      </c>
      <c r="D420" s="297"/>
      <c r="E420" s="297"/>
      <c r="F420" s="297"/>
    </row>
    <row r="421" spans="1:6" x14ac:dyDescent="0.3">
      <c r="A421" s="40"/>
      <c r="B421" s="281" t="s">
        <v>490</v>
      </c>
      <c r="C421" s="281">
        <v>2920</v>
      </c>
      <c r="D421" s="297"/>
      <c r="E421" s="297"/>
      <c r="F421" s="297"/>
    </row>
    <row r="422" spans="1:6" x14ac:dyDescent="0.3">
      <c r="A422" s="40"/>
      <c r="B422" s="281" t="s">
        <v>491</v>
      </c>
      <c r="C422" s="281">
        <v>1263</v>
      </c>
      <c r="D422" s="297"/>
      <c r="E422" s="297"/>
      <c r="F422" s="297"/>
    </row>
    <row r="423" spans="1:6" x14ac:dyDescent="0.3">
      <c r="A423" s="40"/>
      <c r="B423" s="281" t="s">
        <v>492</v>
      </c>
      <c r="C423" s="281">
        <v>1270</v>
      </c>
      <c r="D423" s="297"/>
      <c r="E423" s="297"/>
      <c r="F423" s="297"/>
    </row>
    <row r="424" spans="1:6" x14ac:dyDescent="0.3">
      <c r="A424" s="40"/>
      <c r="B424" s="281" t="s">
        <v>493</v>
      </c>
      <c r="C424" s="281">
        <v>381</v>
      </c>
      <c r="D424" s="297"/>
      <c r="E424" s="297"/>
      <c r="F424" s="297"/>
    </row>
    <row r="425" spans="1:6" x14ac:dyDescent="0.3">
      <c r="A425" s="40"/>
      <c r="B425" s="281" t="s">
        <v>494</v>
      </c>
      <c r="C425" s="281">
        <v>581</v>
      </c>
      <c r="D425" s="297"/>
      <c r="E425" s="297"/>
      <c r="F425" s="297"/>
    </row>
    <row r="426" spans="1:6" x14ac:dyDescent="0.3">
      <c r="A426" s="40" t="s">
        <v>495</v>
      </c>
      <c r="B426" s="281"/>
      <c r="C426" s="281"/>
      <c r="D426" s="297"/>
      <c r="E426" s="297"/>
      <c r="F426" s="297"/>
    </row>
    <row r="427" spans="1:6" x14ac:dyDescent="0.3">
      <c r="A427" s="40"/>
      <c r="B427" s="281" t="s">
        <v>496</v>
      </c>
      <c r="C427" s="281">
        <v>378</v>
      </c>
      <c r="D427" s="297"/>
      <c r="E427" s="297"/>
      <c r="F427" s="297"/>
    </row>
    <row r="428" spans="1:6" x14ac:dyDescent="0.3">
      <c r="A428" s="40"/>
      <c r="B428" s="281" t="s">
        <v>317</v>
      </c>
      <c r="C428" s="281">
        <v>1351</v>
      </c>
      <c r="D428" s="297"/>
      <c r="E428" s="297"/>
      <c r="F428" s="297"/>
    </row>
    <row r="429" spans="1:6" x14ac:dyDescent="0.3">
      <c r="A429" s="40"/>
      <c r="B429" s="281" t="s">
        <v>497</v>
      </c>
      <c r="C429" s="281">
        <v>1017</v>
      </c>
      <c r="D429" s="297"/>
      <c r="E429" s="297"/>
      <c r="F429" s="297"/>
    </row>
    <row r="430" spans="1:6" x14ac:dyDescent="0.3">
      <c r="A430" s="40"/>
      <c r="B430" s="281" t="s">
        <v>498</v>
      </c>
      <c r="C430" s="281">
        <v>1014</v>
      </c>
      <c r="D430" s="297"/>
      <c r="E430" s="297"/>
      <c r="F430" s="297"/>
    </row>
    <row r="431" spans="1:6" x14ac:dyDescent="0.3">
      <c r="A431" s="40"/>
      <c r="B431" s="281" t="s">
        <v>499</v>
      </c>
      <c r="C431" s="281">
        <v>2416</v>
      </c>
      <c r="D431" s="297"/>
      <c r="E431" s="297"/>
      <c r="F431" s="297"/>
    </row>
    <row r="432" spans="1:6" x14ac:dyDescent="0.3">
      <c r="A432" s="40"/>
      <c r="B432" s="281" t="s">
        <v>500</v>
      </c>
      <c r="C432" s="281">
        <v>1012</v>
      </c>
      <c r="D432" s="297"/>
      <c r="E432" s="297"/>
      <c r="F432" s="297"/>
    </row>
    <row r="433" spans="1:6" x14ac:dyDescent="0.3">
      <c r="A433" s="40"/>
      <c r="B433" s="281" t="s">
        <v>501</v>
      </c>
      <c r="C433" s="281">
        <v>1010</v>
      </c>
      <c r="D433" s="297"/>
      <c r="E433" s="297"/>
      <c r="F433" s="297"/>
    </row>
    <row r="434" spans="1:6" x14ac:dyDescent="0.3">
      <c r="A434" s="40"/>
      <c r="B434" s="281" t="s">
        <v>502</v>
      </c>
      <c r="C434" s="281">
        <v>1900</v>
      </c>
      <c r="D434" s="297"/>
      <c r="E434" s="297"/>
      <c r="F434" s="297"/>
    </row>
    <row r="435" spans="1:6" x14ac:dyDescent="0.3">
      <c r="A435" s="40"/>
      <c r="B435" s="281" t="s">
        <v>503</v>
      </c>
      <c r="C435" s="281">
        <v>2857</v>
      </c>
      <c r="D435" s="297"/>
      <c r="E435" s="297"/>
      <c r="F435" s="297"/>
    </row>
    <row r="436" spans="1:6" x14ac:dyDescent="0.3">
      <c r="A436" s="40"/>
      <c r="B436" s="281" t="s">
        <v>504</v>
      </c>
      <c r="C436" s="281">
        <v>2417</v>
      </c>
      <c r="D436" s="297"/>
      <c r="E436" s="297"/>
      <c r="F436" s="297"/>
    </row>
    <row r="437" spans="1:6" x14ac:dyDescent="0.3">
      <c r="A437" s="40"/>
      <c r="B437" s="281" t="s">
        <v>505</v>
      </c>
      <c r="C437" s="281">
        <v>248</v>
      </c>
      <c r="D437" s="297"/>
      <c r="E437" s="297"/>
      <c r="F437" s="297"/>
    </row>
    <row r="438" spans="1:6" x14ac:dyDescent="0.3">
      <c r="A438" s="40"/>
      <c r="B438" s="281" t="s">
        <v>506</v>
      </c>
      <c r="C438" s="281">
        <v>2789</v>
      </c>
      <c r="D438" s="297"/>
      <c r="E438" s="297"/>
      <c r="F438" s="297"/>
    </row>
    <row r="439" spans="1:6" x14ac:dyDescent="0.3">
      <c r="A439" s="40"/>
      <c r="B439" s="281" t="s">
        <v>507</v>
      </c>
      <c r="C439" s="281">
        <v>1011</v>
      </c>
      <c r="D439" s="297"/>
      <c r="E439" s="297"/>
      <c r="F439" s="297"/>
    </row>
    <row r="440" spans="1:6" x14ac:dyDescent="0.3">
      <c r="A440" s="40"/>
      <c r="B440" s="281" t="s">
        <v>508</v>
      </c>
      <c r="C440" s="281">
        <v>1013</v>
      </c>
      <c r="D440" s="297"/>
      <c r="E440" s="297"/>
      <c r="F440" s="297"/>
    </row>
    <row r="441" spans="1:6" x14ac:dyDescent="0.3">
      <c r="A441" s="40"/>
      <c r="B441" s="281" t="s">
        <v>509</v>
      </c>
      <c r="C441" s="281">
        <v>2692</v>
      </c>
      <c r="D441" s="297"/>
      <c r="E441" s="297"/>
      <c r="F441" s="297"/>
    </row>
    <row r="442" spans="1:6" x14ac:dyDescent="0.3">
      <c r="A442" s="40"/>
      <c r="B442" s="281" t="s">
        <v>510</v>
      </c>
      <c r="C442" s="281">
        <v>1015</v>
      </c>
      <c r="D442" s="297"/>
      <c r="E442" s="297"/>
      <c r="F442" s="297"/>
    </row>
    <row r="443" spans="1:6" x14ac:dyDescent="0.3">
      <c r="A443" s="40"/>
      <c r="B443" s="281" t="s">
        <v>511</v>
      </c>
      <c r="C443" s="281">
        <v>1016</v>
      </c>
      <c r="D443" s="297"/>
      <c r="E443" s="297"/>
      <c r="F443" s="297"/>
    </row>
    <row r="444" spans="1:6" x14ac:dyDescent="0.3">
      <c r="A444" s="40"/>
      <c r="B444" s="281" t="s">
        <v>512</v>
      </c>
      <c r="C444" s="281">
        <v>2856</v>
      </c>
      <c r="D444" s="297"/>
      <c r="E444" s="297"/>
      <c r="F444" s="297"/>
    </row>
    <row r="445" spans="1:6" x14ac:dyDescent="0.3">
      <c r="A445" s="40"/>
      <c r="B445" s="281" t="s">
        <v>513</v>
      </c>
      <c r="C445" s="281">
        <v>577</v>
      </c>
      <c r="D445" s="297"/>
      <c r="E445" s="297"/>
      <c r="F445" s="297"/>
    </row>
    <row r="446" spans="1:6" x14ac:dyDescent="0.3">
      <c r="A446" s="40"/>
      <c r="B446" s="281" t="s">
        <v>514</v>
      </c>
      <c r="C446" s="281">
        <v>1289</v>
      </c>
      <c r="D446" s="297"/>
      <c r="E446" s="297"/>
      <c r="F446" s="297"/>
    </row>
    <row r="447" spans="1:6" x14ac:dyDescent="0.3">
      <c r="A447" s="40"/>
      <c r="B447" s="281" t="s">
        <v>515</v>
      </c>
      <c r="C447" s="281">
        <v>2688</v>
      </c>
      <c r="D447" s="297"/>
      <c r="E447" s="297"/>
      <c r="F447" s="297"/>
    </row>
    <row r="448" spans="1:6" x14ac:dyDescent="0.3">
      <c r="A448" s="40"/>
      <c r="B448" s="281" t="s">
        <v>516</v>
      </c>
      <c r="C448" s="281">
        <v>2019</v>
      </c>
      <c r="D448" s="297"/>
      <c r="E448" s="297"/>
      <c r="F448" s="297"/>
    </row>
    <row r="449" spans="1:6" x14ac:dyDescent="0.3">
      <c r="A449" s="40"/>
      <c r="B449" s="281" t="s">
        <v>517</v>
      </c>
      <c r="C449" s="281">
        <v>1023</v>
      </c>
      <c r="D449" s="297"/>
      <c r="E449" s="297"/>
      <c r="F449" s="297"/>
    </row>
    <row r="450" spans="1:6" x14ac:dyDescent="0.3">
      <c r="A450" s="40"/>
      <c r="B450" s="281" t="s">
        <v>518</v>
      </c>
      <c r="C450" s="281">
        <v>1960</v>
      </c>
      <c r="D450" s="297"/>
      <c r="E450" s="297"/>
      <c r="F450" s="297"/>
    </row>
    <row r="451" spans="1:6" x14ac:dyDescent="0.3">
      <c r="A451" s="40"/>
      <c r="B451" s="281" t="s">
        <v>519</v>
      </c>
      <c r="C451" s="281">
        <v>1331</v>
      </c>
      <c r="D451" s="297"/>
      <c r="E451" s="297"/>
      <c r="F451" s="297"/>
    </row>
    <row r="452" spans="1:6" x14ac:dyDescent="0.3">
      <c r="A452" s="40"/>
      <c r="B452" s="281" t="s">
        <v>520</v>
      </c>
      <c r="C452" s="281">
        <v>1296</v>
      </c>
      <c r="D452" s="297"/>
      <c r="E452" s="297"/>
      <c r="F452" s="297"/>
    </row>
    <row r="453" spans="1:6" x14ac:dyDescent="0.3">
      <c r="A453" s="40"/>
      <c r="B453" s="281" t="s">
        <v>521</v>
      </c>
      <c r="C453" s="281">
        <v>1004</v>
      </c>
      <c r="D453" s="297"/>
      <c r="E453" s="297"/>
      <c r="F453" s="297"/>
    </row>
    <row r="454" spans="1:6" x14ac:dyDescent="0.3">
      <c r="A454" s="40"/>
      <c r="B454" s="281" t="s">
        <v>522</v>
      </c>
      <c r="C454" s="281">
        <v>2720</v>
      </c>
      <c r="D454" s="297"/>
      <c r="E454" s="297"/>
      <c r="F454" s="297"/>
    </row>
    <row r="455" spans="1:6" x14ac:dyDescent="0.3">
      <c r="A455" s="40"/>
      <c r="B455" s="281" t="s">
        <v>523</v>
      </c>
      <c r="C455" s="281">
        <v>1008</v>
      </c>
      <c r="D455" s="297"/>
      <c r="E455" s="297"/>
      <c r="F455" s="297"/>
    </row>
    <row r="456" spans="1:6" x14ac:dyDescent="0.3">
      <c r="A456" s="40"/>
      <c r="B456" s="281" t="s">
        <v>524</v>
      </c>
      <c r="C456" s="281">
        <v>2788</v>
      </c>
      <c r="D456" s="297"/>
      <c r="E456" s="297"/>
      <c r="F456" s="297"/>
    </row>
    <row r="457" spans="1:6" x14ac:dyDescent="0.3">
      <c r="A457" s="40"/>
      <c r="B457" s="281" t="s">
        <v>525</v>
      </c>
      <c r="C457" s="281">
        <v>2721</v>
      </c>
      <c r="D457" s="297"/>
      <c r="E457" s="297"/>
      <c r="F457" s="297"/>
    </row>
    <row r="458" spans="1:6" x14ac:dyDescent="0.3">
      <c r="A458" s="40"/>
      <c r="B458" s="281" t="s">
        <v>526</v>
      </c>
      <c r="C458" s="281">
        <v>1298</v>
      </c>
      <c r="D458" s="297"/>
      <c r="E458" s="297"/>
      <c r="F458" s="297"/>
    </row>
    <row r="459" spans="1:6" x14ac:dyDescent="0.3">
      <c r="A459" s="40"/>
      <c r="B459" s="281" t="s">
        <v>527</v>
      </c>
      <c r="C459" s="281">
        <v>2718</v>
      </c>
      <c r="D459" s="297"/>
      <c r="E459" s="297"/>
      <c r="F459" s="297"/>
    </row>
    <row r="460" spans="1:6" x14ac:dyDescent="0.3">
      <c r="A460" s="40"/>
      <c r="B460" s="281" t="s">
        <v>528</v>
      </c>
      <c r="C460" s="281">
        <v>2722</v>
      </c>
      <c r="D460" s="297"/>
      <c r="E460" s="297"/>
      <c r="F460" s="297"/>
    </row>
    <row r="461" spans="1:6" x14ac:dyDescent="0.3">
      <c r="A461" s="40"/>
      <c r="B461" s="281" t="s">
        <v>529</v>
      </c>
      <c r="C461" s="281">
        <v>1005</v>
      </c>
      <c r="D461" s="297"/>
      <c r="E461" s="297"/>
      <c r="F461" s="297"/>
    </row>
    <row r="462" spans="1:6" x14ac:dyDescent="0.3">
      <c r="A462" s="40"/>
      <c r="B462" s="281" t="s">
        <v>530</v>
      </c>
      <c r="C462" s="281">
        <v>1007</v>
      </c>
      <c r="D462" s="297"/>
      <c r="E462" s="297"/>
      <c r="F462" s="297"/>
    </row>
    <row r="463" spans="1:6" x14ac:dyDescent="0.3">
      <c r="A463" s="40"/>
      <c r="B463" s="281" t="s">
        <v>531</v>
      </c>
      <c r="C463" s="281">
        <v>1006</v>
      </c>
      <c r="D463" s="297"/>
      <c r="E463" s="297"/>
      <c r="F463" s="297"/>
    </row>
    <row r="464" spans="1:6" x14ac:dyDescent="0.3">
      <c r="A464" s="40"/>
      <c r="B464" s="281" t="s">
        <v>532</v>
      </c>
      <c r="C464" s="281">
        <v>229</v>
      </c>
      <c r="D464" s="297"/>
      <c r="E464" s="297"/>
      <c r="F464" s="297"/>
    </row>
    <row r="465" spans="1:6" x14ac:dyDescent="0.3">
      <c r="A465" s="40"/>
      <c r="B465" s="281" t="s">
        <v>533</v>
      </c>
      <c r="C465" s="281">
        <v>2785</v>
      </c>
      <c r="D465" s="297"/>
      <c r="E465" s="297"/>
      <c r="F465" s="297"/>
    </row>
    <row r="466" spans="1:6" x14ac:dyDescent="0.3">
      <c r="A466" s="40"/>
      <c r="B466" s="281" t="s">
        <v>534</v>
      </c>
      <c r="C466" s="281">
        <v>1009</v>
      </c>
      <c r="D466" s="297"/>
      <c r="E466" s="297"/>
      <c r="F466" s="297"/>
    </row>
    <row r="467" spans="1:6" x14ac:dyDescent="0.3">
      <c r="A467" s="40"/>
      <c r="B467" s="281" t="s">
        <v>535</v>
      </c>
      <c r="C467" s="281">
        <v>1329</v>
      </c>
      <c r="D467" s="297"/>
      <c r="E467" s="297"/>
      <c r="F467" s="297"/>
    </row>
    <row r="468" spans="1:6" x14ac:dyDescent="0.3">
      <c r="A468" s="40"/>
      <c r="B468" s="281" t="s">
        <v>536</v>
      </c>
      <c r="C468" s="281">
        <v>1297</v>
      </c>
      <c r="D468" s="297"/>
      <c r="E468" s="297"/>
      <c r="F468" s="297"/>
    </row>
    <row r="469" spans="1:6" x14ac:dyDescent="0.3">
      <c r="A469" s="40"/>
      <c r="B469" s="281" t="s">
        <v>298</v>
      </c>
      <c r="C469" s="281">
        <v>2919</v>
      </c>
      <c r="D469" s="297"/>
      <c r="E469" s="297"/>
      <c r="F469" s="297"/>
    </row>
    <row r="470" spans="1:6" x14ac:dyDescent="0.3">
      <c r="A470" s="40"/>
      <c r="B470" s="281" t="s">
        <v>537</v>
      </c>
      <c r="C470" s="281">
        <v>2723</v>
      </c>
      <c r="D470" s="297"/>
      <c r="E470" s="297"/>
      <c r="F470" s="297"/>
    </row>
    <row r="471" spans="1:6" x14ac:dyDescent="0.3">
      <c r="A471" s="40"/>
      <c r="B471" s="281" t="s">
        <v>538</v>
      </c>
      <c r="C471" s="281">
        <v>1353</v>
      </c>
      <c r="D471" s="297"/>
      <c r="E471" s="297"/>
      <c r="F471" s="297"/>
    </row>
    <row r="472" spans="1:6" x14ac:dyDescent="0.3">
      <c r="A472" s="40"/>
      <c r="B472" s="281" t="s">
        <v>539</v>
      </c>
      <c r="C472" s="281">
        <v>1968</v>
      </c>
      <c r="D472" s="297"/>
      <c r="E472" s="297"/>
      <c r="F472" s="297"/>
    </row>
    <row r="473" spans="1:6" x14ac:dyDescent="0.3">
      <c r="A473" s="40"/>
      <c r="B473" s="281" t="s">
        <v>540</v>
      </c>
      <c r="C473" s="281">
        <v>2661</v>
      </c>
      <c r="D473" s="297"/>
      <c r="E473" s="297"/>
      <c r="F473" s="297"/>
    </row>
    <row r="474" spans="1:6" x14ac:dyDescent="0.3">
      <c r="A474" s="40"/>
      <c r="B474" s="281" t="s">
        <v>541</v>
      </c>
      <c r="C474" s="281">
        <v>1330</v>
      </c>
      <c r="D474" s="297"/>
      <c r="E474" s="297"/>
      <c r="F474" s="297"/>
    </row>
    <row r="475" spans="1:6" x14ac:dyDescent="0.3">
      <c r="A475" s="40"/>
      <c r="B475" s="281" t="s">
        <v>542</v>
      </c>
      <c r="C475" s="281">
        <v>2726</v>
      </c>
      <c r="D475" s="297"/>
      <c r="E475" s="297"/>
      <c r="F475" s="297"/>
    </row>
    <row r="476" spans="1:6" x14ac:dyDescent="0.3">
      <c r="A476" s="40"/>
      <c r="B476" s="281" t="s">
        <v>543</v>
      </c>
      <c r="C476" s="281">
        <v>2725</v>
      </c>
      <c r="D476" s="297"/>
      <c r="E476" s="297"/>
      <c r="F476" s="297"/>
    </row>
    <row r="477" spans="1:6" x14ac:dyDescent="0.3">
      <c r="A477" s="40"/>
      <c r="B477" s="281" t="s">
        <v>544</v>
      </c>
      <c r="C477" s="281">
        <v>1978</v>
      </c>
      <c r="D477" s="297"/>
      <c r="E477" s="297"/>
      <c r="F477" s="297"/>
    </row>
    <row r="478" spans="1:6" x14ac:dyDescent="0.3">
      <c r="A478" s="40"/>
      <c r="B478" s="281" t="s">
        <v>545</v>
      </c>
      <c r="C478" s="281">
        <v>1959</v>
      </c>
      <c r="D478" s="297"/>
      <c r="E478" s="297"/>
      <c r="F478" s="297"/>
    </row>
    <row r="479" spans="1:6" x14ac:dyDescent="0.3">
      <c r="A479" s="40"/>
      <c r="B479" s="281" t="s">
        <v>546</v>
      </c>
      <c r="C479" s="281">
        <v>2689</v>
      </c>
      <c r="D479" s="297"/>
      <c r="E479" s="297"/>
      <c r="F479" s="297"/>
    </row>
    <row r="480" spans="1:6" x14ac:dyDescent="0.3">
      <c r="A480" s="40"/>
      <c r="B480" s="281" t="s">
        <v>547</v>
      </c>
      <c r="C480" s="281">
        <v>1312</v>
      </c>
      <c r="D480" s="297"/>
      <c r="E480" s="297"/>
      <c r="F480" s="297"/>
    </row>
    <row r="481" spans="1:6" x14ac:dyDescent="0.3">
      <c r="A481" s="40"/>
      <c r="B481" s="281" t="s">
        <v>548</v>
      </c>
      <c r="C481" s="281">
        <v>2021</v>
      </c>
      <c r="D481" s="297"/>
      <c r="E481" s="297"/>
      <c r="F481" s="297"/>
    </row>
    <row r="482" spans="1:6" x14ac:dyDescent="0.3">
      <c r="A482" s="40"/>
      <c r="B482" s="281" t="s">
        <v>549</v>
      </c>
      <c r="C482" s="281">
        <v>1388</v>
      </c>
      <c r="D482" s="297"/>
      <c r="E482" s="297"/>
      <c r="F482" s="297"/>
    </row>
    <row r="483" spans="1:6" x14ac:dyDescent="0.3">
      <c r="A483" s="40"/>
      <c r="B483" s="281" t="s">
        <v>550</v>
      </c>
      <c r="C483" s="281">
        <v>1873</v>
      </c>
      <c r="D483" s="297"/>
      <c r="E483" s="297"/>
      <c r="F483" s="297"/>
    </row>
    <row r="484" spans="1:6" x14ac:dyDescent="0.3">
      <c r="A484" s="40"/>
      <c r="B484" s="281" t="s">
        <v>551</v>
      </c>
      <c r="C484" s="281">
        <v>2515</v>
      </c>
      <c r="D484" s="297"/>
      <c r="E484" s="297"/>
      <c r="F484" s="297"/>
    </row>
    <row r="485" spans="1:6" x14ac:dyDescent="0.3">
      <c r="A485" s="40"/>
      <c r="B485" s="281" t="s">
        <v>160</v>
      </c>
      <c r="C485" s="281">
        <v>1811</v>
      </c>
      <c r="D485" s="297"/>
      <c r="E485" s="297"/>
      <c r="F485" s="297"/>
    </row>
    <row r="486" spans="1:6" x14ac:dyDescent="0.3">
      <c r="A486" s="40"/>
      <c r="B486" s="281" t="s">
        <v>552</v>
      </c>
      <c r="C486" s="281">
        <v>2724</v>
      </c>
      <c r="D486" s="297"/>
      <c r="E486" s="297"/>
      <c r="F486" s="297"/>
    </row>
    <row r="487" spans="1:6" x14ac:dyDescent="0.3">
      <c r="A487" s="40"/>
      <c r="B487" s="281" t="s">
        <v>553</v>
      </c>
      <c r="C487" s="281">
        <v>1980</v>
      </c>
      <c r="D487" s="297"/>
      <c r="E487" s="297"/>
      <c r="F487" s="297"/>
    </row>
    <row r="488" spans="1:6" x14ac:dyDescent="0.3">
      <c r="A488" s="40"/>
      <c r="B488" s="281" t="s">
        <v>554</v>
      </c>
      <c r="C488" s="281">
        <v>1022</v>
      </c>
      <c r="D488" s="297"/>
      <c r="E488" s="297"/>
      <c r="F488" s="297"/>
    </row>
    <row r="489" spans="1:6" x14ac:dyDescent="0.3">
      <c r="A489" s="40"/>
      <c r="B489" s="281" t="s">
        <v>555</v>
      </c>
      <c r="C489" s="281">
        <v>1964</v>
      </c>
      <c r="D489" s="297"/>
      <c r="E489" s="297"/>
      <c r="F489" s="297"/>
    </row>
    <row r="490" spans="1:6" x14ac:dyDescent="0.3">
      <c r="A490" s="40"/>
      <c r="B490" s="281" t="s">
        <v>556</v>
      </c>
      <c r="C490" s="281">
        <v>2719</v>
      </c>
      <c r="D490" s="297"/>
      <c r="E490" s="297"/>
      <c r="F490" s="297"/>
    </row>
    <row r="491" spans="1:6" x14ac:dyDescent="0.3">
      <c r="A491" s="40"/>
      <c r="B491" s="281" t="s">
        <v>557</v>
      </c>
      <c r="C491" s="281">
        <v>1939</v>
      </c>
      <c r="D491" s="297"/>
      <c r="E491" s="297"/>
      <c r="F491" s="297"/>
    </row>
    <row r="492" spans="1:6" x14ac:dyDescent="0.3">
      <c r="A492" s="40"/>
      <c r="B492" s="281" t="s">
        <v>558</v>
      </c>
      <c r="C492" s="281">
        <v>2662</v>
      </c>
      <c r="D492" s="297"/>
      <c r="E492" s="297"/>
      <c r="F492" s="297"/>
    </row>
    <row r="493" spans="1:6" x14ac:dyDescent="0.3">
      <c r="A493" s="40"/>
      <c r="B493" s="281" t="s">
        <v>559</v>
      </c>
      <c r="C493" s="281">
        <v>481</v>
      </c>
      <c r="D493" s="297"/>
      <c r="E493" s="297"/>
      <c r="F493" s="297"/>
    </row>
    <row r="494" spans="1:6" x14ac:dyDescent="0.3">
      <c r="A494" s="40" t="s">
        <v>560</v>
      </c>
      <c r="B494" s="281"/>
      <c r="C494" s="281"/>
      <c r="D494" s="297"/>
      <c r="E494" s="297"/>
      <c r="F494" s="297"/>
    </row>
    <row r="495" spans="1:6" x14ac:dyDescent="0.3">
      <c r="A495" s="40"/>
      <c r="B495" s="281" t="s">
        <v>561</v>
      </c>
      <c r="C495" s="281">
        <v>676</v>
      </c>
      <c r="D495" s="297"/>
      <c r="E495" s="297"/>
      <c r="F495" s="297"/>
    </row>
    <row r="496" spans="1:6" x14ac:dyDescent="0.3">
      <c r="A496" s="40"/>
      <c r="B496" s="281" t="s">
        <v>562</v>
      </c>
      <c r="C496" s="281">
        <v>1950</v>
      </c>
      <c r="D496" s="297"/>
      <c r="E496" s="297"/>
      <c r="F496" s="297"/>
    </row>
    <row r="497" spans="1:6" x14ac:dyDescent="0.3">
      <c r="A497" s="40"/>
      <c r="B497" s="281" t="s">
        <v>563</v>
      </c>
      <c r="C497" s="281">
        <v>646</v>
      </c>
      <c r="D497" s="297"/>
      <c r="E497" s="297"/>
      <c r="F497" s="297"/>
    </row>
    <row r="498" spans="1:6" x14ac:dyDescent="0.3">
      <c r="A498" s="40"/>
      <c r="B498" s="281" t="s">
        <v>564</v>
      </c>
      <c r="C498" s="281">
        <v>1951</v>
      </c>
      <c r="D498" s="297"/>
      <c r="E498" s="297"/>
      <c r="F498" s="297"/>
    </row>
    <row r="499" spans="1:6" x14ac:dyDescent="0.3">
      <c r="A499" s="40"/>
      <c r="B499" s="281" t="s">
        <v>565</v>
      </c>
      <c r="C499" s="281">
        <v>927</v>
      </c>
      <c r="D499" s="297"/>
      <c r="E499" s="297"/>
      <c r="F499" s="297"/>
    </row>
    <row r="500" spans="1:6" x14ac:dyDescent="0.3">
      <c r="A500" s="40"/>
      <c r="B500" s="281" t="s">
        <v>566</v>
      </c>
      <c r="C500" s="281">
        <v>917</v>
      </c>
      <c r="D500" s="297"/>
      <c r="E500" s="297"/>
      <c r="F500" s="297"/>
    </row>
    <row r="501" spans="1:6" x14ac:dyDescent="0.3">
      <c r="A501" s="40"/>
      <c r="B501" s="281" t="s">
        <v>567</v>
      </c>
      <c r="C501" s="281">
        <v>913</v>
      </c>
      <c r="D501" s="297"/>
      <c r="E501" s="297"/>
      <c r="F501" s="297"/>
    </row>
    <row r="502" spans="1:6" x14ac:dyDescent="0.3">
      <c r="A502" s="40"/>
      <c r="B502" s="281" t="s">
        <v>568</v>
      </c>
      <c r="C502" s="281">
        <v>921</v>
      </c>
      <c r="D502" s="297"/>
      <c r="E502" s="297"/>
      <c r="F502" s="297"/>
    </row>
    <row r="503" spans="1:6" x14ac:dyDescent="0.3">
      <c r="A503" s="40"/>
      <c r="B503" s="281" t="s">
        <v>569</v>
      </c>
      <c r="C503" s="281">
        <v>2771</v>
      </c>
      <c r="D503" s="297"/>
      <c r="E503" s="297"/>
      <c r="F503" s="297"/>
    </row>
    <row r="504" spans="1:6" x14ac:dyDescent="0.3">
      <c r="A504" s="40"/>
      <c r="B504" s="281" t="s">
        <v>570</v>
      </c>
      <c r="C504" s="281">
        <v>916</v>
      </c>
      <c r="D504" s="297"/>
      <c r="E504" s="297"/>
      <c r="F504" s="297"/>
    </row>
    <row r="505" spans="1:6" x14ac:dyDescent="0.3">
      <c r="A505" s="40"/>
      <c r="B505" s="281" t="s">
        <v>571</v>
      </c>
      <c r="C505" s="281">
        <v>929</v>
      </c>
      <c r="D505" s="297"/>
      <c r="E505" s="297"/>
      <c r="F505" s="297"/>
    </row>
    <row r="506" spans="1:6" x14ac:dyDescent="0.3">
      <c r="A506" s="40"/>
      <c r="B506" s="281" t="s">
        <v>572</v>
      </c>
      <c r="C506" s="281">
        <v>924</v>
      </c>
      <c r="D506" s="297"/>
      <c r="E506" s="297"/>
      <c r="F506" s="297"/>
    </row>
    <row r="507" spans="1:6" x14ac:dyDescent="0.3">
      <c r="A507" s="40"/>
      <c r="B507" s="281" t="s">
        <v>573</v>
      </c>
      <c r="C507" s="281">
        <v>1952</v>
      </c>
      <c r="D507" s="297"/>
      <c r="E507" s="297"/>
      <c r="F507" s="297"/>
    </row>
    <row r="508" spans="1:6" x14ac:dyDescent="0.3">
      <c r="A508" s="40"/>
      <c r="B508" s="281" t="s">
        <v>574</v>
      </c>
      <c r="C508" s="281">
        <v>928</v>
      </c>
      <c r="D508" s="297"/>
      <c r="E508" s="297"/>
      <c r="F508" s="297"/>
    </row>
    <row r="509" spans="1:6" x14ac:dyDescent="0.3">
      <c r="A509" s="40"/>
      <c r="B509" s="281" t="s">
        <v>575</v>
      </c>
      <c r="C509" s="281">
        <v>915</v>
      </c>
      <c r="D509" s="297"/>
      <c r="E509" s="297"/>
      <c r="F509" s="297"/>
    </row>
    <row r="510" spans="1:6" x14ac:dyDescent="0.3">
      <c r="A510" s="40"/>
      <c r="B510" s="281" t="s">
        <v>576</v>
      </c>
      <c r="C510" s="281">
        <v>925</v>
      </c>
      <c r="D510" s="297"/>
      <c r="E510" s="297"/>
      <c r="F510" s="297"/>
    </row>
    <row r="511" spans="1:6" x14ac:dyDescent="0.3">
      <c r="A511" s="40"/>
      <c r="B511" s="281" t="s">
        <v>577</v>
      </c>
      <c r="C511" s="281">
        <v>922</v>
      </c>
      <c r="D511" s="297"/>
      <c r="E511" s="297"/>
      <c r="F511" s="297"/>
    </row>
    <row r="512" spans="1:6" x14ac:dyDescent="0.3">
      <c r="A512" s="40"/>
      <c r="B512" s="281" t="s">
        <v>150</v>
      </c>
      <c r="C512" s="281">
        <v>2642</v>
      </c>
      <c r="D512" s="297"/>
      <c r="E512" s="297"/>
      <c r="F512" s="297"/>
    </row>
    <row r="513" spans="1:6" x14ac:dyDescent="0.3">
      <c r="A513" s="40"/>
      <c r="B513" s="281" t="s">
        <v>578</v>
      </c>
      <c r="C513" s="281">
        <v>911</v>
      </c>
      <c r="D513" s="297"/>
      <c r="E513" s="297"/>
      <c r="F513" s="297"/>
    </row>
    <row r="514" spans="1:6" x14ac:dyDescent="0.3">
      <c r="A514" s="40"/>
      <c r="B514" s="281" t="s">
        <v>437</v>
      </c>
      <c r="C514" s="281">
        <v>2643</v>
      </c>
      <c r="D514" s="297"/>
      <c r="E514" s="297"/>
      <c r="F514" s="297"/>
    </row>
    <row r="515" spans="1:6" x14ac:dyDescent="0.3">
      <c r="A515" s="40"/>
      <c r="B515" s="281" t="s">
        <v>579</v>
      </c>
      <c r="C515" s="281">
        <v>1999</v>
      </c>
      <c r="D515" s="297"/>
      <c r="E515" s="297"/>
      <c r="F515" s="297"/>
    </row>
    <row r="516" spans="1:6" x14ac:dyDescent="0.3">
      <c r="A516" s="40"/>
      <c r="B516" s="281" t="s">
        <v>580</v>
      </c>
      <c r="C516" s="281">
        <v>926</v>
      </c>
      <c r="D516" s="297"/>
      <c r="E516" s="297"/>
      <c r="F516" s="297"/>
    </row>
    <row r="517" spans="1:6" x14ac:dyDescent="0.3">
      <c r="A517" s="40"/>
      <c r="B517" s="281" t="s">
        <v>581</v>
      </c>
      <c r="C517" s="281">
        <v>392</v>
      </c>
      <c r="D517" s="297"/>
      <c r="E517" s="297"/>
      <c r="F517" s="297"/>
    </row>
    <row r="518" spans="1:6" x14ac:dyDescent="0.3">
      <c r="A518" s="40"/>
      <c r="B518" s="281" t="s">
        <v>392</v>
      </c>
      <c r="C518" s="281">
        <v>2565</v>
      </c>
      <c r="D518" s="297"/>
      <c r="E518" s="297"/>
      <c r="F518" s="297"/>
    </row>
    <row r="519" spans="1:6" x14ac:dyDescent="0.3">
      <c r="A519" s="40"/>
      <c r="B519" s="281" t="s">
        <v>582</v>
      </c>
      <c r="C519" s="281">
        <v>726</v>
      </c>
      <c r="D519" s="297"/>
      <c r="E519" s="297"/>
      <c r="F519" s="297"/>
    </row>
    <row r="520" spans="1:6" x14ac:dyDescent="0.3">
      <c r="A520" s="40"/>
      <c r="B520" s="281" t="s">
        <v>583</v>
      </c>
      <c r="C520" s="281">
        <v>792</v>
      </c>
      <c r="D520" s="297"/>
      <c r="E520" s="297"/>
      <c r="F520" s="297"/>
    </row>
    <row r="521" spans="1:6" x14ac:dyDescent="0.3">
      <c r="A521" s="40"/>
      <c r="B521" s="281" t="s">
        <v>584</v>
      </c>
      <c r="C521" s="281">
        <v>765</v>
      </c>
      <c r="D521" s="297"/>
      <c r="E521" s="297"/>
      <c r="F521" s="297"/>
    </row>
    <row r="522" spans="1:6" x14ac:dyDescent="0.3">
      <c r="A522" s="40"/>
      <c r="B522" s="281" t="s">
        <v>585</v>
      </c>
      <c r="C522" s="281">
        <v>914</v>
      </c>
      <c r="D522" s="297"/>
      <c r="E522" s="297"/>
      <c r="F522" s="297"/>
    </row>
    <row r="523" spans="1:6" x14ac:dyDescent="0.3">
      <c r="A523" s="40"/>
      <c r="B523" s="281" t="s">
        <v>586</v>
      </c>
      <c r="C523" s="281">
        <v>920</v>
      </c>
      <c r="D523" s="297"/>
      <c r="E523" s="297"/>
      <c r="F523" s="297"/>
    </row>
    <row r="524" spans="1:6" x14ac:dyDescent="0.3">
      <c r="A524" s="40"/>
      <c r="B524" s="281" t="s">
        <v>587</v>
      </c>
      <c r="C524" s="281">
        <v>923</v>
      </c>
      <c r="D524" s="297"/>
      <c r="E524" s="297"/>
      <c r="F524" s="297"/>
    </row>
    <row r="525" spans="1:6" x14ac:dyDescent="0.3">
      <c r="A525" s="40"/>
      <c r="B525" s="281" t="s">
        <v>588</v>
      </c>
      <c r="C525" s="281">
        <v>912</v>
      </c>
      <c r="D525" s="297"/>
      <c r="E525" s="297"/>
      <c r="F525" s="297"/>
    </row>
    <row r="526" spans="1:6" x14ac:dyDescent="0.3">
      <c r="A526" s="40"/>
      <c r="B526" s="281" t="s">
        <v>589</v>
      </c>
      <c r="C526" s="281">
        <v>1248</v>
      </c>
      <c r="D526" s="297"/>
      <c r="E526" s="297"/>
      <c r="F526" s="297"/>
    </row>
    <row r="527" spans="1:6" x14ac:dyDescent="0.3">
      <c r="A527" s="40"/>
      <c r="B527" s="281" t="s">
        <v>590</v>
      </c>
      <c r="C527" s="281">
        <v>677</v>
      </c>
      <c r="D527" s="297"/>
      <c r="E527" s="297"/>
      <c r="F527" s="297"/>
    </row>
    <row r="528" spans="1:6" x14ac:dyDescent="0.3">
      <c r="A528" s="40"/>
      <c r="B528" s="281" t="s">
        <v>591</v>
      </c>
      <c r="C528" s="281">
        <v>678</v>
      </c>
      <c r="D528" s="297"/>
      <c r="E528" s="297"/>
      <c r="F528" s="297"/>
    </row>
    <row r="529" spans="1:6" x14ac:dyDescent="0.3">
      <c r="A529" s="40"/>
      <c r="B529" s="281" t="s">
        <v>592</v>
      </c>
      <c r="C529" s="281">
        <v>1958</v>
      </c>
      <c r="D529" s="297"/>
      <c r="E529" s="297"/>
      <c r="F529" s="297"/>
    </row>
    <row r="530" spans="1:6" x14ac:dyDescent="0.3">
      <c r="A530" s="40"/>
      <c r="B530" s="281" t="s">
        <v>593</v>
      </c>
      <c r="C530" s="281">
        <v>2531</v>
      </c>
      <c r="D530" s="297"/>
      <c r="E530" s="297"/>
      <c r="F530" s="297"/>
    </row>
    <row r="531" spans="1:6" x14ac:dyDescent="0.3">
      <c r="A531" s="40"/>
      <c r="B531" s="281" t="s">
        <v>84</v>
      </c>
      <c r="C531" s="281">
        <v>1806</v>
      </c>
      <c r="D531" s="297"/>
      <c r="E531" s="297"/>
      <c r="F531" s="297"/>
    </row>
    <row r="532" spans="1:6" x14ac:dyDescent="0.3">
      <c r="A532" s="40"/>
      <c r="B532" s="281" t="s">
        <v>594</v>
      </c>
      <c r="C532" s="281">
        <v>2526</v>
      </c>
      <c r="D532" s="297"/>
      <c r="E532" s="297"/>
      <c r="F532" s="297"/>
    </row>
    <row r="533" spans="1:6" x14ac:dyDescent="0.3">
      <c r="A533" s="40"/>
      <c r="B533" s="281" t="s">
        <v>595</v>
      </c>
      <c r="C533" s="281">
        <v>2529</v>
      </c>
      <c r="D533" s="297"/>
      <c r="E533" s="297"/>
      <c r="F533" s="297"/>
    </row>
    <row r="534" spans="1:6" x14ac:dyDescent="0.3">
      <c r="A534" s="40"/>
      <c r="B534" s="281" t="s">
        <v>596</v>
      </c>
      <c r="C534" s="281">
        <v>930</v>
      </c>
      <c r="D534" s="297"/>
      <c r="E534" s="297"/>
      <c r="F534" s="297"/>
    </row>
    <row r="535" spans="1:6" x14ac:dyDescent="0.3">
      <c r="A535" s="40"/>
      <c r="B535" s="281" t="s">
        <v>358</v>
      </c>
      <c r="C535" s="281">
        <v>935</v>
      </c>
      <c r="D535" s="297"/>
      <c r="E535" s="297"/>
      <c r="F535" s="297"/>
    </row>
    <row r="536" spans="1:6" x14ac:dyDescent="0.3">
      <c r="A536" s="40"/>
      <c r="B536" s="281" t="s">
        <v>597</v>
      </c>
      <c r="C536" s="281">
        <v>934</v>
      </c>
      <c r="D536" s="297"/>
      <c r="E536" s="297"/>
      <c r="F536" s="297"/>
    </row>
    <row r="537" spans="1:6" x14ac:dyDescent="0.3">
      <c r="A537" s="40"/>
      <c r="B537" s="281" t="s">
        <v>598</v>
      </c>
      <c r="C537" s="281">
        <v>2532</v>
      </c>
      <c r="D537" s="297"/>
      <c r="E537" s="297"/>
      <c r="F537" s="297"/>
    </row>
    <row r="538" spans="1:6" x14ac:dyDescent="0.3">
      <c r="A538" s="40"/>
      <c r="B538" s="281" t="s">
        <v>599</v>
      </c>
      <c r="C538" s="281">
        <v>1807</v>
      </c>
      <c r="D538" s="297"/>
      <c r="E538" s="297"/>
      <c r="F538" s="297"/>
    </row>
    <row r="539" spans="1:6" x14ac:dyDescent="0.3">
      <c r="A539" s="40"/>
      <c r="B539" s="281" t="s">
        <v>600</v>
      </c>
      <c r="C539" s="281">
        <v>1948</v>
      </c>
      <c r="D539" s="297"/>
      <c r="E539" s="297"/>
      <c r="F539" s="297"/>
    </row>
    <row r="540" spans="1:6" x14ac:dyDescent="0.3">
      <c r="A540" s="40"/>
      <c r="B540" s="281" t="s">
        <v>601</v>
      </c>
      <c r="C540" s="281">
        <v>932</v>
      </c>
      <c r="D540" s="297"/>
      <c r="E540" s="297"/>
      <c r="F540" s="297"/>
    </row>
    <row r="541" spans="1:6" x14ac:dyDescent="0.3">
      <c r="A541" s="40"/>
      <c r="B541" s="281" t="s">
        <v>602</v>
      </c>
      <c r="C541" s="281">
        <v>2536</v>
      </c>
      <c r="D541" s="297"/>
      <c r="E541" s="297"/>
      <c r="F541" s="297"/>
    </row>
    <row r="542" spans="1:6" x14ac:dyDescent="0.3">
      <c r="A542" s="40"/>
      <c r="B542" s="281" t="s">
        <v>603</v>
      </c>
      <c r="C542" s="281">
        <v>2527</v>
      </c>
      <c r="D542" s="297"/>
      <c r="E542" s="297"/>
      <c r="F542" s="297"/>
    </row>
    <row r="543" spans="1:6" x14ac:dyDescent="0.3">
      <c r="A543" s="40"/>
      <c r="B543" s="281" t="s">
        <v>604</v>
      </c>
      <c r="C543" s="281">
        <v>1976</v>
      </c>
      <c r="D543" s="297"/>
      <c r="E543" s="297"/>
      <c r="F543" s="297"/>
    </row>
    <row r="544" spans="1:6" x14ac:dyDescent="0.3">
      <c r="A544" s="40"/>
      <c r="B544" s="281" t="s">
        <v>605</v>
      </c>
      <c r="C544" s="281">
        <v>931</v>
      </c>
      <c r="D544" s="297"/>
      <c r="E544" s="297"/>
      <c r="F544" s="297"/>
    </row>
    <row r="545" spans="1:6" x14ac:dyDescent="0.3">
      <c r="A545" s="40"/>
      <c r="B545" s="281" t="s">
        <v>606</v>
      </c>
      <c r="C545" s="281">
        <v>2971</v>
      </c>
      <c r="D545" s="297"/>
      <c r="E545" s="297"/>
      <c r="F545" s="297"/>
    </row>
    <row r="546" spans="1:6" x14ac:dyDescent="0.3">
      <c r="A546" s="40"/>
      <c r="B546" s="281" t="s">
        <v>607</v>
      </c>
      <c r="C546" s="281">
        <v>2528</v>
      </c>
      <c r="D546" s="297"/>
      <c r="E546" s="297"/>
      <c r="F546" s="297"/>
    </row>
    <row r="547" spans="1:6" x14ac:dyDescent="0.3">
      <c r="A547" s="40"/>
      <c r="B547" s="281" t="s">
        <v>608</v>
      </c>
      <c r="C547" s="281">
        <v>933</v>
      </c>
      <c r="D547" s="297"/>
      <c r="E547" s="297"/>
      <c r="F547" s="297"/>
    </row>
    <row r="548" spans="1:6" x14ac:dyDescent="0.3">
      <c r="A548" s="40"/>
      <c r="B548" s="281" t="s">
        <v>609</v>
      </c>
      <c r="C548" s="281">
        <v>1949</v>
      </c>
      <c r="D548" s="297"/>
      <c r="E548" s="297"/>
      <c r="F548" s="297"/>
    </row>
    <row r="549" spans="1:6" x14ac:dyDescent="0.3">
      <c r="A549" s="40"/>
      <c r="B549" s="281" t="s">
        <v>610</v>
      </c>
      <c r="C549" s="281">
        <v>1861</v>
      </c>
      <c r="D549" s="297"/>
      <c r="E549" s="297"/>
      <c r="F549" s="297"/>
    </row>
    <row r="550" spans="1:6" x14ac:dyDescent="0.3">
      <c r="A550" s="40"/>
      <c r="B550" s="281" t="s">
        <v>611</v>
      </c>
      <c r="C550" s="281">
        <v>936</v>
      </c>
      <c r="D550" s="297"/>
      <c r="E550" s="297"/>
      <c r="F550" s="297"/>
    </row>
    <row r="551" spans="1:6" x14ac:dyDescent="0.3">
      <c r="A551" s="40"/>
      <c r="B551" s="281" t="s">
        <v>612</v>
      </c>
      <c r="C551" s="281">
        <v>919</v>
      </c>
      <c r="D551" s="297"/>
      <c r="E551" s="297"/>
      <c r="F551" s="297"/>
    </row>
    <row r="552" spans="1:6" x14ac:dyDescent="0.3">
      <c r="A552" s="40"/>
      <c r="B552" s="281" t="s">
        <v>613</v>
      </c>
      <c r="C552" s="281">
        <v>393</v>
      </c>
      <c r="D552" s="297"/>
      <c r="E552" s="297"/>
      <c r="F552" s="297"/>
    </row>
    <row r="553" spans="1:6" x14ac:dyDescent="0.3">
      <c r="A553" s="40" t="s">
        <v>614</v>
      </c>
      <c r="B553" s="281"/>
      <c r="C553" s="281"/>
      <c r="D553" s="297"/>
      <c r="E553" s="297"/>
      <c r="F553" s="297"/>
    </row>
    <row r="554" spans="1:6" x14ac:dyDescent="0.3">
      <c r="A554" s="40"/>
      <c r="B554" s="281" t="s">
        <v>615</v>
      </c>
      <c r="C554" s="281">
        <v>1200</v>
      </c>
      <c r="D554" s="297"/>
      <c r="E554" s="297"/>
      <c r="F554" s="297"/>
    </row>
    <row r="555" spans="1:6" x14ac:dyDescent="0.3">
      <c r="A555" s="40"/>
      <c r="B555" s="281" t="s">
        <v>616</v>
      </c>
      <c r="C555" s="281">
        <v>963</v>
      </c>
      <c r="D555" s="297"/>
      <c r="E555" s="297"/>
      <c r="F555" s="297"/>
    </row>
    <row r="556" spans="1:6" x14ac:dyDescent="0.3">
      <c r="A556" s="40"/>
      <c r="B556" s="281" t="s">
        <v>617</v>
      </c>
      <c r="C556" s="281">
        <v>965</v>
      </c>
      <c r="D556" s="297"/>
      <c r="E556" s="297"/>
      <c r="F556" s="297"/>
    </row>
    <row r="557" spans="1:6" x14ac:dyDescent="0.3">
      <c r="A557" s="40"/>
      <c r="B557" s="281" t="s">
        <v>618</v>
      </c>
      <c r="C557" s="281">
        <v>1724</v>
      </c>
      <c r="D557" s="297"/>
      <c r="E557" s="297"/>
      <c r="F557" s="297"/>
    </row>
    <row r="558" spans="1:6" x14ac:dyDescent="0.3">
      <c r="A558" s="40"/>
      <c r="B558" s="281" t="s">
        <v>619</v>
      </c>
      <c r="C558" s="281">
        <v>966</v>
      </c>
      <c r="D558" s="297"/>
      <c r="E558" s="297"/>
      <c r="F558" s="297"/>
    </row>
    <row r="559" spans="1:6" x14ac:dyDescent="0.3">
      <c r="A559" s="40"/>
      <c r="B559" s="281" t="s">
        <v>620</v>
      </c>
      <c r="C559" s="281">
        <v>2423</v>
      </c>
      <c r="D559" s="297"/>
      <c r="E559" s="297"/>
      <c r="F559" s="297"/>
    </row>
    <row r="560" spans="1:6" x14ac:dyDescent="0.3">
      <c r="A560" s="40"/>
      <c r="B560" s="281" t="s">
        <v>621</v>
      </c>
      <c r="C560" s="281">
        <v>967</v>
      </c>
      <c r="D560" s="297"/>
      <c r="E560" s="297"/>
      <c r="F560" s="297"/>
    </row>
    <row r="561" spans="1:6" x14ac:dyDescent="0.3">
      <c r="A561" s="40"/>
      <c r="B561" s="281" t="s">
        <v>622</v>
      </c>
      <c r="C561" s="281">
        <v>964</v>
      </c>
      <c r="D561" s="297"/>
      <c r="E561" s="297"/>
      <c r="F561" s="297"/>
    </row>
    <row r="562" spans="1:6" x14ac:dyDescent="0.3">
      <c r="A562" s="40"/>
      <c r="B562" s="281" t="s">
        <v>623</v>
      </c>
      <c r="C562" s="281">
        <v>603</v>
      </c>
      <c r="D562" s="297"/>
      <c r="E562" s="297"/>
      <c r="F562" s="297"/>
    </row>
    <row r="563" spans="1:6" ht="31.2" x14ac:dyDescent="0.3">
      <c r="A563" s="40" t="s">
        <v>624</v>
      </c>
      <c r="B563" s="281"/>
      <c r="C563" s="281"/>
      <c r="D563" s="297"/>
      <c r="E563" s="297"/>
      <c r="F563" s="297"/>
    </row>
    <row r="564" spans="1:6" x14ac:dyDescent="0.3">
      <c r="A564" s="40"/>
      <c r="B564" s="281" t="s">
        <v>625</v>
      </c>
      <c r="C564" s="281">
        <v>20</v>
      </c>
      <c r="D564" s="297"/>
      <c r="E564" s="297"/>
      <c r="F564" s="297"/>
    </row>
    <row r="565" spans="1:6" x14ac:dyDescent="0.3">
      <c r="A565" s="40"/>
      <c r="B565" s="281" t="s">
        <v>316</v>
      </c>
      <c r="C565" s="281">
        <v>46</v>
      </c>
      <c r="D565" s="297"/>
      <c r="E565" s="297"/>
      <c r="F565" s="297"/>
    </row>
    <row r="566" spans="1:6" x14ac:dyDescent="0.3">
      <c r="A566" s="40"/>
      <c r="B566" s="281" t="s">
        <v>626</v>
      </c>
      <c r="C566" s="281">
        <v>26</v>
      </c>
      <c r="D566" s="297"/>
      <c r="E566" s="297"/>
      <c r="F566" s="297"/>
    </row>
    <row r="567" spans="1:6" x14ac:dyDescent="0.3">
      <c r="A567" s="40"/>
      <c r="B567" s="281" t="s">
        <v>627</v>
      </c>
      <c r="C567" s="281">
        <v>32</v>
      </c>
      <c r="D567" s="297"/>
      <c r="E567" s="297"/>
      <c r="F567" s="297"/>
    </row>
    <row r="568" spans="1:6" x14ac:dyDescent="0.3">
      <c r="A568" s="40"/>
      <c r="B568" s="281" t="s">
        <v>628</v>
      </c>
      <c r="C568" s="281">
        <v>28</v>
      </c>
      <c r="D568" s="297"/>
      <c r="E568" s="297"/>
      <c r="F568" s="297"/>
    </row>
    <row r="569" spans="1:6" x14ac:dyDescent="0.3">
      <c r="A569" s="40"/>
      <c r="B569" s="281" t="s">
        <v>629</v>
      </c>
      <c r="C569" s="281">
        <v>34</v>
      </c>
      <c r="D569" s="297"/>
      <c r="E569" s="297"/>
      <c r="F569" s="297"/>
    </row>
    <row r="570" spans="1:6" x14ac:dyDescent="0.3">
      <c r="A570" s="40"/>
      <c r="B570" s="281" t="s">
        <v>630</v>
      </c>
      <c r="C570" s="281">
        <v>1817</v>
      </c>
      <c r="D570" s="297"/>
      <c r="E570" s="297"/>
      <c r="F570" s="297"/>
    </row>
    <row r="571" spans="1:6" x14ac:dyDescent="0.3">
      <c r="A571" s="40"/>
      <c r="B571" s="281" t="s">
        <v>631</v>
      </c>
      <c r="C571" s="281">
        <v>1369</v>
      </c>
      <c r="D571" s="297"/>
      <c r="E571" s="297"/>
      <c r="F571" s="297"/>
    </row>
    <row r="572" spans="1:6" x14ac:dyDescent="0.3">
      <c r="A572" s="40"/>
      <c r="B572" s="281" t="s">
        <v>632</v>
      </c>
      <c r="C572" s="281">
        <v>2777</v>
      </c>
      <c r="D572" s="297"/>
      <c r="E572" s="297"/>
      <c r="F572" s="297"/>
    </row>
    <row r="573" spans="1:6" x14ac:dyDescent="0.3">
      <c r="A573" s="40"/>
      <c r="B573" s="281" t="s">
        <v>633</v>
      </c>
      <c r="C573" s="281">
        <v>804</v>
      </c>
      <c r="D573" s="297"/>
      <c r="E573" s="297"/>
      <c r="F573" s="297"/>
    </row>
    <row r="574" spans="1:6" x14ac:dyDescent="0.3">
      <c r="A574" s="40"/>
      <c r="B574" s="281" t="s">
        <v>634</v>
      </c>
      <c r="C574" s="281">
        <v>80</v>
      </c>
      <c r="D574" s="297"/>
      <c r="E574" s="297"/>
      <c r="F574" s="297"/>
    </row>
    <row r="575" spans="1:6" x14ac:dyDescent="0.3">
      <c r="A575" s="40"/>
      <c r="B575" s="281" t="s">
        <v>635</v>
      </c>
      <c r="C575" s="281">
        <v>2415</v>
      </c>
      <c r="D575" s="297"/>
      <c r="E575" s="297"/>
      <c r="F575" s="297"/>
    </row>
    <row r="576" spans="1:6" x14ac:dyDescent="0.3">
      <c r="A576" s="40"/>
      <c r="B576" s="281" t="s">
        <v>636</v>
      </c>
      <c r="C576" s="281">
        <v>92</v>
      </c>
      <c r="D576" s="297"/>
      <c r="E576" s="297"/>
      <c r="F576" s="297"/>
    </row>
    <row r="577" spans="1:6" x14ac:dyDescent="0.3">
      <c r="A577" s="40"/>
      <c r="B577" s="281" t="s">
        <v>637</v>
      </c>
      <c r="C577" s="281">
        <v>131</v>
      </c>
      <c r="D577" s="297"/>
      <c r="E577" s="297"/>
      <c r="F577" s="297"/>
    </row>
    <row r="578" spans="1:6" x14ac:dyDescent="0.3">
      <c r="A578" s="40"/>
      <c r="B578" s="281" t="s">
        <v>638</v>
      </c>
      <c r="C578" s="281">
        <v>137</v>
      </c>
      <c r="D578" s="297"/>
      <c r="E578" s="297"/>
      <c r="F578" s="297"/>
    </row>
    <row r="579" spans="1:6" x14ac:dyDescent="0.3">
      <c r="A579" s="40"/>
      <c r="B579" s="281" t="s">
        <v>639</v>
      </c>
      <c r="C579" s="281">
        <v>153</v>
      </c>
      <c r="D579" s="297"/>
      <c r="E579" s="297"/>
      <c r="F579" s="297"/>
    </row>
    <row r="580" spans="1:6" x14ac:dyDescent="0.3">
      <c r="A580" s="40"/>
      <c r="B580" s="281" t="s">
        <v>640</v>
      </c>
      <c r="C580" s="281">
        <v>177</v>
      </c>
      <c r="D580" s="297"/>
      <c r="E580" s="297"/>
      <c r="F580" s="297"/>
    </row>
    <row r="581" spans="1:6" x14ac:dyDescent="0.3">
      <c r="A581" s="40"/>
      <c r="B581" s="281" t="s">
        <v>641</v>
      </c>
      <c r="C581" s="281">
        <v>1943</v>
      </c>
      <c r="D581" s="297"/>
      <c r="E581" s="297"/>
      <c r="F581" s="297"/>
    </row>
    <row r="582" spans="1:6" x14ac:dyDescent="0.3">
      <c r="A582" s="40"/>
      <c r="B582" s="281" t="s">
        <v>642</v>
      </c>
      <c r="C582" s="281">
        <v>230</v>
      </c>
      <c r="D582" s="297"/>
      <c r="E582" s="297"/>
      <c r="F582" s="297"/>
    </row>
    <row r="583" spans="1:6" x14ac:dyDescent="0.3">
      <c r="A583" s="40"/>
      <c r="B583" s="281" t="s">
        <v>320</v>
      </c>
      <c r="C583" s="281">
        <v>203</v>
      </c>
      <c r="D583" s="297"/>
      <c r="E583" s="297"/>
      <c r="F583" s="297"/>
    </row>
    <row r="584" spans="1:6" x14ac:dyDescent="0.3">
      <c r="A584" s="40"/>
      <c r="B584" s="281" t="s">
        <v>321</v>
      </c>
      <c r="C584" s="281">
        <v>231</v>
      </c>
      <c r="D584" s="297"/>
      <c r="E584" s="297"/>
      <c r="F584" s="297"/>
    </row>
    <row r="585" spans="1:6" x14ac:dyDescent="0.3">
      <c r="A585" s="40"/>
      <c r="B585" s="281" t="s">
        <v>643</v>
      </c>
      <c r="C585" s="281">
        <v>2770</v>
      </c>
      <c r="D585" s="297"/>
      <c r="E585" s="297"/>
      <c r="F585" s="297"/>
    </row>
    <row r="586" spans="1:6" x14ac:dyDescent="0.3">
      <c r="A586" s="40"/>
      <c r="B586" s="281" t="s">
        <v>644</v>
      </c>
      <c r="C586" s="281">
        <v>233</v>
      </c>
      <c r="D586" s="297"/>
      <c r="E586" s="297"/>
      <c r="F586" s="297"/>
    </row>
    <row r="587" spans="1:6" x14ac:dyDescent="0.3">
      <c r="A587" s="40"/>
      <c r="B587" s="281" t="s">
        <v>645</v>
      </c>
      <c r="C587" s="281">
        <v>234</v>
      </c>
      <c r="D587" s="297"/>
      <c r="E587" s="297"/>
      <c r="F587" s="297"/>
    </row>
    <row r="588" spans="1:6" x14ac:dyDescent="0.3">
      <c r="A588" s="40"/>
      <c r="B588" s="281" t="s">
        <v>646</v>
      </c>
      <c r="C588" s="281">
        <v>1437</v>
      </c>
      <c r="D588" s="297"/>
      <c r="E588" s="297"/>
      <c r="F588" s="297"/>
    </row>
    <row r="589" spans="1:6" x14ac:dyDescent="0.3">
      <c r="A589" s="40"/>
      <c r="B589" s="281" t="s">
        <v>647</v>
      </c>
      <c r="C589" s="281">
        <v>2702</v>
      </c>
      <c r="D589" s="297"/>
      <c r="E589" s="297"/>
      <c r="F589" s="297"/>
    </row>
    <row r="590" spans="1:6" x14ac:dyDescent="0.3">
      <c r="A590" s="40"/>
      <c r="B590" s="281" t="s">
        <v>505</v>
      </c>
      <c r="C590" s="281">
        <v>248</v>
      </c>
      <c r="D590" s="297"/>
      <c r="E590" s="297"/>
      <c r="F590" s="297"/>
    </row>
    <row r="591" spans="1:6" x14ac:dyDescent="0.3">
      <c r="A591" s="40"/>
      <c r="B591" s="281" t="s">
        <v>648</v>
      </c>
      <c r="C591" s="281">
        <v>284</v>
      </c>
      <c r="D591" s="297"/>
      <c r="E591" s="297"/>
      <c r="F591" s="297"/>
    </row>
    <row r="592" spans="1:6" x14ac:dyDescent="0.3">
      <c r="A592" s="40"/>
      <c r="B592" s="281" t="s">
        <v>649</v>
      </c>
      <c r="C592" s="281">
        <v>1852</v>
      </c>
      <c r="D592" s="297"/>
      <c r="E592" s="297"/>
      <c r="F592" s="297"/>
    </row>
    <row r="593" spans="1:6" x14ac:dyDescent="0.3">
      <c r="A593" s="40"/>
      <c r="B593" s="281" t="s">
        <v>650</v>
      </c>
      <c r="C593" s="281">
        <v>2410</v>
      </c>
      <c r="D593" s="297"/>
      <c r="E593" s="297"/>
      <c r="F593" s="297"/>
    </row>
    <row r="594" spans="1:6" x14ac:dyDescent="0.3">
      <c r="A594" s="40"/>
      <c r="B594" s="281" t="s">
        <v>651</v>
      </c>
      <c r="C594" s="281">
        <v>291</v>
      </c>
      <c r="D594" s="297"/>
      <c r="E594" s="297"/>
      <c r="F594" s="297"/>
    </row>
    <row r="595" spans="1:6" x14ac:dyDescent="0.3">
      <c r="A595" s="40"/>
      <c r="B595" s="281" t="s">
        <v>652</v>
      </c>
      <c r="C595" s="281">
        <v>745</v>
      </c>
      <c r="D595" s="297"/>
      <c r="E595" s="297"/>
      <c r="F595" s="297"/>
    </row>
    <row r="596" spans="1:6" x14ac:dyDescent="0.3">
      <c r="A596" s="40"/>
      <c r="B596" s="281" t="s">
        <v>653</v>
      </c>
      <c r="C596" s="281">
        <v>576</v>
      </c>
      <c r="D596" s="297"/>
      <c r="E596" s="297"/>
      <c r="F596" s="297"/>
    </row>
    <row r="597" spans="1:6" x14ac:dyDescent="0.3">
      <c r="A597" s="40"/>
      <c r="B597" s="281" t="s">
        <v>323</v>
      </c>
      <c r="C597" s="281">
        <v>361</v>
      </c>
      <c r="D597" s="297"/>
      <c r="E597" s="297"/>
      <c r="F597" s="297"/>
    </row>
    <row r="598" spans="1:6" x14ac:dyDescent="0.3">
      <c r="A598" s="40"/>
      <c r="B598" s="281" t="s">
        <v>654</v>
      </c>
      <c r="C598" s="281">
        <v>2778</v>
      </c>
      <c r="D598" s="297"/>
      <c r="E598" s="297"/>
      <c r="F598" s="297"/>
    </row>
    <row r="599" spans="1:6" x14ac:dyDescent="0.3">
      <c r="A599" s="40"/>
      <c r="B599" s="281" t="s">
        <v>655</v>
      </c>
      <c r="C599" s="281">
        <v>394</v>
      </c>
      <c r="D599" s="297"/>
      <c r="E599" s="297"/>
      <c r="F599" s="297"/>
    </row>
    <row r="600" spans="1:6" x14ac:dyDescent="0.3">
      <c r="A600" s="40"/>
      <c r="B600" s="281" t="s">
        <v>656</v>
      </c>
      <c r="C600" s="281">
        <v>409</v>
      </c>
      <c r="D600" s="297"/>
      <c r="E600" s="297"/>
      <c r="F600" s="297"/>
    </row>
    <row r="601" spans="1:6" x14ac:dyDescent="0.3">
      <c r="A601" s="40"/>
      <c r="B601" s="281" t="s">
        <v>657</v>
      </c>
      <c r="C601" s="281">
        <v>411</v>
      </c>
      <c r="D601" s="297"/>
      <c r="E601" s="297"/>
      <c r="F601" s="297"/>
    </row>
    <row r="602" spans="1:6" x14ac:dyDescent="0.3">
      <c r="A602" s="40"/>
      <c r="B602" s="281" t="s">
        <v>658</v>
      </c>
      <c r="C602" s="281">
        <v>1942</v>
      </c>
      <c r="D602" s="297"/>
      <c r="E602" s="297"/>
      <c r="F602" s="297"/>
    </row>
    <row r="603" spans="1:6" x14ac:dyDescent="0.3">
      <c r="A603" s="40"/>
      <c r="B603" s="281" t="s">
        <v>659</v>
      </c>
      <c r="C603" s="281">
        <v>2779</v>
      </c>
      <c r="D603" s="297"/>
      <c r="E603" s="297"/>
      <c r="F603" s="297"/>
    </row>
    <row r="604" spans="1:6" x14ac:dyDescent="0.3">
      <c r="A604" s="40"/>
      <c r="B604" s="281" t="s">
        <v>324</v>
      </c>
      <c r="C604" s="281">
        <v>427</v>
      </c>
      <c r="D604" s="297"/>
      <c r="E604" s="297"/>
      <c r="F604" s="297"/>
    </row>
    <row r="605" spans="1:6" x14ac:dyDescent="0.3">
      <c r="A605" s="40"/>
      <c r="B605" s="281" t="s">
        <v>660</v>
      </c>
      <c r="C605" s="281">
        <v>428</v>
      </c>
      <c r="D605" s="297"/>
      <c r="E605" s="297"/>
      <c r="F605" s="297"/>
    </row>
    <row r="606" spans="1:6" x14ac:dyDescent="0.3">
      <c r="A606" s="40"/>
      <c r="B606" s="281" t="s">
        <v>661</v>
      </c>
      <c r="C606" s="281">
        <v>429</v>
      </c>
      <c r="D606" s="297"/>
      <c r="E606" s="297"/>
      <c r="F606" s="297"/>
    </row>
    <row r="607" spans="1:6" x14ac:dyDescent="0.3">
      <c r="A607" s="40"/>
      <c r="B607" s="281" t="s">
        <v>662</v>
      </c>
      <c r="C607" s="281">
        <v>2780</v>
      </c>
      <c r="D607" s="297"/>
      <c r="E607" s="297"/>
      <c r="F607" s="297"/>
    </row>
    <row r="608" spans="1:6" x14ac:dyDescent="0.3">
      <c r="A608" s="40"/>
      <c r="B608" s="281" t="s">
        <v>663</v>
      </c>
      <c r="C608" s="281">
        <v>2781</v>
      </c>
      <c r="D608" s="297"/>
      <c r="E608" s="297"/>
      <c r="F608" s="297"/>
    </row>
    <row r="609" spans="1:6" x14ac:dyDescent="0.3">
      <c r="A609" s="40"/>
      <c r="B609" s="281" t="s">
        <v>664</v>
      </c>
      <c r="C609" s="281">
        <v>442</v>
      </c>
      <c r="D609" s="297"/>
      <c r="E609" s="297"/>
      <c r="F609" s="297"/>
    </row>
    <row r="610" spans="1:6" x14ac:dyDescent="0.3">
      <c r="A610" s="40"/>
      <c r="B610" s="281" t="s">
        <v>665</v>
      </c>
      <c r="C610" s="281">
        <v>2422</v>
      </c>
      <c r="D610" s="297"/>
      <c r="E610" s="297"/>
      <c r="F610" s="297"/>
    </row>
    <row r="611" spans="1:6" x14ac:dyDescent="0.3">
      <c r="A611" s="40"/>
      <c r="B611" s="281" t="s">
        <v>512</v>
      </c>
      <c r="C611" s="281">
        <v>2856</v>
      </c>
      <c r="D611" s="297"/>
      <c r="E611" s="297"/>
      <c r="F611" s="297"/>
    </row>
    <row r="612" spans="1:6" x14ac:dyDescent="0.3">
      <c r="A612" s="40"/>
      <c r="B612" s="281" t="s">
        <v>666</v>
      </c>
      <c r="C612" s="281">
        <v>489</v>
      </c>
      <c r="D612" s="297"/>
      <c r="E612" s="297"/>
      <c r="F612" s="297"/>
    </row>
    <row r="613" spans="1:6" x14ac:dyDescent="0.3">
      <c r="A613" s="40"/>
      <c r="B613" s="281" t="s">
        <v>667</v>
      </c>
      <c r="C613" s="281">
        <v>491</v>
      </c>
      <c r="D613" s="297"/>
      <c r="E613" s="297"/>
      <c r="F613" s="297"/>
    </row>
    <row r="614" spans="1:6" x14ac:dyDescent="0.3">
      <c r="A614" s="40"/>
      <c r="B614" s="281" t="s">
        <v>668</v>
      </c>
      <c r="C614" s="281">
        <v>2703</v>
      </c>
      <c r="D614" s="297"/>
      <c r="E614" s="297"/>
      <c r="F614" s="297"/>
    </row>
    <row r="615" spans="1:6" x14ac:dyDescent="0.3">
      <c r="A615" s="40"/>
      <c r="B615" s="281" t="s">
        <v>669</v>
      </c>
      <c r="C615" s="281">
        <v>2574</v>
      </c>
      <c r="D615" s="297"/>
      <c r="E615" s="297"/>
      <c r="F615" s="297"/>
    </row>
    <row r="616" spans="1:6" x14ac:dyDescent="0.3">
      <c r="A616" s="40"/>
      <c r="B616" s="281" t="s">
        <v>670</v>
      </c>
      <c r="C616" s="281">
        <v>954</v>
      </c>
      <c r="D616" s="297"/>
      <c r="E616" s="297"/>
      <c r="F616" s="297"/>
    </row>
    <row r="617" spans="1:6" x14ac:dyDescent="0.3">
      <c r="A617" s="40"/>
      <c r="B617" s="281" t="s">
        <v>671</v>
      </c>
      <c r="C617" s="281">
        <v>11</v>
      </c>
      <c r="D617" s="297"/>
      <c r="E617" s="297"/>
      <c r="F617" s="297"/>
    </row>
    <row r="618" spans="1:6" x14ac:dyDescent="0.3">
      <c r="A618" s="40" t="s">
        <v>672</v>
      </c>
      <c r="B618" s="281"/>
      <c r="C618" s="281"/>
      <c r="D618" s="297"/>
      <c r="E618" s="297"/>
      <c r="F618" s="297"/>
    </row>
    <row r="619" spans="1:6" x14ac:dyDescent="0.3">
      <c r="A619" s="40"/>
      <c r="B619" s="281" t="s">
        <v>673</v>
      </c>
      <c r="C619" s="281">
        <v>2925</v>
      </c>
      <c r="D619" s="297"/>
      <c r="E619" s="297"/>
      <c r="F619" s="297"/>
    </row>
    <row r="620" spans="1:6" x14ac:dyDescent="0.3">
      <c r="A620" s="40"/>
      <c r="B620" s="281" t="s">
        <v>674</v>
      </c>
      <c r="C620" s="281">
        <v>59</v>
      </c>
      <c r="D620" s="297"/>
      <c r="E620" s="297"/>
      <c r="F620" s="297"/>
    </row>
    <row r="621" spans="1:6" x14ac:dyDescent="0.3">
      <c r="A621" s="40"/>
      <c r="B621" s="281" t="s">
        <v>675</v>
      </c>
      <c r="C621" s="281">
        <v>61</v>
      </c>
      <c r="D621" s="297"/>
      <c r="E621" s="297"/>
      <c r="F621" s="297"/>
    </row>
    <row r="622" spans="1:6" x14ac:dyDescent="0.3">
      <c r="A622" s="40"/>
      <c r="B622" s="281" t="s">
        <v>676</v>
      </c>
      <c r="C622" s="281">
        <v>664</v>
      </c>
      <c r="D622" s="297"/>
      <c r="E622" s="297"/>
      <c r="F622" s="297"/>
    </row>
    <row r="623" spans="1:6" x14ac:dyDescent="0.3">
      <c r="A623" s="40"/>
      <c r="B623" s="281" t="s">
        <v>677</v>
      </c>
      <c r="C623" s="281">
        <v>1919</v>
      </c>
      <c r="D623" s="297"/>
      <c r="E623" s="297"/>
      <c r="F623" s="297"/>
    </row>
    <row r="624" spans="1:6" x14ac:dyDescent="0.3">
      <c r="A624" s="40"/>
      <c r="B624" s="281" t="s">
        <v>678</v>
      </c>
      <c r="C624" s="281">
        <v>2015</v>
      </c>
      <c r="D624" s="297"/>
      <c r="E624" s="297"/>
      <c r="F624" s="297"/>
    </row>
    <row r="625" spans="1:6" x14ac:dyDescent="0.3">
      <c r="A625" s="40"/>
      <c r="B625" s="281" t="s">
        <v>219</v>
      </c>
      <c r="C625" s="281">
        <v>2199</v>
      </c>
      <c r="D625" s="297"/>
      <c r="E625" s="297"/>
      <c r="F625" s="297"/>
    </row>
    <row r="626" spans="1:6" x14ac:dyDescent="0.3">
      <c r="A626" s="40"/>
      <c r="B626" s="281" t="s">
        <v>679</v>
      </c>
      <c r="C626" s="281">
        <v>115</v>
      </c>
      <c r="D626" s="297"/>
      <c r="E626" s="297"/>
      <c r="F626" s="297"/>
    </row>
    <row r="627" spans="1:6" x14ac:dyDescent="0.3">
      <c r="A627" s="40"/>
      <c r="B627" s="281" t="s">
        <v>680</v>
      </c>
      <c r="C627" s="281">
        <v>2900</v>
      </c>
      <c r="D627" s="297"/>
      <c r="E627" s="297"/>
      <c r="F627" s="297"/>
    </row>
    <row r="628" spans="1:6" x14ac:dyDescent="0.3">
      <c r="A628" s="40"/>
      <c r="B628" s="281" t="s">
        <v>681</v>
      </c>
      <c r="C628" s="281">
        <v>823</v>
      </c>
      <c r="D628" s="297"/>
      <c r="E628" s="297"/>
      <c r="F628" s="297"/>
    </row>
    <row r="629" spans="1:6" x14ac:dyDescent="0.3">
      <c r="A629" s="40"/>
      <c r="B629" s="281" t="s">
        <v>682</v>
      </c>
      <c r="C629" s="281">
        <v>2760</v>
      </c>
      <c r="D629" s="297"/>
      <c r="E629" s="297"/>
      <c r="F629" s="297"/>
    </row>
    <row r="630" spans="1:6" x14ac:dyDescent="0.3">
      <c r="A630" s="40"/>
      <c r="B630" s="281" t="s">
        <v>683</v>
      </c>
      <c r="C630" s="281">
        <v>2572</v>
      </c>
      <c r="D630" s="297"/>
      <c r="E630" s="297"/>
      <c r="F630" s="297"/>
    </row>
    <row r="631" spans="1:6" x14ac:dyDescent="0.3">
      <c r="A631" s="40"/>
      <c r="B631" s="281" t="s">
        <v>684</v>
      </c>
      <c r="C631" s="281">
        <v>2196</v>
      </c>
      <c r="D631" s="297"/>
      <c r="E631" s="297"/>
      <c r="F631" s="297"/>
    </row>
    <row r="632" spans="1:6" x14ac:dyDescent="0.3">
      <c r="A632" s="40"/>
      <c r="B632" s="281" t="s">
        <v>685</v>
      </c>
      <c r="C632" s="281">
        <v>302</v>
      </c>
      <c r="D632" s="297"/>
      <c r="E632" s="297"/>
      <c r="F632" s="297"/>
    </row>
    <row r="633" spans="1:6" x14ac:dyDescent="0.3">
      <c r="A633" s="40"/>
      <c r="B633" s="281" t="s">
        <v>686</v>
      </c>
      <c r="C633" s="281">
        <v>570</v>
      </c>
      <c r="D633" s="297"/>
      <c r="E633" s="297"/>
      <c r="F633" s="297"/>
    </row>
    <row r="634" spans="1:6" x14ac:dyDescent="0.3">
      <c r="A634" s="40"/>
      <c r="B634" s="281" t="s">
        <v>687</v>
      </c>
      <c r="C634" s="281">
        <v>571</v>
      </c>
      <c r="D634" s="297"/>
      <c r="E634" s="297"/>
      <c r="F634" s="297"/>
    </row>
    <row r="635" spans="1:6" x14ac:dyDescent="0.3">
      <c r="A635" s="40"/>
      <c r="B635" s="281" t="s">
        <v>688</v>
      </c>
      <c r="C635" s="281">
        <v>319</v>
      </c>
      <c r="D635" s="297"/>
      <c r="E635" s="297"/>
      <c r="F635" s="297"/>
    </row>
    <row r="636" spans="1:6" x14ac:dyDescent="0.3">
      <c r="A636" s="40"/>
      <c r="B636" s="281" t="s">
        <v>689</v>
      </c>
      <c r="C636" s="281">
        <v>2016</v>
      </c>
      <c r="D636" s="297"/>
      <c r="E636" s="297"/>
      <c r="F636" s="297"/>
    </row>
    <row r="637" spans="1:6" x14ac:dyDescent="0.3">
      <c r="A637" s="40"/>
      <c r="B637" s="281" t="s">
        <v>690</v>
      </c>
      <c r="C637" s="281">
        <v>2930</v>
      </c>
      <c r="D637" s="297"/>
      <c r="E637" s="297"/>
      <c r="F637" s="297"/>
    </row>
    <row r="638" spans="1:6" x14ac:dyDescent="0.3">
      <c r="A638" s="40"/>
      <c r="B638" s="281" t="s">
        <v>691</v>
      </c>
      <c r="C638" s="281">
        <v>1920</v>
      </c>
      <c r="D638" s="297"/>
      <c r="E638" s="297"/>
      <c r="F638" s="297"/>
    </row>
    <row r="639" spans="1:6" x14ac:dyDescent="0.3">
      <c r="A639" s="40"/>
      <c r="B639" s="281" t="s">
        <v>692</v>
      </c>
      <c r="C639" s="281">
        <v>764</v>
      </c>
      <c r="D639" s="297"/>
      <c r="E639" s="297"/>
      <c r="F639" s="297"/>
    </row>
    <row r="640" spans="1:6" x14ac:dyDescent="0.3">
      <c r="A640" s="40"/>
      <c r="B640" s="281" t="s">
        <v>693</v>
      </c>
      <c r="C640" s="281">
        <v>760</v>
      </c>
      <c r="D640" s="297"/>
      <c r="E640" s="297"/>
      <c r="F640" s="297"/>
    </row>
    <row r="641" spans="1:6" x14ac:dyDescent="0.3">
      <c r="A641" s="40"/>
      <c r="B641" s="281" t="s">
        <v>694</v>
      </c>
      <c r="C641" s="281">
        <v>831</v>
      </c>
      <c r="D641" s="297"/>
      <c r="E641" s="297"/>
      <c r="F641" s="297"/>
    </row>
    <row r="642" spans="1:6" x14ac:dyDescent="0.3">
      <c r="A642" s="40"/>
      <c r="B642" s="281" t="s">
        <v>695</v>
      </c>
      <c r="C642" s="281">
        <v>2011</v>
      </c>
      <c r="D642" s="297"/>
      <c r="E642" s="297"/>
      <c r="F642" s="297"/>
    </row>
    <row r="643" spans="1:6" x14ac:dyDescent="0.3">
      <c r="A643" s="40"/>
      <c r="B643" s="281" t="s">
        <v>696</v>
      </c>
      <c r="C643" s="281">
        <v>731</v>
      </c>
      <c r="D643" s="297"/>
      <c r="E643" s="297"/>
      <c r="F643" s="297"/>
    </row>
    <row r="644" spans="1:6" x14ac:dyDescent="0.3">
      <c r="A644" s="40"/>
      <c r="B644" s="281" t="s">
        <v>697</v>
      </c>
      <c r="C644" s="281">
        <v>500</v>
      </c>
      <c r="D644" s="297"/>
      <c r="E644" s="297"/>
      <c r="F644" s="297"/>
    </row>
    <row r="645" spans="1:6" x14ac:dyDescent="0.3">
      <c r="A645" s="40"/>
      <c r="B645" s="281" t="s">
        <v>698</v>
      </c>
      <c r="C645" s="281">
        <v>517</v>
      </c>
      <c r="D645" s="297"/>
      <c r="E645" s="297"/>
      <c r="F645" s="297"/>
    </row>
    <row r="646" spans="1:6" x14ac:dyDescent="0.3">
      <c r="A646" s="40"/>
      <c r="B646" s="281" t="s">
        <v>699</v>
      </c>
      <c r="C646" s="281">
        <v>534</v>
      </c>
      <c r="D646" s="297"/>
      <c r="E646" s="297"/>
      <c r="F646" s="297"/>
    </row>
    <row r="647" spans="1:6" x14ac:dyDescent="0.3">
      <c r="A647" s="40"/>
      <c r="B647" s="281" t="s">
        <v>700</v>
      </c>
      <c r="C647" s="281">
        <v>535</v>
      </c>
      <c r="D647" s="297"/>
      <c r="E647" s="297"/>
      <c r="F647" s="297"/>
    </row>
    <row r="648" spans="1:6" x14ac:dyDescent="0.3">
      <c r="A648" s="40"/>
      <c r="B648" s="281" t="s">
        <v>701</v>
      </c>
      <c r="C648" s="281">
        <v>537</v>
      </c>
      <c r="D648" s="297"/>
      <c r="E648" s="297"/>
      <c r="F648" s="297"/>
    </row>
    <row r="649" spans="1:6" x14ac:dyDescent="0.3">
      <c r="A649" s="40"/>
      <c r="B649" s="281" t="s">
        <v>480</v>
      </c>
      <c r="C649" s="281">
        <v>538</v>
      </c>
      <c r="D649" s="297"/>
      <c r="E649" s="297"/>
      <c r="F649" s="297"/>
    </row>
    <row r="650" spans="1:6" x14ac:dyDescent="0.3">
      <c r="A650" s="40"/>
      <c r="B650" s="281" t="s">
        <v>702</v>
      </c>
      <c r="C650" s="281">
        <v>768</v>
      </c>
      <c r="D650" s="297"/>
      <c r="E650" s="297"/>
      <c r="F650" s="297"/>
    </row>
    <row r="651" spans="1:6" x14ac:dyDescent="0.3">
      <c r="A651" s="40"/>
      <c r="B651" s="281" t="s">
        <v>312</v>
      </c>
      <c r="C651" s="281">
        <v>540</v>
      </c>
      <c r="D651" s="297"/>
      <c r="E651" s="297"/>
      <c r="F651" s="297"/>
    </row>
    <row r="652" spans="1:6" x14ac:dyDescent="0.3">
      <c r="A652" s="40"/>
      <c r="B652" s="281" t="s">
        <v>703</v>
      </c>
      <c r="C652" s="281">
        <v>542</v>
      </c>
      <c r="D652" s="297"/>
      <c r="E652" s="297"/>
      <c r="F652" s="297"/>
    </row>
    <row r="653" spans="1:6" x14ac:dyDescent="0.3">
      <c r="A653" s="40" t="s">
        <v>704</v>
      </c>
      <c r="B653" s="281"/>
      <c r="C653" s="281"/>
      <c r="D653" s="297"/>
      <c r="E653" s="297"/>
      <c r="F653" s="297"/>
    </row>
    <row r="654" spans="1:6" x14ac:dyDescent="0.3">
      <c r="A654" s="40"/>
      <c r="B654" s="281" t="s">
        <v>705</v>
      </c>
      <c r="C654" s="281">
        <v>968</v>
      </c>
      <c r="D654" s="297"/>
      <c r="E654" s="297"/>
      <c r="F654" s="297"/>
    </row>
    <row r="655" spans="1:6" x14ac:dyDescent="0.3">
      <c r="A655" s="40"/>
      <c r="B655" s="281" t="s">
        <v>706</v>
      </c>
      <c r="C655" s="281">
        <v>978</v>
      </c>
      <c r="D655" s="297"/>
      <c r="E655" s="297"/>
      <c r="F655" s="297"/>
    </row>
    <row r="656" spans="1:6" x14ac:dyDescent="0.3">
      <c r="A656" s="40"/>
      <c r="B656" s="281" t="s">
        <v>707</v>
      </c>
      <c r="C656" s="281">
        <v>971</v>
      </c>
      <c r="D656" s="297"/>
      <c r="E656" s="297"/>
      <c r="F656" s="297"/>
    </row>
    <row r="657" spans="1:6" x14ac:dyDescent="0.3">
      <c r="A657" s="40"/>
      <c r="B657" s="281" t="s">
        <v>708</v>
      </c>
      <c r="C657" s="281">
        <v>969</v>
      </c>
      <c r="D657" s="297"/>
      <c r="E657" s="297"/>
      <c r="F657" s="297"/>
    </row>
    <row r="658" spans="1:6" x14ac:dyDescent="0.3">
      <c r="A658" s="40"/>
      <c r="B658" s="281" t="s">
        <v>709</v>
      </c>
      <c r="C658" s="281">
        <v>2010</v>
      </c>
      <c r="D658" s="297"/>
      <c r="E658" s="297"/>
      <c r="F658" s="297"/>
    </row>
    <row r="659" spans="1:6" x14ac:dyDescent="0.3">
      <c r="A659" s="40"/>
      <c r="B659" s="281" t="s">
        <v>710</v>
      </c>
      <c r="C659" s="281">
        <v>976</v>
      </c>
      <c r="D659" s="297"/>
      <c r="E659" s="297"/>
      <c r="F659" s="297"/>
    </row>
    <row r="660" spans="1:6" x14ac:dyDescent="0.3">
      <c r="A660" s="40"/>
      <c r="B660" s="281" t="s">
        <v>711</v>
      </c>
      <c r="C660" s="281">
        <v>1911</v>
      </c>
      <c r="D660" s="297"/>
      <c r="E660" s="297"/>
      <c r="F660" s="297"/>
    </row>
    <row r="661" spans="1:6" x14ac:dyDescent="0.3">
      <c r="A661" s="40"/>
      <c r="B661" s="281" t="s">
        <v>712</v>
      </c>
      <c r="C661" s="281">
        <v>974</v>
      </c>
      <c r="D661" s="297"/>
      <c r="E661" s="297"/>
      <c r="F661" s="297"/>
    </row>
    <row r="662" spans="1:6" x14ac:dyDescent="0.3">
      <c r="A662" s="40"/>
      <c r="B662" s="281" t="s">
        <v>713</v>
      </c>
      <c r="C662" s="281">
        <v>972</v>
      </c>
      <c r="D662" s="297"/>
      <c r="E662" s="297"/>
      <c r="F662" s="297"/>
    </row>
    <row r="663" spans="1:6" x14ac:dyDescent="0.3">
      <c r="A663" s="40"/>
      <c r="B663" s="281" t="s">
        <v>714</v>
      </c>
      <c r="C663" s="281">
        <v>1820</v>
      </c>
      <c r="D663" s="297"/>
      <c r="E663" s="297"/>
      <c r="F663" s="297"/>
    </row>
    <row r="664" spans="1:6" x14ac:dyDescent="0.3">
      <c r="A664" s="40"/>
      <c r="B664" s="281" t="s">
        <v>715</v>
      </c>
      <c r="C664" s="281">
        <v>2523</v>
      </c>
      <c r="D664" s="297"/>
      <c r="E664" s="297"/>
      <c r="F664" s="297"/>
    </row>
    <row r="665" spans="1:6" x14ac:dyDescent="0.3">
      <c r="A665" s="40"/>
      <c r="B665" s="281" t="s">
        <v>716</v>
      </c>
      <c r="C665" s="281">
        <v>2537</v>
      </c>
      <c r="D665" s="297"/>
      <c r="E665" s="297"/>
      <c r="F665" s="297"/>
    </row>
    <row r="666" spans="1:6" x14ac:dyDescent="0.3">
      <c r="A666" s="40"/>
      <c r="B666" s="281" t="s">
        <v>717</v>
      </c>
      <c r="C666" s="281">
        <v>2902</v>
      </c>
      <c r="D666" s="297"/>
      <c r="E666" s="297"/>
      <c r="F666" s="297"/>
    </row>
    <row r="667" spans="1:6" x14ac:dyDescent="0.3">
      <c r="A667" s="40"/>
      <c r="B667" s="281" t="s">
        <v>718</v>
      </c>
      <c r="C667" s="281">
        <v>973</v>
      </c>
      <c r="D667" s="297"/>
      <c r="E667" s="297"/>
      <c r="F667" s="297"/>
    </row>
    <row r="668" spans="1:6" x14ac:dyDescent="0.3">
      <c r="A668" s="40"/>
      <c r="B668" s="281" t="s">
        <v>719</v>
      </c>
      <c r="C668" s="281">
        <v>970</v>
      </c>
      <c r="D668" s="297"/>
      <c r="E668" s="297"/>
      <c r="F668" s="297"/>
    </row>
    <row r="669" spans="1:6" x14ac:dyDescent="0.3">
      <c r="A669" s="40"/>
      <c r="B669" s="281" t="s">
        <v>720</v>
      </c>
      <c r="C669" s="281">
        <v>1301</v>
      </c>
      <c r="D669" s="297"/>
      <c r="E669" s="297"/>
      <c r="F669" s="297"/>
    </row>
    <row r="670" spans="1:6" x14ac:dyDescent="0.3">
      <c r="A670" s="40"/>
      <c r="B670" s="281" t="s">
        <v>721</v>
      </c>
      <c r="C670" s="281">
        <v>977</v>
      </c>
      <c r="D670" s="297"/>
      <c r="E670" s="297"/>
      <c r="F670" s="297"/>
    </row>
    <row r="671" spans="1:6" x14ac:dyDescent="0.3">
      <c r="A671" s="40"/>
      <c r="B671" s="281" t="s">
        <v>722</v>
      </c>
      <c r="C671" s="281">
        <v>975</v>
      </c>
      <c r="D671" s="297"/>
      <c r="E671" s="297"/>
      <c r="F671" s="297"/>
    </row>
    <row r="672" spans="1:6" x14ac:dyDescent="0.3">
      <c r="A672" s="40"/>
      <c r="B672" s="281" t="s">
        <v>723</v>
      </c>
      <c r="C672" s="281">
        <v>707</v>
      </c>
      <c r="D672" s="297"/>
      <c r="E672" s="297"/>
      <c r="F672" s="297"/>
    </row>
    <row r="673" spans="1:6" x14ac:dyDescent="0.3">
      <c r="A673" s="40" t="s">
        <v>724</v>
      </c>
      <c r="B673" s="281"/>
      <c r="C673" s="281"/>
      <c r="D673" s="297"/>
      <c r="E673" s="297"/>
      <c r="F673" s="297"/>
    </row>
    <row r="674" spans="1:6" x14ac:dyDescent="0.3">
      <c r="A674" s="40"/>
      <c r="B674" s="281" t="s">
        <v>725</v>
      </c>
      <c r="C674" s="281">
        <v>1349</v>
      </c>
      <c r="D674" s="297"/>
      <c r="E674" s="297"/>
      <c r="F674" s="297"/>
    </row>
    <row r="675" spans="1:6" x14ac:dyDescent="0.3">
      <c r="A675" s="40"/>
      <c r="B675" s="281" t="s">
        <v>726</v>
      </c>
      <c r="C675" s="281">
        <v>1407</v>
      </c>
      <c r="D675" s="297"/>
      <c r="E675" s="297"/>
      <c r="F675" s="297"/>
    </row>
    <row r="676" spans="1:6" x14ac:dyDescent="0.3">
      <c r="A676" s="40"/>
      <c r="B676" s="281" t="s">
        <v>636</v>
      </c>
      <c r="C676" s="281">
        <v>1954</v>
      </c>
      <c r="D676" s="297"/>
      <c r="E676" s="297"/>
      <c r="F676" s="297"/>
    </row>
    <row r="677" spans="1:6" x14ac:dyDescent="0.3">
      <c r="A677" s="40"/>
      <c r="B677" s="281" t="s">
        <v>727</v>
      </c>
      <c r="C677" s="281">
        <v>2690</v>
      </c>
      <c r="D677" s="297"/>
      <c r="E677" s="297"/>
      <c r="F677" s="297"/>
    </row>
    <row r="678" spans="1:6" x14ac:dyDescent="0.3">
      <c r="A678" s="40"/>
      <c r="B678" s="281" t="s">
        <v>728</v>
      </c>
      <c r="C678" s="281">
        <v>2784</v>
      </c>
      <c r="D678" s="297"/>
      <c r="E678" s="297"/>
      <c r="F678" s="297"/>
    </row>
    <row r="679" spans="1:6" x14ac:dyDescent="0.3">
      <c r="A679" s="40"/>
      <c r="B679" s="281" t="s">
        <v>729</v>
      </c>
      <c r="C679" s="281">
        <v>1387</v>
      </c>
      <c r="D679" s="297"/>
      <c r="E679" s="297"/>
      <c r="F679" s="297"/>
    </row>
    <row r="680" spans="1:6" x14ac:dyDescent="0.3">
      <c r="A680" s="40"/>
      <c r="B680" s="281" t="s">
        <v>730</v>
      </c>
      <c r="C680" s="281">
        <v>2625</v>
      </c>
      <c r="D680" s="297"/>
      <c r="E680" s="297"/>
      <c r="F680" s="297"/>
    </row>
    <row r="681" spans="1:6" x14ac:dyDescent="0.3">
      <c r="A681" s="40"/>
      <c r="B681" s="281" t="s">
        <v>731</v>
      </c>
      <c r="C681" s="281">
        <v>2623</v>
      </c>
      <c r="D681" s="297"/>
      <c r="E681" s="297"/>
      <c r="F681" s="297"/>
    </row>
    <row r="682" spans="1:6" x14ac:dyDescent="0.3">
      <c r="A682" s="40"/>
      <c r="B682" s="281" t="s">
        <v>732</v>
      </c>
      <c r="C682" s="281">
        <v>2624</v>
      </c>
      <c r="D682" s="297"/>
      <c r="E682" s="297"/>
      <c r="F682" s="297"/>
    </row>
    <row r="683" spans="1:6" x14ac:dyDescent="0.3">
      <c r="A683" s="40"/>
      <c r="B683" s="281" t="s">
        <v>733</v>
      </c>
      <c r="C683" s="281">
        <v>2627</v>
      </c>
      <c r="D683" s="297"/>
      <c r="E683" s="297"/>
      <c r="F683" s="297"/>
    </row>
    <row r="684" spans="1:6" x14ac:dyDescent="0.3">
      <c r="A684" s="40"/>
      <c r="B684" s="281" t="s">
        <v>734</v>
      </c>
      <c r="C684" s="281">
        <v>2622</v>
      </c>
      <c r="D684" s="297"/>
      <c r="E684" s="297"/>
      <c r="F684" s="297"/>
    </row>
    <row r="685" spans="1:6" x14ac:dyDescent="0.3">
      <c r="A685" s="40"/>
      <c r="B685" s="281" t="s">
        <v>735</v>
      </c>
      <c r="C685" s="281">
        <v>2626</v>
      </c>
      <c r="D685" s="297"/>
      <c r="E685" s="297"/>
      <c r="F685" s="297"/>
    </row>
    <row r="686" spans="1:6" x14ac:dyDescent="0.3">
      <c r="A686" s="40"/>
      <c r="B686" s="281" t="s">
        <v>736</v>
      </c>
      <c r="C686" s="281">
        <v>711</v>
      </c>
      <c r="D686" s="297"/>
      <c r="E686" s="297"/>
      <c r="F686" s="297"/>
    </row>
    <row r="687" spans="1:6" x14ac:dyDescent="0.3">
      <c r="A687" s="40"/>
      <c r="B687" s="281" t="s">
        <v>640</v>
      </c>
      <c r="C687" s="281">
        <v>1892</v>
      </c>
      <c r="D687" s="297"/>
      <c r="E687" s="297"/>
      <c r="F687" s="297"/>
    </row>
    <row r="688" spans="1:6" x14ac:dyDescent="0.3">
      <c r="A688" s="40"/>
      <c r="B688" s="281" t="s">
        <v>642</v>
      </c>
      <c r="C688" s="281">
        <v>709</v>
      </c>
      <c r="D688" s="297"/>
      <c r="E688" s="297"/>
      <c r="F688" s="297"/>
    </row>
    <row r="689" spans="1:6" x14ac:dyDescent="0.3">
      <c r="A689" s="40"/>
      <c r="B689" s="281" t="s">
        <v>737</v>
      </c>
      <c r="C689" s="281">
        <v>1406</v>
      </c>
      <c r="D689" s="297"/>
      <c r="E689" s="297"/>
      <c r="F689" s="297"/>
    </row>
    <row r="690" spans="1:6" x14ac:dyDescent="0.3">
      <c r="A690" s="40"/>
      <c r="B690" s="281" t="s">
        <v>738</v>
      </c>
      <c r="C690" s="281">
        <v>2783</v>
      </c>
      <c r="D690" s="297"/>
      <c r="E690" s="297"/>
      <c r="F690" s="297"/>
    </row>
    <row r="691" spans="1:6" x14ac:dyDescent="0.3">
      <c r="A691" s="40"/>
      <c r="B691" s="281" t="s">
        <v>739</v>
      </c>
      <c r="C691" s="281">
        <v>2782</v>
      </c>
      <c r="D691" s="297"/>
      <c r="E691" s="297"/>
      <c r="F691" s="297"/>
    </row>
    <row r="692" spans="1:6" x14ac:dyDescent="0.3">
      <c r="A692" s="40"/>
      <c r="B692" s="281" t="s">
        <v>653</v>
      </c>
      <c r="C692" s="281">
        <v>714</v>
      </c>
      <c r="D692" s="297"/>
      <c r="E692" s="297"/>
      <c r="F692" s="297"/>
    </row>
    <row r="693" spans="1:6" x14ac:dyDescent="0.3">
      <c r="A693" s="40"/>
      <c r="B693" s="281" t="s">
        <v>740</v>
      </c>
      <c r="C693" s="281">
        <v>1955</v>
      </c>
      <c r="D693" s="297"/>
      <c r="E693" s="297"/>
      <c r="F693" s="297"/>
    </row>
    <row r="694" spans="1:6" x14ac:dyDescent="0.3">
      <c r="A694" s="40"/>
      <c r="B694" s="281" t="s">
        <v>741</v>
      </c>
      <c r="C694" s="281">
        <v>713</v>
      </c>
      <c r="D694" s="297"/>
      <c r="E694" s="297"/>
      <c r="F694" s="297"/>
    </row>
    <row r="695" spans="1:6" x14ac:dyDescent="0.3">
      <c r="A695" s="40"/>
      <c r="B695" s="281" t="s">
        <v>742</v>
      </c>
      <c r="C695" s="281">
        <v>1966</v>
      </c>
      <c r="D695" s="297"/>
      <c r="E695" s="297"/>
      <c r="F695" s="297"/>
    </row>
    <row r="696" spans="1:6" x14ac:dyDescent="0.3">
      <c r="A696" s="40"/>
      <c r="B696" s="281" t="s">
        <v>743</v>
      </c>
      <c r="C696" s="281">
        <v>1370</v>
      </c>
      <c r="D696" s="297"/>
      <c r="E696" s="297"/>
      <c r="F696" s="297"/>
    </row>
    <row r="697" spans="1:6" x14ac:dyDescent="0.3">
      <c r="A697" s="40"/>
      <c r="B697" s="281" t="s">
        <v>657</v>
      </c>
      <c r="C697" s="281">
        <v>712</v>
      </c>
      <c r="D697" s="297"/>
      <c r="E697" s="297"/>
      <c r="F697" s="297"/>
    </row>
    <row r="698" spans="1:6" x14ac:dyDescent="0.3">
      <c r="A698" s="40"/>
      <c r="B698" s="281" t="s">
        <v>744</v>
      </c>
      <c r="C698" s="281">
        <v>1956</v>
      </c>
      <c r="D698" s="297"/>
      <c r="E698" s="297"/>
      <c r="F698" s="297"/>
    </row>
    <row r="699" spans="1:6" x14ac:dyDescent="0.3">
      <c r="A699" s="40"/>
      <c r="B699" s="281" t="s">
        <v>745</v>
      </c>
      <c r="C699" s="281">
        <v>715</v>
      </c>
      <c r="D699" s="297"/>
      <c r="E699" s="297"/>
      <c r="F699" s="297"/>
    </row>
    <row r="700" spans="1:6" x14ac:dyDescent="0.3">
      <c r="A700" s="40"/>
      <c r="B700" s="281" t="s">
        <v>746</v>
      </c>
      <c r="C700" s="281">
        <v>2907</v>
      </c>
      <c r="D700" s="297"/>
      <c r="E700" s="297"/>
      <c r="F700" s="297"/>
    </row>
    <row r="701" spans="1:6" x14ac:dyDescent="0.3">
      <c r="A701" s="40"/>
      <c r="B701" s="281" t="s">
        <v>747</v>
      </c>
      <c r="C701" s="281">
        <v>2628</v>
      </c>
      <c r="D701" s="297"/>
      <c r="E701" s="297"/>
      <c r="F701" s="297"/>
    </row>
    <row r="702" spans="1:6" x14ac:dyDescent="0.3">
      <c r="A702" s="40"/>
      <c r="B702" s="281" t="s">
        <v>748</v>
      </c>
      <c r="C702" s="281">
        <v>2629</v>
      </c>
      <c r="D702" s="297"/>
      <c r="E702" s="297"/>
      <c r="F702" s="297"/>
    </row>
    <row r="703" spans="1:6" x14ac:dyDescent="0.3">
      <c r="A703" s="40"/>
      <c r="B703" s="281" t="s">
        <v>749</v>
      </c>
      <c r="C703" s="281">
        <v>2630</v>
      </c>
      <c r="D703" s="297"/>
      <c r="E703" s="297"/>
      <c r="F703" s="297"/>
    </row>
    <row r="704" spans="1:6" x14ac:dyDescent="0.3">
      <c r="A704" s="40"/>
      <c r="B704" s="281" t="s">
        <v>750</v>
      </c>
      <c r="C704" s="281">
        <v>2631</v>
      </c>
      <c r="D704" s="297"/>
      <c r="E704" s="297"/>
      <c r="F704" s="297"/>
    </row>
    <row r="705" spans="1:6" x14ac:dyDescent="0.3">
      <c r="A705" s="40"/>
      <c r="B705" s="281" t="s">
        <v>751</v>
      </c>
      <c r="C705" s="281">
        <v>2632</v>
      </c>
      <c r="D705" s="297"/>
      <c r="E705" s="297"/>
      <c r="F705" s="297"/>
    </row>
    <row r="706" spans="1:6" x14ac:dyDescent="0.3">
      <c r="A706" s="40"/>
      <c r="B706" s="281" t="s">
        <v>752</v>
      </c>
      <c r="C706" s="281">
        <v>2633</v>
      </c>
      <c r="D706" s="297"/>
      <c r="E706" s="297"/>
      <c r="F706" s="297"/>
    </row>
    <row r="707" spans="1:6" x14ac:dyDescent="0.3">
      <c r="A707" s="40"/>
      <c r="B707" s="281" t="s">
        <v>753</v>
      </c>
      <c r="C707" s="281">
        <v>710</v>
      </c>
      <c r="D707" s="297"/>
      <c r="E707" s="297"/>
      <c r="F707" s="297"/>
    </row>
    <row r="708" spans="1:6" x14ac:dyDescent="0.3">
      <c r="A708" s="40"/>
      <c r="B708" s="281" t="s">
        <v>754</v>
      </c>
      <c r="C708" s="281">
        <v>1973</v>
      </c>
      <c r="D708" s="297"/>
      <c r="E708" s="297"/>
      <c r="F708" s="297"/>
    </row>
    <row r="709" spans="1:6" x14ac:dyDescent="0.3">
      <c r="A709" s="40"/>
      <c r="B709" s="281" t="s">
        <v>755</v>
      </c>
      <c r="C709" s="281">
        <v>708</v>
      </c>
      <c r="D709" s="297"/>
      <c r="E709" s="297"/>
      <c r="F709" s="297"/>
    </row>
    <row r="710" spans="1:6" x14ac:dyDescent="0.3">
      <c r="A710" s="40"/>
      <c r="B710" s="281" t="s">
        <v>756</v>
      </c>
      <c r="C710" s="281">
        <v>1390</v>
      </c>
      <c r="D710" s="297"/>
      <c r="E710" s="297"/>
      <c r="F710" s="297"/>
    </row>
    <row r="711" spans="1:6" x14ac:dyDescent="0.3">
      <c r="A711" s="40"/>
      <c r="B711" s="281" t="s">
        <v>757</v>
      </c>
      <c r="C711" s="281">
        <v>716</v>
      </c>
      <c r="D711" s="297"/>
      <c r="E711" s="297"/>
      <c r="F711" s="297"/>
    </row>
    <row r="712" spans="1:6" x14ac:dyDescent="0.3">
      <c r="A712" s="40" t="s">
        <v>758</v>
      </c>
      <c r="B712" s="281"/>
      <c r="C712" s="281"/>
      <c r="D712" s="297"/>
      <c r="E712" s="297"/>
      <c r="F712" s="297"/>
    </row>
    <row r="713" spans="1:6" x14ac:dyDescent="0.3">
      <c r="A713" s="40"/>
      <c r="B713" s="281" t="s">
        <v>338</v>
      </c>
      <c r="C713" s="281">
        <v>2592</v>
      </c>
      <c r="D713" s="297"/>
      <c r="E713" s="297"/>
      <c r="F713" s="297"/>
    </row>
    <row r="714" spans="1:6" x14ac:dyDescent="0.3">
      <c r="A714" s="40"/>
      <c r="B714" s="281" t="s">
        <v>759</v>
      </c>
      <c r="C714" s="281">
        <v>1934</v>
      </c>
      <c r="D714" s="297"/>
      <c r="E714" s="297"/>
      <c r="F714" s="297"/>
    </row>
    <row r="715" spans="1:6" x14ac:dyDescent="0.3">
      <c r="A715" s="40"/>
      <c r="B715" s="281" t="s">
        <v>760</v>
      </c>
      <c r="C715" s="281">
        <v>2704</v>
      </c>
      <c r="D715" s="297"/>
      <c r="E715" s="297"/>
      <c r="F715" s="297"/>
    </row>
    <row r="716" spans="1:6" x14ac:dyDescent="0.3">
      <c r="A716" s="40"/>
      <c r="B716" s="281" t="s">
        <v>761</v>
      </c>
      <c r="C716" s="281">
        <v>1321</v>
      </c>
      <c r="D716" s="297"/>
      <c r="E716" s="297"/>
      <c r="F716" s="297"/>
    </row>
    <row r="717" spans="1:6" x14ac:dyDescent="0.3">
      <c r="A717" s="40"/>
      <c r="B717" s="281" t="s">
        <v>762</v>
      </c>
      <c r="C717" s="281">
        <v>1810</v>
      </c>
      <c r="D717" s="297"/>
      <c r="E717" s="297"/>
      <c r="F717" s="297"/>
    </row>
    <row r="718" spans="1:6" x14ac:dyDescent="0.3">
      <c r="A718" s="40"/>
      <c r="B718" s="281" t="s">
        <v>763</v>
      </c>
      <c r="C718" s="281">
        <v>1367</v>
      </c>
      <c r="D718" s="297"/>
      <c r="E718" s="297"/>
      <c r="F718" s="297"/>
    </row>
    <row r="719" spans="1:6" x14ac:dyDescent="0.3">
      <c r="A719" s="40"/>
      <c r="B719" s="281" t="s">
        <v>764</v>
      </c>
      <c r="C719" s="281">
        <v>758</v>
      </c>
      <c r="D719" s="297"/>
      <c r="E719" s="297"/>
      <c r="F719" s="297"/>
    </row>
    <row r="720" spans="1:6" x14ac:dyDescent="0.3">
      <c r="A720" s="40"/>
      <c r="B720" s="281" t="s">
        <v>347</v>
      </c>
      <c r="C720" s="281">
        <v>2761</v>
      </c>
      <c r="D720" s="297"/>
      <c r="E720" s="297"/>
      <c r="F720" s="297"/>
    </row>
    <row r="721" spans="1:6" x14ac:dyDescent="0.3">
      <c r="A721" s="40"/>
      <c r="B721" s="281" t="s">
        <v>765</v>
      </c>
      <c r="C721" s="281">
        <v>2201</v>
      </c>
      <c r="D721" s="297"/>
      <c r="E721" s="297"/>
      <c r="F721" s="297"/>
    </row>
    <row r="722" spans="1:6" x14ac:dyDescent="0.3">
      <c r="A722" s="40"/>
      <c r="B722" s="281" t="s">
        <v>766</v>
      </c>
      <c r="C722" s="281">
        <v>1324</v>
      </c>
      <c r="D722" s="297"/>
      <c r="E722" s="297"/>
      <c r="F722" s="297"/>
    </row>
    <row r="723" spans="1:6" x14ac:dyDescent="0.3">
      <c r="A723" s="40"/>
      <c r="B723" s="281" t="s">
        <v>767</v>
      </c>
      <c r="C723" s="281">
        <v>766</v>
      </c>
      <c r="D723" s="297"/>
      <c r="E723" s="297"/>
      <c r="F723" s="297"/>
    </row>
    <row r="724" spans="1:6" x14ac:dyDescent="0.3">
      <c r="A724" s="40"/>
      <c r="B724" s="281" t="s">
        <v>768</v>
      </c>
      <c r="C724" s="281">
        <v>1385</v>
      </c>
      <c r="D724" s="297"/>
      <c r="E724" s="297"/>
      <c r="F724" s="297"/>
    </row>
    <row r="725" spans="1:6" x14ac:dyDescent="0.3">
      <c r="A725" s="40"/>
      <c r="B725" s="281" t="s">
        <v>769</v>
      </c>
      <c r="C725" s="281">
        <v>2672</v>
      </c>
      <c r="D725" s="297"/>
      <c r="E725" s="297"/>
      <c r="F725" s="297"/>
    </row>
    <row r="726" spans="1:6" x14ac:dyDescent="0.3">
      <c r="A726" s="40"/>
      <c r="B726" s="281" t="s">
        <v>692</v>
      </c>
      <c r="C726" s="281">
        <v>764</v>
      </c>
      <c r="D726" s="297"/>
      <c r="E726" s="297"/>
      <c r="F726" s="297"/>
    </row>
    <row r="727" spans="1:6" x14ac:dyDescent="0.3">
      <c r="A727" s="40"/>
      <c r="B727" s="281" t="s">
        <v>770</v>
      </c>
      <c r="C727" s="281">
        <v>1927</v>
      </c>
      <c r="D727" s="297"/>
      <c r="E727" s="297"/>
      <c r="F727" s="297"/>
    </row>
    <row r="728" spans="1:6" x14ac:dyDescent="0.3">
      <c r="A728" s="40"/>
      <c r="B728" s="281" t="s">
        <v>771</v>
      </c>
      <c r="C728" s="281">
        <v>763</v>
      </c>
      <c r="D728" s="297"/>
      <c r="E728" s="297"/>
      <c r="F728" s="297"/>
    </row>
    <row r="729" spans="1:6" x14ac:dyDescent="0.3">
      <c r="A729" s="40"/>
      <c r="B729" s="281" t="s">
        <v>772</v>
      </c>
      <c r="C729" s="281">
        <v>649</v>
      </c>
      <c r="D729" s="297"/>
      <c r="E729" s="297"/>
      <c r="F729" s="297"/>
    </row>
    <row r="730" spans="1:6" x14ac:dyDescent="0.3">
      <c r="A730" s="40"/>
      <c r="B730" s="281" t="s">
        <v>773</v>
      </c>
      <c r="C730" s="281">
        <v>757</v>
      </c>
      <c r="D730" s="297"/>
      <c r="E730" s="297"/>
      <c r="F730" s="297"/>
    </row>
    <row r="731" spans="1:6" x14ac:dyDescent="0.3">
      <c r="A731" s="40"/>
      <c r="B731" s="281" t="s">
        <v>774</v>
      </c>
      <c r="C731" s="281">
        <v>1819</v>
      </c>
      <c r="D731" s="297"/>
      <c r="E731" s="297"/>
      <c r="F731" s="297"/>
    </row>
    <row r="732" spans="1:6" x14ac:dyDescent="0.3">
      <c r="A732" s="40"/>
      <c r="B732" s="281" t="s">
        <v>775</v>
      </c>
      <c r="C732" s="281">
        <v>1928</v>
      </c>
      <c r="D732" s="297"/>
      <c r="E732" s="297"/>
      <c r="F732" s="297"/>
    </row>
    <row r="733" spans="1:6" x14ac:dyDescent="0.3">
      <c r="A733" s="40"/>
      <c r="B733" s="281" t="s">
        <v>776</v>
      </c>
      <c r="C733" s="281">
        <v>1322</v>
      </c>
      <c r="D733" s="297"/>
      <c r="E733" s="297"/>
      <c r="F733" s="297"/>
    </row>
    <row r="734" spans="1:6" x14ac:dyDescent="0.3">
      <c r="A734" s="40"/>
      <c r="B734" s="281" t="s">
        <v>583</v>
      </c>
      <c r="C734" s="281">
        <v>792</v>
      </c>
      <c r="D734" s="297"/>
      <c r="E734" s="297"/>
      <c r="F734" s="297"/>
    </row>
    <row r="735" spans="1:6" x14ac:dyDescent="0.3">
      <c r="A735" s="40"/>
      <c r="B735" s="281" t="s">
        <v>386</v>
      </c>
      <c r="C735" s="281">
        <v>2666</v>
      </c>
      <c r="D735" s="297"/>
      <c r="E735" s="297"/>
      <c r="F735" s="297"/>
    </row>
    <row r="736" spans="1:6" x14ac:dyDescent="0.3">
      <c r="A736" s="40"/>
      <c r="B736" s="281" t="s">
        <v>584</v>
      </c>
      <c r="C736" s="281">
        <v>765</v>
      </c>
      <c r="D736" s="297"/>
      <c r="E736" s="297"/>
      <c r="F736" s="297"/>
    </row>
    <row r="737" spans="1:6" x14ac:dyDescent="0.3">
      <c r="A737" s="40"/>
      <c r="B737" s="281" t="s">
        <v>777</v>
      </c>
      <c r="C737" s="281">
        <v>1323</v>
      </c>
      <c r="D737" s="297"/>
      <c r="E737" s="297"/>
      <c r="F737" s="297"/>
    </row>
    <row r="738" spans="1:6" x14ac:dyDescent="0.3">
      <c r="A738" s="40"/>
      <c r="B738" s="281" t="s">
        <v>778</v>
      </c>
      <c r="C738" s="281">
        <v>2203</v>
      </c>
      <c r="D738" s="297"/>
      <c r="E738" s="297"/>
      <c r="F738" s="297"/>
    </row>
    <row r="739" spans="1:6" x14ac:dyDescent="0.3">
      <c r="A739" s="40"/>
      <c r="B739" s="281" t="s">
        <v>779</v>
      </c>
      <c r="C739" s="281">
        <v>2202</v>
      </c>
      <c r="D739" s="297"/>
      <c r="E739" s="297"/>
      <c r="F739" s="297"/>
    </row>
    <row r="740" spans="1:6" x14ac:dyDescent="0.3">
      <c r="A740" s="40"/>
      <c r="B740" s="281" t="s">
        <v>780</v>
      </c>
      <c r="C740" s="281">
        <v>1818</v>
      </c>
      <c r="D740" s="297"/>
      <c r="E740" s="297"/>
      <c r="F740" s="297"/>
    </row>
    <row r="741" spans="1:6" x14ac:dyDescent="0.3">
      <c r="A741" s="40"/>
      <c r="B741" s="281" t="s">
        <v>781</v>
      </c>
      <c r="C741" s="281">
        <v>1320</v>
      </c>
      <c r="D741" s="297"/>
      <c r="E741" s="297"/>
      <c r="F741" s="297"/>
    </row>
    <row r="742" spans="1:6" x14ac:dyDescent="0.3">
      <c r="A742" s="40"/>
      <c r="B742" s="281" t="s">
        <v>782</v>
      </c>
      <c r="C742" s="281">
        <v>2017</v>
      </c>
      <c r="D742" s="297"/>
      <c r="E742" s="297"/>
      <c r="F742" s="297"/>
    </row>
    <row r="743" spans="1:6" x14ac:dyDescent="0.3">
      <c r="A743" s="40"/>
      <c r="B743" s="281" t="s">
        <v>696</v>
      </c>
      <c r="C743" s="281">
        <v>731</v>
      </c>
      <c r="D743" s="297"/>
      <c r="E743" s="297"/>
      <c r="F743" s="297"/>
    </row>
    <row r="744" spans="1:6" x14ac:dyDescent="0.3">
      <c r="A744" s="40"/>
      <c r="B744" s="281" t="s">
        <v>783</v>
      </c>
      <c r="C744" s="281">
        <v>759</v>
      </c>
      <c r="D744" s="297"/>
      <c r="E744" s="297"/>
      <c r="F744" s="297"/>
    </row>
    <row r="745" spans="1:6" x14ac:dyDescent="0.3">
      <c r="A745" s="40"/>
      <c r="B745" s="281" t="s">
        <v>784</v>
      </c>
      <c r="C745" s="281">
        <v>2705</v>
      </c>
      <c r="D745" s="297"/>
      <c r="E745" s="297"/>
      <c r="F745" s="297"/>
    </row>
    <row r="746" spans="1:6" x14ac:dyDescent="0.3">
      <c r="A746" s="40"/>
      <c r="B746" s="281" t="s">
        <v>785</v>
      </c>
      <c r="C746" s="281">
        <v>1985</v>
      </c>
      <c r="D746" s="297"/>
      <c r="E746" s="297"/>
      <c r="F746" s="297"/>
    </row>
    <row r="747" spans="1:6" x14ac:dyDescent="0.3">
      <c r="A747" s="40"/>
      <c r="B747" s="281" t="s">
        <v>693</v>
      </c>
      <c r="C747" s="281">
        <v>760</v>
      </c>
      <c r="D747" s="297"/>
      <c r="E747" s="297"/>
      <c r="F747" s="297"/>
    </row>
    <row r="748" spans="1:6" x14ac:dyDescent="0.3">
      <c r="A748" s="40"/>
      <c r="B748" s="281" t="s">
        <v>786</v>
      </c>
      <c r="C748" s="281">
        <v>1986</v>
      </c>
      <c r="D748" s="297"/>
      <c r="E748" s="297"/>
      <c r="F748" s="297"/>
    </row>
    <row r="749" spans="1:6" x14ac:dyDescent="0.3">
      <c r="A749" s="40"/>
      <c r="B749" s="281" t="s">
        <v>787</v>
      </c>
      <c r="C749" s="281">
        <v>2706</v>
      </c>
      <c r="D749" s="297"/>
      <c r="E749" s="297"/>
      <c r="F749" s="297"/>
    </row>
    <row r="750" spans="1:6" x14ac:dyDescent="0.3">
      <c r="A750" s="40"/>
      <c r="B750" s="281" t="s">
        <v>788</v>
      </c>
      <c r="C750" s="281">
        <v>647</v>
      </c>
      <c r="D750" s="297"/>
      <c r="E750" s="297"/>
      <c r="F750" s="297"/>
    </row>
    <row r="751" spans="1:6" x14ac:dyDescent="0.3">
      <c r="A751" s="40" t="s">
        <v>789</v>
      </c>
      <c r="B751" s="281"/>
      <c r="C751" s="281"/>
      <c r="D751" s="297"/>
      <c r="E751" s="297"/>
      <c r="F751" s="297"/>
    </row>
    <row r="752" spans="1:6" x14ac:dyDescent="0.3">
      <c r="A752" s="40"/>
      <c r="B752" s="281" t="s">
        <v>790</v>
      </c>
      <c r="C752" s="281">
        <v>2664</v>
      </c>
      <c r="D752" s="297"/>
      <c r="E752" s="297"/>
      <c r="F752" s="297"/>
    </row>
    <row r="753" spans="1:6" x14ac:dyDescent="0.3">
      <c r="A753" s="40"/>
      <c r="B753" s="281" t="s">
        <v>791</v>
      </c>
      <c r="C753" s="281">
        <v>847</v>
      </c>
      <c r="D753" s="297"/>
      <c r="E753" s="297"/>
      <c r="F753" s="297"/>
    </row>
    <row r="754" spans="1:6" x14ac:dyDescent="0.3">
      <c r="A754" s="40"/>
      <c r="B754" s="281" t="s">
        <v>792</v>
      </c>
      <c r="C754" s="281">
        <v>848</v>
      </c>
      <c r="D754" s="297"/>
      <c r="E754" s="297"/>
      <c r="F754" s="297"/>
    </row>
    <row r="755" spans="1:6" x14ac:dyDescent="0.3">
      <c r="A755" s="40"/>
      <c r="B755" s="281" t="s">
        <v>793</v>
      </c>
      <c r="C755" s="281">
        <v>767</v>
      </c>
      <c r="D755" s="297"/>
      <c r="E755" s="297"/>
      <c r="F755" s="297"/>
    </row>
    <row r="756" spans="1:6" x14ac:dyDescent="0.3">
      <c r="A756" s="40"/>
      <c r="B756" s="281" t="s">
        <v>794</v>
      </c>
      <c r="C756" s="281">
        <v>852</v>
      </c>
      <c r="D756" s="297"/>
      <c r="E756" s="297"/>
      <c r="F756" s="297"/>
    </row>
    <row r="757" spans="1:6" x14ac:dyDescent="0.3">
      <c r="A757" s="40"/>
      <c r="B757" s="281" t="s">
        <v>145</v>
      </c>
      <c r="C757" s="281">
        <v>614</v>
      </c>
      <c r="D757" s="297"/>
      <c r="E757" s="297"/>
      <c r="F757" s="297"/>
    </row>
    <row r="758" spans="1:6" x14ac:dyDescent="0.3">
      <c r="A758" s="40"/>
      <c r="B758" s="281" t="s">
        <v>795</v>
      </c>
      <c r="C758" s="281">
        <v>1373</v>
      </c>
      <c r="D758" s="297"/>
      <c r="E758" s="297"/>
      <c r="F758" s="297"/>
    </row>
    <row r="759" spans="1:6" x14ac:dyDescent="0.3">
      <c r="A759" s="40"/>
      <c r="B759" s="281" t="s">
        <v>796</v>
      </c>
      <c r="C759" s="281">
        <v>613</v>
      </c>
      <c r="D759" s="297"/>
      <c r="E759" s="297"/>
      <c r="F759" s="297"/>
    </row>
    <row r="760" spans="1:6" x14ac:dyDescent="0.3">
      <c r="A760" s="40"/>
      <c r="B760" s="281" t="s">
        <v>797</v>
      </c>
      <c r="C760" s="281">
        <v>2684</v>
      </c>
      <c r="D760" s="297"/>
      <c r="E760" s="297"/>
      <c r="F760" s="297"/>
    </row>
    <row r="761" spans="1:6" x14ac:dyDescent="0.3">
      <c r="A761" s="40"/>
      <c r="B761" s="281" t="s">
        <v>798</v>
      </c>
      <c r="C761" s="281">
        <v>612</v>
      </c>
      <c r="D761" s="297"/>
      <c r="E761" s="297"/>
      <c r="F761" s="297"/>
    </row>
    <row r="762" spans="1:6" x14ac:dyDescent="0.3">
      <c r="A762" s="40"/>
      <c r="B762" s="281" t="s">
        <v>799</v>
      </c>
      <c r="C762" s="281">
        <v>2847</v>
      </c>
      <c r="D762" s="297"/>
      <c r="E762" s="297"/>
      <c r="F762" s="297"/>
    </row>
    <row r="763" spans="1:6" x14ac:dyDescent="0.3">
      <c r="A763" s="40"/>
      <c r="B763" s="281" t="s">
        <v>800</v>
      </c>
      <c r="C763" s="281">
        <v>1344</v>
      </c>
      <c r="D763" s="297"/>
      <c r="E763" s="297"/>
      <c r="F763" s="297"/>
    </row>
    <row r="764" spans="1:6" x14ac:dyDescent="0.3">
      <c r="A764" s="40"/>
      <c r="B764" s="281" t="s">
        <v>801</v>
      </c>
      <c r="C764" s="281">
        <v>1348</v>
      </c>
      <c r="D764" s="297"/>
      <c r="E764" s="297"/>
      <c r="F764" s="297"/>
    </row>
    <row r="765" spans="1:6" x14ac:dyDescent="0.3">
      <c r="A765" s="40"/>
      <c r="B765" s="281" t="s">
        <v>802</v>
      </c>
      <c r="C765" s="281">
        <v>2598</v>
      </c>
      <c r="D765" s="297"/>
      <c r="E765" s="297"/>
      <c r="F765" s="297"/>
    </row>
    <row r="766" spans="1:6" x14ac:dyDescent="0.3">
      <c r="A766" s="40"/>
      <c r="B766" s="281" t="s">
        <v>803</v>
      </c>
      <c r="C766" s="281">
        <v>697</v>
      </c>
      <c r="D766" s="297"/>
      <c r="E766" s="297"/>
      <c r="F766" s="297"/>
    </row>
    <row r="767" spans="1:6" x14ac:dyDescent="0.3">
      <c r="A767" s="40"/>
      <c r="B767" s="281" t="s">
        <v>804</v>
      </c>
      <c r="C767" s="281">
        <v>548</v>
      </c>
      <c r="D767" s="297"/>
      <c r="E767" s="297"/>
      <c r="F767" s="297"/>
    </row>
    <row r="768" spans="1:6" x14ac:dyDescent="0.3">
      <c r="A768" s="40" t="s">
        <v>805</v>
      </c>
      <c r="B768" s="281"/>
      <c r="C768" s="281"/>
      <c r="D768" s="297"/>
      <c r="E768" s="297"/>
      <c r="F768" s="297"/>
    </row>
    <row r="769" spans="1:6" x14ac:dyDescent="0.3">
      <c r="A769" s="40"/>
      <c r="B769" s="281" t="s">
        <v>806</v>
      </c>
      <c r="C769" s="281">
        <v>589</v>
      </c>
      <c r="D769" s="297"/>
      <c r="E769" s="297"/>
      <c r="F769" s="297"/>
    </row>
    <row r="770" spans="1:6" x14ac:dyDescent="0.3">
      <c r="A770" s="40"/>
      <c r="B770" s="281" t="s">
        <v>807</v>
      </c>
      <c r="C770" s="281">
        <v>787</v>
      </c>
      <c r="D770" s="297"/>
      <c r="E770" s="297"/>
      <c r="F770" s="297"/>
    </row>
    <row r="771" spans="1:6" x14ac:dyDescent="0.3">
      <c r="A771" s="40"/>
      <c r="B771" s="281" t="s">
        <v>808</v>
      </c>
      <c r="C771" s="281">
        <v>841</v>
      </c>
      <c r="D771" s="297"/>
      <c r="E771" s="297"/>
      <c r="F771" s="297"/>
    </row>
    <row r="772" spans="1:6" x14ac:dyDescent="0.3">
      <c r="A772" s="40"/>
      <c r="B772" s="281" t="s">
        <v>809</v>
      </c>
      <c r="C772" s="281">
        <v>1346</v>
      </c>
      <c r="D772" s="297"/>
      <c r="E772" s="297"/>
      <c r="F772" s="297"/>
    </row>
    <row r="773" spans="1:6" x14ac:dyDescent="0.3">
      <c r="A773" s="40"/>
      <c r="B773" s="281" t="s">
        <v>810</v>
      </c>
      <c r="C773" s="281">
        <v>782</v>
      </c>
      <c r="D773" s="297"/>
      <c r="E773" s="297"/>
      <c r="F773" s="297"/>
    </row>
    <row r="774" spans="1:6" x14ac:dyDescent="0.3">
      <c r="A774" s="40"/>
      <c r="B774" s="281" t="s">
        <v>811</v>
      </c>
      <c r="C774" s="281">
        <v>784</v>
      </c>
      <c r="D774" s="297"/>
      <c r="E774" s="297"/>
      <c r="F774" s="297"/>
    </row>
    <row r="775" spans="1:6" x14ac:dyDescent="0.3">
      <c r="A775" s="40"/>
      <c r="B775" s="281" t="s">
        <v>812</v>
      </c>
      <c r="C775" s="281">
        <v>688</v>
      </c>
      <c r="D775" s="297"/>
      <c r="E775" s="297"/>
      <c r="F775" s="297"/>
    </row>
    <row r="776" spans="1:6" x14ac:dyDescent="0.3">
      <c r="A776" s="40"/>
      <c r="B776" s="281" t="s">
        <v>813</v>
      </c>
      <c r="C776" s="281">
        <v>2715</v>
      </c>
      <c r="D776" s="297"/>
      <c r="E776" s="297"/>
      <c r="F776" s="297"/>
    </row>
    <row r="777" spans="1:6" x14ac:dyDescent="0.3">
      <c r="A777" s="40"/>
      <c r="B777" s="281" t="s">
        <v>814</v>
      </c>
      <c r="C777" s="281">
        <v>790</v>
      </c>
      <c r="D777" s="297"/>
      <c r="E777" s="297"/>
      <c r="F777" s="297"/>
    </row>
    <row r="778" spans="1:6" x14ac:dyDescent="0.3">
      <c r="A778" s="40"/>
      <c r="B778" s="281" t="s">
        <v>815</v>
      </c>
      <c r="C778" s="281">
        <v>2418</v>
      </c>
      <c r="D778" s="297"/>
      <c r="E778" s="297"/>
      <c r="F778" s="297"/>
    </row>
    <row r="779" spans="1:6" x14ac:dyDescent="0.3">
      <c r="A779" s="40"/>
      <c r="B779" s="281" t="s">
        <v>816</v>
      </c>
      <c r="C779" s="281">
        <v>786</v>
      </c>
      <c r="D779" s="297"/>
      <c r="E779" s="297"/>
      <c r="F779" s="297"/>
    </row>
    <row r="780" spans="1:6" x14ac:dyDescent="0.3">
      <c r="A780" s="40"/>
      <c r="B780" s="281" t="s">
        <v>817</v>
      </c>
      <c r="C780" s="281">
        <v>789</v>
      </c>
      <c r="D780" s="297"/>
      <c r="E780" s="297"/>
      <c r="F780" s="297"/>
    </row>
    <row r="781" spans="1:6" x14ac:dyDescent="0.3">
      <c r="A781" s="40"/>
      <c r="B781" s="281" t="s">
        <v>818</v>
      </c>
      <c r="C781" s="281">
        <v>1355</v>
      </c>
      <c r="D781" s="297"/>
      <c r="E781" s="297"/>
      <c r="F781" s="297"/>
    </row>
    <row r="782" spans="1:6" x14ac:dyDescent="0.3">
      <c r="A782" s="40"/>
      <c r="B782" s="281" t="s">
        <v>819</v>
      </c>
      <c r="C782" s="281">
        <v>785</v>
      </c>
      <c r="D782" s="297"/>
      <c r="E782" s="297"/>
      <c r="F782" s="297"/>
    </row>
    <row r="783" spans="1:6" x14ac:dyDescent="0.3">
      <c r="A783" s="40"/>
      <c r="B783" s="281" t="s">
        <v>820</v>
      </c>
      <c r="C783" s="281">
        <v>783</v>
      </c>
      <c r="D783" s="297"/>
      <c r="E783" s="297"/>
      <c r="F783" s="297"/>
    </row>
    <row r="784" spans="1:6" x14ac:dyDescent="0.3">
      <c r="A784" s="40"/>
      <c r="B784" s="281" t="s">
        <v>821</v>
      </c>
      <c r="C784" s="281">
        <v>2714</v>
      </c>
      <c r="D784" s="297"/>
      <c r="E784" s="297"/>
      <c r="F784" s="297"/>
    </row>
    <row r="785" spans="1:6" x14ac:dyDescent="0.3">
      <c r="A785" s="40"/>
      <c r="B785" s="281" t="s">
        <v>822</v>
      </c>
      <c r="C785" s="281">
        <v>1815</v>
      </c>
      <c r="D785" s="297"/>
      <c r="E785" s="297"/>
      <c r="F785" s="297"/>
    </row>
    <row r="786" spans="1:6" x14ac:dyDescent="0.3">
      <c r="A786" s="40"/>
      <c r="B786" s="281" t="s">
        <v>823</v>
      </c>
      <c r="C786" s="281">
        <v>788</v>
      </c>
      <c r="D786" s="297"/>
      <c r="E786" s="297"/>
      <c r="F786" s="297"/>
    </row>
    <row r="787" spans="1:6" x14ac:dyDescent="0.3">
      <c r="A787" s="40"/>
      <c r="B787" s="281" t="s">
        <v>824</v>
      </c>
      <c r="C787" s="281">
        <v>762</v>
      </c>
      <c r="D787" s="297"/>
      <c r="E787" s="297"/>
      <c r="F787" s="297"/>
    </row>
    <row r="788" spans="1:6" x14ac:dyDescent="0.3">
      <c r="A788" s="40"/>
      <c r="B788" s="281" t="s">
        <v>825</v>
      </c>
      <c r="C788" s="281">
        <v>618</v>
      </c>
      <c r="D788" s="297"/>
      <c r="E788" s="297"/>
      <c r="F788" s="297"/>
    </row>
    <row r="789" spans="1:6" x14ac:dyDescent="0.3">
      <c r="A789" s="40"/>
      <c r="B789" s="281" t="s">
        <v>826</v>
      </c>
      <c r="C789" s="281">
        <v>2576</v>
      </c>
      <c r="D789" s="297"/>
      <c r="E789" s="297"/>
      <c r="F789" s="297"/>
    </row>
    <row r="790" spans="1:6" x14ac:dyDescent="0.3">
      <c r="A790" s="40"/>
      <c r="B790" s="281" t="s">
        <v>827</v>
      </c>
      <c r="C790" s="281">
        <v>2853</v>
      </c>
      <c r="D790" s="297"/>
      <c r="E790" s="297"/>
      <c r="F790" s="297"/>
    </row>
    <row r="791" spans="1:6" x14ac:dyDescent="0.3">
      <c r="A791" s="40"/>
      <c r="B791" s="281" t="s">
        <v>828</v>
      </c>
      <c r="C791" s="281">
        <v>623</v>
      </c>
      <c r="D791" s="297"/>
      <c r="E791" s="297"/>
      <c r="F791" s="297"/>
    </row>
    <row r="792" spans="1:6" x14ac:dyDescent="0.3">
      <c r="A792" s="40" t="s">
        <v>829</v>
      </c>
      <c r="B792" s="281"/>
      <c r="C792" s="281"/>
      <c r="D792" s="297"/>
      <c r="E792" s="297"/>
      <c r="F792" s="297"/>
    </row>
    <row r="793" spans="1:6" x14ac:dyDescent="0.3">
      <c r="A793" s="40"/>
      <c r="B793" s="281" t="s">
        <v>830</v>
      </c>
      <c r="C793" s="281">
        <v>560</v>
      </c>
      <c r="D793" s="297"/>
      <c r="E793" s="297"/>
      <c r="F793" s="297"/>
    </row>
    <row r="794" spans="1:6" x14ac:dyDescent="0.3">
      <c r="A794" s="40"/>
      <c r="B794" s="281" t="s">
        <v>831</v>
      </c>
      <c r="C794" s="281">
        <v>663</v>
      </c>
      <c r="D794" s="297"/>
      <c r="E794" s="297"/>
      <c r="F794" s="297"/>
    </row>
    <row r="795" spans="1:6" x14ac:dyDescent="0.3">
      <c r="A795" s="40"/>
      <c r="B795" s="281" t="s">
        <v>832</v>
      </c>
      <c r="C795" s="281">
        <v>559</v>
      </c>
      <c r="D795" s="297"/>
      <c r="E795" s="297"/>
      <c r="F795" s="297"/>
    </row>
    <row r="796" spans="1:6" x14ac:dyDescent="0.3">
      <c r="A796" s="40"/>
      <c r="B796" s="281" t="s">
        <v>833</v>
      </c>
      <c r="C796" s="281">
        <v>956</v>
      </c>
      <c r="D796" s="297"/>
      <c r="E796" s="297"/>
      <c r="F796" s="297"/>
    </row>
    <row r="797" spans="1:6" x14ac:dyDescent="0.3">
      <c r="A797" s="40"/>
      <c r="B797" s="281" t="s">
        <v>257</v>
      </c>
      <c r="C797" s="281">
        <v>212</v>
      </c>
      <c r="D797" s="297"/>
      <c r="E797" s="297"/>
      <c r="F797" s="297"/>
    </row>
    <row r="798" spans="1:6" x14ac:dyDescent="0.3">
      <c r="A798" s="40"/>
      <c r="B798" s="281" t="s">
        <v>834</v>
      </c>
      <c r="C798" s="281">
        <v>563</v>
      </c>
      <c r="D798" s="297"/>
      <c r="E798" s="297"/>
      <c r="F798" s="297"/>
    </row>
    <row r="799" spans="1:6" x14ac:dyDescent="0.3">
      <c r="A799" s="40"/>
      <c r="B799" s="281" t="s">
        <v>835</v>
      </c>
      <c r="C799" s="281">
        <v>959</v>
      </c>
      <c r="D799" s="297"/>
      <c r="E799" s="297"/>
      <c r="F799" s="297"/>
    </row>
    <row r="800" spans="1:6" x14ac:dyDescent="0.3">
      <c r="A800" s="40"/>
      <c r="B800" s="281" t="s">
        <v>836</v>
      </c>
      <c r="C800" s="281">
        <v>957</v>
      </c>
      <c r="D800" s="297"/>
      <c r="E800" s="297"/>
      <c r="F800" s="297"/>
    </row>
    <row r="801" spans="1:6" x14ac:dyDescent="0.3">
      <c r="A801" s="40"/>
      <c r="B801" s="281" t="s">
        <v>837</v>
      </c>
      <c r="C801" s="281">
        <v>958</v>
      </c>
      <c r="D801" s="297"/>
      <c r="E801" s="297"/>
      <c r="F801" s="297"/>
    </row>
    <row r="802" spans="1:6" x14ac:dyDescent="0.3">
      <c r="A802" s="40"/>
      <c r="B802" s="281" t="s">
        <v>838</v>
      </c>
      <c r="C802" s="281">
        <v>564</v>
      </c>
      <c r="D802" s="297"/>
      <c r="E802" s="297"/>
      <c r="F802" s="297"/>
    </row>
    <row r="803" spans="1:6" x14ac:dyDescent="0.3">
      <c r="A803" s="40"/>
      <c r="B803" s="281" t="s">
        <v>839</v>
      </c>
      <c r="C803" s="281">
        <v>955</v>
      </c>
      <c r="D803" s="297"/>
      <c r="E803" s="297"/>
      <c r="F803" s="297"/>
    </row>
    <row r="804" spans="1:6" x14ac:dyDescent="0.3">
      <c r="A804" s="40"/>
      <c r="B804" s="281" t="s">
        <v>840</v>
      </c>
      <c r="C804" s="281">
        <v>561</v>
      </c>
      <c r="D804" s="297"/>
      <c r="E804" s="297"/>
      <c r="F804" s="297"/>
    </row>
    <row r="805" spans="1:6" x14ac:dyDescent="0.3">
      <c r="A805" s="40"/>
      <c r="B805" s="281" t="s">
        <v>841</v>
      </c>
      <c r="C805" s="281">
        <v>700</v>
      </c>
      <c r="D805" s="297"/>
      <c r="E805" s="297"/>
      <c r="F805" s="297"/>
    </row>
    <row r="806" spans="1:6" x14ac:dyDescent="0.3">
      <c r="A806" s="40"/>
      <c r="B806" s="281" t="s">
        <v>842</v>
      </c>
      <c r="C806" s="281">
        <v>568</v>
      </c>
      <c r="D806" s="297"/>
      <c r="E806" s="297"/>
      <c r="F806" s="297"/>
    </row>
    <row r="807" spans="1:6" x14ac:dyDescent="0.3">
      <c r="A807" s="40"/>
      <c r="B807" s="281" t="s">
        <v>843</v>
      </c>
      <c r="C807" s="281">
        <v>566</v>
      </c>
      <c r="D807" s="297"/>
      <c r="E807" s="297"/>
      <c r="F807" s="297"/>
    </row>
    <row r="808" spans="1:6" x14ac:dyDescent="0.3">
      <c r="A808" s="40"/>
      <c r="B808" s="281" t="s">
        <v>844</v>
      </c>
      <c r="C808" s="281">
        <v>727</v>
      </c>
      <c r="D808" s="297"/>
      <c r="E808" s="297"/>
      <c r="F808" s="297"/>
    </row>
    <row r="809" spans="1:6" x14ac:dyDescent="0.3">
      <c r="A809" s="40"/>
      <c r="B809" s="281" t="s">
        <v>845</v>
      </c>
      <c r="C809" s="281">
        <v>728</v>
      </c>
      <c r="D809" s="297"/>
      <c r="E809" s="297"/>
      <c r="F809" s="297"/>
    </row>
    <row r="810" spans="1:6" x14ac:dyDescent="0.3">
      <c r="A810" s="40"/>
      <c r="B810" s="281" t="s">
        <v>846</v>
      </c>
      <c r="C810" s="281">
        <v>836</v>
      </c>
      <c r="D810" s="297"/>
      <c r="E810" s="297"/>
      <c r="F810" s="297"/>
    </row>
    <row r="811" spans="1:6" x14ac:dyDescent="0.3">
      <c r="A811" s="40"/>
      <c r="B811" s="281" t="s">
        <v>847</v>
      </c>
      <c r="C811" s="281">
        <v>558</v>
      </c>
      <c r="D811" s="297"/>
      <c r="E811" s="297"/>
      <c r="F811" s="297"/>
    </row>
    <row r="812" spans="1:6" x14ac:dyDescent="0.3">
      <c r="A812" s="40"/>
      <c r="B812" s="281" t="s">
        <v>848</v>
      </c>
      <c r="C812" s="281">
        <v>567</v>
      </c>
      <c r="D812" s="297"/>
      <c r="E812" s="297"/>
      <c r="F812" s="297"/>
    </row>
    <row r="813" spans="1:6" x14ac:dyDescent="0.3">
      <c r="A813" s="40"/>
      <c r="B813" s="281" t="s">
        <v>849</v>
      </c>
      <c r="C813" s="281">
        <v>1967</v>
      </c>
      <c r="D813" s="297"/>
      <c r="E813" s="297"/>
      <c r="F813" s="297"/>
    </row>
    <row r="814" spans="1:6" x14ac:dyDescent="0.3">
      <c r="A814" s="40"/>
      <c r="B814" s="281" t="s">
        <v>850</v>
      </c>
      <c r="C814" s="281">
        <v>569</v>
      </c>
      <c r="D814" s="297"/>
      <c r="E814" s="297"/>
      <c r="F814" s="297"/>
    </row>
    <row r="815" spans="1:6" x14ac:dyDescent="0.3">
      <c r="A815" s="40"/>
      <c r="B815" s="281" t="s">
        <v>155</v>
      </c>
      <c r="C815" s="281">
        <v>322</v>
      </c>
      <c r="D815" s="297"/>
      <c r="E815" s="297"/>
      <c r="F815" s="297"/>
    </row>
    <row r="816" spans="1:6" x14ac:dyDescent="0.3">
      <c r="A816" s="40"/>
      <c r="B816" s="281" t="s">
        <v>851</v>
      </c>
      <c r="C816" s="281">
        <v>695</v>
      </c>
      <c r="D816" s="297"/>
      <c r="E816" s="297"/>
      <c r="F816" s="297"/>
    </row>
    <row r="817" spans="1:6" x14ac:dyDescent="0.3">
      <c r="A817" s="40"/>
      <c r="B817" s="281" t="s">
        <v>852</v>
      </c>
      <c r="C817" s="281">
        <v>343</v>
      </c>
      <c r="D817" s="297"/>
      <c r="E817" s="297"/>
      <c r="F817" s="297"/>
    </row>
    <row r="818" spans="1:6" x14ac:dyDescent="0.3">
      <c r="A818" s="40"/>
      <c r="B818" s="281" t="s">
        <v>853</v>
      </c>
      <c r="C818" s="281">
        <v>565</v>
      </c>
      <c r="D818" s="297"/>
      <c r="E818" s="297"/>
      <c r="F818" s="297"/>
    </row>
    <row r="819" spans="1:6" x14ac:dyDescent="0.3">
      <c r="A819" s="40"/>
      <c r="B819" s="281" t="s">
        <v>854</v>
      </c>
      <c r="C819" s="281">
        <v>2</v>
      </c>
      <c r="D819" s="297"/>
      <c r="E819" s="297"/>
      <c r="F819" s="297"/>
    </row>
    <row r="820" spans="1:6" x14ac:dyDescent="0.3">
      <c r="A820" s="40" t="s">
        <v>855</v>
      </c>
      <c r="B820" s="281"/>
      <c r="C820" s="281"/>
      <c r="D820" s="297"/>
      <c r="E820" s="297"/>
      <c r="F820" s="297"/>
    </row>
    <row r="821" spans="1:6" x14ac:dyDescent="0.3">
      <c r="A821" s="40"/>
      <c r="B821" s="281" t="s">
        <v>856</v>
      </c>
      <c r="C821" s="281">
        <v>106</v>
      </c>
      <c r="D821" s="297"/>
      <c r="E821" s="297"/>
      <c r="F821" s="297"/>
    </row>
    <row r="822" spans="1:6" x14ac:dyDescent="0.3">
      <c r="A822" s="40"/>
      <c r="B822" s="281" t="s">
        <v>857</v>
      </c>
      <c r="C822" s="281">
        <v>1339</v>
      </c>
      <c r="D822" s="297"/>
      <c r="E822" s="297"/>
      <c r="F822" s="297"/>
    </row>
    <row r="823" spans="1:6" x14ac:dyDescent="0.3">
      <c r="A823" s="40"/>
      <c r="B823" s="281" t="s">
        <v>858</v>
      </c>
      <c r="C823" s="281">
        <v>2974</v>
      </c>
      <c r="D823" s="297"/>
      <c r="E823" s="297"/>
      <c r="F823" s="297"/>
    </row>
    <row r="824" spans="1:6" x14ac:dyDescent="0.3">
      <c r="A824" s="40"/>
      <c r="B824" s="281" t="s">
        <v>859</v>
      </c>
      <c r="C824" s="281">
        <v>829</v>
      </c>
      <c r="D824" s="297"/>
      <c r="E824" s="297"/>
      <c r="F824" s="297"/>
    </row>
    <row r="825" spans="1:6" x14ac:dyDescent="0.3">
      <c r="A825" s="40"/>
      <c r="B825" s="281" t="s">
        <v>860</v>
      </c>
      <c r="C825" s="281">
        <v>169</v>
      </c>
      <c r="D825" s="297"/>
      <c r="E825" s="297"/>
      <c r="F825" s="297"/>
    </row>
    <row r="826" spans="1:6" x14ac:dyDescent="0.3">
      <c r="A826" s="40"/>
      <c r="B826" s="281" t="s">
        <v>861</v>
      </c>
      <c r="C826" s="281">
        <v>182</v>
      </c>
      <c r="D826" s="297"/>
      <c r="E826" s="297"/>
      <c r="F826" s="297"/>
    </row>
    <row r="827" spans="1:6" x14ac:dyDescent="0.3">
      <c r="A827" s="40"/>
      <c r="B827" s="281" t="s">
        <v>862</v>
      </c>
      <c r="C827" s="281">
        <v>2967</v>
      </c>
      <c r="D827" s="297"/>
      <c r="E827" s="297"/>
      <c r="F827" s="297"/>
    </row>
    <row r="828" spans="1:6" x14ac:dyDescent="0.3">
      <c r="A828" s="40"/>
      <c r="B828" s="281" t="s">
        <v>766</v>
      </c>
      <c r="C828" s="281">
        <v>1324</v>
      </c>
      <c r="D828" s="297"/>
      <c r="E828" s="297"/>
      <c r="F828" s="297"/>
    </row>
    <row r="829" spans="1:6" x14ac:dyDescent="0.3">
      <c r="A829" s="40"/>
      <c r="B829" s="281" t="s">
        <v>771</v>
      </c>
      <c r="C829" s="281">
        <v>763</v>
      </c>
      <c r="D829" s="297"/>
      <c r="E829" s="297"/>
      <c r="F829" s="297"/>
    </row>
    <row r="830" spans="1:6" x14ac:dyDescent="0.3">
      <c r="A830" s="40"/>
      <c r="B830" s="281" t="s">
        <v>863</v>
      </c>
      <c r="C830" s="281">
        <v>2654</v>
      </c>
      <c r="D830" s="297"/>
      <c r="E830" s="297"/>
      <c r="F830" s="297"/>
    </row>
    <row r="831" spans="1:6" x14ac:dyDescent="0.3">
      <c r="A831" s="40"/>
      <c r="B831" s="281" t="s">
        <v>864</v>
      </c>
      <c r="C831" s="281">
        <v>2655</v>
      </c>
      <c r="D831" s="297"/>
      <c r="E831" s="297"/>
      <c r="F831" s="297"/>
    </row>
    <row r="832" spans="1:6" x14ac:dyDescent="0.3">
      <c r="A832" s="40"/>
      <c r="B832" s="281" t="s">
        <v>865</v>
      </c>
      <c r="C832" s="281">
        <v>2653</v>
      </c>
      <c r="D832" s="297"/>
      <c r="E832" s="297"/>
      <c r="F832" s="297"/>
    </row>
    <row r="833" spans="1:6" x14ac:dyDescent="0.3">
      <c r="A833" s="40"/>
      <c r="B833" s="281" t="s">
        <v>866</v>
      </c>
      <c r="C833" s="281">
        <v>1333</v>
      </c>
      <c r="D833" s="297"/>
      <c r="E833" s="297"/>
      <c r="F833" s="297"/>
    </row>
    <row r="834" spans="1:6" x14ac:dyDescent="0.3">
      <c r="A834" s="40"/>
      <c r="B834" s="281" t="s">
        <v>867</v>
      </c>
      <c r="C834" s="281">
        <v>1332</v>
      </c>
      <c r="D834" s="297"/>
      <c r="E834" s="297"/>
      <c r="F834" s="297"/>
    </row>
    <row r="835" spans="1:6" x14ac:dyDescent="0.3">
      <c r="A835" s="40"/>
      <c r="B835" s="281" t="s">
        <v>868</v>
      </c>
      <c r="C835" s="281">
        <v>1335</v>
      </c>
      <c r="D835" s="297"/>
      <c r="E835" s="297"/>
      <c r="F835" s="297"/>
    </row>
    <row r="836" spans="1:6" x14ac:dyDescent="0.3">
      <c r="A836" s="40"/>
      <c r="B836" s="281" t="s">
        <v>869</v>
      </c>
      <c r="C836" s="281">
        <v>2652</v>
      </c>
      <c r="D836" s="297"/>
      <c r="E836" s="297"/>
      <c r="F836" s="297"/>
    </row>
    <row r="837" spans="1:6" x14ac:dyDescent="0.3">
      <c r="A837" s="40"/>
      <c r="B837" s="281" t="s">
        <v>870</v>
      </c>
      <c r="C837" s="281">
        <v>2935</v>
      </c>
      <c r="D837" s="297"/>
      <c r="E837" s="297"/>
      <c r="F837" s="297"/>
    </row>
    <row r="838" spans="1:6" x14ac:dyDescent="0.3">
      <c r="A838" s="40"/>
      <c r="B838" s="281" t="s">
        <v>871</v>
      </c>
      <c r="C838" s="281">
        <v>2906</v>
      </c>
      <c r="D838" s="297"/>
      <c r="E838" s="297"/>
      <c r="F838" s="297"/>
    </row>
    <row r="839" spans="1:6" x14ac:dyDescent="0.3">
      <c r="A839" s="40"/>
      <c r="B839" s="281" t="s">
        <v>872</v>
      </c>
      <c r="C839" s="281">
        <v>2975</v>
      </c>
      <c r="D839" s="297"/>
      <c r="E839" s="297"/>
      <c r="F839" s="297"/>
    </row>
    <row r="840" spans="1:6" x14ac:dyDescent="0.3">
      <c r="A840" s="40"/>
      <c r="B840" s="281" t="s">
        <v>873</v>
      </c>
      <c r="C840" s="281">
        <v>2972</v>
      </c>
      <c r="D840" s="297"/>
      <c r="E840" s="297"/>
      <c r="F840" s="297"/>
    </row>
    <row r="841" spans="1:6" x14ac:dyDescent="0.3">
      <c r="A841" s="40"/>
      <c r="B841" s="281" t="s">
        <v>874</v>
      </c>
      <c r="C841" s="281">
        <v>2680</v>
      </c>
      <c r="D841" s="297"/>
      <c r="E841" s="297"/>
      <c r="F841" s="297"/>
    </row>
    <row r="842" spans="1:6" x14ac:dyDescent="0.3">
      <c r="A842" s="40"/>
      <c r="B842" s="281" t="s">
        <v>875</v>
      </c>
      <c r="C842" s="281">
        <v>1340</v>
      </c>
      <c r="D842" s="297"/>
      <c r="E842" s="297"/>
      <c r="F842" s="297"/>
    </row>
    <row r="843" spans="1:6" x14ac:dyDescent="0.3">
      <c r="A843" s="40"/>
      <c r="B843" s="281" t="s">
        <v>876</v>
      </c>
      <c r="C843" s="281">
        <v>2911</v>
      </c>
      <c r="D843" s="297"/>
      <c r="E843" s="297"/>
      <c r="F843" s="297"/>
    </row>
    <row r="844" spans="1:6" x14ac:dyDescent="0.3">
      <c r="A844" s="40"/>
      <c r="B844" s="281" t="s">
        <v>877</v>
      </c>
      <c r="C844" s="281">
        <v>2681</v>
      </c>
      <c r="D844" s="297"/>
      <c r="E844" s="297"/>
      <c r="F844" s="297"/>
    </row>
    <row r="845" spans="1:6" x14ac:dyDescent="0.3">
      <c r="A845" s="40"/>
      <c r="B845" s="281" t="s">
        <v>878</v>
      </c>
      <c r="C845" s="281">
        <v>2658</v>
      </c>
      <c r="D845" s="297"/>
      <c r="E845" s="297"/>
      <c r="F845" s="297"/>
    </row>
    <row r="846" spans="1:6" x14ac:dyDescent="0.3">
      <c r="A846" s="40"/>
      <c r="B846" s="281" t="s">
        <v>879</v>
      </c>
      <c r="C846" s="281">
        <v>622</v>
      </c>
      <c r="D846" s="297"/>
      <c r="E846" s="297"/>
      <c r="F846" s="297"/>
    </row>
    <row r="847" spans="1:6" x14ac:dyDescent="0.3">
      <c r="A847" s="40"/>
      <c r="B847" s="281" t="s">
        <v>880</v>
      </c>
      <c r="C847" s="281">
        <v>2901</v>
      </c>
      <c r="D847" s="297"/>
      <c r="E847" s="297"/>
      <c r="F847" s="297"/>
    </row>
    <row r="848" spans="1:6" x14ac:dyDescent="0.3">
      <c r="A848" s="40"/>
      <c r="B848" s="281" t="s">
        <v>881</v>
      </c>
      <c r="C848" s="281">
        <v>1872</v>
      </c>
      <c r="D848" s="297"/>
      <c r="E848" s="297"/>
      <c r="F848" s="297"/>
    </row>
    <row r="849" spans="1:6" x14ac:dyDescent="0.3">
      <c r="A849" s="40"/>
      <c r="B849" s="281" t="s">
        <v>882</v>
      </c>
      <c r="C849" s="281">
        <v>2651</v>
      </c>
      <c r="D849" s="297"/>
      <c r="E849" s="297"/>
      <c r="F849" s="297"/>
    </row>
    <row r="850" spans="1:6" x14ac:dyDescent="0.3">
      <c r="A850" s="40"/>
      <c r="B850" s="281" t="s">
        <v>883</v>
      </c>
      <c r="C850" s="281">
        <v>2768</v>
      </c>
      <c r="D850" s="297"/>
      <c r="E850" s="297"/>
      <c r="F850" s="297"/>
    </row>
    <row r="851" spans="1:6" x14ac:dyDescent="0.3">
      <c r="A851" s="40"/>
      <c r="B851" s="281" t="s">
        <v>884</v>
      </c>
      <c r="C851" s="281">
        <v>2656</v>
      </c>
      <c r="D851" s="297"/>
      <c r="E851" s="297"/>
      <c r="F851" s="297"/>
    </row>
    <row r="852" spans="1:6" x14ac:dyDescent="0.3">
      <c r="A852" s="40"/>
      <c r="B852" s="281" t="s">
        <v>885</v>
      </c>
      <c r="C852" s="281">
        <v>2922</v>
      </c>
      <c r="D852" s="297"/>
      <c r="E852" s="297"/>
      <c r="F852" s="297"/>
    </row>
    <row r="853" spans="1:6" x14ac:dyDescent="0.3">
      <c r="A853" s="40"/>
      <c r="B853" s="281" t="s">
        <v>886</v>
      </c>
      <c r="C853" s="281">
        <v>2913</v>
      </c>
      <c r="D853" s="297"/>
      <c r="E853" s="297"/>
      <c r="F853" s="297"/>
    </row>
    <row r="854" spans="1:6" x14ac:dyDescent="0.3">
      <c r="A854" s="40"/>
      <c r="B854" s="281" t="s">
        <v>887</v>
      </c>
      <c r="C854" s="281">
        <v>814</v>
      </c>
      <c r="D854" s="297"/>
      <c r="E854" s="297"/>
      <c r="F854" s="297"/>
    </row>
    <row r="855" spans="1:6" x14ac:dyDescent="0.3">
      <c r="A855" s="40"/>
      <c r="B855" s="281" t="s">
        <v>888</v>
      </c>
      <c r="C855" s="281">
        <v>2912</v>
      </c>
      <c r="D855" s="297"/>
      <c r="E855" s="297"/>
      <c r="F855" s="297"/>
    </row>
    <row r="856" spans="1:6" x14ac:dyDescent="0.3">
      <c r="A856" s="40"/>
      <c r="B856" s="281" t="s">
        <v>889</v>
      </c>
      <c r="C856" s="281">
        <v>1341</v>
      </c>
      <c r="D856" s="297"/>
      <c r="E856" s="297"/>
      <c r="F856" s="297"/>
    </row>
    <row r="857" spans="1:6" x14ac:dyDescent="0.3">
      <c r="A857" s="40"/>
      <c r="B857" s="281" t="s">
        <v>890</v>
      </c>
      <c r="C857" s="281">
        <v>2767</v>
      </c>
      <c r="D857" s="297"/>
      <c r="E857" s="297"/>
      <c r="F857" s="297"/>
    </row>
    <row r="858" spans="1:6" x14ac:dyDescent="0.3">
      <c r="A858" s="40"/>
      <c r="B858" s="281" t="s">
        <v>891</v>
      </c>
      <c r="C858" s="281">
        <v>2657</v>
      </c>
      <c r="D858" s="297"/>
      <c r="E858" s="297"/>
      <c r="F858" s="297"/>
    </row>
    <row r="859" spans="1:6" x14ac:dyDescent="0.3">
      <c r="A859" s="40"/>
      <c r="B859" s="281" t="s">
        <v>892</v>
      </c>
      <c r="C859" s="281">
        <v>2682</v>
      </c>
      <c r="D859" s="297"/>
      <c r="E859" s="297"/>
      <c r="F859" s="297"/>
    </row>
    <row r="860" spans="1:6" x14ac:dyDescent="0.3">
      <c r="A860" s="40"/>
      <c r="B860" s="281" t="s">
        <v>893</v>
      </c>
      <c r="C860" s="281">
        <v>2973</v>
      </c>
      <c r="D860" s="297"/>
      <c r="E860" s="297"/>
      <c r="F860" s="297"/>
    </row>
    <row r="861" spans="1:6" x14ac:dyDescent="0.3">
      <c r="A861" s="40"/>
      <c r="B861" s="281" t="s">
        <v>894</v>
      </c>
      <c r="C861" s="281">
        <v>2659</v>
      </c>
      <c r="D861" s="297"/>
      <c r="E861" s="297"/>
      <c r="F861" s="297"/>
    </row>
    <row r="862" spans="1:6" x14ac:dyDescent="0.3">
      <c r="A862" s="40"/>
      <c r="B862" s="281" t="s">
        <v>895</v>
      </c>
      <c r="C862" s="281">
        <v>1334</v>
      </c>
      <c r="D862" s="297"/>
      <c r="E862" s="297"/>
      <c r="F862" s="297"/>
    </row>
    <row r="863" spans="1:6" x14ac:dyDescent="0.3">
      <c r="A863" s="40"/>
      <c r="B863" s="281" t="s">
        <v>896</v>
      </c>
      <c r="C863" s="281">
        <v>1342</v>
      </c>
      <c r="D863" s="297"/>
      <c r="E863" s="297"/>
      <c r="F863" s="297"/>
    </row>
    <row r="864" spans="1:6" x14ac:dyDescent="0.3">
      <c r="A864" s="40"/>
      <c r="B864" s="281" t="s">
        <v>897</v>
      </c>
      <c r="C864" s="281">
        <v>1343</v>
      </c>
      <c r="D864" s="297"/>
      <c r="E864" s="297"/>
      <c r="F864" s="297"/>
    </row>
    <row r="865" spans="1:6" x14ac:dyDescent="0.3">
      <c r="A865" s="40"/>
      <c r="B865" s="281" t="s">
        <v>898</v>
      </c>
      <c r="C865" s="281">
        <v>1347</v>
      </c>
      <c r="D865" s="297"/>
      <c r="E865" s="297"/>
      <c r="F865" s="297"/>
    </row>
    <row r="866" spans="1:6" x14ac:dyDescent="0.3">
      <c r="A866" s="40"/>
      <c r="B866" s="281" t="s">
        <v>899</v>
      </c>
      <c r="C866" s="281">
        <v>1337</v>
      </c>
      <c r="D866" s="297"/>
      <c r="E866" s="297"/>
      <c r="F866" s="297"/>
    </row>
    <row r="867" spans="1:6" x14ac:dyDescent="0.3">
      <c r="A867" s="40"/>
      <c r="B867" s="281" t="s">
        <v>900</v>
      </c>
      <c r="C867" s="281">
        <v>1028</v>
      </c>
      <c r="D867" s="297"/>
      <c r="E867" s="297"/>
      <c r="F867" s="297"/>
    </row>
    <row r="868" spans="1:6" x14ac:dyDescent="0.3">
      <c r="A868" s="40"/>
      <c r="B868" s="281" t="s">
        <v>901</v>
      </c>
      <c r="C868" s="281">
        <v>1338</v>
      </c>
      <c r="D868" s="297"/>
      <c r="E868" s="297"/>
      <c r="F868" s="297"/>
    </row>
    <row r="869" spans="1:6" x14ac:dyDescent="0.3">
      <c r="A869" s="40"/>
      <c r="B869" s="281" t="s">
        <v>902</v>
      </c>
      <c r="C869" s="281">
        <v>1382</v>
      </c>
      <c r="D869" s="297"/>
      <c r="E869" s="297"/>
      <c r="F869" s="297"/>
    </row>
    <row r="870" spans="1:6" x14ac:dyDescent="0.3">
      <c r="A870" s="40"/>
      <c r="B870" s="281" t="s">
        <v>903</v>
      </c>
      <c r="C870" s="281">
        <v>1336</v>
      </c>
      <c r="D870" s="297"/>
      <c r="E870" s="297"/>
      <c r="F870" s="297"/>
    </row>
    <row r="871" spans="1:6" x14ac:dyDescent="0.3">
      <c r="A871" s="40"/>
      <c r="B871" s="281" t="s">
        <v>904</v>
      </c>
      <c r="C871" s="281">
        <v>593</v>
      </c>
      <c r="D871" s="297"/>
      <c r="E871" s="297"/>
      <c r="F871" s="297"/>
    </row>
    <row r="872" spans="1:6" x14ac:dyDescent="0.3">
      <c r="A872" s="40" t="s">
        <v>905</v>
      </c>
      <c r="B872" s="281"/>
      <c r="C872" s="281"/>
      <c r="D872" s="297"/>
      <c r="E872" s="297"/>
      <c r="F872" s="297"/>
    </row>
    <row r="873" spans="1:6" x14ac:dyDescent="0.3">
      <c r="A873" s="40"/>
      <c r="B873" s="281" t="s">
        <v>906</v>
      </c>
      <c r="C873" s="281">
        <v>2020</v>
      </c>
      <c r="D873" s="297"/>
      <c r="E873" s="297"/>
      <c r="F873" s="297"/>
    </row>
    <row r="874" spans="1:6" x14ac:dyDescent="0.3">
      <c r="A874" s="40"/>
      <c r="B874" s="281" t="s">
        <v>907</v>
      </c>
      <c r="C874" s="281">
        <v>1855</v>
      </c>
      <c r="D874" s="297"/>
      <c r="E874" s="297"/>
      <c r="F874" s="297"/>
    </row>
    <row r="875" spans="1:6" x14ac:dyDescent="0.3">
      <c r="A875" s="40"/>
      <c r="B875" s="281" t="s">
        <v>908</v>
      </c>
      <c r="C875" s="281">
        <v>1019</v>
      </c>
      <c r="D875" s="297"/>
      <c r="E875" s="297"/>
      <c r="F875" s="297"/>
    </row>
    <row r="876" spans="1:6" x14ac:dyDescent="0.3">
      <c r="A876" s="40"/>
      <c r="B876" s="281" t="s">
        <v>909</v>
      </c>
      <c r="C876" s="281">
        <v>950</v>
      </c>
      <c r="D876" s="297"/>
      <c r="E876" s="297"/>
      <c r="F876" s="297"/>
    </row>
    <row r="877" spans="1:6" x14ac:dyDescent="0.3">
      <c r="A877" s="40"/>
      <c r="B877" s="281" t="s">
        <v>910</v>
      </c>
      <c r="C877" s="281">
        <v>952</v>
      </c>
      <c r="D877" s="297"/>
      <c r="E877" s="297"/>
      <c r="F877" s="297"/>
    </row>
    <row r="878" spans="1:6" x14ac:dyDescent="0.3">
      <c r="A878" s="40"/>
      <c r="B878" s="281" t="s">
        <v>911</v>
      </c>
      <c r="C878" s="281">
        <v>951</v>
      </c>
      <c r="D878" s="297"/>
      <c r="E878" s="297"/>
      <c r="F878" s="297"/>
    </row>
    <row r="879" spans="1:6" x14ac:dyDescent="0.3">
      <c r="A879" s="40"/>
      <c r="B879" s="281" t="s">
        <v>912</v>
      </c>
      <c r="C879" s="281">
        <v>941</v>
      </c>
      <c r="D879" s="297"/>
      <c r="E879" s="297"/>
      <c r="F879" s="297"/>
    </row>
    <row r="880" spans="1:6" x14ac:dyDescent="0.3">
      <c r="A880" s="40"/>
      <c r="B880" s="281" t="s">
        <v>913</v>
      </c>
      <c r="C880" s="281">
        <v>2530</v>
      </c>
      <c r="D880" s="297"/>
      <c r="E880" s="297"/>
      <c r="F880" s="297"/>
    </row>
    <row r="881" spans="1:6" x14ac:dyDescent="0.3">
      <c r="A881" s="40"/>
      <c r="B881" s="281" t="s">
        <v>914</v>
      </c>
      <c r="C881" s="281">
        <v>1001</v>
      </c>
      <c r="D881" s="297"/>
      <c r="E881" s="297"/>
      <c r="F881" s="297"/>
    </row>
    <row r="882" spans="1:6" x14ac:dyDescent="0.3">
      <c r="A882" s="40"/>
      <c r="B882" s="281" t="s">
        <v>915</v>
      </c>
      <c r="C882" s="281">
        <v>942</v>
      </c>
      <c r="D882" s="297"/>
      <c r="E882" s="297"/>
      <c r="F882" s="297"/>
    </row>
    <row r="883" spans="1:6" x14ac:dyDescent="0.3">
      <c r="A883" s="40"/>
      <c r="B883" s="281" t="s">
        <v>916</v>
      </c>
      <c r="C883" s="281">
        <v>944</v>
      </c>
      <c r="D883" s="297"/>
      <c r="E883" s="297"/>
      <c r="F883" s="297"/>
    </row>
    <row r="884" spans="1:6" x14ac:dyDescent="0.3">
      <c r="A884" s="40"/>
      <c r="B884" s="281" t="s">
        <v>917</v>
      </c>
      <c r="C884" s="281">
        <v>610</v>
      </c>
      <c r="D884" s="297"/>
      <c r="E884" s="297"/>
      <c r="F884" s="297"/>
    </row>
    <row r="885" spans="1:6" x14ac:dyDescent="0.3">
      <c r="A885" s="40"/>
      <c r="B885" s="281" t="s">
        <v>918</v>
      </c>
      <c r="C885" s="281">
        <v>947</v>
      </c>
      <c r="D885" s="297"/>
      <c r="E885" s="297"/>
      <c r="F885" s="297"/>
    </row>
    <row r="886" spans="1:6" x14ac:dyDescent="0.3">
      <c r="A886" s="40"/>
      <c r="B886" s="281" t="s">
        <v>539</v>
      </c>
      <c r="C886" s="281">
        <v>1968</v>
      </c>
      <c r="D886" s="297"/>
      <c r="E886" s="297"/>
      <c r="F886" s="297"/>
    </row>
    <row r="887" spans="1:6" x14ac:dyDescent="0.3">
      <c r="A887" s="40"/>
      <c r="B887" s="281" t="s">
        <v>919</v>
      </c>
      <c r="C887" s="281">
        <v>946</v>
      </c>
      <c r="D887" s="297"/>
      <c r="E887" s="297"/>
      <c r="F887" s="297"/>
    </row>
    <row r="888" spans="1:6" x14ac:dyDescent="0.3">
      <c r="A888" s="40"/>
      <c r="B888" s="281" t="s">
        <v>920</v>
      </c>
      <c r="C888" s="281">
        <v>609</v>
      </c>
      <c r="D888" s="297"/>
      <c r="E888" s="297"/>
      <c r="F888" s="297"/>
    </row>
    <row r="889" spans="1:6" x14ac:dyDescent="0.3">
      <c r="A889" s="40"/>
      <c r="B889" s="281" t="s">
        <v>921</v>
      </c>
      <c r="C889" s="281">
        <v>939</v>
      </c>
      <c r="D889" s="297"/>
      <c r="E889" s="297"/>
      <c r="F889" s="297"/>
    </row>
    <row r="890" spans="1:6" x14ac:dyDescent="0.3">
      <c r="A890" s="40"/>
      <c r="B890" s="281" t="s">
        <v>922</v>
      </c>
      <c r="C890" s="281">
        <v>2796</v>
      </c>
      <c r="D890" s="297"/>
      <c r="E890" s="297"/>
      <c r="F890" s="297"/>
    </row>
    <row r="891" spans="1:6" x14ac:dyDescent="0.3">
      <c r="A891" s="40"/>
      <c r="B891" s="281" t="s">
        <v>923</v>
      </c>
      <c r="C891" s="281">
        <v>2535</v>
      </c>
      <c r="D891" s="297"/>
      <c r="E891" s="297"/>
      <c r="F891" s="297"/>
    </row>
    <row r="892" spans="1:6" x14ac:dyDescent="0.3">
      <c r="A892" s="40"/>
      <c r="B892" s="281" t="s">
        <v>924</v>
      </c>
      <c r="C892" s="281">
        <v>1290</v>
      </c>
      <c r="D892" s="297"/>
      <c r="E892" s="297"/>
      <c r="F892" s="297"/>
    </row>
    <row r="893" spans="1:6" x14ac:dyDescent="0.3">
      <c r="A893" s="40"/>
      <c r="B893" s="281" t="s">
        <v>925</v>
      </c>
      <c r="C893" s="281">
        <v>937</v>
      </c>
      <c r="D893" s="297"/>
      <c r="E893" s="297"/>
      <c r="F893" s="297"/>
    </row>
    <row r="894" spans="1:6" x14ac:dyDescent="0.3">
      <c r="A894" s="40"/>
      <c r="B894" s="281" t="s">
        <v>926</v>
      </c>
      <c r="C894" s="281">
        <v>940</v>
      </c>
      <c r="D894" s="297"/>
      <c r="E894" s="297"/>
      <c r="F894" s="297"/>
    </row>
    <row r="895" spans="1:6" x14ac:dyDescent="0.3">
      <c r="A895" s="40"/>
      <c r="B895" s="281" t="s">
        <v>927</v>
      </c>
      <c r="C895" s="281">
        <v>943</v>
      </c>
      <c r="D895" s="297"/>
      <c r="E895" s="297"/>
      <c r="F895" s="297"/>
    </row>
    <row r="896" spans="1:6" x14ac:dyDescent="0.3">
      <c r="A896" s="40"/>
      <c r="B896" s="281" t="s">
        <v>928</v>
      </c>
      <c r="C896" s="281">
        <v>949</v>
      </c>
      <c r="D896" s="297"/>
      <c r="E896" s="297"/>
      <c r="F896" s="297"/>
    </row>
    <row r="897" spans="1:6" x14ac:dyDescent="0.3">
      <c r="A897" s="40"/>
      <c r="B897" s="281" t="s">
        <v>929</v>
      </c>
      <c r="C897" s="281">
        <v>938</v>
      </c>
      <c r="D897" s="297"/>
      <c r="E897" s="297"/>
      <c r="F897" s="297"/>
    </row>
    <row r="898" spans="1:6" x14ac:dyDescent="0.3">
      <c r="A898" s="40"/>
      <c r="B898" s="281" t="s">
        <v>930</v>
      </c>
      <c r="C898" s="281">
        <v>948</v>
      </c>
      <c r="D898" s="297"/>
      <c r="E898" s="297"/>
      <c r="F898" s="297"/>
    </row>
    <row r="899" spans="1:6" x14ac:dyDescent="0.3">
      <c r="A899" s="40"/>
      <c r="B899" s="281" t="s">
        <v>931</v>
      </c>
      <c r="C899" s="281">
        <v>1002</v>
      </c>
      <c r="D899" s="297"/>
      <c r="E899" s="297"/>
      <c r="F899" s="297"/>
    </row>
    <row r="900" spans="1:6" x14ac:dyDescent="0.3">
      <c r="A900" s="40"/>
      <c r="B900" s="281" t="s">
        <v>932</v>
      </c>
      <c r="C900" s="281">
        <v>591</v>
      </c>
      <c r="D900" s="297"/>
      <c r="E900" s="297"/>
      <c r="F900" s="297"/>
    </row>
    <row r="901" spans="1:6" x14ac:dyDescent="0.3">
      <c r="A901" s="40"/>
      <c r="B901" s="281" t="s">
        <v>933</v>
      </c>
      <c r="C901" s="281">
        <v>608</v>
      </c>
      <c r="D901" s="297"/>
      <c r="E901" s="297"/>
      <c r="F901" s="297"/>
    </row>
    <row r="902" spans="1:6" ht="31.2" x14ac:dyDescent="0.3">
      <c r="A902" s="40" t="s">
        <v>934</v>
      </c>
      <c r="B902" s="281"/>
      <c r="C902" s="281"/>
      <c r="D902" s="297"/>
      <c r="E902" s="297"/>
      <c r="F902" s="297"/>
    </row>
    <row r="903" spans="1:6" x14ac:dyDescent="0.3">
      <c r="A903" s="40"/>
      <c r="B903" s="281" t="s">
        <v>935</v>
      </c>
      <c r="C903" s="281">
        <v>1709</v>
      </c>
      <c r="D903" s="297"/>
      <c r="E903" s="297"/>
      <c r="F903" s="297"/>
    </row>
    <row r="904" spans="1:6" x14ac:dyDescent="0.3">
      <c r="A904" s="40"/>
      <c r="B904" s="281" t="s">
        <v>936</v>
      </c>
      <c r="C904" s="281">
        <v>1708</v>
      </c>
      <c r="D904" s="297"/>
      <c r="E904" s="297"/>
      <c r="F904" s="297"/>
    </row>
    <row r="905" spans="1:6" x14ac:dyDescent="0.3">
      <c r="A905" s="40"/>
      <c r="B905" s="281" t="s">
        <v>937</v>
      </c>
      <c r="C905" s="281">
        <v>1310</v>
      </c>
      <c r="D905" s="297"/>
      <c r="E905" s="297"/>
      <c r="F905" s="297"/>
    </row>
    <row r="906" spans="1:6" x14ac:dyDescent="0.3">
      <c r="A906" s="40"/>
      <c r="B906" s="281" t="s">
        <v>938</v>
      </c>
      <c r="C906" s="281">
        <v>1311</v>
      </c>
      <c r="D906" s="297"/>
      <c r="E906" s="297"/>
      <c r="F906" s="297"/>
    </row>
    <row r="907" spans="1:6" x14ac:dyDescent="0.3">
      <c r="A907" s="40"/>
      <c r="B907" s="281" t="s">
        <v>939</v>
      </c>
      <c r="C907" s="281">
        <v>2951</v>
      </c>
      <c r="D907" s="297"/>
      <c r="E907" s="297"/>
      <c r="F907" s="297"/>
    </row>
    <row r="908" spans="1:6" x14ac:dyDescent="0.3">
      <c r="A908" s="40"/>
      <c r="B908" s="281" t="s">
        <v>940</v>
      </c>
      <c r="C908" s="281">
        <v>1314</v>
      </c>
      <c r="D908" s="297"/>
      <c r="E908" s="297"/>
      <c r="F908" s="297"/>
    </row>
    <row r="909" spans="1:6" x14ac:dyDescent="0.3">
      <c r="A909" s="40"/>
      <c r="B909" s="281" t="s">
        <v>941</v>
      </c>
      <c r="C909" s="281">
        <v>1389</v>
      </c>
      <c r="D909" s="297"/>
      <c r="E909" s="297"/>
      <c r="F909" s="297"/>
    </row>
    <row r="910" spans="1:6" x14ac:dyDescent="0.3">
      <c r="A910" s="40"/>
      <c r="B910" s="281" t="s">
        <v>942</v>
      </c>
      <c r="C910" s="281">
        <v>625</v>
      </c>
      <c r="D910" s="297"/>
      <c r="E910" s="297"/>
      <c r="F910" s="297"/>
    </row>
    <row r="911" spans="1:6" x14ac:dyDescent="0.3">
      <c r="A911" s="40"/>
      <c r="B911" s="281" t="s">
        <v>943</v>
      </c>
      <c r="C911" s="281">
        <v>1860</v>
      </c>
      <c r="D911" s="297"/>
      <c r="E911" s="297"/>
      <c r="F911" s="297"/>
    </row>
    <row r="912" spans="1:6" x14ac:dyDescent="0.3">
      <c r="A912" s="40"/>
      <c r="B912" s="281" t="s">
        <v>944</v>
      </c>
      <c r="C912" s="281">
        <v>1309</v>
      </c>
      <c r="D912" s="297"/>
      <c r="E912" s="297"/>
      <c r="F912" s="297"/>
    </row>
    <row r="913" spans="1:6" x14ac:dyDescent="0.3">
      <c r="A913" s="40"/>
      <c r="B913" s="281" t="s">
        <v>710</v>
      </c>
      <c r="C913" s="281">
        <v>976</v>
      </c>
      <c r="D913" s="297"/>
      <c r="E913" s="297"/>
      <c r="F913" s="297"/>
    </row>
    <row r="914" spans="1:6" x14ac:dyDescent="0.3">
      <c r="A914" s="40"/>
      <c r="B914" s="281" t="s">
        <v>945</v>
      </c>
      <c r="C914" s="281">
        <v>1308</v>
      </c>
      <c r="D914" s="297"/>
      <c r="E914" s="297"/>
      <c r="F914" s="297"/>
    </row>
    <row r="915" spans="1:6" x14ac:dyDescent="0.3">
      <c r="A915" s="40"/>
      <c r="B915" s="281" t="s">
        <v>946</v>
      </c>
      <c r="C915" s="281">
        <v>2964</v>
      </c>
      <c r="D915" s="297"/>
      <c r="E915" s="297"/>
      <c r="F915" s="297"/>
    </row>
    <row r="916" spans="1:6" x14ac:dyDescent="0.3">
      <c r="A916" s="40"/>
      <c r="B916" s="281" t="s">
        <v>947</v>
      </c>
      <c r="C916" s="281">
        <v>2691</v>
      </c>
      <c r="D916" s="297"/>
      <c r="E916" s="297"/>
      <c r="F916" s="297"/>
    </row>
    <row r="917" spans="1:6" x14ac:dyDescent="0.3">
      <c r="A917" s="40"/>
      <c r="B917" s="281" t="s">
        <v>948</v>
      </c>
      <c r="C917" s="281">
        <v>1809</v>
      </c>
      <c r="D917" s="297"/>
      <c r="E917" s="297"/>
      <c r="F917" s="297"/>
    </row>
    <row r="918" spans="1:6" x14ac:dyDescent="0.3">
      <c r="A918" s="40"/>
      <c r="B918" s="281" t="s">
        <v>949</v>
      </c>
      <c r="C918" s="281">
        <v>1940</v>
      </c>
      <c r="D918" s="297"/>
      <c r="E918" s="297"/>
      <c r="F918" s="297"/>
    </row>
    <row r="919" spans="1:6" x14ac:dyDescent="0.3">
      <c r="A919" s="40"/>
      <c r="B919" s="281" t="s">
        <v>950</v>
      </c>
      <c r="C919" s="281">
        <v>1313</v>
      </c>
      <c r="D919" s="297"/>
      <c r="E919" s="297"/>
      <c r="F919" s="297"/>
    </row>
    <row r="920" spans="1:6" x14ac:dyDescent="0.3">
      <c r="A920" s="40"/>
      <c r="B920" s="281" t="s">
        <v>951</v>
      </c>
      <c r="C920" s="281">
        <v>1307</v>
      </c>
      <c r="D920" s="297"/>
      <c r="E920" s="297"/>
      <c r="F920" s="297"/>
    </row>
    <row r="921" spans="1:6" x14ac:dyDescent="0.3">
      <c r="A921" s="40"/>
      <c r="B921" s="281" t="s">
        <v>952</v>
      </c>
      <c r="C921" s="281">
        <v>1305</v>
      </c>
      <c r="D921" s="297"/>
      <c r="E921" s="297"/>
      <c r="F921" s="297"/>
    </row>
    <row r="922" spans="1:6" x14ac:dyDescent="0.3">
      <c r="A922" s="40"/>
      <c r="B922" s="281" t="s">
        <v>953</v>
      </c>
      <c r="C922" s="281">
        <v>690</v>
      </c>
      <c r="D922" s="297"/>
      <c r="E922" s="297"/>
      <c r="F922" s="297"/>
    </row>
    <row r="923" spans="1:6" x14ac:dyDescent="0.3">
      <c r="A923" s="40"/>
      <c r="B923" s="281" t="s">
        <v>954</v>
      </c>
      <c r="C923" s="281">
        <v>1317</v>
      </c>
      <c r="D923" s="297"/>
      <c r="E923" s="297"/>
      <c r="F923" s="297"/>
    </row>
    <row r="924" spans="1:6" x14ac:dyDescent="0.3">
      <c r="A924" s="40"/>
      <c r="B924" s="281" t="s">
        <v>955</v>
      </c>
      <c r="C924" s="281">
        <v>1315</v>
      </c>
      <c r="D924" s="297"/>
      <c r="E924" s="297"/>
      <c r="F924" s="297"/>
    </row>
    <row r="925" spans="1:6" x14ac:dyDescent="0.3">
      <c r="A925" s="40"/>
      <c r="B925" s="281" t="s">
        <v>956</v>
      </c>
      <c r="C925" s="281">
        <v>1247</v>
      </c>
      <c r="D925" s="297"/>
      <c r="E925" s="297"/>
      <c r="F925" s="297"/>
    </row>
    <row r="926" spans="1:6" x14ac:dyDescent="0.3">
      <c r="A926" s="40"/>
      <c r="B926" s="281" t="s">
        <v>957</v>
      </c>
      <c r="C926" s="281">
        <v>1354</v>
      </c>
      <c r="D926" s="297"/>
      <c r="E926" s="297"/>
      <c r="F926" s="297"/>
    </row>
    <row r="927" spans="1:6" x14ac:dyDescent="0.3">
      <c r="A927" s="40"/>
      <c r="B927" s="281" t="s">
        <v>958</v>
      </c>
      <c r="C927" s="281">
        <v>691</v>
      </c>
      <c r="D927" s="297"/>
      <c r="E927" s="297"/>
      <c r="F927" s="297"/>
    </row>
    <row r="928" spans="1:6" x14ac:dyDescent="0.3">
      <c r="A928" s="40"/>
      <c r="B928" s="281" t="s">
        <v>959</v>
      </c>
      <c r="C928" s="281">
        <v>1306</v>
      </c>
      <c r="D928" s="297"/>
      <c r="E928" s="297"/>
      <c r="F928" s="297"/>
    </row>
    <row r="929" spans="1:6" x14ac:dyDescent="0.3">
      <c r="A929" s="40"/>
      <c r="B929" s="281" t="s">
        <v>960</v>
      </c>
      <c r="C929" s="281">
        <v>1316</v>
      </c>
      <c r="D929" s="297"/>
      <c r="E929" s="297"/>
      <c r="F929" s="297"/>
    </row>
    <row r="930" spans="1:6" x14ac:dyDescent="0.3">
      <c r="A930" s="40"/>
      <c r="B930" s="281" t="s">
        <v>961</v>
      </c>
      <c r="C930" s="281">
        <v>1246</v>
      </c>
      <c r="D930" s="297"/>
      <c r="E930" s="297"/>
      <c r="F930" s="297"/>
    </row>
    <row r="931" spans="1:6" x14ac:dyDescent="0.3">
      <c r="A931" s="40"/>
      <c r="B931" s="281" t="s">
        <v>880</v>
      </c>
      <c r="C931" s="281">
        <v>2901</v>
      </c>
      <c r="D931" s="297"/>
      <c r="E931" s="297"/>
      <c r="F931" s="297"/>
    </row>
    <row r="932" spans="1:6" x14ac:dyDescent="0.3">
      <c r="A932" s="40"/>
      <c r="B932" s="281" t="s">
        <v>962</v>
      </c>
      <c r="C932" s="281">
        <v>1984</v>
      </c>
      <c r="D932" s="297"/>
      <c r="E932" s="297"/>
      <c r="F932" s="297"/>
    </row>
    <row r="933" spans="1:6" x14ac:dyDescent="0.3">
      <c r="A933" s="40"/>
      <c r="B933" s="281" t="s">
        <v>963</v>
      </c>
      <c r="C933" s="281">
        <v>2000</v>
      </c>
      <c r="D933" s="297"/>
      <c r="E933" s="297"/>
      <c r="F933" s="297"/>
    </row>
    <row r="934" spans="1:6" x14ac:dyDescent="0.3">
      <c r="A934" s="40"/>
      <c r="B934" s="281" t="s">
        <v>964</v>
      </c>
      <c r="C934" s="281">
        <v>624</v>
      </c>
      <c r="D934" s="297"/>
      <c r="E934" s="297"/>
      <c r="F934" s="297"/>
    </row>
    <row r="935" spans="1:6" x14ac:dyDescent="0.3">
      <c r="A935" s="40"/>
      <c r="B935" s="281" t="s">
        <v>965</v>
      </c>
      <c r="C935" s="281">
        <v>2200</v>
      </c>
      <c r="D935" s="297"/>
      <c r="E935" s="297"/>
      <c r="F935" s="297"/>
    </row>
    <row r="936" spans="1:6" x14ac:dyDescent="0.3">
      <c r="A936" s="40"/>
      <c r="B936" s="281" t="s">
        <v>966</v>
      </c>
      <c r="C936" s="281">
        <v>1905</v>
      </c>
      <c r="D936" s="297"/>
      <c r="E936" s="297"/>
      <c r="F936" s="297"/>
    </row>
    <row r="937" spans="1:6" x14ac:dyDescent="0.3">
      <c r="A937" s="40"/>
      <c r="B937" s="281" t="s">
        <v>543</v>
      </c>
      <c r="C937" s="281">
        <v>2899</v>
      </c>
      <c r="D937" s="297"/>
      <c r="E937" s="297"/>
      <c r="F937" s="297"/>
    </row>
    <row r="938" spans="1:6" x14ac:dyDescent="0.3">
      <c r="A938" s="40"/>
      <c r="B938" s="281" t="s">
        <v>967</v>
      </c>
      <c r="C938" s="281">
        <v>2514</v>
      </c>
      <c r="D938" s="297"/>
      <c r="E938" s="297"/>
      <c r="F938" s="297"/>
    </row>
    <row r="939" spans="1:6" x14ac:dyDescent="0.3">
      <c r="A939" s="40"/>
      <c r="B939" s="281" t="s">
        <v>968</v>
      </c>
      <c r="C939" s="281">
        <v>1983</v>
      </c>
      <c r="D939" s="297"/>
      <c r="E939" s="297"/>
      <c r="F939" s="297"/>
    </row>
    <row r="940" spans="1:6" x14ac:dyDescent="0.3">
      <c r="A940" s="40"/>
      <c r="B940" s="281" t="s">
        <v>969</v>
      </c>
      <c r="C940" s="281">
        <v>2791</v>
      </c>
      <c r="D940" s="297"/>
      <c r="E940" s="297"/>
      <c r="F940" s="297"/>
    </row>
    <row r="941" spans="1:6" x14ac:dyDescent="0.3">
      <c r="A941" s="40"/>
      <c r="B941" s="281" t="s">
        <v>546</v>
      </c>
      <c r="C941" s="281">
        <v>2689</v>
      </c>
      <c r="D941" s="297"/>
      <c r="E941" s="297"/>
      <c r="F941" s="297"/>
    </row>
    <row r="942" spans="1:6" x14ac:dyDescent="0.3">
      <c r="A942" s="40"/>
      <c r="B942" s="281" t="s">
        <v>547</v>
      </c>
      <c r="C942" s="281">
        <v>1312</v>
      </c>
      <c r="D942" s="297"/>
      <c r="E942" s="297"/>
      <c r="F942" s="297"/>
    </row>
    <row r="943" spans="1:6" x14ac:dyDescent="0.3">
      <c r="A943" s="40"/>
      <c r="B943" s="281" t="s">
        <v>970</v>
      </c>
      <c r="C943" s="281">
        <v>844</v>
      </c>
      <c r="D943" s="297"/>
      <c r="E943" s="297"/>
      <c r="F943" s="297"/>
    </row>
    <row r="944" spans="1:6" x14ac:dyDescent="0.3">
      <c r="A944" s="40"/>
      <c r="B944" s="281" t="s">
        <v>971</v>
      </c>
      <c r="C944" s="281">
        <v>1906</v>
      </c>
      <c r="D944" s="297"/>
      <c r="E944" s="297"/>
      <c r="F944" s="297"/>
    </row>
    <row r="945" spans="1:6" x14ac:dyDescent="0.3">
      <c r="A945" s="40"/>
      <c r="B945" s="281" t="s">
        <v>972</v>
      </c>
      <c r="C945" s="281">
        <v>1394</v>
      </c>
      <c r="D945" s="297"/>
      <c r="E945" s="297"/>
      <c r="F945" s="297"/>
    </row>
    <row r="946" spans="1:6" x14ac:dyDescent="0.3">
      <c r="A946" s="40"/>
      <c r="B946" s="281" t="s">
        <v>973</v>
      </c>
      <c r="C946" s="281">
        <v>2787</v>
      </c>
      <c r="D946" s="297"/>
      <c r="E946" s="297"/>
      <c r="F946" s="297"/>
    </row>
    <row r="947" spans="1:6" x14ac:dyDescent="0.3">
      <c r="A947" s="40"/>
      <c r="B947" s="281" t="s">
        <v>974</v>
      </c>
      <c r="C947" s="281">
        <v>2707</v>
      </c>
      <c r="D947" s="297"/>
      <c r="E947" s="297"/>
      <c r="F947" s="297"/>
    </row>
    <row r="948" spans="1:6" x14ac:dyDescent="0.3">
      <c r="A948" s="40"/>
      <c r="B948" s="281" t="s">
        <v>975</v>
      </c>
      <c r="C948" s="281">
        <v>1393</v>
      </c>
      <c r="D948" s="297"/>
      <c r="E948" s="297"/>
      <c r="F948" s="297"/>
    </row>
    <row r="949" spans="1:6" x14ac:dyDescent="0.3">
      <c r="A949" s="40"/>
      <c r="B949" s="281" t="s">
        <v>557</v>
      </c>
      <c r="C949" s="281">
        <v>2898</v>
      </c>
      <c r="D949" s="297"/>
      <c r="E949" s="297"/>
      <c r="F949" s="297"/>
    </row>
    <row r="950" spans="1:6" x14ac:dyDescent="0.3">
      <c r="A950" s="40"/>
      <c r="B950" s="281" t="s">
        <v>976</v>
      </c>
      <c r="C950" s="281">
        <v>1302</v>
      </c>
      <c r="D950" s="297"/>
      <c r="E950" s="297"/>
      <c r="F950" s="297"/>
    </row>
    <row r="951" spans="1:6" x14ac:dyDescent="0.3">
      <c r="A951" s="40"/>
      <c r="B951" s="281" t="s">
        <v>977</v>
      </c>
      <c r="C951" s="281">
        <v>2687</v>
      </c>
      <c r="D951" s="297"/>
      <c r="E951" s="297"/>
      <c r="F951" s="297"/>
    </row>
    <row r="952" spans="1:6" x14ac:dyDescent="0.3">
      <c r="A952" s="40"/>
      <c r="B952" s="281" t="s">
        <v>978</v>
      </c>
      <c r="C952" s="281">
        <v>1303</v>
      </c>
      <c r="D952" s="297"/>
      <c r="E952" s="297"/>
      <c r="F952" s="297"/>
    </row>
    <row r="953" spans="1:6" x14ac:dyDescent="0.3">
      <c r="A953" s="40"/>
      <c r="B953" s="281" t="s">
        <v>979</v>
      </c>
      <c r="C953" s="281">
        <v>1304</v>
      </c>
      <c r="D953" s="297"/>
      <c r="E953" s="297"/>
      <c r="F953" s="297"/>
    </row>
    <row r="954" spans="1:6" x14ac:dyDescent="0.3">
      <c r="A954" s="40"/>
      <c r="B954" s="281" t="s">
        <v>980</v>
      </c>
      <c r="C954" s="281">
        <v>16</v>
      </c>
      <c r="D954" s="297"/>
      <c r="E954" s="297"/>
      <c r="F954" s="297"/>
    </row>
    <row r="955" spans="1:6" x14ac:dyDescent="0.3">
      <c r="A955" s="40" t="s">
        <v>981</v>
      </c>
      <c r="B955" s="281"/>
      <c r="C955" s="281"/>
      <c r="D955" s="297"/>
      <c r="E955" s="297"/>
      <c r="F955" s="297"/>
    </row>
    <row r="956" spans="1:6" x14ac:dyDescent="0.3">
      <c r="A956" s="40"/>
      <c r="B956" s="281" t="s">
        <v>982</v>
      </c>
      <c r="C956" s="281">
        <v>735</v>
      </c>
      <c r="D956" s="297"/>
      <c r="E956" s="297"/>
      <c r="F956" s="297"/>
    </row>
    <row r="957" spans="1:6" x14ac:dyDescent="0.3">
      <c r="A957" s="40"/>
      <c r="B957" s="281" t="s">
        <v>983</v>
      </c>
      <c r="C957" s="281">
        <v>2710</v>
      </c>
      <c r="D957" s="297"/>
      <c r="E957" s="297"/>
      <c r="F957" s="297"/>
    </row>
    <row r="958" spans="1:6" x14ac:dyDescent="0.3">
      <c r="A958" s="40"/>
      <c r="B958" s="281" t="s">
        <v>984</v>
      </c>
      <c r="C958" s="281">
        <v>775</v>
      </c>
      <c r="D958" s="297"/>
      <c r="E958" s="297"/>
      <c r="F958" s="297"/>
    </row>
    <row r="959" spans="1:6" x14ac:dyDescent="0.3">
      <c r="A959" s="40"/>
      <c r="B959" s="281" t="s">
        <v>985</v>
      </c>
      <c r="C959" s="281">
        <v>1957</v>
      </c>
      <c r="D959" s="297"/>
      <c r="E959" s="297"/>
      <c r="F959" s="297"/>
    </row>
    <row r="960" spans="1:6" x14ac:dyDescent="0.3">
      <c r="A960" s="40"/>
      <c r="B960" s="281" t="s">
        <v>986</v>
      </c>
      <c r="C960" s="281">
        <v>1358</v>
      </c>
      <c r="D960" s="297"/>
      <c r="E960" s="297"/>
      <c r="F960" s="297"/>
    </row>
    <row r="961" spans="1:6" x14ac:dyDescent="0.3">
      <c r="A961" s="40"/>
      <c r="B961" s="281" t="s">
        <v>987</v>
      </c>
      <c r="C961" s="281">
        <v>1352</v>
      </c>
      <c r="D961" s="297"/>
      <c r="E961" s="297"/>
      <c r="F961" s="297"/>
    </row>
    <row r="962" spans="1:6" x14ac:dyDescent="0.3">
      <c r="A962" s="40"/>
      <c r="B962" s="281" t="s">
        <v>988</v>
      </c>
      <c r="C962" s="281">
        <v>1231</v>
      </c>
      <c r="D962" s="297"/>
      <c r="E962" s="297"/>
      <c r="F962" s="297"/>
    </row>
    <row r="963" spans="1:6" x14ac:dyDescent="0.3">
      <c r="A963" s="40"/>
      <c r="B963" s="281" t="s">
        <v>989</v>
      </c>
      <c r="C963" s="281">
        <v>774</v>
      </c>
      <c r="D963" s="297"/>
      <c r="E963" s="297"/>
      <c r="F963" s="297"/>
    </row>
    <row r="964" spans="1:6" x14ac:dyDescent="0.3">
      <c r="A964" s="40"/>
      <c r="B964" s="281" t="s">
        <v>990</v>
      </c>
      <c r="C964" s="281">
        <v>2649</v>
      </c>
      <c r="D964" s="297"/>
      <c r="E964" s="297"/>
      <c r="F964" s="297"/>
    </row>
    <row r="965" spans="1:6" x14ac:dyDescent="0.3">
      <c r="A965" s="40"/>
      <c r="B965" s="281" t="s">
        <v>991</v>
      </c>
      <c r="C965" s="281">
        <v>1719</v>
      </c>
      <c r="D965" s="297"/>
      <c r="E965" s="297"/>
      <c r="F965" s="297"/>
    </row>
    <row r="966" spans="1:6" x14ac:dyDescent="0.3">
      <c r="A966" s="40"/>
      <c r="B966" s="281" t="s">
        <v>992</v>
      </c>
      <c r="C966" s="281">
        <v>2948</v>
      </c>
      <c r="D966" s="297"/>
      <c r="E966" s="297"/>
      <c r="F966" s="297"/>
    </row>
    <row r="967" spans="1:6" x14ac:dyDescent="0.3">
      <c r="A967" s="40"/>
      <c r="B967" s="281" t="s">
        <v>993</v>
      </c>
      <c r="C967" s="281">
        <v>771</v>
      </c>
      <c r="D967" s="297"/>
      <c r="E967" s="297"/>
      <c r="F967" s="297"/>
    </row>
    <row r="968" spans="1:6" x14ac:dyDescent="0.3">
      <c r="A968" s="40"/>
      <c r="B968" s="281" t="s">
        <v>994</v>
      </c>
      <c r="C968" s="281">
        <v>631</v>
      </c>
      <c r="D968" s="297"/>
      <c r="E968" s="297"/>
      <c r="F968" s="297"/>
    </row>
    <row r="969" spans="1:6" x14ac:dyDescent="0.3">
      <c r="A969" s="40"/>
      <c r="B969" s="281" t="s">
        <v>995</v>
      </c>
      <c r="C969" s="281">
        <v>1327</v>
      </c>
      <c r="D969" s="297"/>
      <c r="E969" s="297"/>
      <c r="F969" s="297"/>
    </row>
    <row r="970" spans="1:6" x14ac:dyDescent="0.3">
      <c r="A970" s="40"/>
      <c r="B970" s="281" t="s">
        <v>996</v>
      </c>
      <c r="C970" s="281">
        <v>2905</v>
      </c>
      <c r="D970" s="297"/>
      <c r="E970" s="297"/>
      <c r="F970" s="297"/>
    </row>
    <row r="971" spans="1:6" x14ac:dyDescent="0.3">
      <c r="A971" s="40"/>
      <c r="B971" s="281" t="s">
        <v>997</v>
      </c>
      <c r="C971" s="281">
        <v>1386</v>
      </c>
      <c r="D971" s="297"/>
      <c r="E971" s="297"/>
      <c r="F971" s="297"/>
    </row>
    <row r="972" spans="1:6" x14ac:dyDescent="0.3">
      <c r="A972" s="40"/>
      <c r="B972" s="281" t="s">
        <v>812</v>
      </c>
      <c r="C972" s="281">
        <v>689</v>
      </c>
      <c r="D972" s="297"/>
      <c r="E972" s="297"/>
      <c r="F972" s="297"/>
    </row>
    <row r="973" spans="1:6" x14ac:dyDescent="0.3">
      <c r="A973" s="40"/>
      <c r="B973" s="281" t="s">
        <v>998</v>
      </c>
      <c r="C973" s="281">
        <v>692</v>
      </c>
      <c r="D973" s="297"/>
      <c r="E973" s="297"/>
      <c r="F973" s="297"/>
    </row>
    <row r="974" spans="1:6" x14ac:dyDescent="0.3">
      <c r="A974" s="40"/>
      <c r="B974" s="281" t="s">
        <v>999</v>
      </c>
      <c r="C974" s="281">
        <v>825</v>
      </c>
      <c r="D974" s="297"/>
      <c r="E974" s="297"/>
      <c r="F974" s="297"/>
    </row>
    <row r="975" spans="1:6" x14ac:dyDescent="0.3">
      <c r="A975" s="40"/>
      <c r="B975" s="281" t="s">
        <v>1000</v>
      </c>
      <c r="C975" s="281">
        <v>1897</v>
      </c>
      <c r="D975" s="297"/>
      <c r="E975" s="297"/>
      <c r="F975" s="297"/>
    </row>
    <row r="976" spans="1:6" x14ac:dyDescent="0.3">
      <c r="A976" s="40"/>
      <c r="B976" s="281" t="s">
        <v>1001</v>
      </c>
      <c r="C976" s="281">
        <v>2851</v>
      </c>
      <c r="D976" s="297"/>
      <c r="E976" s="297"/>
      <c r="F976" s="297"/>
    </row>
    <row r="977" spans="1:6" x14ac:dyDescent="0.3">
      <c r="A977" s="40"/>
      <c r="B977" s="281" t="s">
        <v>1002</v>
      </c>
      <c r="C977" s="281">
        <v>1902</v>
      </c>
      <c r="D977" s="297"/>
      <c r="E977" s="297"/>
      <c r="F977" s="297"/>
    </row>
    <row r="978" spans="1:6" x14ac:dyDescent="0.3">
      <c r="A978" s="40"/>
      <c r="B978" s="281" t="s">
        <v>1003</v>
      </c>
      <c r="C978" s="281">
        <v>1431</v>
      </c>
      <c r="D978" s="297"/>
      <c r="E978" s="297"/>
      <c r="F978" s="297"/>
    </row>
    <row r="979" spans="1:6" x14ac:dyDescent="0.3">
      <c r="A979" s="40"/>
      <c r="B979" s="281" t="s">
        <v>1004</v>
      </c>
      <c r="C979" s="281">
        <v>1395</v>
      </c>
      <c r="D979" s="297"/>
      <c r="E979" s="297"/>
      <c r="F979" s="297"/>
    </row>
    <row r="980" spans="1:6" x14ac:dyDescent="0.3">
      <c r="A980" s="40"/>
      <c r="B980" s="281" t="s">
        <v>1005</v>
      </c>
      <c r="C980" s="281">
        <v>2663</v>
      </c>
      <c r="D980" s="297"/>
      <c r="E980" s="297"/>
      <c r="F980" s="297"/>
    </row>
    <row r="981" spans="1:6" x14ac:dyDescent="0.3">
      <c r="A981" s="40"/>
      <c r="B981" s="281" t="s">
        <v>1006</v>
      </c>
      <c r="C981" s="281">
        <v>632</v>
      </c>
      <c r="D981" s="297"/>
      <c r="E981" s="297"/>
      <c r="F981" s="297"/>
    </row>
    <row r="982" spans="1:6" x14ac:dyDescent="0.3">
      <c r="A982" s="40"/>
      <c r="B982" s="281" t="s">
        <v>816</v>
      </c>
      <c r="C982" s="281">
        <v>734</v>
      </c>
      <c r="D982" s="297"/>
      <c r="E982" s="297"/>
      <c r="F982" s="297"/>
    </row>
    <row r="983" spans="1:6" x14ac:dyDescent="0.3">
      <c r="A983" s="40"/>
      <c r="B983" s="281" t="s">
        <v>1007</v>
      </c>
      <c r="C983" s="281">
        <v>701</v>
      </c>
      <c r="D983" s="297"/>
      <c r="E983" s="297"/>
      <c r="F983" s="297"/>
    </row>
    <row r="984" spans="1:6" x14ac:dyDescent="0.3">
      <c r="A984" s="40"/>
      <c r="B984" s="281" t="s">
        <v>1008</v>
      </c>
      <c r="C984" s="281">
        <v>1357</v>
      </c>
      <c r="D984" s="297"/>
      <c r="E984" s="297"/>
      <c r="F984" s="297"/>
    </row>
    <row r="985" spans="1:6" x14ac:dyDescent="0.3">
      <c r="A985" s="40"/>
      <c r="B985" s="281" t="s">
        <v>1009</v>
      </c>
      <c r="C985" s="281">
        <v>1904</v>
      </c>
      <c r="D985" s="297"/>
      <c r="E985" s="297"/>
      <c r="F985" s="297"/>
    </row>
    <row r="986" spans="1:6" x14ac:dyDescent="0.3">
      <c r="A986" s="40"/>
      <c r="B986" s="281" t="s">
        <v>957</v>
      </c>
      <c r="C986" s="281">
        <v>1354</v>
      </c>
      <c r="D986" s="297"/>
      <c r="E986" s="297"/>
      <c r="F986" s="297"/>
    </row>
    <row r="987" spans="1:6" x14ac:dyDescent="0.3">
      <c r="A987" s="40"/>
      <c r="B987" s="281" t="s">
        <v>1010</v>
      </c>
      <c r="C987" s="281">
        <v>643</v>
      </c>
      <c r="D987" s="297"/>
      <c r="E987" s="297"/>
      <c r="F987" s="297"/>
    </row>
    <row r="988" spans="1:6" x14ac:dyDescent="0.3">
      <c r="A988" s="40"/>
      <c r="B988" s="281" t="s">
        <v>1011</v>
      </c>
      <c r="C988" s="281">
        <v>2539</v>
      </c>
      <c r="D988" s="297"/>
      <c r="E988" s="297"/>
      <c r="F988" s="297"/>
    </row>
    <row r="989" spans="1:6" x14ac:dyDescent="0.3">
      <c r="A989" s="40"/>
      <c r="B989" s="281" t="s">
        <v>1012</v>
      </c>
      <c r="C989" s="281">
        <v>795</v>
      </c>
      <c r="D989" s="297"/>
      <c r="E989" s="297"/>
      <c r="F989" s="297"/>
    </row>
    <row r="990" spans="1:6" x14ac:dyDescent="0.3">
      <c r="A990" s="40"/>
      <c r="B990" s="281" t="s">
        <v>1013</v>
      </c>
      <c r="C990" s="281">
        <v>1232</v>
      </c>
      <c r="D990" s="297"/>
      <c r="E990" s="297"/>
      <c r="F990" s="297"/>
    </row>
    <row r="991" spans="1:6" x14ac:dyDescent="0.3">
      <c r="A991" s="40"/>
      <c r="B991" s="281" t="s">
        <v>1014</v>
      </c>
      <c r="C991" s="281">
        <v>1325</v>
      </c>
      <c r="D991" s="297"/>
      <c r="E991" s="297"/>
      <c r="F991" s="297"/>
    </row>
    <row r="992" spans="1:6" x14ac:dyDescent="0.3">
      <c r="A992" s="40"/>
      <c r="B992" s="281" t="s">
        <v>1015</v>
      </c>
      <c r="C992" s="281">
        <v>2641</v>
      </c>
      <c r="D992" s="297"/>
      <c r="E992" s="297"/>
      <c r="F992" s="297"/>
    </row>
    <row r="993" spans="1:6" x14ac:dyDescent="0.3">
      <c r="A993" s="40"/>
      <c r="B993" s="281" t="s">
        <v>1016</v>
      </c>
      <c r="C993" s="281">
        <v>796</v>
      </c>
      <c r="D993" s="297"/>
      <c r="E993" s="297"/>
      <c r="F993" s="297"/>
    </row>
    <row r="994" spans="1:6" x14ac:dyDescent="0.3">
      <c r="A994" s="40"/>
      <c r="B994" s="281" t="s">
        <v>1017</v>
      </c>
      <c r="C994" s="281">
        <v>1707</v>
      </c>
      <c r="D994" s="297"/>
      <c r="E994" s="297"/>
      <c r="F994" s="297"/>
    </row>
    <row r="995" spans="1:6" x14ac:dyDescent="0.3">
      <c r="A995" s="40"/>
      <c r="B995" s="281" t="s">
        <v>1018</v>
      </c>
      <c r="C995" s="281">
        <v>853</v>
      </c>
      <c r="D995" s="297"/>
      <c r="E995" s="297"/>
      <c r="F995" s="297"/>
    </row>
    <row r="996" spans="1:6" x14ac:dyDescent="0.3">
      <c r="A996" s="40"/>
      <c r="B996" s="281" t="s">
        <v>1019</v>
      </c>
      <c r="C996" s="281">
        <v>1326</v>
      </c>
      <c r="D996" s="297"/>
      <c r="E996" s="297"/>
      <c r="F996" s="297"/>
    </row>
    <row r="997" spans="1:6" x14ac:dyDescent="0.3">
      <c r="A997" s="40"/>
      <c r="B997" s="281" t="s">
        <v>1020</v>
      </c>
      <c r="C997" s="281">
        <v>2022</v>
      </c>
      <c r="D997" s="297"/>
      <c r="E997" s="297"/>
      <c r="F997" s="297"/>
    </row>
    <row r="998" spans="1:6" x14ac:dyDescent="0.3">
      <c r="A998" s="40"/>
      <c r="B998" s="281" t="s">
        <v>1021</v>
      </c>
      <c r="C998" s="281">
        <v>1253</v>
      </c>
      <c r="D998" s="297"/>
      <c r="E998" s="297"/>
      <c r="F998" s="297"/>
    </row>
    <row r="999" spans="1:6" x14ac:dyDescent="0.3">
      <c r="A999" s="40"/>
      <c r="B999" s="281" t="s">
        <v>1022</v>
      </c>
      <c r="C999" s="281">
        <v>1365</v>
      </c>
      <c r="D999" s="297"/>
      <c r="E999" s="297"/>
      <c r="F999" s="297"/>
    </row>
    <row r="1000" spans="1:6" x14ac:dyDescent="0.3">
      <c r="A1000" s="40"/>
      <c r="B1000" s="281" t="s">
        <v>1023</v>
      </c>
      <c r="C1000" s="281">
        <v>1230</v>
      </c>
      <c r="D1000" s="297"/>
      <c r="E1000" s="297"/>
      <c r="F1000" s="297"/>
    </row>
    <row r="1001" spans="1:6" x14ac:dyDescent="0.3">
      <c r="A1001" s="40"/>
      <c r="B1001" s="281" t="s">
        <v>1024</v>
      </c>
      <c r="C1001" s="281">
        <v>1396</v>
      </c>
      <c r="D1001" s="297"/>
      <c r="E1001" s="297"/>
      <c r="F1001" s="297"/>
    </row>
    <row r="1002" spans="1:6" x14ac:dyDescent="0.3">
      <c r="A1002" s="40"/>
      <c r="B1002" s="281" t="s">
        <v>825</v>
      </c>
      <c r="C1002" s="281">
        <v>634</v>
      </c>
      <c r="D1002" s="297"/>
      <c r="E1002" s="297"/>
      <c r="F1002" s="297"/>
    </row>
    <row r="1003" spans="1:6" x14ac:dyDescent="0.3">
      <c r="A1003" s="40"/>
      <c r="B1003" s="281" t="s">
        <v>1025</v>
      </c>
      <c r="C1003" s="281">
        <v>2708</v>
      </c>
      <c r="D1003" s="297"/>
      <c r="E1003" s="297"/>
      <c r="F1003" s="297"/>
    </row>
    <row r="1004" spans="1:6" x14ac:dyDescent="0.3">
      <c r="A1004" s="40"/>
      <c r="B1004" s="281" t="s">
        <v>1026</v>
      </c>
      <c r="C1004" s="281">
        <v>1374</v>
      </c>
      <c r="D1004" s="297"/>
      <c r="E1004" s="297"/>
      <c r="F1004" s="297"/>
    </row>
    <row r="1005" spans="1:6" x14ac:dyDescent="0.3">
      <c r="A1005" s="40"/>
      <c r="B1005" s="281" t="s">
        <v>1027</v>
      </c>
      <c r="C1005" s="281">
        <v>2939</v>
      </c>
      <c r="D1005" s="297"/>
      <c r="E1005" s="297"/>
      <c r="F1005" s="297"/>
    </row>
    <row r="1006" spans="1:6" x14ac:dyDescent="0.3">
      <c r="A1006" s="40"/>
      <c r="B1006" s="281" t="s">
        <v>826</v>
      </c>
      <c r="C1006" s="281">
        <v>2576</v>
      </c>
      <c r="D1006" s="297"/>
      <c r="E1006" s="297"/>
      <c r="F1006" s="297"/>
    </row>
    <row r="1007" spans="1:6" x14ac:dyDescent="0.3">
      <c r="A1007" s="40"/>
      <c r="B1007" s="281" t="s">
        <v>557</v>
      </c>
      <c r="C1007" s="281">
        <v>1939</v>
      </c>
      <c r="D1007" s="297"/>
      <c r="E1007" s="297"/>
      <c r="F1007" s="297"/>
    </row>
    <row r="1008" spans="1:6" x14ac:dyDescent="0.3">
      <c r="A1008" s="40"/>
      <c r="B1008" s="281" t="s">
        <v>1028</v>
      </c>
      <c r="C1008" s="281">
        <v>8</v>
      </c>
      <c r="D1008" s="297"/>
      <c r="E1008" s="297"/>
      <c r="F1008" s="297"/>
    </row>
    <row r="1009" spans="1:6" x14ac:dyDescent="0.3">
      <c r="A1009" s="40" t="s">
        <v>1029</v>
      </c>
      <c r="B1009" s="281"/>
      <c r="C1009" s="281"/>
      <c r="D1009" s="297"/>
      <c r="E1009" s="297"/>
      <c r="F1009" s="297"/>
    </row>
    <row r="1010" spans="1:6" x14ac:dyDescent="0.3">
      <c r="A1010" s="40"/>
      <c r="B1010" s="281" t="s">
        <v>991</v>
      </c>
      <c r="C1010" s="281">
        <v>1719</v>
      </c>
      <c r="D1010" s="297"/>
      <c r="E1010" s="297"/>
      <c r="F1010" s="297"/>
    </row>
    <row r="1011" spans="1:6" x14ac:dyDescent="0.3">
      <c r="A1011" s="40"/>
      <c r="B1011" s="281" t="s">
        <v>1030</v>
      </c>
      <c r="C1011" s="281">
        <v>2524</v>
      </c>
      <c r="D1011" s="297"/>
      <c r="E1011" s="297"/>
      <c r="F1011" s="297"/>
    </row>
    <row r="1012" spans="1:6" x14ac:dyDescent="0.3">
      <c r="A1012" s="40"/>
      <c r="B1012" s="281" t="s">
        <v>1031</v>
      </c>
      <c r="C1012" s="281">
        <v>2519</v>
      </c>
      <c r="D1012" s="297"/>
      <c r="E1012" s="297"/>
      <c r="F1012" s="297"/>
    </row>
    <row r="1013" spans="1:6" x14ac:dyDescent="0.3">
      <c r="A1013" s="40"/>
      <c r="B1013" s="281" t="s">
        <v>1032</v>
      </c>
      <c r="C1013" s="281">
        <v>1720</v>
      </c>
      <c r="D1013" s="297"/>
      <c r="E1013" s="297"/>
      <c r="F1013" s="297"/>
    </row>
    <row r="1014" spans="1:6" x14ac:dyDescent="0.3">
      <c r="A1014" s="40"/>
      <c r="B1014" s="281" t="s">
        <v>816</v>
      </c>
      <c r="C1014" s="281">
        <v>734</v>
      </c>
      <c r="D1014" s="297"/>
      <c r="E1014" s="297"/>
      <c r="F1014" s="297"/>
    </row>
    <row r="1015" spans="1:6" x14ac:dyDescent="0.3">
      <c r="A1015" s="40"/>
      <c r="B1015" s="281" t="s">
        <v>1009</v>
      </c>
      <c r="C1015" s="281">
        <v>1904</v>
      </c>
      <c r="D1015" s="297"/>
      <c r="E1015" s="297"/>
      <c r="F1015" s="297"/>
    </row>
    <row r="1016" spans="1:6" x14ac:dyDescent="0.3">
      <c r="A1016" s="40"/>
      <c r="B1016" s="281" t="s">
        <v>1033</v>
      </c>
      <c r="C1016" s="281">
        <v>2953</v>
      </c>
      <c r="D1016" s="297"/>
      <c r="E1016" s="297"/>
      <c r="F1016" s="297"/>
    </row>
    <row r="1017" spans="1:6" x14ac:dyDescent="0.3">
      <c r="A1017" s="40"/>
      <c r="B1017" s="281" t="s">
        <v>1034</v>
      </c>
      <c r="C1017" s="281">
        <v>2571</v>
      </c>
      <c r="D1017" s="297"/>
      <c r="E1017" s="297"/>
      <c r="F1017" s="297"/>
    </row>
    <row r="1018" spans="1:6" x14ac:dyDescent="0.3">
      <c r="A1018" s="40"/>
      <c r="B1018" s="281" t="s">
        <v>1035</v>
      </c>
      <c r="C1018" s="281">
        <v>2952</v>
      </c>
      <c r="D1018" s="297"/>
      <c r="E1018" s="297"/>
      <c r="F1018" s="297"/>
    </row>
    <row r="1019" spans="1:6" x14ac:dyDescent="0.3">
      <c r="A1019" s="40"/>
      <c r="B1019" s="281" t="s">
        <v>1036</v>
      </c>
      <c r="C1019" s="281">
        <v>2520</v>
      </c>
      <c r="D1019" s="297"/>
      <c r="E1019" s="297"/>
      <c r="F1019" s="297"/>
    </row>
    <row r="1020" spans="1:6" x14ac:dyDescent="0.3">
      <c r="A1020" s="40"/>
      <c r="B1020" s="281" t="s">
        <v>1037</v>
      </c>
      <c r="C1020" s="281">
        <v>1913</v>
      </c>
      <c r="D1020" s="297"/>
      <c r="E1020" s="297"/>
      <c r="F1020" s="297"/>
    </row>
    <row r="1021" spans="1:6" x14ac:dyDescent="0.3">
      <c r="A1021" s="40"/>
      <c r="B1021" s="281" t="s">
        <v>1038</v>
      </c>
      <c r="C1021" s="281">
        <v>2522</v>
      </c>
      <c r="D1021" s="297"/>
      <c r="E1021" s="297"/>
      <c r="F1021" s="297"/>
    </row>
    <row r="1022" spans="1:6" x14ac:dyDescent="0.3">
      <c r="A1022" s="40"/>
      <c r="B1022" s="281" t="s">
        <v>1039</v>
      </c>
      <c r="C1022" s="281">
        <v>2668</v>
      </c>
      <c r="D1022" s="297"/>
      <c r="E1022" s="297"/>
      <c r="F1022" s="297"/>
    </row>
    <row r="1023" spans="1:6" x14ac:dyDescent="0.3">
      <c r="A1023" s="40"/>
      <c r="B1023" s="281" t="s">
        <v>1040</v>
      </c>
      <c r="C1023" s="281">
        <v>2521</v>
      </c>
      <c r="D1023" s="297"/>
      <c r="E1023" s="297"/>
      <c r="F1023" s="297"/>
    </row>
    <row r="1024" spans="1:6" x14ac:dyDescent="0.3">
      <c r="A1024" s="40"/>
      <c r="B1024" s="281" t="s">
        <v>1041</v>
      </c>
      <c r="C1024" s="281">
        <v>2517</v>
      </c>
      <c r="D1024" s="297"/>
      <c r="E1024" s="297"/>
      <c r="F1024" s="297"/>
    </row>
    <row r="1025" spans="1:6" x14ac:dyDescent="0.3">
      <c r="A1025" s="40"/>
      <c r="B1025" s="281" t="s">
        <v>1042</v>
      </c>
      <c r="C1025" s="281">
        <v>2516</v>
      </c>
      <c r="D1025" s="297"/>
      <c r="E1025" s="297"/>
      <c r="F1025" s="297"/>
    </row>
    <row r="1026" spans="1:6" x14ac:dyDescent="0.3">
      <c r="A1026" s="40"/>
      <c r="B1026" s="281" t="s">
        <v>826</v>
      </c>
      <c r="C1026" s="281">
        <v>2576</v>
      </c>
      <c r="D1026" s="297"/>
      <c r="E1026" s="297"/>
      <c r="F1026" s="297"/>
    </row>
    <row r="1027" spans="1:6" x14ac:dyDescent="0.3">
      <c r="A1027" s="40"/>
      <c r="B1027" s="281" t="s">
        <v>1043</v>
      </c>
      <c r="C1027" s="281">
        <v>633</v>
      </c>
      <c r="D1027" s="297"/>
      <c r="E1027" s="297"/>
      <c r="F1027" s="297"/>
    </row>
    <row r="1028" spans="1:6" x14ac:dyDescent="0.3">
      <c r="A1028" s="40"/>
      <c r="B1028" s="281" t="s">
        <v>1044</v>
      </c>
      <c r="C1028" s="281">
        <v>2557</v>
      </c>
      <c r="D1028" s="297"/>
      <c r="E1028" s="297"/>
      <c r="F1028" s="297"/>
    </row>
    <row r="1029" spans="1:6" x14ac:dyDescent="0.3">
      <c r="A1029" s="40"/>
      <c r="B1029" s="281" t="s">
        <v>1045</v>
      </c>
      <c r="C1029" s="281">
        <v>2544</v>
      </c>
      <c r="D1029" s="297"/>
      <c r="E1029" s="297"/>
      <c r="F1029" s="297"/>
    </row>
    <row r="1030" spans="1:6" x14ac:dyDescent="0.3">
      <c r="A1030" s="40"/>
      <c r="B1030" s="281" t="s">
        <v>1046</v>
      </c>
      <c r="C1030" s="281">
        <v>2545</v>
      </c>
      <c r="D1030" s="297"/>
      <c r="E1030" s="297"/>
      <c r="F1030" s="297"/>
    </row>
    <row r="1031" spans="1:6" x14ac:dyDescent="0.3">
      <c r="A1031" s="40"/>
      <c r="B1031" s="281" t="s">
        <v>1047</v>
      </c>
      <c r="C1031" s="281">
        <v>2554</v>
      </c>
      <c r="D1031" s="297"/>
      <c r="E1031" s="297"/>
      <c r="F1031" s="297"/>
    </row>
    <row r="1032" spans="1:6" ht="27" x14ac:dyDescent="0.3">
      <c r="A1032" s="40"/>
      <c r="B1032" s="281" t="s">
        <v>1048</v>
      </c>
      <c r="C1032" s="281">
        <v>2518</v>
      </c>
      <c r="D1032" s="297"/>
      <c r="E1032" s="297"/>
      <c r="F1032" s="297"/>
    </row>
    <row r="1033" spans="1:6" x14ac:dyDescent="0.3">
      <c r="A1033" s="40"/>
      <c r="B1033" s="281" t="s">
        <v>1049</v>
      </c>
      <c r="C1033" s="281">
        <v>2546</v>
      </c>
      <c r="D1033" s="297"/>
      <c r="E1033" s="297"/>
      <c r="F1033" s="297"/>
    </row>
    <row r="1034" spans="1:6" x14ac:dyDescent="0.3">
      <c r="A1034" s="40"/>
      <c r="B1034" s="281" t="s">
        <v>1050</v>
      </c>
      <c r="C1034" s="281">
        <v>2547</v>
      </c>
      <c r="D1034" s="297"/>
      <c r="E1034" s="297"/>
      <c r="F1034" s="297"/>
    </row>
    <row r="1035" spans="1:6" x14ac:dyDescent="0.3">
      <c r="A1035" s="40"/>
      <c r="B1035" s="281" t="s">
        <v>1051</v>
      </c>
      <c r="C1035" s="281">
        <v>2555</v>
      </c>
      <c r="D1035" s="297"/>
      <c r="E1035" s="297"/>
      <c r="F1035" s="297"/>
    </row>
    <row r="1036" spans="1:6" x14ac:dyDescent="0.3">
      <c r="A1036" s="40"/>
      <c r="B1036" s="281" t="s">
        <v>1052</v>
      </c>
      <c r="C1036" s="281">
        <v>2556</v>
      </c>
      <c r="D1036" s="297"/>
      <c r="E1036" s="297"/>
      <c r="F1036" s="297"/>
    </row>
    <row r="1037" spans="1:6" x14ac:dyDescent="0.3">
      <c r="A1037" s="40"/>
      <c r="B1037" s="281" t="s">
        <v>1053</v>
      </c>
      <c r="C1037" s="281">
        <v>2548</v>
      </c>
      <c r="D1037" s="297"/>
      <c r="E1037" s="297"/>
      <c r="F1037" s="297"/>
    </row>
    <row r="1038" spans="1:6" x14ac:dyDescent="0.3">
      <c r="A1038" s="40"/>
      <c r="B1038" s="281" t="s">
        <v>1054</v>
      </c>
      <c r="C1038" s="281">
        <v>2549</v>
      </c>
      <c r="D1038" s="297"/>
      <c r="E1038" s="297"/>
      <c r="F1038" s="297"/>
    </row>
    <row r="1039" spans="1:6" x14ac:dyDescent="0.3">
      <c r="A1039" s="40"/>
      <c r="B1039" s="281" t="s">
        <v>1055</v>
      </c>
      <c r="C1039" s="281">
        <v>2550</v>
      </c>
      <c r="D1039" s="297"/>
      <c r="E1039" s="297"/>
      <c r="F1039" s="297"/>
    </row>
    <row r="1040" spans="1:6" x14ac:dyDescent="0.3">
      <c r="A1040" s="40"/>
      <c r="B1040" s="281" t="s">
        <v>1056</v>
      </c>
      <c r="C1040" s="281">
        <v>2551</v>
      </c>
      <c r="D1040" s="297"/>
      <c r="E1040" s="297"/>
      <c r="F1040" s="297"/>
    </row>
    <row r="1041" spans="1:6" x14ac:dyDescent="0.3">
      <c r="A1041" s="40"/>
      <c r="B1041" s="281" t="s">
        <v>1057</v>
      </c>
      <c r="C1041" s="281">
        <v>2552</v>
      </c>
      <c r="D1041" s="297"/>
      <c r="E1041" s="297"/>
      <c r="F1041" s="297"/>
    </row>
    <row r="1042" spans="1:6" x14ac:dyDescent="0.3">
      <c r="A1042" s="40"/>
      <c r="B1042" s="281" t="s">
        <v>1058</v>
      </c>
      <c r="C1042" s="281">
        <v>2553</v>
      </c>
      <c r="D1042" s="297"/>
      <c r="E1042" s="297"/>
      <c r="F1042" s="297"/>
    </row>
    <row r="1043" spans="1:6" x14ac:dyDescent="0.3">
      <c r="A1043" s="40" t="s">
        <v>1059</v>
      </c>
      <c r="B1043" s="281"/>
      <c r="C1043" s="281"/>
      <c r="D1043" s="297"/>
      <c r="E1043" s="297"/>
      <c r="F1043" s="297"/>
    </row>
    <row r="1044" spans="1:6" x14ac:dyDescent="0.3">
      <c r="A1044" s="40"/>
      <c r="B1044" s="281" t="s">
        <v>1060</v>
      </c>
      <c r="C1044" s="281">
        <v>2957</v>
      </c>
      <c r="D1044" s="297"/>
      <c r="E1044" s="297"/>
      <c r="F1044" s="297"/>
    </row>
    <row r="1045" spans="1:6" x14ac:dyDescent="0.3">
      <c r="A1045" s="40"/>
      <c r="B1045" s="281" t="s">
        <v>1061</v>
      </c>
      <c r="C1045" s="281">
        <v>1034</v>
      </c>
      <c r="D1045" s="297"/>
      <c r="E1045" s="297"/>
      <c r="F1045" s="297"/>
    </row>
    <row r="1046" spans="1:6" x14ac:dyDescent="0.3">
      <c r="A1046" s="40"/>
      <c r="B1046" s="281" t="s">
        <v>1062</v>
      </c>
      <c r="C1046" s="281">
        <v>1035</v>
      </c>
      <c r="D1046" s="297"/>
      <c r="E1046" s="297"/>
      <c r="F1046" s="297"/>
    </row>
    <row r="1047" spans="1:6" x14ac:dyDescent="0.3">
      <c r="A1047" s="40"/>
      <c r="B1047" s="281" t="s">
        <v>1063</v>
      </c>
      <c r="C1047" s="281">
        <v>1036</v>
      </c>
      <c r="D1047" s="297"/>
      <c r="E1047" s="297"/>
      <c r="F1047" s="297"/>
    </row>
    <row r="1048" spans="1:6" x14ac:dyDescent="0.3">
      <c r="A1048" s="40"/>
      <c r="B1048" s="281" t="s">
        <v>1064</v>
      </c>
      <c r="C1048" s="281">
        <v>686</v>
      </c>
      <c r="D1048" s="297"/>
      <c r="E1048" s="297"/>
      <c r="F1048" s="297"/>
    </row>
    <row r="1049" spans="1:6" x14ac:dyDescent="0.3">
      <c r="A1049" s="40"/>
      <c r="B1049" s="281" t="s">
        <v>1065</v>
      </c>
      <c r="C1049" s="281">
        <v>1032</v>
      </c>
      <c r="D1049" s="297"/>
      <c r="E1049" s="297"/>
      <c r="F1049" s="297"/>
    </row>
    <row r="1050" spans="1:6" x14ac:dyDescent="0.3">
      <c r="A1050" s="40"/>
      <c r="B1050" s="281" t="s">
        <v>1066</v>
      </c>
      <c r="C1050" s="281">
        <v>984</v>
      </c>
      <c r="D1050" s="297"/>
      <c r="E1050" s="297"/>
      <c r="F1050" s="297"/>
    </row>
    <row r="1051" spans="1:6" x14ac:dyDescent="0.3">
      <c r="A1051" s="40"/>
      <c r="B1051" s="281" t="s">
        <v>1067</v>
      </c>
      <c r="C1051" s="281">
        <v>981</v>
      </c>
      <c r="D1051" s="297"/>
      <c r="E1051" s="297"/>
      <c r="F1051" s="297"/>
    </row>
    <row r="1052" spans="1:6" x14ac:dyDescent="0.3">
      <c r="A1052" s="40"/>
      <c r="B1052" s="281" t="s">
        <v>1068</v>
      </c>
      <c r="C1052" s="281">
        <v>1033</v>
      </c>
      <c r="D1052" s="297"/>
      <c r="E1052" s="297"/>
      <c r="F1052" s="297"/>
    </row>
    <row r="1053" spans="1:6" x14ac:dyDescent="0.3">
      <c r="A1053" s="40"/>
      <c r="B1053" s="281" t="s">
        <v>163</v>
      </c>
      <c r="C1053" s="281">
        <v>480</v>
      </c>
      <c r="D1053" s="297"/>
      <c r="E1053" s="297"/>
      <c r="F1053" s="297"/>
    </row>
    <row r="1054" spans="1:6" x14ac:dyDescent="0.3">
      <c r="A1054" s="40"/>
      <c r="B1054" s="281" t="s">
        <v>1069</v>
      </c>
      <c r="C1054" s="281">
        <v>685</v>
      </c>
      <c r="D1054" s="297"/>
      <c r="E1054" s="297"/>
      <c r="F1054" s="297"/>
    </row>
    <row r="1055" spans="1:6" x14ac:dyDescent="0.3">
      <c r="A1055" s="40"/>
      <c r="B1055" s="281" t="s">
        <v>1070</v>
      </c>
      <c r="C1055" s="281">
        <v>1350</v>
      </c>
      <c r="D1055" s="297"/>
      <c r="E1055" s="297"/>
      <c r="F1055" s="297"/>
    </row>
    <row r="1056" spans="1:6" x14ac:dyDescent="0.3">
      <c r="A1056" s="40"/>
      <c r="B1056" s="281" t="s">
        <v>1071</v>
      </c>
      <c r="C1056" s="281">
        <v>2896</v>
      </c>
      <c r="D1056" s="297"/>
      <c r="E1056" s="297"/>
      <c r="F1056" s="297"/>
    </row>
    <row r="1057" spans="1:6" x14ac:dyDescent="0.3">
      <c r="A1057" s="40"/>
      <c r="B1057" s="281" t="s">
        <v>1072</v>
      </c>
      <c r="C1057" s="281">
        <v>1030</v>
      </c>
      <c r="D1057" s="297"/>
      <c r="E1057" s="297"/>
      <c r="F1057" s="297"/>
    </row>
    <row r="1058" spans="1:6" x14ac:dyDescent="0.3">
      <c r="A1058" s="40"/>
      <c r="B1058" s="281" t="s">
        <v>1073</v>
      </c>
      <c r="C1058" s="281">
        <v>979</v>
      </c>
      <c r="D1058" s="297"/>
      <c r="E1058" s="297"/>
      <c r="F1058" s="297"/>
    </row>
    <row r="1059" spans="1:6" x14ac:dyDescent="0.3">
      <c r="A1059" s="40"/>
      <c r="B1059" s="281" t="s">
        <v>1074</v>
      </c>
      <c r="C1059" s="281">
        <v>980</v>
      </c>
      <c r="D1059" s="297"/>
      <c r="E1059" s="297"/>
      <c r="F1059" s="297"/>
    </row>
    <row r="1060" spans="1:6" x14ac:dyDescent="0.3">
      <c r="A1060" s="40"/>
      <c r="B1060" s="281" t="s">
        <v>1075</v>
      </c>
      <c r="C1060" s="281">
        <v>982</v>
      </c>
      <c r="D1060" s="297"/>
      <c r="E1060" s="297"/>
      <c r="F1060" s="297"/>
    </row>
    <row r="1061" spans="1:6" x14ac:dyDescent="0.3">
      <c r="A1061" s="40"/>
      <c r="B1061" s="281" t="s">
        <v>1076</v>
      </c>
      <c r="C1061" s="281">
        <v>983</v>
      </c>
      <c r="D1061" s="297"/>
      <c r="E1061" s="297"/>
      <c r="F1061" s="297"/>
    </row>
    <row r="1062" spans="1:6" x14ac:dyDescent="0.3">
      <c r="A1062" s="40"/>
      <c r="B1062" s="281" t="s">
        <v>1077</v>
      </c>
      <c r="C1062" s="281">
        <v>1031</v>
      </c>
      <c r="D1062" s="297"/>
      <c r="E1062" s="297"/>
      <c r="F1062" s="297"/>
    </row>
    <row r="1063" spans="1:6" x14ac:dyDescent="0.3">
      <c r="A1063" s="40"/>
      <c r="B1063" s="281" t="s">
        <v>1078</v>
      </c>
      <c r="C1063" s="281">
        <v>1366</v>
      </c>
      <c r="D1063" s="297"/>
      <c r="E1063" s="297"/>
      <c r="F1063" s="297"/>
    </row>
    <row r="1064" spans="1:6" x14ac:dyDescent="0.3">
      <c r="A1064" s="40" t="s">
        <v>1079</v>
      </c>
      <c r="B1064" s="281"/>
      <c r="C1064" s="281"/>
      <c r="D1064" s="297"/>
      <c r="E1064" s="297"/>
      <c r="F1064" s="297"/>
    </row>
    <row r="1065" spans="1:6" x14ac:dyDescent="0.3">
      <c r="A1065" s="40"/>
      <c r="B1065" s="281" t="s">
        <v>120</v>
      </c>
      <c r="C1065" s="281">
        <v>1279</v>
      </c>
      <c r="D1065" s="297"/>
      <c r="E1065" s="297"/>
      <c r="F1065" s="297"/>
    </row>
    <row r="1066" spans="1:6" x14ac:dyDescent="0.3">
      <c r="A1066" s="40"/>
      <c r="B1066" s="281" t="s">
        <v>124</v>
      </c>
      <c r="C1066" s="281">
        <v>2694</v>
      </c>
      <c r="D1066" s="297"/>
      <c r="E1066" s="297"/>
      <c r="F1066" s="297"/>
    </row>
    <row r="1067" spans="1:6" x14ac:dyDescent="0.3">
      <c r="A1067" s="40"/>
      <c r="B1067" s="281" t="s">
        <v>1080</v>
      </c>
      <c r="C1067" s="281">
        <v>628</v>
      </c>
      <c r="D1067" s="297"/>
      <c r="E1067" s="297"/>
      <c r="F1067" s="297"/>
    </row>
    <row r="1068" spans="1:6" x14ac:dyDescent="0.3">
      <c r="A1068" s="40"/>
      <c r="B1068" s="281" t="s">
        <v>1081</v>
      </c>
      <c r="C1068" s="281">
        <v>1717</v>
      </c>
      <c r="D1068" s="297"/>
      <c r="E1068" s="297"/>
      <c r="F1068" s="297"/>
    </row>
    <row r="1069" spans="1:6" x14ac:dyDescent="0.3">
      <c r="A1069" s="40"/>
      <c r="B1069" s="281" t="s">
        <v>1082</v>
      </c>
      <c r="C1069" s="281">
        <v>1284</v>
      </c>
      <c r="D1069" s="297"/>
      <c r="E1069" s="297"/>
      <c r="F1069" s="297"/>
    </row>
    <row r="1070" spans="1:6" x14ac:dyDescent="0.3">
      <c r="A1070" s="40"/>
      <c r="B1070" s="281" t="s">
        <v>147</v>
      </c>
      <c r="C1070" s="281">
        <v>1282</v>
      </c>
      <c r="D1070" s="297"/>
      <c r="E1070" s="297"/>
      <c r="F1070" s="297"/>
    </row>
    <row r="1071" spans="1:6" x14ac:dyDescent="0.3">
      <c r="A1071" s="40"/>
      <c r="B1071" s="281" t="s">
        <v>157</v>
      </c>
      <c r="C1071" s="281">
        <v>1280</v>
      </c>
      <c r="D1071" s="297"/>
      <c r="E1071" s="297"/>
      <c r="F1071" s="297"/>
    </row>
    <row r="1072" spans="1:6" x14ac:dyDescent="0.3">
      <c r="A1072" s="40"/>
      <c r="B1072" s="281" t="s">
        <v>1083</v>
      </c>
      <c r="C1072" s="281">
        <v>1281</v>
      </c>
      <c r="D1072" s="297"/>
      <c r="E1072" s="297"/>
      <c r="F1072" s="297"/>
    </row>
    <row r="1073" spans="1:6" x14ac:dyDescent="0.3">
      <c r="A1073" s="40"/>
      <c r="B1073" s="281" t="s">
        <v>1084</v>
      </c>
      <c r="C1073" s="281">
        <v>733</v>
      </c>
      <c r="D1073" s="297"/>
      <c r="E1073" s="297"/>
      <c r="F1073" s="297"/>
    </row>
    <row r="1074" spans="1:6" x14ac:dyDescent="0.3">
      <c r="A1074" s="40"/>
      <c r="B1074" s="281" t="s">
        <v>1085</v>
      </c>
      <c r="C1074" s="281">
        <v>1287</v>
      </c>
      <c r="D1074" s="297"/>
      <c r="E1074" s="297"/>
      <c r="F1074" s="297"/>
    </row>
    <row r="1075" spans="1:6" x14ac:dyDescent="0.3">
      <c r="A1075" s="40"/>
      <c r="B1075" s="281" t="s">
        <v>1086</v>
      </c>
      <c r="C1075" s="281">
        <v>627</v>
      </c>
      <c r="D1075" s="297"/>
      <c r="E1075" s="297"/>
      <c r="F1075" s="297"/>
    </row>
    <row r="1076" spans="1:6" x14ac:dyDescent="0.3">
      <c r="A1076" s="40"/>
      <c r="B1076" s="281" t="s">
        <v>1087</v>
      </c>
      <c r="C1076" s="281">
        <v>1970</v>
      </c>
      <c r="D1076" s="297"/>
      <c r="E1076" s="297"/>
      <c r="F1076" s="297"/>
    </row>
    <row r="1077" spans="1:6" x14ac:dyDescent="0.3">
      <c r="A1077" s="40"/>
      <c r="B1077" s="281" t="s">
        <v>1088</v>
      </c>
      <c r="C1077" s="281">
        <v>1288</v>
      </c>
      <c r="D1077" s="297"/>
      <c r="E1077" s="297"/>
      <c r="F1077" s="297"/>
    </row>
    <row r="1078" spans="1:6" x14ac:dyDescent="0.3">
      <c r="A1078" s="40"/>
      <c r="B1078" s="281" t="s">
        <v>1089</v>
      </c>
      <c r="C1078" s="281">
        <v>15</v>
      </c>
      <c r="D1078" s="297"/>
      <c r="E1078" s="297"/>
      <c r="F1078" s="297"/>
    </row>
    <row r="1079" spans="1:6" x14ac:dyDescent="0.3">
      <c r="A1079" s="40" t="s">
        <v>1090</v>
      </c>
      <c r="B1079" s="281"/>
      <c r="C1079" s="281"/>
      <c r="D1079" s="297"/>
      <c r="E1079" s="297"/>
      <c r="F1079" s="297"/>
    </row>
    <row r="1080" spans="1:6" x14ac:dyDescent="0.3">
      <c r="A1080" s="40"/>
      <c r="B1080" s="281" t="s">
        <v>1091</v>
      </c>
      <c r="C1080" s="281">
        <v>803</v>
      </c>
      <c r="D1080" s="297"/>
      <c r="E1080" s="297"/>
      <c r="F1080" s="297"/>
    </row>
    <row r="1081" spans="1:6" x14ac:dyDescent="0.3">
      <c r="A1081" s="40"/>
      <c r="B1081" s="281" t="s">
        <v>1092</v>
      </c>
      <c r="C1081" s="281">
        <v>834</v>
      </c>
      <c r="D1081" s="297"/>
      <c r="E1081" s="297"/>
      <c r="F1081" s="297"/>
    </row>
    <row r="1082" spans="1:6" x14ac:dyDescent="0.3">
      <c r="A1082" s="40"/>
      <c r="B1082" s="281" t="s">
        <v>1093</v>
      </c>
      <c r="C1082" s="281">
        <v>985</v>
      </c>
      <c r="D1082" s="297"/>
      <c r="E1082" s="297"/>
      <c r="F1082" s="297"/>
    </row>
    <row r="1083" spans="1:6" x14ac:dyDescent="0.3">
      <c r="A1083" s="40"/>
      <c r="B1083" s="281" t="s">
        <v>1094</v>
      </c>
      <c r="C1083" s="281">
        <v>986</v>
      </c>
      <c r="D1083" s="297"/>
      <c r="E1083" s="297"/>
      <c r="F1083" s="297"/>
    </row>
    <row r="1084" spans="1:6" x14ac:dyDescent="0.3">
      <c r="A1084" s="40"/>
      <c r="B1084" s="281" t="s">
        <v>1095</v>
      </c>
      <c r="C1084" s="281">
        <v>987</v>
      </c>
      <c r="D1084" s="297"/>
      <c r="E1084" s="297"/>
      <c r="F1084" s="297"/>
    </row>
    <row r="1085" spans="1:6" x14ac:dyDescent="0.3">
      <c r="A1085" s="40"/>
      <c r="B1085" s="281" t="s">
        <v>1096</v>
      </c>
      <c r="C1085" s="281">
        <v>988</v>
      </c>
      <c r="D1085" s="297"/>
      <c r="E1085" s="297"/>
      <c r="F1085" s="297"/>
    </row>
    <row r="1086" spans="1:6" x14ac:dyDescent="0.3">
      <c r="A1086" s="40"/>
      <c r="B1086" s="281" t="s">
        <v>1097</v>
      </c>
      <c r="C1086" s="281">
        <v>989</v>
      </c>
      <c r="D1086" s="297"/>
      <c r="E1086" s="297"/>
      <c r="F1086" s="297"/>
    </row>
    <row r="1087" spans="1:6" x14ac:dyDescent="0.3">
      <c r="A1087" s="40"/>
      <c r="B1087" s="281" t="s">
        <v>1098</v>
      </c>
      <c r="C1087" s="281">
        <v>2775</v>
      </c>
      <c r="D1087" s="297"/>
      <c r="E1087" s="297"/>
      <c r="F1087" s="297"/>
    </row>
    <row r="1088" spans="1:6" x14ac:dyDescent="0.3">
      <c r="A1088" s="40"/>
      <c r="B1088" s="281" t="s">
        <v>1099</v>
      </c>
      <c r="C1088" s="281">
        <v>990</v>
      </c>
      <c r="D1088" s="297"/>
      <c r="E1088" s="297"/>
      <c r="F1088" s="297"/>
    </row>
    <row r="1089" spans="1:6" x14ac:dyDescent="0.3">
      <c r="A1089" s="40"/>
      <c r="B1089" s="281" t="s">
        <v>1100</v>
      </c>
      <c r="C1089" s="281">
        <v>991</v>
      </c>
      <c r="D1089" s="297"/>
      <c r="E1089" s="297"/>
      <c r="F1089" s="297"/>
    </row>
    <row r="1090" spans="1:6" x14ac:dyDescent="0.3">
      <c r="A1090" s="40"/>
      <c r="B1090" s="281" t="s">
        <v>1101</v>
      </c>
      <c r="C1090" s="281">
        <v>992</v>
      </c>
      <c r="D1090" s="297"/>
      <c r="E1090" s="297"/>
      <c r="F1090" s="297"/>
    </row>
    <row r="1091" spans="1:6" x14ac:dyDescent="0.3">
      <c r="A1091" s="40"/>
      <c r="B1091" s="281" t="s">
        <v>1102</v>
      </c>
      <c r="C1091" s="281">
        <v>993</v>
      </c>
      <c r="D1091" s="297"/>
      <c r="E1091" s="297"/>
      <c r="F1091" s="297"/>
    </row>
    <row r="1092" spans="1:6" x14ac:dyDescent="0.3">
      <c r="A1092" s="40"/>
      <c r="B1092" s="281" t="s">
        <v>1103</v>
      </c>
      <c r="C1092" s="281">
        <v>994</v>
      </c>
      <c r="D1092" s="297"/>
      <c r="E1092" s="297"/>
      <c r="F1092" s="297"/>
    </row>
    <row r="1093" spans="1:6" x14ac:dyDescent="0.3">
      <c r="A1093" s="40"/>
      <c r="B1093" s="281" t="s">
        <v>1104</v>
      </c>
      <c r="C1093" s="281">
        <v>995</v>
      </c>
      <c r="D1093" s="297"/>
      <c r="E1093" s="297"/>
      <c r="F1093" s="297"/>
    </row>
    <row r="1094" spans="1:6" x14ac:dyDescent="0.3">
      <c r="A1094" s="40"/>
      <c r="B1094" s="281" t="s">
        <v>1105</v>
      </c>
      <c r="C1094" s="281">
        <v>996</v>
      </c>
      <c r="D1094" s="297"/>
      <c r="E1094" s="297"/>
      <c r="F1094" s="297"/>
    </row>
    <row r="1095" spans="1:6" x14ac:dyDescent="0.3">
      <c r="A1095" s="40"/>
      <c r="B1095" s="281" t="s">
        <v>1106</v>
      </c>
      <c r="C1095" s="281">
        <v>997</v>
      </c>
      <c r="D1095" s="297"/>
      <c r="E1095" s="297"/>
      <c r="F1095" s="297"/>
    </row>
    <row r="1096" spans="1:6" x14ac:dyDescent="0.3">
      <c r="A1096" s="40"/>
      <c r="B1096" s="281" t="s">
        <v>1107</v>
      </c>
      <c r="C1096" s="281">
        <v>998</v>
      </c>
      <c r="D1096" s="297"/>
      <c r="E1096" s="297"/>
      <c r="F1096" s="297"/>
    </row>
    <row r="1097" spans="1:6" x14ac:dyDescent="0.3">
      <c r="A1097" s="40"/>
      <c r="B1097" s="281" t="s">
        <v>1108</v>
      </c>
      <c r="C1097" s="281">
        <v>999</v>
      </c>
      <c r="D1097" s="297"/>
      <c r="E1097" s="297"/>
      <c r="F1097" s="297"/>
    </row>
    <row r="1098" spans="1:6" x14ac:dyDescent="0.3">
      <c r="A1098" s="40"/>
      <c r="B1098" s="281" t="s">
        <v>1109</v>
      </c>
      <c r="C1098" s="281">
        <v>1000</v>
      </c>
      <c r="D1098" s="297"/>
      <c r="E1098" s="297"/>
      <c r="F1098" s="297"/>
    </row>
    <row r="1099" spans="1:6" x14ac:dyDescent="0.3">
      <c r="A1099" s="40"/>
      <c r="B1099" s="281" t="s">
        <v>1110</v>
      </c>
      <c r="C1099" s="281">
        <v>1962</v>
      </c>
      <c r="D1099" s="297"/>
      <c r="E1099" s="297"/>
      <c r="F1099" s="297"/>
    </row>
    <row r="1100" spans="1:6" x14ac:dyDescent="0.3">
      <c r="A1100" s="40"/>
      <c r="B1100" s="281" t="s">
        <v>1111</v>
      </c>
      <c r="C1100" s="281">
        <v>1237</v>
      </c>
      <c r="D1100" s="297"/>
      <c r="E1100" s="297"/>
      <c r="F1100" s="297"/>
    </row>
    <row r="1101" spans="1:6" x14ac:dyDescent="0.3">
      <c r="A1101" s="40"/>
      <c r="B1101" s="281" t="s">
        <v>1112</v>
      </c>
      <c r="C1101" s="281">
        <v>1238</v>
      </c>
      <c r="D1101" s="297"/>
      <c r="E1101" s="297"/>
      <c r="F1101" s="297"/>
    </row>
    <row r="1102" spans="1:6" x14ac:dyDescent="0.3">
      <c r="A1102" s="40"/>
      <c r="B1102" s="281" t="s">
        <v>1113</v>
      </c>
      <c r="C1102" s="281">
        <v>1926</v>
      </c>
      <c r="D1102" s="297"/>
      <c r="E1102" s="297"/>
      <c r="F1102" s="297"/>
    </row>
    <row r="1103" spans="1:6" x14ac:dyDescent="0.3">
      <c r="A1103" s="40"/>
      <c r="B1103" s="281" t="s">
        <v>1114</v>
      </c>
      <c r="C1103" s="281">
        <v>1233</v>
      </c>
      <c r="D1103" s="297"/>
      <c r="E1103" s="297"/>
      <c r="F1103" s="297"/>
    </row>
    <row r="1104" spans="1:6" x14ac:dyDescent="0.3">
      <c r="A1104" s="40"/>
      <c r="B1104" s="281" t="s">
        <v>1115</v>
      </c>
      <c r="C1104" s="281">
        <v>1925</v>
      </c>
      <c r="D1104" s="297"/>
      <c r="E1104" s="297"/>
      <c r="F1104" s="297"/>
    </row>
    <row r="1105" spans="1:6" x14ac:dyDescent="0.3">
      <c r="A1105" s="40"/>
      <c r="B1105" s="281" t="s">
        <v>1116</v>
      </c>
      <c r="C1105" s="281">
        <v>1235</v>
      </c>
      <c r="D1105" s="297"/>
      <c r="E1105" s="297"/>
      <c r="F1105" s="297"/>
    </row>
    <row r="1106" spans="1:6" x14ac:dyDescent="0.3">
      <c r="A1106" s="40"/>
      <c r="B1106" s="281" t="s">
        <v>1117</v>
      </c>
      <c r="C1106" s="281">
        <v>1236</v>
      </c>
      <c r="D1106" s="297"/>
      <c r="E1106" s="297"/>
      <c r="F1106" s="297"/>
    </row>
    <row r="1107" spans="1:6" x14ac:dyDescent="0.3">
      <c r="A1107" s="40"/>
      <c r="B1107" s="281" t="s">
        <v>1118</v>
      </c>
      <c r="C1107" s="281">
        <v>1234</v>
      </c>
      <c r="D1107" s="297"/>
      <c r="E1107" s="297"/>
      <c r="F1107" s="297"/>
    </row>
    <row r="1108" spans="1:6" x14ac:dyDescent="0.3">
      <c r="A1108" s="40"/>
      <c r="B1108" s="281" t="s">
        <v>1119</v>
      </c>
      <c r="C1108" s="281">
        <v>2604</v>
      </c>
      <c r="D1108" s="297"/>
      <c r="E1108" s="297"/>
      <c r="F1108" s="297"/>
    </row>
    <row r="1109" spans="1:6" x14ac:dyDescent="0.3">
      <c r="A1109" s="40" t="s">
        <v>1120</v>
      </c>
      <c r="B1109" s="281"/>
      <c r="C1109" s="281"/>
      <c r="D1109" s="297"/>
      <c r="E1109" s="297"/>
      <c r="F1109" s="297"/>
    </row>
    <row r="1110" spans="1:6" x14ac:dyDescent="0.3">
      <c r="A1110" s="40"/>
      <c r="B1110" s="281" t="s">
        <v>1121</v>
      </c>
      <c r="C1110" s="281">
        <v>2481</v>
      </c>
      <c r="D1110" s="297"/>
      <c r="E1110" s="297"/>
      <c r="F1110" s="297"/>
    </row>
    <row r="1111" spans="1:6" x14ac:dyDescent="0.3">
      <c r="A1111" s="40"/>
      <c r="B1111" s="281" t="s">
        <v>1122</v>
      </c>
      <c r="C1111" s="281">
        <v>2482</v>
      </c>
      <c r="D1111" s="297"/>
      <c r="E1111" s="297"/>
      <c r="F1111" s="297"/>
    </row>
    <row r="1112" spans="1:6" x14ac:dyDescent="0.3">
      <c r="A1112" s="40"/>
      <c r="B1112" s="281" t="s">
        <v>1123</v>
      </c>
      <c r="C1112" s="281">
        <v>2483</v>
      </c>
      <c r="D1112" s="297"/>
      <c r="E1112" s="297"/>
      <c r="F1112" s="297"/>
    </row>
    <row r="1113" spans="1:6" x14ac:dyDescent="0.3">
      <c r="A1113" s="40"/>
      <c r="B1113" s="281" t="s">
        <v>1124</v>
      </c>
      <c r="C1113" s="281">
        <v>2484</v>
      </c>
      <c r="D1113" s="297"/>
      <c r="E1113" s="297"/>
      <c r="F1113" s="297"/>
    </row>
    <row r="1114" spans="1:6" x14ac:dyDescent="0.3">
      <c r="A1114" s="40"/>
      <c r="B1114" s="281" t="s">
        <v>1125</v>
      </c>
      <c r="C1114" s="281">
        <v>2485</v>
      </c>
      <c r="D1114" s="297"/>
      <c r="E1114" s="297"/>
      <c r="F1114" s="297"/>
    </row>
    <row r="1115" spans="1:6" x14ac:dyDescent="0.3">
      <c r="A1115" s="40"/>
      <c r="B1115" s="281" t="s">
        <v>1126</v>
      </c>
      <c r="C1115" s="281">
        <v>2486</v>
      </c>
      <c r="D1115" s="297"/>
      <c r="E1115" s="297"/>
      <c r="F1115" s="297"/>
    </row>
    <row r="1116" spans="1:6" x14ac:dyDescent="0.3">
      <c r="A1116" s="40"/>
      <c r="B1116" s="281" t="s">
        <v>1127</v>
      </c>
      <c r="C1116" s="281">
        <v>2487</v>
      </c>
      <c r="D1116" s="297"/>
      <c r="E1116" s="297"/>
      <c r="F1116" s="297"/>
    </row>
    <row r="1117" spans="1:6" x14ac:dyDescent="0.3">
      <c r="A1117" s="40"/>
      <c r="B1117" s="281" t="s">
        <v>1128</v>
      </c>
      <c r="C1117" s="281">
        <v>2679</v>
      </c>
      <c r="D1117" s="297"/>
      <c r="E1117" s="297"/>
      <c r="F1117" s="297"/>
    </row>
    <row r="1118" spans="1:6" x14ac:dyDescent="0.3">
      <c r="A1118" s="40"/>
      <c r="B1118" s="281" t="s">
        <v>1129</v>
      </c>
      <c r="C1118" s="281">
        <v>2677</v>
      </c>
      <c r="D1118" s="297"/>
      <c r="E1118" s="297"/>
      <c r="F1118" s="297"/>
    </row>
    <row r="1119" spans="1:6" x14ac:dyDescent="0.3">
      <c r="A1119" s="40"/>
      <c r="B1119" s="281" t="s">
        <v>1130</v>
      </c>
      <c r="C1119" s="281">
        <v>2488</v>
      </c>
      <c r="D1119" s="297"/>
      <c r="E1119" s="297"/>
      <c r="F1119" s="297"/>
    </row>
    <row r="1120" spans="1:6" x14ac:dyDescent="0.3">
      <c r="A1120" s="40"/>
      <c r="B1120" s="281" t="s">
        <v>1131</v>
      </c>
      <c r="C1120" s="281">
        <v>2489</v>
      </c>
      <c r="D1120" s="297"/>
      <c r="E1120" s="297"/>
      <c r="F1120" s="297"/>
    </row>
    <row r="1121" spans="1:6" x14ac:dyDescent="0.3">
      <c r="A1121" s="40"/>
      <c r="B1121" s="281" t="s">
        <v>1132</v>
      </c>
      <c r="C1121" s="281">
        <v>2678</v>
      </c>
      <c r="D1121" s="297"/>
      <c r="E1121" s="297"/>
      <c r="F1121" s="297"/>
    </row>
    <row r="1122" spans="1:6" x14ac:dyDescent="0.3">
      <c r="A1122" s="40"/>
      <c r="B1122" s="281" t="s">
        <v>1133</v>
      </c>
      <c r="C1122" s="281">
        <v>659</v>
      </c>
      <c r="D1122" s="297"/>
      <c r="E1122" s="297"/>
      <c r="F1122" s="297"/>
    </row>
    <row r="1123" spans="1:6" x14ac:dyDescent="0.3">
      <c r="A1123" s="40"/>
      <c r="B1123" s="281" t="s">
        <v>1134</v>
      </c>
      <c r="C1123" s="281">
        <v>2467</v>
      </c>
      <c r="D1123" s="297"/>
      <c r="E1123" s="297"/>
      <c r="F1123" s="297"/>
    </row>
    <row r="1124" spans="1:6" x14ac:dyDescent="0.3">
      <c r="A1124" s="40"/>
      <c r="B1124" s="281" t="s">
        <v>1135</v>
      </c>
      <c r="C1124" s="281">
        <v>2468</v>
      </c>
      <c r="D1124" s="297"/>
      <c r="E1124" s="297"/>
      <c r="F1124" s="297"/>
    </row>
    <row r="1125" spans="1:6" x14ac:dyDescent="0.3">
      <c r="A1125" s="40"/>
      <c r="B1125" s="281" t="s">
        <v>1136</v>
      </c>
      <c r="C1125" s="281">
        <v>2469</v>
      </c>
      <c r="D1125" s="297"/>
      <c r="E1125" s="297"/>
      <c r="F1125" s="297"/>
    </row>
    <row r="1126" spans="1:6" x14ac:dyDescent="0.3">
      <c r="A1126" s="40"/>
      <c r="B1126" s="281" t="s">
        <v>1137</v>
      </c>
      <c r="C1126" s="281">
        <v>2470</v>
      </c>
      <c r="D1126" s="297"/>
      <c r="E1126" s="297"/>
      <c r="F1126" s="297"/>
    </row>
    <row r="1127" spans="1:6" x14ac:dyDescent="0.3">
      <c r="A1127" s="40"/>
      <c r="B1127" s="281" t="s">
        <v>1138</v>
      </c>
      <c r="C1127" s="281">
        <v>2471</v>
      </c>
      <c r="D1127" s="297"/>
      <c r="E1127" s="297"/>
      <c r="F1127" s="297"/>
    </row>
    <row r="1128" spans="1:6" x14ac:dyDescent="0.3">
      <c r="A1128" s="40"/>
      <c r="B1128" s="281" t="s">
        <v>1139</v>
      </c>
      <c r="C1128" s="281">
        <v>2472</v>
      </c>
      <c r="D1128" s="297"/>
      <c r="E1128" s="297"/>
      <c r="F1128" s="297"/>
    </row>
    <row r="1129" spans="1:6" x14ac:dyDescent="0.3">
      <c r="A1129" s="40"/>
      <c r="B1129" s="281" t="s">
        <v>1140</v>
      </c>
      <c r="C1129" s="281">
        <v>2473</v>
      </c>
      <c r="D1129" s="297"/>
      <c r="E1129" s="297"/>
      <c r="F1129" s="297"/>
    </row>
    <row r="1130" spans="1:6" x14ac:dyDescent="0.3">
      <c r="A1130" s="40"/>
      <c r="B1130" s="281" t="s">
        <v>1141</v>
      </c>
      <c r="C1130" s="281">
        <v>2474</v>
      </c>
      <c r="D1130" s="297"/>
      <c r="E1130" s="297"/>
      <c r="F1130" s="297"/>
    </row>
    <row r="1131" spans="1:6" x14ac:dyDescent="0.3">
      <c r="A1131" s="40"/>
      <c r="B1131" s="281" t="s">
        <v>1142</v>
      </c>
      <c r="C1131" s="281">
        <v>2916</v>
      </c>
      <c r="D1131" s="297"/>
      <c r="E1131" s="297"/>
      <c r="F1131" s="297"/>
    </row>
    <row r="1132" spans="1:6" x14ac:dyDescent="0.3">
      <c r="A1132" s="40"/>
      <c r="B1132" s="281" t="s">
        <v>1143</v>
      </c>
      <c r="C1132" s="281">
        <v>2475</v>
      </c>
      <c r="D1132" s="297"/>
      <c r="E1132" s="297"/>
      <c r="F1132" s="297"/>
    </row>
    <row r="1133" spans="1:6" x14ac:dyDescent="0.3">
      <c r="A1133" s="40"/>
      <c r="B1133" s="281" t="s">
        <v>1144</v>
      </c>
      <c r="C1133" s="281">
        <v>2476</v>
      </c>
      <c r="D1133" s="297"/>
      <c r="E1133" s="297"/>
      <c r="F1133" s="297"/>
    </row>
    <row r="1134" spans="1:6" x14ac:dyDescent="0.3">
      <c r="A1134" s="40"/>
      <c r="B1134" s="281" t="s">
        <v>1145</v>
      </c>
      <c r="C1134" s="281">
        <v>2477</v>
      </c>
      <c r="D1134" s="297"/>
      <c r="E1134" s="297"/>
      <c r="F1134" s="297"/>
    </row>
    <row r="1135" spans="1:6" x14ac:dyDescent="0.3">
      <c r="A1135" s="40"/>
      <c r="B1135" s="281" t="s">
        <v>1146</v>
      </c>
      <c r="C1135" s="281">
        <v>2478</v>
      </c>
      <c r="D1135" s="297"/>
      <c r="E1135" s="297"/>
      <c r="F1135" s="297"/>
    </row>
    <row r="1136" spans="1:6" x14ac:dyDescent="0.3">
      <c r="A1136" s="40"/>
      <c r="B1136" s="281" t="s">
        <v>1147</v>
      </c>
      <c r="C1136" s="281">
        <v>2479</v>
      </c>
      <c r="D1136" s="297"/>
      <c r="E1136" s="297"/>
      <c r="F1136" s="297"/>
    </row>
    <row r="1137" spans="1:6" x14ac:dyDescent="0.3">
      <c r="A1137" s="40"/>
      <c r="B1137" s="281" t="s">
        <v>1148</v>
      </c>
      <c r="C1137" s="281">
        <v>2480</v>
      </c>
      <c r="D1137" s="297"/>
      <c r="E1137" s="297"/>
      <c r="F1137" s="297"/>
    </row>
    <row r="1138" spans="1:6" x14ac:dyDescent="0.3">
      <c r="A1138" s="40"/>
      <c r="B1138" s="281" t="s">
        <v>1149</v>
      </c>
      <c r="C1138" s="281">
        <v>2917</v>
      </c>
      <c r="D1138" s="297"/>
      <c r="E1138" s="297"/>
      <c r="F1138" s="297"/>
    </row>
    <row r="1139" spans="1:6" x14ac:dyDescent="0.3">
      <c r="A1139" s="40"/>
      <c r="B1139" s="281" t="s">
        <v>1150</v>
      </c>
      <c r="C1139" s="281">
        <v>2512</v>
      </c>
      <c r="D1139" s="297"/>
      <c r="E1139" s="297"/>
      <c r="F1139" s="297"/>
    </row>
    <row r="1140" spans="1:6" x14ac:dyDescent="0.3">
      <c r="A1140" s="40"/>
      <c r="B1140" s="281" t="s">
        <v>1151</v>
      </c>
      <c r="C1140" s="281">
        <v>809</v>
      </c>
      <c r="D1140" s="297"/>
      <c r="E1140" s="297"/>
      <c r="F1140" s="297"/>
    </row>
    <row r="1141" spans="1:6" x14ac:dyDescent="0.3">
      <c r="A1141" s="40"/>
      <c r="B1141" s="281" t="s">
        <v>1152</v>
      </c>
      <c r="C1141" s="281">
        <v>657</v>
      </c>
      <c r="D1141" s="297"/>
      <c r="E1141" s="297"/>
      <c r="F1141" s="297"/>
    </row>
    <row r="1142" spans="1:6" x14ac:dyDescent="0.3">
      <c r="A1142" s="40"/>
      <c r="B1142" s="281" t="s">
        <v>1153</v>
      </c>
      <c r="C1142" s="281">
        <v>658</v>
      </c>
      <c r="D1142" s="297"/>
      <c r="E1142" s="297"/>
      <c r="F1142" s="297"/>
    </row>
    <row r="1143" spans="1:6" x14ac:dyDescent="0.3">
      <c r="A1143" s="40"/>
      <c r="B1143" s="281" t="s">
        <v>1154</v>
      </c>
      <c r="C1143" s="281">
        <v>2621</v>
      </c>
      <c r="D1143" s="297"/>
      <c r="E1143" s="297"/>
      <c r="F1143" s="297"/>
    </row>
    <row r="1144" spans="1:6" x14ac:dyDescent="0.3">
      <c r="A1144" s="40"/>
      <c r="B1144" s="281" t="s">
        <v>1155</v>
      </c>
      <c r="C1144" s="281">
        <v>2490</v>
      </c>
      <c r="D1144" s="297"/>
      <c r="E1144" s="297"/>
      <c r="F1144" s="297"/>
    </row>
    <row r="1145" spans="1:6" x14ac:dyDescent="0.3">
      <c r="A1145" s="40"/>
      <c r="B1145" s="281" t="s">
        <v>1156</v>
      </c>
      <c r="C1145" s="281">
        <v>2861</v>
      </c>
      <c r="D1145" s="297"/>
      <c r="E1145" s="297"/>
      <c r="F1145" s="297"/>
    </row>
    <row r="1146" spans="1:6" x14ac:dyDescent="0.3">
      <c r="A1146" s="40"/>
      <c r="B1146" s="281" t="s">
        <v>1157</v>
      </c>
      <c r="C1146" s="281">
        <v>2491</v>
      </c>
      <c r="D1146" s="297"/>
      <c r="E1146" s="297"/>
      <c r="F1146" s="297"/>
    </row>
    <row r="1147" spans="1:6" x14ac:dyDescent="0.3">
      <c r="A1147" s="40"/>
      <c r="B1147" s="281" t="s">
        <v>1158</v>
      </c>
      <c r="C1147" s="281">
        <v>2493</v>
      </c>
      <c r="D1147" s="297"/>
      <c r="E1147" s="297"/>
      <c r="F1147" s="297"/>
    </row>
    <row r="1148" spans="1:6" x14ac:dyDescent="0.3">
      <c r="A1148" s="40"/>
      <c r="B1148" s="281" t="s">
        <v>1159</v>
      </c>
      <c r="C1148" s="281">
        <v>2494</v>
      </c>
      <c r="D1148" s="297"/>
      <c r="E1148" s="297"/>
      <c r="F1148" s="297"/>
    </row>
    <row r="1149" spans="1:6" x14ac:dyDescent="0.3">
      <c r="A1149" s="40"/>
      <c r="B1149" s="281" t="s">
        <v>1160</v>
      </c>
      <c r="C1149" s="281">
        <v>2538</v>
      </c>
      <c r="D1149" s="297"/>
      <c r="E1149" s="297"/>
      <c r="F1149" s="297"/>
    </row>
    <row r="1150" spans="1:6" x14ac:dyDescent="0.3">
      <c r="A1150" s="40"/>
      <c r="B1150" s="281" t="s">
        <v>1161</v>
      </c>
      <c r="C1150" s="281">
        <v>2495</v>
      </c>
      <c r="D1150" s="297"/>
      <c r="E1150" s="297"/>
      <c r="F1150" s="297"/>
    </row>
    <row r="1151" spans="1:6" x14ac:dyDescent="0.3">
      <c r="A1151" s="40"/>
      <c r="B1151" s="281" t="s">
        <v>1162</v>
      </c>
      <c r="C1151" s="281">
        <v>2496</v>
      </c>
      <c r="D1151" s="297"/>
      <c r="E1151" s="297"/>
      <c r="F1151" s="297"/>
    </row>
    <row r="1152" spans="1:6" x14ac:dyDescent="0.3">
      <c r="A1152" s="40"/>
      <c r="B1152" s="281" t="s">
        <v>1163</v>
      </c>
      <c r="C1152" s="281">
        <v>2497</v>
      </c>
      <c r="D1152" s="297"/>
      <c r="E1152" s="297"/>
      <c r="F1152" s="297"/>
    </row>
    <row r="1153" spans="1:6" x14ac:dyDescent="0.3">
      <c r="A1153" s="40"/>
      <c r="B1153" s="281" t="s">
        <v>1164</v>
      </c>
      <c r="C1153" s="281">
        <v>2498</v>
      </c>
      <c r="D1153" s="297"/>
      <c r="E1153" s="297"/>
      <c r="F1153" s="297"/>
    </row>
    <row r="1154" spans="1:6" x14ac:dyDescent="0.3">
      <c r="A1154" s="40"/>
      <c r="B1154" s="281" t="s">
        <v>1165</v>
      </c>
      <c r="C1154" s="281">
        <v>2858</v>
      </c>
      <c r="D1154" s="297"/>
      <c r="E1154" s="297"/>
      <c r="F1154" s="297"/>
    </row>
    <row r="1155" spans="1:6" x14ac:dyDescent="0.3">
      <c r="A1155" s="40"/>
      <c r="B1155" s="281" t="s">
        <v>1166</v>
      </c>
      <c r="C1155" s="281">
        <v>2938</v>
      </c>
    </row>
    <row r="1156" spans="1:6" x14ac:dyDescent="0.3">
      <c r="A1156" s="40"/>
      <c r="B1156" s="281" t="s">
        <v>1167</v>
      </c>
      <c r="C1156" s="281">
        <v>2499</v>
      </c>
    </row>
    <row r="1157" spans="1:6" x14ac:dyDescent="0.3">
      <c r="A1157" s="40"/>
      <c r="B1157" s="281" t="s">
        <v>1168</v>
      </c>
      <c r="C1157" s="281">
        <v>2500</v>
      </c>
    </row>
    <row r="1158" spans="1:6" x14ac:dyDescent="0.3">
      <c r="A1158" s="40"/>
      <c r="B1158" s="281" t="s">
        <v>1169</v>
      </c>
      <c r="C1158" s="281">
        <v>2501</v>
      </c>
    </row>
    <row r="1159" spans="1:6" x14ac:dyDescent="0.3">
      <c r="A1159" s="40"/>
      <c r="B1159" s="281" t="s">
        <v>1170</v>
      </c>
      <c r="C1159" s="281">
        <v>2502</v>
      </c>
    </row>
    <row r="1160" spans="1:6" x14ac:dyDescent="0.3">
      <c r="A1160" s="40"/>
      <c r="B1160" s="281" t="s">
        <v>1171</v>
      </c>
      <c r="C1160" s="281">
        <v>2564</v>
      </c>
    </row>
    <row r="1161" spans="1:6" x14ac:dyDescent="0.3">
      <c r="A1161" s="40"/>
      <c r="B1161" s="281" t="s">
        <v>1172</v>
      </c>
      <c r="C1161" s="281">
        <v>2860</v>
      </c>
    </row>
    <row r="1162" spans="1:6" x14ac:dyDescent="0.3">
      <c r="A1162" s="40"/>
      <c r="B1162" s="281" t="s">
        <v>1173</v>
      </c>
      <c r="C1162" s="281">
        <v>2578</v>
      </c>
    </row>
    <row r="1163" spans="1:6" x14ac:dyDescent="0.3">
      <c r="A1163" s="40"/>
      <c r="B1163" s="281" t="s">
        <v>1174</v>
      </c>
      <c r="C1163" s="281">
        <v>2647</v>
      </c>
    </row>
    <row r="1164" spans="1:6" x14ac:dyDescent="0.3">
      <c r="A1164" s="40"/>
      <c r="B1164" s="281" t="s">
        <v>1175</v>
      </c>
      <c r="C1164" s="281">
        <v>2503</v>
      </c>
    </row>
    <row r="1165" spans="1:6" x14ac:dyDescent="0.3">
      <c r="A1165" s="40"/>
      <c r="B1165" s="281" t="s">
        <v>1176</v>
      </c>
      <c r="C1165" s="281">
        <v>2504</v>
      </c>
    </row>
    <row r="1166" spans="1:6" x14ac:dyDescent="0.3">
      <c r="A1166" s="40"/>
      <c r="B1166" s="281" t="s">
        <v>1177</v>
      </c>
      <c r="C1166" s="281">
        <v>2505</v>
      </c>
    </row>
    <row r="1167" spans="1:6" x14ac:dyDescent="0.3">
      <c r="A1167" s="40"/>
      <c r="B1167" s="281" t="s">
        <v>1178</v>
      </c>
      <c r="C1167" s="281">
        <v>2506</v>
      </c>
    </row>
    <row r="1168" spans="1:6" x14ac:dyDescent="0.3">
      <c r="A1168" s="40"/>
      <c r="B1168" s="281" t="s">
        <v>1179</v>
      </c>
      <c r="C1168" s="281">
        <v>2507</v>
      </c>
    </row>
    <row r="1169" spans="1:3" x14ac:dyDescent="0.3">
      <c r="A1169" s="40"/>
      <c r="B1169" s="281" t="s">
        <v>1180</v>
      </c>
      <c r="C1169" s="281">
        <v>2579</v>
      </c>
    </row>
    <row r="1170" spans="1:3" x14ac:dyDescent="0.3">
      <c r="A1170" s="40"/>
      <c r="B1170" s="281" t="s">
        <v>1181</v>
      </c>
      <c r="C1170" s="281">
        <v>2862</v>
      </c>
    </row>
    <row r="1171" spans="1:3" x14ac:dyDescent="0.3">
      <c r="A1171" s="40"/>
      <c r="B1171" s="281" t="s">
        <v>1182</v>
      </c>
      <c r="C1171" s="281">
        <v>2508</v>
      </c>
    </row>
    <row r="1172" spans="1:3" x14ac:dyDescent="0.3">
      <c r="A1172" s="40"/>
      <c r="B1172" s="281" t="s">
        <v>1183</v>
      </c>
      <c r="C1172" s="281">
        <v>2859</v>
      </c>
    </row>
    <row r="1173" spans="1:3" x14ac:dyDescent="0.3">
      <c r="A1173" s="40"/>
      <c r="B1173" s="281" t="s">
        <v>1184</v>
      </c>
      <c r="C1173" s="281">
        <v>2509</v>
      </c>
    </row>
    <row r="1174" spans="1:3" x14ac:dyDescent="0.3">
      <c r="A1174" s="40"/>
      <c r="B1174" s="281" t="s">
        <v>1185</v>
      </c>
      <c r="C1174" s="281">
        <v>2510</v>
      </c>
    </row>
    <row r="1175" spans="1:3" x14ac:dyDescent="0.3">
      <c r="A1175" s="40"/>
      <c r="B1175" s="281" t="s">
        <v>1186</v>
      </c>
      <c r="C1175" s="281">
        <v>2637</v>
      </c>
    </row>
    <row r="1176" spans="1:3" x14ac:dyDescent="0.3">
      <c r="A1176" s="40"/>
      <c r="B1176" s="281" t="s">
        <v>1187</v>
      </c>
      <c r="C1176" s="281">
        <v>656</v>
      </c>
    </row>
    <row r="1177" spans="1:3" x14ac:dyDescent="0.3">
      <c r="A1177" s="40"/>
      <c r="B1177" s="281" t="s">
        <v>1188</v>
      </c>
      <c r="C1177" s="281">
        <v>827</v>
      </c>
    </row>
    <row r="1178" spans="1:3" x14ac:dyDescent="0.3">
      <c r="A1178" s="40"/>
      <c r="B1178" s="281" t="s">
        <v>1189</v>
      </c>
      <c r="C1178" s="281">
        <v>660</v>
      </c>
    </row>
    <row r="1179" spans="1:3" x14ac:dyDescent="0.3">
      <c r="A1179" s="40"/>
      <c r="B1179" s="281" t="s">
        <v>1190</v>
      </c>
      <c r="C1179" s="281">
        <v>2511</v>
      </c>
    </row>
    <row r="1180" spans="1:3" x14ac:dyDescent="0.3">
      <c r="A1180" s="40"/>
      <c r="B1180" s="281" t="s">
        <v>1191</v>
      </c>
      <c r="C1180" s="281">
        <v>2513</v>
      </c>
    </row>
    <row r="1181" spans="1:3" x14ac:dyDescent="0.3">
      <c r="A1181" s="40"/>
      <c r="B1181" s="281" t="s">
        <v>1192</v>
      </c>
      <c r="C1181" s="281">
        <v>2429</v>
      </c>
    </row>
    <row r="1182" spans="1:3" x14ac:dyDescent="0.3">
      <c r="A1182" s="40"/>
      <c r="B1182" s="281" t="s">
        <v>1193</v>
      </c>
      <c r="C1182" s="281">
        <v>2430</v>
      </c>
    </row>
    <row r="1183" spans="1:3" x14ac:dyDescent="0.3">
      <c r="A1183" s="40"/>
      <c r="B1183" s="281" t="s">
        <v>1194</v>
      </c>
      <c r="C1183" s="281">
        <v>2431</v>
      </c>
    </row>
    <row r="1184" spans="1:3" x14ac:dyDescent="0.3">
      <c r="A1184" s="40"/>
      <c r="B1184" s="281" t="s">
        <v>1195</v>
      </c>
      <c r="C1184" s="281">
        <v>2432</v>
      </c>
    </row>
    <row r="1185" spans="1:3" x14ac:dyDescent="0.3">
      <c r="A1185" s="40"/>
      <c r="B1185" s="281" t="s">
        <v>1196</v>
      </c>
      <c r="C1185" s="281">
        <v>2433</v>
      </c>
    </row>
    <row r="1186" spans="1:3" x14ac:dyDescent="0.3">
      <c r="A1186" s="40"/>
      <c r="B1186" s="281" t="s">
        <v>1091</v>
      </c>
      <c r="C1186" s="281">
        <v>803</v>
      </c>
    </row>
    <row r="1187" spans="1:3" x14ac:dyDescent="0.3">
      <c r="A1187" s="40"/>
      <c r="B1187" s="281" t="s">
        <v>1197</v>
      </c>
      <c r="C1187" s="281">
        <v>2434</v>
      </c>
    </row>
    <row r="1188" spans="1:3" x14ac:dyDescent="0.3">
      <c r="A1188" s="40"/>
      <c r="B1188" s="281" t="s">
        <v>1198</v>
      </c>
      <c r="C1188" s="281">
        <v>2435</v>
      </c>
    </row>
    <row r="1189" spans="1:3" x14ac:dyDescent="0.3">
      <c r="A1189" s="40"/>
      <c r="B1189" s="281" t="s">
        <v>1199</v>
      </c>
      <c r="C1189" s="281">
        <v>2897</v>
      </c>
    </row>
    <row r="1190" spans="1:3" x14ac:dyDescent="0.3">
      <c r="A1190" s="40"/>
      <c r="B1190" s="281" t="s">
        <v>1200</v>
      </c>
      <c r="C1190" s="281">
        <v>2436</v>
      </c>
    </row>
    <row r="1191" spans="1:3" x14ac:dyDescent="0.3">
      <c r="A1191" s="40"/>
      <c r="B1191" s="281" t="s">
        <v>1201</v>
      </c>
      <c r="C1191" s="281">
        <v>2437</v>
      </c>
    </row>
    <row r="1192" spans="1:3" x14ac:dyDescent="0.3">
      <c r="A1192" s="40"/>
      <c r="B1192" s="281" t="s">
        <v>1202</v>
      </c>
      <c r="C1192" s="281">
        <v>2438</v>
      </c>
    </row>
    <row r="1193" spans="1:3" x14ac:dyDescent="0.3">
      <c r="A1193" s="40"/>
      <c r="B1193" s="281" t="s">
        <v>1203</v>
      </c>
      <c r="C1193" s="281">
        <v>2439</v>
      </c>
    </row>
    <row r="1194" spans="1:3" x14ac:dyDescent="0.3">
      <c r="A1194" s="40"/>
      <c r="B1194" s="281" t="s">
        <v>1204</v>
      </c>
      <c r="C1194" s="281">
        <v>2440</v>
      </c>
    </row>
    <row r="1195" spans="1:3" x14ac:dyDescent="0.3">
      <c r="A1195" s="40"/>
      <c r="B1195" s="281" t="s">
        <v>1205</v>
      </c>
      <c r="C1195" s="281">
        <v>2441</v>
      </c>
    </row>
    <row r="1196" spans="1:3" x14ac:dyDescent="0.3">
      <c r="A1196" s="40"/>
      <c r="B1196" s="281" t="s">
        <v>1206</v>
      </c>
      <c r="C1196" s="281">
        <v>2442</v>
      </c>
    </row>
    <row r="1197" spans="1:3" x14ac:dyDescent="0.3">
      <c r="A1197" s="40"/>
      <c r="B1197" s="281" t="s">
        <v>1207</v>
      </c>
      <c r="C1197" s="281">
        <v>2921</v>
      </c>
    </row>
    <row r="1198" spans="1:3" x14ac:dyDescent="0.3">
      <c r="A1198" s="40"/>
      <c r="B1198" s="281" t="s">
        <v>1208</v>
      </c>
      <c r="C1198" s="281">
        <v>2443</v>
      </c>
    </row>
    <row r="1199" spans="1:3" x14ac:dyDescent="0.3">
      <c r="A1199" s="40"/>
      <c r="B1199" s="281" t="s">
        <v>1209</v>
      </c>
      <c r="C1199" s="281">
        <v>2444</v>
      </c>
    </row>
    <row r="1200" spans="1:3" x14ac:dyDescent="0.3">
      <c r="A1200" s="40"/>
      <c r="B1200" s="281" t="s">
        <v>1210</v>
      </c>
      <c r="C1200" s="281">
        <v>2445</v>
      </c>
    </row>
    <row r="1201" spans="1:3" x14ac:dyDescent="0.3">
      <c r="A1201" s="40"/>
      <c r="B1201" s="281" t="s">
        <v>1211</v>
      </c>
      <c r="C1201" s="281">
        <v>2763</v>
      </c>
    </row>
    <row r="1202" spans="1:3" x14ac:dyDescent="0.3">
      <c r="A1202" s="40"/>
      <c r="B1202" s="281" t="s">
        <v>1212</v>
      </c>
      <c r="C1202" s="281">
        <v>2446</v>
      </c>
    </row>
    <row r="1203" spans="1:3" x14ac:dyDescent="0.3">
      <c r="A1203" s="40"/>
      <c r="B1203" s="281" t="s">
        <v>1213</v>
      </c>
      <c r="C1203" s="281">
        <v>2447</v>
      </c>
    </row>
    <row r="1204" spans="1:3" x14ac:dyDescent="0.3">
      <c r="A1204" s="40"/>
      <c r="B1204" s="281" t="s">
        <v>1214</v>
      </c>
      <c r="C1204" s="281">
        <v>2448</v>
      </c>
    </row>
    <row r="1205" spans="1:3" x14ac:dyDescent="0.3">
      <c r="A1205" s="40"/>
      <c r="B1205" s="281" t="s">
        <v>1215</v>
      </c>
      <c r="C1205" s="281">
        <v>2449</v>
      </c>
    </row>
    <row r="1206" spans="1:3" x14ac:dyDescent="0.3">
      <c r="A1206" s="40"/>
      <c r="B1206" s="281" t="s">
        <v>1216</v>
      </c>
      <c r="C1206" s="281">
        <v>2450</v>
      </c>
    </row>
    <row r="1207" spans="1:3" x14ac:dyDescent="0.3">
      <c r="A1207" s="40"/>
      <c r="B1207" s="281" t="s">
        <v>1217</v>
      </c>
      <c r="C1207" s="281">
        <v>2451</v>
      </c>
    </row>
    <row r="1208" spans="1:3" x14ac:dyDescent="0.3">
      <c r="A1208" s="40"/>
      <c r="B1208" s="281" t="s">
        <v>1218</v>
      </c>
      <c r="C1208" s="281">
        <v>2452</v>
      </c>
    </row>
    <row r="1209" spans="1:3" x14ac:dyDescent="0.3">
      <c r="A1209" s="40"/>
      <c r="B1209" s="281" t="s">
        <v>1219</v>
      </c>
      <c r="C1209" s="281">
        <v>2453</v>
      </c>
    </row>
    <row r="1210" spans="1:3" x14ac:dyDescent="0.3">
      <c r="A1210" s="40"/>
      <c r="B1210" s="281" t="s">
        <v>1220</v>
      </c>
      <c r="C1210" s="281">
        <v>818</v>
      </c>
    </row>
    <row r="1211" spans="1:3" x14ac:dyDescent="0.3">
      <c r="A1211" s="40"/>
      <c r="B1211" s="281" t="s">
        <v>1221</v>
      </c>
      <c r="C1211" s="281">
        <v>2455</v>
      </c>
    </row>
    <row r="1212" spans="1:3" x14ac:dyDescent="0.3">
      <c r="A1212" s="40"/>
      <c r="B1212" s="281" t="s">
        <v>1222</v>
      </c>
      <c r="C1212" s="281">
        <v>2456</v>
      </c>
    </row>
    <row r="1213" spans="1:3" x14ac:dyDescent="0.3">
      <c r="A1213" s="40"/>
      <c r="B1213" s="281" t="s">
        <v>1223</v>
      </c>
      <c r="C1213" s="281">
        <v>2457</v>
      </c>
    </row>
    <row r="1214" spans="1:3" x14ac:dyDescent="0.3">
      <c r="A1214" s="40"/>
      <c r="B1214" s="281" t="s">
        <v>1224</v>
      </c>
      <c r="C1214" s="281">
        <v>2458</v>
      </c>
    </row>
    <row r="1215" spans="1:3" x14ac:dyDescent="0.3">
      <c r="A1215" s="40"/>
      <c r="B1215" s="281" t="s">
        <v>1225</v>
      </c>
      <c r="C1215" s="281">
        <v>2459</v>
      </c>
    </row>
    <row r="1216" spans="1:3" x14ac:dyDescent="0.3">
      <c r="A1216" s="40"/>
      <c r="B1216" s="281" t="s">
        <v>1226</v>
      </c>
      <c r="C1216" s="281">
        <v>2461</v>
      </c>
    </row>
    <row r="1217" spans="1:3" x14ac:dyDescent="0.3">
      <c r="A1217" s="40"/>
      <c r="B1217" s="281" t="s">
        <v>1227</v>
      </c>
      <c r="C1217" s="281">
        <v>2460</v>
      </c>
    </row>
    <row r="1218" spans="1:3" x14ac:dyDescent="0.3">
      <c r="A1218" s="40"/>
      <c r="B1218" s="281" t="s">
        <v>1228</v>
      </c>
      <c r="C1218" s="281">
        <v>2463</v>
      </c>
    </row>
    <row r="1219" spans="1:3" x14ac:dyDescent="0.3">
      <c r="A1219" s="40"/>
      <c r="B1219" s="281" t="s">
        <v>1229</v>
      </c>
      <c r="C1219" s="281">
        <v>2462</v>
      </c>
    </row>
    <row r="1220" spans="1:3" x14ac:dyDescent="0.3">
      <c r="A1220" s="40"/>
      <c r="B1220" s="281" t="s">
        <v>1230</v>
      </c>
      <c r="C1220" s="281">
        <v>2465</v>
      </c>
    </row>
    <row r="1221" spans="1:3" x14ac:dyDescent="0.3">
      <c r="A1221" s="40"/>
      <c r="B1221" s="281" t="s">
        <v>1231</v>
      </c>
      <c r="C1221" s="281">
        <v>2464</v>
      </c>
    </row>
    <row r="1222" spans="1:3" x14ac:dyDescent="0.3">
      <c r="A1222" s="40"/>
      <c r="B1222" s="281" t="s">
        <v>1232</v>
      </c>
      <c r="C1222" s="281">
        <v>2466</v>
      </c>
    </row>
    <row r="1223" spans="1:3" x14ac:dyDescent="0.3">
      <c r="A1223" s="40"/>
      <c r="B1223" s="281" t="s">
        <v>1233</v>
      </c>
      <c r="C1223" s="281">
        <v>661</v>
      </c>
    </row>
    <row r="1224" spans="1:3" x14ac:dyDescent="0.3">
      <c r="A1224" s="40"/>
      <c r="B1224" s="281" t="s">
        <v>1234</v>
      </c>
      <c r="C1224" s="281">
        <v>1727</v>
      </c>
    </row>
    <row r="1225" spans="1:3" x14ac:dyDescent="0.3">
      <c r="A1225" s="40"/>
      <c r="B1225" s="281" t="s">
        <v>1235</v>
      </c>
      <c r="C1225" s="281">
        <v>1726</v>
      </c>
    </row>
    <row r="1226" spans="1:3" x14ac:dyDescent="0.3">
      <c r="A1226" s="40"/>
      <c r="B1226" s="281" t="s">
        <v>1236</v>
      </c>
      <c r="C1226" s="281">
        <v>1319</v>
      </c>
    </row>
    <row r="1227" spans="1:3" x14ac:dyDescent="0.3">
      <c r="A1227" s="40"/>
      <c r="B1227" s="281" t="s">
        <v>1237</v>
      </c>
      <c r="C1227" s="281">
        <v>1318</v>
      </c>
    </row>
    <row r="1228" spans="1:3" x14ac:dyDescent="0.3">
      <c r="A1228" s="40"/>
      <c r="B1228" s="281" t="s">
        <v>1238</v>
      </c>
      <c r="C1228" s="281">
        <v>826</v>
      </c>
    </row>
    <row r="1229" spans="1:3" x14ac:dyDescent="0.3">
      <c r="A1229" s="40"/>
      <c r="B1229" s="281" t="s">
        <v>1239</v>
      </c>
      <c r="C1229" s="281">
        <v>2319</v>
      </c>
    </row>
    <row r="1230" spans="1:3" x14ac:dyDescent="0.3">
      <c r="A1230" s="40"/>
      <c r="B1230" s="281" t="s">
        <v>1240</v>
      </c>
      <c r="C1230" s="281">
        <v>1029</v>
      </c>
    </row>
    <row r="1231" spans="1:3" x14ac:dyDescent="0.3">
      <c r="A1231" s="40"/>
      <c r="B1231" s="281" t="s">
        <v>1241</v>
      </c>
      <c r="C1231" s="281">
        <v>772</v>
      </c>
    </row>
    <row r="1232" spans="1:3" x14ac:dyDescent="0.3">
      <c r="A1232" s="40"/>
      <c r="B1232" s="281" t="s">
        <v>1242</v>
      </c>
      <c r="C1232" s="281">
        <v>2635</v>
      </c>
    </row>
    <row r="1233" spans="1:3" x14ac:dyDescent="0.3">
      <c r="A1233" s="40"/>
      <c r="B1233" s="281" t="s">
        <v>1243</v>
      </c>
      <c r="C1233" s="281">
        <v>1368</v>
      </c>
    </row>
    <row r="1234" spans="1:3" x14ac:dyDescent="0.3">
      <c r="A1234" s="40"/>
      <c r="B1234" s="281" t="s">
        <v>1244</v>
      </c>
      <c r="C1234" s="281">
        <v>1808</v>
      </c>
    </row>
    <row r="1235" spans="1:3" x14ac:dyDescent="0.3">
      <c r="A1235" s="40"/>
      <c r="B1235" s="281" t="s">
        <v>1245</v>
      </c>
      <c r="C1235" s="281">
        <v>2910</v>
      </c>
    </row>
    <row r="1236" spans="1:3" x14ac:dyDescent="0.3">
      <c r="A1236" s="40"/>
      <c r="B1236" s="281" t="s">
        <v>1246</v>
      </c>
      <c r="C1236" s="281">
        <v>2766</v>
      </c>
    </row>
    <row r="1237" spans="1:3" x14ac:dyDescent="0.3">
      <c r="A1237" s="40"/>
      <c r="B1237" s="281" t="s">
        <v>1247</v>
      </c>
      <c r="C1237" s="281">
        <v>791</v>
      </c>
    </row>
    <row r="1238" spans="1:3" x14ac:dyDescent="0.3">
      <c r="A1238" s="40"/>
      <c r="B1238" s="281" t="s">
        <v>1248</v>
      </c>
      <c r="C1238" s="281">
        <v>828</v>
      </c>
    </row>
    <row r="1239" spans="1:3" x14ac:dyDescent="0.3">
      <c r="A1239" s="40"/>
      <c r="B1239" s="281" t="s">
        <v>1022</v>
      </c>
      <c r="C1239" s="281">
        <v>1365</v>
      </c>
    </row>
    <row r="1240" spans="1:3" x14ac:dyDescent="0.3">
      <c r="A1240" s="40"/>
      <c r="B1240" s="281" t="s">
        <v>1249</v>
      </c>
      <c r="C1240" s="281">
        <v>601</v>
      </c>
    </row>
    <row r="1241" spans="1:3" x14ac:dyDescent="0.3">
      <c r="A1241" s="40"/>
      <c r="B1241" s="281" t="s">
        <v>1084</v>
      </c>
      <c r="C1241" s="281">
        <v>733</v>
      </c>
    </row>
    <row r="1242" spans="1:3" x14ac:dyDescent="0.3">
      <c r="A1242" s="40"/>
      <c r="B1242" s="281" t="s">
        <v>1250</v>
      </c>
      <c r="C1242" s="281">
        <v>776</v>
      </c>
    </row>
    <row r="1243" spans="1:3" x14ac:dyDescent="0.3">
      <c r="A1243" s="40"/>
      <c r="B1243" s="281" t="s">
        <v>1251</v>
      </c>
      <c r="C1243" s="281">
        <v>2895</v>
      </c>
    </row>
    <row r="1244" spans="1:3" x14ac:dyDescent="0.3">
      <c r="A1244" s="40"/>
      <c r="B1244" s="281" t="s">
        <v>1252</v>
      </c>
      <c r="C1244" s="281">
        <v>1961</v>
      </c>
    </row>
    <row r="1245" spans="1:3" x14ac:dyDescent="0.3">
      <c r="A1245" s="40"/>
      <c r="B1245" s="281" t="s">
        <v>1253</v>
      </c>
      <c r="C1245" s="281">
        <v>607</v>
      </c>
    </row>
    <row r="1246" spans="1:3" x14ac:dyDescent="0.3">
      <c r="A1246" s="40" t="s">
        <v>1254</v>
      </c>
      <c r="B1246" s="281"/>
      <c r="C1246" s="281"/>
    </row>
    <row r="1247" spans="1:3" x14ac:dyDescent="0.3">
      <c r="A1247" s="40"/>
      <c r="B1247" s="281" t="s">
        <v>1255</v>
      </c>
      <c r="C1247" s="281">
        <v>2944</v>
      </c>
    </row>
    <row r="1248" spans="1:3" x14ac:dyDescent="0.3">
      <c r="A1248" s="40"/>
      <c r="B1248" s="281" t="s">
        <v>1256</v>
      </c>
      <c r="C1248" s="281">
        <v>839</v>
      </c>
    </row>
    <row r="1249" spans="1:3" x14ac:dyDescent="0.3">
      <c r="A1249" s="40"/>
      <c r="B1249" s="281" t="s">
        <v>1257</v>
      </c>
      <c r="C1249" s="281">
        <v>2934</v>
      </c>
    </row>
    <row r="1250" spans="1:3" x14ac:dyDescent="0.3">
      <c r="A1250" s="40"/>
      <c r="B1250" s="281" t="s">
        <v>1258</v>
      </c>
      <c r="C1250" s="281">
        <v>635</v>
      </c>
    </row>
    <row r="1251" spans="1:3" x14ac:dyDescent="0.3">
      <c r="A1251" s="40"/>
      <c r="B1251" s="281" t="s">
        <v>1259</v>
      </c>
      <c r="C1251" s="281">
        <v>636</v>
      </c>
    </row>
    <row r="1252" spans="1:3" x14ac:dyDescent="0.3">
      <c r="A1252" s="40"/>
      <c r="B1252" s="281" t="s">
        <v>1260</v>
      </c>
      <c r="C1252" s="281">
        <v>1941</v>
      </c>
    </row>
    <row r="1253" spans="1:3" x14ac:dyDescent="0.3">
      <c r="A1253" s="40"/>
      <c r="B1253" s="281" t="s">
        <v>1261</v>
      </c>
      <c r="C1253" s="281">
        <v>1929</v>
      </c>
    </row>
    <row r="1254" spans="1:3" x14ac:dyDescent="0.3">
      <c r="A1254" s="40"/>
      <c r="B1254" s="281" t="s">
        <v>1262</v>
      </c>
      <c r="C1254" s="281">
        <v>1972</v>
      </c>
    </row>
    <row r="1255" spans="1:3" x14ac:dyDescent="0.3">
      <c r="A1255" s="40"/>
      <c r="B1255" s="281" t="s">
        <v>1263</v>
      </c>
      <c r="C1255" s="281">
        <v>1024</v>
      </c>
    </row>
    <row r="1256" spans="1:3" x14ac:dyDescent="0.3">
      <c r="A1256" s="40"/>
      <c r="B1256" s="281" t="s">
        <v>1264</v>
      </c>
      <c r="C1256" s="281">
        <v>1240</v>
      </c>
    </row>
    <row r="1257" spans="1:3" x14ac:dyDescent="0.3">
      <c r="A1257" s="40"/>
      <c r="B1257" s="281" t="s">
        <v>1265</v>
      </c>
      <c r="C1257" s="281">
        <v>2685</v>
      </c>
    </row>
    <row r="1258" spans="1:3" x14ac:dyDescent="0.3">
      <c r="A1258" s="40"/>
      <c r="B1258" s="281" t="s">
        <v>1266</v>
      </c>
      <c r="C1258" s="281">
        <v>732</v>
      </c>
    </row>
    <row r="1259" spans="1:3" x14ac:dyDescent="0.3">
      <c r="A1259" s="40"/>
      <c r="B1259" s="281" t="s">
        <v>1267</v>
      </c>
      <c r="C1259" s="281">
        <v>1020</v>
      </c>
    </row>
    <row r="1260" spans="1:3" x14ac:dyDescent="0.3">
      <c r="A1260" s="40"/>
      <c r="B1260" s="281" t="s">
        <v>1268</v>
      </c>
      <c r="C1260" s="281">
        <v>639</v>
      </c>
    </row>
    <row r="1261" spans="1:3" x14ac:dyDescent="0.3">
      <c r="A1261" s="40"/>
      <c r="B1261" s="281" t="s">
        <v>1269</v>
      </c>
      <c r="C1261" s="281">
        <v>1025</v>
      </c>
    </row>
    <row r="1262" spans="1:3" x14ac:dyDescent="0.3">
      <c r="A1262" s="40"/>
      <c r="B1262" s="281" t="s">
        <v>1270</v>
      </c>
      <c r="C1262" s="281">
        <v>1239</v>
      </c>
    </row>
    <row r="1263" spans="1:3" x14ac:dyDescent="0.3">
      <c r="A1263" s="40"/>
      <c r="B1263" s="281" t="s">
        <v>1271</v>
      </c>
      <c r="C1263" s="281">
        <v>747</v>
      </c>
    </row>
    <row r="1264" spans="1:3" x14ac:dyDescent="0.3">
      <c r="A1264" s="40"/>
      <c r="B1264" s="281" t="s">
        <v>1272</v>
      </c>
      <c r="C1264" s="281">
        <v>2711</v>
      </c>
    </row>
    <row r="1265" spans="1:3" x14ac:dyDescent="0.3">
      <c r="A1265" s="40"/>
      <c r="B1265" s="281" t="s">
        <v>1273</v>
      </c>
      <c r="C1265" s="281">
        <v>1898</v>
      </c>
    </row>
    <row r="1266" spans="1:3" x14ac:dyDescent="0.3">
      <c r="A1266" s="40"/>
      <c r="B1266" s="281" t="s">
        <v>1274</v>
      </c>
      <c r="C1266" s="281">
        <v>447</v>
      </c>
    </row>
    <row r="1267" spans="1:3" x14ac:dyDescent="0.3">
      <c r="A1267" s="40"/>
      <c r="B1267" s="281" t="s">
        <v>1275</v>
      </c>
      <c r="C1267" s="281">
        <v>1241</v>
      </c>
    </row>
    <row r="1268" spans="1:3" x14ac:dyDescent="0.3">
      <c r="A1268" s="40"/>
      <c r="B1268" s="281" t="s">
        <v>1276</v>
      </c>
      <c r="C1268" s="281">
        <v>2950</v>
      </c>
    </row>
    <row r="1269" spans="1:3" x14ac:dyDescent="0.3">
      <c r="A1269" s="40"/>
      <c r="B1269" s="281" t="s">
        <v>1277</v>
      </c>
      <c r="C1269" s="281">
        <v>1716</v>
      </c>
    </row>
    <row r="1270" spans="1:3" x14ac:dyDescent="0.3">
      <c r="A1270" s="40"/>
      <c r="B1270" s="281" t="s">
        <v>1278</v>
      </c>
      <c r="C1270" s="281">
        <v>638</v>
      </c>
    </row>
    <row r="1271" spans="1:3" x14ac:dyDescent="0.3">
      <c r="A1271" s="40"/>
      <c r="B1271" s="281" t="s">
        <v>1279</v>
      </c>
      <c r="C1271" s="281">
        <v>637</v>
      </c>
    </row>
    <row r="1272" spans="1:3" x14ac:dyDescent="0.3">
      <c r="A1272" s="40"/>
      <c r="B1272" s="281" t="s">
        <v>1280</v>
      </c>
      <c r="C1272" s="281">
        <v>832</v>
      </c>
    </row>
    <row r="1273" spans="1:3" x14ac:dyDescent="0.3">
      <c r="A1273" s="40"/>
      <c r="B1273" s="281" t="s">
        <v>1281</v>
      </c>
      <c r="C1273" s="281">
        <v>694</v>
      </c>
    </row>
    <row r="1274" spans="1:3" x14ac:dyDescent="0.3">
      <c r="A1274" s="40"/>
      <c r="B1274" s="281" t="s">
        <v>1282</v>
      </c>
      <c r="C1274" s="281">
        <v>587</v>
      </c>
    </row>
    <row r="1275" spans="1:3" x14ac:dyDescent="0.3">
      <c r="A1275" s="40"/>
      <c r="B1275" s="281" t="s">
        <v>1283</v>
      </c>
      <c r="C1275" s="281">
        <v>1026</v>
      </c>
    </row>
    <row r="1276" spans="1:3" x14ac:dyDescent="0.3">
      <c r="A1276" s="40"/>
      <c r="B1276" s="281" t="s">
        <v>1284</v>
      </c>
      <c r="C1276" s="281">
        <v>1974</v>
      </c>
    </row>
    <row r="1277" spans="1:3" x14ac:dyDescent="0.3">
      <c r="A1277" s="40"/>
      <c r="B1277" s="281" t="s">
        <v>1285</v>
      </c>
      <c r="C1277" s="281">
        <v>2671</v>
      </c>
    </row>
    <row r="1278" spans="1:3" x14ac:dyDescent="0.3">
      <c r="A1278" s="40"/>
      <c r="B1278" s="281" t="s">
        <v>258</v>
      </c>
      <c r="C1278" s="281">
        <v>846</v>
      </c>
    </row>
    <row r="1279" spans="1:3" x14ac:dyDescent="0.3">
      <c r="A1279" s="40"/>
      <c r="B1279" s="281" t="s">
        <v>135</v>
      </c>
      <c r="C1279" s="281">
        <v>134</v>
      </c>
    </row>
    <row r="1280" spans="1:3" x14ac:dyDescent="0.3">
      <c r="A1280" s="40"/>
      <c r="B1280" s="281" t="s">
        <v>1286</v>
      </c>
      <c r="C1280" s="281">
        <v>2894</v>
      </c>
    </row>
    <row r="1281" spans="1:3" x14ac:dyDescent="0.3">
      <c r="A1281" s="40"/>
      <c r="B1281" s="281" t="s">
        <v>1287</v>
      </c>
      <c r="C1281" s="281">
        <v>651</v>
      </c>
    </row>
    <row r="1282" spans="1:3" x14ac:dyDescent="0.3">
      <c r="A1282" s="40"/>
      <c r="B1282" s="281" t="s">
        <v>772</v>
      </c>
      <c r="C1282" s="281">
        <v>649</v>
      </c>
    </row>
    <row r="1283" spans="1:3" x14ac:dyDescent="0.3">
      <c r="A1283" s="40"/>
      <c r="B1283" s="281" t="s">
        <v>1288</v>
      </c>
      <c r="C1283" s="281">
        <v>1228</v>
      </c>
    </row>
    <row r="1284" spans="1:3" x14ac:dyDescent="0.3">
      <c r="A1284" s="40"/>
      <c r="B1284" s="281" t="s">
        <v>1289</v>
      </c>
      <c r="C1284" s="281">
        <v>2945</v>
      </c>
    </row>
    <row r="1285" spans="1:3" x14ac:dyDescent="0.3">
      <c r="A1285" s="40"/>
      <c r="B1285" s="281" t="s">
        <v>1290</v>
      </c>
      <c r="C1285" s="281">
        <v>1299</v>
      </c>
    </row>
    <row r="1286" spans="1:3" x14ac:dyDescent="0.3">
      <c r="A1286" s="40"/>
      <c r="B1286" s="281" t="s">
        <v>1291</v>
      </c>
      <c r="C1286" s="281">
        <v>2650</v>
      </c>
    </row>
    <row r="1287" spans="1:3" x14ac:dyDescent="0.3">
      <c r="A1287" s="40"/>
      <c r="B1287" s="281" t="s">
        <v>917</v>
      </c>
      <c r="C1287" s="281">
        <v>610</v>
      </c>
    </row>
    <row r="1288" spans="1:3" x14ac:dyDescent="0.3">
      <c r="A1288" s="40"/>
      <c r="B1288" s="281" t="s">
        <v>1292</v>
      </c>
      <c r="C1288" s="281">
        <v>1894</v>
      </c>
    </row>
    <row r="1289" spans="1:3" x14ac:dyDescent="0.3">
      <c r="A1289" s="40"/>
      <c r="B1289" s="281" t="s">
        <v>1293</v>
      </c>
      <c r="C1289" s="281">
        <v>1901</v>
      </c>
    </row>
    <row r="1290" spans="1:3" x14ac:dyDescent="0.3">
      <c r="A1290" s="40"/>
      <c r="B1290" s="281" t="s">
        <v>1294</v>
      </c>
      <c r="C1290" s="281">
        <v>2908</v>
      </c>
    </row>
    <row r="1291" spans="1:3" x14ac:dyDescent="0.3">
      <c r="A1291" s="40"/>
      <c r="B1291" s="281" t="s">
        <v>1295</v>
      </c>
      <c r="C1291" s="281">
        <v>1227</v>
      </c>
    </row>
    <row r="1292" spans="1:3" x14ac:dyDescent="0.3">
      <c r="A1292" s="40"/>
      <c r="B1292" s="281" t="s">
        <v>1296</v>
      </c>
      <c r="C1292" s="281">
        <v>1226</v>
      </c>
    </row>
    <row r="1293" spans="1:3" x14ac:dyDescent="0.3">
      <c r="A1293" s="40"/>
      <c r="B1293" s="281" t="s">
        <v>1297</v>
      </c>
      <c r="C1293" s="281">
        <v>2918</v>
      </c>
    </row>
    <row r="1294" spans="1:3" x14ac:dyDescent="0.3">
      <c r="A1294" s="40"/>
      <c r="B1294" s="281" t="s">
        <v>1298</v>
      </c>
      <c r="C1294" s="281">
        <v>1384</v>
      </c>
    </row>
    <row r="1295" spans="1:3" x14ac:dyDescent="0.3">
      <c r="A1295" s="40"/>
      <c r="B1295" s="281" t="s">
        <v>1299</v>
      </c>
      <c r="C1295" s="281">
        <v>1244</v>
      </c>
    </row>
    <row r="1296" spans="1:3" x14ac:dyDescent="0.3">
      <c r="A1296" s="40"/>
      <c r="B1296" s="281" t="s">
        <v>1300</v>
      </c>
      <c r="C1296" s="281">
        <v>650</v>
      </c>
    </row>
    <row r="1297" spans="1:3" x14ac:dyDescent="0.3">
      <c r="A1297" s="40"/>
      <c r="B1297" s="281" t="s">
        <v>1301</v>
      </c>
      <c r="C1297" s="281">
        <v>1243</v>
      </c>
    </row>
    <row r="1298" spans="1:3" x14ac:dyDescent="0.3">
      <c r="A1298" s="40"/>
      <c r="B1298" s="281" t="s">
        <v>1302</v>
      </c>
      <c r="C1298" s="281">
        <v>1300</v>
      </c>
    </row>
    <row r="1299" spans="1:3" x14ac:dyDescent="0.3">
      <c r="A1299" s="40"/>
      <c r="B1299" s="281" t="s">
        <v>1303</v>
      </c>
      <c r="C1299" s="281">
        <v>2943</v>
      </c>
    </row>
    <row r="1300" spans="1:3" x14ac:dyDescent="0.3">
      <c r="A1300" s="40"/>
      <c r="B1300" s="281" t="s">
        <v>1304</v>
      </c>
      <c r="C1300" s="281">
        <v>1937</v>
      </c>
    </row>
    <row r="1301" spans="1:3" x14ac:dyDescent="0.3">
      <c r="A1301" s="40"/>
      <c r="B1301" s="281" t="s">
        <v>1305</v>
      </c>
      <c r="C1301" s="281">
        <v>648</v>
      </c>
    </row>
    <row r="1302" spans="1:3" x14ac:dyDescent="0.3">
      <c r="A1302" s="40" t="s">
        <v>1306</v>
      </c>
      <c r="B1302" s="281"/>
      <c r="C1302" s="281"/>
    </row>
    <row r="1303" spans="1:3" x14ac:dyDescent="0.3">
      <c r="A1303" s="40"/>
      <c r="B1303" s="281" t="s">
        <v>1284</v>
      </c>
      <c r="C1303" s="281">
        <v>810</v>
      </c>
    </row>
    <row r="1304" spans="1:3" x14ac:dyDescent="0.3">
      <c r="A1304" s="40"/>
      <c r="B1304" s="281" t="s">
        <v>1307</v>
      </c>
      <c r="C1304" s="281">
        <v>807</v>
      </c>
    </row>
    <row r="1305" spans="1:3" x14ac:dyDescent="0.3">
      <c r="A1305" s="40"/>
      <c r="B1305" s="281" t="s">
        <v>1308</v>
      </c>
      <c r="C1305" s="281">
        <v>811</v>
      </c>
    </row>
    <row r="1306" spans="1:3" x14ac:dyDescent="0.3">
      <c r="A1306" s="40"/>
      <c r="B1306" s="281" t="s">
        <v>1309</v>
      </c>
      <c r="C1306" s="281">
        <v>718</v>
      </c>
    </row>
    <row r="1307" spans="1:3" x14ac:dyDescent="0.3">
      <c r="A1307" s="40"/>
      <c r="B1307" s="281" t="s">
        <v>1265</v>
      </c>
      <c r="C1307" s="281">
        <v>2685</v>
      </c>
    </row>
    <row r="1308" spans="1:3" x14ac:dyDescent="0.3">
      <c r="A1308" s="40"/>
      <c r="B1308" s="281" t="s">
        <v>1310</v>
      </c>
      <c r="C1308" s="281">
        <v>2563</v>
      </c>
    </row>
    <row r="1309" spans="1:3" x14ac:dyDescent="0.3">
      <c r="A1309" s="40"/>
      <c r="B1309" s="281" t="s">
        <v>1311</v>
      </c>
      <c r="C1309" s="281">
        <v>808</v>
      </c>
    </row>
    <row r="1310" spans="1:3" x14ac:dyDescent="0.3">
      <c r="A1310" s="40"/>
      <c r="B1310" s="281" t="s">
        <v>1312</v>
      </c>
      <c r="C1310" s="281">
        <v>719</v>
      </c>
    </row>
    <row r="1311" spans="1:3" x14ac:dyDescent="0.3">
      <c r="A1311" s="40"/>
      <c r="B1311" s="281" t="s">
        <v>1313</v>
      </c>
      <c r="C1311" s="281">
        <v>720</v>
      </c>
    </row>
    <row r="1312" spans="1:3" x14ac:dyDescent="0.3">
      <c r="A1312" s="40"/>
      <c r="B1312" s="281" t="s">
        <v>1314</v>
      </c>
      <c r="C1312" s="281">
        <v>723</v>
      </c>
    </row>
    <row r="1313" spans="1:3" x14ac:dyDescent="0.3">
      <c r="A1313" s="40"/>
      <c r="B1313" s="281" t="s">
        <v>1315</v>
      </c>
      <c r="C1313" s="281">
        <v>721</v>
      </c>
    </row>
    <row r="1314" spans="1:3" x14ac:dyDescent="0.3">
      <c r="A1314" s="40"/>
      <c r="B1314" s="281" t="s">
        <v>1316</v>
      </c>
      <c r="C1314" s="281">
        <v>602</v>
      </c>
    </row>
    <row r="1315" spans="1:3" x14ac:dyDescent="0.3">
      <c r="A1315" s="40"/>
      <c r="B1315" s="281" t="s">
        <v>1317</v>
      </c>
      <c r="C1315" s="281">
        <v>1039</v>
      </c>
    </row>
    <row r="1316" spans="1:3" x14ac:dyDescent="0.3">
      <c r="A1316" s="40"/>
      <c r="B1316" s="281" t="s">
        <v>1318</v>
      </c>
      <c r="C1316" s="281">
        <v>806</v>
      </c>
    </row>
    <row r="1317" spans="1:3" x14ac:dyDescent="0.3">
      <c r="A1317" s="40"/>
      <c r="B1317" s="281" t="s">
        <v>1085</v>
      </c>
      <c r="C1317" s="281">
        <v>1287</v>
      </c>
    </row>
    <row r="1318" spans="1:3" x14ac:dyDescent="0.3">
      <c r="A1318" s="40"/>
      <c r="B1318" s="281" t="s">
        <v>1319</v>
      </c>
      <c r="C1318" s="281">
        <v>722</v>
      </c>
    </row>
    <row r="1319" spans="1:3" x14ac:dyDescent="0.3">
      <c r="A1319" s="40"/>
      <c r="B1319" s="281" t="s">
        <v>1320</v>
      </c>
      <c r="C1319" s="281">
        <v>606</v>
      </c>
    </row>
    <row r="1320" spans="1:3" x14ac:dyDescent="0.3">
      <c r="A1320" s="40"/>
      <c r="B1320" s="281" t="s">
        <v>455</v>
      </c>
      <c r="C1320" s="281">
        <v>687</v>
      </c>
    </row>
    <row r="1321" spans="1:3" x14ac:dyDescent="0.3">
      <c r="A1321" s="40"/>
      <c r="B1321" s="281" t="s">
        <v>1321</v>
      </c>
      <c r="C1321" s="281">
        <v>815</v>
      </c>
    </row>
    <row r="1322" spans="1:3" x14ac:dyDescent="0.3">
      <c r="A1322" s="40"/>
      <c r="B1322" s="281" t="s">
        <v>1322</v>
      </c>
      <c r="C1322" s="281">
        <v>817</v>
      </c>
    </row>
    <row r="1323" spans="1:3" x14ac:dyDescent="0.3">
      <c r="A1323" s="40"/>
      <c r="B1323" s="281" t="s">
        <v>1323</v>
      </c>
      <c r="C1323" s="281">
        <v>812</v>
      </c>
    </row>
    <row r="1324" spans="1:3" x14ac:dyDescent="0.3">
      <c r="A1324" s="40"/>
      <c r="B1324" s="281" t="s">
        <v>1324</v>
      </c>
      <c r="C1324" s="281">
        <v>813</v>
      </c>
    </row>
    <row r="1325" spans="1:3" x14ac:dyDescent="0.3">
      <c r="A1325" s="40"/>
      <c r="B1325" s="281" t="s">
        <v>1325</v>
      </c>
      <c r="C1325" s="281">
        <v>2420</v>
      </c>
    </row>
    <row r="1326" spans="1:3" x14ac:dyDescent="0.3">
      <c r="A1326" s="40"/>
      <c r="B1326" s="281" t="s">
        <v>1326</v>
      </c>
      <c r="C1326" s="281">
        <v>822</v>
      </c>
    </row>
    <row r="1327" spans="1:3" x14ac:dyDescent="0.3">
      <c r="A1327" s="40"/>
      <c r="B1327" s="281" t="s">
        <v>460</v>
      </c>
      <c r="C1327" s="281">
        <v>816</v>
      </c>
    </row>
    <row r="1328" spans="1:3" x14ac:dyDescent="0.3">
      <c r="A1328" s="40"/>
      <c r="B1328" s="281" t="s">
        <v>1327</v>
      </c>
      <c r="C1328" s="281">
        <v>821</v>
      </c>
    </row>
    <row r="1329" spans="1:3" x14ac:dyDescent="0.3">
      <c r="A1329" s="40"/>
      <c r="B1329" s="281" t="s">
        <v>1328</v>
      </c>
      <c r="C1329" s="281">
        <v>2419</v>
      </c>
    </row>
    <row r="1330" spans="1:3" x14ac:dyDescent="0.3">
      <c r="A1330" s="40"/>
      <c r="B1330" s="281" t="s">
        <v>887</v>
      </c>
      <c r="C1330" s="281">
        <v>814</v>
      </c>
    </row>
    <row r="1331" spans="1:3" x14ac:dyDescent="0.3">
      <c r="A1331" s="40"/>
      <c r="B1331" s="281" t="s">
        <v>462</v>
      </c>
      <c r="C1331" s="281">
        <v>802</v>
      </c>
    </row>
    <row r="1332" spans="1:3" x14ac:dyDescent="0.3">
      <c r="A1332" s="40"/>
      <c r="B1332" s="281" t="s">
        <v>1329</v>
      </c>
      <c r="C1332" s="281">
        <v>621</v>
      </c>
    </row>
    <row r="1333" spans="1:3" x14ac:dyDescent="0.3">
      <c r="A1333" s="40"/>
      <c r="B1333" s="281" t="s">
        <v>1083</v>
      </c>
      <c r="C1333" s="281">
        <v>1281</v>
      </c>
    </row>
    <row r="1334" spans="1:3" x14ac:dyDescent="0.3">
      <c r="A1334" s="40"/>
      <c r="B1334" s="281" t="s">
        <v>1330</v>
      </c>
      <c r="C1334" s="281">
        <v>2854</v>
      </c>
    </row>
    <row r="1335" spans="1:3" x14ac:dyDescent="0.3">
      <c r="A1335" s="40"/>
      <c r="B1335" s="281" t="s">
        <v>1331</v>
      </c>
      <c r="C1335" s="281">
        <v>1245</v>
      </c>
    </row>
    <row r="1336" spans="1:3" x14ac:dyDescent="0.3">
      <c r="A1336" s="40" t="s">
        <v>1332</v>
      </c>
      <c r="B1336" s="281"/>
      <c r="C1336" s="281"/>
    </row>
    <row r="1337" spans="1:3" x14ac:dyDescent="0.3">
      <c r="A1337" s="40"/>
      <c r="B1337" s="281" t="s">
        <v>1333</v>
      </c>
      <c r="C1337" s="281">
        <v>778</v>
      </c>
    </row>
    <row r="1338" spans="1:3" x14ac:dyDescent="0.3">
      <c r="A1338" s="40"/>
      <c r="B1338" s="281" t="s">
        <v>1334</v>
      </c>
      <c r="C1338" s="281">
        <v>2007</v>
      </c>
    </row>
    <row r="1339" spans="1:3" x14ac:dyDescent="0.3">
      <c r="A1339" s="40"/>
      <c r="B1339" s="281" t="s">
        <v>851</v>
      </c>
      <c r="C1339" s="281">
        <v>695</v>
      </c>
    </row>
    <row r="1340" spans="1:3" x14ac:dyDescent="0.3">
      <c r="A1340" s="40"/>
      <c r="B1340" s="281" t="s">
        <v>1335</v>
      </c>
      <c r="C1340" s="281">
        <v>793</v>
      </c>
    </row>
    <row r="1341" spans="1:3" x14ac:dyDescent="0.3">
      <c r="A1341" s="40"/>
      <c r="B1341" s="281" t="s">
        <v>1336</v>
      </c>
      <c r="C1341" s="281">
        <v>1857</v>
      </c>
    </row>
    <row r="1342" spans="1:3" x14ac:dyDescent="0.3">
      <c r="A1342" s="40"/>
      <c r="B1342" s="281" t="s">
        <v>1337</v>
      </c>
      <c r="C1342" s="281">
        <v>781</v>
      </c>
    </row>
    <row r="1343" spans="1:3" x14ac:dyDescent="0.3">
      <c r="A1343" s="40"/>
      <c r="B1343" s="281" t="s">
        <v>910</v>
      </c>
      <c r="C1343" s="281">
        <v>952</v>
      </c>
    </row>
    <row r="1344" spans="1:3" x14ac:dyDescent="0.3">
      <c r="A1344" s="40"/>
      <c r="B1344" s="281" t="s">
        <v>1338</v>
      </c>
      <c r="C1344" s="281">
        <v>1935</v>
      </c>
    </row>
    <row r="1345" spans="1:3" x14ac:dyDescent="0.3">
      <c r="A1345" s="40"/>
      <c r="B1345" s="281" t="s">
        <v>1339</v>
      </c>
      <c r="C1345" s="281">
        <v>620</v>
      </c>
    </row>
    <row r="1346" spans="1:3" x14ac:dyDescent="0.3">
      <c r="A1346" s="40"/>
      <c r="B1346" s="281" t="s">
        <v>133</v>
      </c>
      <c r="C1346" s="281">
        <v>780</v>
      </c>
    </row>
    <row r="1347" spans="1:3" x14ac:dyDescent="0.3">
      <c r="A1347" s="40"/>
      <c r="B1347" s="281" t="s">
        <v>1340</v>
      </c>
      <c r="C1347" s="281">
        <v>794</v>
      </c>
    </row>
    <row r="1348" spans="1:3" x14ac:dyDescent="0.3">
      <c r="A1348" s="40"/>
      <c r="B1348" s="281" t="s">
        <v>1341</v>
      </c>
      <c r="C1348" s="281">
        <v>1858</v>
      </c>
    </row>
    <row r="1349" spans="1:3" x14ac:dyDescent="0.3">
      <c r="A1349" s="40"/>
      <c r="B1349" s="281" t="s">
        <v>1342</v>
      </c>
      <c r="C1349" s="281">
        <v>1936</v>
      </c>
    </row>
    <row r="1350" spans="1:3" x14ac:dyDescent="0.3">
      <c r="A1350" s="40"/>
      <c r="B1350" s="281" t="s">
        <v>1343</v>
      </c>
      <c r="C1350" s="281">
        <v>1251</v>
      </c>
    </row>
    <row r="1351" spans="1:3" x14ac:dyDescent="0.3">
      <c r="A1351" s="40"/>
      <c r="B1351" s="281" t="s">
        <v>1344</v>
      </c>
      <c r="C1351" s="281">
        <v>2863</v>
      </c>
    </row>
    <row r="1352" spans="1:3" x14ac:dyDescent="0.3">
      <c r="A1352" s="40"/>
      <c r="B1352" s="281" t="s">
        <v>1345</v>
      </c>
      <c r="C1352" s="281">
        <v>777</v>
      </c>
    </row>
    <row r="1353" spans="1:3" x14ac:dyDescent="0.3">
      <c r="A1353" s="40"/>
      <c r="B1353" s="281" t="s">
        <v>295</v>
      </c>
      <c r="C1353" s="281">
        <v>862</v>
      </c>
    </row>
    <row r="1354" spans="1:3" x14ac:dyDescent="0.3">
      <c r="A1354" s="40"/>
      <c r="B1354" s="281" t="s">
        <v>956</v>
      </c>
      <c r="C1354" s="281">
        <v>1247</v>
      </c>
    </row>
    <row r="1355" spans="1:3" x14ac:dyDescent="0.3">
      <c r="A1355" s="40"/>
      <c r="B1355" s="281" t="s">
        <v>961</v>
      </c>
      <c r="C1355" s="281">
        <v>1246</v>
      </c>
    </row>
    <row r="1356" spans="1:3" x14ac:dyDescent="0.3">
      <c r="A1356" s="40"/>
      <c r="B1356" s="281" t="s">
        <v>152</v>
      </c>
      <c r="C1356" s="281">
        <v>797</v>
      </c>
    </row>
    <row r="1357" spans="1:3" x14ac:dyDescent="0.3">
      <c r="A1357" s="40"/>
      <c r="B1357" s="281" t="s">
        <v>1346</v>
      </c>
      <c r="C1357" s="281">
        <v>2786</v>
      </c>
    </row>
    <row r="1358" spans="1:3" x14ac:dyDescent="0.3">
      <c r="A1358" s="40"/>
      <c r="B1358" s="281" t="s">
        <v>670</v>
      </c>
      <c r="C1358" s="281">
        <v>954</v>
      </c>
    </row>
    <row r="1359" spans="1:3" x14ac:dyDescent="0.3">
      <c r="A1359" s="40"/>
      <c r="B1359" s="281" t="s">
        <v>1347</v>
      </c>
      <c r="C1359" s="281">
        <v>1254</v>
      </c>
    </row>
    <row r="1360" spans="1:3" x14ac:dyDescent="0.3">
      <c r="A1360" s="40"/>
      <c r="B1360" s="281" t="s">
        <v>407</v>
      </c>
      <c r="C1360" s="281">
        <v>910</v>
      </c>
    </row>
    <row r="1361" spans="1:3" x14ac:dyDescent="0.3">
      <c r="A1361" s="40"/>
      <c r="B1361" s="281" t="s">
        <v>1348</v>
      </c>
      <c r="C1361" s="281">
        <v>1249</v>
      </c>
    </row>
    <row r="1362" spans="1:3" x14ac:dyDescent="0.3">
      <c r="A1362" s="40"/>
      <c r="B1362" s="281" t="s">
        <v>1349</v>
      </c>
      <c r="C1362" s="281">
        <v>2006</v>
      </c>
    </row>
    <row r="1363" spans="1:3" x14ac:dyDescent="0.3">
      <c r="A1363" s="40"/>
      <c r="B1363" s="281" t="s">
        <v>449</v>
      </c>
      <c r="C1363" s="281">
        <v>779</v>
      </c>
    </row>
    <row r="1364" spans="1:3" x14ac:dyDescent="0.3">
      <c r="A1364" s="40"/>
      <c r="B1364" s="281" t="s">
        <v>1350</v>
      </c>
      <c r="C1364" s="281">
        <v>619</v>
      </c>
    </row>
    <row r="1365" spans="1:3" x14ac:dyDescent="0.3">
      <c r="A1365" s="40"/>
      <c r="B1365" s="281" t="s">
        <v>1329</v>
      </c>
      <c r="C1365" s="281">
        <v>621</v>
      </c>
    </row>
    <row r="1366" spans="1:3" x14ac:dyDescent="0.3">
      <c r="A1366" s="40"/>
      <c r="B1366" s="281" t="s">
        <v>509</v>
      </c>
      <c r="C1366" s="281">
        <v>2692</v>
      </c>
    </row>
    <row r="1367" spans="1:3" x14ac:dyDescent="0.3">
      <c r="A1367" s="40"/>
      <c r="B1367" s="281" t="s">
        <v>589</v>
      </c>
      <c r="C1367" s="281">
        <v>1248</v>
      </c>
    </row>
    <row r="1368" spans="1:3" x14ac:dyDescent="0.3">
      <c r="A1368" s="40"/>
      <c r="B1368" s="281" t="s">
        <v>1021</v>
      </c>
      <c r="C1368" s="281">
        <v>1253</v>
      </c>
    </row>
    <row r="1369" spans="1:3" x14ac:dyDescent="0.3">
      <c r="A1369" s="40"/>
      <c r="B1369" s="281" t="s">
        <v>1250</v>
      </c>
      <c r="C1369" s="281">
        <v>776</v>
      </c>
    </row>
    <row r="1370" spans="1:3" x14ac:dyDescent="0.3">
      <c r="A1370" s="40"/>
      <c r="B1370" s="281" t="s">
        <v>548</v>
      </c>
      <c r="C1370" s="281">
        <v>2021</v>
      </c>
    </row>
    <row r="1371" spans="1:3" x14ac:dyDescent="0.3">
      <c r="A1371" s="40"/>
      <c r="B1371" s="281" t="s">
        <v>1351</v>
      </c>
      <c r="C1371" s="281">
        <v>1250</v>
      </c>
    </row>
    <row r="1372" spans="1:3" x14ac:dyDescent="0.3">
      <c r="A1372" s="40"/>
      <c r="B1372" s="281" t="s">
        <v>1281</v>
      </c>
      <c r="C1372" s="281">
        <v>694</v>
      </c>
    </row>
    <row r="1373" spans="1:3" x14ac:dyDescent="0.3">
      <c r="A1373" s="40"/>
      <c r="B1373" s="281" t="s">
        <v>1352</v>
      </c>
      <c r="C1373" s="281">
        <v>2764</v>
      </c>
    </row>
    <row r="1374" spans="1:3" x14ac:dyDescent="0.3">
      <c r="A1374" s="40"/>
      <c r="B1374" s="281" t="s">
        <v>1353</v>
      </c>
      <c r="C1374" s="281">
        <v>1953</v>
      </c>
    </row>
    <row r="1375" spans="1:3" x14ac:dyDescent="0.3">
      <c r="A1375" s="40"/>
      <c r="B1375" s="281" t="s">
        <v>1354</v>
      </c>
      <c r="C1375" s="281">
        <v>2693</v>
      </c>
    </row>
    <row r="1376" spans="1:3" x14ac:dyDescent="0.3">
      <c r="A1376" s="40"/>
      <c r="B1376" s="281" t="s">
        <v>702</v>
      </c>
      <c r="C1376" s="281">
        <v>768</v>
      </c>
    </row>
    <row r="1377" spans="1:3" x14ac:dyDescent="0.3">
      <c r="A1377" s="40"/>
      <c r="B1377" s="281" t="s">
        <v>1355</v>
      </c>
      <c r="C1377" s="281">
        <v>863</v>
      </c>
    </row>
    <row r="1378" spans="1:3" x14ac:dyDescent="0.3">
      <c r="A1378" s="40"/>
      <c r="B1378" s="281" t="s">
        <v>1356</v>
      </c>
      <c r="C1378" s="281">
        <v>1252</v>
      </c>
    </row>
    <row r="1379" spans="1:3" x14ac:dyDescent="0.3">
      <c r="A1379" s="40"/>
      <c r="B1379" s="281" t="s">
        <v>1357</v>
      </c>
      <c r="C1379" s="281">
        <v>1922</v>
      </c>
    </row>
    <row r="1380" spans="1:3" x14ac:dyDescent="0.3">
      <c r="A1380" s="40"/>
      <c r="B1380" s="281" t="s">
        <v>1358</v>
      </c>
      <c r="C1380" s="281">
        <v>547</v>
      </c>
    </row>
    <row r="1381" spans="1:3" x14ac:dyDescent="0.3">
      <c r="A1381" s="40" t="s">
        <v>1359</v>
      </c>
      <c r="B1381" s="281"/>
      <c r="C1381" s="281"/>
    </row>
    <row r="1382" spans="1:3" x14ac:dyDescent="0.3">
      <c r="A1382" s="40"/>
      <c r="B1382" s="281" t="s">
        <v>1360</v>
      </c>
      <c r="C1382" s="281">
        <v>1845</v>
      </c>
    </row>
    <row r="1383" spans="1:3" x14ac:dyDescent="0.3">
      <c r="A1383" s="40"/>
      <c r="B1383" s="281" t="s">
        <v>1361</v>
      </c>
      <c r="C1383" s="281">
        <v>1846</v>
      </c>
    </row>
    <row r="1384" spans="1:3" x14ac:dyDescent="0.3">
      <c r="A1384" s="40"/>
      <c r="B1384" s="281" t="s">
        <v>1362</v>
      </c>
      <c r="C1384" s="281">
        <v>1847</v>
      </c>
    </row>
    <row r="1385" spans="1:3" x14ac:dyDescent="0.3">
      <c r="A1385" s="40"/>
      <c r="B1385" s="281" t="s">
        <v>1363</v>
      </c>
      <c r="C1385" s="281">
        <v>1848</v>
      </c>
    </row>
    <row r="1386" spans="1:3" x14ac:dyDescent="0.3">
      <c r="A1386" s="40"/>
      <c r="B1386" s="281" t="s">
        <v>195</v>
      </c>
      <c r="C1386" s="281">
        <v>1849</v>
      </c>
    </row>
    <row r="1387" spans="1:3" x14ac:dyDescent="0.3">
      <c r="A1387" s="40"/>
      <c r="B1387" s="281" t="s">
        <v>1364</v>
      </c>
      <c r="C1387" s="281">
        <v>801</v>
      </c>
    </row>
    <row r="1388" spans="1:3" x14ac:dyDescent="0.3">
      <c r="A1388" s="40"/>
      <c r="B1388" s="281" t="s">
        <v>1365</v>
      </c>
      <c r="C1388" s="281">
        <v>1363</v>
      </c>
    </row>
    <row r="1389" spans="1:3" x14ac:dyDescent="0.3">
      <c r="A1389" s="40"/>
      <c r="B1389" s="281" t="s">
        <v>1366</v>
      </c>
      <c r="C1389" s="281">
        <v>1291</v>
      </c>
    </row>
    <row r="1390" spans="1:3" x14ac:dyDescent="0.3">
      <c r="A1390" s="40"/>
      <c r="B1390" s="281" t="s">
        <v>1367</v>
      </c>
      <c r="C1390" s="281">
        <v>2601</v>
      </c>
    </row>
    <row r="1391" spans="1:3" x14ac:dyDescent="0.3">
      <c r="A1391" s="40"/>
      <c r="B1391" s="281" t="s">
        <v>1368</v>
      </c>
      <c r="C1391" s="281">
        <v>805</v>
      </c>
    </row>
    <row r="1392" spans="1:3" x14ac:dyDescent="0.3">
      <c r="A1392" s="40"/>
      <c r="B1392" s="281" t="s">
        <v>1369</v>
      </c>
      <c r="C1392" s="281">
        <v>2542</v>
      </c>
    </row>
    <row r="1393" spans="1:3" x14ac:dyDescent="0.3">
      <c r="A1393" s="40"/>
      <c r="B1393" s="281" t="s">
        <v>1000</v>
      </c>
      <c r="C1393" s="281">
        <v>1897</v>
      </c>
    </row>
    <row r="1394" spans="1:3" x14ac:dyDescent="0.3">
      <c r="A1394" s="40"/>
      <c r="B1394" s="281" t="s">
        <v>1370</v>
      </c>
      <c r="C1394" s="281">
        <v>2970</v>
      </c>
    </row>
    <row r="1395" spans="1:3" x14ac:dyDescent="0.3">
      <c r="A1395" s="40"/>
      <c r="B1395" s="281" t="s">
        <v>1371</v>
      </c>
      <c r="C1395" s="281">
        <v>2543</v>
      </c>
    </row>
    <row r="1396" spans="1:3" x14ac:dyDescent="0.3">
      <c r="A1396" s="40"/>
      <c r="B1396" s="281" t="s">
        <v>1372</v>
      </c>
      <c r="C1396" s="281">
        <v>2969</v>
      </c>
    </row>
    <row r="1397" spans="1:3" x14ac:dyDescent="0.3">
      <c r="A1397" s="40"/>
      <c r="B1397" s="281" t="s">
        <v>1008</v>
      </c>
      <c r="C1397" s="281">
        <v>1357</v>
      </c>
    </row>
    <row r="1398" spans="1:3" x14ac:dyDescent="0.3">
      <c r="A1398" s="40"/>
      <c r="B1398" s="281" t="s">
        <v>1373</v>
      </c>
      <c r="C1398" s="281">
        <v>1854</v>
      </c>
    </row>
    <row r="1399" spans="1:3" x14ac:dyDescent="0.3">
      <c r="A1399" s="40"/>
      <c r="B1399" s="281" t="s">
        <v>1374</v>
      </c>
      <c r="C1399" s="281">
        <v>1914</v>
      </c>
    </row>
    <row r="1400" spans="1:3" x14ac:dyDescent="0.3">
      <c r="A1400" s="40"/>
      <c r="B1400" s="281" t="s">
        <v>1375</v>
      </c>
      <c r="C1400" s="281">
        <v>1975</v>
      </c>
    </row>
    <row r="1401" spans="1:3" x14ac:dyDescent="0.3">
      <c r="A1401" s="40"/>
      <c r="B1401" s="281" t="s">
        <v>1376</v>
      </c>
      <c r="C1401" s="281">
        <v>706</v>
      </c>
    </row>
    <row r="1402" spans="1:3" x14ac:dyDescent="0.3">
      <c r="A1402" s="40"/>
      <c r="B1402" s="281" t="s">
        <v>1377</v>
      </c>
      <c r="C1402" s="281">
        <v>1915</v>
      </c>
    </row>
    <row r="1403" spans="1:3" x14ac:dyDescent="0.3">
      <c r="A1403" s="40"/>
      <c r="B1403" s="281" t="s">
        <v>1378</v>
      </c>
      <c r="C1403" s="281">
        <v>1850</v>
      </c>
    </row>
    <row r="1404" spans="1:3" x14ac:dyDescent="0.3">
      <c r="A1404" s="40"/>
      <c r="B1404" s="281" t="s">
        <v>1379</v>
      </c>
      <c r="C1404" s="281">
        <v>705</v>
      </c>
    </row>
    <row r="1405" spans="1:3" x14ac:dyDescent="0.3">
      <c r="A1405" s="40"/>
      <c r="B1405" s="281" t="s">
        <v>1380</v>
      </c>
      <c r="C1405" s="281">
        <v>717</v>
      </c>
    </row>
    <row r="1406" spans="1:3" x14ac:dyDescent="0.3">
      <c r="A1406" s="40"/>
      <c r="B1406" s="281" t="s">
        <v>1381</v>
      </c>
      <c r="C1406" s="281">
        <v>1853</v>
      </c>
    </row>
    <row r="1407" spans="1:3" x14ac:dyDescent="0.3">
      <c r="A1407" s="40"/>
      <c r="B1407" s="281" t="s">
        <v>1382</v>
      </c>
      <c r="C1407" s="281">
        <v>800</v>
      </c>
    </row>
    <row r="1408" spans="1:3" x14ac:dyDescent="0.3">
      <c r="A1408" s="40" t="s">
        <v>757</v>
      </c>
      <c r="B1408" s="281"/>
      <c r="C1408" s="281"/>
    </row>
    <row r="1409" spans="1:3" x14ac:dyDescent="0.3">
      <c r="A1409" s="40"/>
      <c r="B1409" s="281" t="s">
        <v>1383</v>
      </c>
      <c r="C1409" s="281">
        <v>1945</v>
      </c>
    </row>
    <row r="1410" spans="1:3" x14ac:dyDescent="0.3">
      <c r="A1410" s="40"/>
      <c r="B1410" s="281" t="s">
        <v>1384</v>
      </c>
      <c r="C1410" s="281">
        <v>1930</v>
      </c>
    </row>
    <row r="1411" spans="1:3" x14ac:dyDescent="0.3">
      <c r="A1411" s="40"/>
      <c r="B1411" s="281" t="s">
        <v>1385</v>
      </c>
      <c r="C1411" s="281">
        <v>1362</v>
      </c>
    </row>
    <row r="1412" spans="1:3" x14ac:dyDescent="0.3">
      <c r="A1412" s="40"/>
      <c r="B1412" s="281" t="s">
        <v>1365</v>
      </c>
      <c r="C1412" s="281">
        <v>1363</v>
      </c>
    </row>
    <row r="1413" spans="1:3" x14ac:dyDescent="0.3">
      <c r="A1413" s="40"/>
      <c r="B1413" s="281" t="s">
        <v>121</v>
      </c>
      <c r="C1413" s="281">
        <v>1816</v>
      </c>
    </row>
    <row r="1414" spans="1:3" x14ac:dyDescent="0.3">
      <c r="A1414" s="40"/>
      <c r="B1414" s="281" t="s">
        <v>122</v>
      </c>
      <c r="C1414" s="281">
        <v>840</v>
      </c>
    </row>
    <row r="1415" spans="1:3" x14ac:dyDescent="0.3">
      <c r="A1415" s="40"/>
      <c r="B1415" s="281" t="s">
        <v>1386</v>
      </c>
      <c r="C1415" s="281">
        <v>2428</v>
      </c>
    </row>
    <row r="1416" spans="1:3" x14ac:dyDescent="0.3">
      <c r="A1416" s="40"/>
      <c r="B1416" s="281" t="s">
        <v>1387</v>
      </c>
      <c r="C1416" s="281">
        <v>1903</v>
      </c>
    </row>
    <row r="1417" spans="1:3" x14ac:dyDescent="0.3">
      <c r="A1417" s="40"/>
      <c r="B1417" s="281" t="s">
        <v>1388</v>
      </c>
      <c r="C1417" s="281">
        <v>830</v>
      </c>
    </row>
    <row r="1418" spans="1:3" x14ac:dyDescent="0.3">
      <c r="A1418" s="40"/>
      <c r="B1418" s="281" t="s">
        <v>1389</v>
      </c>
      <c r="C1418" s="281">
        <v>845</v>
      </c>
    </row>
    <row r="1419" spans="1:3" x14ac:dyDescent="0.3">
      <c r="A1419" s="40"/>
      <c r="B1419" s="281" t="s">
        <v>1390</v>
      </c>
      <c r="C1419" s="281">
        <v>2638</v>
      </c>
    </row>
    <row r="1420" spans="1:3" x14ac:dyDescent="0.3">
      <c r="A1420" s="40"/>
      <c r="B1420" s="281" t="s">
        <v>1088</v>
      </c>
      <c r="C1420" s="281">
        <v>1288</v>
      </c>
    </row>
    <row r="1421" spans="1:3" x14ac:dyDescent="0.3">
      <c r="A1421" s="40"/>
      <c r="B1421" s="281" t="s">
        <v>1391</v>
      </c>
      <c r="C1421" s="281">
        <v>1875</v>
      </c>
    </row>
    <row r="1422" spans="1:3" x14ac:dyDescent="0.3">
      <c r="A1422" s="40"/>
      <c r="B1422" s="281" t="s">
        <v>1392</v>
      </c>
      <c r="C1422" s="281">
        <v>837</v>
      </c>
    </row>
    <row r="1423" spans="1:3" x14ac:dyDescent="0.3">
      <c r="A1423" s="40"/>
      <c r="B1423" s="281" t="s">
        <v>1393</v>
      </c>
      <c r="C1423" s="281">
        <v>2562</v>
      </c>
    </row>
    <row r="1424" spans="1:3" x14ac:dyDescent="0.3">
      <c r="A1424" s="40"/>
      <c r="B1424" s="281" t="s">
        <v>1394</v>
      </c>
      <c r="C1424" s="281">
        <v>1359</v>
      </c>
    </row>
    <row r="1425" spans="1:3" x14ac:dyDescent="0.3">
      <c r="A1425" s="40"/>
      <c r="B1425" s="281" t="s">
        <v>818</v>
      </c>
      <c r="C1425" s="281">
        <v>1355</v>
      </c>
    </row>
    <row r="1426" spans="1:3" x14ac:dyDescent="0.3">
      <c r="A1426" s="40"/>
      <c r="B1426" s="281" t="s">
        <v>1395</v>
      </c>
      <c r="C1426" s="281">
        <v>1361</v>
      </c>
    </row>
    <row r="1427" spans="1:3" x14ac:dyDescent="0.3">
      <c r="A1427" s="40"/>
      <c r="B1427" s="281" t="s">
        <v>1396</v>
      </c>
      <c r="C1427" s="281">
        <v>2772</v>
      </c>
    </row>
    <row r="1428" spans="1:3" x14ac:dyDescent="0.3">
      <c r="A1428" s="40"/>
      <c r="B1428" s="281" t="s">
        <v>965</v>
      </c>
      <c r="C1428" s="281">
        <v>2591</v>
      </c>
    </row>
    <row r="1429" spans="1:3" x14ac:dyDescent="0.3">
      <c r="A1429" s="40"/>
      <c r="B1429" s="281" t="s">
        <v>1397</v>
      </c>
      <c r="C1429" s="281">
        <v>1812</v>
      </c>
    </row>
    <row r="1430" spans="1:3" x14ac:dyDescent="0.3">
      <c r="A1430" s="40"/>
      <c r="B1430" s="281" t="s">
        <v>1398</v>
      </c>
      <c r="C1430" s="281">
        <v>2644</v>
      </c>
    </row>
    <row r="1431" spans="1:3" x14ac:dyDescent="0.3">
      <c r="A1431" s="40"/>
      <c r="B1431" s="281" t="s">
        <v>1399</v>
      </c>
      <c r="C1431" s="281">
        <v>1971</v>
      </c>
    </row>
    <row r="1432" spans="1:3" x14ac:dyDescent="0.3">
      <c r="A1432" s="40"/>
      <c r="B1432" s="281" t="s">
        <v>1400</v>
      </c>
      <c r="C1432" s="281">
        <v>2674</v>
      </c>
    </row>
    <row r="1433" spans="1:3" x14ac:dyDescent="0.3">
      <c r="A1433" s="40"/>
      <c r="B1433" s="281" t="s">
        <v>1401</v>
      </c>
      <c r="C1433" s="281">
        <v>1963</v>
      </c>
    </row>
    <row r="1434" spans="1:3" x14ac:dyDescent="0.3">
      <c r="A1434" s="40"/>
      <c r="B1434" s="281" t="s">
        <v>1402</v>
      </c>
      <c r="C1434" s="281">
        <v>2002</v>
      </c>
    </row>
    <row r="1435" spans="1:3" x14ac:dyDescent="0.3">
      <c r="A1435" s="40"/>
      <c r="B1435" s="281" t="s">
        <v>1403</v>
      </c>
      <c r="C1435" s="281">
        <v>703</v>
      </c>
    </row>
    <row r="1436" spans="1:3" x14ac:dyDescent="0.3">
      <c r="A1436" s="40"/>
      <c r="B1436" s="281" t="s">
        <v>1404</v>
      </c>
      <c r="C1436" s="281">
        <v>838</v>
      </c>
    </row>
    <row r="1437" spans="1:3" x14ac:dyDescent="0.3">
      <c r="A1437" s="40"/>
      <c r="B1437" s="281" t="s">
        <v>1405</v>
      </c>
      <c r="C1437" s="281">
        <v>2942</v>
      </c>
    </row>
    <row r="1438" spans="1:3" x14ac:dyDescent="0.3">
      <c r="A1438" s="40"/>
      <c r="B1438" s="281" t="s">
        <v>1406</v>
      </c>
      <c r="C1438" s="281">
        <v>2765</v>
      </c>
    </row>
    <row r="1439" spans="1:3" x14ac:dyDescent="0.3">
      <c r="A1439" s="40"/>
      <c r="B1439" s="281" t="s">
        <v>1407</v>
      </c>
      <c r="C1439" s="281">
        <v>2284</v>
      </c>
    </row>
    <row r="1440" spans="1:3" x14ac:dyDescent="0.3">
      <c r="A1440" s="40"/>
      <c r="B1440" s="281" t="s">
        <v>1408</v>
      </c>
      <c r="C1440" s="281">
        <v>704</v>
      </c>
    </row>
    <row r="1441" spans="1:3" x14ac:dyDescent="0.3">
      <c r="A1441" s="40"/>
      <c r="B1441" s="281" t="s">
        <v>1409</v>
      </c>
      <c r="C1441" s="281">
        <v>1360</v>
      </c>
    </row>
    <row r="1442" spans="1:3" x14ac:dyDescent="0.3">
      <c r="A1442" s="40"/>
      <c r="B1442" s="281" t="s">
        <v>1410</v>
      </c>
      <c r="C1442" s="281">
        <v>2946</v>
      </c>
    </row>
    <row r="1443" spans="1:3" x14ac:dyDescent="0.3">
      <c r="A1443" s="40"/>
      <c r="B1443" s="281" t="s">
        <v>1411</v>
      </c>
      <c r="C1443" s="281">
        <v>1813</v>
      </c>
    </row>
    <row r="1444" spans="1:3" x14ac:dyDescent="0.3">
      <c r="A1444" s="40"/>
      <c r="B1444" s="281" t="s">
        <v>757</v>
      </c>
      <c r="C1444" s="281">
        <v>655</v>
      </c>
    </row>
  </sheetData>
  <sheetProtection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31955-625F-49C6-A624-69EA10041BF7}">
  <dimension ref="A1:S2741"/>
  <sheetViews>
    <sheetView workbookViewId="0">
      <selection activeCell="R1" sqref="Q1:R1"/>
    </sheetView>
  </sheetViews>
  <sheetFormatPr baseColWidth="10" defaultRowHeight="13.2" x14ac:dyDescent="0.25"/>
  <cols>
    <col min="4" max="7" width="0" hidden="1" customWidth="1"/>
    <col min="10" max="11" width="0" hidden="1" customWidth="1"/>
    <col min="12" max="12" width="14" style="222" bestFit="1" customWidth="1"/>
    <col min="13" max="14" width="0" hidden="1" customWidth="1"/>
    <col min="16" max="16" width="0" hidden="1" customWidth="1"/>
  </cols>
  <sheetData>
    <row r="1" spans="1:19" x14ac:dyDescent="0.25">
      <c r="Q1" s="304">
        <f>SUM(Q3:Q4000)</f>
        <v>7773.2599999999711</v>
      </c>
      <c r="R1">
        <f>SUM(R3:R4000)</f>
        <v>1.9599999999999995</v>
      </c>
      <c r="S1" s="304">
        <f>SUM(S3:S4000)</f>
        <v>0.7</v>
      </c>
    </row>
    <row r="2" spans="1:19" x14ac:dyDescent="0.25">
      <c r="A2" t="s">
        <v>14507</v>
      </c>
      <c r="B2" t="s">
        <v>27</v>
      </c>
      <c r="C2" t="s">
        <v>28</v>
      </c>
      <c r="Q2" t="s">
        <v>14508</v>
      </c>
      <c r="R2" t="s">
        <v>14509</v>
      </c>
      <c r="S2" t="s">
        <v>14510</v>
      </c>
    </row>
    <row r="3" spans="1:19" x14ac:dyDescent="0.25">
      <c r="A3">
        <v>2522</v>
      </c>
      <c r="B3" t="s">
        <v>14330</v>
      </c>
      <c r="C3" t="s">
        <v>11470</v>
      </c>
      <c r="D3" t="s">
        <v>14331</v>
      </c>
      <c r="H3" t="s">
        <v>1878</v>
      </c>
      <c r="I3">
        <v>1</v>
      </c>
      <c r="K3" t="s">
        <v>14332</v>
      </c>
      <c r="L3" s="222">
        <v>9783426513996</v>
      </c>
      <c r="M3">
        <v>576</v>
      </c>
      <c r="O3" t="s">
        <v>11306</v>
      </c>
      <c r="P3">
        <v>669</v>
      </c>
      <c r="Q3">
        <v>0.59</v>
      </c>
    </row>
    <row r="4" spans="1:19" x14ac:dyDescent="0.25">
      <c r="A4">
        <v>669</v>
      </c>
      <c r="C4" t="s">
        <v>11463</v>
      </c>
      <c r="D4" t="s">
        <v>13509</v>
      </c>
      <c r="H4" t="s">
        <v>1878</v>
      </c>
      <c r="I4">
        <v>2</v>
      </c>
      <c r="K4" t="s">
        <v>14332</v>
      </c>
      <c r="L4" s="222">
        <v>9783129271650</v>
      </c>
      <c r="M4">
        <v>205</v>
      </c>
      <c r="N4" t="s">
        <v>14333</v>
      </c>
      <c r="O4" t="s">
        <v>11307</v>
      </c>
      <c r="P4">
        <v>442</v>
      </c>
      <c r="Q4">
        <v>1.68</v>
      </c>
      <c r="R4">
        <v>0.15</v>
      </c>
    </row>
    <row r="5" spans="1:19" x14ac:dyDescent="0.25">
      <c r="A5">
        <v>692</v>
      </c>
      <c r="B5" t="s">
        <v>11471</v>
      </c>
      <c r="C5" t="s">
        <v>11464</v>
      </c>
      <c r="D5" t="s">
        <v>14334</v>
      </c>
      <c r="H5" t="s">
        <v>2963</v>
      </c>
      <c r="I5">
        <v>1</v>
      </c>
      <c r="J5" t="s">
        <v>14335</v>
      </c>
      <c r="K5" t="s">
        <v>14332</v>
      </c>
      <c r="O5" t="s">
        <v>11308</v>
      </c>
      <c r="P5">
        <v>692</v>
      </c>
      <c r="Q5">
        <v>1.7</v>
      </c>
    </row>
    <row r="6" spans="1:19" x14ac:dyDescent="0.25">
      <c r="A6">
        <v>1301</v>
      </c>
      <c r="B6" t="s">
        <v>14336</v>
      </c>
      <c r="C6" t="s">
        <v>14337</v>
      </c>
      <c r="D6" t="s">
        <v>14338</v>
      </c>
      <c r="F6">
        <v>1987</v>
      </c>
      <c r="H6" t="s">
        <v>1878</v>
      </c>
      <c r="I6">
        <v>2</v>
      </c>
      <c r="K6" t="s">
        <v>14339</v>
      </c>
      <c r="L6" s="222">
        <v>9783150092194</v>
      </c>
      <c r="M6">
        <v>199</v>
      </c>
      <c r="O6" t="s">
        <v>11309</v>
      </c>
      <c r="P6">
        <v>103</v>
      </c>
      <c r="Q6">
        <v>1.67</v>
      </c>
      <c r="R6">
        <v>0.15</v>
      </c>
      <c r="S6">
        <v>0.1</v>
      </c>
    </row>
    <row r="7" spans="1:19" x14ac:dyDescent="0.25">
      <c r="A7">
        <v>1321</v>
      </c>
      <c r="B7" t="s">
        <v>14340</v>
      </c>
      <c r="C7" t="s">
        <v>11466</v>
      </c>
      <c r="D7" t="s">
        <v>14341</v>
      </c>
      <c r="F7">
        <v>1991</v>
      </c>
      <c r="H7" t="s">
        <v>2963</v>
      </c>
      <c r="I7">
        <v>2</v>
      </c>
      <c r="J7" t="s">
        <v>2505</v>
      </c>
      <c r="K7" t="s">
        <v>14332</v>
      </c>
      <c r="L7" s="222">
        <v>9783453059160</v>
      </c>
      <c r="M7">
        <v>240</v>
      </c>
      <c r="N7" t="s">
        <v>14342</v>
      </c>
      <c r="O7" t="s">
        <v>11310</v>
      </c>
      <c r="P7">
        <v>441</v>
      </c>
      <c r="Q7">
        <v>1.65</v>
      </c>
      <c r="R7">
        <v>0.15</v>
      </c>
    </row>
    <row r="8" spans="1:19" x14ac:dyDescent="0.25">
      <c r="A8">
        <v>1395</v>
      </c>
      <c r="B8" t="s">
        <v>14343</v>
      </c>
      <c r="C8" t="s">
        <v>11467</v>
      </c>
      <c r="D8" t="s">
        <v>14344</v>
      </c>
      <c r="F8">
        <v>1987</v>
      </c>
      <c r="H8" t="s">
        <v>1878</v>
      </c>
      <c r="I8">
        <v>2</v>
      </c>
      <c r="K8" t="s">
        <v>14332</v>
      </c>
      <c r="L8" s="222">
        <v>9783596237876</v>
      </c>
      <c r="M8">
        <v>336</v>
      </c>
      <c r="N8" t="s">
        <v>14345</v>
      </c>
      <c r="O8" t="s">
        <v>11311</v>
      </c>
      <c r="P8">
        <v>240</v>
      </c>
      <c r="Q8">
        <v>0.88</v>
      </c>
    </row>
    <row r="9" spans="1:19" x14ac:dyDescent="0.25">
      <c r="A9">
        <v>775</v>
      </c>
      <c r="B9" t="s">
        <v>14346</v>
      </c>
      <c r="C9" t="s">
        <v>14347</v>
      </c>
      <c r="D9" t="s">
        <v>1912</v>
      </c>
      <c r="H9" t="s">
        <v>1878</v>
      </c>
      <c r="I9">
        <v>2</v>
      </c>
      <c r="K9" t="s">
        <v>14332</v>
      </c>
      <c r="L9" s="222">
        <v>9783442480135</v>
      </c>
      <c r="M9">
        <v>512</v>
      </c>
      <c r="O9" t="s">
        <v>11312</v>
      </c>
      <c r="P9">
        <v>599</v>
      </c>
      <c r="Q9">
        <v>0.49</v>
      </c>
    </row>
    <row r="10" spans="1:19" x14ac:dyDescent="0.25">
      <c r="A10">
        <v>775</v>
      </c>
      <c r="B10" t="s">
        <v>14346</v>
      </c>
      <c r="C10" t="s">
        <v>14348</v>
      </c>
      <c r="D10" t="s">
        <v>1912</v>
      </c>
      <c r="H10" t="s">
        <v>1878</v>
      </c>
      <c r="I10">
        <v>2</v>
      </c>
      <c r="K10" t="s">
        <v>14332</v>
      </c>
      <c r="L10" s="222">
        <v>9783442486656</v>
      </c>
      <c r="M10">
        <v>256</v>
      </c>
      <c r="N10" t="s">
        <v>14349</v>
      </c>
      <c r="O10" t="s">
        <v>11313</v>
      </c>
      <c r="P10">
        <v>345</v>
      </c>
      <c r="Q10">
        <v>0.69</v>
      </c>
    </row>
    <row r="11" spans="1:19" x14ac:dyDescent="0.25">
      <c r="A11">
        <v>153</v>
      </c>
      <c r="C11" t="s">
        <v>14350</v>
      </c>
      <c r="D11" t="s">
        <v>14338</v>
      </c>
      <c r="H11" t="s">
        <v>2008</v>
      </c>
      <c r="I11">
        <v>2</v>
      </c>
      <c r="K11" t="s">
        <v>14332</v>
      </c>
      <c r="L11" s="222">
        <v>9783150093320</v>
      </c>
      <c r="M11">
        <v>248</v>
      </c>
      <c r="O11" t="s">
        <v>11314</v>
      </c>
      <c r="P11">
        <v>95</v>
      </c>
      <c r="Q11">
        <v>1.2</v>
      </c>
    </row>
    <row r="12" spans="1:19" x14ac:dyDescent="0.25">
      <c r="A12">
        <v>2023</v>
      </c>
      <c r="B12" t="s">
        <v>14351</v>
      </c>
      <c r="C12" t="s">
        <v>11485</v>
      </c>
      <c r="D12" t="s">
        <v>14341</v>
      </c>
      <c r="H12" t="s">
        <v>1878</v>
      </c>
      <c r="I12">
        <v>2</v>
      </c>
      <c r="K12" t="s">
        <v>14332</v>
      </c>
      <c r="L12" s="222">
        <v>9783453620025</v>
      </c>
      <c r="M12">
        <v>320</v>
      </c>
      <c r="N12" t="s">
        <v>14352</v>
      </c>
      <c r="O12" t="s">
        <v>11315</v>
      </c>
      <c r="P12">
        <v>317</v>
      </c>
      <c r="Q12">
        <v>1.84</v>
      </c>
    </row>
    <row r="13" spans="1:19" x14ac:dyDescent="0.25">
      <c r="A13">
        <v>709</v>
      </c>
      <c r="B13" t="s">
        <v>14353</v>
      </c>
      <c r="C13" t="s">
        <v>14354</v>
      </c>
      <c r="D13" t="s">
        <v>13509</v>
      </c>
      <c r="H13" t="s">
        <v>1878</v>
      </c>
      <c r="I13">
        <v>1</v>
      </c>
      <c r="K13" t="s">
        <v>14332</v>
      </c>
      <c r="L13" s="222">
        <v>9783125604506</v>
      </c>
      <c r="M13">
        <v>192</v>
      </c>
      <c r="N13" t="s">
        <v>14355</v>
      </c>
      <c r="O13" t="s">
        <v>11316</v>
      </c>
      <c r="P13">
        <v>401</v>
      </c>
      <c r="Q13">
        <v>1.9</v>
      </c>
    </row>
    <row r="14" spans="1:19" x14ac:dyDescent="0.25">
      <c r="A14">
        <v>831</v>
      </c>
      <c r="B14" t="s">
        <v>14356</v>
      </c>
      <c r="C14" t="s">
        <v>11487</v>
      </c>
      <c r="D14" t="s">
        <v>14357</v>
      </c>
      <c r="H14" t="s">
        <v>2295</v>
      </c>
      <c r="I14">
        <v>1</v>
      </c>
      <c r="J14" t="s">
        <v>2205</v>
      </c>
      <c r="K14" t="s">
        <v>14332</v>
      </c>
      <c r="L14" s="222">
        <v>9783809415527</v>
      </c>
      <c r="M14">
        <v>276</v>
      </c>
      <c r="N14" t="s">
        <v>14358</v>
      </c>
      <c r="O14" t="s">
        <v>11317</v>
      </c>
      <c r="P14">
        <v>751</v>
      </c>
      <c r="Q14">
        <v>2.08</v>
      </c>
    </row>
    <row r="15" spans="1:19" x14ac:dyDescent="0.25">
      <c r="A15">
        <v>634</v>
      </c>
      <c r="B15" t="s">
        <v>11479</v>
      </c>
      <c r="C15" t="s">
        <v>11488</v>
      </c>
      <c r="H15" t="s">
        <v>2963</v>
      </c>
      <c r="I15">
        <v>1</v>
      </c>
      <c r="K15" t="s">
        <v>14332</v>
      </c>
      <c r="L15" s="222">
        <v>9783870703929</v>
      </c>
      <c r="M15">
        <v>352</v>
      </c>
      <c r="O15" t="s">
        <v>11318</v>
      </c>
      <c r="P15">
        <v>387</v>
      </c>
      <c r="Q15">
        <v>3.37</v>
      </c>
    </row>
    <row r="16" spans="1:19" x14ac:dyDescent="0.25">
      <c r="A16">
        <v>2576</v>
      </c>
      <c r="B16" t="s">
        <v>14359</v>
      </c>
      <c r="C16" t="s">
        <v>11489</v>
      </c>
      <c r="D16" t="s">
        <v>14360</v>
      </c>
      <c r="H16" t="s">
        <v>1878</v>
      </c>
      <c r="I16">
        <v>2</v>
      </c>
      <c r="K16" t="s">
        <v>14332</v>
      </c>
      <c r="L16" s="222">
        <v>9783802581694</v>
      </c>
      <c r="M16">
        <v>336</v>
      </c>
      <c r="N16" t="s">
        <v>14361</v>
      </c>
      <c r="O16" t="s">
        <v>11319</v>
      </c>
      <c r="P16">
        <v>293</v>
      </c>
      <c r="Q16">
        <v>2.0299999999999998</v>
      </c>
    </row>
    <row r="17" spans="1:19" x14ac:dyDescent="0.25">
      <c r="A17">
        <v>2514</v>
      </c>
      <c r="B17" t="s">
        <v>14362</v>
      </c>
      <c r="C17" t="s">
        <v>11490</v>
      </c>
      <c r="D17" t="s">
        <v>14363</v>
      </c>
      <c r="I17">
        <v>2</v>
      </c>
      <c r="K17" t="s">
        <v>14332</v>
      </c>
      <c r="L17" s="222">
        <v>9783505124013</v>
      </c>
      <c r="M17">
        <v>368</v>
      </c>
      <c r="N17" t="s">
        <v>14364</v>
      </c>
      <c r="O17" t="s">
        <v>11320</v>
      </c>
      <c r="P17">
        <v>357</v>
      </c>
      <c r="Q17">
        <v>2.0299999999999998</v>
      </c>
    </row>
    <row r="18" spans="1:19" x14ac:dyDescent="0.25">
      <c r="A18">
        <v>691</v>
      </c>
      <c r="B18" t="s">
        <v>14362</v>
      </c>
      <c r="C18" t="s">
        <v>11491</v>
      </c>
      <c r="D18" t="s">
        <v>14363</v>
      </c>
      <c r="H18" t="s">
        <v>2963</v>
      </c>
      <c r="I18">
        <v>1</v>
      </c>
      <c r="K18" t="s">
        <v>14332</v>
      </c>
      <c r="L18" s="222">
        <v>9783505107153</v>
      </c>
      <c r="M18">
        <v>128</v>
      </c>
      <c r="N18" t="s">
        <v>14364</v>
      </c>
      <c r="O18" t="s">
        <v>11321</v>
      </c>
      <c r="P18">
        <v>194</v>
      </c>
      <c r="Q18">
        <v>1.44</v>
      </c>
    </row>
    <row r="19" spans="1:19" x14ac:dyDescent="0.25">
      <c r="A19">
        <v>2514</v>
      </c>
      <c r="B19" t="s">
        <v>11482</v>
      </c>
      <c r="C19" t="s">
        <v>14365</v>
      </c>
      <c r="D19" t="s">
        <v>7332</v>
      </c>
      <c r="H19" t="s">
        <v>1878</v>
      </c>
      <c r="I19">
        <v>2</v>
      </c>
      <c r="K19" t="s">
        <v>14332</v>
      </c>
      <c r="L19" s="222">
        <v>9783570211311</v>
      </c>
      <c r="M19">
        <v>256</v>
      </c>
      <c r="N19" t="s">
        <v>14366</v>
      </c>
      <c r="O19" t="s">
        <v>11322</v>
      </c>
      <c r="P19">
        <v>288</v>
      </c>
      <c r="Q19">
        <v>1.64</v>
      </c>
    </row>
    <row r="20" spans="1:19" x14ac:dyDescent="0.25">
      <c r="A20">
        <v>1809</v>
      </c>
      <c r="C20" t="s">
        <v>11493</v>
      </c>
      <c r="D20" t="s">
        <v>14367</v>
      </c>
      <c r="H20" t="s">
        <v>2963</v>
      </c>
      <c r="I20">
        <v>2</v>
      </c>
      <c r="K20" t="s">
        <v>14332</v>
      </c>
      <c r="L20" s="222">
        <v>9781407586601</v>
      </c>
      <c r="O20" t="s">
        <v>11323</v>
      </c>
      <c r="P20">
        <v>200</v>
      </c>
      <c r="Q20">
        <v>1.51</v>
      </c>
    </row>
    <row r="21" spans="1:19" x14ac:dyDescent="0.25">
      <c r="A21">
        <v>1809</v>
      </c>
      <c r="C21" t="s">
        <v>14368</v>
      </c>
      <c r="H21" t="s">
        <v>2963</v>
      </c>
      <c r="I21">
        <v>1</v>
      </c>
      <c r="K21" t="s">
        <v>14332</v>
      </c>
      <c r="L21" s="222">
        <v>9781407586625</v>
      </c>
      <c r="O21" t="s">
        <v>11324</v>
      </c>
      <c r="P21">
        <v>200</v>
      </c>
      <c r="Q21">
        <v>0.81</v>
      </c>
    </row>
    <row r="22" spans="1:19" x14ac:dyDescent="0.25">
      <c r="A22">
        <v>692</v>
      </c>
      <c r="B22" t="s">
        <v>14369</v>
      </c>
      <c r="C22" t="s">
        <v>14370</v>
      </c>
      <c r="D22" t="s">
        <v>14371</v>
      </c>
      <c r="I22">
        <v>2</v>
      </c>
      <c r="K22" t="s">
        <v>14332</v>
      </c>
      <c r="L22" s="222">
        <v>9783453212596</v>
      </c>
      <c r="O22" t="s">
        <v>11325</v>
      </c>
      <c r="P22">
        <v>287</v>
      </c>
      <c r="Q22">
        <v>1.69</v>
      </c>
    </row>
    <row r="23" spans="1:19" x14ac:dyDescent="0.25">
      <c r="A23">
        <v>2553</v>
      </c>
      <c r="B23" t="s">
        <v>14372</v>
      </c>
      <c r="C23" t="s">
        <v>14373</v>
      </c>
      <c r="D23" t="s">
        <v>10049</v>
      </c>
      <c r="H23" t="s">
        <v>1878</v>
      </c>
      <c r="I23">
        <v>2</v>
      </c>
      <c r="K23" t="s">
        <v>14332</v>
      </c>
      <c r="L23" s="222">
        <v>9783293204492</v>
      </c>
      <c r="M23">
        <v>272</v>
      </c>
      <c r="O23" t="s">
        <v>11326</v>
      </c>
      <c r="P23">
        <v>250</v>
      </c>
      <c r="Q23">
        <v>2.0099999999999998</v>
      </c>
      <c r="R23">
        <v>0.15</v>
      </c>
    </row>
    <row r="24" spans="1:19" x14ac:dyDescent="0.25">
      <c r="A24">
        <v>701</v>
      </c>
      <c r="B24" t="s">
        <v>14374</v>
      </c>
      <c r="C24" t="s">
        <v>14375</v>
      </c>
      <c r="D24" t="s">
        <v>1920</v>
      </c>
      <c r="H24" t="s">
        <v>1878</v>
      </c>
      <c r="I24">
        <v>2</v>
      </c>
      <c r="K24" t="s">
        <v>14332</v>
      </c>
      <c r="L24" s="222">
        <v>9783404602469</v>
      </c>
      <c r="M24">
        <v>192</v>
      </c>
      <c r="N24" t="s">
        <v>14376</v>
      </c>
      <c r="O24" t="s">
        <v>11327</v>
      </c>
      <c r="P24">
        <v>200</v>
      </c>
      <c r="Q24">
        <v>1.76</v>
      </c>
      <c r="S24">
        <v>0.1</v>
      </c>
    </row>
    <row r="25" spans="1:19" x14ac:dyDescent="0.25">
      <c r="A25">
        <v>660</v>
      </c>
      <c r="C25" t="s">
        <v>1189</v>
      </c>
      <c r="D25" t="s">
        <v>14377</v>
      </c>
      <c r="H25" t="s">
        <v>1878</v>
      </c>
      <c r="I25">
        <v>2</v>
      </c>
      <c r="K25" t="s">
        <v>14332</v>
      </c>
      <c r="L25" s="222">
        <v>9783493587869</v>
      </c>
      <c r="M25">
        <v>108</v>
      </c>
      <c r="N25" t="s">
        <v>14378</v>
      </c>
      <c r="O25" t="s">
        <v>11328</v>
      </c>
      <c r="P25">
        <v>174</v>
      </c>
      <c r="Q25">
        <v>1.32</v>
      </c>
    </row>
    <row r="26" spans="1:19" x14ac:dyDescent="0.25">
      <c r="A26">
        <v>691</v>
      </c>
      <c r="C26" t="s">
        <v>14379</v>
      </c>
      <c r="H26" t="s">
        <v>1878</v>
      </c>
      <c r="I26">
        <v>1</v>
      </c>
      <c r="K26" t="s">
        <v>14332</v>
      </c>
      <c r="L26" s="222">
        <v>9783939527077</v>
      </c>
      <c r="O26" t="s">
        <v>11329</v>
      </c>
      <c r="P26">
        <v>180</v>
      </c>
      <c r="Q26">
        <v>1.75</v>
      </c>
    </row>
    <row r="27" spans="1:19" x14ac:dyDescent="0.25">
      <c r="A27">
        <v>771</v>
      </c>
      <c r="B27" t="s">
        <v>14380</v>
      </c>
      <c r="C27" t="s">
        <v>11445</v>
      </c>
      <c r="D27" t="s">
        <v>14381</v>
      </c>
      <c r="H27" t="s">
        <v>2295</v>
      </c>
      <c r="I27">
        <v>2</v>
      </c>
      <c r="K27" t="s">
        <v>14332</v>
      </c>
      <c r="L27" s="222">
        <v>9783895610356</v>
      </c>
      <c r="M27">
        <v>390</v>
      </c>
      <c r="O27" t="s">
        <v>11330</v>
      </c>
      <c r="P27">
        <v>548</v>
      </c>
      <c r="Q27">
        <v>4.04</v>
      </c>
    </row>
    <row r="28" spans="1:19" x14ac:dyDescent="0.25">
      <c r="A28">
        <v>941</v>
      </c>
      <c r="B28" t="s">
        <v>11429</v>
      </c>
      <c r="C28" t="s">
        <v>11446</v>
      </c>
      <c r="H28" t="s">
        <v>2963</v>
      </c>
      <c r="I28">
        <v>1</v>
      </c>
      <c r="K28" t="s">
        <v>14332</v>
      </c>
      <c r="L28" s="222">
        <v>9783828934153</v>
      </c>
      <c r="O28" t="s">
        <v>11331</v>
      </c>
      <c r="P28">
        <v>250</v>
      </c>
      <c r="Q28">
        <v>0.91</v>
      </c>
    </row>
    <row r="29" spans="1:19" x14ac:dyDescent="0.25">
      <c r="A29">
        <v>701</v>
      </c>
      <c r="B29" t="s">
        <v>14382</v>
      </c>
      <c r="C29" t="s">
        <v>11447</v>
      </c>
      <c r="D29" t="s">
        <v>9815</v>
      </c>
      <c r="H29" t="s">
        <v>1878</v>
      </c>
      <c r="I29">
        <v>2</v>
      </c>
      <c r="K29" t="s">
        <v>14332</v>
      </c>
      <c r="L29" s="222">
        <v>9783442458158</v>
      </c>
      <c r="M29">
        <v>256</v>
      </c>
      <c r="N29" t="s">
        <v>14383</v>
      </c>
      <c r="O29" t="s">
        <v>11332</v>
      </c>
      <c r="P29">
        <v>211</v>
      </c>
      <c r="Q29">
        <v>2.11</v>
      </c>
      <c r="R29">
        <v>0.15</v>
      </c>
    </row>
    <row r="30" spans="1:19" x14ac:dyDescent="0.25">
      <c r="A30">
        <v>775</v>
      </c>
      <c r="B30" t="s">
        <v>14384</v>
      </c>
      <c r="C30" t="s">
        <v>14385</v>
      </c>
      <c r="D30" t="s">
        <v>14386</v>
      </c>
      <c r="H30" t="s">
        <v>2295</v>
      </c>
      <c r="I30">
        <v>2</v>
      </c>
      <c r="K30" t="s">
        <v>14332</v>
      </c>
      <c r="L30" s="222">
        <v>9783866381575</v>
      </c>
      <c r="M30">
        <v>320</v>
      </c>
      <c r="O30" t="s">
        <v>11333</v>
      </c>
      <c r="P30">
        <v>350</v>
      </c>
      <c r="Q30">
        <v>6.75</v>
      </c>
    </row>
    <row r="31" spans="1:19" x14ac:dyDescent="0.25">
      <c r="A31">
        <v>2517</v>
      </c>
      <c r="B31" t="s">
        <v>14387</v>
      </c>
      <c r="C31" t="s">
        <v>14388</v>
      </c>
      <c r="D31" t="s">
        <v>9815</v>
      </c>
      <c r="H31" t="s">
        <v>1878</v>
      </c>
      <c r="I31">
        <v>2</v>
      </c>
      <c r="K31" t="s">
        <v>14332</v>
      </c>
      <c r="L31" s="222">
        <v>9783442449910</v>
      </c>
      <c r="M31">
        <v>288</v>
      </c>
      <c r="O31" t="s">
        <v>11334</v>
      </c>
      <c r="P31">
        <v>239</v>
      </c>
      <c r="Q31">
        <v>1.6</v>
      </c>
      <c r="S31">
        <v>0.1</v>
      </c>
    </row>
    <row r="32" spans="1:19" x14ac:dyDescent="0.25">
      <c r="A32">
        <v>692</v>
      </c>
      <c r="B32" t="s">
        <v>14389</v>
      </c>
      <c r="C32" t="s">
        <v>11450</v>
      </c>
      <c r="D32" t="s">
        <v>1876</v>
      </c>
      <c r="I32">
        <v>2</v>
      </c>
      <c r="K32" t="s">
        <v>14332</v>
      </c>
      <c r="L32" s="222">
        <v>9783492215411</v>
      </c>
      <c r="M32">
        <v>230</v>
      </c>
      <c r="O32" t="s">
        <v>11335</v>
      </c>
      <c r="P32">
        <v>202</v>
      </c>
      <c r="Q32">
        <v>0.88</v>
      </c>
    </row>
    <row r="33" spans="1:19" x14ac:dyDescent="0.25">
      <c r="A33">
        <v>655</v>
      </c>
      <c r="B33" t="s">
        <v>14390</v>
      </c>
      <c r="C33" t="s">
        <v>14391</v>
      </c>
      <c r="D33" t="s">
        <v>14392</v>
      </c>
      <c r="H33" t="s">
        <v>1878</v>
      </c>
      <c r="I33">
        <v>2</v>
      </c>
      <c r="K33" t="s">
        <v>14332</v>
      </c>
      <c r="L33" s="222">
        <v>9783862824137</v>
      </c>
      <c r="M33">
        <v>304</v>
      </c>
      <c r="O33" t="s">
        <v>11336</v>
      </c>
      <c r="P33">
        <v>288</v>
      </c>
      <c r="Q33">
        <v>6.49</v>
      </c>
      <c r="R33">
        <v>0.31</v>
      </c>
    </row>
    <row r="34" spans="1:19" x14ac:dyDescent="0.25">
      <c r="A34">
        <v>1348</v>
      </c>
      <c r="B34" t="s">
        <v>14393</v>
      </c>
      <c r="C34" t="s">
        <v>14394</v>
      </c>
      <c r="D34" t="s">
        <v>14338</v>
      </c>
      <c r="H34" t="s">
        <v>1878</v>
      </c>
      <c r="I34">
        <v>2</v>
      </c>
      <c r="K34" t="s">
        <v>14332</v>
      </c>
      <c r="L34" s="222">
        <v>9783150176146</v>
      </c>
      <c r="M34">
        <v>224</v>
      </c>
      <c r="O34" t="s">
        <v>11337</v>
      </c>
      <c r="P34">
        <v>114</v>
      </c>
      <c r="Q34">
        <v>1.89</v>
      </c>
    </row>
    <row r="35" spans="1:19" x14ac:dyDescent="0.25">
      <c r="A35">
        <v>2553</v>
      </c>
      <c r="B35" t="s">
        <v>14395</v>
      </c>
      <c r="C35" t="s">
        <v>11453</v>
      </c>
      <c r="D35" t="s">
        <v>14344</v>
      </c>
      <c r="H35" t="s">
        <v>1878</v>
      </c>
      <c r="I35">
        <v>2</v>
      </c>
      <c r="K35" t="s">
        <v>14332</v>
      </c>
      <c r="L35" s="222">
        <v>9783596193912</v>
      </c>
      <c r="M35">
        <v>800</v>
      </c>
      <c r="N35" t="s">
        <v>14396</v>
      </c>
      <c r="O35" t="s">
        <v>11338</v>
      </c>
      <c r="P35">
        <v>595</v>
      </c>
      <c r="Q35">
        <v>3.29</v>
      </c>
    </row>
    <row r="36" spans="1:19" x14ac:dyDescent="0.25">
      <c r="A36">
        <v>634</v>
      </c>
      <c r="B36" t="s">
        <v>14397</v>
      </c>
      <c r="C36" t="s">
        <v>11455</v>
      </c>
      <c r="D36" t="s">
        <v>14341</v>
      </c>
      <c r="I36">
        <v>2</v>
      </c>
      <c r="K36" t="s">
        <v>14332</v>
      </c>
      <c r="L36" s="222">
        <v>9783453116856</v>
      </c>
      <c r="O36" t="s">
        <v>11339</v>
      </c>
      <c r="P36">
        <v>226</v>
      </c>
      <c r="Q36">
        <v>1.92</v>
      </c>
    </row>
    <row r="37" spans="1:19" x14ac:dyDescent="0.25">
      <c r="A37">
        <v>2553</v>
      </c>
      <c r="B37" t="s">
        <v>14398</v>
      </c>
      <c r="C37" t="s">
        <v>14399</v>
      </c>
      <c r="D37" t="s">
        <v>14400</v>
      </c>
      <c r="H37" t="s">
        <v>1878</v>
      </c>
      <c r="I37">
        <v>2</v>
      </c>
      <c r="K37" t="s">
        <v>14332</v>
      </c>
      <c r="L37" s="222">
        <v>9783442375981</v>
      </c>
      <c r="M37">
        <v>480</v>
      </c>
      <c r="N37" t="s">
        <v>14383</v>
      </c>
      <c r="O37" t="s">
        <v>11340</v>
      </c>
      <c r="P37">
        <v>369</v>
      </c>
      <c r="Q37">
        <v>1.81</v>
      </c>
    </row>
    <row r="38" spans="1:19" x14ac:dyDescent="0.25">
      <c r="A38">
        <v>2522</v>
      </c>
      <c r="B38" t="s">
        <v>14401</v>
      </c>
      <c r="C38" t="s">
        <v>11457</v>
      </c>
      <c r="D38" t="s">
        <v>14402</v>
      </c>
      <c r="H38" t="s">
        <v>1878</v>
      </c>
      <c r="I38">
        <v>2</v>
      </c>
      <c r="K38" t="s">
        <v>14332</v>
      </c>
      <c r="L38" s="222">
        <v>9783499272660</v>
      </c>
      <c r="M38">
        <v>432</v>
      </c>
      <c r="N38" t="s">
        <v>14403</v>
      </c>
      <c r="O38" t="s">
        <v>11341</v>
      </c>
      <c r="P38">
        <v>511</v>
      </c>
      <c r="Q38">
        <v>1.7</v>
      </c>
      <c r="S38">
        <v>0.1</v>
      </c>
    </row>
    <row r="39" spans="1:19" x14ac:dyDescent="0.25">
      <c r="A39">
        <v>2522</v>
      </c>
      <c r="B39" t="s">
        <v>4135</v>
      </c>
      <c r="C39" t="s">
        <v>11458</v>
      </c>
      <c r="H39" t="s">
        <v>2963</v>
      </c>
      <c r="I39">
        <v>2</v>
      </c>
      <c r="K39" t="s">
        <v>14332</v>
      </c>
      <c r="L39" s="222">
        <v>9783828993853</v>
      </c>
      <c r="O39" t="s">
        <v>11342</v>
      </c>
      <c r="P39">
        <v>400</v>
      </c>
      <c r="Q39">
        <v>1.79</v>
      </c>
    </row>
    <row r="40" spans="1:19" x14ac:dyDescent="0.25">
      <c r="A40">
        <v>1809</v>
      </c>
      <c r="B40" t="s">
        <v>14404</v>
      </c>
      <c r="C40" t="s">
        <v>11459</v>
      </c>
      <c r="D40" t="s">
        <v>2822</v>
      </c>
      <c r="H40" t="s">
        <v>1878</v>
      </c>
      <c r="I40">
        <v>2</v>
      </c>
      <c r="K40" t="s">
        <v>14332</v>
      </c>
      <c r="L40" s="222">
        <v>9783522178242</v>
      </c>
      <c r="M40">
        <v>208</v>
      </c>
      <c r="O40" t="s">
        <v>11343</v>
      </c>
      <c r="P40">
        <v>303</v>
      </c>
      <c r="Q40">
        <v>0.74</v>
      </c>
    </row>
    <row r="41" spans="1:19" x14ac:dyDescent="0.25">
      <c r="A41">
        <v>689</v>
      </c>
      <c r="B41" t="s">
        <v>14405</v>
      </c>
      <c r="C41" t="s">
        <v>11460</v>
      </c>
      <c r="D41" t="s">
        <v>14400</v>
      </c>
      <c r="H41" t="s">
        <v>1878</v>
      </c>
      <c r="I41">
        <v>2</v>
      </c>
      <c r="K41" t="s">
        <v>14332</v>
      </c>
      <c r="L41" s="222">
        <v>9783442265633</v>
      </c>
      <c r="M41">
        <v>592</v>
      </c>
      <c r="N41" t="s">
        <v>14383</v>
      </c>
      <c r="O41" t="s">
        <v>11344</v>
      </c>
      <c r="P41">
        <v>458</v>
      </c>
      <c r="Q41">
        <v>0.78</v>
      </c>
    </row>
    <row r="42" spans="1:19" x14ac:dyDescent="0.25">
      <c r="A42">
        <v>852</v>
      </c>
      <c r="B42" t="s">
        <v>14406</v>
      </c>
      <c r="C42" t="s">
        <v>11461</v>
      </c>
      <c r="D42" t="s">
        <v>2327</v>
      </c>
      <c r="H42" t="s">
        <v>1878</v>
      </c>
      <c r="I42">
        <v>2</v>
      </c>
      <c r="K42" t="s">
        <v>14332</v>
      </c>
      <c r="L42" s="222">
        <v>9783426774359</v>
      </c>
      <c r="M42">
        <v>272</v>
      </c>
      <c r="N42" t="s">
        <v>14407</v>
      </c>
      <c r="O42" t="s">
        <v>11345</v>
      </c>
      <c r="P42">
        <v>329</v>
      </c>
      <c r="Q42">
        <v>1.33</v>
      </c>
    </row>
    <row r="43" spans="1:19" x14ac:dyDescent="0.25">
      <c r="A43">
        <v>1355</v>
      </c>
      <c r="B43" t="s">
        <v>11388</v>
      </c>
      <c r="C43" t="s">
        <v>11396</v>
      </c>
      <c r="D43" t="s">
        <v>14341</v>
      </c>
      <c r="H43" t="s">
        <v>1878</v>
      </c>
      <c r="I43">
        <v>2</v>
      </c>
      <c r="K43" t="s">
        <v>14332</v>
      </c>
      <c r="L43" s="222">
        <v>9783453149878</v>
      </c>
      <c r="O43" t="s">
        <v>11346</v>
      </c>
      <c r="P43">
        <v>463</v>
      </c>
      <c r="Q43">
        <v>1.9</v>
      </c>
    </row>
    <row r="44" spans="1:19" x14ac:dyDescent="0.25">
      <c r="A44">
        <v>1396</v>
      </c>
      <c r="B44" t="s">
        <v>11389</v>
      </c>
      <c r="C44" t="s">
        <v>11397</v>
      </c>
      <c r="D44" t="s">
        <v>14408</v>
      </c>
      <c r="H44" t="s">
        <v>1878</v>
      </c>
      <c r="I44">
        <v>2</v>
      </c>
      <c r="K44" t="s">
        <v>14332</v>
      </c>
      <c r="L44" s="222">
        <v>9783451048586</v>
      </c>
      <c r="M44">
        <v>334</v>
      </c>
      <c r="O44" t="s">
        <v>11347</v>
      </c>
      <c r="P44">
        <v>279</v>
      </c>
      <c r="Q44">
        <v>1.02</v>
      </c>
    </row>
    <row r="45" spans="1:19" x14ac:dyDescent="0.25">
      <c r="A45">
        <v>1346</v>
      </c>
      <c r="B45" t="s">
        <v>11390</v>
      </c>
      <c r="C45" t="s">
        <v>11398</v>
      </c>
      <c r="D45" t="s">
        <v>14409</v>
      </c>
      <c r="H45" t="s">
        <v>1878</v>
      </c>
      <c r="I45">
        <v>2</v>
      </c>
      <c r="K45" t="s">
        <v>14332</v>
      </c>
      <c r="L45" s="222">
        <v>9783833905667</v>
      </c>
      <c r="M45">
        <v>144</v>
      </c>
      <c r="N45" t="s">
        <v>14403</v>
      </c>
      <c r="O45" t="s">
        <v>11348</v>
      </c>
      <c r="P45">
        <v>200</v>
      </c>
      <c r="Q45">
        <v>1.02</v>
      </c>
    </row>
    <row r="46" spans="1:19" x14ac:dyDescent="0.25">
      <c r="A46">
        <v>1386</v>
      </c>
      <c r="B46" t="s">
        <v>14410</v>
      </c>
      <c r="C46" t="s">
        <v>11399</v>
      </c>
      <c r="D46" t="s">
        <v>14344</v>
      </c>
      <c r="H46" t="s">
        <v>1878</v>
      </c>
      <c r="I46">
        <v>2</v>
      </c>
      <c r="K46" t="s">
        <v>14332</v>
      </c>
      <c r="L46" s="222">
        <v>9783596147830</v>
      </c>
      <c r="M46">
        <v>528</v>
      </c>
      <c r="O46" t="s">
        <v>11349</v>
      </c>
      <c r="P46">
        <v>450</v>
      </c>
      <c r="Q46">
        <v>1.19</v>
      </c>
    </row>
    <row r="47" spans="1:19" x14ac:dyDescent="0.25">
      <c r="A47">
        <v>2522</v>
      </c>
      <c r="B47" t="s">
        <v>14411</v>
      </c>
      <c r="C47" t="s">
        <v>11400</v>
      </c>
      <c r="D47" t="s">
        <v>2054</v>
      </c>
      <c r="H47" t="s">
        <v>1878</v>
      </c>
      <c r="I47">
        <v>2</v>
      </c>
      <c r="K47" t="s">
        <v>14332</v>
      </c>
      <c r="L47" s="222">
        <v>9783898979559</v>
      </c>
      <c r="M47">
        <v>416</v>
      </c>
      <c r="N47" t="s">
        <v>14366</v>
      </c>
      <c r="O47" t="s">
        <v>11350</v>
      </c>
      <c r="P47">
        <v>480</v>
      </c>
      <c r="Q47">
        <v>0.71</v>
      </c>
    </row>
    <row r="48" spans="1:19" x14ac:dyDescent="0.25">
      <c r="A48">
        <v>1327</v>
      </c>
      <c r="B48" t="s">
        <v>14412</v>
      </c>
      <c r="C48" t="s">
        <v>11401</v>
      </c>
      <c r="D48" t="s">
        <v>1920</v>
      </c>
      <c r="H48" t="s">
        <v>1878</v>
      </c>
      <c r="I48">
        <v>2</v>
      </c>
      <c r="K48" t="s">
        <v>14332</v>
      </c>
      <c r="L48" s="222">
        <v>9783404771844</v>
      </c>
      <c r="O48" t="s">
        <v>11351</v>
      </c>
      <c r="P48">
        <v>372</v>
      </c>
      <c r="Q48">
        <v>2.9</v>
      </c>
      <c r="S48">
        <v>0.1</v>
      </c>
    </row>
    <row r="49" spans="1:19" x14ac:dyDescent="0.25">
      <c r="A49">
        <v>1327</v>
      </c>
      <c r="B49" t="s">
        <v>14413</v>
      </c>
      <c r="C49" t="s">
        <v>11402</v>
      </c>
      <c r="D49" t="s">
        <v>14341</v>
      </c>
      <c r="H49" t="s">
        <v>1878</v>
      </c>
      <c r="I49">
        <v>2</v>
      </c>
      <c r="K49" t="s">
        <v>14332</v>
      </c>
      <c r="L49" s="222">
        <v>9783453127937</v>
      </c>
      <c r="O49" t="s">
        <v>11352</v>
      </c>
      <c r="P49">
        <v>200</v>
      </c>
      <c r="Q49">
        <v>0.89</v>
      </c>
    </row>
    <row r="50" spans="1:19" x14ac:dyDescent="0.25">
      <c r="A50">
        <v>763</v>
      </c>
      <c r="B50" t="s">
        <v>14414</v>
      </c>
      <c r="C50" t="s">
        <v>11403</v>
      </c>
      <c r="D50" t="s">
        <v>1988</v>
      </c>
      <c r="H50" t="s">
        <v>1878</v>
      </c>
      <c r="I50">
        <v>1</v>
      </c>
      <c r="K50" t="s">
        <v>14332</v>
      </c>
      <c r="L50" s="222">
        <v>9783423248709</v>
      </c>
      <c r="M50">
        <v>240</v>
      </c>
      <c r="N50" t="s">
        <v>14415</v>
      </c>
      <c r="O50" t="s">
        <v>11353</v>
      </c>
      <c r="P50">
        <v>664</v>
      </c>
      <c r="Q50">
        <v>2.61</v>
      </c>
      <c r="R50">
        <v>0.15</v>
      </c>
    </row>
    <row r="51" spans="1:19" x14ac:dyDescent="0.25">
      <c r="A51">
        <v>2553</v>
      </c>
      <c r="B51" t="s">
        <v>14416</v>
      </c>
      <c r="C51" t="s">
        <v>7807</v>
      </c>
      <c r="D51" t="s">
        <v>9815</v>
      </c>
      <c r="H51" t="s">
        <v>1878</v>
      </c>
      <c r="I51">
        <v>2</v>
      </c>
      <c r="K51" t="s">
        <v>14332</v>
      </c>
      <c r="L51" s="222">
        <v>9783442439973</v>
      </c>
      <c r="M51">
        <v>352</v>
      </c>
      <c r="N51" t="s">
        <v>14383</v>
      </c>
      <c r="O51" t="s">
        <v>11354</v>
      </c>
      <c r="P51">
        <v>309</v>
      </c>
      <c r="Q51">
        <v>1.27</v>
      </c>
    </row>
    <row r="52" spans="1:19" x14ac:dyDescent="0.25">
      <c r="A52">
        <v>2514</v>
      </c>
      <c r="B52" t="s">
        <v>14417</v>
      </c>
      <c r="C52" t="s">
        <v>11416</v>
      </c>
      <c r="D52" t="s">
        <v>14363</v>
      </c>
      <c r="I52">
        <v>2</v>
      </c>
      <c r="K52" t="s">
        <v>14332</v>
      </c>
      <c r="L52" s="222">
        <v>9783505044434</v>
      </c>
      <c r="M52">
        <v>128</v>
      </c>
      <c r="N52" t="s">
        <v>14418</v>
      </c>
      <c r="O52" t="s">
        <v>11355</v>
      </c>
      <c r="P52">
        <v>184</v>
      </c>
      <c r="Q52">
        <v>0.88</v>
      </c>
    </row>
    <row r="53" spans="1:19" x14ac:dyDescent="0.25">
      <c r="A53">
        <v>1327</v>
      </c>
      <c r="B53" t="s">
        <v>14419</v>
      </c>
      <c r="C53" t="s">
        <v>11417</v>
      </c>
      <c r="D53" t="s">
        <v>14420</v>
      </c>
      <c r="H53" t="s">
        <v>1878</v>
      </c>
      <c r="I53">
        <v>2</v>
      </c>
      <c r="K53" t="s">
        <v>14332</v>
      </c>
      <c r="L53" s="222">
        <v>9783423134248</v>
      </c>
      <c r="M53">
        <v>384</v>
      </c>
      <c r="N53" t="s">
        <v>14421</v>
      </c>
      <c r="O53" t="s">
        <v>11356</v>
      </c>
      <c r="P53">
        <v>220</v>
      </c>
      <c r="Q53">
        <v>1.95</v>
      </c>
    </row>
    <row r="54" spans="1:19" x14ac:dyDescent="0.25">
      <c r="A54">
        <v>2522</v>
      </c>
      <c r="B54" t="s">
        <v>14422</v>
      </c>
      <c r="C54" t="s">
        <v>11418</v>
      </c>
      <c r="D54" t="s">
        <v>2327</v>
      </c>
      <c r="H54" t="s">
        <v>1878</v>
      </c>
      <c r="I54">
        <v>2</v>
      </c>
      <c r="K54" t="s">
        <v>14332</v>
      </c>
      <c r="L54" s="222">
        <v>9783426626498</v>
      </c>
      <c r="N54" t="s">
        <v>14423</v>
      </c>
      <c r="O54" t="s">
        <v>11357</v>
      </c>
      <c r="P54">
        <v>220</v>
      </c>
      <c r="Q54">
        <v>0.89</v>
      </c>
    </row>
    <row r="55" spans="1:19" x14ac:dyDescent="0.25">
      <c r="A55">
        <v>692</v>
      </c>
      <c r="B55" t="s">
        <v>14424</v>
      </c>
      <c r="C55" t="s">
        <v>14425</v>
      </c>
      <c r="D55" t="s">
        <v>1906</v>
      </c>
      <c r="H55" t="s">
        <v>1878</v>
      </c>
      <c r="I55">
        <v>2</v>
      </c>
      <c r="K55" t="s">
        <v>14332</v>
      </c>
      <c r="L55" s="222">
        <v>9783746631783</v>
      </c>
      <c r="M55">
        <v>239</v>
      </c>
      <c r="O55" t="s">
        <v>11358</v>
      </c>
      <c r="P55">
        <v>197</v>
      </c>
      <c r="Q55">
        <v>1.54</v>
      </c>
    </row>
    <row r="56" spans="1:19" x14ac:dyDescent="0.25">
      <c r="A56">
        <v>651</v>
      </c>
      <c r="B56" t="s">
        <v>14426</v>
      </c>
      <c r="C56" t="s">
        <v>11420</v>
      </c>
      <c r="D56" t="s">
        <v>2117</v>
      </c>
      <c r="H56" t="s">
        <v>1878</v>
      </c>
      <c r="I56">
        <v>2</v>
      </c>
      <c r="K56" t="s">
        <v>14332</v>
      </c>
      <c r="L56" s="222">
        <v>9783772425851</v>
      </c>
      <c r="M56">
        <v>32</v>
      </c>
      <c r="N56" t="s">
        <v>14427</v>
      </c>
      <c r="O56" t="s">
        <v>11359</v>
      </c>
      <c r="P56">
        <v>128</v>
      </c>
      <c r="Q56">
        <v>1.69</v>
      </c>
    </row>
    <row r="57" spans="1:19" x14ac:dyDescent="0.25">
      <c r="A57">
        <v>774</v>
      </c>
      <c r="B57" t="s">
        <v>14428</v>
      </c>
      <c r="C57" t="s">
        <v>11421</v>
      </c>
      <c r="D57" t="s">
        <v>14429</v>
      </c>
      <c r="H57" t="s">
        <v>1878</v>
      </c>
      <c r="I57">
        <v>2</v>
      </c>
      <c r="K57" t="s">
        <v>14332</v>
      </c>
      <c r="L57" s="222">
        <v>9783811829527</v>
      </c>
      <c r="M57">
        <v>304</v>
      </c>
      <c r="N57" t="s">
        <v>14430</v>
      </c>
      <c r="O57" t="s">
        <v>11360</v>
      </c>
      <c r="P57">
        <v>293</v>
      </c>
      <c r="Q57">
        <v>2.62</v>
      </c>
      <c r="R57">
        <v>0.15</v>
      </c>
    </row>
    <row r="58" spans="1:19" x14ac:dyDescent="0.25">
      <c r="A58">
        <v>2663</v>
      </c>
      <c r="B58" t="s">
        <v>14431</v>
      </c>
      <c r="C58" t="s">
        <v>11422</v>
      </c>
      <c r="D58" t="s">
        <v>14432</v>
      </c>
      <c r="H58" t="s">
        <v>1878</v>
      </c>
      <c r="I58">
        <v>2</v>
      </c>
      <c r="K58" t="s">
        <v>14332</v>
      </c>
      <c r="L58" s="222">
        <v>9783548610085</v>
      </c>
      <c r="M58">
        <v>224</v>
      </c>
      <c r="O58" t="s">
        <v>11361</v>
      </c>
      <c r="P58">
        <v>238</v>
      </c>
      <c r="Q58">
        <v>2.21</v>
      </c>
    </row>
    <row r="59" spans="1:19" x14ac:dyDescent="0.25">
      <c r="A59">
        <v>2663</v>
      </c>
      <c r="B59" t="s">
        <v>14433</v>
      </c>
      <c r="C59" t="s">
        <v>11423</v>
      </c>
      <c r="D59" t="s">
        <v>9919</v>
      </c>
      <c r="H59" t="s">
        <v>1878</v>
      </c>
      <c r="I59">
        <v>2</v>
      </c>
      <c r="K59" t="s">
        <v>14332</v>
      </c>
      <c r="L59" s="222">
        <v>9783802599910</v>
      </c>
      <c r="M59">
        <v>448</v>
      </c>
      <c r="O59" t="s">
        <v>11362</v>
      </c>
      <c r="P59">
        <v>314</v>
      </c>
      <c r="Q59">
        <v>5.65</v>
      </c>
      <c r="R59">
        <v>0.15</v>
      </c>
    </row>
    <row r="60" spans="1:19" x14ac:dyDescent="0.25">
      <c r="A60">
        <v>734</v>
      </c>
      <c r="B60" t="s">
        <v>14434</v>
      </c>
      <c r="C60" t="s">
        <v>11424</v>
      </c>
      <c r="D60" t="s">
        <v>14341</v>
      </c>
      <c r="I60">
        <v>2</v>
      </c>
      <c r="K60" t="s">
        <v>14332</v>
      </c>
      <c r="L60" s="222">
        <v>9783453189126</v>
      </c>
      <c r="O60" t="s">
        <v>11363</v>
      </c>
      <c r="P60">
        <v>230</v>
      </c>
      <c r="Q60">
        <v>0.69</v>
      </c>
    </row>
    <row r="61" spans="1:19" x14ac:dyDescent="0.25">
      <c r="A61">
        <v>2410</v>
      </c>
      <c r="B61" t="s">
        <v>14435</v>
      </c>
      <c r="C61" t="s">
        <v>14436</v>
      </c>
      <c r="D61" t="s">
        <v>14338</v>
      </c>
      <c r="H61" t="s">
        <v>1878</v>
      </c>
      <c r="I61">
        <v>2</v>
      </c>
      <c r="K61" t="s">
        <v>14332</v>
      </c>
      <c r="L61" s="222">
        <v>9783150087039</v>
      </c>
      <c r="M61">
        <v>422</v>
      </c>
      <c r="O61" t="s">
        <v>11364</v>
      </c>
      <c r="P61">
        <v>190</v>
      </c>
      <c r="Q61">
        <v>3.71</v>
      </c>
      <c r="S61">
        <v>0.1</v>
      </c>
    </row>
    <row r="62" spans="1:19" x14ac:dyDescent="0.25">
      <c r="A62">
        <v>1941</v>
      </c>
      <c r="B62" t="s">
        <v>11415</v>
      </c>
      <c r="C62" t="s">
        <v>14437</v>
      </c>
      <c r="D62" t="s">
        <v>14402</v>
      </c>
      <c r="H62" t="s">
        <v>1878</v>
      </c>
      <c r="I62">
        <v>2</v>
      </c>
      <c r="K62" t="s">
        <v>14332</v>
      </c>
      <c r="L62" s="222">
        <v>9783499613227</v>
      </c>
      <c r="M62">
        <v>224</v>
      </c>
      <c r="N62" t="s">
        <v>14438</v>
      </c>
      <c r="O62" t="s">
        <v>11365</v>
      </c>
      <c r="P62">
        <v>435</v>
      </c>
      <c r="Q62">
        <v>1.63</v>
      </c>
    </row>
    <row r="63" spans="1:19" x14ac:dyDescent="0.25">
      <c r="A63">
        <v>2521</v>
      </c>
      <c r="B63" t="s">
        <v>11381</v>
      </c>
      <c r="C63" t="s">
        <v>11374</v>
      </c>
      <c r="D63" t="s">
        <v>14341</v>
      </c>
      <c r="H63" t="s">
        <v>1878</v>
      </c>
      <c r="I63">
        <v>2</v>
      </c>
      <c r="K63" t="s">
        <v>14332</v>
      </c>
      <c r="L63" s="222">
        <v>9783453048522</v>
      </c>
      <c r="M63">
        <v>480</v>
      </c>
      <c r="N63" t="s">
        <v>14423</v>
      </c>
      <c r="O63" t="s">
        <v>11366</v>
      </c>
      <c r="P63">
        <v>311</v>
      </c>
      <c r="Q63">
        <v>0.99</v>
      </c>
    </row>
    <row r="64" spans="1:19" x14ac:dyDescent="0.25">
      <c r="A64">
        <v>2514</v>
      </c>
      <c r="B64" t="s">
        <v>11382</v>
      </c>
      <c r="C64" t="s">
        <v>11375</v>
      </c>
      <c r="D64" t="s">
        <v>14439</v>
      </c>
      <c r="H64" t="s">
        <v>2295</v>
      </c>
      <c r="I64">
        <v>2</v>
      </c>
      <c r="K64" t="s">
        <v>14332</v>
      </c>
      <c r="L64" s="222">
        <v>9783505119729</v>
      </c>
      <c r="M64">
        <v>128</v>
      </c>
      <c r="N64" t="s">
        <v>14440</v>
      </c>
      <c r="O64" t="s">
        <v>11367</v>
      </c>
      <c r="P64">
        <v>315</v>
      </c>
      <c r="Q64">
        <v>2.0099999999999998</v>
      </c>
    </row>
    <row r="65" spans="1:18" x14ac:dyDescent="0.25">
      <c r="A65">
        <v>2551</v>
      </c>
      <c r="B65" t="s">
        <v>14441</v>
      </c>
      <c r="C65" t="s">
        <v>14442</v>
      </c>
      <c r="D65" t="s">
        <v>14443</v>
      </c>
      <c r="H65" t="s">
        <v>1878</v>
      </c>
      <c r="I65">
        <v>2</v>
      </c>
      <c r="K65" t="s">
        <v>14332</v>
      </c>
      <c r="L65" s="222">
        <v>9783442735280</v>
      </c>
      <c r="M65">
        <v>608</v>
      </c>
      <c r="N65" t="s">
        <v>14444</v>
      </c>
      <c r="O65" t="s">
        <v>11368</v>
      </c>
      <c r="P65">
        <v>485</v>
      </c>
      <c r="Q65">
        <v>1.99</v>
      </c>
    </row>
    <row r="66" spans="1:18" x14ac:dyDescent="0.25">
      <c r="A66">
        <v>2522</v>
      </c>
      <c r="B66" t="s">
        <v>11384</v>
      </c>
      <c r="C66" t="s">
        <v>11377</v>
      </c>
      <c r="D66" t="s">
        <v>1920</v>
      </c>
      <c r="H66" t="s">
        <v>1878</v>
      </c>
      <c r="I66">
        <v>2</v>
      </c>
      <c r="K66" t="s">
        <v>14332</v>
      </c>
      <c r="L66" s="222">
        <v>9783404166305</v>
      </c>
      <c r="M66">
        <v>480</v>
      </c>
      <c r="N66" t="s">
        <v>14376</v>
      </c>
      <c r="O66" t="s">
        <v>11369</v>
      </c>
      <c r="P66">
        <v>402</v>
      </c>
      <c r="Q66">
        <v>1.84</v>
      </c>
    </row>
    <row r="67" spans="1:18" x14ac:dyDescent="0.25">
      <c r="A67">
        <v>1386</v>
      </c>
      <c r="B67" t="s">
        <v>11385</v>
      </c>
      <c r="C67" t="s">
        <v>11378</v>
      </c>
      <c r="D67" t="s">
        <v>2232</v>
      </c>
      <c r="H67" t="s">
        <v>1878</v>
      </c>
      <c r="I67">
        <v>2</v>
      </c>
      <c r="K67" t="s">
        <v>14332</v>
      </c>
      <c r="L67" s="222">
        <v>9783442743988</v>
      </c>
      <c r="M67">
        <v>384</v>
      </c>
      <c r="O67" t="s">
        <v>11370</v>
      </c>
      <c r="P67">
        <v>321</v>
      </c>
      <c r="Q67">
        <v>1.64</v>
      </c>
    </row>
    <row r="68" spans="1:18" x14ac:dyDescent="0.25">
      <c r="A68">
        <v>691</v>
      </c>
      <c r="B68" t="s">
        <v>11386</v>
      </c>
      <c r="C68" t="s">
        <v>11379</v>
      </c>
      <c r="D68" t="s">
        <v>807</v>
      </c>
      <c r="H68" t="s">
        <v>1878</v>
      </c>
      <c r="I68">
        <v>2</v>
      </c>
      <c r="K68" t="s">
        <v>14332</v>
      </c>
      <c r="L68" s="222">
        <v>9783551375797</v>
      </c>
      <c r="M68">
        <v>160</v>
      </c>
      <c r="N68" t="s">
        <v>14352</v>
      </c>
      <c r="O68" t="s">
        <v>11371</v>
      </c>
      <c r="P68">
        <v>200</v>
      </c>
      <c r="Q68">
        <v>1.69</v>
      </c>
    </row>
    <row r="69" spans="1:18" x14ac:dyDescent="0.25">
      <c r="A69">
        <v>1339</v>
      </c>
      <c r="B69" t="s">
        <v>14445</v>
      </c>
      <c r="C69" t="s">
        <v>14446</v>
      </c>
      <c r="D69" t="s">
        <v>14447</v>
      </c>
      <c r="H69" t="s">
        <v>2963</v>
      </c>
      <c r="I69">
        <v>2</v>
      </c>
      <c r="K69" t="s">
        <v>14332</v>
      </c>
      <c r="L69" s="222">
        <v>9783517064666</v>
      </c>
      <c r="M69">
        <v>160</v>
      </c>
      <c r="N69" t="s">
        <v>14448</v>
      </c>
      <c r="O69" t="s">
        <v>11372</v>
      </c>
      <c r="P69">
        <v>693</v>
      </c>
      <c r="Q69">
        <v>0.69</v>
      </c>
    </row>
    <row r="70" spans="1:18" x14ac:dyDescent="0.25">
      <c r="A70">
        <v>2215</v>
      </c>
      <c r="B70" t="s">
        <v>1874</v>
      </c>
      <c r="C70" t="s">
        <v>1875</v>
      </c>
      <c r="D70" t="s">
        <v>1876</v>
      </c>
      <c r="E70" t="s">
        <v>1877</v>
      </c>
      <c r="F70">
        <v>2001</v>
      </c>
      <c r="H70" t="s">
        <v>1878</v>
      </c>
      <c r="I70">
        <v>2</v>
      </c>
      <c r="J70" t="s">
        <v>1880</v>
      </c>
      <c r="K70" t="s">
        <v>14332</v>
      </c>
      <c r="L70" s="222">
        <v>9783492231954</v>
      </c>
      <c r="M70">
        <v>448</v>
      </c>
      <c r="O70" t="s">
        <v>1883</v>
      </c>
      <c r="P70">
        <v>384</v>
      </c>
      <c r="Q70">
        <v>1.72</v>
      </c>
    </row>
    <row r="71" spans="1:18" x14ac:dyDescent="0.25">
      <c r="A71">
        <v>775</v>
      </c>
      <c r="B71" t="s">
        <v>1884</v>
      </c>
      <c r="C71" t="s">
        <v>1885</v>
      </c>
      <c r="D71" t="s">
        <v>1886</v>
      </c>
      <c r="E71" t="s">
        <v>1887</v>
      </c>
      <c r="F71">
        <v>2005</v>
      </c>
      <c r="H71" t="s">
        <v>1878</v>
      </c>
      <c r="I71">
        <v>2</v>
      </c>
      <c r="J71" t="s">
        <v>14449</v>
      </c>
      <c r="K71" t="s">
        <v>14332</v>
      </c>
      <c r="L71" s="222">
        <v>9783499239106</v>
      </c>
      <c r="M71">
        <v>272</v>
      </c>
      <c r="O71" t="s">
        <v>1890</v>
      </c>
      <c r="P71">
        <v>250</v>
      </c>
      <c r="Q71">
        <v>1.97</v>
      </c>
    </row>
    <row r="72" spans="1:18" x14ac:dyDescent="0.25">
      <c r="A72">
        <v>764</v>
      </c>
      <c r="B72" t="s">
        <v>1901</v>
      </c>
      <c r="C72" t="s">
        <v>1897</v>
      </c>
      <c r="D72" t="s">
        <v>1898</v>
      </c>
      <c r="E72" t="s">
        <v>1899</v>
      </c>
      <c r="F72">
        <v>1998</v>
      </c>
      <c r="H72" t="s">
        <v>1878</v>
      </c>
      <c r="I72">
        <v>2</v>
      </c>
      <c r="J72" t="s">
        <v>1900</v>
      </c>
      <c r="K72" t="s">
        <v>14332</v>
      </c>
      <c r="L72" s="222">
        <v>9783809213215</v>
      </c>
      <c r="M72">
        <v>120</v>
      </c>
      <c r="O72" t="s">
        <v>1903</v>
      </c>
      <c r="P72">
        <v>196</v>
      </c>
      <c r="Q72">
        <v>2.5099999999999998</v>
      </c>
    </row>
    <row r="73" spans="1:18" x14ac:dyDescent="0.25">
      <c r="A73">
        <v>632</v>
      </c>
      <c r="B73" t="s">
        <v>1904</v>
      </c>
      <c r="C73" t="s">
        <v>1905</v>
      </c>
      <c r="D73" t="s">
        <v>1906</v>
      </c>
      <c r="E73" t="s">
        <v>1899</v>
      </c>
      <c r="F73">
        <v>1998</v>
      </c>
      <c r="H73" t="s">
        <v>1878</v>
      </c>
      <c r="I73">
        <v>2</v>
      </c>
      <c r="J73" t="s">
        <v>1907</v>
      </c>
      <c r="K73" t="s">
        <v>14332</v>
      </c>
      <c r="L73" s="222">
        <v>9783746614007</v>
      </c>
      <c r="M73">
        <v>576</v>
      </c>
      <c r="O73" t="s">
        <v>1909</v>
      </c>
      <c r="P73">
        <v>580</v>
      </c>
      <c r="Q73">
        <v>2.2200000000000002</v>
      </c>
    </row>
    <row r="74" spans="1:18" x14ac:dyDescent="0.25">
      <c r="A74">
        <v>2547</v>
      </c>
      <c r="B74" t="s">
        <v>1910</v>
      </c>
      <c r="C74" t="s">
        <v>1911</v>
      </c>
      <c r="D74" t="s">
        <v>1912</v>
      </c>
      <c r="E74" t="s">
        <v>1913</v>
      </c>
      <c r="F74">
        <v>2007</v>
      </c>
      <c r="H74" t="s">
        <v>1878</v>
      </c>
      <c r="I74">
        <v>3</v>
      </c>
      <c r="J74" t="s">
        <v>14450</v>
      </c>
      <c r="K74" t="s">
        <v>14332</v>
      </c>
      <c r="L74" s="222">
        <v>9783442462087</v>
      </c>
      <c r="M74">
        <v>320</v>
      </c>
      <c r="O74" t="s">
        <v>1917</v>
      </c>
      <c r="P74">
        <v>279</v>
      </c>
      <c r="Q74">
        <v>1.97</v>
      </c>
    </row>
    <row r="75" spans="1:18" x14ac:dyDescent="0.25">
      <c r="A75">
        <v>2523</v>
      </c>
      <c r="B75" t="s">
        <v>1918</v>
      </c>
      <c r="C75" t="s">
        <v>1919</v>
      </c>
      <c r="D75" t="s">
        <v>1920</v>
      </c>
      <c r="E75" t="s">
        <v>1921</v>
      </c>
      <c r="F75">
        <v>2015</v>
      </c>
      <c r="H75" t="s">
        <v>1878</v>
      </c>
      <c r="I75">
        <v>2</v>
      </c>
      <c r="J75" t="s">
        <v>14451</v>
      </c>
      <c r="K75" t="s">
        <v>14332</v>
      </c>
      <c r="L75" s="222">
        <v>9783404172085</v>
      </c>
      <c r="M75">
        <v>352</v>
      </c>
      <c r="O75" t="s">
        <v>1924</v>
      </c>
      <c r="P75">
        <v>361</v>
      </c>
      <c r="Q75">
        <v>1.97</v>
      </c>
    </row>
    <row r="76" spans="1:18" x14ac:dyDescent="0.25">
      <c r="A76">
        <v>2898</v>
      </c>
      <c r="C76" t="s">
        <v>1926</v>
      </c>
      <c r="D76" t="s">
        <v>1927</v>
      </c>
      <c r="F76">
        <v>2004</v>
      </c>
      <c r="H76" t="s">
        <v>1928</v>
      </c>
      <c r="I76">
        <v>1</v>
      </c>
      <c r="J76" t="s">
        <v>14452</v>
      </c>
      <c r="K76" t="s">
        <v>14332</v>
      </c>
      <c r="L76" s="222">
        <v>9781405434812</v>
      </c>
      <c r="M76">
        <v>28</v>
      </c>
      <c r="O76" t="s">
        <v>1931</v>
      </c>
      <c r="P76">
        <v>314</v>
      </c>
      <c r="Q76">
        <v>1.97</v>
      </c>
    </row>
    <row r="77" spans="1:18" x14ac:dyDescent="0.25">
      <c r="A77">
        <v>2547</v>
      </c>
      <c r="B77" t="s">
        <v>1966</v>
      </c>
      <c r="C77" t="s">
        <v>1967</v>
      </c>
      <c r="D77" t="s">
        <v>1968</v>
      </c>
      <c r="F77">
        <v>2007</v>
      </c>
      <c r="H77" t="s">
        <v>1878</v>
      </c>
      <c r="I77">
        <v>2</v>
      </c>
      <c r="J77" t="s">
        <v>14453</v>
      </c>
      <c r="K77" t="s">
        <v>14332</v>
      </c>
      <c r="L77" s="222">
        <v>9783426634981</v>
      </c>
      <c r="M77">
        <v>366</v>
      </c>
      <c r="O77" t="s">
        <v>1933</v>
      </c>
      <c r="P77">
        <v>279</v>
      </c>
      <c r="Q77">
        <v>1.72</v>
      </c>
    </row>
    <row r="78" spans="1:18" x14ac:dyDescent="0.25">
      <c r="A78">
        <v>1386</v>
      </c>
      <c r="B78" t="s">
        <v>1971</v>
      </c>
      <c r="C78" t="s">
        <v>1972</v>
      </c>
      <c r="D78" t="s">
        <v>1973</v>
      </c>
      <c r="E78" t="s">
        <v>1974</v>
      </c>
      <c r="F78">
        <v>2010</v>
      </c>
      <c r="H78" t="s">
        <v>1928</v>
      </c>
      <c r="I78">
        <v>2</v>
      </c>
      <c r="J78" t="s">
        <v>1975</v>
      </c>
      <c r="K78" t="s">
        <v>14332</v>
      </c>
      <c r="L78" s="222">
        <v>9783940888556</v>
      </c>
      <c r="M78">
        <v>306</v>
      </c>
      <c r="O78" t="s">
        <v>1934</v>
      </c>
      <c r="P78">
        <v>515</v>
      </c>
      <c r="Q78">
        <v>4.6100000000000003</v>
      </c>
    </row>
    <row r="79" spans="1:18" x14ac:dyDescent="0.25">
      <c r="A79">
        <v>634</v>
      </c>
      <c r="B79" t="s">
        <v>1977</v>
      </c>
      <c r="C79" t="s">
        <v>1978</v>
      </c>
      <c r="D79" t="s">
        <v>1979</v>
      </c>
      <c r="F79">
        <v>1999</v>
      </c>
      <c r="H79" t="s">
        <v>1878</v>
      </c>
      <c r="I79">
        <v>3</v>
      </c>
      <c r="J79" t="s">
        <v>1980</v>
      </c>
      <c r="K79" t="s">
        <v>14332</v>
      </c>
      <c r="L79" s="222">
        <v>9783473521487</v>
      </c>
      <c r="M79">
        <v>256</v>
      </c>
      <c r="O79" t="s">
        <v>1935</v>
      </c>
      <c r="P79">
        <v>214</v>
      </c>
      <c r="Q79">
        <v>1.87</v>
      </c>
      <c r="R79">
        <v>0.15</v>
      </c>
    </row>
    <row r="80" spans="1:18" x14ac:dyDescent="0.25">
      <c r="A80">
        <v>1231</v>
      </c>
      <c r="B80" t="s">
        <v>1982</v>
      </c>
      <c r="C80" t="s">
        <v>1983</v>
      </c>
      <c r="D80" t="s">
        <v>1920</v>
      </c>
      <c r="E80" t="s">
        <v>1984</v>
      </c>
      <c r="F80">
        <v>1997</v>
      </c>
      <c r="H80" t="s">
        <v>1878</v>
      </c>
      <c r="I80">
        <v>2</v>
      </c>
      <c r="J80" t="s">
        <v>14454</v>
      </c>
      <c r="K80" t="s">
        <v>14332</v>
      </c>
      <c r="L80" s="222">
        <v>9783404126538</v>
      </c>
      <c r="M80">
        <v>256</v>
      </c>
      <c r="O80" t="s">
        <v>1936</v>
      </c>
      <c r="P80">
        <v>182</v>
      </c>
      <c r="Q80">
        <v>1.72</v>
      </c>
    </row>
    <row r="81" spans="1:19" x14ac:dyDescent="0.25">
      <c r="A81">
        <v>2851</v>
      </c>
      <c r="B81" t="s">
        <v>1996</v>
      </c>
      <c r="C81" t="s">
        <v>1997</v>
      </c>
      <c r="D81" t="s">
        <v>1998</v>
      </c>
      <c r="E81" t="s">
        <v>1913</v>
      </c>
      <c r="F81">
        <v>2007</v>
      </c>
      <c r="H81" t="s">
        <v>1928</v>
      </c>
      <c r="I81">
        <v>2</v>
      </c>
      <c r="J81" t="s">
        <v>1999</v>
      </c>
      <c r="K81" t="s">
        <v>14332</v>
      </c>
      <c r="L81" s="222">
        <v>9783462037739</v>
      </c>
      <c r="M81">
        <v>194</v>
      </c>
      <c r="O81" t="s">
        <v>1939</v>
      </c>
      <c r="P81">
        <v>346</v>
      </c>
      <c r="Q81">
        <v>1.87</v>
      </c>
    </row>
    <row r="82" spans="1:19" x14ac:dyDescent="0.25">
      <c r="A82">
        <v>721</v>
      </c>
      <c r="B82" t="s">
        <v>2001</v>
      </c>
      <c r="C82" t="s">
        <v>2002</v>
      </c>
      <c r="D82" t="s">
        <v>2003</v>
      </c>
      <c r="F82">
        <v>2007</v>
      </c>
      <c r="H82" t="s">
        <v>1878</v>
      </c>
      <c r="I82">
        <v>2</v>
      </c>
      <c r="J82" t="s">
        <v>14455</v>
      </c>
      <c r="K82" t="s">
        <v>14332</v>
      </c>
      <c r="L82" s="222">
        <v>9783938308912</v>
      </c>
      <c r="M82">
        <v>194</v>
      </c>
      <c r="O82" t="s">
        <v>1940</v>
      </c>
      <c r="P82">
        <v>328</v>
      </c>
      <c r="Q82">
        <v>2.5099999999999998</v>
      </c>
    </row>
    <row r="83" spans="1:19" x14ac:dyDescent="0.25">
      <c r="A83">
        <v>153</v>
      </c>
      <c r="C83" t="s">
        <v>2006</v>
      </c>
      <c r="D83" t="s">
        <v>2007</v>
      </c>
      <c r="F83">
        <v>1990</v>
      </c>
      <c r="H83" t="s">
        <v>2008</v>
      </c>
      <c r="I83">
        <v>2</v>
      </c>
      <c r="J83" t="s">
        <v>2009</v>
      </c>
      <c r="K83" t="s">
        <v>14332</v>
      </c>
      <c r="L83" s="222">
        <v>9783150086131</v>
      </c>
      <c r="M83">
        <v>424</v>
      </c>
      <c r="O83" t="s">
        <v>1941</v>
      </c>
      <c r="P83">
        <v>164</v>
      </c>
      <c r="Q83">
        <v>2.83</v>
      </c>
      <c r="R83">
        <v>0.15</v>
      </c>
    </row>
    <row r="84" spans="1:19" x14ac:dyDescent="0.25">
      <c r="A84">
        <v>1806</v>
      </c>
      <c r="C84" t="s">
        <v>2017</v>
      </c>
      <c r="D84" t="s">
        <v>2018</v>
      </c>
      <c r="E84" t="s">
        <v>2014</v>
      </c>
      <c r="H84" t="s">
        <v>1878</v>
      </c>
      <c r="I84">
        <v>1</v>
      </c>
      <c r="J84" t="s">
        <v>2019</v>
      </c>
      <c r="K84" t="s">
        <v>14332</v>
      </c>
      <c r="L84" s="222">
        <v>9783817493753</v>
      </c>
      <c r="M84">
        <v>320</v>
      </c>
      <c r="O84" t="s">
        <v>1943</v>
      </c>
      <c r="P84">
        <v>586</v>
      </c>
      <c r="Q84">
        <v>5.68</v>
      </c>
      <c r="S84">
        <v>0.1</v>
      </c>
    </row>
    <row r="85" spans="1:19" x14ac:dyDescent="0.25">
      <c r="A85">
        <v>972</v>
      </c>
      <c r="B85" t="s">
        <v>2021</v>
      </c>
      <c r="C85" t="s">
        <v>2022</v>
      </c>
      <c r="D85" t="s">
        <v>2023</v>
      </c>
      <c r="F85">
        <v>1996</v>
      </c>
      <c r="H85" t="s">
        <v>1878</v>
      </c>
      <c r="I85">
        <v>2</v>
      </c>
      <c r="J85" t="s">
        <v>2024</v>
      </c>
      <c r="K85" t="s">
        <v>14339</v>
      </c>
      <c r="L85" s="222">
        <v>9780553561609</v>
      </c>
      <c r="M85">
        <v>548</v>
      </c>
      <c r="O85" t="s">
        <v>1944</v>
      </c>
      <c r="P85">
        <v>282</v>
      </c>
      <c r="Q85">
        <v>2.94</v>
      </c>
      <c r="R85">
        <v>0.15</v>
      </c>
    </row>
    <row r="86" spans="1:19" x14ac:dyDescent="0.25">
      <c r="A86">
        <v>697</v>
      </c>
      <c r="B86" t="s">
        <v>2030</v>
      </c>
      <c r="C86" t="s">
        <v>2029</v>
      </c>
      <c r="D86" t="s">
        <v>2031</v>
      </c>
      <c r="E86" t="s">
        <v>2032</v>
      </c>
      <c r="F86">
        <v>2005</v>
      </c>
      <c r="H86" t="s">
        <v>1928</v>
      </c>
      <c r="I86">
        <v>1</v>
      </c>
      <c r="J86" t="s">
        <v>14456</v>
      </c>
      <c r="K86" t="s">
        <v>14332</v>
      </c>
      <c r="M86">
        <v>146</v>
      </c>
      <c r="O86" t="s">
        <v>1946</v>
      </c>
      <c r="P86">
        <v>613</v>
      </c>
      <c r="Q86">
        <v>6.75</v>
      </c>
    </row>
    <row r="87" spans="1:19" x14ac:dyDescent="0.25">
      <c r="A87">
        <v>609</v>
      </c>
      <c r="B87" t="s">
        <v>2034</v>
      </c>
      <c r="C87" t="s">
        <v>2035</v>
      </c>
      <c r="D87" t="s">
        <v>2036</v>
      </c>
      <c r="E87" t="s">
        <v>1921</v>
      </c>
      <c r="F87">
        <v>2002</v>
      </c>
      <c r="H87" t="s">
        <v>1928</v>
      </c>
      <c r="I87">
        <v>1</v>
      </c>
      <c r="J87" t="s">
        <v>2037</v>
      </c>
      <c r="K87" t="s">
        <v>14332</v>
      </c>
      <c r="L87" s="222">
        <v>9783828924161</v>
      </c>
      <c r="M87">
        <v>82</v>
      </c>
      <c r="O87" t="s">
        <v>1947</v>
      </c>
      <c r="P87">
        <v>381</v>
      </c>
      <c r="Q87">
        <v>2.2999999999999998</v>
      </c>
    </row>
    <row r="88" spans="1:19" x14ac:dyDescent="0.25">
      <c r="A88">
        <v>632</v>
      </c>
      <c r="B88" t="s">
        <v>2044</v>
      </c>
      <c r="C88" t="s">
        <v>2045</v>
      </c>
      <c r="D88" t="s">
        <v>2046</v>
      </c>
      <c r="F88">
        <v>2006</v>
      </c>
      <c r="H88" t="s">
        <v>1928</v>
      </c>
      <c r="I88">
        <v>2</v>
      </c>
      <c r="J88" t="s">
        <v>2047</v>
      </c>
      <c r="K88" t="s">
        <v>14332</v>
      </c>
      <c r="M88">
        <v>384</v>
      </c>
      <c r="O88" t="s">
        <v>1949</v>
      </c>
      <c r="P88">
        <v>548</v>
      </c>
      <c r="Q88">
        <v>2.4700000000000002</v>
      </c>
    </row>
    <row r="89" spans="1:19" x14ac:dyDescent="0.25">
      <c r="A89">
        <v>630</v>
      </c>
      <c r="B89" t="s">
        <v>2048</v>
      </c>
      <c r="C89" t="s">
        <v>2049</v>
      </c>
      <c r="D89" t="s">
        <v>2050</v>
      </c>
      <c r="F89">
        <v>2003</v>
      </c>
      <c r="H89" t="s">
        <v>1928</v>
      </c>
      <c r="I89">
        <v>2</v>
      </c>
      <c r="K89" t="s">
        <v>14332</v>
      </c>
      <c r="L89" s="222">
        <v>9783809409724</v>
      </c>
      <c r="M89">
        <v>1586</v>
      </c>
      <c r="O89" t="s">
        <v>1950</v>
      </c>
      <c r="P89">
        <v>1685</v>
      </c>
      <c r="Q89">
        <v>5.21</v>
      </c>
    </row>
    <row r="90" spans="1:19" x14ac:dyDescent="0.25">
      <c r="A90">
        <v>2571</v>
      </c>
      <c r="B90" t="s">
        <v>2052</v>
      </c>
      <c r="C90" t="s">
        <v>2053</v>
      </c>
      <c r="D90" t="s">
        <v>2054</v>
      </c>
      <c r="E90" t="s">
        <v>2055</v>
      </c>
      <c r="F90">
        <v>1957</v>
      </c>
      <c r="H90" t="s">
        <v>1928</v>
      </c>
      <c r="I90">
        <v>2</v>
      </c>
      <c r="J90" t="s">
        <v>2056</v>
      </c>
      <c r="K90" t="s">
        <v>14332</v>
      </c>
      <c r="L90" s="222">
        <v>4026411100531</v>
      </c>
      <c r="M90">
        <v>200</v>
      </c>
      <c r="O90" t="s">
        <v>1951</v>
      </c>
      <c r="P90">
        <v>238</v>
      </c>
      <c r="Q90">
        <v>4.1100000000000003</v>
      </c>
    </row>
    <row r="91" spans="1:19" x14ac:dyDescent="0.25">
      <c r="A91">
        <v>701</v>
      </c>
      <c r="B91" t="s">
        <v>2058</v>
      </c>
      <c r="C91" t="s">
        <v>2059</v>
      </c>
      <c r="D91" t="s">
        <v>2050</v>
      </c>
      <c r="F91">
        <v>2010</v>
      </c>
      <c r="H91" t="s">
        <v>1928</v>
      </c>
      <c r="I91">
        <v>2</v>
      </c>
      <c r="J91" t="s">
        <v>14457</v>
      </c>
      <c r="K91" t="s">
        <v>14332</v>
      </c>
      <c r="L91" s="222">
        <v>9783809426998</v>
      </c>
      <c r="M91">
        <v>144</v>
      </c>
      <c r="O91" t="s">
        <v>1952</v>
      </c>
      <c r="P91">
        <v>207</v>
      </c>
      <c r="Q91">
        <v>1.97</v>
      </c>
    </row>
    <row r="92" spans="1:19" x14ac:dyDescent="0.25">
      <c r="A92">
        <v>182</v>
      </c>
      <c r="B92" t="s">
        <v>2062</v>
      </c>
      <c r="C92" t="s">
        <v>2063</v>
      </c>
      <c r="D92" t="s">
        <v>2064</v>
      </c>
      <c r="F92">
        <v>1975</v>
      </c>
      <c r="H92" t="s">
        <v>2008</v>
      </c>
      <c r="I92">
        <v>2</v>
      </c>
      <c r="J92" t="s">
        <v>2065</v>
      </c>
      <c r="K92" t="s">
        <v>14332</v>
      </c>
      <c r="M92">
        <v>252</v>
      </c>
      <c r="O92" t="s">
        <v>1953</v>
      </c>
      <c r="P92">
        <v>163</v>
      </c>
      <c r="Q92">
        <v>4.1100000000000003</v>
      </c>
    </row>
    <row r="93" spans="1:19" x14ac:dyDescent="0.25">
      <c r="A93">
        <v>639</v>
      </c>
      <c r="B93" t="s">
        <v>2066</v>
      </c>
      <c r="C93" t="s">
        <v>2067</v>
      </c>
      <c r="D93" t="s">
        <v>2068</v>
      </c>
      <c r="F93">
        <v>1982</v>
      </c>
      <c r="H93" t="s">
        <v>1878</v>
      </c>
      <c r="I93">
        <v>2</v>
      </c>
      <c r="J93" t="s">
        <v>2069</v>
      </c>
      <c r="K93" t="s">
        <v>14332</v>
      </c>
      <c r="L93" s="222">
        <v>9783806804737</v>
      </c>
      <c r="M93">
        <v>112</v>
      </c>
      <c r="O93" t="s">
        <v>1954</v>
      </c>
      <c r="P93">
        <v>186</v>
      </c>
      <c r="Q93">
        <v>1.45</v>
      </c>
    </row>
    <row r="94" spans="1:19" x14ac:dyDescent="0.25">
      <c r="A94">
        <v>2948</v>
      </c>
      <c r="B94" t="s">
        <v>2075</v>
      </c>
      <c r="C94" t="s">
        <v>2076</v>
      </c>
      <c r="D94" t="s">
        <v>2077</v>
      </c>
      <c r="E94" t="s">
        <v>1921</v>
      </c>
      <c r="F94">
        <v>2000</v>
      </c>
      <c r="H94" t="s">
        <v>1878</v>
      </c>
      <c r="I94">
        <v>2</v>
      </c>
      <c r="J94" t="s">
        <v>2078</v>
      </c>
      <c r="K94" t="s">
        <v>14332</v>
      </c>
      <c r="L94" s="222">
        <v>9783802527357</v>
      </c>
      <c r="M94">
        <v>224</v>
      </c>
      <c r="O94" t="s">
        <v>1956</v>
      </c>
      <c r="P94">
        <v>282</v>
      </c>
      <c r="Q94">
        <v>4.1100000000000003</v>
      </c>
    </row>
    <row r="95" spans="1:19" x14ac:dyDescent="0.25">
      <c r="A95">
        <v>718</v>
      </c>
      <c r="B95" t="s">
        <v>2086</v>
      </c>
      <c r="C95" t="s">
        <v>2087</v>
      </c>
      <c r="D95" t="s">
        <v>2050</v>
      </c>
      <c r="F95">
        <v>2002</v>
      </c>
      <c r="H95" t="s">
        <v>1928</v>
      </c>
      <c r="I95">
        <v>1</v>
      </c>
      <c r="J95" t="s">
        <v>14458</v>
      </c>
      <c r="K95" t="s">
        <v>14332</v>
      </c>
      <c r="L95" s="222">
        <v>9783809412267</v>
      </c>
      <c r="M95">
        <v>210</v>
      </c>
      <c r="O95" t="s">
        <v>1958</v>
      </c>
      <c r="P95">
        <v>729</v>
      </c>
      <c r="Q95">
        <v>2.69</v>
      </c>
    </row>
    <row r="96" spans="1:19" x14ac:dyDescent="0.25">
      <c r="A96">
        <v>1366</v>
      </c>
      <c r="B96" t="s">
        <v>2089</v>
      </c>
      <c r="C96" t="s">
        <v>2090</v>
      </c>
      <c r="D96" t="s">
        <v>2091</v>
      </c>
      <c r="F96">
        <v>1960</v>
      </c>
      <c r="H96" t="s">
        <v>1928</v>
      </c>
      <c r="I96">
        <v>2</v>
      </c>
      <c r="K96" t="s">
        <v>14332</v>
      </c>
      <c r="M96">
        <v>162</v>
      </c>
      <c r="O96" t="s">
        <v>1959</v>
      </c>
      <c r="P96">
        <v>207</v>
      </c>
      <c r="Q96">
        <v>1.72</v>
      </c>
    </row>
    <row r="97" spans="1:17" x14ac:dyDescent="0.25">
      <c r="A97">
        <v>1327</v>
      </c>
      <c r="B97" t="s">
        <v>2092</v>
      </c>
      <c r="C97" t="s">
        <v>2093</v>
      </c>
      <c r="D97" t="s">
        <v>2054</v>
      </c>
      <c r="E97" t="s">
        <v>2094</v>
      </c>
      <c r="F97">
        <v>2008</v>
      </c>
      <c r="H97" t="s">
        <v>1878</v>
      </c>
      <c r="I97">
        <v>2</v>
      </c>
      <c r="J97" t="s">
        <v>2095</v>
      </c>
      <c r="K97" t="s">
        <v>14332</v>
      </c>
      <c r="L97" s="222">
        <v>9783868000504</v>
      </c>
      <c r="M97">
        <v>496</v>
      </c>
      <c r="O97" t="s">
        <v>1960</v>
      </c>
      <c r="P97">
        <v>472</v>
      </c>
      <c r="Q97">
        <v>1.87</v>
      </c>
    </row>
    <row r="98" spans="1:17" x14ac:dyDescent="0.25">
      <c r="A98">
        <v>701</v>
      </c>
      <c r="B98" t="s">
        <v>2097</v>
      </c>
      <c r="C98" t="s">
        <v>2098</v>
      </c>
      <c r="D98" t="s">
        <v>1886</v>
      </c>
      <c r="F98">
        <v>2007</v>
      </c>
      <c r="H98" t="s">
        <v>1878</v>
      </c>
      <c r="I98">
        <v>2</v>
      </c>
      <c r="J98" t="s">
        <v>2099</v>
      </c>
      <c r="K98" t="s">
        <v>14332</v>
      </c>
      <c r="L98" s="222">
        <v>9783499622847</v>
      </c>
      <c r="M98">
        <v>192</v>
      </c>
      <c r="O98" t="s">
        <v>1961</v>
      </c>
      <c r="P98">
        <v>287</v>
      </c>
      <c r="Q98">
        <v>1.72</v>
      </c>
    </row>
    <row r="99" spans="1:17" x14ac:dyDescent="0.25">
      <c r="A99">
        <v>2952</v>
      </c>
      <c r="B99" t="s">
        <v>2101</v>
      </c>
      <c r="C99" t="s">
        <v>2102</v>
      </c>
      <c r="D99" t="s">
        <v>2103</v>
      </c>
      <c r="F99">
        <v>2015</v>
      </c>
      <c r="H99" t="s">
        <v>1878</v>
      </c>
      <c r="I99">
        <v>2</v>
      </c>
      <c r="J99" t="s">
        <v>14459</v>
      </c>
      <c r="K99" t="s">
        <v>14332</v>
      </c>
      <c r="L99" s="222">
        <v>4198042704997</v>
      </c>
      <c r="M99">
        <v>290</v>
      </c>
      <c r="O99" t="s">
        <v>1962</v>
      </c>
      <c r="P99">
        <v>169</v>
      </c>
      <c r="Q99">
        <v>2.62</v>
      </c>
    </row>
    <row r="100" spans="1:17" x14ac:dyDescent="0.25">
      <c r="A100">
        <v>8</v>
      </c>
      <c r="B100" t="s">
        <v>2110</v>
      </c>
      <c r="C100" t="s">
        <v>2111</v>
      </c>
      <c r="D100" t="s">
        <v>2112</v>
      </c>
      <c r="E100" t="s">
        <v>1877</v>
      </c>
      <c r="F100">
        <v>1985</v>
      </c>
      <c r="H100" t="s">
        <v>1928</v>
      </c>
      <c r="I100">
        <v>1</v>
      </c>
      <c r="K100" t="s">
        <v>14332</v>
      </c>
      <c r="L100" s="222">
        <v>9783546471732</v>
      </c>
      <c r="M100">
        <v>466</v>
      </c>
      <c r="O100" t="s">
        <v>1964</v>
      </c>
      <c r="P100">
        <v>736</v>
      </c>
      <c r="Q100">
        <v>2.69</v>
      </c>
    </row>
    <row r="101" spans="1:17" x14ac:dyDescent="0.25">
      <c r="A101">
        <v>651</v>
      </c>
      <c r="B101" t="s">
        <v>2115</v>
      </c>
      <c r="C101" t="s">
        <v>2114</v>
      </c>
      <c r="D101" t="s">
        <v>2117</v>
      </c>
      <c r="E101" t="s">
        <v>1974</v>
      </c>
      <c r="F101">
        <v>1994</v>
      </c>
      <c r="H101" t="s">
        <v>2116</v>
      </c>
      <c r="I101">
        <v>1</v>
      </c>
      <c r="J101" t="s">
        <v>2118</v>
      </c>
      <c r="K101" t="s">
        <v>14332</v>
      </c>
      <c r="L101" s="222">
        <v>9783772417825</v>
      </c>
      <c r="M101">
        <v>32</v>
      </c>
      <c r="O101" t="s">
        <v>1965</v>
      </c>
      <c r="P101">
        <v>99</v>
      </c>
      <c r="Q101">
        <v>1.93</v>
      </c>
    </row>
    <row r="102" spans="1:17" x14ac:dyDescent="0.25">
      <c r="A102">
        <v>691</v>
      </c>
      <c r="B102" t="s">
        <v>2144</v>
      </c>
      <c r="C102" t="s">
        <v>2145</v>
      </c>
      <c r="D102" t="s">
        <v>2146</v>
      </c>
      <c r="H102" t="s">
        <v>1928</v>
      </c>
      <c r="I102">
        <v>2</v>
      </c>
      <c r="J102" t="s">
        <v>2147</v>
      </c>
      <c r="K102" t="s">
        <v>14332</v>
      </c>
      <c r="L102" s="222">
        <v>9783822738412</v>
      </c>
      <c r="M102">
        <v>20</v>
      </c>
      <c r="O102" t="s">
        <v>2120</v>
      </c>
      <c r="P102">
        <v>410</v>
      </c>
      <c r="Q102">
        <v>1.97</v>
      </c>
    </row>
    <row r="103" spans="1:17" x14ac:dyDescent="0.25">
      <c r="A103">
        <v>2571</v>
      </c>
      <c r="B103" t="s">
        <v>2149</v>
      </c>
      <c r="C103" t="s">
        <v>2150</v>
      </c>
      <c r="D103" t="s">
        <v>2151</v>
      </c>
      <c r="F103">
        <v>1980</v>
      </c>
      <c r="H103" t="s">
        <v>1878</v>
      </c>
      <c r="I103">
        <v>3</v>
      </c>
      <c r="J103" t="s">
        <v>2152</v>
      </c>
      <c r="K103" t="s">
        <v>14332</v>
      </c>
      <c r="L103" s="222">
        <v>9783811861077</v>
      </c>
      <c r="M103">
        <v>320</v>
      </c>
      <c r="O103" t="s">
        <v>2121</v>
      </c>
      <c r="P103">
        <v>273</v>
      </c>
      <c r="Q103">
        <v>1.72</v>
      </c>
    </row>
    <row r="104" spans="1:17" x14ac:dyDescent="0.25">
      <c r="A104">
        <v>1393</v>
      </c>
      <c r="B104" t="s">
        <v>2154</v>
      </c>
      <c r="C104" t="s">
        <v>2155</v>
      </c>
      <c r="D104" t="s">
        <v>2156</v>
      </c>
      <c r="E104" t="s">
        <v>2157</v>
      </c>
      <c r="F104">
        <v>1997</v>
      </c>
      <c r="H104" t="s">
        <v>1878</v>
      </c>
      <c r="I104">
        <v>2</v>
      </c>
      <c r="J104" t="s">
        <v>2158</v>
      </c>
      <c r="K104" t="s">
        <v>14332</v>
      </c>
      <c r="L104" s="222">
        <v>9783423702171</v>
      </c>
      <c r="M104">
        <v>120</v>
      </c>
      <c r="O104" t="s">
        <v>2122</v>
      </c>
      <c r="P104">
        <v>124</v>
      </c>
      <c r="Q104">
        <v>2.2999999999999998</v>
      </c>
    </row>
    <row r="105" spans="1:17" x14ac:dyDescent="0.25">
      <c r="A105">
        <v>701</v>
      </c>
      <c r="B105" t="s">
        <v>2089</v>
      </c>
      <c r="C105" t="s">
        <v>2160</v>
      </c>
      <c r="D105" t="s">
        <v>2054</v>
      </c>
      <c r="E105" t="s">
        <v>2055</v>
      </c>
      <c r="F105">
        <v>2000</v>
      </c>
      <c r="H105" t="s">
        <v>1928</v>
      </c>
      <c r="I105">
        <v>2</v>
      </c>
      <c r="J105" t="s">
        <v>2161</v>
      </c>
      <c r="K105" t="s">
        <v>14332</v>
      </c>
      <c r="L105" s="222">
        <v>9783896047762</v>
      </c>
      <c r="M105">
        <v>226</v>
      </c>
      <c r="O105" t="s">
        <v>2123</v>
      </c>
      <c r="P105">
        <v>398</v>
      </c>
      <c r="Q105">
        <v>2.04</v>
      </c>
    </row>
    <row r="106" spans="1:17" x14ac:dyDescent="0.25">
      <c r="A106">
        <v>844</v>
      </c>
      <c r="B106" t="s">
        <v>2163</v>
      </c>
      <c r="C106" t="s">
        <v>2164</v>
      </c>
      <c r="D106" t="s">
        <v>2165</v>
      </c>
      <c r="H106" t="s">
        <v>1928</v>
      </c>
      <c r="I106">
        <v>2</v>
      </c>
      <c r="J106" t="s">
        <v>14460</v>
      </c>
      <c r="K106" t="s">
        <v>14332</v>
      </c>
      <c r="L106" s="222">
        <v>9783625113898</v>
      </c>
      <c r="M106">
        <v>130</v>
      </c>
      <c r="O106" t="s">
        <v>2124</v>
      </c>
      <c r="P106">
        <v>562</v>
      </c>
      <c r="Q106">
        <v>3</v>
      </c>
    </row>
    <row r="107" spans="1:17" x14ac:dyDescent="0.25">
      <c r="A107">
        <v>689</v>
      </c>
      <c r="B107" t="s">
        <v>2168</v>
      </c>
      <c r="C107" t="s">
        <v>2169</v>
      </c>
      <c r="D107" t="s">
        <v>2170</v>
      </c>
      <c r="E107" t="s">
        <v>1974</v>
      </c>
      <c r="F107">
        <v>2004</v>
      </c>
      <c r="H107" t="s">
        <v>1928</v>
      </c>
      <c r="I107">
        <v>1</v>
      </c>
      <c r="J107" t="s">
        <v>2171</v>
      </c>
      <c r="K107" t="s">
        <v>14332</v>
      </c>
      <c r="L107" s="222">
        <v>9783707402292</v>
      </c>
      <c r="M107">
        <v>298</v>
      </c>
      <c r="O107" t="s">
        <v>2125</v>
      </c>
      <c r="P107">
        <v>755</v>
      </c>
      <c r="Q107">
        <v>2.69</v>
      </c>
    </row>
    <row r="108" spans="1:17" x14ac:dyDescent="0.25">
      <c r="A108">
        <v>796</v>
      </c>
      <c r="B108" t="s">
        <v>2179</v>
      </c>
      <c r="C108" t="s">
        <v>2180</v>
      </c>
      <c r="D108" t="s">
        <v>1968</v>
      </c>
      <c r="F108">
        <v>2002</v>
      </c>
      <c r="H108" t="s">
        <v>1878</v>
      </c>
      <c r="I108">
        <v>2</v>
      </c>
      <c r="J108" t="s">
        <v>2181</v>
      </c>
      <c r="K108" t="s">
        <v>14332</v>
      </c>
      <c r="L108" s="222">
        <v>9783426623947</v>
      </c>
      <c r="M108">
        <v>592</v>
      </c>
      <c r="O108" t="s">
        <v>2127</v>
      </c>
      <c r="P108">
        <v>449</v>
      </c>
      <c r="Q108">
        <v>1.72</v>
      </c>
    </row>
    <row r="109" spans="1:17" x14ac:dyDescent="0.25">
      <c r="A109">
        <v>704</v>
      </c>
      <c r="B109" t="s">
        <v>2183</v>
      </c>
      <c r="C109" t="s">
        <v>2184</v>
      </c>
      <c r="D109" t="s">
        <v>2185</v>
      </c>
      <c r="E109" t="s">
        <v>2032</v>
      </c>
      <c r="F109">
        <v>2004</v>
      </c>
      <c r="H109" t="s">
        <v>1878</v>
      </c>
      <c r="I109">
        <v>2</v>
      </c>
      <c r="K109" t="s">
        <v>14339</v>
      </c>
      <c r="L109" s="222">
        <v>9780141019871</v>
      </c>
      <c r="M109">
        <v>282</v>
      </c>
      <c r="O109" t="s">
        <v>2128</v>
      </c>
      <c r="P109">
        <v>175</v>
      </c>
      <c r="Q109">
        <v>2.4</v>
      </c>
    </row>
    <row r="110" spans="1:17" x14ac:dyDescent="0.25">
      <c r="A110">
        <v>701</v>
      </c>
      <c r="B110" t="s">
        <v>2187</v>
      </c>
      <c r="C110" t="s">
        <v>2188</v>
      </c>
      <c r="D110" t="s">
        <v>2050</v>
      </c>
      <c r="F110">
        <v>2009</v>
      </c>
      <c r="H110" t="s">
        <v>1928</v>
      </c>
      <c r="I110">
        <v>2</v>
      </c>
      <c r="J110" t="s">
        <v>2189</v>
      </c>
      <c r="K110" t="s">
        <v>14332</v>
      </c>
      <c r="L110" s="222">
        <v>9783809421849</v>
      </c>
      <c r="M110">
        <v>146</v>
      </c>
      <c r="O110" t="s">
        <v>2129</v>
      </c>
      <c r="P110">
        <v>211</v>
      </c>
      <c r="Q110">
        <v>1.72</v>
      </c>
    </row>
    <row r="111" spans="1:17" x14ac:dyDescent="0.25">
      <c r="A111">
        <v>972</v>
      </c>
      <c r="B111" t="s">
        <v>2191</v>
      </c>
      <c r="C111" t="s">
        <v>2192</v>
      </c>
      <c r="D111" t="s">
        <v>8469</v>
      </c>
      <c r="F111">
        <v>2010</v>
      </c>
      <c r="H111" t="s">
        <v>1878</v>
      </c>
      <c r="I111">
        <v>2</v>
      </c>
      <c r="K111" t="s">
        <v>14339</v>
      </c>
      <c r="L111" s="222">
        <v>9781847393630</v>
      </c>
      <c r="M111">
        <v>374</v>
      </c>
      <c r="O111" t="s">
        <v>2130</v>
      </c>
      <c r="P111">
        <v>211</v>
      </c>
      <c r="Q111">
        <v>2.4</v>
      </c>
    </row>
    <row r="112" spans="1:17" x14ac:dyDescent="0.25">
      <c r="A112">
        <v>8</v>
      </c>
      <c r="B112" t="s">
        <v>2195</v>
      </c>
      <c r="C112" t="s">
        <v>2196</v>
      </c>
      <c r="D112" t="s">
        <v>1988</v>
      </c>
      <c r="F112">
        <v>1996</v>
      </c>
      <c r="H112" t="s">
        <v>1878</v>
      </c>
      <c r="I112">
        <v>2</v>
      </c>
      <c r="J112" t="s">
        <v>2197</v>
      </c>
      <c r="K112" t="s">
        <v>14332</v>
      </c>
      <c r="L112" s="222">
        <v>9783423083140</v>
      </c>
      <c r="M112">
        <v>128</v>
      </c>
      <c r="O112" t="s">
        <v>2131</v>
      </c>
      <c r="P112">
        <v>88</v>
      </c>
      <c r="Q112">
        <v>1.97</v>
      </c>
    </row>
    <row r="113" spans="1:17" x14ac:dyDescent="0.25">
      <c r="A113">
        <v>1231</v>
      </c>
      <c r="B113" t="s">
        <v>2199</v>
      </c>
      <c r="C113" t="s">
        <v>2200</v>
      </c>
      <c r="D113" t="s">
        <v>1968</v>
      </c>
      <c r="F113">
        <v>2005</v>
      </c>
      <c r="H113" t="s">
        <v>1878</v>
      </c>
      <c r="I113">
        <v>2</v>
      </c>
      <c r="J113" t="s">
        <v>2201</v>
      </c>
      <c r="K113" t="s">
        <v>14332</v>
      </c>
      <c r="L113" s="222">
        <v>9783426778937</v>
      </c>
      <c r="M113">
        <v>272</v>
      </c>
      <c r="O113" t="s">
        <v>2132</v>
      </c>
      <c r="P113">
        <v>283</v>
      </c>
      <c r="Q113">
        <v>1.87</v>
      </c>
    </row>
    <row r="114" spans="1:17" x14ac:dyDescent="0.25">
      <c r="A114">
        <v>2522</v>
      </c>
      <c r="B114" t="s">
        <v>2203</v>
      </c>
      <c r="C114" t="s">
        <v>2204</v>
      </c>
      <c r="D114" t="s">
        <v>1920</v>
      </c>
      <c r="F114">
        <v>1997</v>
      </c>
      <c r="H114" t="s">
        <v>1878</v>
      </c>
      <c r="I114">
        <v>2</v>
      </c>
      <c r="J114" t="s">
        <v>2205</v>
      </c>
      <c r="K114" t="s">
        <v>14332</v>
      </c>
      <c r="L114" s="222">
        <v>9783404139293</v>
      </c>
      <c r="M114">
        <v>768</v>
      </c>
      <c r="O114" t="s">
        <v>2133</v>
      </c>
      <c r="P114">
        <v>558</v>
      </c>
      <c r="Q114">
        <v>2.2200000000000002</v>
      </c>
    </row>
    <row r="115" spans="1:17" x14ac:dyDescent="0.25">
      <c r="A115">
        <v>637</v>
      </c>
      <c r="B115" t="s">
        <v>2207</v>
      </c>
      <c r="C115" t="s">
        <v>2208</v>
      </c>
      <c r="D115" t="s">
        <v>2209</v>
      </c>
      <c r="F115">
        <v>1982</v>
      </c>
      <c r="H115" t="s">
        <v>1878</v>
      </c>
      <c r="I115">
        <v>2</v>
      </c>
      <c r="J115" t="s">
        <v>2205</v>
      </c>
      <c r="K115" t="s">
        <v>14332</v>
      </c>
      <c r="L115" s="222">
        <v>9783453415003</v>
      </c>
      <c r="M115">
        <v>192</v>
      </c>
      <c r="O115" t="s">
        <v>2134</v>
      </c>
      <c r="P115">
        <v>208</v>
      </c>
      <c r="Q115">
        <v>1.82</v>
      </c>
    </row>
    <row r="116" spans="1:17" x14ac:dyDescent="0.25">
      <c r="A116">
        <v>1327</v>
      </c>
      <c r="B116" t="s">
        <v>2215</v>
      </c>
      <c r="C116" t="s">
        <v>2216</v>
      </c>
      <c r="D116" t="s">
        <v>2054</v>
      </c>
      <c r="F116">
        <v>2007</v>
      </c>
      <c r="H116" t="s">
        <v>2217</v>
      </c>
      <c r="I116">
        <v>2</v>
      </c>
      <c r="K116" t="s">
        <v>14332</v>
      </c>
      <c r="L116" s="222">
        <v>9783828991408</v>
      </c>
      <c r="M116">
        <v>598</v>
      </c>
      <c r="O116" t="s">
        <v>2136</v>
      </c>
      <c r="P116">
        <v>565</v>
      </c>
      <c r="Q116">
        <v>3.01</v>
      </c>
    </row>
    <row r="117" spans="1:17" x14ac:dyDescent="0.25">
      <c r="A117">
        <v>1386</v>
      </c>
      <c r="B117" t="s">
        <v>2219</v>
      </c>
      <c r="C117" t="s">
        <v>2220</v>
      </c>
      <c r="D117" t="s">
        <v>2221</v>
      </c>
      <c r="F117">
        <v>2004</v>
      </c>
      <c r="H117" t="s">
        <v>1928</v>
      </c>
      <c r="I117">
        <v>2</v>
      </c>
      <c r="J117" t="s">
        <v>2222</v>
      </c>
      <c r="K117" t="s">
        <v>14332</v>
      </c>
      <c r="L117" s="222">
        <v>9783797309013</v>
      </c>
      <c r="M117">
        <v>264</v>
      </c>
      <c r="O117" t="s">
        <v>2137</v>
      </c>
      <c r="P117">
        <v>391</v>
      </c>
      <c r="Q117">
        <v>2.62</v>
      </c>
    </row>
    <row r="118" spans="1:17" x14ac:dyDescent="0.25">
      <c r="A118">
        <v>684</v>
      </c>
      <c r="B118" t="s">
        <v>2224</v>
      </c>
      <c r="C118" t="s">
        <v>2225</v>
      </c>
      <c r="D118" t="s">
        <v>2176</v>
      </c>
      <c r="E118" t="s">
        <v>1899</v>
      </c>
      <c r="F118">
        <v>2003</v>
      </c>
      <c r="H118" t="s">
        <v>1878</v>
      </c>
      <c r="I118">
        <v>2</v>
      </c>
      <c r="J118" t="s">
        <v>2205</v>
      </c>
      <c r="K118" t="s">
        <v>14332</v>
      </c>
      <c r="L118" s="222">
        <v>9783100448507</v>
      </c>
      <c r="M118">
        <v>256</v>
      </c>
      <c r="O118" t="s">
        <v>2138</v>
      </c>
      <c r="P118">
        <v>368</v>
      </c>
      <c r="Q118">
        <v>1.93</v>
      </c>
    </row>
    <row r="119" spans="1:17" x14ac:dyDescent="0.25">
      <c r="A119">
        <v>2522</v>
      </c>
      <c r="B119" t="s">
        <v>2228</v>
      </c>
      <c r="C119" t="s">
        <v>2229</v>
      </c>
      <c r="D119" t="s">
        <v>1886</v>
      </c>
      <c r="F119">
        <v>2006</v>
      </c>
      <c r="H119" t="s">
        <v>1878</v>
      </c>
      <c r="I119">
        <v>2</v>
      </c>
      <c r="K119" t="s">
        <v>14332</v>
      </c>
      <c r="L119" s="222">
        <v>9783499236112</v>
      </c>
      <c r="M119">
        <v>384</v>
      </c>
      <c r="O119" t="s">
        <v>2139</v>
      </c>
      <c r="P119">
        <v>347</v>
      </c>
      <c r="Q119">
        <v>2.19</v>
      </c>
    </row>
    <row r="120" spans="1:17" x14ac:dyDescent="0.25">
      <c r="A120">
        <v>1386</v>
      </c>
      <c r="B120" t="s">
        <v>2230</v>
      </c>
      <c r="C120" t="s">
        <v>2231</v>
      </c>
      <c r="D120" t="s">
        <v>2232</v>
      </c>
      <c r="E120" t="s">
        <v>2157</v>
      </c>
      <c r="F120">
        <v>2013</v>
      </c>
      <c r="H120" t="s">
        <v>1878</v>
      </c>
      <c r="I120">
        <v>2</v>
      </c>
      <c r="K120" t="s">
        <v>14332</v>
      </c>
      <c r="L120" s="222">
        <v>9783442744039</v>
      </c>
      <c r="M120">
        <v>480</v>
      </c>
      <c r="O120" t="s">
        <v>2140</v>
      </c>
      <c r="P120">
        <v>395</v>
      </c>
      <c r="Q120">
        <v>1.72</v>
      </c>
    </row>
    <row r="121" spans="1:17" x14ac:dyDescent="0.25">
      <c r="A121">
        <v>632</v>
      </c>
      <c r="B121" t="s">
        <v>2234</v>
      </c>
      <c r="C121" t="s">
        <v>2235</v>
      </c>
      <c r="D121" t="s">
        <v>2236</v>
      </c>
      <c r="F121">
        <v>2010</v>
      </c>
      <c r="H121" t="s">
        <v>1878</v>
      </c>
      <c r="I121">
        <v>2</v>
      </c>
      <c r="J121" t="s">
        <v>2237</v>
      </c>
      <c r="K121" t="s">
        <v>14332</v>
      </c>
      <c r="L121" s="222">
        <v>9783407741967</v>
      </c>
      <c r="M121">
        <v>328</v>
      </c>
      <c r="O121" t="s">
        <v>2141</v>
      </c>
      <c r="P121">
        <v>320</v>
      </c>
      <c r="Q121">
        <v>1.97</v>
      </c>
    </row>
    <row r="122" spans="1:17" x14ac:dyDescent="0.25">
      <c r="A122">
        <v>1324</v>
      </c>
      <c r="B122" t="s">
        <v>2239</v>
      </c>
      <c r="C122" t="s">
        <v>2240</v>
      </c>
      <c r="D122" t="s">
        <v>2209</v>
      </c>
      <c r="F122">
        <v>2006</v>
      </c>
      <c r="H122" t="s">
        <v>2217</v>
      </c>
      <c r="I122">
        <v>2</v>
      </c>
      <c r="J122" t="s">
        <v>2237</v>
      </c>
      <c r="K122" t="s">
        <v>14332</v>
      </c>
      <c r="L122" s="222">
        <v>9783453120624</v>
      </c>
      <c r="M122">
        <v>256</v>
      </c>
      <c r="O122" t="s">
        <v>2142</v>
      </c>
      <c r="P122">
        <v>397</v>
      </c>
      <c r="Q122">
        <v>2.4</v>
      </c>
    </row>
    <row r="123" spans="1:17" x14ac:dyDescent="0.25">
      <c r="A123">
        <v>632</v>
      </c>
      <c r="B123" t="s">
        <v>2242</v>
      </c>
      <c r="C123" t="s">
        <v>2243</v>
      </c>
      <c r="D123" t="s">
        <v>2244</v>
      </c>
      <c r="F123">
        <v>2003</v>
      </c>
      <c r="H123" t="s">
        <v>1928</v>
      </c>
      <c r="I123">
        <v>1</v>
      </c>
      <c r="J123" t="s">
        <v>2237</v>
      </c>
      <c r="K123" t="s">
        <v>14332</v>
      </c>
      <c r="L123" s="222">
        <v>9783828970601</v>
      </c>
      <c r="M123">
        <v>642</v>
      </c>
      <c r="O123" t="s">
        <v>2143</v>
      </c>
      <c r="P123">
        <v>762</v>
      </c>
      <c r="Q123">
        <v>2.37</v>
      </c>
    </row>
    <row r="124" spans="1:17" x14ac:dyDescent="0.25">
      <c r="A124">
        <v>1913</v>
      </c>
      <c r="B124" t="s">
        <v>2248</v>
      </c>
      <c r="C124" t="s">
        <v>2249</v>
      </c>
      <c r="D124" t="s">
        <v>2250</v>
      </c>
      <c r="E124" t="s">
        <v>2175</v>
      </c>
      <c r="F124">
        <v>2012</v>
      </c>
      <c r="H124" t="s">
        <v>1878</v>
      </c>
      <c r="I124">
        <v>2</v>
      </c>
      <c r="K124" t="s">
        <v>14332</v>
      </c>
      <c r="L124" s="222">
        <v>9783867541886</v>
      </c>
      <c r="M124">
        <v>256</v>
      </c>
      <c r="O124" t="s">
        <v>2246</v>
      </c>
      <c r="P124">
        <v>248</v>
      </c>
      <c r="Q124">
        <v>2.94</v>
      </c>
    </row>
    <row r="125" spans="1:17" x14ac:dyDescent="0.25">
      <c r="A125">
        <v>2571</v>
      </c>
      <c r="B125" t="s">
        <v>2255</v>
      </c>
      <c r="C125" t="s">
        <v>2256</v>
      </c>
      <c r="D125" t="s">
        <v>2257</v>
      </c>
      <c r="F125">
        <v>2005</v>
      </c>
      <c r="H125" t="s">
        <v>1878</v>
      </c>
      <c r="I125">
        <v>1</v>
      </c>
      <c r="J125" t="e" cm="1">
        <f t="array" ref="J125">- MÄNGELEXEMPLAR - ansonsten perfekter Zustand</f>
        <v>#NAME?</v>
      </c>
      <c r="K125" t="s">
        <v>14332</v>
      </c>
      <c r="L125" s="222">
        <v>9783426629338</v>
      </c>
      <c r="M125">
        <v>528</v>
      </c>
      <c r="O125" t="s">
        <v>2259</v>
      </c>
      <c r="P125">
        <v>394</v>
      </c>
      <c r="Q125">
        <v>2.5099999999999998</v>
      </c>
    </row>
    <row r="126" spans="1:17" x14ac:dyDescent="0.25">
      <c r="A126">
        <v>2514</v>
      </c>
      <c r="B126" t="s">
        <v>2292</v>
      </c>
      <c r="C126" t="s">
        <v>2293</v>
      </c>
      <c r="D126" t="s">
        <v>2294</v>
      </c>
      <c r="F126">
        <v>2004</v>
      </c>
      <c r="H126" t="s">
        <v>2295</v>
      </c>
      <c r="I126">
        <v>1</v>
      </c>
      <c r="J126" t="s">
        <v>2296</v>
      </c>
      <c r="K126" t="s">
        <v>14332</v>
      </c>
      <c r="L126" s="222">
        <v>9783861270430</v>
      </c>
      <c r="M126">
        <v>34</v>
      </c>
      <c r="O126" t="s">
        <v>2260</v>
      </c>
      <c r="P126">
        <v>250</v>
      </c>
      <c r="Q126">
        <v>5.18</v>
      </c>
    </row>
    <row r="127" spans="1:17" x14ac:dyDescent="0.25">
      <c r="A127">
        <v>1327</v>
      </c>
      <c r="B127" t="s">
        <v>2298</v>
      </c>
      <c r="C127" t="s">
        <v>2299</v>
      </c>
      <c r="D127" t="s">
        <v>2300</v>
      </c>
      <c r="F127">
        <v>1992</v>
      </c>
      <c r="H127" t="s">
        <v>1878</v>
      </c>
      <c r="I127">
        <v>2</v>
      </c>
      <c r="J127" t="s">
        <v>2301</v>
      </c>
      <c r="K127" t="s">
        <v>14332</v>
      </c>
      <c r="L127" s="222">
        <v>9783499131004</v>
      </c>
      <c r="M127">
        <v>288</v>
      </c>
      <c r="O127" t="s">
        <v>2261</v>
      </c>
      <c r="P127">
        <v>288</v>
      </c>
      <c r="Q127">
        <v>1.72</v>
      </c>
    </row>
    <row r="128" spans="1:17" x14ac:dyDescent="0.25">
      <c r="A128">
        <v>1818</v>
      </c>
      <c r="B128" t="s">
        <v>2303</v>
      </c>
      <c r="C128" t="s">
        <v>2304</v>
      </c>
      <c r="D128" t="s">
        <v>2176</v>
      </c>
      <c r="F128">
        <v>2001</v>
      </c>
      <c r="H128" t="s">
        <v>1878</v>
      </c>
      <c r="I128">
        <v>2</v>
      </c>
      <c r="J128" t="s">
        <v>2305</v>
      </c>
      <c r="K128" t="s">
        <v>14332</v>
      </c>
      <c r="L128" s="222">
        <v>9783100402202</v>
      </c>
      <c r="M128">
        <v>256</v>
      </c>
      <c r="O128" t="s">
        <v>2262</v>
      </c>
      <c r="P128">
        <v>326</v>
      </c>
      <c r="Q128">
        <v>2.19</v>
      </c>
    </row>
    <row r="129" spans="1:17" x14ac:dyDescent="0.25">
      <c r="A129">
        <v>1339</v>
      </c>
      <c r="B129" t="s">
        <v>2312</v>
      </c>
      <c r="C129" t="s">
        <v>2313</v>
      </c>
      <c r="D129" t="s">
        <v>2068</v>
      </c>
      <c r="F129">
        <v>2000</v>
      </c>
      <c r="H129" t="s">
        <v>2314</v>
      </c>
      <c r="I129">
        <v>2</v>
      </c>
      <c r="J129" t="s">
        <v>2363</v>
      </c>
      <c r="K129" t="s">
        <v>14332</v>
      </c>
      <c r="L129" s="222">
        <v>9783806823776</v>
      </c>
      <c r="M129">
        <v>80</v>
      </c>
      <c r="O129" t="s">
        <v>2264</v>
      </c>
      <c r="P129">
        <v>194</v>
      </c>
      <c r="Q129">
        <v>1.72</v>
      </c>
    </row>
    <row r="130" spans="1:17" x14ac:dyDescent="0.25">
      <c r="A130">
        <v>796</v>
      </c>
      <c r="B130" t="s">
        <v>2317</v>
      </c>
      <c r="C130" t="s">
        <v>2318</v>
      </c>
      <c r="D130" t="s">
        <v>2319</v>
      </c>
      <c r="F130">
        <v>2008</v>
      </c>
      <c r="H130" t="s">
        <v>1878</v>
      </c>
      <c r="I130">
        <v>2</v>
      </c>
      <c r="J130" t="s">
        <v>2320</v>
      </c>
      <c r="K130" t="s">
        <v>14332</v>
      </c>
      <c r="M130">
        <v>544</v>
      </c>
      <c r="O130" t="s">
        <v>2265</v>
      </c>
      <c r="P130">
        <v>397</v>
      </c>
      <c r="Q130">
        <v>1.96</v>
      </c>
    </row>
    <row r="131" spans="1:17" x14ac:dyDescent="0.25">
      <c r="A131">
        <v>2522</v>
      </c>
      <c r="B131" t="s">
        <v>2321</v>
      </c>
      <c r="C131" t="s">
        <v>2322</v>
      </c>
      <c r="D131" t="s">
        <v>1912</v>
      </c>
      <c r="E131" t="s">
        <v>1877</v>
      </c>
      <c r="F131">
        <v>2006</v>
      </c>
      <c r="H131" t="s">
        <v>1878</v>
      </c>
      <c r="I131">
        <v>1</v>
      </c>
      <c r="J131" t="e" cm="1">
        <f t="array" ref="J131">- MÄNGELEXEMPLAR -ansonsten perfekter Zustand</f>
        <v>#NAME?</v>
      </c>
      <c r="K131" t="s">
        <v>14332</v>
      </c>
      <c r="L131" s="222">
        <v>9783442454341</v>
      </c>
      <c r="M131">
        <v>512</v>
      </c>
      <c r="O131" t="s">
        <v>2266</v>
      </c>
      <c r="P131">
        <v>399</v>
      </c>
      <c r="Q131">
        <v>2.5099999999999998</v>
      </c>
    </row>
    <row r="132" spans="1:17" x14ac:dyDescent="0.25">
      <c r="A132">
        <v>853</v>
      </c>
      <c r="B132" t="s">
        <v>2325</v>
      </c>
      <c r="C132" t="s">
        <v>2326</v>
      </c>
      <c r="D132" t="s">
        <v>2327</v>
      </c>
      <c r="F132">
        <v>1993</v>
      </c>
      <c r="H132" t="s">
        <v>2295</v>
      </c>
      <c r="I132">
        <v>2</v>
      </c>
      <c r="J132" t="s">
        <v>2328</v>
      </c>
      <c r="K132" t="s">
        <v>14332</v>
      </c>
      <c r="L132" s="222">
        <v>9783426193198</v>
      </c>
      <c r="M132">
        <v>282</v>
      </c>
      <c r="O132" t="s">
        <v>2267</v>
      </c>
      <c r="P132">
        <v>389</v>
      </c>
      <c r="Q132">
        <v>3.04</v>
      </c>
    </row>
    <row r="133" spans="1:17" x14ac:dyDescent="0.25">
      <c r="A133">
        <v>796</v>
      </c>
      <c r="B133" t="s">
        <v>2330</v>
      </c>
      <c r="C133" t="s">
        <v>2331</v>
      </c>
      <c r="D133" t="s">
        <v>2054</v>
      </c>
      <c r="F133">
        <v>2014</v>
      </c>
      <c r="H133" t="s">
        <v>1878</v>
      </c>
      <c r="I133">
        <v>2</v>
      </c>
      <c r="J133" t="s">
        <v>2332</v>
      </c>
      <c r="K133" t="s">
        <v>14332</v>
      </c>
      <c r="L133" s="222">
        <v>9783955690724</v>
      </c>
      <c r="M133">
        <v>416</v>
      </c>
      <c r="O133" t="s">
        <v>2268</v>
      </c>
      <c r="P133">
        <v>411</v>
      </c>
      <c r="Q133">
        <v>2.5099999999999998</v>
      </c>
    </row>
    <row r="134" spans="1:17" x14ac:dyDescent="0.25">
      <c r="A134">
        <v>2522</v>
      </c>
      <c r="B134" t="s">
        <v>2191</v>
      </c>
      <c r="C134" t="s">
        <v>2334</v>
      </c>
      <c r="D134" t="s">
        <v>1912</v>
      </c>
      <c r="E134" t="s">
        <v>2335</v>
      </c>
      <c r="F134">
        <v>2012</v>
      </c>
      <c r="H134" t="s">
        <v>1878</v>
      </c>
      <c r="I134">
        <v>1</v>
      </c>
      <c r="J134" t="s">
        <v>2237</v>
      </c>
      <c r="K134" t="s">
        <v>14332</v>
      </c>
      <c r="L134" s="222">
        <v>9783442478002</v>
      </c>
      <c r="M134">
        <v>432</v>
      </c>
      <c r="O134" t="s">
        <v>2269</v>
      </c>
      <c r="P134">
        <v>378</v>
      </c>
      <c r="Q134">
        <v>2.62</v>
      </c>
    </row>
    <row r="135" spans="1:17" x14ac:dyDescent="0.25">
      <c r="A135">
        <v>4</v>
      </c>
      <c r="B135" t="s">
        <v>2338</v>
      </c>
      <c r="C135" t="s">
        <v>2339</v>
      </c>
      <c r="D135" t="s">
        <v>2340</v>
      </c>
      <c r="E135" t="s">
        <v>1899</v>
      </c>
      <c r="F135">
        <v>1996</v>
      </c>
      <c r="H135" t="s">
        <v>2295</v>
      </c>
      <c r="I135">
        <v>2</v>
      </c>
      <c r="J135" t="s">
        <v>14461</v>
      </c>
      <c r="K135" t="s">
        <v>14332</v>
      </c>
      <c r="L135" s="222">
        <v>9783415022065</v>
      </c>
      <c r="M135">
        <v>626</v>
      </c>
      <c r="O135" t="s">
        <v>2270</v>
      </c>
      <c r="P135">
        <v>958</v>
      </c>
      <c r="Q135">
        <v>8.36</v>
      </c>
    </row>
    <row r="136" spans="1:17" x14ac:dyDescent="0.25">
      <c r="A136">
        <v>1913</v>
      </c>
      <c r="B136" t="s">
        <v>2343</v>
      </c>
      <c r="C136" t="s">
        <v>2344</v>
      </c>
      <c r="D136" t="s">
        <v>2345</v>
      </c>
      <c r="F136">
        <v>1999</v>
      </c>
      <c r="H136" t="s">
        <v>2295</v>
      </c>
      <c r="I136">
        <v>1</v>
      </c>
      <c r="J136" t="e" cm="1">
        <f t="array" ref="J136">- MÄNGELEXEMPLAR -  ansonsten wie neu</f>
        <v>#NAME?</v>
      </c>
      <c r="K136" t="s">
        <v>14332</v>
      </c>
      <c r="L136" s="222">
        <v>9783570000779</v>
      </c>
      <c r="M136">
        <v>416</v>
      </c>
      <c r="O136" t="s">
        <v>2271</v>
      </c>
      <c r="P136">
        <v>681</v>
      </c>
      <c r="Q136">
        <v>2.4700000000000002</v>
      </c>
    </row>
    <row r="137" spans="1:17" x14ac:dyDescent="0.25">
      <c r="A137">
        <v>614</v>
      </c>
      <c r="B137" t="s">
        <v>2348</v>
      </c>
      <c r="C137" t="s">
        <v>2349</v>
      </c>
      <c r="D137" t="s">
        <v>2300</v>
      </c>
      <c r="F137">
        <v>1969</v>
      </c>
      <c r="H137" t="s">
        <v>2008</v>
      </c>
      <c r="I137">
        <v>2</v>
      </c>
      <c r="J137" t="s">
        <v>2350</v>
      </c>
      <c r="K137" t="s">
        <v>14332</v>
      </c>
      <c r="M137">
        <v>192</v>
      </c>
      <c r="O137" t="s">
        <v>2272</v>
      </c>
      <c r="P137">
        <v>140</v>
      </c>
      <c r="Q137">
        <v>2.5099999999999998</v>
      </c>
    </row>
    <row r="138" spans="1:17" x14ac:dyDescent="0.25">
      <c r="A138">
        <v>1327</v>
      </c>
      <c r="B138" t="s">
        <v>2351</v>
      </c>
      <c r="C138" t="s">
        <v>2352</v>
      </c>
      <c r="D138" t="s">
        <v>2353</v>
      </c>
      <c r="F138">
        <v>1997</v>
      </c>
      <c r="H138" t="s">
        <v>2295</v>
      </c>
      <c r="I138">
        <v>2</v>
      </c>
      <c r="J138" t="s">
        <v>2354</v>
      </c>
      <c r="K138" t="s">
        <v>14332</v>
      </c>
      <c r="L138" s="222">
        <v>9783895612008</v>
      </c>
      <c r="M138">
        <v>326</v>
      </c>
      <c r="O138" t="s">
        <v>2273</v>
      </c>
      <c r="P138">
        <v>478</v>
      </c>
      <c r="Q138">
        <v>3.37</v>
      </c>
    </row>
    <row r="139" spans="1:17" x14ac:dyDescent="0.25">
      <c r="A139">
        <v>852</v>
      </c>
      <c r="B139" t="s">
        <v>2361</v>
      </c>
      <c r="C139" t="s">
        <v>2362</v>
      </c>
      <c r="D139" t="s">
        <v>1912</v>
      </c>
      <c r="E139" t="s">
        <v>1913</v>
      </c>
      <c r="F139">
        <v>2001</v>
      </c>
      <c r="H139" t="s">
        <v>1878</v>
      </c>
      <c r="I139">
        <v>2</v>
      </c>
      <c r="J139" t="s">
        <v>2363</v>
      </c>
      <c r="K139" t="s">
        <v>14332</v>
      </c>
      <c r="L139" s="222">
        <v>9783442142149</v>
      </c>
      <c r="M139">
        <v>224</v>
      </c>
      <c r="O139" t="s">
        <v>2275</v>
      </c>
      <c r="P139">
        <v>213</v>
      </c>
      <c r="Q139">
        <v>1.97</v>
      </c>
    </row>
    <row r="140" spans="1:17" x14ac:dyDescent="0.25">
      <c r="A140">
        <v>2522</v>
      </c>
      <c r="B140" t="s">
        <v>2366</v>
      </c>
      <c r="C140" t="s">
        <v>2367</v>
      </c>
      <c r="D140" t="s">
        <v>2368</v>
      </c>
      <c r="H140" t="s">
        <v>1878</v>
      </c>
      <c r="I140">
        <v>2</v>
      </c>
      <c r="J140" t="s">
        <v>2369</v>
      </c>
      <c r="K140" t="s">
        <v>14332</v>
      </c>
      <c r="L140" s="222">
        <v>9783940487797</v>
      </c>
      <c r="M140">
        <v>320</v>
      </c>
      <c r="O140" t="s">
        <v>2276</v>
      </c>
      <c r="P140">
        <v>280</v>
      </c>
      <c r="Q140">
        <v>2.19</v>
      </c>
    </row>
    <row r="141" spans="1:17" x14ac:dyDescent="0.25">
      <c r="A141">
        <v>688</v>
      </c>
      <c r="B141" t="s">
        <v>2371</v>
      </c>
      <c r="C141" t="s">
        <v>2372</v>
      </c>
      <c r="D141" t="s">
        <v>1876</v>
      </c>
      <c r="E141" t="s">
        <v>1893</v>
      </c>
      <c r="F141">
        <v>1998</v>
      </c>
      <c r="H141" t="s">
        <v>1878</v>
      </c>
      <c r="I141">
        <v>2</v>
      </c>
      <c r="J141" t="s">
        <v>2363</v>
      </c>
      <c r="K141" t="s">
        <v>14332</v>
      </c>
      <c r="L141" s="222">
        <v>9783492227216</v>
      </c>
      <c r="M141">
        <v>400</v>
      </c>
      <c r="O141" t="s">
        <v>2277</v>
      </c>
      <c r="P141">
        <v>338</v>
      </c>
      <c r="Q141">
        <v>1.87</v>
      </c>
    </row>
    <row r="142" spans="1:17" x14ac:dyDescent="0.25">
      <c r="A142">
        <v>0</v>
      </c>
      <c r="B142" t="s">
        <v>2381</v>
      </c>
      <c r="C142" t="s">
        <v>2382</v>
      </c>
      <c r="D142" t="s">
        <v>2309</v>
      </c>
      <c r="E142" t="s">
        <v>1913</v>
      </c>
      <c r="F142">
        <v>2004</v>
      </c>
      <c r="H142" t="s">
        <v>1878</v>
      </c>
      <c r="I142">
        <v>2</v>
      </c>
      <c r="K142" t="s">
        <v>14332</v>
      </c>
      <c r="L142" s="222">
        <v>9783548365848</v>
      </c>
      <c r="M142">
        <v>394</v>
      </c>
      <c r="O142" t="s">
        <v>2280</v>
      </c>
      <c r="P142">
        <v>262</v>
      </c>
      <c r="Q142">
        <v>2.5099999999999998</v>
      </c>
    </row>
    <row r="143" spans="1:17" x14ac:dyDescent="0.25">
      <c r="A143">
        <v>701</v>
      </c>
      <c r="B143" t="s">
        <v>2384</v>
      </c>
      <c r="C143" t="s">
        <v>2385</v>
      </c>
      <c r="D143" t="s">
        <v>2386</v>
      </c>
      <c r="H143" t="s">
        <v>2295</v>
      </c>
      <c r="I143">
        <v>3</v>
      </c>
      <c r="J143" t="s">
        <v>2387</v>
      </c>
      <c r="K143" t="s">
        <v>14332</v>
      </c>
      <c r="M143">
        <v>226</v>
      </c>
      <c r="O143" t="s">
        <v>2281</v>
      </c>
      <c r="P143">
        <v>383</v>
      </c>
      <c r="Q143">
        <v>1.72</v>
      </c>
    </row>
    <row r="144" spans="1:17" x14ac:dyDescent="0.25">
      <c r="A144">
        <v>632</v>
      </c>
      <c r="B144" t="s">
        <v>2388</v>
      </c>
      <c r="C144" t="s">
        <v>2389</v>
      </c>
      <c r="D144" t="s">
        <v>2054</v>
      </c>
      <c r="F144">
        <v>2001</v>
      </c>
      <c r="H144" t="s">
        <v>2295</v>
      </c>
      <c r="I144">
        <v>2</v>
      </c>
      <c r="J144" t="s">
        <v>14462</v>
      </c>
      <c r="K144" t="s">
        <v>14332</v>
      </c>
      <c r="L144" s="222">
        <v>9783828967236</v>
      </c>
      <c r="M144">
        <v>642</v>
      </c>
      <c r="O144" t="s">
        <v>2282</v>
      </c>
      <c r="P144">
        <v>867</v>
      </c>
      <c r="Q144">
        <v>3.12</v>
      </c>
    </row>
    <row r="145" spans="1:17" x14ac:dyDescent="0.25">
      <c r="A145">
        <v>1386</v>
      </c>
      <c r="B145" t="s">
        <v>2397</v>
      </c>
      <c r="C145" t="s">
        <v>2398</v>
      </c>
      <c r="D145" t="s">
        <v>2309</v>
      </c>
      <c r="F145">
        <v>1996</v>
      </c>
      <c r="H145" t="s">
        <v>1878</v>
      </c>
      <c r="I145">
        <v>2</v>
      </c>
      <c r="K145" t="s">
        <v>14332</v>
      </c>
      <c r="L145" s="222">
        <v>9783548239798</v>
      </c>
      <c r="M145">
        <v>416</v>
      </c>
      <c r="O145" t="s">
        <v>2284</v>
      </c>
      <c r="P145">
        <v>279</v>
      </c>
      <c r="Q145">
        <v>1.97</v>
      </c>
    </row>
    <row r="146" spans="1:17" x14ac:dyDescent="0.25">
      <c r="A146">
        <v>1809</v>
      </c>
      <c r="B146" t="s">
        <v>2400</v>
      </c>
      <c r="C146" t="s">
        <v>2401</v>
      </c>
      <c r="D146" t="s">
        <v>2402</v>
      </c>
      <c r="F146">
        <v>1999</v>
      </c>
      <c r="H146" t="s">
        <v>2295</v>
      </c>
      <c r="I146">
        <v>2</v>
      </c>
      <c r="J146" t="s">
        <v>14463</v>
      </c>
      <c r="K146" t="s">
        <v>14332</v>
      </c>
      <c r="L146" s="222">
        <v>9783505109966</v>
      </c>
      <c r="M146">
        <v>162</v>
      </c>
      <c r="O146" t="s">
        <v>2285</v>
      </c>
      <c r="P146">
        <v>236</v>
      </c>
      <c r="Q146">
        <v>1.72</v>
      </c>
    </row>
    <row r="147" spans="1:17" x14ac:dyDescent="0.25">
      <c r="A147">
        <v>2571</v>
      </c>
      <c r="B147" t="s">
        <v>2405</v>
      </c>
      <c r="C147" t="s">
        <v>2406</v>
      </c>
      <c r="D147" t="s">
        <v>2407</v>
      </c>
      <c r="E147" t="s">
        <v>2094</v>
      </c>
      <c r="F147">
        <v>2019</v>
      </c>
      <c r="H147" t="s">
        <v>1878</v>
      </c>
      <c r="I147">
        <v>2</v>
      </c>
      <c r="J147" t="s">
        <v>14464</v>
      </c>
      <c r="K147" t="s">
        <v>14332</v>
      </c>
      <c r="L147" s="222">
        <v>9783947690343</v>
      </c>
      <c r="M147">
        <v>304</v>
      </c>
      <c r="O147" t="s">
        <v>2286</v>
      </c>
      <c r="P147">
        <v>302</v>
      </c>
      <c r="Q147">
        <v>3.04</v>
      </c>
    </row>
    <row r="148" spans="1:17" x14ac:dyDescent="0.25">
      <c r="A148">
        <v>2522</v>
      </c>
      <c r="B148" t="s">
        <v>2410</v>
      </c>
      <c r="C148" t="s">
        <v>2411</v>
      </c>
      <c r="D148" t="s">
        <v>2232</v>
      </c>
      <c r="E148" t="s">
        <v>2412</v>
      </c>
      <c r="F148">
        <v>2007</v>
      </c>
      <c r="H148" t="s">
        <v>1878</v>
      </c>
      <c r="I148">
        <v>1</v>
      </c>
      <c r="K148" t="s">
        <v>14332</v>
      </c>
      <c r="L148" s="222">
        <v>9783442736003</v>
      </c>
      <c r="M148">
        <v>352</v>
      </c>
      <c r="O148" t="s">
        <v>2287</v>
      </c>
      <c r="P148">
        <v>332</v>
      </c>
      <c r="Q148">
        <v>2.5099999999999998</v>
      </c>
    </row>
    <row r="149" spans="1:17" x14ac:dyDescent="0.25">
      <c r="A149">
        <v>690</v>
      </c>
      <c r="B149" t="s">
        <v>2414</v>
      </c>
      <c r="C149" t="s">
        <v>2415</v>
      </c>
      <c r="D149" t="s">
        <v>2156</v>
      </c>
      <c r="E149" t="s">
        <v>1893</v>
      </c>
      <c r="F149">
        <v>2001</v>
      </c>
      <c r="H149" t="s">
        <v>1878</v>
      </c>
      <c r="I149">
        <v>2</v>
      </c>
      <c r="K149" t="s">
        <v>14332</v>
      </c>
      <c r="L149" s="222">
        <v>9783423706612</v>
      </c>
      <c r="M149">
        <v>208</v>
      </c>
      <c r="O149" t="s">
        <v>2288</v>
      </c>
      <c r="P149">
        <v>205</v>
      </c>
      <c r="Q149">
        <v>2.2999999999999998</v>
      </c>
    </row>
    <row r="150" spans="1:17" x14ac:dyDescent="0.25">
      <c r="A150">
        <v>610</v>
      </c>
      <c r="B150" t="s">
        <v>2417</v>
      </c>
      <c r="C150" t="s">
        <v>2418</v>
      </c>
      <c r="D150" t="s">
        <v>2419</v>
      </c>
      <c r="E150" t="s">
        <v>2055</v>
      </c>
      <c r="F150">
        <v>1989</v>
      </c>
      <c r="H150" t="s">
        <v>1878</v>
      </c>
      <c r="I150">
        <v>2</v>
      </c>
      <c r="J150" t="s">
        <v>2420</v>
      </c>
      <c r="K150" t="s">
        <v>14332</v>
      </c>
      <c r="L150" s="222">
        <v>9783612230171</v>
      </c>
      <c r="M150">
        <v>200</v>
      </c>
      <c r="O150" t="s">
        <v>2289</v>
      </c>
      <c r="P150">
        <v>138</v>
      </c>
      <c r="Q150">
        <v>2.83</v>
      </c>
    </row>
    <row r="151" spans="1:17" x14ac:dyDescent="0.25">
      <c r="A151">
        <v>1386</v>
      </c>
      <c r="B151" t="s">
        <v>2422</v>
      </c>
      <c r="C151" t="s">
        <v>2423</v>
      </c>
      <c r="D151" t="s">
        <v>2424</v>
      </c>
      <c r="E151" t="s">
        <v>2175</v>
      </c>
      <c r="F151">
        <v>2010</v>
      </c>
      <c r="H151" t="s">
        <v>1878</v>
      </c>
      <c r="I151">
        <v>2</v>
      </c>
      <c r="J151" t="s">
        <v>2425</v>
      </c>
      <c r="K151" t="s">
        <v>14332</v>
      </c>
      <c r="L151" s="222">
        <v>9783453354760</v>
      </c>
      <c r="M151">
        <v>640</v>
      </c>
      <c r="O151" t="s">
        <v>2290</v>
      </c>
      <c r="P151">
        <v>519</v>
      </c>
      <c r="Q151">
        <v>2.2200000000000002</v>
      </c>
    </row>
    <row r="152" spans="1:17" x14ac:dyDescent="0.25">
      <c r="A152">
        <v>1386</v>
      </c>
      <c r="B152" t="s">
        <v>2422</v>
      </c>
      <c r="C152" t="s">
        <v>2449</v>
      </c>
      <c r="D152" t="s">
        <v>2424</v>
      </c>
      <c r="F152">
        <v>2012</v>
      </c>
      <c r="H152" t="s">
        <v>1878</v>
      </c>
      <c r="I152">
        <v>2</v>
      </c>
      <c r="J152" t="s">
        <v>2363</v>
      </c>
      <c r="K152" t="s">
        <v>14332</v>
      </c>
      <c r="L152" s="222">
        <v>9783453356566</v>
      </c>
      <c r="M152">
        <v>736</v>
      </c>
      <c r="O152" t="s">
        <v>2427</v>
      </c>
      <c r="P152">
        <v>518</v>
      </c>
      <c r="Q152">
        <v>2.2200000000000002</v>
      </c>
    </row>
    <row r="153" spans="1:17" x14ac:dyDescent="0.25">
      <c r="A153">
        <v>690</v>
      </c>
      <c r="B153" t="s">
        <v>2451</v>
      </c>
      <c r="C153" t="s">
        <v>2452</v>
      </c>
      <c r="D153" t="s">
        <v>2453</v>
      </c>
      <c r="E153" t="s">
        <v>1899</v>
      </c>
      <c r="F153">
        <v>2014</v>
      </c>
      <c r="H153" t="s">
        <v>1878</v>
      </c>
      <c r="I153">
        <v>2</v>
      </c>
      <c r="J153" t="e" cm="1">
        <f t="array" ref="J153">- MÄNGELEXEMPLAR - ansonsten wie neu</f>
        <v>#NAME?</v>
      </c>
      <c r="K153" t="s">
        <v>14332</v>
      </c>
      <c r="L153" s="222">
        <v>9783570309070</v>
      </c>
      <c r="M153">
        <v>416</v>
      </c>
      <c r="O153" t="s">
        <v>2428</v>
      </c>
      <c r="P153">
        <v>446</v>
      </c>
      <c r="Q153">
        <v>2.4</v>
      </c>
    </row>
    <row r="154" spans="1:17" x14ac:dyDescent="0.25">
      <c r="A154">
        <v>1365</v>
      </c>
      <c r="B154" t="s">
        <v>2460</v>
      </c>
      <c r="C154" t="s">
        <v>2461</v>
      </c>
      <c r="D154" t="s">
        <v>2402</v>
      </c>
      <c r="H154" t="s">
        <v>1878</v>
      </c>
      <c r="I154">
        <v>2</v>
      </c>
      <c r="J154" t="s">
        <v>2463</v>
      </c>
      <c r="K154" t="s">
        <v>14332</v>
      </c>
      <c r="L154" s="222">
        <v>9783505072918</v>
      </c>
      <c r="M154">
        <v>256</v>
      </c>
      <c r="O154" t="s">
        <v>2430</v>
      </c>
      <c r="P154">
        <v>284</v>
      </c>
      <c r="Q154">
        <v>1.72</v>
      </c>
    </row>
    <row r="155" spans="1:17" x14ac:dyDescent="0.25">
      <c r="A155">
        <v>1720</v>
      </c>
      <c r="B155" t="s">
        <v>2467</v>
      </c>
      <c r="C155" t="s">
        <v>2468</v>
      </c>
      <c r="D155" t="s">
        <v>2054</v>
      </c>
      <c r="F155">
        <v>2008</v>
      </c>
      <c r="H155" t="s">
        <v>1878</v>
      </c>
      <c r="I155">
        <v>2</v>
      </c>
      <c r="K155" t="s">
        <v>14332</v>
      </c>
      <c r="L155" s="222">
        <v>9783868000207</v>
      </c>
      <c r="M155">
        <v>416</v>
      </c>
      <c r="O155" t="s">
        <v>2432</v>
      </c>
      <c r="P155">
        <v>409</v>
      </c>
      <c r="Q155">
        <v>1.97</v>
      </c>
    </row>
    <row r="156" spans="1:17" x14ac:dyDescent="0.25">
      <c r="A156">
        <v>688</v>
      </c>
      <c r="B156" t="s">
        <v>2470</v>
      </c>
      <c r="C156" t="s">
        <v>2471</v>
      </c>
      <c r="D156" t="s">
        <v>2472</v>
      </c>
      <c r="H156" t="s">
        <v>2295</v>
      </c>
      <c r="I156">
        <v>1</v>
      </c>
      <c r="J156" t="s">
        <v>2473</v>
      </c>
      <c r="K156" t="s">
        <v>14332</v>
      </c>
      <c r="L156" s="222">
        <v>9783854929536</v>
      </c>
      <c r="O156" t="s">
        <v>2433</v>
      </c>
      <c r="P156">
        <v>465</v>
      </c>
      <c r="Q156">
        <v>2.72</v>
      </c>
    </row>
    <row r="157" spans="1:17" x14ac:dyDescent="0.25">
      <c r="A157">
        <v>632</v>
      </c>
      <c r="B157" t="s">
        <v>2475</v>
      </c>
      <c r="C157" t="s">
        <v>2476</v>
      </c>
      <c r="D157" t="s">
        <v>2477</v>
      </c>
      <c r="E157" t="s">
        <v>1913</v>
      </c>
      <c r="F157">
        <v>2003</v>
      </c>
      <c r="H157" t="s">
        <v>2295</v>
      </c>
      <c r="I157">
        <v>2</v>
      </c>
      <c r="J157" t="s">
        <v>2205</v>
      </c>
      <c r="K157" t="s">
        <v>14332</v>
      </c>
      <c r="L157" s="222">
        <v>9783809024781</v>
      </c>
      <c r="M157">
        <v>770</v>
      </c>
      <c r="O157" t="s">
        <v>2434</v>
      </c>
      <c r="P157">
        <v>1017</v>
      </c>
      <c r="Q157">
        <v>4.78</v>
      </c>
    </row>
    <row r="158" spans="1:17" x14ac:dyDescent="0.25">
      <c r="A158">
        <v>688</v>
      </c>
      <c r="B158" t="s">
        <v>2479</v>
      </c>
      <c r="C158" t="s">
        <v>2480</v>
      </c>
      <c r="D158" t="s">
        <v>2481</v>
      </c>
      <c r="F158">
        <v>2009</v>
      </c>
      <c r="H158" t="s">
        <v>1878</v>
      </c>
      <c r="I158">
        <v>2</v>
      </c>
      <c r="K158" t="s">
        <v>14332</v>
      </c>
      <c r="L158" s="222">
        <v>9783800095070</v>
      </c>
      <c r="M158">
        <v>576</v>
      </c>
      <c r="O158" t="s">
        <v>2435</v>
      </c>
      <c r="P158">
        <v>711</v>
      </c>
      <c r="Q158">
        <v>3.44</v>
      </c>
    </row>
    <row r="159" spans="1:17" x14ac:dyDescent="0.25">
      <c r="A159">
        <v>614</v>
      </c>
      <c r="B159" t="s">
        <v>2483</v>
      </c>
      <c r="C159" t="s">
        <v>2484</v>
      </c>
      <c r="D159" t="s">
        <v>2300</v>
      </c>
      <c r="F159">
        <v>1966</v>
      </c>
      <c r="H159" t="s">
        <v>2008</v>
      </c>
      <c r="I159">
        <v>2</v>
      </c>
      <c r="J159" t="s">
        <v>2420</v>
      </c>
      <c r="K159" t="s">
        <v>14332</v>
      </c>
      <c r="M159">
        <v>190</v>
      </c>
      <c r="O159" t="s">
        <v>2436</v>
      </c>
      <c r="P159">
        <v>136</v>
      </c>
      <c r="Q159">
        <v>2.19</v>
      </c>
    </row>
    <row r="160" spans="1:17" x14ac:dyDescent="0.25">
      <c r="A160">
        <v>690</v>
      </c>
      <c r="B160" t="s">
        <v>2485</v>
      </c>
      <c r="C160" t="s">
        <v>2486</v>
      </c>
      <c r="D160" t="s">
        <v>2487</v>
      </c>
      <c r="F160">
        <v>2000</v>
      </c>
      <c r="H160" t="s">
        <v>2295</v>
      </c>
      <c r="I160">
        <v>2</v>
      </c>
      <c r="J160" t="s">
        <v>2488</v>
      </c>
      <c r="K160" t="s">
        <v>14332</v>
      </c>
      <c r="L160" s="222">
        <v>9783891064023</v>
      </c>
      <c r="M160">
        <v>226</v>
      </c>
      <c r="O160" t="s">
        <v>2437</v>
      </c>
      <c r="P160">
        <v>384</v>
      </c>
      <c r="Q160">
        <v>2.62</v>
      </c>
    </row>
    <row r="161" spans="1:17" x14ac:dyDescent="0.25">
      <c r="A161">
        <v>169</v>
      </c>
      <c r="B161" t="s">
        <v>2490</v>
      </c>
      <c r="C161" t="s">
        <v>2491</v>
      </c>
      <c r="D161" t="s">
        <v>2209</v>
      </c>
      <c r="F161">
        <v>1990</v>
      </c>
      <c r="H161" t="s">
        <v>1878</v>
      </c>
      <c r="I161">
        <v>2</v>
      </c>
      <c r="K161" t="s">
        <v>14332</v>
      </c>
      <c r="L161" s="222">
        <v>9783453047778</v>
      </c>
      <c r="M161">
        <v>240</v>
      </c>
      <c r="O161" t="s">
        <v>2438</v>
      </c>
      <c r="P161">
        <v>207</v>
      </c>
      <c r="Q161">
        <v>1.82</v>
      </c>
    </row>
    <row r="162" spans="1:17" x14ac:dyDescent="0.25">
      <c r="A162">
        <v>688</v>
      </c>
      <c r="B162" t="s">
        <v>2493</v>
      </c>
      <c r="C162" t="s">
        <v>2494</v>
      </c>
      <c r="D162" t="s">
        <v>1912</v>
      </c>
      <c r="E162" t="s">
        <v>1899</v>
      </c>
      <c r="F162">
        <v>1984</v>
      </c>
      <c r="H162" t="s">
        <v>1878</v>
      </c>
      <c r="I162">
        <v>3</v>
      </c>
      <c r="K162" t="s">
        <v>14332</v>
      </c>
      <c r="L162" s="222">
        <v>9783442066391</v>
      </c>
      <c r="M162">
        <v>192</v>
      </c>
      <c r="O162" t="s">
        <v>2439</v>
      </c>
      <c r="P162">
        <v>144</v>
      </c>
      <c r="Q162">
        <v>1.72</v>
      </c>
    </row>
    <row r="163" spans="1:17" x14ac:dyDescent="0.25">
      <c r="A163">
        <v>2522</v>
      </c>
      <c r="B163" t="s">
        <v>2496</v>
      </c>
      <c r="C163" t="s">
        <v>2497</v>
      </c>
      <c r="D163" t="s">
        <v>1876</v>
      </c>
      <c r="E163" t="s">
        <v>1984</v>
      </c>
      <c r="F163">
        <v>2012</v>
      </c>
      <c r="H163" t="s">
        <v>1878</v>
      </c>
      <c r="I163">
        <v>2</v>
      </c>
      <c r="J163" t="s">
        <v>2205</v>
      </c>
      <c r="K163" t="s">
        <v>14332</v>
      </c>
      <c r="L163" s="222">
        <v>9783492273824</v>
      </c>
      <c r="M163">
        <v>384</v>
      </c>
      <c r="O163" t="s">
        <v>2440</v>
      </c>
      <c r="P163">
        <v>316</v>
      </c>
      <c r="Q163">
        <v>2.08</v>
      </c>
    </row>
    <row r="164" spans="1:17" x14ac:dyDescent="0.25">
      <c r="A164">
        <v>2952</v>
      </c>
      <c r="B164" t="s">
        <v>2499</v>
      </c>
      <c r="C164" t="s">
        <v>2500</v>
      </c>
      <c r="D164" t="s">
        <v>2091</v>
      </c>
      <c r="F164">
        <v>2005</v>
      </c>
      <c r="H164" t="s">
        <v>2295</v>
      </c>
      <c r="I164">
        <v>1</v>
      </c>
      <c r="K164" t="s">
        <v>14332</v>
      </c>
      <c r="L164" s="222">
        <v>9783312009619</v>
      </c>
      <c r="M164">
        <v>146</v>
      </c>
      <c r="O164" t="s">
        <v>2441</v>
      </c>
      <c r="P164">
        <v>307</v>
      </c>
      <c r="Q164">
        <v>2.5099999999999998</v>
      </c>
    </row>
    <row r="165" spans="1:17" x14ac:dyDescent="0.25">
      <c r="A165">
        <v>633</v>
      </c>
      <c r="B165" t="s">
        <v>2503</v>
      </c>
      <c r="C165" t="s">
        <v>2504</v>
      </c>
      <c r="D165" t="s">
        <v>2054</v>
      </c>
      <c r="F165">
        <v>2003</v>
      </c>
      <c r="H165" t="s">
        <v>2295</v>
      </c>
      <c r="I165">
        <v>2</v>
      </c>
      <c r="J165" t="s">
        <v>2505</v>
      </c>
      <c r="K165" t="s">
        <v>14332</v>
      </c>
      <c r="L165" s="222">
        <v>9783828972674</v>
      </c>
      <c r="M165">
        <v>610</v>
      </c>
      <c r="O165" t="s">
        <v>2442</v>
      </c>
      <c r="P165">
        <v>556</v>
      </c>
      <c r="Q165">
        <v>2.4700000000000002</v>
      </c>
    </row>
    <row r="166" spans="1:17" x14ac:dyDescent="0.25">
      <c r="A166">
        <v>591</v>
      </c>
      <c r="B166" t="s">
        <v>2506</v>
      </c>
      <c r="C166" t="s">
        <v>2507</v>
      </c>
      <c r="D166" t="s">
        <v>2257</v>
      </c>
      <c r="F166">
        <v>1988</v>
      </c>
      <c r="H166" t="s">
        <v>1878</v>
      </c>
      <c r="I166">
        <v>2</v>
      </c>
      <c r="J166" t="s">
        <v>2508</v>
      </c>
      <c r="K166" t="s">
        <v>14332</v>
      </c>
      <c r="L166" s="222">
        <v>9783426042267</v>
      </c>
      <c r="M166">
        <v>240</v>
      </c>
      <c r="O166" t="s">
        <v>2443</v>
      </c>
      <c r="P166">
        <v>165</v>
      </c>
      <c r="Q166">
        <v>3.58</v>
      </c>
    </row>
    <row r="167" spans="1:17" x14ac:dyDescent="0.25">
      <c r="A167">
        <v>632</v>
      </c>
      <c r="B167" t="s">
        <v>2515</v>
      </c>
      <c r="C167" t="s">
        <v>2516</v>
      </c>
      <c r="D167" t="s">
        <v>2517</v>
      </c>
      <c r="E167" t="s">
        <v>2518</v>
      </c>
      <c r="F167">
        <v>2001</v>
      </c>
      <c r="H167" t="s">
        <v>1878</v>
      </c>
      <c r="I167">
        <v>2</v>
      </c>
      <c r="J167" t="s">
        <v>2513</v>
      </c>
      <c r="K167" t="s">
        <v>14332</v>
      </c>
      <c r="L167" s="222">
        <v>9783746615998</v>
      </c>
      <c r="M167">
        <v>704</v>
      </c>
      <c r="O167" t="s">
        <v>2445</v>
      </c>
      <c r="P167">
        <v>611</v>
      </c>
      <c r="Q167">
        <v>2.2200000000000002</v>
      </c>
    </row>
    <row r="168" spans="1:17" x14ac:dyDescent="0.25">
      <c r="A168">
        <v>710</v>
      </c>
      <c r="C168" t="s">
        <v>2520</v>
      </c>
      <c r="D168" t="s">
        <v>2521</v>
      </c>
      <c r="F168">
        <v>2001</v>
      </c>
      <c r="H168" t="s">
        <v>2217</v>
      </c>
      <c r="I168">
        <v>2</v>
      </c>
      <c r="L168" s="222">
        <v>9783468961076</v>
      </c>
      <c r="M168">
        <v>578</v>
      </c>
      <c r="O168" t="s">
        <v>2446</v>
      </c>
      <c r="P168">
        <v>291</v>
      </c>
      <c r="Q168">
        <v>1.72</v>
      </c>
    </row>
    <row r="169" spans="1:17" x14ac:dyDescent="0.25">
      <c r="A169">
        <v>688</v>
      </c>
      <c r="B169" t="s">
        <v>2524</v>
      </c>
      <c r="C169" t="s">
        <v>2525</v>
      </c>
      <c r="D169" t="s">
        <v>1912</v>
      </c>
      <c r="F169">
        <v>1993</v>
      </c>
      <c r="H169" t="s">
        <v>1878</v>
      </c>
      <c r="I169">
        <v>2</v>
      </c>
      <c r="J169" t="e" cm="1">
        <f t="array" ref="J169">- MÄNGELEXEMPLAR - sonstiger Zustand sehr gut</f>
        <v>#NAME?</v>
      </c>
      <c r="K169" t="s">
        <v>14332</v>
      </c>
      <c r="L169" s="222">
        <v>9783442245727</v>
      </c>
      <c r="M169">
        <v>288</v>
      </c>
      <c r="O169" t="s">
        <v>2447</v>
      </c>
      <c r="P169">
        <v>236</v>
      </c>
      <c r="Q169">
        <v>2.72</v>
      </c>
    </row>
    <row r="170" spans="1:17" x14ac:dyDescent="0.25">
      <c r="A170">
        <v>633</v>
      </c>
      <c r="B170" t="s">
        <v>2528</v>
      </c>
      <c r="C170" t="s">
        <v>2529</v>
      </c>
      <c r="D170" t="s">
        <v>2530</v>
      </c>
      <c r="E170" t="s">
        <v>2531</v>
      </c>
      <c r="F170">
        <v>2016</v>
      </c>
      <c r="H170" t="s">
        <v>1878</v>
      </c>
      <c r="I170">
        <v>1</v>
      </c>
      <c r="K170" t="s">
        <v>14332</v>
      </c>
      <c r="L170" s="222">
        <v>9783789148095</v>
      </c>
      <c r="M170">
        <v>320</v>
      </c>
      <c r="O170" t="s">
        <v>2448</v>
      </c>
      <c r="P170">
        <v>345</v>
      </c>
      <c r="Q170">
        <v>2.5099999999999998</v>
      </c>
    </row>
    <row r="171" spans="1:17" x14ac:dyDescent="0.25">
      <c r="A171">
        <v>632</v>
      </c>
      <c r="B171" t="s">
        <v>2467</v>
      </c>
      <c r="C171" t="s">
        <v>2533</v>
      </c>
      <c r="D171" t="s">
        <v>2257</v>
      </c>
      <c r="F171">
        <v>2007</v>
      </c>
      <c r="H171" t="s">
        <v>1878</v>
      </c>
      <c r="I171">
        <v>2</v>
      </c>
      <c r="K171" t="s">
        <v>14332</v>
      </c>
      <c r="L171" s="222">
        <v>9783426639221</v>
      </c>
      <c r="M171">
        <v>704</v>
      </c>
      <c r="O171" t="s">
        <v>2535</v>
      </c>
      <c r="P171">
        <v>520</v>
      </c>
      <c r="Q171">
        <v>2.4700000000000002</v>
      </c>
    </row>
    <row r="172" spans="1:17" x14ac:dyDescent="0.25">
      <c r="A172">
        <v>0</v>
      </c>
      <c r="B172" t="s">
        <v>2562</v>
      </c>
      <c r="C172" t="s">
        <v>2563</v>
      </c>
      <c r="E172" t="s">
        <v>1913</v>
      </c>
      <c r="F172">
        <v>2017</v>
      </c>
      <c r="H172" t="s">
        <v>1878</v>
      </c>
      <c r="I172">
        <v>1</v>
      </c>
      <c r="K172" t="s">
        <v>14332</v>
      </c>
      <c r="L172" s="222">
        <v>9783906309132</v>
      </c>
      <c r="M172">
        <v>200</v>
      </c>
      <c r="O172" t="s">
        <v>2536</v>
      </c>
      <c r="P172">
        <v>229</v>
      </c>
      <c r="Q172">
        <v>2.5099999999999998</v>
      </c>
    </row>
    <row r="173" spans="1:17" x14ac:dyDescent="0.25">
      <c r="A173">
        <v>2522</v>
      </c>
      <c r="B173" t="s">
        <v>2565</v>
      </c>
      <c r="C173" t="s">
        <v>2566</v>
      </c>
      <c r="D173" t="s">
        <v>1876</v>
      </c>
      <c r="E173" t="s">
        <v>1921</v>
      </c>
      <c r="F173">
        <v>2013</v>
      </c>
      <c r="H173" t="s">
        <v>1878</v>
      </c>
      <c r="I173">
        <v>2</v>
      </c>
      <c r="J173" t="e" cm="1">
        <f t="array" ref="J173">- MÄNGELEXEMPLAR - sonstiger Zustand sehr gut</f>
        <v>#NAME?</v>
      </c>
      <c r="K173" t="s">
        <v>14332</v>
      </c>
      <c r="L173" s="222">
        <v>9783492302234</v>
      </c>
      <c r="M173">
        <v>368</v>
      </c>
      <c r="O173" t="s">
        <v>2537</v>
      </c>
      <c r="P173">
        <v>318</v>
      </c>
      <c r="Q173">
        <v>1.97</v>
      </c>
    </row>
    <row r="174" spans="1:17" x14ac:dyDescent="0.25">
      <c r="A174">
        <v>1913</v>
      </c>
      <c r="B174" t="s">
        <v>2568</v>
      </c>
      <c r="C174" t="s">
        <v>2569</v>
      </c>
      <c r="D174" t="s">
        <v>2209</v>
      </c>
      <c r="F174">
        <v>2001</v>
      </c>
      <c r="H174" t="s">
        <v>1878</v>
      </c>
      <c r="I174">
        <v>2</v>
      </c>
      <c r="J174" t="s">
        <v>2570</v>
      </c>
      <c r="K174" t="s">
        <v>14332</v>
      </c>
      <c r="L174" s="222">
        <v>9783453211377</v>
      </c>
      <c r="M174">
        <v>576</v>
      </c>
      <c r="O174" t="s">
        <v>2538</v>
      </c>
      <c r="P174">
        <v>445</v>
      </c>
      <c r="Q174">
        <v>1.87</v>
      </c>
    </row>
    <row r="175" spans="1:17" x14ac:dyDescent="0.25">
      <c r="A175">
        <v>688</v>
      </c>
      <c r="B175" t="s">
        <v>2572</v>
      </c>
      <c r="C175" t="s">
        <v>2573</v>
      </c>
      <c r="D175" t="s">
        <v>1876</v>
      </c>
      <c r="F175">
        <v>2009</v>
      </c>
      <c r="H175" t="s">
        <v>1878</v>
      </c>
      <c r="I175">
        <v>2</v>
      </c>
      <c r="J175" t="e" cm="1">
        <f t="array" ref="J175">- MÄNGELEXEMPLAR - sonstiger Zustand sehr gut</f>
        <v>#NAME?</v>
      </c>
      <c r="K175" t="s">
        <v>14332</v>
      </c>
      <c r="L175" s="222">
        <v>9783492701341</v>
      </c>
      <c r="M175">
        <v>560</v>
      </c>
      <c r="O175" t="s">
        <v>2539</v>
      </c>
      <c r="P175">
        <v>755</v>
      </c>
      <c r="Q175">
        <v>3.22</v>
      </c>
    </row>
    <row r="176" spans="1:17" x14ac:dyDescent="0.25">
      <c r="A176">
        <v>2522</v>
      </c>
      <c r="B176" t="s">
        <v>2575</v>
      </c>
      <c r="C176" t="s">
        <v>2576</v>
      </c>
      <c r="D176" t="s">
        <v>2300</v>
      </c>
      <c r="E176" t="s">
        <v>1877</v>
      </c>
      <c r="F176">
        <v>2005</v>
      </c>
      <c r="H176" t="s">
        <v>1878</v>
      </c>
      <c r="I176">
        <v>2</v>
      </c>
      <c r="K176" t="s">
        <v>14332</v>
      </c>
      <c r="L176" s="222">
        <v>9783499240348</v>
      </c>
      <c r="M176">
        <v>320</v>
      </c>
      <c r="O176" t="s">
        <v>2540</v>
      </c>
      <c r="P176">
        <v>298</v>
      </c>
      <c r="Q176">
        <v>1.72</v>
      </c>
    </row>
    <row r="177" spans="1:17" x14ac:dyDescent="0.25">
      <c r="A177">
        <v>632</v>
      </c>
      <c r="B177" t="s">
        <v>2578</v>
      </c>
      <c r="C177" t="s">
        <v>2579</v>
      </c>
      <c r="D177" t="s">
        <v>1912</v>
      </c>
      <c r="F177">
        <v>1990</v>
      </c>
      <c r="H177" t="s">
        <v>1878</v>
      </c>
      <c r="I177">
        <v>2</v>
      </c>
      <c r="J177" t="s">
        <v>2580</v>
      </c>
      <c r="K177" t="s">
        <v>14332</v>
      </c>
      <c r="L177" s="222">
        <v>9783442096480</v>
      </c>
      <c r="M177">
        <v>320</v>
      </c>
      <c r="O177" t="s">
        <v>2541</v>
      </c>
      <c r="P177">
        <v>280</v>
      </c>
      <c r="Q177">
        <v>1.72</v>
      </c>
    </row>
    <row r="178" spans="1:17" x14ac:dyDescent="0.25">
      <c r="A178">
        <v>2522</v>
      </c>
      <c r="B178" t="s">
        <v>2582</v>
      </c>
      <c r="C178" t="s">
        <v>2583</v>
      </c>
      <c r="D178" t="s">
        <v>1988</v>
      </c>
      <c r="E178" t="s">
        <v>1921</v>
      </c>
      <c r="F178">
        <v>2007</v>
      </c>
      <c r="H178" t="s">
        <v>1878</v>
      </c>
      <c r="I178">
        <v>2</v>
      </c>
      <c r="J178" t="s">
        <v>2585</v>
      </c>
      <c r="K178" t="s">
        <v>14332</v>
      </c>
      <c r="L178" s="222">
        <v>9783423210072</v>
      </c>
      <c r="M178">
        <v>384</v>
      </c>
      <c r="O178" t="s">
        <v>2542</v>
      </c>
      <c r="P178">
        <v>292</v>
      </c>
      <c r="Q178">
        <v>2.5099999999999998</v>
      </c>
    </row>
    <row r="179" spans="1:17" x14ac:dyDescent="0.25">
      <c r="A179">
        <v>852</v>
      </c>
      <c r="B179" t="s">
        <v>2587</v>
      </c>
      <c r="C179" t="s">
        <v>2588</v>
      </c>
      <c r="D179" t="s">
        <v>2589</v>
      </c>
      <c r="E179" t="s">
        <v>1984</v>
      </c>
      <c r="F179">
        <v>2001</v>
      </c>
      <c r="H179" t="s">
        <v>1878</v>
      </c>
      <c r="I179">
        <v>1</v>
      </c>
      <c r="K179" t="s">
        <v>14332</v>
      </c>
      <c r="L179" s="222">
        <v>9783423310536</v>
      </c>
      <c r="M179">
        <v>192</v>
      </c>
      <c r="O179" t="s">
        <v>2543</v>
      </c>
      <c r="P179">
        <v>279</v>
      </c>
      <c r="Q179">
        <v>4.1100000000000003</v>
      </c>
    </row>
    <row r="180" spans="1:17" x14ac:dyDescent="0.25">
      <c r="A180">
        <v>2522</v>
      </c>
      <c r="B180" t="s">
        <v>2591</v>
      </c>
      <c r="C180" t="s">
        <v>2592</v>
      </c>
      <c r="D180" t="s">
        <v>1979</v>
      </c>
      <c r="F180">
        <v>2014</v>
      </c>
      <c r="H180" t="s">
        <v>1878</v>
      </c>
      <c r="I180">
        <v>2</v>
      </c>
      <c r="K180" t="s">
        <v>14332</v>
      </c>
      <c r="L180" s="222">
        <v>9783473584642</v>
      </c>
      <c r="M180">
        <v>320</v>
      </c>
      <c r="O180" t="s">
        <v>2544</v>
      </c>
      <c r="P180">
        <v>263</v>
      </c>
      <c r="Q180">
        <v>3.69</v>
      </c>
    </row>
    <row r="181" spans="1:17" x14ac:dyDescent="0.25">
      <c r="A181">
        <v>796</v>
      </c>
      <c r="B181" t="s">
        <v>2199</v>
      </c>
      <c r="C181" t="s">
        <v>2594</v>
      </c>
      <c r="D181" t="s">
        <v>2257</v>
      </c>
      <c r="F181">
        <v>2000</v>
      </c>
      <c r="H181" t="s">
        <v>1878</v>
      </c>
      <c r="I181">
        <v>2</v>
      </c>
      <c r="K181" t="s">
        <v>14332</v>
      </c>
      <c r="L181" s="222">
        <v>9783426614969</v>
      </c>
      <c r="M181">
        <v>464</v>
      </c>
      <c r="O181" t="s">
        <v>2545</v>
      </c>
      <c r="P181">
        <v>451</v>
      </c>
      <c r="Q181">
        <v>1.72</v>
      </c>
    </row>
    <row r="182" spans="1:17" x14ac:dyDescent="0.25">
      <c r="A182">
        <v>692</v>
      </c>
      <c r="B182" t="s">
        <v>2596</v>
      </c>
      <c r="C182" t="s">
        <v>2597</v>
      </c>
      <c r="D182" t="s">
        <v>1912</v>
      </c>
      <c r="F182">
        <v>1994</v>
      </c>
      <c r="H182" t="s">
        <v>1878</v>
      </c>
      <c r="I182">
        <v>2</v>
      </c>
      <c r="J182" t="s">
        <v>2570</v>
      </c>
      <c r="K182" t="s">
        <v>14332</v>
      </c>
      <c r="L182" s="222">
        <v>9783442430659</v>
      </c>
      <c r="M182">
        <v>416</v>
      </c>
      <c r="O182" t="s">
        <v>2546</v>
      </c>
      <c r="P182">
        <v>276</v>
      </c>
      <c r="Q182">
        <v>1.72</v>
      </c>
    </row>
    <row r="183" spans="1:17" x14ac:dyDescent="0.25">
      <c r="A183">
        <v>2522</v>
      </c>
      <c r="B183" t="s">
        <v>2599</v>
      </c>
      <c r="C183" t="s">
        <v>2600</v>
      </c>
      <c r="D183" t="s">
        <v>2036</v>
      </c>
      <c r="F183">
        <v>1997</v>
      </c>
      <c r="H183" t="s">
        <v>2295</v>
      </c>
      <c r="I183">
        <v>2</v>
      </c>
      <c r="J183" t="s">
        <v>2350</v>
      </c>
      <c r="K183" t="s">
        <v>14332</v>
      </c>
      <c r="L183" s="222">
        <v>9783860476635</v>
      </c>
      <c r="M183">
        <v>578</v>
      </c>
      <c r="O183" t="s">
        <v>2547</v>
      </c>
      <c r="P183">
        <v>562</v>
      </c>
      <c r="Q183">
        <v>2.4700000000000002</v>
      </c>
    </row>
    <row r="184" spans="1:17" x14ac:dyDescent="0.25">
      <c r="A184">
        <v>2522</v>
      </c>
      <c r="B184" t="s">
        <v>2602</v>
      </c>
      <c r="C184" t="s">
        <v>2603</v>
      </c>
      <c r="D184" t="s">
        <v>2232</v>
      </c>
      <c r="E184" t="s">
        <v>1913</v>
      </c>
      <c r="F184">
        <v>1999</v>
      </c>
      <c r="H184" t="s">
        <v>1878</v>
      </c>
      <c r="I184">
        <v>2</v>
      </c>
      <c r="J184" t="s">
        <v>2604</v>
      </c>
      <c r="K184" t="s">
        <v>14332</v>
      </c>
      <c r="L184" s="222">
        <v>9783442724932</v>
      </c>
      <c r="M184">
        <v>416</v>
      </c>
      <c r="O184" t="s">
        <v>2548</v>
      </c>
      <c r="P184">
        <v>356</v>
      </c>
      <c r="Q184">
        <v>1.72</v>
      </c>
    </row>
    <row r="185" spans="1:17" x14ac:dyDescent="0.25">
      <c r="A185">
        <v>632</v>
      </c>
      <c r="B185" t="s">
        <v>1904</v>
      </c>
      <c r="C185" t="s">
        <v>1905</v>
      </c>
      <c r="D185" t="s">
        <v>2517</v>
      </c>
      <c r="E185" t="s">
        <v>2606</v>
      </c>
      <c r="F185">
        <v>1999</v>
      </c>
      <c r="H185" t="s">
        <v>1878</v>
      </c>
      <c r="I185">
        <v>2</v>
      </c>
      <c r="J185" t="s">
        <v>2604</v>
      </c>
      <c r="K185" t="s">
        <v>14332</v>
      </c>
      <c r="L185" s="222">
        <v>9783746614007</v>
      </c>
      <c r="M185">
        <v>576</v>
      </c>
      <c r="O185" t="s">
        <v>2549</v>
      </c>
      <c r="P185">
        <v>580</v>
      </c>
      <c r="Q185">
        <v>2.2200000000000002</v>
      </c>
    </row>
    <row r="186" spans="1:17" x14ac:dyDescent="0.25">
      <c r="A186">
        <v>688</v>
      </c>
      <c r="B186" t="s">
        <v>2607</v>
      </c>
      <c r="C186" t="s">
        <v>2608</v>
      </c>
      <c r="D186" t="s">
        <v>2609</v>
      </c>
      <c r="F186">
        <v>1985</v>
      </c>
      <c r="H186" t="s">
        <v>2295</v>
      </c>
      <c r="I186">
        <v>2</v>
      </c>
      <c r="J186" t="s">
        <v>14465</v>
      </c>
      <c r="K186" t="s">
        <v>14332</v>
      </c>
      <c r="L186" s="222">
        <v>9783100439086</v>
      </c>
      <c r="M186">
        <v>370</v>
      </c>
      <c r="O186" t="s">
        <v>2550</v>
      </c>
      <c r="P186">
        <v>450</v>
      </c>
      <c r="Q186">
        <v>2.5099999999999998</v>
      </c>
    </row>
    <row r="187" spans="1:17" x14ac:dyDescent="0.25">
      <c r="A187">
        <v>632</v>
      </c>
      <c r="B187" t="s">
        <v>2612</v>
      </c>
      <c r="C187" t="s">
        <v>2613</v>
      </c>
      <c r="D187" t="s">
        <v>2054</v>
      </c>
      <c r="F187">
        <v>2011</v>
      </c>
      <c r="H187" t="s">
        <v>1878</v>
      </c>
      <c r="I187">
        <v>2</v>
      </c>
      <c r="K187" t="s">
        <v>14332</v>
      </c>
      <c r="L187" s="222">
        <v>9783828997073</v>
      </c>
      <c r="M187">
        <v>608</v>
      </c>
      <c r="O187" t="s">
        <v>2551</v>
      </c>
      <c r="P187">
        <v>449</v>
      </c>
      <c r="Q187">
        <v>2.19</v>
      </c>
    </row>
    <row r="188" spans="1:17" x14ac:dyDescent="0.25">
      <c r="A188">
        <v>2956</v>
      </c>
      <c r="B188" t="s">
        <v>2615</v>
      </c>
      <c r="C188" t="s">
        <v>2616</v>
      </c>
      <c r="D188" t="s">
        <v>2007</v>
      </c>
      <c r="F188">
        <v>1987</v>
      </c>
      <c r="H188" t="s">
        <v>2008</v>
      </c>
      <c r="I188">
        <v>2</v>
      </c>
      <c r="K188" t="s">
        <v>14332</v>
      </c>
      <c r="L188" s="222">
        <v>9783150037959</v>
      </c>
      <c r="M188">
        <v>48</v>
      </c>
      <c r="O188" t="s">
        <v>2552</v>
      </c>
      <c r="P188">
        <v>22</v>
      </c>
      <c r="Q188">
        <v>1.72</v>
      </c>
    </row>
    <row r="189" spans="1:17" x14ac:dyDescent="0.25">
      <c r="A189">
        <v>701</v>
      </c>
      <c r="B189" t="s">
        <v>2618</v>
      </c>
      <c r="C189" t="s">
        <v>2619</v>
      </c>
      <c r="D189" t="s">
        <v>2394</v>
      </c>
      <c r="F189">
        <v>2003</v>
      </c>
      <c r="H189" t="s">
        <v>2295</v>
      </c>
      <c r="I189">
        <v>1</v>
      </c>
      <c r="J189" t="s">
        <v>2205</v>
      </c>
      <c r="K189" t="s">
        <v>14332</v>
      </c>
      <c r="L189" s="222">
        <v>9783421057518</v>
      </c>
      <c r="M189">
        <v>226</v>
      </c>
      <c r="O189" t="s">
        <v>2553</v>
      </c>
      <c r="P189">
        <v>644</v>
      </c>
      <c r="Q189">
        <v>2.2599999999999998</v>
      </c>
    </row>
    <row r="190" spans="1:17" x14ac:dyDescent="0.25">
      <c r="A190">
        <v>632</v>
      </c>
      <c r="B190" t="s">
        <v>2621</v>
      </c>
      <c r="C190" t="s">
        <v>2622</v>
      </c>
      <c r="D190" t="s">
        <v>2054</v>
      </c>
      <c r="F190">
        <v>2010</v>
      </c>
      <c r="H190" t="s">
        <v>2295</v>
      </c>
      <c r="I190">
        <v>2</v>
      </c>
      <c r="K190" t="s">
        <v>14332</v>
      </c>
      <c r="L190" s="222">
        <v>9783828997141</v>
      </c>
      <c r="M190">
        <v>498</v>
      </c>
      <c r="O190" t="s">
        <v>2554</v>
      </c>
      <c r="P190">
        <v>565</v>
      </c>
      <c r="Q190">
        <v>2.9</v>
      </c>
    </row>
    <row r="191" spans="1:17" x14ac:dyDescent="0.25">
      <c r="A191">
        <v>1395</v>
      </c>
      <c r="B191" t="s">
        <v>2510</v>
      </c>
      <c r="C191" t="s">
        <v>2624</v>
      </c>
      <c r="D191" t="s">
        <v>2512</v>
      </c>
      <c r="E191" t="s">
        <v>2628</v>
      </c>
      <c r="F191">
        <v>2011</v>
      </c>
      <c r="H191" t="s">
        <v>1878</v>
      </c>
      <c r="I191">
        <v>2</v>
      </c>
      <c r="K191" t="s">
        <v>14332</v>
      </c>
      <c r="L191" s="222">
        <v>9783570585016</v>
      </c>
      <c r="M191">
        <v>418</v>
      </c>
      <c r="O191" t="s">
        <v>2556</v>
      </c>
      <c r="P191">
        <v>589</v>
      </c>
      <c r="Q191">
        <v>2.2200000000000002</v>
      </c>
    </row>
    <row r="192" spans="1:17" x14ac:dyDescent="0.25">
      <c r="A192">
        <v>796</v>
      </c>
      <c r="B192" t="s">
        <v>2629</v>
      </c>
      <c r="C192" t="s">
        <v>2630</v>
      </c>
      <c r="D192" t="s">
        <v>1876</v>
      </c>
      <c r="F192">
        <v>2012</v>
      </c>
      <c r="H192" t="s">
        <v>1878</v>
      </c>
      <c r="I192">
        <v>2</v>
      </c>
      <c r="K192" t="s">
        <v>14332</v>
      </c>
      <c r="L192" s="222">
        <v>9783492274654</v>
      </c>
      <c r="M192">
        <v>560</v>
      </c>
      <c r="O192" t="s">
        <v>2557</v>
      </c>
      <c r="P192">
        <v>398</v>
      </c>
      <c r="Q192">
        <v>1.72</v>
      </c>
    </row>
    <row r="193" spans="1:17" x14ac:dyDescent="0.25">
      <c r="A193">
        <v>796</v>
      </c>
      <c r="B193" t="s">
        <v>1991</v>
      </c>
      <c r="C193" t="s">
        <v>2632</v>
      </c>
      <c r="D193" t="s">
        <v>1993</v>
      </c>
      <c r="E193" t="s">
        <v>1913</v>
      </c>
      <c r="F193">
        <v>2006</v>
      </c>
      <c r="H193" t="s">
        <v>1878</v>
      </c>
      <c r="I193">
        <v>2</v>
      </c>
      <c r="K193" t="s">
        <v>14332</v>
      </c>
      <c r="L193" s="222">
        <v>9783442366545</v>
      </c>
      <c r="M193">
        <v>384</v>
      </c>
      <c r="O193" t="s">
        <v>2558</v>
      </c>
      <c r="P193">
        <v>298</v>
      </c>
      <c r="Q193">
        <v>1.76</v>
      </c>
    </row>
    <row r="194" spans="1:17" x14ac:dyDescent="0.25">
      <c r="A194">
        <v>2522</v>
      </c>
      <c r="B194" t="s">
        <v>2634</v>
      </c>
      <c r="C194" t="s">
        <v>2635</v>
      </c>
      <c r="D194" t="s">
        <v>2636</v>
      </c>
      <c r="F194">
        <v>2010</v>
      </c>
      <c r="H194" t="s">
        <v>1878</v>
      </c>
      <c r="I194">
        <v>2</v>
      </c>
      <c r="K194" t="s">
        <v>14332</v>
      </c>
      <c r="L194" s="222">
        <v>9783869972459</v>
      </c>
      <c r="M194">
        <v>320</v>
      </c>
      <c r="O194" t="s">
        <v>2559</v>
      </c>
      <c r="P194">
        <v>188</v>
      </c>
      <c r="Q194">
        <v>1.72</v>
      </c>
    </row>
    <row r="195" spans="1:17" x14ac:dyDescent="0.25">
      <c r="A195">
        <v>968</v>
      </c>
      <c r="B195" t="s">
        <v>2638</v>
      </c>
      <c r="C195" t="s">
        <v>2639</v>
      </c>
      <c r="D195" t="s">
        <v>2640</v>
      </c>
      <c r="F195">
        <v>2000</v>
      </c>
      <c r="H195" t="s">
        <v>2295</v>
      </c>
      <c r="I195">
        <v>2</v>
      </c>
      <c r="K195" t="s">
        <v>14339</v>
      </c>
      <c r="L195" s="222">
        <v>9780060196097</v>
      </c>
      <c r="M195">
        <v>362</v>
      </c>
      <c r="O195" t="s">
        <v>2560</v>
      </c>
      <c r="P195">
        <v>680</v>
      </c>
      <c r="Q195">
        <v>2.8</v>
      </c>
    </row>
    <row r="196" spans="1:17" x14ac:dyDescent="0.25">
      <c r="A196">
        <v>765</v>
      </c>
      <c r="B196" t="s">
        <v>2642</v>
      </c>
      <c r="C196" t="s">
        <v>2643</v>
      </c>
      <c r="D196" t="s">
        <v>2644</v>
      </c>
      <c r="F196">
        <v>1987</v>
      </c>
      <c r="H196" t="s">
        <v>2295</v>
      </c>
      <c r="I196">
        <v>1</v>
      </c>
      <c r="J196" t="s">
        <v>14466</v>
      </c>
      <c r="K196" t="s">
        <v>14332</v>
      </c>
      <c r="L196" s="222">
        <v>9783257006704</v>
      </c>
      <c r="M196">
        <v>98</v>
      </c>
      <c r="O196" t="s">
        <v>2561</v>
      </c>
      <c r="P196">
        <v>120</v>
      </c>
      <c r="Q196">
        <v>2.72</v>
      </c>
    </row>
    <row r="197" spans="1:17" x14ac:dyDescent="0.25">
      <c r="A197">
        <v>765</v>
      </c>
      <c r="B197" t="s">
        <v>2647</v>
      </c>
      <c r="C197" t="s">
        <v>2648</v>
      </c>
      <c r="D197" t="s">
        <v>2649</v>
      </c>
      <c r="E197" t="s">
        <v>1899</v>
      </c>
      <c r="F197">
        <v>2015</v>
      </c>
      <c r="H197" t="s">
        <v>1878</v>
      </c>
      <c r="I197">
        <v>1</v>
      </c>
      <c r="J197" t="s">
        <v>2650</v>
      </c>
      <c r="K197" t="s">
        <v>14332</v>
      </c>
      <c r="L197" s="222">
        <v>9783423260503</v>
      </c>
      <c r="M197">
        <v>240</v>
      </c>
      <c r="O197" t="s">
        <v>2652</v>
      </c>
      <c r="P197">
        <v>334</v>
      </c>
      <c r="Q197">
        <v>3.15</v>
      </c>
    </row>
    <row r="198" spans="1:17" x14ac:dyDescent="0.25">
      <c r="A198">
        <v>765</v>
      </c>
      <c r="B198" t="s">
        <v>2669</v>
      </c>
      <c r="C198" t="s">
        <v>2670</v>
      </c>
      <c r="D198" t="s">
        <v>2671</v>
      </c>
      <c r="F198">
        <v>1989</v>
      </c>
      <c r="H198" t="s">
        <v>1878</v>
      </c>
      <c r="I198">
        <v>2</v>
      </c>
      <c r="J198" t="s">
        <v>14467</v>
      </c>
      <c r="K198" t="s">
        <v>14332</v>
      </c>
      <c r="L198" s="222">
        <v>9783406331343</v>
      </c>
      <c r="M198">
        <v>296</v>
      </c>
      <c r="O198" t="s">
        <v>2653</v>
      </c>
      <c r="P198">
        <v>277</v>
      </c>
      <c r="Q198">
        <v>3.15</v>
      </c>
    </row>
    <row r="199" spans="1:17" x14ac:dyDescent="0.25">
      <c r="A199">
        <v>1303</v>
      </c>
      <c r="C199" t="s">
        <v>2678</v>
      </c>
      <c r="D199" t="s">
        <v>2679</v>
      </c>
      <c r="F199">
        <v>2005</v>
      </c>
      <c r="H199" t="s">
        <v>2295</v>
      </c>
      <c r="I199">
        <v>1</v>
      </c>
      <c r="K199" t="s">
        <v>14332</v>
      </c>
      <c r="M199">
        <v>50</v>
      </c>
      <c r="O199" t="s">
        <v>2655</v>
      </c>
      <c r="P199">
        <v>438</v>
      </c>
      <c r="Q199">
        <v>2.2999999999999998</v>
      </c>
    </row>
    <row r="200" spans="1:17" x14ac:dyDescent="0.25">
      <c r="A200">
        <v>796</v>
      </c>
      <c r="B200" t="s">
        <v>2680</v>
      </c>
      <c r="C200" t="s">
        <v>2681</v>
      </c>
      <c r="D200" t="s">
        <v>1988</v>
      </c>
      <c r="E200" t="s">
        <v>2518</v>
      </c>
      <c r="F200">
        <v>2009</v>
      </c>
      <c r="H200" t="s">
        <v>1878</v>
      </c>
      <c r="I200">
        <v>2</v>
      </c>
      <c r="K200" t="s">
        <v>14332</v>
      </c>
      <c r="L200" s="222">
        <v>9783423129565</v>
      </c>
      <c r="M200">
        <v>560</v>
      </c>
      <c r="O200" t="s">
        <v>2656</v>
      </c>
      <c r="P200">
        <v>341</v>
      </c>
      <c r="Q200">
        <v>3.37</v>
      </c>
    </row>
    <row r="201" spans="1:17" x14ac:dyDescent="0.25">
      <c r="A201">
        <v>852</v>
      </c>
      <c r="B201" t="s">
        <v>2683</v>
      </c>
      <c r="C201" t="s">
        <v>2588</v>
      </c>
      <c r="D201" t="s">
        <v>2300</v>
      </c>
      <c r="F201">
        <v>2001</v>
      </c>
      <c r="H201" t="s">
        <v>1878</v>
      </c>
      <c r="I201">
        <v>1</v>
      </c>
      <c r="K201" t="s">
        <v>14332</v>
      </c>
      <c r="L201" s="222">
        <v>9783499504365</v>
      </c>
      <c r="M201">
        <v>160</v>
      </c>
      <c r="O201" t="s">
        <v>2657</v>
      </c>
      <c r="P201">
        <v>154</v>
      </c>
      <c r="Q201">
        <v>4.54</v>
      </c>
    </row>
    <row r="202" spans="1:17" x14ac:dyDescent="0.25">
      <c r="A202">
        <v>8</v>
      </c>
      <c r="B202" t="s">
        <v>2686</v>
      </c>
      <c r="C202" t="s">
        <v>2687</v>
      </c>
      <c r="D202" t="s">
        <v>2688</v>
      </c>
      <c r="F202">
        <v>1993</v>
      </c>
      <c r="H202" t="s">
        <v>2295</v>
      </c>
      <c r="I202">
        <v>2</v>
      </c>
      <c r="J202" t="s">
        <v>2505</v>
      </c>
      <c r="K202" t="s">
        <v>14332</v>
      </c>
      <c r="L202" s="222">
        <v>9783822502488</v>
      </c>
      <c r="M202">
        <v>738</v>
      </c>
      <c r="O202" t="s">
        <v>2658</v>
      </c>
      <c r="P202">
        <v>866</v>
      </c>
      <c r="Q202">
        <v>2.2599999999999998</v>
      </c>
    </row>
    <row r="203" spans="1:17" x14ac:dyDescent="0.25">
      <c r="A203">
        <v>968</v>
      </c>
      <c r="B203" t="s">
        <v>2691</v>
      </c>
      <c r="C203" t="s">
        <v>2690</v>
      </c>
      <c r="F203">
        <v>2002</v>
      </c>
      <c r="H203" t="s">
        <v>2295</v>
      </c>
      <c r="I203">
        <v>1</v>
      </c>
      <c r="K203" t="s">
        <v>14339</v>
      </c>
      <c r="L203" s="222">
        <v>9780312278588</v>
      </c>
      <c r="M203">
        <v>310</v>
      </c>
      <c r="O203" t="s">
        <v>2659</v>
      </c>
      <c r="P203">
        <v>508</v>
      </c>
      <c r="Q203">
        <v>4.08</v>
      </c>
    </row>
    <row r="204" spans="1:17" x14ac:dyDescent="0.25">
      <c r="A204">
        <v>1395</v>
      </c>
      <c r="B204" t="s">
        <v>2692</v>
      </c>
      <c r="C204" t="s">
        <v>2693</v>
      </c>
      <c r="D204" t="s">
        <v>1988</v>
      </c>
      <c r="E204" t="s">
        <v>2375</v>
      </c>
      <c r="F204">
        <v>2010</v>
      </c>
      <c r="H204" t="s">
        <v>1878</v>
      </c>
      <c r="I204">
        <v>2</v>
      </c>
      <c r="K204" t="s">
        <v>14332</v>
      </c>
      <c r="L204" s="222">
        <v>9783423621724</v>
      </c>
      <c r="M204">
        <v>368</v>
      </c>
      <c r="O204" t="s">
        <v>2660</v>
      </c>
      <c r="P204">
        <v>278</v>
      </c>
      <c r="Q204">
        <v>1.72</v>
      </c>
    </row>
    <row r="205" spans="1:17" x14ac:dyDescent="0.25">
      <c r="A205">
        <v>692</v>
      </c>
      <c r="B205" t="s">
        <v>2695</v>
      </c>
      <c r="C205" t="s">
        <v>2696</v>
      </c>
      <c r="D205" t="s">
        <v>2609</v>
      </c>
      <c r="F205">
        <v>1995</v>
      </c>
      <c r="H205" t="s">
        <v>1878</v>
      </c>
      <c r="I205">
        <v>2</v>
      </c>
      <c r="K205" t="s">
        <v>14332</v>
      </c>
      <c r="L205" s="222">
        <v>9783596126897</v>
      </c>
      <c r="M205">
        <v>144</v>
      </c>
      <c r="O205" t="s">
        <v>2661</v>
      </c>
      <c r="P205">
        <v>106</v>
      </c>
      <c r="Q205">
        <v>1.72</v>
      </c>
    </row>
    <row r="206" spans="1:17" x14ac:dyDescent="0.25">
      <c r="A206">
        <v>775</v>
      </c>
      <c r="B206" t="s">
        <v>2698</v>
      </c>
      <c r="C206" t="s">
        <v>2699</v>
      </c>
      <c r="D206" t="s">
        <v>1876</v>
      </c>
      <c r="F206">
        <v>2006</v>
      </c>
      <c r="H206" t="s">
        <v>1878</v>
      </c>
      <c r="I206">
        <v>1</v>
      </c>
      <c r="K206" t="s">
        <v>14332</v>
      </c>
      <c r="L206" s="222">
        <v>9783492247153</v>
      </c>
      <c r="M206">
        <v>320</v>
      </c>
      <c r="O206" t="s">
        <v>2662</v>
      </c>
      <c r="P206">
        <v>267</v>
      </c>
      <c r="Q206">
        <v>2.2999999999999998</v>
      </c>
    </row>
    <row r="207" spans="1:17" x14ac:dyDescent="0.25">
      <c r="A207">
        <v>775</v>
      </c>
      <c r="B207" t="s">
        <v>2701</v>
      </c>
      <c r="C207" t="s">
        <v>2702</v>
      </c>
      <c r="D207" t="s">
        <v>2703</v>
      </c>
      <c r="E207" t="s">
        <v>1913</v>
      </c>
      <c r="F207">
        <v>2012</v>
      </c>
      <c r="H207" t="s">
        <v>2295</v>
      </c>
      <c r="I207">
        <v>1</v>
      </c>
      <c r="K207" t="s">
        <v>14332</v>
      </c>
      <c r="L207" s="222">
        <v>9783869710419</v>
      </c>
      <c r="M207">
        <v>434</v>
      </c>
      <c r="O207" t="s">
        <v>2663</v>
      </c>
      <c r="P207">
        <v>595</v>
      </c>
      <c r="Q207">
        <v>3.44</v>
      </c>
    </row>
    <row r="208" spans="1:17" x14ac:dyDescent="0.25">
      <c r="A208">
        <v>968</v>
      </c>
      <c r="B208" t="s">
        <v>2705</v>
      </c>
      <c r="C208" t="s">
        <v>2706</v>
      </c>
      <c r="D208" t="s">
        <v>1979</v>
      </c>
      <c r="F208">
        <v>2013</v>
      </c>
      <c r="H208" t="s">
        <v>1878</v>
      </c>
      <c r="I208">
        <v>2</v>
      </c>
      <c r="J208" t="s">
        <v>2650</v>
      </c>
      <c r="K208" t="s">
        <v>14332</v>
      </c>
      <c r="L208" s="222">
        <v>9783473520374</v>
      </c>
      <c r="M208">
        <v>96</v>
      </c>
      <c r="O208" t="s">
        <v>2664</v>
      </c>
      <c r="P208">
        <v>99</v>
      </c>
      <c r="Q208">
        <v>1.93</v>
      </c>
    </row>
    <row r="209" spans="1:17" x14ac:dyDescent="0.25">
      <c r="A209">
        <v>2571</v>
      </c>
      <c r="B209" t="s">
        <v>2708</v>
      </c>
      <c r="C209" t="s">
        <v>2709</v>
      </c>
      <c r="D209" t="s">
        <v>2710</v>
      </c>
      <c r="F209">
        <v>2000</v>
      </c>
      <c r="H209" t="s">
        <v>1878</v>
      </c>
      <c r="I209">
        <v>2</v>
      </c>
      <c r="J209" t="s">
        <v>2363</v>
      </c>
      <c r="K209" t="s">
        <v>14332</v>
      </c>
      <c r="L209" s="222">
        <v>9783293201644</v>
      </c>
      <c r="M209">
        <v>256</v>
      </c>
      <c r="O209" t="s">
        <v>2665</v>
      </c>
      <c r="P209">
        <v>253</v>
      </c>
      <c r="Q209">
        <v>1.72</v>
      </c>
    </row>
    <row r="210" spans="1:17" x14ac:dyDescent="0.25">
      <c r="A210">
        <v>634</v>
      </c>
      <c r="B210" t="s">
        <v>2712</v>
      </c>
      <c r="C210" t="s">
        <v>2713</v>
      </c>
      <c r="D210" t="s">
        <v>2209</v>
      </c>
      <c r="E210" t="s">
        <v>1877</v>
      </c>
      <c r="F210">
        <v>2006</v>
      </c>
      <c r="H210" t="s">
        <v>1878</v>
      </c>
      <c r="I210">
        <v>2</v>
      </c>
      <c r="K210" t="s">
        <v>14332</v>
      </c>
      <c r="L210" s="222">
        <v>9783453522008</v>
      </c>
      <c r="M210">
        <v>560</v>
      </c>
      <c r="O210" t="s">
        <v>2666</v>
      </c>
      <c r="P210">
        <v>458</v>
      </c>
      <c r="Q210">
        <v>2.62</v>
      </c>
    </row>
    <row r="211" spans="1:17" x14ac:dyDescent="0.25">
      <c r="A211">
        <v>692</v>
      </c>
      <c r="B211" t="s">
        <v>2715</v>
      </c>
      <c r="C211" t="s">
        <v>2716</v>
      </c>
      <c r="D211" t="s">
        <v>1993</v>
      </c>
      <c r="E211" t="s">
        <v>1877</v>
      </c>
      <c r="F211">
        <v>2016</v>
      </c>
      <c r="H211" t="s">
        <v>1878</v>
      </c>
      <c r="I211">
        <v>2</v>
      </c>
      <c r="J211" t="e" cm="1">
        <f t="array" ref="J211">- MÄNGELEXEMPLAR - ansonsten guter bis sehr guter Zustand</f>
        <v>#NAME?</v>
      </c>
      <c r="K211" t="s">
        <v>14332</v>
      </c>
      <c r="L211" s="222">
        <v>9783734102530</v>
      </c>
      <c r="M211">
        <v>448</v>
      </c>
      <c r="O211" t="s">
        <v>2667</v>
      </c>
      <c r="P211">
        <v>399</v>
      </c>
      <c r="Q211">
        <v>1.97</v>
      </c>
    </row>
    <row r="212" spans="1:17" x14ac:dyDescent="0.25">
      <c r="A212">
        <v>765</v>
      </c>
      <c r="B212" t="s">
        <v>2719</v>
      </c>
      <c r="C212" t="s">
        <v>2720</v>
      </c>
      <c r="D212" t="s">
        <v>2054</v>
      </c>
      <c r="F212">
        <v>2011</v>
      </c>
      <c r="H212" t="s">
        <v>1878</v>
      </c>
      <c r="I212">
        <v>2</v>
      </c>
      <c r="J212" t="s">
        <v>2650</v>
      </c>
      <c r="K212" t="s">
        <v>14332</v>
      </c>
      <c r="L212" s="222">
        <v>9783828950627</v>
      </c>
      <c r="M212">
        <v>160</v>
      </c>
      <c r="O212" t="s">
        <v>2668</v>
      </c>
      <c r="P212">
        <v>165</v>
      </c>
      <c r="Q212">
        <v>9.57</v>
      </c>
    </row>
    <row r="213" spans="1:17" x14ac:dyDescent="0.25">
      <c r="A213">
        <v>2571</v>
      </c>
      <c r="B213" t="s">
        <v>2723</v>
      </c>
      <c r="C213" t="s">
        <v>2724</v>
      </c>
      <c r="D213" t="s">
        <v>2725</v>
      </c>
      <c r="F213">
        <v>2002</v>
      </c>
      <c r="H213" t="s">
        <v>1878</v>
      </c>
      <c r="I213">
        <v>2</v>
      </c>
      <c r="J213" t="s">
        <v>2726</v>
      </c>
      <c r="K213" t="s">
        <v>14332</v>
      </c>
      <c r="L213" s="222">
        <v>9783928789240</v>
      </c>
      <c r="M213">
        <v>174</v>
      </c>
      <c r="O213" t="s">
        <v>2722</v>
      </c>
      <c r="P213">
        <v>193</v>
      </c>
      <c r="Q213">
        <v>5.08</v>
      </c>
    </row>
    <row r="214" spans="1:17" x14ac:dyDescent="0.25">
      <c r="A214">
        <v>2522</v>
      </c>
      <c r="B214" t="s">
        <v>2728</v>
      </c>
      <c r="C214" t="s">
        <v>2729</v>
      </c>
      <c r="D214" t="s">
        <v>1920</v>
      </c>
      <c r="E214" t="s">
        <v>1921</v>
      </c>
      <c r="F214">
        <v>2008</v>
      </c>
      <c r="H214" t="s">
        <v>1878</v>
      </c>
      <c r="I214">
        <v>2</v>
      </c>
      <c r="J214" t="s">
        <v>2730</v>
      </c>
      <c r="K214" t="s">
        <v>14332</v>
      </c>
      <c r="L214" s="222">
        <v>9783404165285</v>
      </c>
      <c r="M214">
        <v>528</v>
      </c>
      <c r="O214" t="s">
        <v>2744</v>
      </c>
      <c r="P214">
        <v>447</v>
      </c>
      <c r="Q214">
        <v>1.72</v>
      </c>
    </row>
    <row r="215" spans="1:17" x14ac:dyDescent="0.25">
      <c r="A215">
        <v>2518</v>
      </c>
      <c r="B215" t="s">
        <v>2732</v>
      </c>
      <c r="C215" t="s">
        <v>2733</v>
      </c>
      <c r="D215" t="s">
        <v>2221</v>
      </c>
      <c r="F215">
        <v>2003</v>
      </c>
      <c r="H215" t="s">
        <v>2734</v>
      </c>
      <c r="I215">
        <v>2</v>
      </c>
      <c r="J215" t="s">
        <v>2726</v>
      </c>
      <c r="K215" t="s">
        <v>14332</v>
      </c>
      <c r="L215" s="222">
        <v>9783797308573</v>
      </c>
      <c r="M215">
        <v>226</v>
      </c>
      <c r="O215" t="s">
        <v>2745</v>
      </c>
      <c r="P215">
        <v>344</v>
      </c>
      <c r="Q215">
        <v>1.87</v>
      </c>
    </row>
    <row r="216" spans="1:17" x14ac:dyDescent="0.25">
      <c r="A216">
        <v>614</v>
      </c>
      <c r="B216" t="s">
        <v>2736</v>
      </c>
      <c r="C216" t="s">
        <v>2737</v>
      </c>
      <c r="D216" t="s">
        <v>2300</v>
      </c>
      <c r="E216" t="s">
        <v>2738</v>
      </c>
      <c r="F216">
        <v>1968</v>
      </c>
      <c r="H216" t="s">
        <v>2008</v>
      </c>
      <c r="I216">
        <v>2</v>
      </c>
      <c r="J216" t="s">
        <v>2739</v>
      </c>
      <c r="K216" t="s">
        <v>14332</v>
      </c>
      <c r="M216">
        <v>158</v>
      </c>
      <c r="O216" t="s">
        <v>2746</v>
      </c>
      <c r="P216">
        <v>122</v>
      </c>
      <c r="Q216">
        <v>1.97</v>
      </c>
    </row>
    <row r="217" spans="1:17" x14ac:dyDescent="0.25">
      <c r="A217">
        <v>651</v>
      </c>
      <c r="B217" t="s">
        <v>2740</v>
      </c>
      <c r="C217" t="s">
        <v>2741</v>
      </c>
      <c r="D217" t="s">
        <v>2742</v>
      </c>
      <c r="E217" t="s">
        <v>1913</v>
      </c>
      <c r="F217">
        <v>1999</v>
      </c>
      <c r="H217" t="s">
        <v>2314</v>
      </c>
      <c r="I217">
        <v>1</v>
      </c>
      <c r="K217" t="s">
        <v>14332</v>
      </c>
      <c r="L217" s="222">
        <v>9783772425028</v>
      </c>
      <c r="M217">
        <v>32</v>
      </c>
      <c r="O217" t="s">
        <v>2747</v>
      </c>
      <c r="P217">
        <v>116</v>
      </c>
      <c r="Q217">
        <v>1.72</v>
      </c>
    </row>
    <row r="218" spans="1:17" x14ac:dyDescent="0.25">
      <c r="A218">
        <v>632</v>
      </c>
      <c r="B218" t="s">
        <v>2774</v>
      </c>
      <c r="C218" t="s">
        <v>2775</v>
      </c>
      <c r="D218" t="s">
        <v>1920</v>
      </c>
      <c r="F218">
        <v>1998</v>
      </c>
      <c r="H218" t="s">
        <v>1878</v>
      </c>
      <c r="I218">
        <v>2</v>
      </c>
      <c r="J218" t="s">
        <v>2776</v>
      </c>
      <c r="K218" t="s">
        <v>14332</v>
      </c>
      <c r="L218" s="222">
        <v>9783404259410</v>
      </c>
      <c r="M218">
        <v>1006</v>
      </c>
      <c r="O218" t="s">
        <v>2748</v>
      </c>
      <c r="P218">
        <v>639</v>
      </c>
      <c r="Q218">
        <v>2.3199999999999998</v>
      </c>
    </row>
    <row r="219" spans="1:17" x14ac:dyDescent="0.25">
      <c r="A219">
        <v>2434</v>
      </c>
      <c r="C219" t="s">
        <v>2778</v>
      </c>
      <c r="D219" t="s">
        <v>2779</v>
      </c>
      <c r="F219">
        <v>2005</v>
      </c>
      <c r="H219" t="s">
        <v>2314</v>
      </c>
      <c r="I219">
        <v>2</v>
      </c>
      <c r="K219" t="s">
        <v>14332</v>
      </c>
      <c r="L219" s="222">
        <v>9783831007011</v>
      </c>
      <c r="M219">
        <v>242</v>
      </c>
      <c r="O219" t="s">
        <v>2749</v>
      </c>
      <c r="P219">
        <v>452</v>
      </c>
      <c r="Q219">
        <v>1.97</v>
      </c>
    </row>
    <row r="220" spans="1:17" x14ac:dyDescent="0.25">
      <c r="A220">
        <v>618</v>
      </c>
      <c r="C220" t="s">
        <v>2781</v>
      </c>
      <c r="D220" t="s">
        <v>2077</v>
      </c>
      <c r="F220">
        <v>1997</v>
      </c>
      <c r="H220" t="s">
        <v>1878</v>
      </c>
      <c r="I220">
        <v>2</v>
      </c>
      <c r="J220" t="s">
        <v>2782</v>
      </c>
      <c r="K220" t="s">
        <v>14332</v>
      </c>
      <c r="L220" s="222">
        <v>4388813333116</v>
      </c>
      <c r="M220">
        <v>122</v>
      </c>
      <c r="O220" t="s">
        <v>2750</v>
      </c>
      <c r="P220">
        <v>302</v>
      </c>
      <c r="Q220">
        <v>1.72</v>
      </c>
    </row>
    <row r="221" spans="1:17" x14ac:dyDescent="0.25">
      <c r="A221">
        <v>1315</v>
      </c>
      <c r="B221" t="s">
        <v>2784</v>
      </c>
      <c r="C221" t="s">
        <v>2785</v>
      </c>
      <c r="D221" t="s">
        <v>2156</v>
      </c>
      <c r="E221" t="s">
        <v>2175</v>
      </c>
      <c r="F221">
        <v>2002</v>
      </c>
      <c r="H221" t="s">
        <v>1878</v>
      </c>
      <c r="I221">
        <v>2</v>
      </c>
      <c r="J221" t="s">
        <v>2786</v>
      </c>
      <c r="K221" t="s">
        <v>14332</v>
      </c>
      <c r="L221" s="222">
        <v>9783423705387</v>
      </c>
      <c r="M221">
        <v>272</v>
      </c>
      <c r="O221" t="s">
        <v>2751</v>
      </c>
      <c r="P221">
        <v>296</v>
      </c>
      <c r="Q221">
        <v>1.72</v>
      </c>
    </row>
    <row r="222" spans="1:17" x14ac:dyDescent="0.25">
      <c r="A222">
        <v>565</v>
      </c>
      <c r="B222" t="s">
        <v>2788</v>
      </c>
      <c r="C222" t="s">
        <v>2789</v>
      </c>
      <c r="D222" t="s">
        <v>2790</v>
      </c>
      <c r="F222">
        <v>2009</v>
      </c>
      <c r="H222" t="s">
        <v>2314</v>
      </c>
      <c r="I222">
        <v>2</v>
      </c>
      <c r="J222" t="s">
        <v>2791</v>
      </c>
      <c r="K222" t="s">
        <v>14332</v>
      </c>
      <c r="L222" s="222">
        <v>9783772362682</v>
      </c>
      <c r="M222">
        <v>264</v>
      </c>
      <c r="O222" t="s">
        <v>2752</v>
      </c>
      <c r="P222">
        <v>505</v>
      </c>
      <c r="Q222">
        <v>3.65</v>
      </c>
    </row>
    <row r="223" spans="1:17" x14ac:dyDescent="0.25">
      <c r="A223">
        <v>1984</v>
      </c>
      <c r="B223" t="s">
        <v>2793</v>
      </c>
      <c r="C223" t="s">
        <v>2794</v>
      </c>
      <c r="D223" t="s">
        <v>2054</v>
      </c>
      <c r="F223">
        <v>2005</v>
      </c>
      <c r="H223" t="s">
        <v>2734</v>
      </c>
      <c r="I223">
        <v>1</v>
      </c>
      <c r="K223" t="s">
        <v>14332</v>
      </c>
      <c r="L223" s="222">
        <v>4026411150666</v>
      </c>
      <c r="M223">
        <v>76</v>
      </c>
      <c r="O223" t="s">
        <v>2753</v>
      </c>
      <c r="P223">
        <v>238</v>
      </c>
      <c r="Q223">
        <v>4.1100000000000003</v>
      </c>
    </row>
    <row r="224" spans="1:17" x14ac:dyDescent="0.25">
      <c r="A224">
        <v>1984</v>
      </c>
      <c r="B224" t="s">
        <v>2796</v>
      </c>
      <c r="C224" t="s">
        <v>2797</v>
      </c>
      <c r="D224" t="s">
        <v>2054</v>
      </c>
      <c r="F224">
        <v>2004</v>
      </c>
      <c r="H224" t="s">
        <v>2734</v>
      </c>
      <c r="I224">
        <v>1</v>
      </c>
      <c r="K224" t="s">
        <v>14332</v>
      </c>
      <c r="L224" s="222">
        <v>4026411151878</v>
      </c>
      <c r="M224">
        <v>92</v>
      </c>
      <c r="O224" t="s">
        <v>2754</v>
      </c>
      <c r="P224">
        <v>266</v>
      </c>
      <c r="Q224">
        <v>3.04</v>
      </c>
    </row>
    <row r="225" spans="1:17" x14ac:dyDescent="0.25">
      <c r="A225">
        <v>1984</v>
      </c>
      <c r="B225" t="s">
        <v>2793</v>
      </c>
      <c r="C225" t="s">
        <v>2799</v>
      </c>
      <c r="D225" t="s">
        <v>2054</v>
      </c>
      <c r="F225">
        <v>2006</v>
      </c>
      <c r="H225" t="s">
        <v>2734</v>
      </c>
      <c r="I225">
        <v>1</v>
      </c>
      <c r="K225" t="s">
        <v>14332</v>
      </c>
      <c r="L225" s="222">
        <v>4026411151021</v>
      </c>
      <c r="M225">
        <v>76</v>
      </c>
      <c r="O225" t="s">
        <v>2755</v>
      </c>
      <c r="P225">
        <v>238</v>
      </c>
      <c r="Q225">
        <v>3.79</v>
      </c>
    </row>
    <row r="226" spans="1:17" x14ac:dyDescent="0.25">
      <c r="A226">
        <v>1984</v>
      </c>
      <c r="B226" t="s">
        <v>2801</v>
      </c>
      <c r="C226" t="s">
        <v>2802</v>
      </c>
      <c r="D226" t="s">
        <v>2054</v>
      </c>
      <c r="F226">
        <v>2004</v>
      </c>
      <c r="H226" t="s">
        <v>2734</v>
      </c>
      <c r="I226">
        <v>1</v>
      </c>
      <c r="K226" t="s">
        <v>14332</v>
      </c>
      <c r="L226" s="222">
        <v>4026411151861</v>
      </c>
      <c r="M226">
        <v>92</v>
      </c>
      <c r="O226" t="s">
        <v>2756</v>
      </c>
      <c r="P226">
        <v>261</v>
      </c>
      <c r="Q226">
        <v>3.58</v>
      </c>
    </row>
    <row r="227" spans="1:17" x14ac:dyDescent="0.25">
      <c r="A227">
        <v>1984</v>
      </c>
      <c r="B227" t="s">
        <v>2804</v>
      </c>
      <c r="C227" t="s">
        <v>2805</v>
      </c>
      <c r="D227" t="s">
        <v>2054</v>
      </c>
      <c r="F227">
        <v>2006</v>
      </c>
      <c r="H227" t="s">
        <v>2734</v>
      </c>
      <c r="I227">
        <v>1</v>
      </c>
      <c r="K227" t="s">
        <v>14332</v>
      </c>
      <c r="L227" s="222">
        <v>4026411151038</v>
      </c>
      <c r="M227">
        <v>76</v>
      </c>
      <c r="O227" t="s">
        <v>2757</v>
      </c>
      <c r="P227">
        <v>234</v>
      </c>
      <c r="Q227">
        <v>4.33</v>
      </c>
    </row>
    <row r="228" spans="1:17" x14ac:dyDescent="0.25">
      <c r="A228">
        <v>1984</v>
      </c>
      <c r="B228" t="s">
        <v>2793</v>
      </c>
      <c r="C228" t="s">
        <v>2807</v>
      </c>
      <c r="D228" t="s">
        <v>2054</v>
      </c>
      <c r="F228">
        <v>2006</v>
      </c>
      <c r="H228" t="s">
        <v>2734</v>
      </c>
      <c r="I228">
        <v>1</v>
      </c>
      <c r="K228" t="s">
        <v>14332</v>
      </c>
      <c r="L228" s="222">
        <v>4026411151595</v>
      </c>
      <c r="M228">
        <v>76</v>
      </c>
      <c r="O228" t="s">
        <v>2758</v>
      </c>
      <c r="P228">
        <v>236</v>
      </c>
      <c r="Q228">
        <v>4.33</v>
      </c>
    </row>
    <row r="229" spans="1:17" x14ac:dyDescent="0.25">
      <c r="A229">
        <v>1984</v>
      </c>
      <c r="B229" t="s">
        <v>2801</v>
      </c>
      <c r="C229" t="s">
        <v>2809</v>
      </c>
      <c r="D229" t="s">
        <v>2054</v>
      </c>
      <c r="F229">
        <v>2004</v>
      </c>
      <c r="H229" t="s">
        <v>2734</v>
      </c>
      <c r="I229">
        <v>1</v>
      </c>
      <c r="K229" t="s">
        <v>14332</v>
      </c>
      <c r="L229" s="222">
        <v>4026411151885</v>
      </c>
      <c r="M229">
        <v>92</v>
      </c>
      <c r="O229" t="s">
        <v>2759</v>
      </c>
      <c r="P229">
        <v>263</v>
      </c>
      <c r="Q229">
        <v>4.33</v>
      </c>
    </row>
    <row r="230" spans="1:17" x14ac:dyDescent="0.25">
      <c r="A230">
        <v>1984</v>
      </c>
      <c r="B230" t="s">
        <v>2801</v>
      </c>
      <c r="C230" t="s">
        <v>2811</v>
      </c>
      <c r="D230" t="s">
        <v>2054</v>
      </c>
      <c r="F230">
        <v>2004</v>
      </c>
      <c r="H230" t="s">
        <v>2734</v>
      </c>
      <c r="I230">
        <v>1</v>
      </c>
      <c r="K230" t="s">
        <v>14332</v>
      </c>
      <c r="L230" s="222">
        <v>4026411151854</v>
      </c>
      <c r="M230">
        <v>92</v>
      </c>
      <c r="O230" t="s">
        <v>2760</v>
      </c>
      <c r="P230">
        <v>266</v>
      </c>
      <c r="Q230">
        <v>4.33</v>
      </c>
    </row>
    <row r="231" spans="1:17" x14ac:dyDescent="0.25">
      <c r="A231">
        <v>2706</v>
      </c>
      <c r="C231" t="s">
        <v>2813</v>
      </c>
      <c r="D231" t="s">
        <v>2814</v>
      </c>
      <c r="F231">
        <v>2006</v>
      </c>
      <c r="H231" t="s">
        <v>2314</v>
      </c>
      <c r="I231">
        <v>2</v>
      </c>
      <c r="J231" t="s">
        <v>2815</v>
      </c>
      <c r="K231" t="s">
        <v>14332</v>
      </c>
      <c r="L231" s="222">
        <v>9783822827888</v>
      </c>
      <c r="M231">
        <v>192</v>
      </c>
      <c r="O231" t="s">
        <v>2761</v>
      </c>
      <c r="P231">
        <v>682</v>
      </c>
      <c r="Q231">
        <v>4.08</v>
      </c>
    </row>
    <row r="232" spans="1:17" x14ac:dyDescent="0.25">
      <c r="A232">
        <v>1312</v>
      </c>
      <c r="C232" t="s">
        <v>2817</v>
      </c>
      <c r="D232" t="s">
        <v>2818</v>
      </c>
      <c r="F232">
        <v>1985</v>
      </c>
      <c r="H232" t="s">
        <v>2734</v>
      </c>
      <c r="I232">
        <v>2</v>
      </c>
      <c r="J232" t="s">
        <v>2604</v>
      </c>
      <c r="K232" t="s">
        <v>14332</v>
      </c>
      <c r="L232" s="222">
        <v>9783811209688</v>
      </c>
      <c r="M232">
        <v>258</v>
      </c>
      <c r="O232" t="s">
        <v>2762</v>
      </c>
      <c r="P232">
        <v>579</v>
      </c>
      <c r="Q232">
        <v>2.2200000000000002</v>
      </c>
    </row>
    <row r="233" spans="1:17" x14ac:dyDescent="0.25">
      <c r="A233">
        <v>690</v>
      </c>
      <c r="B233" t="s">
        <v>2820</v>
      </c>
      <c r="C233" t="s">
        <v>2821</v>
      </c>
      <c r="D233" t="s">
        <v>2822</v>
      </c>
      <c r="F233">
        <v>2004</v>
      </c>
      <c r="H233" t="s">
        <v>1878</v>
      </c>
      <c r="I233">
        <v>1</v>
      </c>
      <c r="K233" t="s">
        <v>14332</v>
      </c>
      <c r="L233" s="222">
        <v>9783522176361</v>
      </c>
      <c r="M233">
        <v>208</v>
      </c>
      <c r="O233" t="s">
        <v>2763</v>
      </c>
      <c r="P233">
        <v>305</v>
      </c>
      <c r="Q233">
        <v>1.97</v>
      </c>
    </row>
    <row r="234" spans="1:17" x14ac:dyDescent="0.25">
      <c r="A234">
        <v>691</v>
      </c>
      <c r="B234" t="s">
        <v>2824</v>
      </c>
      <c r="C234" t="s">
        <v>2825</v>
      </c>
      <c r="D234" t="s">
        <v>2826</v>
      </c>
      <c r="F234">
        <v>2002</v>
      </c>
      <c r="H234" t="s">
        <v>2734</v>
      </c>
      <c r="I234">
        <v>2</v>
      </c>
      <c r="K234" t="s">
        <v>14332</v>
      </c>
      <c r="L234" s="222">
        <v>9783898357166</v>
      </c>
      <c r="M234">
        <v>162</v>
      </c>
      <c r="O234" t="s">
        <v>2764</v>
      </c>
      <c r="P234">
        <v>311</v>
      </c>
      <c r="Q234">
        <v>1.97</v>
      </c>
    </row>
    <row r="235" spans="1:17" x14ac:dyDescent="0.25">
      <c r="A235">
        <v>690</v>
      </c>
      <c r="B235" t="s">
        <v>2828</v>
      </c>
      <c r="C235" t="s">
        <v>2829</v>
      </c>
      <c r="D235" t="s">
        <v>2822</v>
      </c>
      <c r="F235">
        <v>2000</v>
      </c>
      <c r="H235" t="s">
        <v>1878</v>
      </c>
      <c r="I235">
        <v>2</v>
      </c>
      <c r="J235" t="s">
        <v>2359</v>
      </c>
      <c r="K235" t="s">
        <v>14332</v>
      </c>
      <c r="L235" s="222">
        <v>9783522173780</v>
      </c>
      <c r="M235">
        <v>176</v>
      </c>
      <c r="O235" t="s">
        <v>2765</v>
      </c>
      <c r="P235">
        <v>263</v>
      </c>
      <c r="Q235">
        <v>1.87</v>
      </c>
    </row>
    <row r="236" spans="1:17" x14ac:dyDescent="0.25">
      <c r="A236">
        <v>690</v>
      </c>
      <c r="B236" t="s">
        <v>2820</v>
      </c>
      <c r="C236" t="s">
        <v>2831</v>
      </c>
      <c r="D236" t="s">
        <v>2822</v>
      </c>
      <c r="F236">
        <v>2008</v>
      </c>
      <c r="H236" t="s">
        <v>1878</v>
      </c>
      <c r="I236">
        <v>2</v>
      </c>
      <c r="K236" t="s">
        <v>14332</v>
      </c>
      <c r="L236" s="222">
        <v>9783522181181</v>
      </c>
      <c r="M236">
        <v>208</v>
      </c>
      <c r="O236" t="s">
        <v>2766</v>
      </c>
      <c r="P236">
        <v>336</v>
      </c>
      <c r="Q236">
        <v>1.77</v>
      </c>
    </row>
    <row r="237" spans="1:17" x14ac:dyDescent="0.25">
      <c r="A237">
        <v>690</v>
      </c>
      <c r="B237" t="s">
        <v>2838</v>
      </c>
      <c r="C237" t="s">
        <v>2839</v>
      </c>
      <c r="D237" t="s">
        <v>2822</v>
      </c>
      <c r="F237">
        <v>2003</v>
      </c>
      <c r="H237" t="s">
        <v>1878</v>
      </c>
      <c r="I237">
        <v>1</v>
      </c>
      <c r="J237" t="s">
        <v>2359</v>
      </c>
      <c r="K237" t="s">
        <v>14332</v>
      </c>
      <c r="L237" s="222">
        <v>9783522176088</v>
      </c>
      <c r="M237">
        <v>192</v>
      </c>
      <c r="O237" t="s">
        <v>2768</v>
      </c>
      <c r="P237">
        <v>288</v>
      </c>
      <c r="Q237">
        <v>1.97</v>
      </c>
    </row>
    <row r="238" spans="1:17" x14ac:dyDescent="0.25">
      <c r="A238">
        <v>691</v>
      </c>
      <c r="B238" t="s">
        <v>2841</v>
      </c>
      <c r="C238" t="s">
        <v>2842</v>
      </c>
      <c r="D238" t="s">
        <v>2676</v>
      </c>
      <c r="F238">
        <v>2006</v>
      </c>
      <c r="H238" t="s">
        <v>2734</v>
      </c>
      <c r="I238">
        <v>1</v>
      </c>
      <c r="K238" t="s">
        <v>14332</v>
      </c>
      <c r="L238" s="222">
        <v>9783760715711</v>
      </c>
      <c r="M238">
        <v>90</v>
      </c>
      <c r="O238" t="s">
        <v>2769</v>
      </c>
      <c r="P238">
        <v>355</v>
      </c>
      <c r="Q238">
        <v>4.54</v>
      </c>
    </row>
    <row r="239" spans="1:17" x14ac:dyDescent="0.25">
      <c r="A239">
        <v>1395</v>
      </c>
      <c r="B239" t="s">
        <v>2844</v>
      </c>
      <c r="C239" t="s">
        <v>2845</v>
      </c>
      <c r="D239" t="s">
        <v>2232</v>
      </c>
      <c r="E239" t="s">
        <v>1913</v>
      </c>
      <c r="F239">
        <v>2014</v>
      </c>
      <c r="H239" t="s">
        <v>1878</v>
      </c>
      <c r="I239">
        <v>1</v>
      </c>
      <c r="J239" t="s">
        <v>2846</v>
      </c>
      <c r="K239" t="s">
        <v>14332</v>
      </c>
      <c r="L239" s="222">
        <v>9783442746101</v>
      </c>
      <c r="M239">
        <v>272</v>
      </c>
      <c r="O239" t="s">
        <v>2770</v>
      </c>
      <c r="P239">
        <v>257</v>
      </c>
      <c r="Q239">
        <v>2.4</v>
      </c>
    </row>
    <row r="240" spans="1:17" x14ac:dyDescent="0.25">
      <c r="A240">
        <v>1231</v>
      </c>
      <c r="B240" t="s">
        <v>2848</v>
      </c>
      <c r="C240" t="s">
        <v>2849</v>
      </c>
      <c r="D240" t="s">
        <v>2850</v>
      </c>
      <c r="F240">
        <v>2002</v>
      </c>
      <c r="H240" t="s">
        <v>2734</v>
      </c>
      <c r="I240">
        <v>1</v>
      </c>
      <c r="J240" t="s">
        <v>2237</v>
      </c>
      <c r="K240" t="s">
        <v>14332</v>
      </c>
      <c r="L240" s="222">
        <v>9783426195970</v>
      </c>
      <c r="M240">
        <v>274</v>
      </c>
      <c r="O240" t="s">
        <v>2771</v>
      </c>
      <c r="P240">
        <v>400</v>
      </c>
      <c r="Q240">
        <v>2.19</v>
      </c>
    </row>
    <row r="241" spans="1:17" x14ac:dyDescent="0.25">
      <c r="A241">
        <v>691</v>
      </c>
      <c r="B241" t="s">
        <v>2853</v>
      </c>
      <c r="C241" t="s">
        <v>2854</v>
      </c>
      <c r="D241" t="s">
        <v>2855</v>
      </c>
      <c r="H241" t="s">
        <v>2734</v>
      </c>
      <c r="I241">
        <v>2</v>
      </c>
      <c r="J241" t="s">
        <v>2856</v>
      </c>
      <c r="K241" t="s">
        <v>14332</v>
      </c>
      <c r="M241">
        <v>258</v>
      </c>
      <c r="O241" t="s">
        <v>2772</v>
      </c>
      <c r="P241">
        <v>588</v>
      </c>
      <c r="Q241">
        <v>3.76</v>
      </c>
    </row>
    <row r="242" spans="1:17" x14ac:dyDescent="0.25">
      <c r="A242">
        <v>796</v>
      </c>
      <c r="B242" t="s">
        <v>2867</v>
      </c>
      <c r="C242" t="s">
        <v>2868</v>
      </c>
      <c r="D242" t="s">
        <v>1993</v>
      </c>
      <c r="F242">
        <v>2008</v>
      </c>
      <c r="H242" t="s">
        <v>1878</v>
      </c>
      <c r="I242">
        <v>2</v>
      </c>
      <c r="J242" t="s">
        <v>2205</v>
      </c>
      <c r="K242" t="s">
        <v>14332</v>
      </c>
      <c r="L242" s="222">
        <v>9783442369003</v>
      </c>
      <c r="M242">
        <v>608</v>
      </c>
      <c r="O242" t="s">
        <v>2773</v>
      </c>
      <c r="P242">
        <v>477</v>
      </c>
      <c r="Q242">
        <v>1.87</v>
      </c>
    </row>
    <row r="243" spans="1:17" x14ac:dyDescent="0.25">
      <c r="A243">
        <v>689</v>
      </c>
      <c r="B243" t="s">
        <v>2870</v>
      </c>
      <c r="C243" t="s">
        <v>2871</v>
      </c>
      <c r="D243" t="s">
        <v>2609</v>
      </c>
      <c r="E243" t="s">
        <v>2872</v>
      </c>
      <c r="F243">
        <v>1993</v>
      </c>
      <c r="H243" t="s">
        <v>1878</v>
      </c>
      <c r="I243">
        <v>2</v>
      </c>
      <c r="K243" t="s">
        <v>14332</v>
      </c>
      <c r="L243" s="222">
        <v>9783596109432</v>
      </c>
      <c r="M243">
        <v>288</v>
      </c>
      <c r="O243" t="s">
        <v>2857</v>
      </c>
      <c r="P243">
        <v>186</v>
      </c>
      <c r="Q243">
        <v>1.82</v>
      </c>
    </row>
    <row r="244" spans="1:17" x14ac:dyDescent="0.25">
      <c r="A244">
        <v>690</v>
      </c>
      <c r="B244" t="s">
        <v>2874</v>
      </c>
      <c r="C244" t="s">
        <v>2875</v>
      </c>
      <c r="D244" t="s">
        <v>2236</v>
      </c>
      <c r="F244">
        <v>1998</v>
      </c>
      <c r="H244" t="s">
        <v>1878</v>
      </c>
      <c r="I244">
        <v>2</v>
      </c>
      <c r="K244" t="s">
        <v>14332</v>
      </c>
      <c r="L244" s="222">
        <v>9783407787743</v>
      </c>
      <c r="M244">
        <v>160</v>
      </c>
      <c r="O244" t="s">
        <v>2858</v>
      </c>
      <c r="P244">
        <v>168</v>
      </c>
      <c r="Q244">
        <v>1.82</v>
      </c>
    </row>
    <row r="245" spans="1:17" x14ac:dyDescent="0.25">
      <c r="A245">
        <v>796</v>
      </c>
      <c r="B245" t="s">
        <v>2877</v>
      </c>
      <c r="C245" t="s">
        <v>2878</v>
      </c>
      <c r="D245" t="s">
        <v>1988</v>
      </c>
      <c r="F245">
        <v>2008</v>
      </c>
      <c r="H245" t="s">
        <v>1878</v>
      </c>
      <c r="I245">
        <v>2</v>
      </c>
      <c r="J245" t="s">
        <v>2879</v>
      </c>
      <c r="K245" t="s">
        <v>14332</v>
      </c>
      <c r="L245" s="222">
        <v>9783423210911</v>
      </c>
      <c r="M245">
        <v>320</v>
      </c>
      <c r="O245" t="s">
        <v>2859</v>
      </c>
      <c r="P245">
        <v>236</v>
      </c>
      <c r="Q245">
        <v>1.97</v>
      </c>
    </row>
    <row r="246" spans="1:17" x14ac:dyDescent="0.25">
      <c r="A246">
        <v>689</v>
      </c>
      <c r="B246" t="s">
        <v>2881</v>
      </c>
      <c r="C246" t="s">
        <v>2882</v>
      </c>
      <c r="D246" t="s">
        <v>2883</v>
      </c>
      <c r="F246">
        <v>2008</v>
      </c>
      <c r="H246" t="s">
        <v>1878</v>
      </c>
      <c r="I246">
        <v>1</v>
      </c>
      <c r="J246" t="s">
        <v>2884</v>
      </c>
      <c r="K246" t="s">
        <v>14332</v>
      </c>
      <c r="L246" s="222">
        <v>9783940036018</v>
      </c>
      <c r="M246">
        <v>236</v>
      </c>
      <c r="O246" t="s">
        <v>2860</v>
      </c>
      <c r="P246">
        <v>240</v>
      </c>
      <c r="Q246">
        <v>5.18</v>
      </c>
    </row>
    <row r="247" spans="1:17" x14ac:dyDescent="0.25">
      <c r="A247">
        <v>690</v>
      </c>
      <c r="B247" t="s">
        <v>2886</v>
      </c>
      <c r="C247" t="s">
        <v>2887</v>
      </c>
      <c r="D247" t="s">
        <v>2300</v>
      </c>
      <c r="F247">
        <v>2006</v>
      </c>
      <c r="H247" t="s">
        <v>1878</v>
      </c>
      <c r="I247">
        <v>2</v>
      </c>
      <c r="K247" t="s">
        <v>14332</v>
      </c>
      <c r="L247" s="222">
        <v>9783499213687</v>
      </c>
      <c r="M247">
        <v>192</v>
      </c>
      <c r="O247" t="s">
        <v>2861</v>
      </c>
      <c r="P247">
        <v>219</v>
      </c>
      <c r="Q247">
        <v>1.87</v>
      </c>
    </row>
    <row r="248" spans="1:17" x14ac:dyDescent="0.25">
      <c r="A248">
        <v>796</v>
      </c>
      <c r="B248" t="s">
        <v>2889</v>
      </c>
      <c r="C248" t="s">
        <v>2890</v>
      </c>
      <c r="D248" t="s">
        <v>2054</v>
      </c>
      <c r="E248" t="s">
        <v>2032</v>
      </c>
      <c r="F248">
        <v>2008</v>
      </c>
      <c r="H248" t="s">
        <v>1878</v>
      </c>
      <c r="I248">
        <v>2</v>
      </c>
      <c r="K248" t="s">
        <v>14332</v>
      </c>
      <c r="L248" s="222">
        <v>9783898974356</v>
      </c>
      <c r="M248">
        <v>336</v>
      </c>
      <c r="O248" t="s">
        <v>2862</v>
      </c>
      <c r="P248">
        <v>254</v>
      </c>
      <c r="Q248">
        <v>1.87</v>
      </c>
    </row>
    <row r="249" spans="1:17" x14ac:dyDescent="0.25">
      <c r="A249">
        <v>294</v>
      </c>
      <c r="B249" t="s">
        <v>2892</v>
      </c>
      <c r="C249" t="s">
        <v>2893</v>
      </c>
      <c r="D249" t="s">
        <v>2209</v>
      </c>
      <c r="E249" t="s">
        <v>1877</v>
      </c>
      <c r="F249">
        <v>1999</v>
      </c>
      <c r="H249" t="s">
        <v>2314</v>
      </c>
      <c r="I249">
        <v>2</v>
      </c>
      <c r="K249" t="s">
        <v>14332</v>
      </c>
      <c r="L249" s="222">
        <v>9783453141322</v>
      </c>
      <c r="M249">
        <v>440</v>
      </c>
      <c r="O249" t="s">
        <v>2863</v>
      </c>
      <c r="P249">
        <v>590</v>
      </c>
      <c r="Q249">
        <v>2.69</v>
      </c>
    </row>
    <row r="250" spans="1:17" x14ac:dyDescent="0.25">
      <c r="A250">
        <v>8</v>
      </c>
      <c r="B250" t="s">
        <v>2895</v>
      </c>
      <c r="C250" t="s">
        <v>2896</v>
      </c>
      <c r="D250" t="s">
        <v>2897</v>
      </c>
      <c r="E250" t="s">
        <v>2358</v>
      </c>
      <c r="F250">
        <v>2004</v>
      </c>
      <c r="H250" t="s">
        <v>2734</v>
      </c>
      <c r="I250">
        <v>2</v>
      </c>
      <c r="K250" t="s">
        <v>14332</v>
      </c>
      <c r="L250" s="222">
        <v>9783896672254</v>
      </c>
      <c r="M250">
        <v>224</v>
      </c>
      <c r="O250" t="s">
        <v>2864</v>
      </c>
      <c r="P250">
        <v>405</v>
      </c>
      <c r="Q250">
        <v>1.72</v>
      </c>
    </row>
    <row r="251" spans="1:17" x14ac:dyDescent="0.25">
      <c r="A251">
        <v>67</v>
      </c>
      <c r="B251" t="s">
        <v>2899</v>
      </c>
      <c r="C251" t="s">
        <v>2900</v>
      </c>
      <c r="D251" t="s">
        <v>2901</v>
      </c>
      <c r="F251">
        <v>1959</v>
      </c>
      <c r="H251" t="s">
        <v>2734</v>
      </c>
      <c r="I251">
        <v>2</v>
      </c>
      <c r="J251" t="s">
        <v>2902</v>
      </c>
      <c r="K251" t="s">
        <v>14332</v>
      </c>
      <c r="M251">
        <v>282</v>
      </c>
      <c r="O251" t="s">
        <v>2865</v>
      </c>
      <c r="P251">
        <v>472</v>
      </c>
      <c r="Q251">
        <v>1.97</v>
      </c>
    </row>
    <row r="252" spans="1:17" x14ac:dyDescent="0.25">
      <c r="A252">
        <v>1396</v>
      </c>
      <c r="B252" t="s">
        <v>2912</v>
      </c>
      <c r="C252" t="s">
        <v>2913</v>
      </c>
      <c r="D252" t="s">
        <v>2609</v>
      </c>
      <c r="F252">
        <v>2010</v>
      </c>
      <c r="H252" t="s">
        <v>2734</v>
      </c>
      <c r="I252">
        <v>2</v>
      </c>
      <c r="K252" t="s">
        <v>14332</v>
      </c>
      <c r="L252" s="222">
        <v>9783100552150</v>
      </c>
      <c r="M252">
        <v>352</v>
      </c>
      <c r="O252" t="s">
        <v>2866</v>
      </c>
      <c r="P252">
        <v>510</v>
      </c>
      <c r="Q252">
        <v>2.37</v>
      </c>
    </row>
    <row r="253" spans="1:17" x14ac:dyDescent="0.25">
      <c r="A253">
        <v>2508</v>
      </c>
      <c r="C253" t="s">
        <v>1182</v>
      </c>
      <c r="D253" t="s">
        <v>2915</v>
      </c>
      <c r="H253" t="s">
        <v>1878</v>
      </c>
      <c r="I253">
        <v>2</v>
      </c>
      <c r="K253" t="s">
        <v>14332</v>
      </c>
      <c r="L253" s="222">
        <v>9783829715607</v>
      </c>
      <c r="M253">
        <v>892</v>
      </c>
      <c r="O253" t="s">
        <v>2903</v>
      </c>
      <c r="P253">
        <v>742</v>
      </c>
      <c r="Q253">
        <v>3.12</v>
      </c>
    </row>
    <row r="254" spans="1:17" x14ac:dyDescent="0.25">
      <c r="A254">
        <v>689</v>
      </c>
      <c r="B254" t="s">
        <v>2920</v>
      </c>
      <c r="C254" t="s">
        <v>2921</v>
      </c>
      <c r="D254" t="s">
        <v>2013</v>
      </c>
      <c r="E254" t="s">
        <v>2922</v>
      </c>
      <c r="F254">
        <v>2009</v>
      </c>
      <c r="H254" t="s">
        <v>1878</v>
      </c>
      <c r="I254">
        <v>2</v>
      </c>
      <c r="K254" t="s">
        <v>14332</v>
      </c>
      <c r="L254" s="222">
        <v>9783442203604</v>
      </c>
      <c r="M254">
        <v>384</v>
      </c>
      <c r="O254" t="s">
        <v>2905</v>
      </c>
      <c r="P254">
        <v>521</v>
      </c>
      <c r="Q254">
        <v>2.2200000000000002</v>
      </c>
    </row>
    <row r="255" spans="1:17" x14ac:dyDescent="0.25">
      <c r="A255">
        <v>2522</v>
      </c>
      <c r="B255" t="s">
        <v>2924</v>
      </c>
      <c r="C255" t="s">
        <v>2925</v>
      </c>
      <c r="D255" t="s">
        <v>2926</v>
      </c>
      <c r="F255">
        <v>2017</v>
      </c>
      <c r="H255" t="s">
        <v>1878</v>
      </c>
      <c r="I255">
        <v>1</v>
      </c>
      <c r="K255" t="s">
        <v>14332</v>
      </c>
      <c r="L255" s="222">
        <v>9783651025578</v>
      </c>
      <c r="M255">
        <v>384</v>
      </c>
      <c r="O255" t="s">
        <v>2906</v>
      </c>
      <c r="P255">
        <v>477</v>
      </c>
      <c r="Q255">
        <v>3.58</v>
      </c>
    </row>
    <row r="256" spans="1:17" x14ac:dyDescent="0.25">
      <c r="A256">
        <v>2518</v>
      </c>
      <c r="B256" t="s">
        <v>2931</v>
      </c>
      <c r="C256" t="s">
        <v>2932</v>
      </c>
      <c r="D256" t="s">
        <v>2933</v>
      </c>
      <c r="E256" t="s">
        <v>1877</v>
      </c>
      <c r="F256">
        <v>2007</v>
      </c>
      <c r="H256" t="s">
        <v>1878</v>
      </c>
      <c r="I256">
        <v>2</v>
      </c>
      <c r="K256" t="s">
        <v>14332</v>
      </c>
      <c r="L256" s="222">
        <v>9783899777253</v>
      </c>
      <c r="M256">
        <v>334</v>
      </c>
      <c r="O256" t="s">
        <v>2908</v>
      </c>
      <c r="P256">
        <v>281</v>
      </c>
      <c r="Q256">
        <v>2.62</v>
      </c>
    </row>
    <row r="257" spans="1:17" x14ac:dyDescent="0.25">
      <c r="A257">
        <v>1339</v>
      </c>
      <c r="B257" t="s">
        <v>2935</v>
      </c>
      <c r="C257" t="s">
        <v>2936</v>
      </c>
      <c r="D257" t="s">
        <v>2609</v>
      </c>
      <c r="E257" t="s">
        <v>2937</v>
      </c>
      <c r="F257">
        <v>2004</v>
      </c>
      <c r="H257" t="s">
        <v>2314</v>
      </c>
      <c r="I257">
        <v>2</v>
      </c>
      <c r="K257" t="s">
        <v>14332</v>
      </c>
      <c r="L257" s="222">
        <v>9783810506665</v>
      </c>
      <c r="M257">
        <v>272</v>
      </c>
      <c r="O257" t="s">
        <v>2909</v>
      </c>
      <c r="P257">
        <v>337</v>
      </c>
      <c r="Q257">
        <v>1.72</v>
      </c>
    </row>
    <row r="258" spans="1:17" x14ac:dyDescent="0.25">
      <c r="A258">
        <v>926</v>
      </c>
      <c r="B258" t="s">
        <v>2939</v>
      </c>
      <c r="C258" t="s">
        <v>2940</v>
      </c>
      <c r="D258" t="s">
        <v>2941</v>
      </c>
      <c r="E258" t="s">
        <v>2518</v>
      </c>
      <c r="F258">
        <v>1988</v>
      </c>
      <c r="H258" t="s">
        <v>2734</v>
      </c>
      <c r="I258">
        <v>2</v>
      </c>
      <c r="K258" t="s">
        <v>14332</v>
      </c>
      <c r="M258">
        <v>256</v>
      </c>
      <c r="O258" t="s">
        <v>2910</v>
      </c>
      <c r="P258">
        <v>595</v>
      </c>
      <c r="Q258">
        <v>2.2200000000000002</v>
      </c>
    </row>
    <row r="259" spans="1:17" x14ac:dyDescent="0.25">
      <c r="A259">
        <v>958</v>
      </c>
      <c r="B259" t="s">
        <v>2942</v>
      </c>
      <c r="C259" t="s">
        <v>2943</v>
      </c>
      <c r="E259" t="s">
        <v>1913</v>
      </c>
      <c r="F259">
        <v>2010</v>
      </c>
      <c r="H259" t="s">
        <v>2314</v>
      </c>
      <c r="I259">
        <v>1</v>
      </c>
      <c r="K259" t="s">
        <v>14332</v>
      </c>
      <c r="L259" s="222">
        <v>9783836214773</v>
      </c>
      <c r="M259">
        <v>408</v>
      </c>
      <c r="O259" t="s">
        <v>2911</v>
      </c>
      <c r="P259">
        <v>1115</v>
      </c>
      <c r="Q259">
        <v>6.28</v>
      </c>
    </row>
    <row r="260" spans="1:17" x14ac:dyDescent="0.25">
      <c r="A260">
        <v>2851</v>
      </c>
      <c r="B260" t="s">
        <v>2961</v>
      </c>
      <c r="C260" t="s">
        <v>2962</v>
      </c>
      <c r="D260" t="s">
        <v>2897</v>
      </c>
      <c r="E260" t="s">
        <v>1899</v>
      </c>
      <c r="F260">
        <v>1998</v>
      </c>
      <c r="H260" t="s">
        <v>2963</v>
      </c>
      <c r="I260">
        <v>2</v>
      </c>
      <c r="K260" t="s">
        <v>14332</v>
      </c>
      <c r="L260" s="222">
        <v>9783896670595</v>
      </c>
      <c r="M260">
        <v>352</v>
      </c>
      <c r="O260" t="s">
        <v>2945</v>
      </c>
      <c r="P260">
        <v>581</v>
      </c>
      <c r="Q260">
        <v>2.4700000000000002</v>
      </c>
    </row>
    <row r="261" spans="1:17" x14ac:dyDescent="0.25">
      <c r="A261">
        <v>690</v>
      </c>
      <c r="B261" t="s">
        <v>2965</v>
      </c>
      <c r="C261" t="s">
        <v>2966</v>
      </c>
      <c r="D261" t="s">
        <v>2822</v>
      </c>
      <c r="F261">
        <v>1999</v>
      </c>
      <c r="H261" t="s">
        <v>2314</v>
      </c>
      <c r="I261">
        <v>2</v>
      </c>
      <c r="J261" t="s">
        <v>2967</v>
      </c>
      <c r="K261" t="s">
        <v>14332</v>
      </c>
      <c r="L261" s="222">
        <v>9783522172905</v>
      </c>
      <c r="M261">
        <v>176</v>
      </c>
      <c r="O261" t="s">
        <v>2946</v>
      </c>
      <c r="P261">
        <v>256</v>
      </c>
      <c r="Q261">
        <v>1.72</v>
      </c>
    </row>
    <row r="262" spans="1:17" x14ac:dyDescent="0.25">
      <c r="A262">
        <v>1321</v>
      </c>
      <c r="B262" t="s">
        <v>2969</v>
      </c>
      <c r="C262" t="s">
        <v>2970</v>
      </c>
      <c r="D262" t="s">
        <v>2971</v>
      </c>
      <c r="F262">
        <v>1995</v>
      </c>
      <c r="H262" t="s">
        <v>2963</v>
      </c>
      <c r="I262">
        <v>2</v>
      </c>
      <c r="J262" t="s">
        <v>2973</v>
      </c>
      <c r="K262" t="s">
        <v>14332</v>
      </c>
      <c r="L262" s="222">
        <v>9783821803265</v>
      </c>
      <c r="M262">
        <v>130</v>
      </c>
      <c r="O262" t="s">
        <v>2947</v>
      </c>
      <c r="P262">
        <v>241</v>
      </c>
      <c r="Q262">
        <v>2.2999999999999998</v>
      </c>
    </row>
    <row r="263" spans="1:17" x14ac:dyDescent="0.25">
      <c r="A263">
        <v>765</v>
      </c>
      <c r="B263" t="s">
        <v>2978</v>
      </c>
      <c r="C263" t="s">
        <v>2979</v>
      </c>
      <c r="D263" t="s">
        <v>2980</v>
      </c>
      <c r="E263" t="s">
        <v>1913</v>
      </c>
      <c r="F263">
        <v>2004</v>
      </c>
      <c r="H263" t="s">
        <v>1878</v>
      </c>
      <c r="I263">
        <v>2</v>
      </c>
      <c r="K263" t="s">
        <v>14332</v>
      </c>
      <c r="L263" s="222">
        <v>9783935703208</v>
      </c>
      <c r="M263">
        <v>198</v>
      </c>
      <c r="O263" t="s">
        <v>2949</v>
      </c>
      <c r="P263">
        <v>215</v>
      </c>
      <c r="Q263">
        <v>2.2999999999999998</v>
      </c>
    </row>
    <row r="264" spans="1:17" x14ac:dyDescent="0.25">
      <c r="A264">
        <v>634</v>
      </c>
      <c r="C264" t="s">
        <v>2988</v>
      </c>
      <c r="D264" t="s">
        <v>1920</v>
      </c>
      <c r="F264">
        <v>1986</v>
      </c>
      <c r="H264" t="s">
        <v>1878</v>
      </c>
      <c r="I264">
        <v>2</v>
      </c>
      <c r="K264" t="s">
        <v>14332</v>
      </c>
      <c r="L264" s="222">
        <v>9783404220953</v>
      </c>
      <c r="M264">
        <v>208</v>
      </c>
      <c r="O264" t="s">
        <v>2952</v>
      </c>
      <c r="P264">
        <v>121</v>
      </c>
      <c r="Q264">
        <v>3.26</v>
      </c>
    </row>
    <row r="265" spans="1:17" x14ac:dyDescent="0.25">
      <c r="A265">
        <v>1386</v>
      </c>
      <c r="B265" t="s">
        <v>2990</v>
      </c>
      <c r="C265" t="s">
        <v>2991</v>
      </c>
      <c r="D265" t="s">
        <v>1920</v>
      </c>
      <c r="E265" t="s">
        <v>2992</v>
      </c>
      <c r="F265">
        <v>2012</v>
      </c>
      <c r="H265" t="s">
        <v>1878</v>
      </c>
      <c r="I265">
        <v>2</v>
      </c>
      <c r="J265" t="s">
        <v>2237</v>
      </c>
      <c r="K265" t="s">
        <v>14332</v>
      </c>
      <c r="M265">
        <v>720</v>
      </c>
      <c r="O265" t="s">
        <v>2953</v>
      </c>
      <c r="P265">
        <v>516</v>
      </c>
      <c r="Q265">
        <v>2.2200000000000002</v>
      </c>
    </row>
    <row r="266" spans="1:17" x14ac:dyDescent="0.25">
      <c r="A266">
        <v>632</v>
      </c>
      <c r="B266" t="s">
        <v>2993</v>
      </c>
      <c r="C266" t="s">
        <v>2994</v>
      </c>
      <c r="D266" t="s">
        <v>2054</v>
      </c>
      <c r="F266">
        <v>2002</v>
      </c>
      <c r="H266" t="s">
        <v>2963</v>
      </c>
      <c r="I266">
        <v>2</v>
      </c>
      <c r="J266" t="s">
        <v>2237</v>
      </c>
      <c r="K266" t="s">
        <v>14332</v>
      </c>
      <c r="L266" s="222">
        <v>9783828968141</v>
      </c>
      <c r="M266">
        <v>704</v>
      </c>
      <c r="O266" t="s">
        <v>2954</v>
      </c>
      <c r="P266">
        <v>947</v>
      </c>
      <c r="Q266">
        <v>2.4700000000000002</v>
      </c>
    </row>
    <row r="267" spans="1:17" x14ac:dyDescent="0.25">
      <c r="A267">
        <v>634</v>
      </c>
      <c r="B267" t="s">
        <v>3001</v>
      </c>
      <c r="C267" t="s">
        <v>3002</v>
      </c>
      <c r="D267" t="s">
        <v>2300</v>
      </c>
      <c r="F267">
        <v>1997</v>
      </c>
      <c r="H267" t="s">
        <v>1878</v>
      </c>
      <c r="I267">
        <v>2</v>
      </c>
      <c r="K267" t="s">
        <v>14332</v>
      </c>
      <c r="L267" s="222">
        <v>9783499601606</v>
      </c>
      <c r="M267">
        <v>544</v>
      </c>
      <c r="O267" t="s">
        <v>2955</v>
      </c>
      <c r="P267">
        <v>351</v>
      </c>
      <c r="Q267">
        <v>4.54</v>
      </c>
    </row>
    <row r="268" spans="1:17" x14ac:dyDescent="0.25">
      <c r="A268">
        <v>701</v>
      </c>
      <c r="B268" t="s">
        <v>3004</v>
      </c>
      <c r="C268" t="s">
        <v>3005</v>
      </c>
      <c r="D268" t="s">
        <v>2300</v>
      </c>
      <c r="E268" t="s">
        <v>1984</v>
      </c>
      <c r="F268">
        <v>2007</v>
      </c>
      <c r="H268" t="s">
        <v>1878</v>
      </c>
      <c r="I268">
        <v>2</v>
      </c>
      <c r="J268" t="s">
        <v>3006</v>
      </c>
      <c r="K268" t="s">
        <v>14332</v>
      </c>
      <c r="L268" s="222">
        <v>9783499622526</v>
      </c>
      <c r="M268">
        <v>304</v>
      </c>
      <c r="O268" t="s">
        <v>2956</v>
      </c>
      <c r="P268">
        <v>372</v>
      </c>
      <c r="Q268">
        <v>1.97</v>
      </c>
    </row>
    <row r="269" spans="1:17" x14ac:dyDescent="0.25">
      <c r="A269">
        <v>775</v>
      </c>
      <c r="B269" t="s">
        <v>3008</v>
      </c>
      <c r="C269" t="s">
        <v>3009</v>
      </c>
      <c r="D269" t="s">
        <v>3010</v>
      </c>
      <c r="E269" t="s">
        <v>3011</v>
      </c>
      <c r="F269">
        <v>1999</v>
      </c>
      <c r="H269" t="s">
        <v>1878</v>
      </c>
      <c r="I269">
        <v>2</v>
      </c>
      <c r="J269" t="e" cm="1">
        <f t="array" ref="J269">- MÄNGELEXEMPLAR - ansonsten guter bis sehr guter Zustand</f>
        <v>#NAME?</v>
      </c>
      <c r="K269" t="s">
        <v>14332</v>
      </c>
      <c r="L269" s="222">
        <v>9783404920211</v>
      </c>
      <c r="M269">
        <v>576</v>
      </c>
      <c r="O269" t="s">
        <v>2957</v>
      </c>
      <c r="P269">
        <v>560</v>
      </c>
      <c r="Q269">
        <v>2.2599999999999998</v>
      </c>
    </row>
    <row r="270" spans="1:17" x14ac:dyDescent="0.25">
      <c r="A270">
        <v>701</v>
      </c>
      <c r="B270" t="s">
        <v>3014</v>
      </c>
      <c r="C270" t="s">
        <v>3015</v>
      </c>
      <c r="D270" t="s">
        <v>3017</v>
      </c>
      <c r="E270" t="s">
        <v>3016</v>
      </c>
      <c r="F270">
        <v>1978</v>
      </c>
      <c r="H270" t="s">
        <v>2963</v>
      </c>
      <c r="I270">
        <v>2</v>
      </c>
      <c r="J270" t="s">
        <v>3018</v>
      </c>
      <c r="K270" t="s">
        <v>14332</v>
      </c>
      <c r="L270" s="222">
        <v>9783813508758</v>
      </c>
      <c r="M270">
        <v>162</v>
      </c>
      <c r="O270" t="s">
        <v>2958</v>
      </c>
      <c r="P270">
        <v>242</v>
      </c>
      <c r="Q270">
        <v>1.72</v>
      </c>
    </row>
    <row r="271" spans="1:17" x14ac:dyDescent="0.25">
      <c r="A271">
        <v>1386</v>
      </c>
      <c r="B271" t="s">
        <v>3020</v>
      </c>
      <c r="C271" t="s">
        <v>3021</v>
      </c>
      <c r="D271" t="s">
        <v>3022</v>
      </c>
      <c r="F271">
        <v>1997</v>
      </c>
      <c r="H271" t="s">
        <v>2963</v>
      </c>
      <c r="I271">
        <v>2</v>
      </c>
      <c r="K271" t="s">
        <v>14332</v>
      </c>
      <c r="L271" s="222">
        <v>9783800024834</v>
      </c>
      <c r="M271">
        <v>146</v>
      </c>
      <c r="O271" t="s">
        <v>2959</v>
      </c>
      <c r="P271">
        <v>304</v>
      </c>
      <c r="Q271">
        <v>1.87</v>
      </c>
    </row>
    <row r="272" spans="1:17" x14ac:dyDescent="0.25">
      <c r="A272">
        <v>2002</v>
      </c>
      <c r="B272" t="s">
        <v>3024</v>
      </c>
      <c r="C272" t="s">
        <v>3025</v>
      </c>
      <c r="D272" t="s">
        <v>3026</v>
      </c>
      <c r="E272" t="s">
        <v>1877</v>
      </c>
      <c r="F272">
        <v>2009</v>
      </c>
      <c r="H272" t="s">
        <v>1878</v>
      </c>
      <c r="I272">
        <v>2</v>
      </c>
      <c r="K272" t="s">
        <v>14332</v>
      </c>
      <c r="L272" s="222">
        <v>9783462040494</v>
      </c>
      <c r="M272">
        <v>336</v>
      </c>
      <c r="O272" t="s">
        <v>2960</v>
      </c>
      <c r="P272">
        <v>371</v>
      </c>
      <c r="Q272">
        <v>1.72</v>
      </c>
    </row>
    <row r="273" spans="1:17" x14ac:dyDescent="0.25">
      <c r="A273">
        <v>1386</v>
      </c>
      <c r="B273" t="s">
        <v>3032</v>
      </c>
      <c r="C273" t="s">
        <v>3033</v>
      </c>
      <c r="D273" t="s">
        <v>2300</v>
      </c>
      <c r="E273" t="s">
        <v>2335</v>
      </c>
      <c r="F273">
        <v>1997</v>
      </c>
      <c r="H273" t="s">
        <v>1878</v>
      </c>
      <c r="I273">
        <v>2</v>
      </c>
      <c r="J273" t="s">
        <v>2205</v>
      </c>
      <c r="K273" t="s">
        <v>14332</v>
      </c>
      <c r="L273" s="222">
        <v>9783499223273</v>
      </c>
      <c r="M273">
        <v>288</v>
      </c>
      <c r="O273" t="s">
        <v>2997</v>
      </c>
      <c r="P273">
        <v>234</v>
      </c>
      <c r="Q273">
        <v>1.82</v>
      </c>
    </row>
    <row r="274" spans="1:17" x14ac:dyDescent="0.25">
      <c r="A274">
        <v>763</v>
      </c>
      <c r="B274" t="s">
        <v>3035</v>
      </c>
      <c r="C274" t="s">
        <v>3036</v>
      </c>
      <c r="D274" t="s">
        <v>2300</v>
      </c>
      <c r="F274">
        <v>2018</v>
      </c>
      <c r="H274" t="s">
        <v>1878</v>
      </c>
      <c r="I274">
        <v>1</v>
      </c>
      <c r="K274" t="s">
        <v>14332</v>
      </c>
      <c r="L274" s="222">
        <v>9783499632297</v>
      </c>
      <c r="M274">
        <v>508</v>
      </c>
      <c r="O274" t="s">
        <v>2998</v>
      </c>
      <c r="P274">
        <v>841</v>
      </c>
      <c r="Q274">
        <v>5.15</v>
      </c>
    </row>
    <row r="275" spans="1:17" x14ac:dyDescent="0.25">
      <c r="A275">
        <v>1809</v>
      </c>
      <c r="B275" t="s">
        <v>3051</v>
      </c>
      <c r="C275" t="s">
        <v>3052</v>
      </c>
      <c r="D275" t="s">
        <v>2609</v>
      </c>
      <c r="E275" t="s">
        <v>3053</v>
      </c>
      <c r="F275">
        <v>2009</v>
      </c>
      <c r="H275" t="s">
        <v>2963</v>
      </c>
      <c r="I275">
        <v>2</v>
      </c>
      <c r="J275" t="e" cm="1">
        <f t="array" ref="J275">- MÄNGELEXEMPLAR - ansonsten sehr guter Zustand</f>
        <v>#NAME?</v>
      </c>
      <c r="K275" t="s">
        <v>14332</v>
      </c>
      <c r="L275" s="222">
        <v>9783596851591</v>
      </c>
      <c r="M275">
        <v>258</v>
      </c>
      <c r="O275" t="s">
        <v>3000</v>
      </c>
      <c r="P275">
        <v>433</v>
      </c>
      <c r="Q275">
        <v>1.93</v>
      </c>
    </row>
    <row r="276" spans="1:17" x14ac:dyDescent="0.25">
      <c r="A276">
        <v>1809</v>
      </c>
      <c r="C276" t="s">
        <v>3056</v>
      </c>
      <c r="D276" t="s">
        <v>3057</v>
      </c>
      <c r="F276">
        <v>2010</v>
      </c>
      <c r="H276" t="s">
        <v>2963</v>
      </c>
      <c r="I276">
        <v>1</v>
      </c>
      <c r="K276" t="s">
        <v>14332</v>
      </c>
      <c r="L276" s="222">
        <v>9783440120521</v>
      </c>
      <c r="M276">
        <v>298</v>
      </c>
      <c r="O276" t="s">
        <v>3041</v>
      </c>
      <c r="P276">
        <v>476</v>
      </c>
      <c r="Q276">
        <v>3.69</v>
      </c>
    </row>
    <row r="277" spans="1:17" x14ac:dyDescent="0.25">
      <c r="A277">
        <v>632</v>
      </c>
      <c r="B277" t="s">
        <v>3059</v>
      </c>
      <c r="C277" t="s">
        <v>3060</v>
      </c>
      <c r="D277" t="s">
        <v>1920</v>
      </c>
      <c r="E277" t="s">
        <v>1913</v>
      </c>
      <c r="F277">
        <v>2006</v>
      </c>
      <c r="H277" t="s">
        <v>1878</v>
      </c>
      <c r="I277">
        <v>2</v>
      </c>
      <c r="K277" t="s">
        <v>14332</v>
      </c>
      <c r="L277" s="222">
        <v>9783404155620</v>
      </c>
      <c r="M277">
        <v>512</v>
      </c>
      <c r="O277" t="s">
        <v>3042</v>
      </c>
      <c r="P277">
        <v>440</v>
      </c>
      <c r="Q277">
        <v>1.76</v>
      </c>
    </row>
    <row r="278" spans="1:17" x14ac:dyDescent="0.25">
      <c r="A278">
        <v>2522</v>
      </c>
      <c r="B278" t="s">
        <v>3062</v>
      </c>
      <c r="C278" t="s">
        <v>3063</v>
      </c>
      <c r="D278" t="s">
        <v>2300</v>
      </c>
      <c r="E278" t="s">
        <v>1921</v>
      </c>
      <c r="F278">
        <v>2007</v>
      </c>
      <c r="H278" t="s">
        <v>1878</v>
      </c>
      <c r="I278">
        <v>2</v>
      </c>
      <c r="J278" t="e" cm="1">
        <f t="array" ref="J278">- MÄNGELEXEMPLAR - ansonsten sehr guter Zustand</f>
        <v>#NAME?</v>
      </c>
      <c r="K278" t="s">
        <v>14332</v>
      </c>
      <c r="L278" s="222">
        <v>9783499245602</v>
      </c>
      <c r="M278">
        <v>384</v>
      </c>
      <c r="O278" t="s">
        <v>3043</v>
      </c>
      <c r="P278">
        <v>349</v>
      </c>
      <c r="Q278">
        <v>1.76</v>
      </c>
    </row>
    <row r="279" spans="1:17" x14ac:dyDescent="0.25">
      <c r="A279">
        <v>2522</v>
      </c>
      <c r="B279" t="s">
        <v>3065</v>
      </c>
      <c r="C279" t="s">
        <v>3066</v>
      </c>
      <c r="D279" t="s">
        <v>2209</v>
      </c>
      <c r="E279" t="s">
        <v>3067</v>
      </c>
      <c r="F279">
        <v>2010</v>
      </c>
      <c r="H279" t="s">
        <v>1878</v>
      </c>
      <c r="I279">
        <v>2</v>
      </c>
      <c r="K279" t="s">
        <v>14332</v>
      </c>
      <c r="L279" s="222">
        <v>9783453432451</v>
      </c>
      <c r="M279">
        <v>700</v>
      </c>
      <c r="O279" t="s">
        <v>3044</v>
      </c>
      <c r="P279">
        <v>421</v>
      </c>
      <c r="Q279">
        <v>1.76</v>
      </c>
    </row>
    <row r="280" spans="1:17" x14ac:dyDescent="0.25">
      <c r="A280">
        <v>1327</v>
      </c>
      <c r="B280" t="s">
        <v>3069</v>
      </c>
      <c r="C280" t="s">
        <v>3070</v>
      </c>
      <c r="D280" t="s">
        <v>2818</v>
      </c>
      <c r="F280">
        <v>2008</v>
      </c>
      <c r="H280" t="s">
        <v>2963</v>
      </c>
      <c r="I280">
        <v>2</v>
      </c>
      <c r="K280" t="s">
        <v>14332</v>
      </c>
      <c r="L280" s="222">
        <v>9783765519093</v>
      </c>
      <c r="M280">
        <v>290</v>
      </c>
      <c r="O280" t="s">
        <v>3045</v>
      </c>
      <c r="P280">
        <v>478</v>
      </c>
      <c r="Q280">
        <v>1.97</v>
      </c>
    </row>
    <row r="281" spans="1:17" x14ac:dyDescent="0.25">
      <c r="A281">
        <v>632</v>
      </c>
      <c r="B281" t="s">
        <v>3072</v>
      </c>
      <c r="C281" t="s">
        <v>3073</v>
      </c>
      <c r="D281" t="s">
        <v>2054</v>
      </c>
      <c r="F281">
        <v>2004</v>
      </c>
      <c r="H281" t="s">
        <v>1878</v>
      </c>
      <c r="I281">
        <v>2</v>
      </c>
      <c r="K281" t="s">
        <v>14332</v>
      </c>
      <c r="L281" s="222">
        <v>9783828974241</v>
      </c>
      <c r="M281">
        <v>544</v>
      </c>
      <c r="O281" t="s">
        <v>3046</v>
      </c>
      <c r="P281">
        <v>404</v>
      </c>
      <c r="Q281">
        <v>3.04</v>
      </c>
    </row>
    <row r="282" spans="1:17" x14ac:dyDescent="0.25">
      <c r="A282">
        <v>689</v>
      </c>
      <c r="B282" t="s">
        <v>3075</v>
      </c>
      <c r="C282" t="s">
        <v>3076</v>
      </c>
      <c r="D282" t="s">
        <v>3077</v>
      </c>
      <c r="E282" t="s">
        <v>1913</v>
      </c>
      <c r="F282">
        <v>2005</v>
      </c>
      <c r="H282" t="s">
        <v>1878</v>
      </c>
      <c r="I282">
        <v>2</v>
      </c>
      <c r="J282" t="e" cm="1">
        <f t="array" ref="J282">- MÄNGELEXEMPLAR - dem Alter entsprechende Gebrauchsspuren</f>
        <v>#NAME?</v>
      </c>
      <c r="K282" t="s">
        <v>14332</v>
      </c>
      <c r="L282" s="222">
        <v>9783442243044</v>
      </c>
      <c r="M282">
        <v>448</v>
      </c>
      <c r="O282" t="s">
        <v>3047</v>
      </c>
      <c r="P282">
        <v>298</v>
      </c>
      <c r="Q282">
        <v>1.97</v>
      </c>
    </row>
    <row r="283" spans="1:17" x14ac:dyDescent="0.25">
      <c r="A283">
        <v>796</v>
      </c>
      <c r="B283" t="s">
        <v>3080</v>
      </c>
      <c r="C283" t="s">
        <v>3081</v>
      </c>
      <c r="D283" t="s">
        <v>2209</v>
      </c>
      <c r="E283" t="s">
        <v>1877</v>
      </c>
      <c r="F283">
        <v>2000</v>
      </c>
      <c r="H283" t="s">
        <v>1878</v>
      </c>
      <c r="I283">
        <v>2</v>
      </c>
      <c r="K283" t="s">
        <v>14332</v>
      </c>
      <c r="L283" s="222">
        <v>9783453177628</v>
      </c>
      <c r="M283">
        <v>224</v>
      </c>
      <c r="O283" t="s">
        <v>3048</v>
      </c>
      <c r="P283">
        <v>203</v>
      </c>
      <c r="Q283">
        <v>1.72</v>
      </c>
    </row>
    <row r="284" spans="1:17" x14ac:dyDescent="0.25">
      <c r="A284">
        <v>767</v>
      </c>
      <c r="B284" t="s">
        <v>3083</v>
      </c>
      <c r="C284" t="s">
        <v>3084</v>
      </c>
      <c r="D284" t="s">
        <v>2257</v>
      </c>
      <c r="F284">
        <v>2009</v>
      </c>
      <c r="H284" t="s">
        <v>1878</v>
      </c>
      <c r="I284">
        <v>2</v>
      </c>
      <c r="K284" t="s">
        <v>14332</v>
      </c>
      <c r="L284" s="222">
        <v>9783426783429</v>
      </c>
      <c r="M284">
        <v>380</v>
      </c>
      <c r="O284" t="s">
        <v>3049</v>
      </c>
      <c r="P284">
        <v>323</v>
      </c>
      <c r="Q284">
        <v>1.72</v>
      </c>
    </row>
    <row r="285" spans="1:17" x14ac:dyDescent="0.25">
      <c r="A285">
        <v>1386</v>
      </c>
      <c r="B285" t="s">
        <v>2422</v>
      </c>
      <c r="C285" t="s">
        <v>2423</v>
      </c>
      <c r="D285" t="s">
        <v>2424</v>
      </c>
      <c r="E285" t="s">
        <v>2375</v>
      </c>
      <c r="F285">
        <v>2010</v>
      </c>
      <c r="H285" t="s">
        <v>1878</v>
      </c>
      <c r="I285">
        <v>2</v>
      </c>
      <c r="J285" t="s">
        <v>3006</v>
      </c>
      <c r="K285" t="s">
        <v>14332</v>
      </c>
      <c r="L285" s="222">
        <v>9783453354760</v>
      </c>
      <c r="M285">
        <v>640</v>
      </c>
      <c r="O285" t="s">
        <v>3050</v>
      </c>
      <c r="P285">
        <v>508</v>
      </c>
      <c r="Q285">
        <v>2.2200000000000002</v>
      </c>
    </row>
    <row r="286" spans="1:17" x14ac:dyDescent="0.25">
      <c r="A286">
        <v>1386</v>
      </c>
      <c r="B286" t="s">
        <v>3096</v>
      </c>
      <c r="C286" t="s">
        <v>3097</v>
      </c>
      <c r="D286" t="s">
        <v>2407</v>
      </c>
      <c r="E286" t="s">
        <v>2094</v>
      </c>
      <c r="F286">
        <v>2019</v>
      </c>
      <c r="H286" t="s">
        <v>1878</v>
      </c>
      <c r="I286">
        <v>2</v>
      </c>
      <c r="J286" t="s">
        <v>3098</v>
      </c>
      <c r="K286" t="s">
        <v>14332</v>
      </c>
      <c r="L286" s="222">
        <v>9783947690121</v>
      </c>
      <c r="M286">
        <v>304</v>
      </c>
      <c r="O286" t="s">
        <v>3086</v>
      </c>
      <c r="P286">
        <v>302</v>
      </c>
      <c r="Q286">
        <v>1.97</v>
      </c>
    </row>
    <row r="287" spans="1:17" x14ac:dyDescent="0.25">
      <c r="A287">
        <v>2851</v>
      </c>
      <c r="B287" t="s">
        <v>3100</v>
      </c>
      <c r="C287" t="s">
        <v>3101</v>
      </c>
      <c r="D287" t="s">
        <v>1988</v>
      </c>
      <c r="E287" t="s">
        <v>1921</v>
      </c>
      <c r="F287">
        <v>2004</v>
      </c>
      <c r="H287" t="s">
        <v>2314</v>
      </c>
      <c r="I287">
        <v>1</v>
      </c>
      <c r="K287" t="s">
        <v>14332</v>
      </c>
      <c r="L287" s="222">
        <v>9783423244220</v>
      </c>
      <c r="M287">
        <v>120</v>
      </c>
      <c r="O287" t="s">
        <v>3087</v>
      </c>
      <c r="P287">
        <v>198</v>
      </c>
      <c r="Q287">
        <v>1.87</v>
      </c>
    </row>
    <row r="288" spans="1:17" x14ac:dyDescent="0.25">
      <c r="A288">
        <v>1395</v>
      </c>
      <c r="B288" t="s">
        <v>3103</v>
      </c>
      <c r="C288" t="s">
        <v>3104</v>
      </c>
      <c r="D288" t="s">
        <v>2368</v>
      </c>
      <c r="F288">
        <v>2009</v>
      </c>
      <c r="H288" t="s">
        <v>2314</v>
      </c>
      <c r="I288">
        <v>1</v>
      </c>
      <c r="K288" t="s">
        <v>14332</v>
      </c>
      <c r="L288" s="222">
        <v>9783785760079</v>
      </c>
      <c r="M288">
        <v>240</v>
      </c>
      <c r="O288" t="s">
        <v>3088</v>
      </c>
      <c r="P288">
        <v>342</v>
      </c>
      <c r="Q288">
        <v>1.72</v>
      </c>
    </row>
    <row r="289" spans="1:17" x14ac:dyDescent="0.25">
      <c r="A289">
        <v>796</v>
      </c>
      <c r="B289" t="s">
        <v>3106</v>
      </c>
      <c r="C289" t="s">
        <v>3107</v>
      </c>
      <c r="D289" t="s">
        <v>2407</v>
      </c>
      <c r="E289" t="s">
        <v>2094</v>
      </c>
      <c r="F289">
        <v>2019</v>
      </c>
      <c r="H289" t="s">
        <v>1878</v>
      </c>
      <c r="I289">
        <v>2</v>
      </c>
      <c r="K289" t="s">
        <v>14332</v>
      </c>
      <c r="L289" s="222">
        <v>9783947690282</v>
      </c>
      <c r="M289">
        <v>304</v>
      </c>
      <c r="O289" t="s">
        <v>3089</v>
      </c>
      <c r="P289">
        <v>303</v>
      </c>
      <c r="Q289">
        <v>3.58</v>
      </c>
    </row>
    <row r="290" spans="1:17" x14ac:dyDescent="0.25">
      <c r="A290">
        <v>1321</v>
      </c>
      <c r="B290" t="s">
        <v>3109</v>
      </c>
      <c r="C290" t="s">
        <v>3110</v>
      </c>
      <c r="D290" t="s">
        <v>1912</v>
      </c>
      <c r="E290" t="s">
        <v>1913</v>
      </c>
      <c r="F290">
        <v>2012</v>
      </c>
      <c r="H290" t="s">
        <v>1878</v>
      </c>
      <c r="I290">
        <v>2</v>
      </c>
      <c r="K290" t="s">
        <v>14332</v>
      </c>
      <c r="L290" s="222">
        <v>9783442157341</v>
      </c>
      <c r="M290">
        <v>224</v>
      </c>
      <c r="O290" t="s">
        <v>3090</v>
      </c>
      <c r="P290">
        <v>197</v>
      </c>
      <c r="Q290">
        <v>1.97</v>
      </c>
    </row>
    <row r="291" spans="1:17" x14ac:dyDescent="0.25">
      <c r="A291">
        <v>2522</v>
      </c>
      <c r="B291" t="s">
        <v>2575</v>
      </c>
      <c r="C291" t="s">
        <v>3112</v>
      </c>
      <c r="D291" t="s">
        <v>2300</v>
      </c>
      <c r="F291">
        <v>2001</v>
      </c>
      <c r="H291" t="s">
        <v>1878</v>
      </c>
      <c r="I291">
        <v>2</v>
      </c>
      <c r="K291" t="s">
        <v>14332</v>
      </c>
      <c r="L291" s="222">
        <v>9783499229923</v>
      </c>
      <c r="M291">
        <v>400</v>
      </c>
      <c r="O291" t="s">
        <v>3091</v>
      </c>
      <c r="P291">
        <v>368</v>
      </c>
      <c r="Q291">
        <v>1.72</v>
      </c>
    </row>
    <row r="292" spans="1:17" x14ac:dyDescent="0.25">
      <c r="A292">
        <v>1394</v>
      </c>
      <c r="B292" t="s">
        <v>3114</v>
      </c>
      <c r="C292" t="s">
        <v>3115</v>
      </c>
      <c r="D292" t="s">
        <v>3116</v>
      </c>
      <c r="E292" t="s">
        <v>1913</v>
      </c>
      <c r="F292">
        <v>2002</v>
      </c>
      <c r="H292" t="s">
        <v>1878</v>
      </c>
      <c r="I292">
        <v>2</v>
      </c>
      <c r="K292" t="s">
        <v>14332</v>
      </c>
      <c r="L292" s="222">
        <v>9783401053974</v>
      </c>
      <c r="M292">
        <v>188</v>
      </c>
      <c r="O292" t="s">
        <v>3092</v>
      </c>
      <c r="P292">
        <v>555</v>
      </c>
      <c r="Q292">
        <v>2.2200000000000002</v>
      </c>
    </row>
    <row r="293" spans="1:17" x14ac:dyDescent="0.25">
      <c r="A293">
        <v>1395</v>
      </c>
      <c r="B293" t="s">
        <v>3118</v>
      </c>
      <c r="C293" t="s">
        <v>14468</v>
      </c>
      <c r="D293" t="s">
        <v>2054</v>
      </c>
      <c r="F293">
        <v>2016</v>
      </c>
      <c r="H293" t="s">
        <v>1878</v>
      </c>
      <c r="I293">
        <v>2</v>
      </c>
      <c r="K293" t="s">
        <v>14332</v>
      </c>
      <c r="L293" s="222">
        <v>9783959732611</v>
      </c>
      <c r="M293">
        <v>368</v>
      </c>
      <c r="O293" t="s">
        <v>3093</v>
      </c>
      <c r="P293">
        <v>371</v>
      </c>
      <c r="Q293">
        <v>3.58</v>
      </c>
    </row>
    <row r="294" spans="1:17" x14ac:dyDescent="0.25">
      <c r="A294">
        <v>1327</v>
      </c>
      <c r="B294" t="s">
        <v>3121</v>
      </c>
      <c r="C294" t="s">
        <v>3122</v>
      </c>
      <c r="D294" t="s">
        <v>2309</v>
      </c>
      <c r="F294">
        <v>2001</v>
      </c>
      <c r="H294" t="s">
        <v>1878</v>
      </c>
      <c r="I294">
        <v>2</v>
      </c>
      <c r="K294" t="s">
        <v>14332</v>
      </c>
      <c r="L294" s="222">
        <v>9783548253459</v>
      </c>
      <c r="M294">
        <v>592</v>
      </c>
      <c r="O294" t="s">
        <v>3094</v>
      </c>
      <c r="P294">
        <v>325</v>
      </c>
      <c r="Q294">
        <v>1.87</v>
      </c>
    </row>
    <row r="295" spans="1:17" x14ac:dyDescent="0.25">
      <c r="A295">
        <v>1386</v>
      </c>
      <c r="B295" t="s">
        <v>3134</v>
      </c>
      <c r="C295" t="s">
        <v>3135</v>
      </c>
      <c r="D295" t="s">
        <v>3136</v>
      </c>
      <c r="F295">
        <v>2012</v>
      </c>
      <c r="H295" t="s">
        <v>2963</v>
      </c>
      <c r="I295">
        <v>2</v>
      </c>
      <c r="K295" t="s">
        <v>14332</v>
      </c>
      <c r="L295" s="222">
        <v>9783522302944</v>
      </c>
      <c r="M295">
        <v>274</v>
      </c>
      <c r="O295" t="s">
        <v>3095</v>
      </c>
      <c r="P295">
        <v>515</v>
      </c>
      <c r="Q295">
        <v>2.9</v>
      </c>
    </row>
    <row r="296" spans="1:17" x14ac:dyDescent="0.25">
      <c r="A296">
        <v>1386</v>
      </c>
      <c r="B296" t="s">
        <v>3138</v>
      </c>
      <c r="C296" t="s">
        <v>3139</v>
      </c>
      <c r="D296" t="s">
        <v>3140</v>
      </c>
      <c r="E296" t="s">
        <v>3141</v>
      </c>
      <c r="H296" t="s">
        <v>1878</v>
      </c>
      <c r="I296">
        <v>2</v>
      </c>
      <c r="K296" t="s">
        <v>14332</v>
      </c>
      <c r="L296" s="222">
        <v>9783941329867</v>
      </c>
      <c r="M296">
        <v>320</v>
      </c>
      <c r="O296" t="s">
        <v>3124</v>
      </c>
      <c r="P296">
        <v>282</v>
      </c>
      <c r="Q296">
        <v>3.26</v>
      </c>
    </row>
    <row r="297" spans="1:17" x14ac:dyDescent="0.25">
      <c r="A297">
        <v>1386</v>
      </c>
      <c r="B297" t="s">
        <v>3143</v>
      </c>
      <c r="C297" t="s">
        <v>3144</v>
      </c>
      <c r="D297" t="s">
        <v>2609</v>
      </c>
      <c r="E297" t="s">
        <v>3145</v>
      </c>
      <c r="F297">
        <v>2009</v>
      </c>
      <c r="H297" t="s">
        <v>1878</v>
      </c>
      <c r="I297">
        <v>2</v>
      </c>
      <c r="K297" t="s">
        <v>14332</v>
      </c>
      <c r="L297" s="222">
        <v>9783596510573</v>
      </c>
      <c r="M297">
        <v>416</v>
      </c>
      <c r="O297" t="s">
        <v>3125</v>
      </c>
      <c r="P297">
        <v>368</v>
      </c>
      <c r="Q297">
        <v>1.72</v>
      </c>
    </row>
    <row r="298" spans="1:17" x14ac:dyDescent="0.25">
      <c r="A298">
        <v>2571</v>
      </c>
      <c r="B298" t="s">
        <v>3147</v>
      </c>
      <c r="C298" t="s">
        <v>3148</v>
      </c>
      <c r="D298" t="s">
        <v>3149</v>
      </c>
      <c r="F298">
        <v>2012</v>
      </c>
      <c r="H298" t="s">
        <v>1878</v>
      </c>
      <c r="I298">
        <v>2</v>
      </c>
      <c r="K298" t="s">
        <v>14332</v>
      </c>
      <c r="L298" s="222">
        <v>9783956741357</v>
      </c>
      <c r="M298">
        <v>288</v>
      </c>
      <c r="O298" t="s">
        <v>3126</v>
      </c>
      <c r="P298">
        <v>169</v>
      </c>
      <c r="Q298">
        <v>1.87</v>
      </c>
    </row>
    <row r="299" spans="1:17" x14ac:dyDescent="0.25">
      <c r="A299">
        <v>689</v>
      </c>
      <c r="B299" t="s">
        <v>3151</v>
      </c>
      <c r="C299" t="s">
        <v>3152</v>
      </c>
      <c r="D299" t="s">
        <v>2209</v>
      </c>
      <c r="F299">
        <v>2002</v>
      </c>
      <c r="H299" t="s">
        <v>1878</v>
      </c>
      <c r="I299">
        <v>2</v>
      </c>
      <c r="K299" t="s">
        <v>14332</v>
      </c>
      <c r="L299" s="222">
        <v>9783453215122</v>
      </c>
      <c r="M299">
        <v>256</v>
      </c>
      <c r="O299" t="s">
        <v>3127</v>
      </c>
      <c r="P299">
        <v>205</v>
      </c>
      <c r="Q299">
        <v>2.19</v>
      </c>
    </row>
    <row r="300" spans="1:17" x14ac:dyDescent="0.25">
      <c r="A300">
        <v>632</v>
      </c>
      <c r="B300" t="s">
        <v>3154</v>
      </c>
      <c r="C300" t="s">
        <v>3155</v>
      </c>
      <c r="D300" t="s">
        <v>2209</v>
      </c>
      <c r="F300">
        <v>2005</v>
      </c>
      <c r="H300" t="s">
        <v>1878</v>
      </c>
      <c r="I300">
        <v>2</v>
      </c>
      <c r="J300" t="s">
        <v>2237</v>
      </c>
      <c r="K300" t="s">
        <v>14332</v>
      </c>
      <c r="L300" s="222">
        <v>9783453470132</v>
      </c>
      <c r="M300">
        <v>384</v>
      </c>
      <c r="O300" t="s">
        <v>3128</v>
      </c>
      <c r="P300">
        <v>361</v>
      </c>
      <c r="Q300">
        <v>1.97</v>
      </c>
    </row>
    <row r="301" spans="1:17" x14ac:dyDescent="0.25">
      <c r="A301">
        <v>689</v>
      </c>
      <c r="B301" t="s">
        <v>3157</v>
      </c>
      <c r="C301" t="s">
        <v>3158</v>
      </c>
      <c r="D301" t="s">
        <v>2209</v>
      </c>
      <c r="E301" t="s">
        <v>1921</v>
      </c>
      <c r="F301">
        <v>2007</v>
      </c>
      <c r="H301" t="s">
        <v>1878</v>
      </c>
      <c r="I301">
        <v>2</v>
      </c>
      <c r="J301" t="s">
        <v>3159</v>
      </c>
      <c r="K301" t="s">
        <v>14332</v>
      </c>
      <c r="L301" s="222">
        <v>9783453523104</v>
      </c>
      <c r="M301">
        <v>798</v>
      </c>
      <c r="O301" t="s">
        <v>3129</v>
      </c>
      <c r="P301">
        <v>642</v>
      </c>
      <c r="Q301">
        <v>2.4700000000000002</v>
      </c>
    </row>
    <row r="302" spans="1:17" x14ac:dyDescent="0.25">
      <c r="A302">
        <v>1809</v>
      </c>
      <c r="B302" t="s">
        <v>3161</v>
      </c>
      <c r="C302" t="s">
        <v>3162</v>
      </c>
      <c r="D302" t="s">
        <v>2300</v>
      </c>
      <c r="E302" t="s">
        <v>2175</v>
      </c>
      <c r="F302">
        <v>2005</v>
      </c>
      <c r="H302" t="s">
        <v>1878</v>
      </c>
      <c r="I302">
        <v>2</v>
      </c>
      <c r="K302" t="s">
        <v>14332</v>
      </c>
      <c r="L302" s="222">
        <v>9783499212550</v>
      </c>
      <c r="M302">
        <v>192</v>
      </c>
      <c r="O302" t="s">
        <v>3130</v>
      </c>
      <c r="P302">
        <v>221</v>
      </c>
      <c r="Q302">
        <v>1.72</v>
      </c>
    </row>
    <row r="303" spans="1:17" x14ac:dyDescent="0.25">
      <c r="A303">
        <v>689</v>
      </c>
      <c r="B303" t="s">
        <v>3164</v>
      </c>
      <c r="C303" t="s">
        <v>3165</v>
      </c>
      <c r="D303" t="s">
        <v>2209</v>
      </c>
      <c r="F303">
        <v>1996</v>
      </c>
      <c r="H303" t="s">
        <v>1878</v>
      </c>
      <c r="I303">
        <v>2</v>
      </c>
      <c r="K303" t="s">
        <v>14332</v>
      </c>
      <c r="L303" s="222">
        <v>9783453119314</v>
      </c>
      <c r="M303">
        <v>288</v>
      </c>
      <c r="O303" t="s">
        <v>3131</v>
      </c>
      <c r="P303">
        <v>193</v>
      </c>
      <c r="Q303">
        <v>1.87</v>
      </c>
    </row>
    <row r="304" spans="1:17" x14ac:dyDescent="0.25">
      <c r="A304">
        <v>632</v>
      </c>
      <c r="B304" t="s">
        <v>3167</v>
      </c>
      <c r="C304" t="s">
        <v>3168</v>
      </c>
      <c r="D304" t="s">
        <v>1199</v>
      </c>
      <c r="E304" t="s">
        <v>1877</v>
      </c>
      <c r="F304">
        <v>1997</v>
      </c>
      <c r="H304" t="s">
        <v>1878</v>
      </c>
      <c r="I304">
        <v>2</v>
      </c>
      <c r="K304" t="s">
        <v>14332</v>
      </c>
      <c r="L304" s="222">
        <v>9783203800233</v>
      </c>
      <c r="M304">
        <v>614</v>
      </c>
      <c r="O304" t="s">
        <v>3132</v>
      </c>
      <c r="P304">
        <v>834</v>
      </c>
      <c r="Q304">
        <v>2.2200000000000002</v>
      </c>
    </row>
    <row r="305" spans="1:17" x14ac:dyDescent="0.25">
      <c r="A305">
        <v>796</v>
      </c>
      <c r="B305" t="s">
        <v>3186</v>
      </c>
      <c r="C305" t="s">
        <v>3187</v>
      </c>
      <c r="D305" t="s">
        <v>2257</v>
      </c>
      <c r="E305" t="s">
        <v>1921</v>
      </c>
      <c r="F305">
        <v>2006</v>
      </c>
      <c r="H305" t="s">
        <v>1878</v>
      </c>
      <c r="I305">
        <v>2</v>
      </c>
      <c r="K305" t="s">
        <v>14332</v>
      </c>
      <c r="L305" s="222">
        <v>9783426632154</v>
      </c>
      <c r="M305">
        <v>544</v>
      </c>
      <c r="O305" t="s">
        <v>3133</v>
      </c>
      <c r="P305">
        <v>358</v>
      </c>
      <c r="Q305">
        <v>1.87</v>
      </c>
    </row>
    <row r="306" spans="1:17" x14ac:dyDescent="0.25">
      <c r="A306">
        <v>632</v>
      </c>
      <c r="B306" t="s">
        <v>3189</v>
      </c>
      <c r="C306" t="s">
        <v>3190</v>
      </c>
      <c r="D306" t="s">
        <v>2424</v>
      </c>
      <c r="E306" t="s">
        <v>1877</v>
      </c>
      <c r="F306">
        <v>2017</v>
      </c>
      <c r="H306" t="s">
        <v>1878</v>
      </c>
      <c r="I306">
        <v>1</v>
      </c>
      <c r="J306" t="s">
        <v>3191</v>
      </c>
      <c r="K306" t="s">
        <v>14332</v>
      </c>
      <c r="L306" s="222">
        <v>9783453359130</v>
      </c>
      <c r="M306">
        <v>432</v>
      </c>
      <c r="O306" t="s">
        <v>3170</v>
      </c>
      <c r="P306">
        <v>362</v>
      </c>
      <c r="Q306">
        <v>2.5099999999999998</v>
      </c>
    </row>
    <row r="307" spans="1:17" x14ac:dyDescent="0.25">
      <c r="A307">
        <v>631</v>
      </c>
      <c r="B307" t="s">
        <v>3197</v>
      </c>
      <c r="C307" t="s">
        <v>3198</v>
      </c>
      <c r="D307" t="s">
        <v>3199</v>
      </c>
      <c r="F307">
        <v>2005</v>
      </c>
      <c r="H307" t="s">
        <v>1878</v>
      </c>
      <c r="I307">
        <v>2</v>
      </c>
      <c r="K307" t="s">
        <v>14332</v>
      </c>
      <c r="L307" s="222">
        <v>9783453770195</v>
      </c>
      <c r="M307">
        <v>336</v>
      </c>
      <c r="O307" t="s">
        <v>3172</v>
      </c>
      <c r="P307">
        <v>228</v>
      </c>
      <c r="Q307">
        <v>5.72</v>
      </c>
    </row>
    <row r="308" spans="1:17" x14ac:dyDescent="0.25">
      <c r="A308">
        <v>767</v>
      </c>
      <c r="B308" t="s">
        <v>4807</v>
      </c>
      <c r="C308" t="s">
        <v>3084</v>
      </c>
      <c r="D308" t="s">
        <v>2309</v>
      </c>
      <c r="E308" t="s">
        <v>2375</v>
      </c>
      <c r="F308">
        <v>2000</v>
      </c>
      <c r="H308" t="s">
        <v>1878</v>
      </c>
      <c r="I308">
        <v>2</v>
      </c>
      <c r="J308" t="s">
        <v>3202</v>
      </c>
      <c r="K308" t="s">
        <v>14332</v>
      </c>
      <c r="L308" s="222">
        <v>9783548359120</v>
      </c>
      <c r="M308">
        <v>284</v>
      </c>
      <c r="O308" t="s">
        <v>3173</v>
      </c>
      <c r="P308">
        <v>244</v>
      </c>
      <c r="Q308">
        <v>1.72</v>
      </c>
    </row>
    <row r="309" spans="1:17" x14ac:dyDescent="0.25">
      <c r="A309">
        <v>1809</v>
      </c>
      <c r="B309" t="s">
        <v>2820</v>
      </c>
      <c r="C309" t="s">
        <v>3204</v>
      </c>
      <c r="D309" t="s">
        <v>2822</v>
      </c>
      <c r="F309">
        <v>1999</v>
      </c>
      <c r="H309" t="s">
        <v>1878</v>
      </c>
      <c r="I309">
        <v>2</v>
      </c>
      <c r="J309" t="s">
        <v>3006</v>
      </c>
      <c r="K309" t="s">
        <v>14332</v>
      </c>
      <c r="L309" s="222">
        <v>9783522172653</v>
      </c>
      <c r="M309">
        <v>192</v>
      </c>
      <c r="O309" t="s">
        <v>3174</v>
      </c>
      <c r="P309">
        <v>285</v>
      </c>
      <c r="Q309">
        <v>1.72</v>
      </c>
    </row>
    <row r="310" spans="1:17" x14ac:dyDescent="0.25">
      <c r="A310">
        <v>2522</v>
      </c>
      <c r="B310" t="s">
        <v>3206</v>
      </c>
      <c r="C310" t="s">
        <v>3207</v>
      </c>
      <c r="D310" t="s">
        <v>3208</v>
      </c>
      <c r="E310" t="s">
        <v>1877</v>
      </c>
      <c r="F310">
        <v>2010</v>
      </c>
      <c r="H310" t="s">
        <v>2963</v>
      </c>
      <c r="I310">
        <v>1</v>
      </c>
      <c r="K310" t="s">
        <v>14332</v>
      </c>
      <c r="L310" s="222">
        <v>9783862200030</v>
      </c>
      <c r="M310">
        <v>290</v>
      </c>
      <c r="O310" t="s">
        <v>3175</v>
      </c>
      <c r="P310">
        <v>405</v>
      </c>
      <c r="Q310">
        <v>4.1100000000000003</v>
      </c>
    </row>
    <row r="311" spans="1:17" x14ac:dyDescent="0.25">
      <c r="A311">
        <v>1304</v>
      </c>
      <c r="B311" t="s">
        <v>3210</v>
      </c>
      <c r="C311" t="s">
        <v>3211</v>
      </c>
      <c r="D311" t="s">
        <v>3212</v>
      </c>
      <c r="F311">
        <v>2009</v>
      </c>
      <c r="H311" t="s">
        <v>2963</v>
      </c>
      <c r="I311">
        <v>1</v>
      </c>
      <c r="J311" t="s">
        <v>3213</v>
      </c>
      <c r="K311" t="s">
        <v>14332</v>
      </c>
      <c r="L311" s="222">
        <v>9783629014498</v>
      </c>
      <c r="M311">
        <v>210</v>
      </c>
      <c r="O311" t="s">
        <v>3176</v>
      </c>
      <c r="P311">
        <v>477</v>
      </c>
      <c r="Q311">
        <v>3.69</v>
      </c>
    </row>
    <row r="312" spans="1:17" x14ac:dyDescent="0.25">
      <c r="A312">
        <v>796</v>
      </c>
      <c r="B312" t="s">
        <v>3215</v>
      </c>
      <c r="C312" t="s">
        <v>3216</v>
      </c>
      <c r="D312" t="s">
        <v>3010</v>
      </c>
      <c r="F312">
        <v>2008</v>
      </c>
      <c r="H312" t="s">
        <v>1878</v>
      </c>
      <c r="I312">
        <v>2</v>
      </c>
      <c r="K312" t="s">
        <v>14332</v>
      </c>
      <c r="L312" s="222">
        <v>9783404922949</v>
      </c>
      <c r="M312">
        <v>448</v>
      </c>
      <c r="O312" t="s">
        <v>3177</v>
      </c>
      <c r="P312">
        <v>378</v>
      </c>
      <c r="Q312">
        <v>3.04</v>
      </c>
    </row>
    <row r="313" spans="1:17" x14ac:dyDescent="0.25">
      <c r="A313">
        <v>692</v>
      </c>
      <c r="B313" t="s">
        <v>3218</v>
      </c>
      <c r="C313" t="s">
        <v>3219</v>
      </c>
      <c r="D313" t="s">
        <v>2419</v>
      </c>
      <c r="F313">
        <v>1997</v>
      </c>
      <c r="H313" t="s">
        <v>1878</v>
      </c>
      <c r="I313">
        <v>2</v>
      </c>
      <c r="K313" t="s">
        <v>14332</v>
      </c>
      <c r="L313" s="222">
        <v>9783612273222</v>
      </c>
      <c r="M313">
        <v>504</v>
      </c>
      <c r="O313" t="s">
        <v>3178</v>
      </c>
      <c r="P313">
        <v>339</v>
      </c>
      <c r="Q313">
        <v>1.97</v>
      </c>
    </row>
    <row r="314" spans="1:17" x14ac:dyDescent="0.25">
      <c r="A314">
        <v>2663</v>
      </c>
      <c r="C314" t="s">
        <v>3222</v>
      </c>
      <c r="D314" t="s">
        <v>3223</v>
      </c>
      <c r="F314">
        <v>1984</v>
      </c>
      <c r="H314" t="s">
        <v>2963</v>
      </c>
      <c r="I314">
        <v>2</v>
      </c>
      <c r="K314" t="s">
        <v>14332</v>
      </c>
      <c r="O314" t="s">
        <v>3180</v>
      </c>
      <c r="P314">
        <v>955</v>
      </c>
      <c r="Q314">
        <v>2.2200000000000002</v>
      </c>
    </row>
    <row r="315" spans="1:17" x14ac:dyDescent="0.25">
      <c r="A315">
        <v>632</v>
      </c>
      <c r="B315" t="s">
        <v>3224</v>
      </c>
      <c r="C315" t="s">
        <v>14469</v>
      </c>
      <c r="D315" t="s">
        <v>2054</v>
      </c>
      <c r="F315">
        <v>1994</v>
      </c>
      <c r="H315" t="s">
        <v>2963</v>
      </c>
      <c r="I315">
        <v>2</v>
      </c>
      <c r="K315" t="s">
        <v>14332</v>
      </c>
      <c r="L315" s="222">
        <v>9783893509300</v>
      </c>
      <c r="M315">
        <v>690</v>
      </c>
      <c r="O315" t="s">
        <v>3181</v>
      </c>
      <c r="P315">
        <v>753</v>
      </c>
      <c r="Q315">
        <v>3.12</v>
      </c>
    </row>
    <row r="316" spans="1:17" x14ac:dyDescent="0.25">
      <c r="A316">
        <v>689</v>
      </c>
      <c r="B316" t="s">
        <v>3227</v>
      </c>
      <c r="C316" t="s">
        <v>3228</v>
      </c>
      <c r="D316" t="s">
        <v>3229</v>
      </c>
      <c r="F316">
        <v>2005</v>
      </c>
      <c r="H316" t="s">
        <v>2963</v>
      </c>
      <c r="I316">
        <v>2</v>
      </c>
      <c r="J316" t="s">
        <v>3202</v>
      </c>
      <c r="K316" t="s">
        <v>14332</v>
      </c>
      <c r="L316" s="222">
        <v>9783794180356</v>
      </c>
      <c r="M316">
        <v>282</v>
      </c>
      <c r="O316" t="s">
        <v>3182</v>
      </c>
      <c r="P316">
        <v>605</v>
      </c>
      <c r="Q316">
        <v>2.4700000000000002</v>
      </c>
    </row>
    <row r="317" spans="1:17" x14ac:dyDescent="0.25">
      <c r="A317">
        <v>1720</v>
      </c>
      <c r="B317" t="s">
        <v>2467</v>
      </c>
      <c r="C317" t="s">
        <v>3231</v>
      </c>
      <c r="D317" t="s">
        <v>2054</v>
      </c>
      <c r="F317">
        <v>2007</v>
      </c>
      <c r="H317" t="s">
        <v>1878</v>
      </c>
      <c r="I317">
        <v>2</v>
      </c>
      <c r="K317" t="s">
        <v>14332</v>
      </c>
      <c r="L317" s="222">
        <v>9783898977678</v>
      </c>
      <c r="M317">
        <v>416</v>
      </c>
      <c r="O317" t="s">
        <v>3183</v>
      </c>
      <c r="P317">
        <v>414</v>
      </c>
      <c r="Q317">
        <v>1.72</v>
      </c>
    </row>
    <row r="318" spans="1:17" x14ac:dyDescent="0.25">
      <c r="A318">
        <v>632</v>
      </c>
      <c r="B318" t="s">
        <v>3233</v>
      </c>
      <c r="C318" t="s">
        <v>3234</v>
      </c>
      <c r="D318" t="s">
        <v>2257</v>
      </c>
      <c r="F318">
        <v>2011</v>
      </c>
      <c r="H318" t="s">
        <v>1878</v>
      </c>
      <c r="I318">
        <v>2</v>
      </c>
      <c r="J318" t="s">
        <v>3202</v>
      </c>
      <c r="K318" t="s">
        <v>14332</v>
      </c>
      <c r="L318" s="222">
        <v>9783426635223</v>
      </c>
      <c r="M318">
        <v>800</v>
      </c>
      <c r="O318" t="s">
        <v>3184</v>
      </c>
      <c r="P318">
        <v>584</v>
      </c>
      <c r="Q318">
        <v>2.2200000000000002</v>
      </c>
    </row>
    <row r="319" spans="1:17" x14ac:dyDescent="0.25">
      <c r="A319">
        <v>1809</v>
      </c>
      <c r="C319" t="s">
        <v>3239</v>
      </c>
      <c r="D319" t="s">
        <v>2822</v>
      </c>
      <c r="F319">
        <v>2006</v>
      </c>
      <c r="H319" t="s">
        <v>2314</v>
      </c>
      <c r="I319">
        <v>1</v>
      </c>
      <c r="K319" t="s">
        <v>14332</v>
      </c>
      <c r="L319" s="222">
        <v>9783522178020</v>
      </c>
      <c r="M319">
        <v>352</v>
      </c>
      <c r="O319" t="s">
        <v>3185</v>
      </c>
      <c r="P319">
        <v>443</v>
      </c>
      <c r="Q319">
        <v>1.87</v>
      </c>
    </row>
    <row r="320" spans="1:17" x14ac:dyDescent="0.25">
      <c r="A320">
        <v>632</v>
      </c>
      <c r="B320" t="s">
        <v>3241</v>
      </c>
      <c r="C320" t="s">
        <v>3242</v>
      </c>
      <c r="D320" t="s">
        <v>3010</v>
      </c>
      <c r="E320" t="s">
        <v>1913</v>
      </c>
      <c r="F320">
        <v>2004</v>
      </c>
      <c r="H320" t="s">
        <v>1878</v>
      </c>
      <c r="I320">
        <v>2</v>
      </c>
      <c r="J320" t="s">
        <v>3006</v>
      </c>
      <c r="K320" t="s">
        <v>14332</v>
      </c>
      <c r="L320" s="222">
        <v>9783404921577</v>
      </c>
      <c r="M320">
        <v>720</v>
      </c>
      <c r="O320" t="s">
        <v>3236</v>
      </c>
      <c r="P320">
        <v>602</v>
      </c>
      <c r="Q320">
        <v>2.2599999999999998</v>
      </c>
    </row>
    <row r="321" spans="1:17" x14ac:dyDescent="0.25">
      <c r="A321">
        <v>632</v>
      </c>
      <c r="B321" t="s">
        <v>3248</v>
      </c>
      <c r="C321" t="s">
        <v>3249</v>
      </c>
      <c r="D321" t="s">
        <v>2054</v>
      </c>
      <c r="F321">
        <v>2008</v>
      </c>
      <c r="H321" t="s">
        <v>1878</v>
      </c>
      <c r="I321">
        <v>2</v>
      </c>
      <c r="J321" t="s">
        <v>3006</v>
      </c>
      <c r="K321" t="s">
        <v>14332</v>
      </c>
      <c r="L321" s="222">
        <v>9783828986251</v>
      </c>
      <c r="M321">
        <v>1008</v>
      </c>
      <c r="O321" t="s">
        <v>3238</v>
      </c>
      <c r="P321">
        <v>710</v>
      </c>
      <c r="Q321">
        <v>2.2200000000000002</v>
      </c>
    </row>
    <row r="322" spans="1:17" x14ac:dyDescent="0.25">
      <c r="A322">
        <v>2571</v>
      </c>
      <c r="B322" t="s">
        <v>3256</v>
      </c>
      <c r="C322" t="s">
        <v>3257</v>
      </c>
      <c r="D322" t="s">
        <v>2036</v>
      </c>
      <c r="E322" t="s">
        <v>2094</v>
      </c>
      <c r="F322">
        <v>1999</v>
      </c>
      <c r="H322" t="s">
        <v>2963</v>
      </c>
      <c r="I322">
        <v>2</v>
      </c>
      <c r="J322" t="s">
        <v>2237</v>
      </c>
      <c r="K322" t="s">
        <v>14332</v>
      </c>
      <c r="L322" s="222">
        <v>9783828966611</v>
      </c>
      <c r="M322">
        <v>338</v>
      </c>
      <c r="O322" t="s">
        <v>3251</v>
      </c>
      <c r="P322">
        <v>399</v>
      </c>
      <c r="Q322">
        <v>1.87</v>
      </c>
    </row>
    <row r="323" spans="1:17" x14ac:dyDescent="0.25">
      <c r="A323">
        <v>701</v>
      </c>
      <c r="B323" t="s">
        <v>14470</v>
      </c>
      <c r="C323" t="s">
        <v>3260</v>
      </c>
      <c r="D323" t="s">
        <v>1979</v>
      </c>
      <c r="F323">
        <v>2004</v>
      </c>
      <c r="H323" t="s">
        <v>1878</v>
      </c>
      <c r="I323">
        <v>2</v>
      </c>
      <c r="K323" t="s">
        <v>14332</v>
      </c>
      <c r="L323" s="222">
        <v>9783473582013</v>
      </c>
      <c r="M323">
        <v>256</v>
      </c>
      <c r="O323" t="s">
        <v>3252</v>
      </c>
      <c r="P323">
        <v>239</v>
      </c>
      <c r="Q323">
        <v>1.87</v>
      </c>
    </row>
    <row r="324" spans="1:17" x14ac:dyDescent="0.25">
      <c r="A324">
        <v>1386</v>
      </c>
      <c r="B324" t="s">
        <v>3262</v>
      </c>
      <c r="C324" t="s">
        <v>3263</v>
      </c>
      <c r="D324" t="s">
        <v>2609</v>
      </c>
      <c r="E324" t="s">
        <v>2157</v>
      </c>
      <c r="F324">
        <v>2007</v>
      </c>
      <c r="H324" t="s">
        <v>1878</v>
      </c>
      <c r="I324">
        <v>2</v>
      </c>
      <c r="J324" t="s">
        <v>2237</v>
      </c>
      <c r="K324" t="s">
        <v>14332</v>
      </c>
      <c r="L324" s="222">
        <v>9783596173037</v>
      </c>
      <c r="M324">
        <v>560</v>
      </c>
      <c r="O324" t="s">
        <v>3253</v>
      </c>
      <c r="P324">
        <v>413</v>
      </c>
      <c r="Q324">
        <v>1.72</v>
      </c>
    </row>
    <row r="325" spans="1:17" x14ac:dyDescent="0.25">
      <c r="A325">
        <v>2522</v>
      </c>
      <c r="B325" t="s">
        <v>3265</v>
      </c>
      <c r="C325" t="s">
        <v>3266</v>
      </c>
      <c r="D325" t="s">
        <v>1920</v>
      </c>
      <c r="E325" t="s">
        <v>1913</v>
      </c>
      <c r="F325">
        <v>2004</v>
      </c>
      <c r="H325" t="s">
        <v>1878</v>
      </c>
      <c r="I325">
        <v>2</v>
      </c>
      <c r="J325" t="s">
        <v>3006</v>
      </c>
      <c r="K325" t="s">
        <v>14332</v>
      </c>
      <c r="L325" s="222">
        <v>9783404151752</v>
      </c>
      <c r="M325">
        <v>480</v>
      </c>
      <c r="O325" t="s">
        <v>3254</v>
      </c>
      <c r="P325">
        <v>415</v>
      </c>
      <c r="Q325">
        <v>1.76</v>
      </c>
    </row>
    <row r="326" spans="1:17" x14ac:dyDescent="0.25">
      <c r="A326">
        <v>1809</v>
      </c>
      <c r="B326" t="s">
        <v>3305</v>
      </c>
      <c r="C326" t="s">
        <v>3306</v>
      </c>
      <c r="D326" t="s">
        <v>2822</v>
      </c>
      <c r="F326">
        <v>2005</v>
      </c>
      <c r="H326" t="s">
        <v>2314</v>
      </c>
      <c r="I326">
        <v>2</v>
      </c>
      <c r="J326" t="s">
        <v>3303</v>
      </c>
      <c r="K326" t="s">
        <v>14332</v>
      </c>
      <c r="L326" s="222">
        <v>9783522177252</v>
      </c>
      <c r="M326">
        <v>160</v>
      </c>
      <c r="O326" t="s">
        <v>3271</v>
      </c>
      <c r="P326">
        <v>237</v>
      </c>
      <c r="Q326">
        <v>1.87</v>
      </c>
    </row>
    <row r="327" spans="1:17" x14ac:dyDescent="0.25">
      <c r="A327">
        <v>632</v>
      </c>
      <c r="B327" t="s">
        <v>3308</v>
      </c>
      <c r="C327" t="s">
        <v>3309</v>
      </c>
      <c r="D327" t="s">
        <v>2609</v>
      </c>
      <c r="F327">
        <v>1997</v>
      </c>
      <c r="H327" t="s">
        <v>1878</v>
      </c>
      <c r="I327">
        <v>2</v>
      </c>
      <c r="J327" t="s">
        <v>2237</v>
      </c>
      <c r="K327" t="s">
        <v>14332</v>
      </c>
      <c r="L327" s="222">
        <v>9783596135950</v>
      </c>
      <c r="M327">
        <v>462</v>
      </c>
      <c r="O327" t="s">
        <v>3272</v>
      </c>
      <c r="P327">
        <v>381</v>
      </c>
      <c r="Q327">
        <v>1.87</v>
      </c>
    </row>
    <row r="328" spans="1:17" x14ac:dyDescent="0.25">
      <c r="A328">
        <v>1809</v>
      </c>
      <c r="B328" t="s">
        <v>2414</v>
      </c>
      <c r="C328" t="s">
        <v>3311</v>
      </c>
      <c r="D328" t="s">
        <v>3312</v>
      </c>
      <c r="F328">
        <v>2002</v>
      </c>
      <c r="H328" t="s">
        <v>2963</v>
      </c>
      <c r="I328">
        <v>2</v>
      </c>
      <c r="J328" t="s">
        <v>3303</v>
      </c>
      <c r="K328" t="s">
        <v>14332</v>
      </c>
      <c r="L328" s="222">
        <v>9783791519609</v>
      </c>
      <c r="M328">
        <v>210</v>
      </c>
      <c r="O328" t="s">
        <v>3273</v>
      </c>
      <c r="P328">
        <v>315</v>
      </c>
      <c r="Q328">
        <v>2.4</v>
      </c>
    </row>
    <row r="329" spans="1:17" x14ac:dyDescent="0.25">
      <c r="A329">
        <v>2522</v>
      </c>
      <c r="B329" t="s">
        <v>2242</v>
      </c>
      <c r="C329" t="s">
        <v>3314</v>
      </c>
      <c r="D329" t="s">
        <v>2609</v>
      </c>
      <c r="E329" t="s">
        <v>3053</v>
      </c>
      <c r="F329">
        <v>2006</v>
      </c>
      <c r="H329" t="s">
        <v>1878</v>
      </c>
      <c r="I329">
        <v>2</v>
      </c>
      <c r="J329" t="s">
        <v>3303</v>
      </c>
      <c r="K329" t="s">
        <v>14332</v>
      </c>
      <c r="L329" s="222">
        <v>9783596120321</v>
      </c>
      <c r="M329">
        <v>240</v>
      </c>
      <c r="O329" t="s">
        <v>3274</v>
      </c>
      <c r="P329">
        <v>215</v>
      </c>
      <c r="Q329">
        <v>1.72</v>
      </c>
    </row>
    <row r="330" spans="1:17" x14ac:dyDescent="0.25">
      <c r="A330">
        <v>1315</v>
      </c>
      <c r="B330" t="s">
        <v>3316</v>
      </c>
      <c r="C330" t="s">
        <v>3317</v>
      </c>
      <c r="D330" t="s">
        <v>2257</v>
      </c>
      <c r="F330">
        <v>2006</v>
      </c>
      <c r="H330" t="s">
        <v>1878</v>
      </c>
      <c r="I330">
        <v>2</v>
      </c>
      <c r="J330" t="e" cm="1">
        <f t="array" ref="J330">- MÄNGELEXEMPLAR - sonst sehr guter Zustand</f>
        <v>#NAME?</v>
      </c>
      <c r="K330" t="s">
        <v>14332</v>
      </c>
      <c r="L330" s="222">
        <v>9783426632987</v>
      </c>
      <c r="M330">
        <v>320</v>
      </c>
      <c r="O330" t="s">
        <v>3275</v>
      </c>
      <c r="P330">
        <v>246</v>
      </c>
      <c r="Q330">
        <v>2.2999999999999998</v>
      </c>
    </row>
    <row r="331" spans="1:17" x14ac:dyDescent="0.25">
      <c r="A331">
        <v>796</v>
      </c>
      <c r="B331" t="s">
        <v>3320</v>
      </c>
      <c r="C331" t="s">
        <v>3321</v>
      </c>
      <c r="D331" t="s">
        <v>2209</v>
      </c>
      <c r="E331" t="s">
        <v>1877</v>
      </c>
      <c r="F331">
        <v>2011</v>
      </c>
      <c r="H331" t="s">
        <v>1878</v>
      </c>
      <c r="I331">
        <v>2</v>
      </c>
      <c r="J331" t="s">
        <v>3303</v>
      </c>
      <c r="K331" t="s">
        <v>14332</v>
      </c>
      <c r="L331" s="222">
        <v>9783453811843</v>
      </c>
      <c r="M331">
        <v>544</v>
      </c>
      <c r="O331" t="s">
        <v>3276</v>
      </c>
      <c r="P331">
        <v>443</v>
      </c>
      <c r="Q331">
        <v>1.72</v>
      </c>
    </row>
    <row r="332" spans="1:17" x14ac:dyDescent="0.25">
      <c r="A332">
        <v>690</v>
      </c>
      <c r="B332" t="s">
        <v>3323</v>
      </c>
      <c r="C332" t="s">
        <v>3324</v>
      </c>
      <c r="D332" t="s">
        <v>2530</v>
      </c>
      <c r="F332">
        <v>2003</v>
      </c>
      <c r="H332" t="s">
        <v>2963</v>
      </c>
      <c r="I332">
        <v>2</v>
      </c>
      <c r="J332" t="s">
        <v>2237</v>
      </c>
      <c r="K332" t="s">
        <v>14332</v>
      </c>
      <c r="L332" s="222">
        <v>9783789140129</v>
      </c>
      <c r="M332">
        <v>162</v>
      </c>
      <c r="O332" t="s">
        <v>3277</v>
      </c>
      <c r="P332">
        <v>293</v>
      </c>
      <c r="Q332">
        <v>2.2999999999999998</v>
      </c>
    </row>
    <row r="333" spans="1:17" x14ac:dyDescent="0.25">
      <c r="A333">
        <v>632</v>
      </c>
      <c r="B333" t="s">
        <v>3326</v>
      </c>
      <c r="C333" t="s">
        <v>3327</v>
      </c>
      <c r="D333" t="s">
        <v>2209</v>
      </c>
      <c r="E333" t="s">
        <v>2032</v>
      </c>
      <c r="F333">
        <v>1988</v>
      </c>
      <c r="H333" t="s">
        <v>1878</v>
      </c>
      <c r="I333">
        <v>2</v>
      </c>
      <c r="J333" t="s">
        <v>3328</v>
      </c>
      <c r="K333" t="s">
        <v>14332</v>
      </c>
      <c r="L333" s="222">
        <v>9783453002944</v>
      </c>
      <c r="M333">
        <v>384</v>
      </c>
      <c r="O333" t="s">
        <v>3278</v>
      </c>
      <c r="P333">
        <v>208</v>
      </c>
      <c r="Q333">
        <v>1.87</v>
      </c>
    </row>
    <row r="334" spans="1:17" x14ac:dyDescent="0.25">
      <c r="A334">
        <v>796</v>
      </c>
      <c r="B334" t="s">
        <v>3330</v>
      </c>
      <c r="C334" t="s">
        <v>3331</v>
      </c>
      <c r="D334" t="s">
        <v>3332</v>
      </c>
      <c r="H334" t="s">
        <v>2963</v>
      </c>
      <c r="I334">
        <v>2</v>
      </c>
      <c r="J334" t="s">
        <v>2237</v>
      </c>
      <c r="K334" t="s">
        <v>14332</v>
      </c>
      <c r="L334" s="222">
        <v>9783625203384</v>
      </c>
      <c r="M334">
        <v>290</v>
      </c>
      <c r="O334" t="s">
        <v>3279</v>
      </c>
      <c r="P334">
        <v>424</v>
      </c>
      <c r="Q334">
        <v>1.93</v>
      </c>
    </row>
    <row r="335" spans="1:17" x14ac:dyDescent="0.25">
      <c r="A335">
        <v>2952</v>
      </c>
      <c r="B335" t="s">
        <v>3334</v>
      </c>
      <c r="C335" t="s">
        <v>3335</v>
      </c>
      <c r="D335" t="s">
        <v>2209</v>
      </c>
      <c r="F335">
        <v>2000</v>
      </c>
      <c r="H335" t="s">
        <v>1878</v>
      </c>
      <c r="I335">
        <v>2</v>
      </c>
      <c r="J335" t="s">
        <v>3336</v>
      </c>
      <c r="K335" t="s">
        <v>14332</v>
      </c>
      <c r="L335" s="222">
        <v>9783453171572</v>
      </c>
      <c r="M335">
        <v>400</v>
      </c>
      <c r="O335" t="s">
        <v>3280</v>
      </c>
      <c r="P335">
        <v>352</v>
      </c>
      <c r="Q335">
        <v>1.72</v>
      </c>
    </row>
    <row r="336" spans="1:17" x14ac:dyDescent="0.25">
      <c r="A336">
        <v>1304</v>
      </c>
      <c r="B336" t="s">
        <v>3338</v>
      </c>
      <c r="C336" t="s">
        <v>3339</v>
      </c>
      <c r="D336" t="s">
        <v>3116</v>
      </c>
      <c r="E336" t="s">
        <v>1877</v>
      </c>
      <c r="F336">
        <v>1996</v>
      </c>
      <c r="H336" t="s">
        <v>2963</v>
      </c>
      <c r="I336">
        <v>2</v>
      </c>
      <c r="J336" t="s">
        <v>2237</v>
      </c>
      <c r="K336" t="s">
        <v>14332</v>
      </c>
      <c r="L336" s="222">
        <v>9783401045764</v>
      </c>
      <c r="M336">
        <v>122</v>
      </c>
      <c r="O336" t="s">
        <v>3281</v>
      </c>
      <c r="P336">
        <v>239</v>
      </c>
      <c r="Q336">
        <v>2.19</v>
      </c>
    </row>
    <row r="337" spans="1:17" x14ac:dyDescent="0.25">
      <c r="A337">
        <v>1315</v>
      </c>
      <c r="B337" t="s">
        <v>2784</v>
      </c>
      <c r="C337" t="s">
        <v>3341</v>
      </c>
      <c r="D337" t="s">
        <v>3342</v>
      </c>
      <c r="E337" t="s">
        <v>1899</v>
      </c>
      <c r="F337">
        <v>1999</v>
      </c>
      <c r="H337" t="s">
        <v>2963</v>
      </c>
      <c r="I337">
        <v>2</v>
      </c>
      <c r="J337" t="s">
        <v>3303</v>
      </c>
      <c r="K337" t="s">
        <v>14332</v>
      </c>
      <c r="L337" s="222">
        <v>9783357007540</v>
      </c>
      <c r="M337">
        <v>226</v>
      </c>
      <c r="O337" t="s">
        <v>3282</v>
      </c>
      <c r="P337">
        <v>415</v>
      </c>
      <c r="Q337">
        <v>2.2999999999999998</v>
      </c>
    </row>
    <row r="338" spans="1:17" x14ac:dyDescent="0.25">
      <c r="A338">
        <v>1315</v>
      </c>
      <c r="B338" t="s">
        <v>3344</v>
      </c>
      <c r="C338" t="s">
        <v>3345</v>
      </c>
      <c r="D338" t="s">
        <v>3116</v>
      </c>
      <c r="E338" t="s">
        <v>1913</v>
      </c>
      <c r="F338">
        <v>2000</v>
      </c>
      <c r="H338" t="s">
        <v>2314</v>
      </c>
      <c r="I338">
        <v>2</v>
      </c>
      <c r="K338" t="s">
        <v>14332</v>
      </c>
      <c r="L338" s="222">
        <v>9783401051185</v>
      </c>
      <c r="M338">
        <v>192</v>
      </c>
      <c r="O338" t="s">
        <v>3283</v>
      </c>
      <c r="P338">
        <v>304</v>
      </c>
      <c r="Q338">
        <v>2.5099999999999998</v>
      </c>
    </row>
    <row r="339" spans="1:17" x14ac:dyDescent="0.25">
      <c r="A339">
        <v>1395</v>
      </c>
      <c r="B339" t="s">
        <v>3347</v>
      </c>
      <c r="C339" t="s">
        <v>3348</v>
      </c>
      <c r="D339" t="s">
        <v>2300</v>
      </c>
      <c r="E339" t="s">
        <v>1899</v>
      </c>
      <c r="F339">
        <v>2009</v>
      </c>
      <c r="H339" t="s">
        <v>1878</v>
      </c>
      <c r="I339">
        <v>2</v>
      </c>
      <c r="J339" t="s">
        <v>2237</v>
      </c>
      <c r="K339" t="s">
        <v>14332</v>
      </c>
      <c r="L339" s="222">
        <v>9783499248115</v>
      </c>
      <c r="M339">
        <v>304</v>
      </c>
      <c r="O339" t="s">
        <v>3284</v>
      </c>
      <c r="P339">
        <v>251</v>
      </c>
      <c r="Q339">
        <v>1.72</v>
      </c>
    </row>
    <row r="340" spans="1:17" x14ac:dyDescent="0.25">
      <c r="A340">
        <v>1809</v>
      </c>
      <c r="B340" t="s">
        <v>3350</v>
      </c>
      <c r="C340" t="s">
        <v>3351</v>
      </c>
      <c r="D340" t="s">
        <v>3116</v>
      </c>
      <c r="E340" t="s">
        <v>1913</v>
      </c>
      <c r="F340">
        <v>2005</v>
      </c>
      <c r="H340" t="s">
        <v>2963</v>
      </c>
      <c r="I340">
        <v>1</v>
      </c>
      <c r="K340" t="s">
        <v>14332</v>
      </c>
      <c r="L340" s="222">
        <v>9783401058047</v>
      </c>
      <c r="M340">
        <v>154</v>
      </c>
      <c r="O340" t="s">
        <v>3285</v>
      </c>
      <c r="P340">
        <v>273</v>
      </c>
      <c r="Q340">
        <v>2.08</v>
      </c>
    </row>
    <row r="341" spans="1:17" x14ac:dyDescent="0.25">
      <c r="A341">
        <v>1386</v>
      </c>
      <c r="B341" t="s">
        <v>3353</v>
      </c>
      <c r="C341" t="s">
        <v>3354</v>
      </c>
      <c r="D341" t="s">
        <v>2257</v>
      </c>
      <c r="F341">
        <v>2007</v>
      </c>
      <c r="H341" t="s">
        <v>1878</v>
      </c>
      <c r="I341">
        <v>2</v>
      </c>
      <c r="J341" t="s">
        <v>3303</v>
      </c>
      <c r="K341" t="s">
        <v>14332</v>
      </c>
      <c r="L341" s="222">
        <v>9783426636589</v>
      </c>
      <c r="M341">
        <v>384</v>
      </c>
      <c r="O341" t="s">
        <v>3286</v>
      </c>
      <c r="P341">
        <v>343</v>
      </c>
      <c r="Q341">
        <v>1.82</v>
      </c>
    </row>
    <row r="342" spans="1:17" x14ac:dyDescent="0.25">
      <c r="A342">
        <v>2522</v>
      </c>
      <c r="B342" t="s">
        <v>3356</v>
      </c>
      <c r="C342" t="s">
        <v>3357</v>
      </c>
      <c r="D342" t="s">
        <v>2054</v>
      </c>
      <c r="F342">
        <v>2009</v>
      </c>
      <c r="H342" t="s">
        <v>1878</v>
      </c>
      <c r="I342">
        <v>1</v>
      </c>
      <c r="K342" t="s">
        <v>14332</v>
      </c>
      <c r="L342" s="222">
        <v>9783863655969</v>
      </c>
      <c r="M342">
        <v>432</v>
      </c>
      <c r="O342" t="s">
        <v>3287</v>
      </c>
      <c r="P342">
        <v>426</v>
      </c>
      <c r="Q342">
        <v>2.4</v>
      </c>
    </row>
    <row r="343" spans="1:17" x14ac:dyDescent="0.25">
      <c r="A343">
        <v>1386</v>
      </c>
      <c r="B343" t="s">
        <v>2242</v>
      </c>
      <c r="C343" t="s">
        <v>3359</v>
      </c>
      <c r="D343" t="s">
        <v>2609</v>
      </c>
      <c r="E343" t="s">
        <v>3360</v>
      </c>
      <c r="F343">
        <v>1995</v>
      </c>
      <c r="H343" t="s">
        <v>1878</v>
      </c>
      <c r="I343">
        <v>2</v>
      </c>
      <c r="J343" t="s">
        <v>3303</v>
      </c>
      <c r="K343" t="s">
        <v>14332</v>
      </c>
      <c r="L343" s="222">
        <v>9783596108978</v>
      </c>
      <c r="M343">
        <v>768</v>
      </c>
      <c r="O343" t="s">
        <v>3288</v>
      </c>
      <c r="P343">
        <v>482</v>
      </c>
      <c r="Q343">
        <v>1.72</v>
      </c>
    </row>
    <row r="344" spans="1:17" x14ac:dyDescent="0.25">
      <c r="A344">
        <v>2514</v>
      </c>
      <c r="B344" t="s">
        <v>3362</v>
      </c>
      <c r="C344" t="s">
        <v>3363</v>
      </c>
      <c r="D344" t="s">
        <v>3364</v>
      </c>
      <c r="F344">
        <v>1998</v>
      </c>
      <c r="H344" t="s">
        <v>2963</v>
      </c>
      <c r="I344">
        <v>1</v>
      </c>
      <c r="K344" t="s">
        <v>14332</v>
      </c>
      <c r="L344" s="222">
        <v>9783885423331</v>
      </c>
      <c r="M344">
        <v>50</v>
      </c>
      <c r="O344" t="s">
        <v>3289</v>
      </c>
      <c r="P344">
        <v>294</v>
      </c>
      <c r="Q344">
        <v>2.83</v>
      </c>
    </row>
    <row r="345" spans="1:17" x14ac:dyDescent="0.25">
      <c r="A345">
        <v>2522</v>
      </c>
      <c r="B345" t="s">
        <v>3369</v>
      </c>
      <c r="C345" t="s">
        <v>3370</v>
      </c>
      <c r="D345" t="s">
        <v>2209</v>
      </c>
      <c r="E345" t="s">
        <v>2175</v>
      </c>
      <c r="F345">
        <v>2000</v>
      </c>
      <c r="H345" t="s">
        <v>2963</v>
      </c>
      <c r="I345">
        <v>2</v>
      </c>
      <c r="J345" t="s">
        <v>3371</v>
      </c>
      <c r="K345" t="s">
        <v>14332</v>
      </c>
      <c r="M345">
        <v>386</v>
      </c>
      <c r="O345" t="s">
        <v>3290</v>
      </c>
      <c r="P345">
        <v>590</v>
      </c>
      <c r="Q345">
        <v>2.2200000000000002</v>
      </c>
    </row>
    <row r="346" spans="1:17" x14ac:dyDescent="0.25">
      <c r="A346">
        <v>632</v>
      </c>
      <c r="B346" t="s">
        <v>3059</v>
      </c>
      <c r="C346" t="s">
        <v>3372</v>
      </c>
      <c r="D346" t="s">
        <v>2822</v>
      </c>
      <c r="F346" t="s">
        <v>3373</v>
      </c>
      <c r="H346" t="s">
        <v>2963</v>
      </c>
      <c r="I346">
        <v>2</v>
      </c>
      <c r="J346" t="s">
        <v>3303</v>
      </c>
      <c r="K346" t="s">
        <v>14332</v>
      </c>
      <c r="L346" s="222">
        <v>9783522173063</v>
      </c>
      <c r="M346">
        <v>674</v>
      </c>
      <c r="O346" t="s">
        <v>3291</v>
      </c>
      <c r="P346">
        <v>812</v>
      </c>
      <c r="Q346">
        <v>3.12</v>
      </c>
    </row>
    <row r="347" spans="1:17" x14ac:dyDescent="0.25">
      <c r="A347">
        <v>1315</v>
      </c>
      <c r="B347" t="s">
        <v>3375</v>
      </c>
      <c r="C347" t="s">
        <v>3376</v>
      </c>
      <c r="D347" t="s">
        <v>3312</v>
      </c>
      <c r="F347">
        <v>2008</v>
      </c>
      <c r="H347" t="s">
        <v>2963</v>
      </c>
      <c r="I347">
        <v>2</v>
      </c>
      <c r="J347" t="s">
        <v>2237</v>
      </c>
      <c r="K347" t="s">
        <v>14332</v>
      </c>
      <c r="L347" s="222">
        <v>9783791512181</v>
      </c>
      <c r="M347">
        <v>258</v>
      </c>
      <c r="O347" t="s">
        <v>3292</v>
      </c>
      <c r="P347">
        <v>471</v>
      </c>
      <c r="Q347">
        <v>2.62</v>
      </c>
    </row>
    <row r="348" spans="1:17" x14ac:dyDescent="0.25">
      <c r="A348">
        <v>2022</v>
      </c>
      <c r="B348" t="s">
        <v>3378</v>
      </c>
      <c r="C348" t="s">
        <v>3379</v>
      </c>
      <c r="D348" t="s">
        <v>3380</v>
      </c>
      <c r="E348" t="s">
        <v>1913</v>
      </c>
      <c r="F348">
        <v>1999</v>
      </c>
      <c r="H348" t="s">
        <v>2963</v>
      </c>
      <c r="I348">
        <v>1</v>
      </c>
      <c r="K348" t="s">
        <v>14332</v>
      </c>
      <c r="L348" s="222">
        <v>9783627000721</v>
      </c>
      <c r="M348">
        <v>182</v>
      </c>
      <c r="O348" t="s">
        <v>3293</v>
      </c>
      <c r="P348">
        <v>311</v>
      </c>
      <c r="Q348">
        <v>2.2999999999999998</v>
      </c>
    </row>
    <row r="349" spans="1:17" x14ac:dyDescent="0.25">
      <c r="A349">
        <v>1395</v>
      </c>
      <c r="B349" t="s">
        <v>3386</v>
      </c>
      <c r="C349" t="s">
        <v>3387</v>
      </c>
      <c r="D349" t="s">
        <v>3388</v>
      </c>
      <c r="F349">
        <v>2012</v>
      </c>
      <c r="H349" t="s">
        <v>2314</v>
      </c>
      <c r="I349">
        <v>1</v>
      </c>
      <c r="K349" t="s">
        <v>14332</v>
      </c>
      <c r="L349" s="222">
        <v>9783862860142</v>
      </c>
      <c r="M349">
        <v>240</v>
      </c>
      <c r="O349" t="s">
        <v>3295</v>
      </c>
      <c r="P349">
        <v>289</v>
      </c>
      <c r="Q349">
        <v>3.47</v>
      </c>
    </row>
    <row r="350" spans="1:17" x14ac:dyDescent="0.25">
      <c r="A350">
        <v>2522</v>
      </c>
      <c r="B350" t="s">
        <v>3390</v>
      </c>
      <c r="C350" t="s">
        <v>3391</v>
      </c>
      <c r="D350" t="s">
        <v>2257</v>
      </c>
      <c r="E350" t="s">
        <v>1921</v>
      </c>
      <c r="F350">
        <v>2007</v>
      </c>
      <c r="H350" t="s">
        <v>1878</v>
      </c>
      <c r="I350">
        <v>2</v>
      </c>
      <c r="J350" t="s">
        <v>14471</v>
      </c>
      <c r="K350" t="s">
        <v>14332</v>
      </c>
      <c r="L350" s="222">
        <v>9783426635483</v>
      </c>
      <c r="M350">
        <v>480</v>
      </c>
      <c r="O350" t="s">
        <v>3296</v>
      </c>
      <c r="P350">
        <v>317</v>
      </c>
      <c r="Q350">
        <v>3.15</v>
      </c>
    </row>
    <row r="351" spans="1:17" x14ac:dyDescent="0.25">
      <c r="A351">
        <v>2522</v>
      </c>
      <c r="B351" t="s">
        <v>3394</v>
      </c>
      <c r="C351" t="s">
        <v>3395</v>
      </c>
      <c r="D351" t="s">
        <v>2424</v>
      </c>
      <c r="F351">
        <v>2009</v>
      </c>
      <c r="H351" t="s">
        <v>2963</v>
      </c>
      <c r="I351">
        <v>1</v>
      </c>
      <c r="K351" t="s">
        <v>14332</v>
      </c>
      <c r="L351" s="222">
        <v>9783453290655</v>
      </c>
      <c r="M351">
        <v>258</v>
      </c>
      <c r="O351" t="s">
        <v>3297</v>
      </c>
      <c r="P351">
        <v>453</v>
      </c>
      <c r="Q351">
        <v>2.62</v>
      </c>
    </row>
    <row r="352" spans="1:17" x14ac:dyDescent="0.25">
      <c r="A352">
        <v>632</v>
      </c>
      <c r="B352" t="s">
        <v>3400</v>
      </c>
      <c r="C352" t="s">
        <v>3401</v>
      </c>
      <c r="D352" t="s">
        <v>2257</v>
      </c>
      <c r="F352">
        <v>2010</v>
      </c>
      <c r="H352" t="s">
        <v>1878</v>
      </c>
      <c r="I352">
        <v>2</v>
      </c>
      <c r="J352" t="s">
        <v>3303</v>
      </c>
      <c r="K352" t="s">
        <v>14332</v>
      </c>
      <c r="L352" s="222">
        <v>9783426504390</v>
      </c>
      <c r="M352">
        <v>782</v>
      </c>
      <c r="O352" t="s">
        <v>3299</v>
      </c>
      <c r="P352">
        <v>586</v>
      </c>
      <c r="Q352">
        <v>2.2599999999999998</v>
      </c>
    </row>
    <row r="353" spans="1:17" x14ac:dyDescent="0.25">
      <c r="A353">
        <v>1394</v>
      </c>
      <c r="B353" t="s">
        <v>3403</v>
      </c>
      <c r="C353" t="s">
        <v>3404</v>
      </c>
      <c r="D353" t="s">
        <v>1979</v>
      </c>
      <c r="F353">
        <v>2006</v>
      </c>
      <c r="H353" t="s">
        <v>1878</v>
      </c>
      <c r="I353">
        <v>2</v>
      </c>
      <c r="J353" t="s">
        <v>3303</v>
      </c>
      <c r="K353" t="s">
        <v>14332</v>
      </c>
      <c r="L353" s="222">
        <v>9783473542796</v>
      </c>
      <c r="M353">
        <v>120</v>
      </c>
      <c r="O353" t="s">
        <v>3300</v>
      </c>
      <c r="P353">
        <v>191</v>
      </c>
      <c r="Q353">
        <v>2.4</v>
      </c>
    </row>
    <row r="354" spans="1:17" x14ac:dyDescent="0.25">
      <c r="A354">
        <v>2522</v>
      </c>
      <c r="B354" t="s">
        <v>3406</v>
      </c>
      <c r="C354" t="s">
        <v>3407</v>
      </c>
      <c r="D354" t="s">
        <v>2609</v>
      </c>
      <c r="F354">
        <v>2012</v>
      </c>
      <c r="H354" t="s">
        <v>2314</v>
      </c>
      <c r="I354">
        <v>2</v>
      </c>
      <c r="J354" t="s">
        <v>3303</v>
      </c>
      <c r="K354" t="s">
        <v>14332</v>
      </c>
      <c r="M354">
        <v>400</v>
      </c>
      <c r="O354" t="s">
        <v>3366</v>
      </c>
      <c r="P354">
        <v>458</v>
      </c>
      <c r="Q354">
        <v>1.72</v>
      </c>
    </row>
    <row r="355" spans="1:17" x14ac:dyDescent="0.25">
      <c r="A355">
        <v>689</v>
      </c>
      <c r="B355" t="s">
        <v>3411</v>
      </c>
      <c r="C355" t="s">
        <v>3412</v>
      </c>
      <c r="D355" t="s">
        <v>3413</v>
      </c>
      <c r="F355">
        <v>2009</v>
      </c>
      <c r="H355" t="s">
        <v>2314</v>
      </c>
      <c r="I355">
        <v>2</v>
      </c>
      <c r="J355" t="e" cm="1">
        <f t="array" ref="J355">- MÄNGELEXEMPLAR - sonst sehr guter Zustand</f>
        <v>#NAME?</v>
      </c>
      <c r="K355" t="s">
        <v>14332</v>
      </c>
      <c r="L355" s="222">
        <v>9783802584060</v>
      </c>
      <c r="M355">
        <v>400</v>
      </c>
      <c r="O355" t="s">
        <v>3368</v>
      </c>
      <c r="P355">
        <v>347</v>
      </c>
      <c r="Q355">
        <v>1.87</v>
      </c>
    </row>
    <row r="356" spans="1:17" x14ac:dyDescent="0.25">
      <c r="A356">
        <v>1395</v>
      </c>
      <c r="B356" t="s">
        <v>3451</v>
      </c>
      <c r="C356" t="s">
        <v>3452</v>
      </c>
      <c r="D356" t="s">
        <v>1920</v>
      </c>
      <c r="E356" t="s">
        <v>1974</v>
      </c>
      <c r="F356">
        <v>1998</v>
      </c>
      <c r="H356" t="s">
        <v>1878</v>
      </c>
      <c r="I356">
        <v>2</v>
      </c>
      <c r="J356" t="s">
        <v>3453</v>
      </c>
      <c r="K356" t="s">
        <v>14332</v>
      </c>
      <c r="L356" s="222">
        <v>9783404139842</v>
      </c>
      <c r="M356">
        <v>384</v>
      </c>
      <c r="O356" t="s">
        <v>3416</v>
      </c>
      <c r="P356">
        <v>294</v>
      </c>
      <c r="Q356">
        <v>1.72</v>
      </c>
    </row>
    <row r="357" spans="1:17" x14ac:dyDescent="0.25">
      <c r="A357">
        <v>1320</v>
      </c>
      <c r="B357" t="s">
        <v>3455</v>
      </c>
      <c r="C357" t="s">
        <v>3456</v>
      </c>
      <c r="D357" t="s">
        <v>1979</v>
      </c>
      <c r="F357">
        <v>1987</v>
      </c>
      <c r="H357" t="s">
        <v>1878</v>
      </c>
      <c r="I357">
        <v>2</v>
      </c>
      <c r="J357" t="s">
        <v>3453</v>
      </c>
      <c r="K357" t="s">
        <v>14332</v>
      </c>
      <c r="L357" s="222">
        <v>9783473427123</v>
      </c>
      <c r="M357">
        <v>128</v>
      </c>
      <c r="O357" t="s">
        <v>3417</v>
      </c>
      <c r="P357">
        <v>318</v>
      </c>
      <c r="Q357">
        <v>1.72</v>
      </c>
    </row>
    <row r="358" spans="1:17" x14ac:dyDescent="0.25">
      <c r="A358">
        <v>968</v>
      </c>
      <c r="B358" t="s">
        <v>3458</v>
      </c>
      <c r="C358" t="s">
        <v>3459</v>
      </c>
      <c r="D358" t="s">
        <v>3413</v>
      </c>
      <c r="F358">
        <v>2012</v>
      </c>
      <c r="H358" t="s">
        <v>1878</v>
      </c>
      <c r="I358">
        <v>2</v>
      </c>
      <c r="J358" t="s">
        <v>2237</v>
      </c>
      <c r="K358" t="s">
        <v>14339</v>
      </c>
      <c r="L358" s="222">
        <v>9781405242356</v>
      </c>
      <c r="M358">
        <v>570</v>
      </c>
      <c r="O358" t="s">
        <v>3418</v>
      </c>
      <c r="P358">
        <v>450</v>
      </c>
      <c r="Q358">
        <v>3.04</v>
      </c>
    </row>
    <row r="359" spans="1:17" x14ac:dyDescent="0.25">
      <c r="A359">
        <v>1030</v>
      </c>
      <c r="B359" t="s">
        <v>3461</v>
      </c>
      <c r="C359" t="s">
        <v>3462</v>
      </c>
      <c r="D359" t="s">
        <v>3463</v>
      </c>
      <c r="F359">
        <v>1965</v>
      </c>
      <c r="H359" t="s">
        <v>1878</v>
      </c>
      <c r="I359">
        <v>2</v>
      </c>
      <c r="J359" t="s">
        <v>2237</v>
      </c>
      <c r="M359">
        <v>124</v>
      </c>
      <c r="O359" t="s">
        <v>3419</v>
      </c>
      <c r="P359">
        <v>164</v>
      </c>
      <c r="Q359">
        <v>3.58</v>
      </c>
    </row>
    <row r="360" spans="1:17" x14ac:dyDescent="0.25">
      <c r="A360">
        <v>2547</v>
      </c>
      <c r="B360" t="s">
        <v>3465</v>
      </c>
      <c r="C360" t="s">
        <v>3466</v>
      </c>
      <c r="D360" t="s">
        <v>2232</v>
      </c>
      <c r="F360">
        <v>1997</v>
      </c>
      <c r="H360" t="s">
        <v>1878</v>
      </c>
      <c r="I360">
        <v>2</v>
      </c>
      <c r="J360" t="s">
        <v>2237</v>
      </c>
      <c r="K360" t="s">
        <v>14332</v>
      </c>
      <c r="L360" s="222">
        <v>9783442721375</v>
      </c>
      <c r="M360">
        <v>256</v>
      </c>
      <c r="O360" t="s">
        <v>3420</v>
      </c>
      <c r="P360">
        <v>266</v>
      </c>
      <c r="Q360">
        <v>1.72</v>
      </c>
    </row>
    <row r="361" spans="1:17" x14ac:dyDescent="0.25">
      <c r="A361">
        <v>796</v>
      </c>
      <c r="B361" t="s">
        <v>3468</v>
      </c>
      <c r="C361" t="s">
        <v>3469</v>
      </c>
      <c r="D361" t="s">
        <v>3470</v>
      </c>
      <c r="F361">
        <v>2006</v>
      </c>
      <c r="H361" t="s">
        <v>1878</v>
      </c>
      <c r="I361">
        <v>2</v>
      </c>
      <c r="J361" t="s">
        <v>3453</v>
      </c>
      <c r="K361" t="s">
        <v>14332</v>
      </c>
      <c r="L361" s="222">
        <v>9783492261876</v>
      </c>
      <c r="M361">
        <v>192</v>
      </c>
      <c r="O361" t="s">
        <v>3421</v>
      </c>
      <c r="P361">
        <v>207</v>
      </c>
      <c r="Q361">
        <v>2.2999999999999998</v>
      </c>
    </row>
    <row r="362" spans="1:17" x14ac:dyDescent="0.25">
      <c r="A362">
        <v>631</v>
      </c>
      <c r="B362" t="s">
        <v>3472</v>
      </c>
      <c r="C362" t="s">
        <v>3473</v>
      </c>
      <c r="D362" t="s">
        <v>1912</v>
      </c>
      <c r="E362" t="s">
        <v>2375</v>
      </c>
      <c r="F362">
        <v>2012</v>
      </c>
      <c r="H362" t="s">
        <v>1878</v>
      </c>
      <c r="I362">
        <v>2</v>
      </c>
      <c r="J362" t="s">
        <v>3303</v>
      </c>
      <c r="K362" t="s">
        <v>14332</v>
      </c>
      <c r="L362" s="222">
        <v>9783442478965</v>
      </c>
      <c r="M362">
        <v>608</v>
      </c>
      <c r="O362" t="s">
        <v>3422</v>
      </c>
      <c r="P362">
        <v>626</v>
      </c>
      <c r="Q362">
        <v>2.2200000000000002</v>
      </c>
    </row>
    <row r="363" spans="1:17" x14ac:dyDescent="0.25">
      <c r="A363">
        <v>718</v>
      </c>
      <c r="B363" t="s">
        <v>3479</v>
      </c>
      <c r="C363" t="s">
        <v>3480</v>
      </c>
      <c r="D363" t="s">
        <v>2068</v>
      </c>
      <c r="F363">
        <v>2000</v>
      </c>
      <c r="H363" t="s">
        <v>2295</v>
      </c>
      <c r="I363">
        <v>2</v>
      </c>
      <c r="J363" t="s">
        <v>2237</v>
      </c>
      <c r="K363" t="s">
        <v>14332</v>
      </c>
      <c r="L363" s="222">
        <v>9783806875171</v>
      </c>
      <c r="M363">
        <v>210</v>
      </c>
      <c r="O363" t="s">
        <v>3424</v>
      </c>
      <c r="P363">
        <v>1044</v>
      </c>
      <c r="Q363">
        <v>5.63</v>
      </c>
    </row>
    <row r="364" spans="1:17" x14ac:dyDescent="0.25">
      <c r="A364">
        <v>2707</v>
      </c>
      <c r="C364" t="s">
        <v>3482</v>
      </c>
      <c r="D364" t="s">
        <v>2309</v>
      </c>
      <c r="H364" t="s">
        <v>2295</v>
      </c>
      <c r="I364">
        <v>2</v>
      </c>
      <c r="J364" t="s">
        <v>3453</v>
      </c>
      <c r="K364" t="s">
        <v>14332</v>
      </c>
      <c r="L364" s="222">
        <v>9783550078415</v>
      </c>
      <c r="M364">
        <v>370</v>
      </c>
      <c r="O364" t="s">
        <v>3425</v>
      </c>
      <c r="P364">
        <v>1640</v>
      </c>
      <c r="Q364">
        <v>4.3099999999999996</v>
      </c>
    </row>
    <row r="365" spans="1:17" x14ac:dyDescent="0.25">
      <c r="A365">
        <v>735</v>
      </c>
      <c r="B365" t="s">
        <v>3484</v>
      </c>
      <c r="C365" t="s">
        <v>3485</v>
      </c>
      <c r="D365" t="s">
        <v>1912</v>
      </c>
      <c r="E365" t="s">
        <v>1913</v>
      </c>
      <c r="F365">
        <v>1989</v>
      </c>
      <c r="H365" t="s">
        <v>1878</v>
      </c>
      <c r="I365">
        <v>2</v>
      </c>
      <c r="J365" t="s">
        <v>3486</v>
      </c>
      <c r="K365" t="s">
        <v>14332</v>
      </c>
      <c r="L365" s="222">
        <v>9783442237760</v>
      </c>
      <c r="M365">
        <v>160</v>
      </c>
      <c r="O365" t="s">
        <v>3426</v>
      </c>
      <c r="P365">
        <v>103</v>
      </c>
      <c r="Q365">
        <v>3.37</v>
      </c>
    </row>
    <row r="366" spans="1:17" x14ac:dyDescent="0.25">
      <c r="A366">
        <v>735</v>
      </c>
      <c r="B366" t="s">
        <v>3488</v>
      </c>
      <c r="C366" t="s">
        <v>3489</v>
      </c>
      <c r="D366" t="s">
        <v>1912</v>
      </c>
      <c r="E366" t="s">
        <v>1913</v>
      </c>
      <c r="F366">
        <v>1991</v>
      </c>
      <c r="H366" t="s">
        <v>1878</v>
      </c>
      <c r="I366">
        <v>2</v>
      </c>
      <c r="J366" t="s">
        <v>3486</v>
      </c>
      <c r="K366" t="s">
        <v>14332</v>
      </c>
      <c r="L366" s="222">
        <v>9783442082278</v>
      </c>
      <c r="M366">
        <v>224</v>
      </c>
      <c r="O366" t="s">
        <v>3427</v>
      </c>
      <c r="P366">
        <v>151</v>
      </c>
      <c r="Q366">
        <v>33.54</v>
      </c>
    </row>
    <row r="367" spans="1:17" x14ac:dyDescent="0.25">
      <c r="A367">
        <v>853</v>
      </c>
      <c r="C367" t="s">
        <v>3491</v>
      </c>
      <c r="D367" t="s">
        <v>3492</v>
      </c>
      <c r="F367">
        <v>1996</v>
      </c>
      <c r="H367" t="s">
        <v>2217</v>
      </c>
      <c r="I367">
        <v>2</v>
      </c>
      <c r="K367" t="s">
        <v>14332</v>
      </c>
      <c r="L367" s="222">
        <v>9782764101612</v>
      </c>
      <c r="M367">
        <v>30</v>
      </c>
      <c r="O367" t="s">
        <v>3428</v>
      </c>
      <c r="P367">
        <v>88</v>
      </c>
      <c r="Q367">
        <v>1.72</v>
      </c>
    </row>
    <row r="368" spans="1:17" x14ac:dyDescent="0.25">
      <c r="A368">
        <v>2565</v>
      </c>
      <c r="B368" t="s">
        <v>3494</v>
      </c>
      <c r="C368" t="s">
        <v>3495</v>
      </c>
      <c r="D368" t="s">
        <v>2835</v>
      </c>
      <c r="E368" t="s">
        <v>2375</v>
      </c>
      <c r="F368">
        <v>1974</v>
      </c>
      <c r="H368" t="s">
        <v>2008</v>
      </c>
      <c r="I368">
        <v>2</v>
      </c>
      <c r="J368" t="s">
        <v>3496</v>
      </c>
      <c r="K368" t="s">
        <v>14332</v>
      </c>
      <c r="M368">
        <v>176</v>
      </c>
      <c r="O368" t="s">
        <v>3429</v>
      </c>
      <c r="P368">
        <v>123</v>
      </c>
      <c r="Q368">
        <v>2.19</v>
      </c>
    </row>
    <row r="369" spans="1:17" x14ac:dyDescent="0.25">
      <c r="A369">
        <v>651</v>
      </c>
      <c r="B369" t="s">
        <v>3497</v>
      </c>
      <c r="C369" t="s">
        <v>3498</v>
      </c>
      <c r="D369" t="s">
        <v>3499</v>
      </c>
      <c r="F369">
        <v>2000</v>
      </c>
      <c r="H369" t="s">
        <v>1878</v>
      </c>
      <c r="I369">
        <v>2</v>
      </c>
      <c r="J369" t="s">
        <v>2237</v>
      </c>
      <c r="K369" t="s">
        <v>14332</v>
      </c>
      <c r="L369" s="222">
        <v>9783772426087</v>
      </c>
      <c r="M369">
        <v>32</v>
      </c>
      <c r="O369" t="s">
        <v>3430</v>
      </c>
      <c r="P369">
        <v>100</v>
      </c>
      <c r="Q369">
        <v>4.97</v>
      </c>
    </row>
    <row r="370" spans="1:17" x14ac:dyDescent="0.25">
      <c r="A370">
        <v>651</v>
      </c>
      <c r="B370" t="s">
        <v>3501</v>
      </c>
      <c r="C370" t="s">
        <v>3502</v>
      </c>
      <c r="D370" t="s">
        <v>3499</v>
      </c>
      <c r="F370">
        <v>1997</v>
      </c>
      <c r="H370" t="s">
        <v>1878</v>
      </c>
      <c r="I370">
        <v>2</v>
      </c>
      <c r="J370" t="s">
        <v>2237</v>
      </c>
      <c r="K370" t="s">
        <v>14332</v>
      </c>
      <c r="L370" s="222">
        <v>9783772421877</v>
      </c>
      <c r="M370">
        <v>32</v>
      </c>
      <c r="O370" t="s">
        <v>3431</v>
      </c>
      <c r="P370">
        <v>112</v>
      </c>
      <c r="Q370">
        <v>1.87</v>
      </c>
    </row>
    <row r="371" spans="1:17" x14ac:dyDescent="0.25">
      <c r="A371">
        <v>651</v>
      </c>
      <c r="B371" t="s">
        <v>3504</v>
      </c>
      <c r="C371" t="s">
        <v>3505</v>
      </c>
      <c r="D371" t="s">
        <v>3499</v>
      </c>
      <c r="F371">
        <v>1998</v>
      </c>
      <c r="H371" t="s">
        <v>1878</v>
      </c>
      <c r="I371">
        <v>2</v>
      </c>
      <c r="J371" t="s">
        <v>2237</v>
      </c>
      <c r="K371" t="s">
        <v>14332</v>
      </c>
      <c r="L371" s="222">
        <v>9783772422867</v>
      </c>
      <c r="M371">
        <v>32</v>
      </c>
      <c r="O371" t="s">
        <v>3432</v>
      </c>
      <c r="P371">
        <v>89</v>
      </c>
      <c r="Q371">
        <v>2.2999999999999998</v>
      </c>
    </row>
    <row r="372" spans="1:17" x14ac:dyDescent="0.25">
      <c r="A372">
        <v>718</v>
      </c>
      <c r="B372" t="s">
        <v>3507</v>
      </c>
      <c r="C372" t="s">
        <v>3508</v>
      </c>
      <c r="D372" t="s">
        <v>3509</v>
      </c>
      <c r="E372" t="s">
        <v>2518</v>
      </c>
      <c r="F372">
        <v>1995</v>
      </c>
      <c r="H372" t="s">
        <v>1878</v>
      </c>
      <c r="I372">
        <v>2</v>
      </c>
      <c r="J372" t="s">
        <v>2237</v>
      </c>
      <c r="K372" t="s">
        <v>14332</v>
      </c>
      <c r="L372" s="222">
        <v>9783490072191</v>
      </c>
      <c r="M372">
        <v>112</v>
      </c>
      <c r="O372" t="s">
        <v>3433</v>
      </c>
      <c r="P372">
        <v>245</v>
      </c>
      <c r="Q372">
        <v>2.4</v>
      </c>
    </row>
    <row r="373" spans="1:17" x14ac:dyDescent="0.25">
      <c r="A373">
        <v>1809</v>
      </c>
      <c r="B373" t="s">
        <v>3511</v>
      </c>
      <c r="C373" t="s">
        <v>3512</v>
      </c>
      <c r="D373" t="s">
        <v>2402</v>
      </c>
      <c r="F373">
        <v>2008</v>
      </c>
      <c r="H373" t="s">
        <v>1878</v>
      </c>
      <c r="I373">
        <v>2</v>
      </c>
      <c r="J373" t="s">
        <v>2237</v>
      </c>
      <c r="K373" t="s">
        <v>14332</v>
      </c>
      <c r="L373" s="222">
        <v>9783505124549</v>
      </c>
      <c r="M373">
        <v>320</v>
      </c>
      <c r="O373" t="s">
        <v>3434</v>
      </c>
      <c r="P373">
        <v>476</v>
      </c>
      <c r="Q373">
        <v>1.87</v>
      </c>
    </row>
    <row r="374" spans="1:17" x14ac:dyDescent="0.25">
      <c r="A374">
        <v>2514</v>
      </c>
      <c r="B374" t="s">
        <v>3514</v>
      </c>
      <c r="C374" t="s">
        <v>3515</v>
      </c>
      <c r="D374" t="s">
        <v>3312</v>
      </c>
      <c r="F374">
        <v>2004</v>
      </c>
      <c r="H374" t="s">
        <v>2295</v>
      </c>
      <c r="I374">
        <v>2</v>
      </c>
      <c r="J374" t="s">
        <v>2237</v>
      </c>
      <c r="K374" t="s">
        <v>14332</v>
      </c>
      <c r="L374" s="222">
        <v>9783791536002</v>
      </c>
      <c r="M374">
        <v>178</v>
      </c>
      <c r="O374" t="s">
        <v>3435</v>
      </c>
      <c r="P374">
        <v>266</v>
      </c>
      <c r="Q374">
        <v>3.37</v>
      </c>
    </row>
    <row r="375" spans="1:17" x14ac:dyDescent="0.25">
      <c r="A375">
        <v>2571</v>
      </c>
      <c r="B375" t="s">
        <v>3517</v>
      </c>
      <c r="C375" t="s">
        <v>3518</v>
      </c>
      <c r="D375" t="s">
        <v>2644</v>
      </c>
      <c r="F375">
        <v>1998</v>
      </c>
      <c r="H375" t="s">
        <v>1878</v>
      </c>
      <c r="I375">
        <v>2</v>
      </c>
      <c r="J375" t="s">
        <v>3303</v>
      </c>
      <c r="K375" t="s">
        <v>14332</v>
      </c>
      <c r="L375" s="222">
        <v>9783257231519</v>
      </c>
      <c r="M375">
        <v>288</v>
      </c>
      <c r="O375" t="s">
        <v>3436</v>
      </c>
      <c r="P375">
        <v>246</v>
      </c>
      <c r="Q375">
        <v>1.72</v>
      </c>
    </row>
    <row r="376" spans="1:17" x14ac:dyDescent="0.25">
      <c r="A376">
        <v>2571</v>
      </c>
      <c r="B376" t="s">
        <v>3517</v>
      </c>
      <c r="C376" t="s">
        <v>3520</v>
      </c>
      <c r="D376" t="s">
        <v>2644</v>
      </c>
      <c r="F376">
        <v>2005</v>
      </c>
      <c r="H376" t="s">
        <v>1878</v>
      </c>
      <c r="I376">
        <v>2</v>
      </c>
      <c r="J376" t="s">
        <v>3303</v>
      </c>
      <c r="K376" t="s">
        <v>14332</v>
      </c>
      <c r="L376" s="222">
        <v>9783257234541</v>
      </c>
      <c r="M376">
        <v>288</v>
      </c>
      <c r="O376" t="s">
        <v>3437</v>
      </c>
      <c r="P376">
        <v>248</v>
      </c>
      <c r="Q376">
        <v>1.91</v>
      </c>
    </row>
    <row r="377" spans="1:17" x14ac:dyDescent="0.25">
      <c r="A377">
        <v>2514</v>
      </c>
      <c r="B377" t="s">
        <v>3522</v>
      </c>
      <c r="C377" t="s">
        <v>3523</v>
      </c>
      <c r="D377" t="s">
        <v>3524</v>
      </c>
      <c r="E377" t="s">
        <v>1899</v>
      </c>
      <c r="F377">
        <v>2010</v>
      </c>
      <c r="H377" t="s">
        <v>2217</v>
      </c>
      <c r="I377">
        <v>2</v>
      </c>
      <c r="J377" t="s">
        <v>2237</v>
      </c>
      <c r="K377" t="s">
        <v>14332</v>
      </c>
      <c r="L377" s="222">
        <v>9783785563915</v>
      </c>
      <c r="M377">
        <v>126</v>
      </c>
      <c r="O377" t="s">
        <v>3438</v>
      </c>
      <c r="P377">
        <v>249</v>
      </c>
      <c r="Q377">
        <v>4.4400000000000004</v>
      </c>
    </row>
    <row r="378" spans="1:17" x14ac:dyDescent="0.25">
      <c r="A378">
        <v>1927</v>
      </c>
      <c r="B378" t="s">
        <v>3526</v>
      </c>
      <c r="C378" t="s">
        <v>3527</v>
      </c>
      <c r="D378" t="s">
        <v>2077</v>
      </c>
      <c r="F378">
        <v>2003</v>
      </c>
      <c r="H378" t="s">
        <v>1878</v>
      </c>
      <c r="I378">
        <v>2</v>
      </c>
      <c r="J378" t="s">
        <v>2237</v>
      </c>
      <c r="K378" t="s">
        <v>14332</v>
      </c>
      <c r="L378" s="222">
        <v>9783802515057</v>
      </c>
      <c r="M378">
        <v>128</v>
      </c>
      <c r="O378" t="s">
        <v>3439</v>
      </c>
      <c r="P378">
        <v>186</v>
      </c>
      <c r="Q378">
        <v>2.2999999999999998</v>
      </c>
    </row>
    <row r="379" spans="1:17" x14ac:dyDescent="0.25">
      <c r="A379">
        <v>1030</v>
      </c>
      <c r="B379" t="s">
        <v>3529</v>
      </c>
      <c r="C379" t="s">
        <v>3530</v>
      </c>
      <c r="F379">
        <v>1991</v>
      </c>
      <c r="H379" t="s">
        <v>1878</v>
      </c>
      <c r="I379">
        <v>1</v>
      </c>
      <c r="J379" t="s">
        <v>2237</v>
      </c>
      <c r="K379" t="s">
        <v>14332</v>
      </c>
      <c r="L379" s="222">
        <v>9783926178220</v>
      </c>
      <c r="M379">
        <v>156</v>
      </c>
      <c r="O379" t="s">
        <v>3440</v>
      </c>
      <c r="P379">
        <v>244</v>
      </c>
      <c r="Q379">
        <v>5.51</v>
      </c>
    </row>
    <row r="380" spans="1:17" x14ac:dyDescent="0.25">
      <c r="A380">
        <v>2952</v>
      </c>
      <c r="B380" t="s">
        <v>3532</v>
      </c>
      <c r="C380" t="s">
        <v>3533</v>
      </c>
      <c r="D380" t="s">
        <v>1920</v>
      </c>
      <c r="F380">
        <v>2004</v>
      </c>
      <c r="H380" t="s">
        <v>1878</v>
      </c>
      <c r="I380">
        <v>2</v>
      </c>
      <c r="J380" t="s">
        <v>3303</v>
      </c>
      <c r="K380" t="s">
        <v>14332</v>
      </c>
      <c r="L380" s="222">
        <v>9783404770977</v>
      </c>
      <c r="M380">
        <v>352</v>
      </c>
      <c r="O380" t="s">
        <v>3441</v>
      </c>
      <c r="P380">
        <v>305</v>
      </c>
      <c r="Q380">
        <v>1.72</v>
      </c>
    </row>
    <row r="381" spans="1:17" x14ac:dyDescent="0.25">
      <c r="A381">
        <v>2514</v>
      </c>
      <c r="B381" t="s">
        <v>3593</v>
      </c>
      <c r="C381" t="s">
        <v>3592</v>
      </c>
      <c r="D381" t="s">
        <v>3594</v>
      </c>
      <c r="F381">
        <v>2008</v>
      </c>
      <c r="H381" t="s">
        <v>2295</v>
      </c>
      <c r="I381">
        <v>1</v>
      </c>
      <c r="J381" t="s">
        <v>14472</v>
      </c>
      <c r="K381" t="s">
        <v>14332</v>
      </c>
      <c r="M381">
        <v>62</v>
      </c>
      <c r="O381" t="s">
        <v>3442</v>
      </c>
      <c r="P381">
        <v>242</v>
      </c>
      <c r="Q381">
        <v>2.72</v>
      </c>
    </row>
    <row r="382" spans="1:17" x14ac:dyDescent="0.25">
      <c r="A382">
        <v>721</v>
      </c>
      <c r="B382" t="s">
        <v>3596</v>
      </c>
      <c r="C382" t="s">
        <v>3597</v>
      </c>
      <c r="D382" t="s">
        <v>2294</v>
      </c>
      <c r="F382">
        <v>2005</v>
      </c>
      <c r="H382" t="s">
        <v>1878</v>
      </c>
      <c r="I382">
        <v>2</v>
      </c>
      <c r="J382" t="s">
        <v>3303</v>
      </c>
      <c r="K382" t="s">
        <v>14332</v>
      </c>
      <c r="L382" s="222">
        <v>9783861272809</v>
      </c>
      <c r="M382">
        <v>32</v>
      </c>
      <c r="O382" t="s">
        <v>3443</v>
      </c>
      <c r="P382">
        <v>127</v>
      </c>
      <c r="Q382">
        <v>5.72</v>
      </c>
    </row>
    <row r="383" spans="1:17" x14ac:dyDescent="0.25">
      <c r="A383">
        <v>767</v>
      </c>
      <c r="B383" t="s">
        <v>3599</v>
      </c>
      <c r="C383" t="s">
        <v>3600</v>
      </c>
      <c r="D383" t="s">
        <v>2300</v>
      </c>
      <c r="F383">
        <v>1991</v>
      </c>
      <c r="H383" t="s">
        <v>2008</v>
      </c>
      <c r="I383">
        <v>2</v>
      </c>
      <c r="J383" t="s">
        <v>3006</v>
      </c>
      <c r="K383" t="s">
        <v>14332</v>
      </c>
      <c r="L383" s="222">
        <v>9783499503542</v>
      </c>
      <c r="M383">
        <v>160</v>
      </c>
      <c r="O383" t="s">
        <v>3444</v>
      </c>
      <c r="P383">
        <v>115</v>
      </c>
      <c r="Q383">
        <v>2.4</v>
      </c>
    </row>
    <row r="384" spans="1:17" x14ac:dyDescent="0.25">
      <c r="A384">
        <v>1348</v>
      </c>
      <c r="B384" t="s">
        <v>3602</v>
      </c>
      <c r="C384" t="s">
        <v>3603</v>
      </c>
      <c r="D384" t="s">
        <v>2300</v>
      </c>
      <c r="F384">
        <v>1966</v>
      </c>
      <c r="H384" t="s">
        <v>2008</v>
      </c>
      <c r="I384">
        <v>2</v>
      </c>
      <c r="J384" t="s">
        <v>3303</v>
      </c>
      <c r="K384" t="s">
        <v>14332</v>
      </c>
      <c r="M384">
        <v>178</v>
      </c>
      <c r="O384" t="s">
        <v>3445</v>
      </c>
      <c r="P384">
        <v>127</v>
      </c>
      <c r="Q384">
        <v>2.5099999999999998</v>
      </c>
    </row>
    <row r="385" spans="1:17" x14ac:dyDescent="0.25">
      <c r="A385">
        <v>721</v>
      </c>
      <c r="B385" t="s">
        <v>3604</v>
      </c>
      <c r="C385" t="s">
        <v>3605</v>
      </c>
      <c r="D385" t="s">
        <v>3606</v>
      </c>
      <c r="F385">
        <v>2001</v>
      </c>
      <c r="H385" t="s">
        <v>1878</v>
      </c>
      <c r="I385">
        <v>2</v>
      </c>
      <c r="J385" t="s">
        <v>3303</v>
      </c>
      <c r="K385" t="s">
        <v>14332</v>
      </c>
      <c r="L385" s="222">
        <v>9783405160838</v>
      </c>
      <c r="M385">
        <v>64</v>
      </c>
      <c r="O385" t="s">
        <v>3446</v>
      </c>
      <c r="P385">
        <v>127</v>
      </c>
      <c r="Q385">
        <v>5.08</v>
      </c>
    </row>
    <row r="386" spans="1:17" x14ac:dyDescent="0.25">
      <c r="A386">
        <v>2514</v>
      </c>
      <c r="B386" t="s">
        <v>3611</v>
      </c>
      <c r="C386" t="s">
        <v>3612</v>
      </c>
      <c r="D386" t="s">
        <v>3613</v>
      </c>
      <c r="H386" t="s">
        <v>2295</v>
      </c>
      <c r="I386">
        <v>1</v>
      </c>
      <c r="J386" t="s">
        <v>2237</v>
      </c>
      <c r="K386" t="s">
        <v>14332</v>
      </c>
      <c r="L386" s="222">
        <v>9783816611486</v>
      </c>
      <c r="M386">
        <v>126</v>
      </c>
      <c r="O386" t="s">
        <v>3536</v>
      </c>
      <c r="P386">
        <v>591</v>
      </c>
      <c r="Q386">
        <v>3.97</v>
      </c>
    </row>
    <row r="387" spans="1:17" x14ac:dyDescent="0.25">
      <c r="A387">
        <v>721</v>
      </c>
      <c r="C387" t="s">
        <v>3615</v>
      </c>
      <c r="D387" t="s">
        <v>1979</v>
      </c>
      <c r="F387">
        <v>2011</v>
      </c>
      <c r="H387" t="s">
        <v>2295</v>
      </c>
      <c r="I387">
        <v>1</v>
      </c>
      <c r="J387" t="s">
        <v>14473</v>
      </c>
      <c r="K387" t="s">
        <v>14332</v>
      </c>
      <c r="L387" s="222">
        <v>9783473552368</v>
      </c>
      <c r="M387">
        <v>162</v>
      </c>
      <c r="O387" t="s">
        <v>3537</v>
      </c>
      <c r="P387">
        <v>865</v>
      </c>
      <c r="Q387">
        <v>5.15</v>
      </c>
    </row>
    <row r="388" spans="1:17" x14ac:dyDescent="0.25">
      <c r="A388">
        <v>865</v>
      </c>
      <c r="B388" t="s">
        <v>3618</v>
      </c>
      <c r="C388" t="s">
        <v>3619</v>
      </c>
      <c r="D388" t="s">
        <v>3620</v>
      </c>
      <c r="F388">
        <v>1998</v>
      </c>
      <c r="H388" t="s">
        <v>1878</v>
      </c>
      <c r="I388">
        <v>2</v>
      </c>
      <c r="J388" t="s">
        <v>3621</v>
      </c>
      <c r="K388" t="s">
        <v>14332</v>
      </c>
      <c r="L388" s="222">
        <v>9783795029166</v>
      </c>
      <c r="M388">
        <v>196</v>
      </c>
      <c r="O388" t="s">
        <v>3538</v>
      </c>
      <c r="P388">
        <v>291</v>
      </c>
      <c r="Q388">
        <v>2.72</v>
      </c>
    </row>
    <row r="389" spans="1:17" x14ac:dyDescent="0.25">
      <c r="A389">
        <v>721</v>
      </c>
      <c r="B389" t="s">
        <v>3623</v>
      </c>
      <c r="C389" t="s">
        <v>3624</v>
      </c>
      <c r="D389" t="s">
        <v>3625</v>
      </c>
      <c r="F389">
        <v>2001</v>
      </c>
      <c r="H389" t="s">
        <v>1878</v>
      </c>
      <c r="I389">
        <v>2</v>
      </c>
      <c r="J389" t="s">
        <v>3303</v>
      </c>
      <c r="K389" t="s">
        <v>14332</v>
      </c>
      <c r="L389" s="222">
        <v>9783401415079</v>
      </c>
      <c r="M389">
        <v>96</v>
      </c>
      <c r="O389" t="s">
        <v>3539</v>
      </c>
      <c r="P389">
        <v>184</v>
      </c>
      <c r="Q389">
        <v>1.97</v>
      </c>
    </row>
    <row r="390" spans="1:17" x14ac:dyDescent="0.25">
      <c r="A390">
        <v>632</v>
      </c>
      <c r="B390" t="s">
        <v>3631</v>
      </c>
      <c r="C390" t="s">
        <v>3632</v>
      </c>
      <c r="D390" t="s">
        <v>2054</v>
      </c>
      <c r="F390">
        <v>2004</v>
      </c>
      <c r="H390" t="s">
        <v>1878</v>
      </c>
      <c r="I390">
        <v>2</v>
      </c>
      <c r="J390" t="s">
        <v>3303</v>
      </c>
      <c r="K390" t="s">
        <v>14332</v>
      </c>
      <c r="L390" s="222">
        <v>9783828975279</v>
      </c>
      <c r="M390">
        <v>1040</v>
      </c>
      <c r="O390" t="s">
        <v>3541</v>
      </c>
      <c r="P390">
        <v>758</v>
      </c>
      <c r="Q390">
        <v>2.58</v>
      </c>
    </row>
    <row r="391" spans="1:17" x14ac:dyDescent="0.25">
      <c r="A391">
        <v>1386</v>
      </c>
      <c r="B391" t="s">
        <v>3634</v>
      </c>
      <c r="C391" t="s">
        <v>3635</v>
      </c>
      <c r="D391" t="s">
        <v>2054</v>
      </c>
      <c r="F391">
        <v>2006</v>
      </c>
      <c r="H391" t="s">
        <v>2295</v>
      </c>
      <c r="I391">
        <v>2</v>
      </c>
      <c r="J391" t="s">
        <v>2237</v>
      </c>
      <c r="K391" t="s">
        <v>14332</v>
      </c>
      <c r="L391" s="222">
        <v>9783828986770</v>
      </c>
      <c r="M391">
        <v>442</v>
      </c>
      <c r="O391" t="s">
        <v>3542</v>
      </c>
      <c r="P391">
        <v>549</v>
      </c>
      <c r="Q391">
        <v>2.2200000000000002</v>
      </c>
    </row>
    <row r="392" spans="1:17" x14ac:dyDescent="0.25">
      <c r="A392">
        <v>796</v>
      </c>
      <c r="B392" t="s">
        <v>3637</v>
      </c>
      <c r="C392" t="s">
        <v>3638</v>
      </c>
      <c r="D392" t="s">
        <v>2054</v>
      </c>
      <c r="F392">
        <v>2007</v>
      </c>
      <c r="H392" t="s">
        <v>1878</v>
      </c>
      <c r="I392">
        <v>2</v>
      </c>
      <c r="J392" t="s">
        <v>2237</v>
      </c>
      <c r="K392" t="s">
        <v>14332</v>
      </c>
      <c r="L392" s="222">
        <v>9783899413175</v>
      </c>
      <c r="M392">
        <v>208</v>
      </c>
      <c r="O392" t="s">
        <v>3543</v>
      </c>
      <c r="P392">
        <v>256</v>
      </c>
      <c r="Q392">
        <v>1.72</v>
      </c>
    </row>
    <row r="393" spans="1:17" x14ac:dyDescent="0.25">
      <c r="A393">
        <v>631</v>
      </c>
      <c r="B393" t="s">
        <v>3640</v>
      </c>
      <c r="C393" t="s">
        <v>3641</v>
      </c>
      <c r="D393" t="s">
        <v>1993</v>
      </c>
      <c r="E393" t="s">
        <v>1913</v>
      </c>
      <c r="F393">
        <v>2007</v>
      </c>
      <c r="H393" t="s">
        <v>1878</v>
      </c>
      <c r="I393">
        <v>2</v>
      </c>
      <c r="J393" t="s">
        <v>3649</v>
      </c>
      <c r="K393" t="s">
        <v>14332</v>
      </c>
      <c r="L393" s="222">
        <v>9783442366866</v>
      </c>
      <c r="M393">
        <v>352</v>
      </c>
      <c r="O393" t="s">
        <v>3544</v>
      </c>
      <c r="P393">
        <v>305</v>
      </c>
      <c r="Q393">
        <v>2.72</v>
      </c>
    </row>
    <row r="394" spans="1:17" x14ac:dyDescent="0.25">
      <c r="A394">
        <v>1395</v>
      </c>
      <c r="B394" t="s">
        <v>3644</v>
      </c>
      <c r="C394" t="s">
        <v>3645</v>
      </c>
      <c r="D394" t="s">
        <v>3646</v>
      </c>
      <c r="H394" t="s">
        <v>1878</v>
      </c>
      <c r="I394">
        <v>2</v>
      </c>
      <c r="J394" t="s">
        <v>3303</v>
      </c>
      <c r="K394" t="s">
        <v>14332</v>
      </c>
      <c r="M394">
        <v>240</v>
      </c>
      <c r="O394" t="s">
        <v>3545</v>
      </c>
      <c r="P394">
        <v>220</v>
      </c>
      <c r="Q394">
        <v>2.5099999999999998</v>
      </c>
    </row>
    <row r="395" spans="1:17" x14ac:dyDescent="0.25">
      <c r="A395">
        <v>2649</v>
      </c>
      <c r="B395" t="s">
        <v>3647</v>
      </c>
      <c r="C395" t="s">
        <v>3648</v>
      </c>
      <c r="D395" t="s">
        <v>2103</v>
      </c>
      <c r="F395">
        <v>2012</v>
      </c>
      <c r="H395" t="s">
        <v>1878</v>
      </c>
      <c r="I395">
        <v>2</v>
      </c>
      <c r="J395" t="s">
        <v>3649</v>
      </c>
      <c r="K395" t="s">
        <v>14332</v>
      </c>
      <c r="L395" s="222">
        <v>4198106803604</v>
      </c>
      <c r="M395">
        <v>146</v>
      </c>
      <c r="O395" t="s">
        <v>3546</v>
      </c>
      <c r="P395">
        <v>92</v>
      </c>
      <c r="Q395">
        <v>1.97</v>
      </c>
    </row>
    <row r="396" spans="1:17" x14ac:dyDescent="0.25">
      <c r="A396">
        <v>2649</v>
      </c>
      <c r="B396" t="s">
        <v>3651</v>
      </c>
      <c r="C396" t="s">
        <v>3652</v>
      </c>
      <c r="D396" t="s">
        <v>2103</v>
      </c>
      <c r="F396">
        <v>2013</v>
      </c>
      <c r="H396" t="s">
        <v>1878</v>
      </c>
      <c r="I396">
        <v>2</v>
      </c>
      <c r="J396" t="s">
        <v>3653</v>
      </c>
      <c r="K396" t="s">
        <v>14332</v>
      </c>
      <c r="L396" s="222">
        <v>4198042705994</v>
      </c>
      <c r="M396">
        <v>290</v>
      </c>
      <c r="O396" t="s">
        <v>3547</v>
      </c>
      <c r="P396">
        <v>170</v>
      </c>
      <c r="Q396">
        <v>2.4</v>
      </c>
    </row>
    <row r="397" spans="1:17" x14ac:dyDescent="0.25">
      <c r="A397">
        <v>2649</v>
      </c>
      <c r="B397" t="s">
        <v>3655</v>
      </c>
      <c r="C397" t="s">
        <v>3656</v>
      </c>
      <c r="D397" t="s">
        <v>2103</v>
      </c>
      <c r="F397">
        <v>2012</v>
      </c>
      <c r="H397" t="s">
        <v>1878</v>
      </c>
      <c r="I397">
        <v>2</v>
      </c>
      <c r="J397" t="s">
        <v>3303</v>
      </c>
      <c r="K397" t="s">
        <v>14332</v>
      </c>
      <c r="L397" s="222">
        <v>4198106803604</v>
      </c>
      <c r="M397">
        <v>146</v>
      </c>
      <c r="O397" t="s">
        <v>3548</v>
      </c>
      <c r="P397">
        <v>93</v>
      </c>
      <c r="Q397">
        <v>1.97</v>
      </c>
    </row>
    <row r="398" spans="1:17" x14ac:dyDescent="0.25">
      <c r="A398">
        <v>2649</v>
      </c>
      <c r="B398" t="s">
        <v>3647</v>
      </c>
      <c r="C398" t="s">
        <v>3657</v>
      </c>
      <c r="D398" t="s">
        <v>2103</v>
      </c>
      <c r="F398">
        <v>2011</v>
      </c>
      <c r="H398" t="s">
        <v>1878</v>
      </c>
      <c r="I398">
        <v>2</v>
      </c>
      <c r="J398" t="s">
        <v>3658</v>
      </c>
      <c r="K398" t="s">
        <v>14332</v>
      </c>
      <c r="L398" s="222">
        <v>4198106803505</v>
      </c>
      <c r="M398">
        <v>146</v>
      </c>
      <c r="O398" t="s">
        <v>3549</v>
      </c>
      <c r="P398">
        <v>99</v>
      </c>
      <c r="Q398">
        <v>1.97</v>
      </c>
    </row>
    <row r="399" spans="1:17" x14ac:dyDescent="0.25">
      <c r="A399">
        <v>2649</v>
      </c>
      <c r="B399" t="s">
        <v>3647</v>
      </c>
      <c r="C399" t="s">
        <v>3660</v>
      </c>
      <c r="D399" t="s">
        <v>2103</v>
      </c>
      <c r="F399">
        <v>2011</v>
      </c>
      <c r="H399" t="s">
        <v>1878</v>
      </c>
      <c r="I399">
        <v>2</v>
      </c>
      <c r="J399" t="s">
        <v>3303</v>
      </c>
      <c r="K399" t="s">
        <v>14332</v>
      </c>
      <c r="L399" s="222">
        <v>4198106803604</v>
      </c>
      <c r="M399">
        <v>146</v>
      </c>
      <c r="O399" t="s">
        <v>3550</v>
      </c>
      <c r="P399">
        <v>93</v>
      </c>
      <c r="Q399">
        <v>1.97</v>
      </c>
    </row>
    <row r="400" spans="1:17" x14ac:dyDescent="0.25">
      <c r="A400">
        <v>2649</v>
      </c>
      <c r="B400" t="s">
        <v>3661</v>
      </c>
      <c r="C400" t="s">
        <v>3662</v>
      </c>
      <c r="D400" t="s">
        <v>2103</v>
      </c>
      <c r="F400">
        <v>2014</v>
      </c>
      <c r="H400" t="s">
        <v>1878</v>
      </c>
      <c r="I400">
        <v>2</v>
      </c>
      <c r="J400" t="s">
        <v>3658</v>
      </c>
      <c r="K400" t="s">
        <v>14332</v>
      </c>
      <c r="L400" s="222">
        <v>4198106805998</v>
      </c>
      <c r="M400">
        <v>290</v>
      </c>
      <c r="O400" t="s">
        <v>3551</v>
      </c>
      <c r="P400">
        <v>170</v>
      </c>
      <c r="Q400">
        <v>1.97</v>
      </c>
    </row>
    <row r="401" spans="1:17" x14ac:dyDescent="0.25">
      <c r="A401">
        <v>2649</v>
      </c>
      <c r="B401" t="s">
        <v>3664</v>
      </c>
      <c r="C401" t="s">
        <v>3665</v>
      </c>
      <c r="D401" t="s">
        <v>2103</v>
      </c>
      <c r="F401">
        <v>2000</v>
      </c>
      <c r="H401" t="s">
        <v>1878</v>
      </c>
      <c r="I401">
        <v>2</v>
      </c>
      <c r="J401" t="s">
        <v>3653</v>
      </c>
      <c r="K401" t="s">
        <v>14332</v>
      </c>
      <c r="L401" s="222">
        <v>4198107405500</v>
      </c>
      <c r="M401">
        <v>386</v>
      </c>
      <c r="O401" t="s">
        <v>3552</v>
      </c>
      <c r="P401">
        <v>238</v>
      </c>
      <c r="Q401">
        <v>3.79</v>
      </c>
    </row>
    <row r="402" spans="1:17" x14ac:dyDescent="0.25">
      <c r="A402">
        <v>2649</v>
      </c>
      <c r="B402" t="s">
        <v>3667</v>
      </c>
      <c r="C402" t="s">
        <v>3668</v>
      </c>
      <c r="D402" t="s">
        <v>2103</v>
      </c>
      <c r="F402">
        <v>2008</v>
      </c>
      <c r="H402" t="s">
        <v>1878</v>
      </c>
      <c r="I402">
        <v>2</v>
      </c>
      <c r="J402" t="s">
        <v>3669</v>
      </c>
      <c r="K402" t="s">
        <v>14332</v>
      </c>
      <c r="L402" s="222">
        <v>4198106803505</v>
      </c>
      <c r="M402">
        <v>146</v>
      </c>
      <c r="O402" t="s">
        <v>3553</v>
      </c>
      <c r="P402">
        <v>94</v>
      </c>
      <c r="Q402">
        <v>1.97</v>
      </c>
    </row>
    <row r="403" spans="1:17" x14ac:dyDescent="0.25">
      <c r="A403">
        <v>690</v>
      </c>
      <c r="B403" t="s">
        <v>3670</v>
      </c>
      <c r="C403" t="s">
        <v>3671</v>
      </c>
      <c r="D403" t="s">
        <v>807</v>
      </c>
      <c r="E403" t="s">
        <v>2014</v>
      </c>
      <c r="F403">
        <v>2004</v>
      </c>
      <c r="H403" t="s">
        <v>1878</v>
      </c>
      <c r="I403">
        <v>2</v>
      </c>
      <c r="J403" t="s">
        <v>14474</v>
      </c>
      <c r="K403" t="s">
        <v>14332</v>
      </c>
      <c r="L403" s="222">
        <v>9783551311054</v>
      </c>
      <c r="M403">
        <v>160</v>
      </c>
      <c r="O403" t="s">
        <v>3554</v>
      </c>
      <c r="P403">
        <v>179</v>
      </c>
      <c r="Q403">
        <v>2.4</v>
      </c>
    </row>
    <row r="404" spans="1:17" x14ac:dyDescent="0.25">
      <c r="A404">
        <v>764</v>
      </c>
      <c r="C404" t="s">
        <v>3674</v>
      </c>
      <c r="D404" t="s">
        <v>3675</v>
      </c>
      <c r="E404" t="s">
        <v>1913</v>
      </c>
      <c r="F404">
        <v>1997</v>
      </c>
      <c r="H404" t="s">
        <v>1878</v>
      </c>
      <c r="I404">
        <v>2</v>
      </c>
      <c r="J404" t="s">
        <v>2237</v>
      </c>
      <c r="K404" t="s">
        <v>14332</v>
      </c>
      <c r="L404" s="222">
        <v>9783923214730</v>
      </c>
      <c r="M404">
        <v>240</v>
      </c>
      <c r="O404" t="s">
        <v>3555</v>
      </c>
      <c r="P404">
        <v>323</v>
      </c>
      <c r="Q404">
        <v>1.72</v>
      </c>
    </row>
    <row r="405" spans="1:17" x14ac:dyDescent="0.25">
      <c r="A405">
        <v>1395</v>
      </c>
      <c r="B405" t="s">
        <v>3677</v>
      </c>
      <c r="C405" t="s">
        <v>3678</v>
      </c>
      <c r="D405" t="s">
        <v>2609</v>
      </c>
      <c r="F405">
        <v>2007</v>
      </c>
      <c r="H405" t="s">
        <v>1878</v>
      </c>
      <c r="I405">
        <v>2</v>
      </c>
      <c r="J405" t="s">
        <v>14475</v>
      </c>
      <c r="K405" t="s">
        <v>14332</v>
      </c>
      <c r="L405" s="222">
        <v>9783502110316</v>
      </c>
      <c r="M405">
        <v>384</v>
      </c>
      <c r="O405" t="s">
        <v>3556</v>
      </c>
      <c r="P405">
        <v>490</v>
      </c>
      <c r="Q405">
        <v>0.52</v>
      </c>
    </row>
    <row r="406" spans="1:17" x14ac:dyDescent="0.25">
      <c r="A406">
        <v>721</v>
      </c>
      <c r="C406" t="s">
        <v>3681</v>
      </c>
      <c r="D406" t="s">
        <v>3682</v>
      </c>
      <c r="F406">
        <v>2009</v>
      </c>
      <c r="H406" t="s">
        <v>1878</v>
      </c>
      <c r="I406">
        <v>2</v>
      </c>
      <c r="J406" t="s">
        <v>2237</v>
      </c>
      <c r="K406" t="s">
        <v>14332</v>
      </c>
      <c r="L406" s="222">
        <v>4016491016792</v>
      </c>
      <c r="M406">
        <v>64</v>
      </c>
      <c r="O406" t="s">
        <v>3557</v>
      </c>
      <c r="P406">
        <v>88</v>
      </c>
      <c r="Q406">
        <v>1.72</v>
      </c>
    </row>
    <row r="407" spans="1:17" x14ac:dyDescent="0.25">
      <c r="A407">
        <v>632</v>
      </c>
      <c r="B407" t="s">
        <v>3687</v>
      </c>
      <c r="C407" t="s">
        <v>3688</v>
      </c>
      <c r="F407">
        <v>2014</v>
      </c>
      <c r="H407" t="s">
        <v>2295</v>
      </c>
      <c r="I407">
        <v>2</v>
      </c>
      <c r="J407" t="s">
        <v>3653</v>
      </c>
      <c r="K407" t="s">
        <v>14332</v>
      </c>
      <c r="M407">
        <v>642</v>
      </c>
      <c r="O407" t="s">
        <v>3559</v>
      </c>
      <c r="P407">
        <v>673</v>
      </c>
      <c r="Q407">
        <v>2.8</v>
      </c>
    </row>
    <row r="408" spans="1:17" x14ac:dyDescent="0.25">
      <c r="A408">
        <v>2553</v>
      </c>
      <c r="B408" t="s">
        <v>3689</v>
      </c>
      <c r="C408" t="s">
        <v>3690</v>
      </c>
      <c r="D408" t="s">
        <v>2453</v>
      </c>
      <c r="E408" t="s">
        <v>1913</v>
      </c>
      <c r="F408">
        <v>2006</v>
      </c>
      <c r="H408" t="s">
        <v>1878</v>
      </c>
      <c r="I408">
        <v>2</v>
      </c>
      <c r="J408" t="s">
        <v>2237</v>
      </c>
      <c r="K408" t="s">
        <v>14332</v>
      </c>
      <c r="L408" s="222">
        <v>9783570302064</v>
      </c>
      <c r="M408">
        <v>256</v>
      </c>
      <c r="O408" t="s">
        <v>3560</v>
      </c>
      <c r="P408">
        <v>279</v>
      </c>
      <c r="Q408">
        <v>1.93</v>
      </c>
    </row>
    <row r="409" spans="1:17" x14ac:dyDescent="0.25">
      <c r="A409">
        <v>796</v>
      </c>
      <c r="B409" t="s">
        <v>3692</v>
      </c>
      <c r="C409" t="s">
        <v>3693</v>
      </c>
      <c r="D409" t="s">
        <v>1920</v>
      </c>
      <c r="F409">
        <v>2013</v>
      </c>
      <c r="H409" t="s">
        <v>3694</v>
      </c>
      <c r="I409">
        <v>2</v>
      </c>
      <c r="J409" t="s">
        <v>2237</v>
      </c>
      <c r="K409" t="s">
        <v>14332</v>
      </c>
      <c r="L409" s="222">
        <v>9783404168460</v>
      </c>
      <c r="M409">
        <v>480</v>
      </c>
      <c r="O409" t="s">
        <v>3561</v>
      </c>
      <c r="P409">
        <v>409</v>
      </c>
      <c r="Q409">
        <v>1.97</v>
      </c>
    </row>
    <row r="410" spans="1:17" x14ac:dyDescent="0.25">
      <c r="A410">
        <v>1312</v>
      </c>
      <c r="B410" t="s">
        <v>3696</v>
      </c>
      <c r="C410" t="s">
        <v>3697</v>
      </c>
      <c r="D410" t="s">
        <v>3212</v>
      </c>
      <c r="F410">
        <v>2000</v>
      </c>
      <c r="H410" t="s">
        <v>2295</v>
      </c>
      <c r="I410">
        <v>1</v>
      </c>
      <c r="K410" t="s">
        <v>14332</v>
      </c>
      <c r="L410" s="222">
        <v>9783629003584</v>
      </c>
      <c r="M410">
        <v>66</v>
      </c>
      <c r="O410" t="s">
        <v>3562</v>
      </c>
      <c r="P410">
        <v>324</v>
      </c>
      <c r="Q410">
        <v>1.93</v>
      </c>
    </row>
    <row r="411" spans="1:17" x14ac:dyDescent="0.25">
      <c r="A411">
        <v>796</v>
      </c>
      <c r="B411" t="s">
        <v>3701</v>
      </c>
      <c r="C411" t="s">
        <v>3702</v>
      </c>
      <c r="D411" t="s">
        <v>2036</v>
      </c>
      <c r="F411">
        <v>2001</v>
      </c>
      <c r="H411" t="s">
        <v>2295</v>
      </c>
      <c r="I411">
        <v>2</v>
      </c>
      <c r="J411" t="s">
        <v>3704</v>
      </c>
      <c r="K411" t="s">
        <v>14332</v>
      </c>
      <c r="L411" s="222">
        <v>9783828969469</v>
      </c>
      <c r="M411">
        <v>466</v>
      </c>
      <c r="O411" t="s">
        <v>3564</v>
      </c>
      <c r="P411">
        <v>660</v>
      </c>
      <c r="Q411">
        <v>2.2200000000000002</v>
      </c>
    </row>
    <row r="412" spans="1:17" x14ac:dyDescent="0.25">
      <c r="A412">
        <v>1875</v>
      </c>
      <c r="B412" t="s">
        <v>3710</v>
      </c>
      <c r="C412" t="s">
        <v>3708</v>
      </c>
      <c r="D412" t="s">
        <v>3709</v>
      </c>
      <c r="F412">
        <v>2002</v>
      </c>
      <c r="H412" t="s">
        <v>2295</v>
      </c>
      <c r="I412">
        <v>1</v>
      </c>
      <c r="J412" t="s">
        <v>2884</v>
      </c>
      <c r="K412" t="s">
        <v>14332</v>
      </c>
      <c r="L412" s="222">
        <v>9783890085432</v>
      </c>
      <c r="O412" t="s">
        <v>3566</v>
      </c>
      <c r="P412">
        <v>220</v>
      </c>
      <c r="Q412">
        <v>3.04</v>
      </c>
    </row>
    <row r="413" spans="1:17" x14ac:dyDescent="0.25">
      <c r="A413">
        <v>765</v>
      </c>
      <c r="B413" t="s">
        <v>3715</v>
      </c>
      <c r="C413" t="s">
        <v>3716</v>
      </c>
      <c r="D413" t="s">
        <v>2309</v>
      </c>
      <c r="E413" t="s">
        <v>1913</v>
      </c>
      <c r="F413">
        <v>2007</v>
      </c>
      <c r="H413" t="s">
        <v>1878</v>
      </c>
      <c r="I413">
        <v>2</v>
      </c>
      <c r="J413" t="s">
        <v>3303</v>
      </c>
      <c r="K413" t="s">
        <v>14332</v>
      </c>
      <c r="L413" s="222">
        <v>9783548367453</v>
      </c>
      <c r="M413">
        <v>144</v>
      </c>
      <c r="O413" t="s">
        <v>3568</v>
      </c>
      <c r="P413">
        <v>132</v>
      </c>
      <c r="Q413">
        <v>3.69</v>
      </c>
    </row>
    <row r="414" spans="1:17" x14ac:dyDescent="0.25">
      <c r="A414">
        <v>643</v>
      </c>
      <c r="B414" t="s">
        <v>3718</v>
      </c>
      <c r="C414" t="s">
        <v>3719</v>
      </c>
      <c r="D414" t="s">
        <v>2257</v>
      </c>
      <c r="H414" t="s">
        <v>1878</v>
      </c>
      <c r="I414">
        <v>2</v>
      </c>
      <c r="J414" t="s">
        <v>3653</v>
      </c>
      <c r="K414" t="s">
        <v>14332</v>
      </c>
      <c r="L414" s="222">
        <v>9783426014745</v>
      </c>
      <c r="O414" t="s">
        <v>3569</v>
      </c>
      <c r="P414">
        <v>419</v>
      </c>
      <c r="Q414">
        <v>1.82</v>
      </c>
    </row>
    <row r="415" spans="1:17" x14ac:dyDescent="0.25">
      <c r="A415">
        <v>2410</v>
      </c>
      <c r="B415" t="s">
        <v>3721</v>
      </c>
      <c r="C415" t="s">
        <v>3722</v>
      </c>
      <c r="D415" t="s">
        <v>2007</v>
      </c>
      <c r="F415">
        <v>2011</v>
      </c>
      <c r="H415" t="s">
        <v>2008</v>
      </c>
      <c r="I415">
        <v>2</v>
      </c>
      <c r="J415" t="s">
        <v>2237</v>
      </c>
      <c r="K415" t="s">
        <v>14332</v>
      </c>
      <c r="L415" s="222">
        <v>9783150096499</v>
      </c>
      <c r="M415">
        <v>360</v>
      </c>
      <c r="O415" t="s">
        <v>3570</v>
      </c>
      <c r="P415">
        <v>153</v>
      </c>
      <c r="Q415">
        <v>1.97</v>
      </c>
    </row>
    <row r="416" spans="1:17" x14ac:dyDescent="0.25">
      <c r="A416">
        <v>2522</v>
      </c>
      <c r="B416" t="s">
        <v>2191</v>
      </c>
      <c r="C416" t="s">
        <v>3724</v>
      </c>
      <c r="D416" t="s">
        <v>1912</v>
      </c>
      <c r="E416" t="s">
        <v>2335</v>
      </c>
      <c r="F416">
        <v>2004</v>
      </c>
      <c r="H416" t="s">
        <v>1878</v>
      </c>
      <c r="I416">
        <v>2</v>
      </c>
      <c r="J416" t="s">
        <v>3006</v>
      </c>
      <c r="K416" t="s">
        <v>14332</v>
      </c>
      <c r="L416" s="222">
        <v>9783442457786</v>
      </c>
      <c r="M416">
        <v>448</v>
      </c>
      <c r="O416" t="s">
        <v>3571</v>
      </c>
      <c r="P416">
        <v>349</v>
      </c>
      <c r="Q416">
        <v>1.72</v>
      </c>
    </row>
    <row r="417" spans="1:17" x14ac:dyDescent="0.25">
      <c r="A417">
        <v>2518</v>
      </c>
      <c r="B417" t="s">
        <v>3726</v>
      </c>
      <c r="C417" t="s">
        <v>3727</v>
      </c>
      <c r="D417" t="s">
        <v>2250</v>
      </c>
      <c r="E417" t="s">
        <v>1913</v>
      </c>
      <c r="F417">
        <v>2004</v>
      </c>
      <c r="H417" t="s">
        <v>1878</v>
      </c>
      <c r="I417">
        <v>2</v>
      </c>
      <c r="J417" t="s">
        <v>2237</v>
      </c>
      <c r="K417" t="s">
        <v>14332</v>
      </c>
      <c r="L417" s="222">
        <v>9783886198849</v>
      </c>
      <c r="M417">
        <v>288</v>
      </c>
      <c r="O417" t="s">
        <v>3572</v>
      </c>
      <c r="P417">
        <v>278</v>
      </c>
      <c r="Q417">
        <v>2.19</v>
      </c>
    </row>
    <row r="418" spans="1:17" x14ac:dyDescent="0.25">
      <c r="A418">
        <v>2522</v>
      </c>
      <c r="B418" t="s">
        <v>3733</v>
      </c>
      <c r="C418" t="s">
        <v>3734</v>
      </c>
      <c r="D418" t="s">
        <v>2209</v>
      </c>
      <c r="F418">
        <v>2014</v>
      </c>
      <c r="H418" t="s">
        <v>1878</v>
      </c>
      <c r="I418">
        <v>2</v>
      </c>
      <c r="J418" t="e" cm="1">
        <f t="array" ref="J418">- MÄNGELEXEMPLAR - sonst wie neu</f>
        <v>#NAME?</v>
      </c>
      <c r="K418" t="s">
        <v>14332</v>
      </c>
      <c r="L418" s="222">
        <v>9783453410725</v>
      </c>
      <c r="M418">
        <v>480</v>
      </c>
      <c r="O418" t="s">
        <v>3574</v>
      </c>
      <c r="P418">
        <v>399</v>
      </c>
      <c r="Q418">
        <v>1.76</v>
      </c>
    </row>
    <row r="419" spans="1:17" x14ac:dyDescent="0.25">
      <c r="A419">
        <v>2522</v>
      </c>
      <c r="B419" t="s">
        <v>3741</v>
      </c>
      <c r="C419" t="s">
        <v>3742</v>
      </c>
      <c r="D419" t="s">
        <v>1920</v>
      </c>
      <c r="F419">
        <v>2013</v>
      </c>
      <c r="H419" t="s">
        <v>1878</v>
      </c>
      <c r="I419">
        <v>2</v>
      </c>
      <c r="J419" t="e" cm="1">
        <f t="array" ref="J419">- MÄNGELEXEMPLAR - sonst guter Zustand</f>
        <v>#NAME?</v>
      </c>
      <c r="K419" t="s">
        <v>14332</v>
      </c>
      <c r="L419" s="222">
        <v>9783404167791</v>
      </c>
      <c r="M419">
        <v>576</v>
      </c>
      <c r="O419" t="s">
        <v>3576</v>
      </c>
      <c r="P419">
        <v>494</v>
      </c>
      <c r="Q419">
        <v>0.73</v>
      </c>
    </row>
    <row r="420" spans="1:17" x14ac:dyDescent="0.25">
      <c r="A420">
        <v>632</v>
      </c>
      <c r="B420" t="s">
        <v>3756</v>
      </c>
      <c r="C420" t="s">
        <v>3757</v>
      </c>
      <c r="D420" t="s">
        <v>3758</v>
      </c>
      <c r="F420">
        <v>1996</v>
      </c>
      <c r="H420" t="s">
        <v>2295</v>
      </c>
      <c r="I420">
        <v>1</v>
      </c>
      <c r="K420" t="s">
        <v>14332</v>
      </c>
      <c r="L420" s="222">
        <v>9783545341432</v>
      </c>
      <c r="M420">
        <v>176</v>
      </c>
      <c r="O420" t="s">
        <v>3577</v>
      </c>
      <c r="P420">
        <v>290</v>
      </c>
      <c r="Q420">
        <v>12.14</v>
      </c>
    </row>
    <row r="421" spans="1:17" x14ac:dyDescent="0.25">
      <c r="A421">
        <v>1928</v>
      </c>
      <c r="C421" t="s">
        <v>3760</v>
      </c>
      <c r="D421" t="s">
        <v>3761</v>
      </c>
      <c r="F421">
        <v>2010</v>
      </c>
      <c r="H421" t="s">
        <v>2217</v>
      </c>
      <c r="I421">
        <v>1</v>
      </c>
      <c r="K421" t="s">
        <v>14332</v>
      </c>
      <c r="L421" s="222">
        <v>9783905851205</v>
      </c>
      <c r="M421">
        <v>306</v>
      </c>
      <c r="O421" t="s">
        <v>3578</v>
      </c>
      <c r="P421">
        <v>323</v>
      </c>
      <c r="Q421">
        <v>1.93</v>
      </c>
    </row>
    <row r="422" spans="1:17" x14ac:dyDescent="0.25">
      <c r="A422">
        <v>1985</v>
      </c>
      <c r="B422" t="s">
        <v>3763</v>
      </c>
      <c r="C422" t="s">
        <v>3764</v>
      </c>
      <c r="D422" t="s">
        <v>2897</v>
      </c>
      <c r="E422" t="s">
        <v>1913</v>
      </c>
      <c r="F422">
        <v>2010</v>
      </c>
      <c r="H422" t="s">
        <v>1878</v>
      </c>
      <c r="I422">
        <v>1</v>
      </c>
      <c r="K422" t="s">
        <v>14332</v>
      </c>
      <c r="L422" s="222">
        <v>9783896673459</v>
      </c>
      <c r="M422">
        <v>560</v>
      </c>
      <c r="O422" t="s">
        <v>3579</v>
      </c>
      <c r="P422">
        <v>735</v>
      </c>
      <c r="Q422">
        <v>5.68</v>
      </c>
    </row>
    <row r="423" spans="1:17" x14ac:dyDescent="0.25">
      <c r="A423">
        <v>721</v>
      </c>
      <c r="C423" t="s">
        <v>3766</v>
      </c>
      <c r="D423" t="s">
        <v>3057</v>
      </c>
      <c r="H423" t="s">
        <v>1878</v>
      </c>
      <c r="I423">
        <v>2</v>
      </c>
      <c r="J423" t="s">
        <v>2237</v>
      </c>
      <c r="K423" t="s">
        <v>14332</v>
      </c>
      <c r="L423" s="222">
        <v>9783440098264</v>
      </c>
      <c r="M423">
        <v>128</v>
      </c>
      <c r="O423" t="s">
        <v>3580</v>
      </c>
      <c r="P423">
        <v>351</v>
      </c>
      <c r="Q423">
        <v>2.4700000000000002</v>
      </c>
    </row>
    <row r="424" spans="1:17" x14ac:dyDescent="0.25">
      <c r="A424">
        <v>688</v>
      </c>
      <c r="B424" t="s">
        <v>3712</v>
      </c>
      <c r="C424" t="s">
        <v>3773</v>
      </c>
      <c r="D424" t="s">
        <v>2209</v>
      </c>
      <c r="F424">
        <v>2006</v>
      </c>
      <c r="H424" t="s">
        <v>1878</v>
      </c>
      <c r="I424">
        <v>2</v>
      </c>
      <c r="J424" t="e" cm="1">
        <f t="array" ref="J424">- MÄNGELEXEMPLAR - sehr guter Zustand</f>
        <v>#NAME?</v>
      </c>
      <c r="K424" t="s">
        <v>14332</v>
      </c>
      <c r="L424" s="222">
        <v>9783453521377</v>
      </c>
      <c r="M424">
        <v>896</v>
      </c>
      <c r="O424" t="s">
        <v>3583</v>
      </c>
      <c r="P424">
        <v>730</v>
      </c>
      <c r="Q424">
        <v>2.86</v>
      </c>
    </row>
    <row r="425" spans="1:17" x14ac:dyDescent="0.25">
      <c r="A425">
        <v>2410</v>
      </c>
      <c r="B425" t="s">
        <v>3721</v>
      </c>
      <c r="C425" t="s">
        <v>3776</v>
      </c>
      <c r="D425" t="s">
        <v>2007</v>
      </c>
      <c r="F425">
        <v>2002</v>
      </c>
      <c r="H425" t="s">
        <v>2008</v>
      </c>
      <c r="I425">
        <v>2</v>
      </c>
      <c r="J425" t="s">
        <v>2237</v>
      </c>
      <c r="K425" t="s">
        <v>14332</v>
      </c>
      <c r="L425" s="222">
        <v>9783150096215</v>
      </c>
      <c r="M425">
        <v>336</v>
      </c>
      <c r="O425" t="s">
        <v>3584</v>
      </c>
      <c r="P425">
        <v>151</v>
      </c>
      <c r="Q425">
        <v>2.4700000000000002</v>
      </c>
    </row>
    <row r="426" spans="1:17" x14ac:dyDescent="0.25">
      <c r="A426">
        <v>2522</v>
      </c>
      <c r="B426" t="s">
        <v>3784</v>
      </c>
      <c r="C426" t="s">
        <v>3785</v>
      </c>
      <c r="D426" t="s">
        <v>2054</v>
      </c>
      <c r="F426">
        <v>2008</v>
      </c>
      <c r="H426" t="s">
        <v>1878</v>
      </c>
      <c r="I426">
        <v>2</v>
      </c>
      <c r="J426" t="s">
        <v>3303</v>
      </c>
      <c r="K426" t="s">
        <v>14332</v>
      </c>
      <c r="L426" s="222">
        <v>9783863652210</v>
      </c>
      <c r="M426">
        <v>400</v>
      </c>
      <c r="O426" t="s">
        <v>3587</v>
      </c>
      <c r="P426">
        <v>397</v>
      </c>
      <c r="Q426">
        <v>1.72</v>
      </c>
    </row>
    <row r="427" spans="1:17" x14ac:dyDescent="0.25">
      <c r="A427">
        <v>2510</v>
      </c>
      <c r="B427" t="s">
        <v>3787</v>
      </c>
      <c r="C427" t="s">
        <v>3788</v>
      </c>
      <c r="D427" t="s">
        <v>3789</v>
      </c>
      <c r="F427">
        <v>2006</v>
      </c>
      <c r="H427" t="s">
        <v>2295</v>
      </c>
      <c r="I427">
        <v>2</v>
      </c>
      <c r="J427" t="s">
        <v>2237</v>
      </c>
      <c r="K427" t="s">
        <v>14332</v>
      </c>
      <c r="L427" s="222">
        <v>9783854529194</v>
      </c>
      <c r="M427">
        <v>134</v>
      </c>
      <c r="O427" t="s">
        <v>3588</v>
      </c>
      <c r="P427">
        <v>211</v>
      </c>
      <c r="Q427">
        <v>5.51</v>
      </c>
    </row>
    <row r="428" spans="1:17" x14ac:dyDescent="0.25">
      <c r="A428">
        <v>632</v>
      </c>
      <c r="B428" t="s">
        <v>2467</v>
      </c>
      <c r="C428" t="s">
        <v>3799</v>
      </c>
      <c r="D428" t="s">
        <v>2257</v>
      </c>
      <c r="E428" t="s">
        <v>2014</v>
      </c>
      <c r="F428">
        <v>2010</v>
      </c>
      <c r="H428" t="s">
        <v>1878</v>
      </c>
      <c r="I428">
        <v>2</v>
      </c>
      <c r="J428" t="s">
        <v>3006</v>
      </c>
      <c r="K428" t="s">
        <v>14332</v>
      </c>
      <c r="L428" s="222">
        <v>9783426508756</v>
      </c>
      <c r="M428">
        <v>464</v>
      </c>
      <c r="O428" t="s">
        <v>3591</v>
      </c>
      <c r="P428">
        <v>302</v>
      </c>
      <c r="Q428">
        <v>2.94</v>
      </c>
    </row>
    <row r="429" spans="1:17" x14ac:dyDescent="0.25">
      <c r="A429">
        <v>632</v>
      </c>
      <c r="B429" t="s">
        <v>3801</v>
      </c>
      <c r="C429" t="s">
        <v>3802</v>
      </c>
      <c r="D429" t="s">
        <v>1993</v>
      </c>
      <c r="E429" t="s">
        <v>1913</v>
      </c>
      <c r="F429">
        <v>2010</v>
      </c>
      <c r="H429" t="s">
        <v>1878</v>
      </c>
      <c r="I429">
        <v>2</v>
      </c>
      <c r="J429" t="s">
        <v>2237</v>
      </c>
      <c r="K429" t="s">
        <v>14332</v>
      </c>
      <c r="L429" s="222">
        <v>9783764503710</v>
      </c>
      <c r="M429">
        <v>512</v>
      </c>
      <c r="O429" t="s">
        <v>3745</v>
      </c>
      <c r="P429">
        <v>631</v>
      </c>
      <c r="Q429">
        <v>2.2200000000000002</v>
      </c>
    </row>
    <row r="430" spans="1:17" x14ac:dyDescent="0.25">
      <c r="A430">
        <v>632</v>
      </c>
      <c r="B430" t="s">
        <v>3804</v>
      </c>
      <c r="C430" t="s">
        <v>3805</v>
      </c>
      <c r="D430" t="s">
        <v>1993</v>
      </c>
      <c r="E430" t="s">
        <v>1877</v>
      </c>
      <c r="F430">
        <v>2010</v>
      </c>
      <c r="H430" t="s">
        <v>1878</v>
      </c>
      <c r="I430">
        <v>2</v>
      </c>
      <c r="J430" t="s">
        <v>14476</v>
      </c>
      <c r="K430" t="s">
        <v>14332</v>
      </c>
      <c r="L430" s="222">
        <v>9783442374847</v>
      </c>
      <c r="M430">
        <v>544</v>
      </c>
      <c r="O430" t="s">
        <v>3746</v>
      </c>
      <c r="P430">
        <v>448</v>
      </c>
      <c r="Q430">
        <v>1.97</v>
      </c>
    </row>
    <row r="431" spans="1:17" x14ac:dyDescent="0.25">
      <c r="A431">
        <v>2576</v>
      </c>
      <c r="B431" t="s">
        <v>3808</v>
      </c>
      <c r="C431" t="s">
        <v>3809</v>
      </c>
      <c r="F431">
        <v>2008</v>
      </c>
      <c r="H431" t="s">
        <v>1878</v>
      </c>
      <c r="I431">
        <v>2</v>
      </c>
      <c r="J431" t="s">
        <v>3303</v>
      </c>
      <c r="K431" t="s">
        <v>14339</v>
      </c>
      <c r="L431" s="222">
        <v>9781904233916</v>
      </c>
      <c r="M431">
        <v>564</v>
      </c>
      <c r="O431" t="s">
        <v>3747</v>
      </c>
      <c r="P431">
        <v>369</v>
      </c>
      <c r="Q431">
        <v>1.72</v>
      </c>
    </row>
    <row r="432" spans="1:17" x14ac:dyDescent="0.25">
      <c r="A432">
        <v>1395</v>
      </c>
      <c r="B432" t="s">
        <v>3811</v>
      </c>
      <c r="C432" t="s">
        <v>3812</v>
      </c>
      <c r="D432" t="s">
        <v>1912</v>
      </c>
      <c r="E432" t="s">
        <v>1913</v>
      </c>
      <c r="F432">
        <v>2010</v>
      </c>
      <c r="H432" t="s">
        <v>1878</v>
      </c>
      <c r="I432">
        <v>2</v>
      </c>
      <c r="J432" t="s">
        <v>3303</v>
      </c>
      <c r="K432" t="s">
        <v>14332</v>
      </c>
      <c r="L432" s="222">
        <v>9783442471683</v>
      </c>
      <c r="M432">
        <v>288</v>
      </c>
      <c r="O432" t="s">
        <v>3748</v>
      </c>
      <c r="P432">
        <v>238</v>
      </c>
      <c r="Q432">
        <v>1.72</v>
      </c>
    </row>
    <row r="433" spans="1:17" x14ac:dyDescent="0.25">
      <c r="A433">
        <v>1984</v>
      </c>
      <c r="B433" t="s">
        <v>3824</v>
      </c>
      <c r="C433" t="s">
        <v>3825</v>
      </c>
      <c r="D433" t="s">
        <v>1979</v>
      </c>
      <c r="F433">
        <v>2011</v>
      </c>
      <c r="H433" t="s">
        <v>2295</v>
      </c>
      <c r="I433">
        <v>2</v>
      </c>
      <c r="J433" t="s">
        <v>2237</v>
      </c>
      <c r="K433" t="s">
        <v>14332</v>
      </c>
      <c r="L433" s="222">
        <v>9783473362479</v>
      </c>
      <c r="M433">
        <v>140</v>
      </c>
      <c r="O433" t="s">
        <v>3749</v>
      </c>
      <c r="P433">
        <v>487</v>
      </c>
      <c r="Q433">
        <v>2.36</v>
      </c>
    </row>
    <row r="434" spans="1:17" x14ac:dyDescent="0.25">
      <c r="A434">
        <v>632</v>
      </c>
      <c r="B434" t="s">
        <v>3233</v>
      </c>
      <c r="C434" t="s">
        <v>3829</v>
      </c>
      <c r="D434" t="s">
        <v>2257</v>
      </c>
      <c r="F434">
        <v>2017</v>
      </c>
      <c r="H434" t="s">
        <v>1878</v>
      </c>
      <c r="I434">
        <v>2</v>
      </c>
      <c r="J434" t="s">
        <v>3830</v>
      </c>
      <c r="K434" t="s">
        <v>14332</v>
      </c>
      <c r="L434" s="222">
        <v>9783426504116</v>
      </c>
      <c r="M434">
        <v>624</v>
      </c>
      <c r="O434" t="s">
        <v>3751</v>
      </c>
      <c r="P434">
        <v>472</v>
      </c>
      <c r="Q434">
        <v>2.5099999999999998</v>
      </c>
    </row>
    <row r="435" spans="1:17" x14ac:dyDescent="0.25">
      <c r="A435">
        <v>2518</v>
      </c>
      <c r="B435" t="s">
        <v>3835</v>
      </c>
      <c r="C435" t="s">
        <v>3836</v>
      </c>
      <c r="D435" t="s">
        <v>2054</v>
      </c>
      <c r="F435">
        <v>2010</v>
      </c>
      <c r="H435" t="s">
        <v>1878</v>
      </c>
      <c r="I435">
        <v>2</v>
      </c>
      <c r="J435" t="s">
        <v>3303</v>
      </c>
      <c r="K435" t="s">
        <v>14332</v>
      </c>
      <c r="L435" s="222">
        <v>9783868000832</v>
      </c>
      <c r="M435">
        <v>352</v>
      </c>
      <c r="O435" t="s">
        <v>3753</v>
      </c>
      <c r="P435">
        <v>348</v>
      </c>
      <c r="Q435">
        <v>2.5099999999999998</v>
      </c>
    </row>
    <row r="436" spans="1:17" x14ac:dyDescent="0.25">
      <c r="A436">
        <v>632</v>
      </c>
      <c r="B436" t="s">
        <v>3838</v>
      </c>
      <c r="C436" t="s">
        <v>3839</v>
      </c>
      <c r="D436" t="s">
        <v>2309</v>
      </c>
      <c r="F436">
        <v>2001</v>
      </c>
      <c r="H436" t="s">
        <v>1878</v>
      </c>
      <c r="I436">
        <v>2</v>
      </c>
      <c r="J436" t="s">
        <v>3840</v>
      </c>
      <c r="K436" t="s">
        <v>14332</v>
      </c>
      <c r="L436" s="222">
        <v>9783548253435</v>
      </c>
      <c r="M436">
        <v>448</v>
      </c>
      <c r="O436" t="s">
        <v>3754</v>
      </c>
      <c r="P436">
        <v>302</v>
      </c>
      <c r="Q436">
        <v>2.5099999999999998</v>
      </c>
    </row>
    <row r="437" spans="1:17" x14ac:dyDescent="0.25">
      <c r="A437">
        <v>632</v>
      </c>
      <c r="B437" t="s">
        <v>3233</v>
      </c>
      <c r="C437" t="s">
        <v>3842</v>
      </c>
      <c r="D437" t="s">
        <v>2257</v>
      </c>
      <c r="F437">
        <v>2004</v>
      </c>
      <c r="H437" t="s">
        <v>1878</v>
      </c>
      <c r="I437">
        <v>2</v>
      </c>
      <c r="J437" t="s">
        <v>3840</v>
      </c>
      <c r="K437" t="s">
        <v>14332</v>
      </c>
      <c r="M437">
        <v>624</v>
      </c>
      <c r="O437" t="s">
        <v>3755</v>
      </c>
      <c r="P437">
        <v>442</v>
      </c>
      <c r="Q437">
        <v>2.5099999999999998</v>
      </c>
    </row>
    <row r="438" spans="1:17" x14ac:dyDescent="0.25">
      <c r="A438">
        <v>2851</v>
      </c>
      <c r="B438" t="s">
        <v>3843</v>
      </c>
      <c r="C438" t="s">
        <v>3844</v>
      </c>
      <c r="D438" t="s">
        <v>2424</v>
      </c>
      <c r="F438">
        <v>2000</v>
      </c>
      <c r="H438" t="s">
        <v>1878</v>
      </c>
      <c r="I438">
        <v>2</v>
      </c>
      <c r="J438" t="s">
        <v>3303</v>
      </c>
      <c r="K438" t="s">
        <v>14332</v>
      </c>
      <c r="L438" s="222">
        <v>9783453177222</v>
      </c>
      <c r="M438">
        <v>560</v>
      </c>
      <c r="O438" t="s">
        <v>3815</v>
      </c>
      <c r="P438">
        <v>534</v>
      </c>
      <c r="Q438">
        <v>3.01</v>
      </c>
    </row>
    <row r="439" spans="1:17" x14ac:dyDescent="0.25">
      <c r="A439">
        <v>632</v>
      </c>
      <c r="B439" t="s">
        <v>3846</v>
      </c>
      <c r="C439" t="s">
        <v>3847</v>
      </c>
      <c r="D439" t="s">
        <v>1920</v>
      </c>
      <c r="E439" t="s">
        <v>2175</v>
      </c>
      <c r="F439">
        <v>2010</v>
      </c>
      <c r="H439" t="s">
        <v>1878</v>
      </c>
      <c r="I439">
        <v>2</v>
      </c>
      <c r="J439" t="s">
        <v>3303</v>
      </c>
      <c r="K439" t="s">
        <v>14332</v>
      </c>
      <c r="L439" s="222">
        <v>9783404153961</v>
      </c>
      <c r="M439">
        <v>800</v>
      </c>
      <c r="O439" t="s">
        <v>3816</v>
      </c>
      <c r="P439">
        <v>584</v>
      </c>
      <c r="Q439">
        <v>3.01</v>
      </c>
    </row>
    <row r="440" spans="1:17" x14ac:dyDescent="0.25">
      <c r="A440">
        <v>1720</v>
      </c>
      <c r="B440" t="s">
        <v>3849</v>
      </c>
      <c r="C440" t="s">
        <v>3850</v>
      </c>
      <c r="D440" t="s">
        <v>1988</v>
      </c>
      <c r="F440">
        <v>1999</v>
      </c>
      <c r="H440" t="s">
        <v>1878</v>
      </c>
      <c r="I440">
        <v>2</v>
      </c>
      <c r="J440" t="s">
        <v>3303</v>
      </c>
      <c r="K440" t="s">
        <v>14332</v>
      </c>
      <c r="L440" s="222">
        <v>9783423202848</v>
      </c>
      <c r="M440">
        <v>480</v>
      </c>
      <c r="O440" t="s">
        <v>3817</v>
      </c>
      <c r="P440">
        <v>353</v>
      </c>
      <c r="Q440">
        <v>2.5099999999999998</v>
      </c>
    </row>
    <row r="441" spans="1:17" x14ac:dyDescent="0.25">
      <c r="A441">
        <v>1396</v>
      </c>
      <c r="B441" t="s">
        <v>3852</v>
      </c>
      <c r="C441" t="s">
        <v>3853</v>
      </c>
      <c r="D441" t="s">
        <v>2424</v>
      </c>
      <c r="E441" t="s">
        <v>1877</v>
      </c>
      <c r="F441">
        <v>2010</v>
      </c>
      <c r="H441" t="s">
        <v>1878</v>
      </c>
      <c r="I441">
        <v>2</v>
      </c>
      <c r="J441" t="s">
        <v>3854</v>
      </c>
      <c r="K441" t="s">
        <v>14332</v>
      </c>
      <c r="L441" s="222">
        <v>9783453354692</v>
      </c>
      <c r="M441">
        <v>536</v>
      </c>
      <c r="O441" t="s">
        <v>3818</v>
      </c>
      <c r="P441">
        <v>280</v>
      </c>
      <c r="Q441">
        <v>2.5099999999999998</v>
      </c>
    </row>
    <row r="442" spans="1:17" x14ac:dyDescent="0.25">
      <c r="A442">
        <v>1327</v>
      </c>
      <c r="B442" t="s">
        <v>3856</v>
      </c>
      <c r="C442" t="s">
        <v>3857</v>
      </c>
      <c r="D442" t="s">
        <v>2257</v>
      </c>
      <c r="F442">
        <v>2008</v>
      </c>
      <c r="H442" t="s">
        <v>1878</v>
      </c>
      <c r="I442">
        <v>2</v>
      </c>
      <c r="J442" t="s">
        <v>3649</v>
      </c>
      <c r="K442" t="s">
        <v>14332</v>
      </c>
      <c r="L442" s="222">
        <v>9783426637135</v>
      </c>
      <c r="M442">
        <v>416</v>
      </c>
      <c r="O442" t="s">
        <v>3819</v>
      </c>
      <c r="P442">
        <v>272</v>
      </c>
      <c r="Q442">
        <v>1.72</v>
      </c>
    </row>
    <row r="443" spans="1:17" x14ac:dyDescent="0.25">
      <c r="A443">
        <v>1327</v>
      </c>
      <c r="B443" t="s">
        <v>3859</v>
      </c>
      <c r="C443" t="s">
        <v>3860</v>
      </c>
      <c r="D443" t="s">
        <v>1095</v>
      </c>
      <c r="F443">
        <v>2014</v>
      </c>
      <c r="H443" t="s">
        <v>1878</v>
      </c>
      <c r="I443">
        <v>2</v>
      </c>
      <c r="J443" t="s">
        <v>2237</v>
      </c>
      <c r="K443" t="s">
        <v>14332</v>
      </c>
      <c r="L443" s="222">
        <v>9783833309281</v>
      </c>
      <c r="M443">
        <v>464</v>
      </c>
      <c r="O443" t="s">
        <v>3820</v>
      </c>
      <c r="P443">
        <v>440</v>
      </c>
      <c r="Q443">
        <v>2.5099999999999998</v>
      </c>
    </row>
    <row r="444" spans="1:17" x14ac:dyDescent="0.25">
      <c r="A444">
        <v>2576</v>
      </c>
      <c r="B444" t="s">
        <v>3871</v>
      </c>
      <c r="C444" t="s">
        <v>3872</v>
      </c>
      <c r="D444" t="s">
        <v>1993</v>
      </c>
      <c r="E444" t="s">
        <v>1913</v>
      </c>
      <c r="F444">
        <v>2011</v>
      </c>
      <c r="H444" t="s">
        <v>1878</v>
      </c>
      <c r="I444">
        <v>2</v>
      </c>
      <c r="J444" t="e" cm="1">
        <f t="array" ref="J444">-MÄNGELEXEMPLAR- eher deutliche Gebrauchspuren</f>
        <v>#NAME?</v>
      </c>
      <c r="K444" t="s">
        <v>14332</v>
      </c>
      <c r="L444" s="222">
        <v>9783442375622</v>
      </c>
      <c r="M444">
        <v>352</v>
      </c>
      <c r="O444" t="s">
        <v>3823</v>
      </c>
      <c r="P444">
        <v>312</v>
      </c>
      <c r="Q444">
        <v>2.5099999999999998</v>
      </c>
    </row>
    <row r="445" spans="1:17" x14ac:dyDescent="0.25">
      <c r="A445">
        <v>1396</v>
      </c>
      <c r="B445" t="s">
        <v>2629</v>
      </c>
      <c r="C445" t="s">
        <v>3875</v>
      </c>
      <c r="D445" t="s">
        <v>1876</v>
      </c>
      <c r="E445" t="s">
        <v>2032</v>
      </c>
      <c r="F445">
        <v>2009</v>
      </c>
      <c r="H445" t="s">
        <v>1878</v>
      </c>
      <c r="I445">
        <v>2</v>
      </c>
      <c r="J445" t="s">
        <v>3006</v>
      </c>
      <c r="K445" t="s">
        <v>14332</v>
      </c>
      <c r="L445" s="222">
        <v>9783492254045</v>
      </c>
      <c r="M445">
        <v>592</v>
      </c>
      <c r="O445" t="s">
        <v>3877</v>
      </c>
      <c r="P445">
        <v>492</v>
      </c>
      <c r="Q445">
        <v>1.31</v>
      </c>
    </row>
    <row r="446" spans="1:17" x14ac:dyDescent="0.25">
      <c r="A446">
        <v>2668</v>
      </c>
      <c r="B446" t="s">
        <v>3893</v>
      </c>
      <c r="C446" t="s">
        <v>3894</v>
      </c>
      <c r="D446" t="s">
        <v>3895</v>
      </c>
      <c r="E446" t="s">
        <v>1913</v>
      </c>
      <c r="F446">
        <v>2015</v>
      </c>
      <c r="H446" t="s">
        <v>1878</v>
      </c>
      <c r="I446">
        <v>2</v>
      </c>
      <c r="J446" t="e" cm="1">
        <f t="array" ref="J446">-MÄNGELEXEMPLAR- sehr guter bis neuwertiger Zustand</f>
        <v>#NAME?</v>
      </c>
      <c r="K446" t="s">
        <v>14332</v>
      </c>
      <c r="L446" s="222">
        <v>9783956491887</v>
      </c>
      <c r="M446">
        <v>608</v>
      </c>
      <c r="O446" t="s">
        <v>3878</v>
      </c>
      <c r="P446">
        <v>523</v>
      </c>
      <c r="Q446">
        <v>3.01</v>
      </c>
    </row>
    <row r="447" spans="1:17" x14ac:dyDescent="0.25">
      <c r="A447">
        <v>632</v>
      </c>
      <c r="B447" t="s">
        <v>3898</v>
      </c>
      <c r="C447" t="s">
        <v>3899</v>
      </c>
      <c r="D447" t="s">
        <v>3900</v>
      </c>
      <c r="E447" t="s">
        <v>3141</v>
      </c>
      <c r="H447" t="s">
        <v>1878</v>
      </c>
      <c r="I447">
        <v>2</v>
      </c>
      <c r="J447" t="s">
        <v>3865</v>
      </c>
      <c r="K447" t="s">
        <v>14332</v>
      </c>
      <c r="M447">
        <v>368</v>
      </c>
      <c r="O447" t="s">
        <v>3879</v>
      </c>
      <c r="P447">
        <v>329</v>
      </c>
      <c r="Q447">
        <v>2.5099999999999998</v>
      </c>
    </row>
    <row r="448" spans="1:17" x14ac:dyDescent="0.25">
      <c r="A448">
        <v>1395</v>
      </c>
      <c r="B448" t="s">
        <v>3901</v>
      </c>
      <c r="C448" t="s">
        <v>3902</v>
      </c>
      <c r="D448" t="s">
        <v>3026</v>
      </c>
      <c r="E448" t="s">
        <v>1913</v>
      </c>
      <c r="F448">
        <v>2014</v>
      </c>
      <c r="H448" t="s">
        <v>1878</v>
      </c>
      <c r="I448">
        <v>2</v>
      </c>
      <c r="J448" t="s">
        <v>3904</v>
      </c>
      <c r="K448" t="s">
        <v>14332</v>
      </c>
      <c r="L448" s="222">
        <v>9783462046038</v>
      </c>
      <c r="M448">
        <v>496</v>
      </c>
      <c r="O448" t="s">
        <v>3880</v>
      </c>
      <c r="P448">
        <v>391</v>
      </c>
      <c r="Q448">
        <v>4.33</v>
      </c>
    </row>
    <row r="449" spans="1:17" x14ac:dyDescent="0.25">
      <c r="A449">
        <v>632</v>
      </c>
      <c r="B449" t="s">
        <v>3233</v>
      </c>
      <c r="C449" t="s">
        <v>3908</v>
      </c>
      <c r="D449" t="s">
        <v>2257</v>
      </c>
      <c r="F449">
        <v>2005</v>
      </c>
      <c r="H449" t="s">
        <v>1878</v>
      </c>
      <c r="I449">
        <v>2</v>
      </c>
      <c r="J449" t="s">
        <v>3303</v>
      </c>
      <c r="K449" t="s">
        <v>14332</v>
      </c>
      <c r="L449" s="222">
        <v>9783426629345</v>
      </c>
      <c r="M449">
        <v>624</v>
      </c>
      <c r="O449" t="s">
        <v>3882</v>
      </c>
      <c r="P449">
        <v>479</v>
      </c>
      <c r="Q449">
        <v>2.5099999999999998</v>
      </c>
    </row>
    <row r="450" spans="1:17" x14ac:dyDescent="0.25">
      <c r="A450">
        <v>632</v>
      </c>
      <c r="B450" t="s">
        <v>3926</v>
      </c>
      <c r="C450" t="s">
        <v>3927</v>
      </c>
      <c r="D450" t="s">
        <v>3149</v>
      </c>
      <c r="F450">
        <v>2013</v>
      </c>
      <c r="H450" t="s">
        <v>1878</v>
      </c>
      <c r="I450">
        <v>3</v>
      </c>
      <c r="K450" t="s">
        <v>14332</v>
      </c>
      <c r="L450" s="222">
        <v>9783956741906</v>
      </c>
      <c r="M450">
        <v>480</v>
      </c>
      <c r="O450" t="s">
        <v>3883</v>
      </c>
      <c r="P450">
        <v>272</v>
      </c>
      <c r="Q450">
        <v>2.5099999999999998</v>
      </c>
    </row>
    <row r="451" spans="1:17" x14ac:dyDescent="0.25">
      <c r="A451">
        <v>2551</v>
      </c>
      <c r="B451" t="s">
        <v>3929</v>
      </c>
      <c r="C451" t="s">
        <v>3930</v>
      </c>
      <c r="D451" t="s">
        <v>2850</v>
      </c>
      <c r="E451" t="s">
        <v>1921</v>
      </c>
      <c r="F451">
        <v>2017</v>
      </c>
      <c r="H451" t="s">
        <v>1878</v>
      </c>
      <c r="I451">
        <v>2</v>
      </c>
      <c r="J451" t="e" cm="1">
        <f t="array" ref="J451">-MÄNGELEXEMPLAR- Augenscheinlich ungelesen</f>
        <v>#NAME?</v>
      </c>
      <c r="K451" t="s">
        <v>14332</v>
      </c>
      <c r="L451" s="222">
        <v>9783426304013</v>
      </c>
      <c r="M451">
        <v>352</v>
      </c>
      <c r="O451" t="s">
        <v>3884</v>
      </c>
      <c r="P451">
        <v>375</v>
      </c>
      <c r="Q451">
        <v>2.72</v>
      </c>
    </row>
    <row r="452" spans="1:17" x14ac:dyDescent="0.25">
      <c r="A452">
        <v>734</v>
      </c>
      <c r="B452" t="s">
        <v>3933</v>
      </c>
      <c r="C452" t="s">
        <v>3934</v>
      </c>
      <c r="D452" t="s">
        <v>2054</v>
      </c>
      <c r="E452" t="s">
        <v>2094</v>
      </c>
      <c r="F452">
        <v>2007</v>
      </c>
      <c r="H452" t="s">
        <v>2734</v>
      </c>
      <c r="I452">
        <v>1</v>
      </c>
      <c r="J452" t="s">
        <v>3935</v>
      </c>
      <c r="K452" t="s">
        <v>14332</v>
      </c>
      <c r="L452" s="222">
        <v>4026411118123</v>
      </c>
      <c r="M452">
        <v>514</v>
      </c>
      <c r="O452" t="s">
        <v>3885</v>
      </c>
      <c r="P452">
        <v>439</v>
      </c>
      <c r="Q452">
        <v>2.5099999999999998</v>
      </c>
    </row>
    <row r="453" spans="1:17" x14ac:dyDescent="0.25">
      <c r="A453">
        <v>632</v>
      </c>
      <c r="B453" t="s">
        <v>3937</v>
      </c>
      <c r="C453" t="s">
        <v>3938</v>
      </c>
      <c r="D453" t="s">
        <v>1993</v>
      </c>
      <c r="E453" t="s">
        <v>2032</v>
      </c>
      <c r="F453">
        <v>2015</v>
      </c>
      <c r="H453" t="s">
        <v>1878</v>
      </c>
      <c r="I453">
        <v>2</v>
      </c>
      <c r="J453" t="e" cm="1">
        <f t="array" ref="J453">-MÄNGELEXEMPLAR- sehr guter Zustand</f>
        <v>#NAME?</v>
      </c>
      <c r="K453" t="s">
        <v>14332</v>
      </c>
      <c r="L453" s="222">
        <v>9783764505448</v>
      </c>
      <c r="M453">
        <v>576</v>
      </c>
      <c r="O453" t="s">
        <v>3886</v>
      </c>
      <c r="P453">
        <v>685</v>
      </c>
      <c r="Q453">
        <v>2.4700000000000002</v>
      </c>
    </row>
    <row r="454" spans="1:17" x14ac:dyDescent="0.25">
      <c r="A454">
        <v>2522</v>
      </c>
      <c r="B454" t="s">
        <v>3945</v>
      </c>
      <c r="C454" t="s">
        <v>3946</v>
      </c>
      <c r="D454" t="s">
        <v>2209</v>
      </c>
      <c r="E454" t="s">
        <v>2032</v>
      </c>
      <c r="F454">
        <v>2008</v>
      </c>
      <c r="H454" t="s">
        <v>1878</v>
      </c>
      <c r="I454">
        <v>2</v>
      </c>
      <c r="J454" t="s">
        <v>3947</v>
      </c>
      <c r="K454" t="s">
        <v>14332</v>
      </c>
      <c r="L454" s="222">
        <v>9783453405554</v>
      </c>
      <c r="M454">
        <v>544</v>
      </c>
      <c r="O454" t="s">
        <v>3888</v>
      </c>
      <c r="P454">
        <v>391</v>
      </c>
      <c r="Q454">
        <v>2.5099999999999998</v>
      </c>
    </row>
    <row r="455" spans="1:17" x14ac:dyDescent="0.25">
      <c r="A455">
        <v>2952</v>
      </c>
      <c r="B455" t="s">
        <v>3949</v>
      </c>
      <c r="C455" t="s">
        <v>3950</v>
      </c>
      <c r="D455" t="s">
        <v>2257</v>
      </c>
      <c r="E455" t="s">
        <v>1921</v>
      </c>
      <c r="F455">
        <v>2003</v>
      </c>
      <c r="H455" t="s">
        <v>1878</v>
      </c>
      <c r="I455">
        <v>2</v>
      </c>
      <c r="J455" t="s">
        <v>3951</v>
      </c>
      <c r="K455" t="s">
        <v>14332</v>
      </c>
      <c r="L455" s="222">
        <v>9783426618622</v>
      </c>
      <c r="M455">
        <v>640</v>
      </c>
      <c r="O455" t="s">
        <v>3889</v>
      </c>
      <c r="P455">
        <v>564</v>
      </c>
      <c r="Q455">
        <v>3.01</v>
      </c>
    </row>
    <row r="456" spans="1:17" x14ac:dyDescent="0.25">
      <c r="A456">
        <v>632</v>
      </c>
      <c r="B456" t="s">
        <v>3953</v>
      </c>
      <c r="C456" t="s">
        <v>3954</v>
      </c>
      <c r="D456" t="s">
        <v>2232</v>
      </c>
      <c r="E456" t="s">
        <v>1913</v>
      </c>
      <c r="F456">
        <v>2007</v>
      </c>
      <c r="H456" t="s">
        <v>1878</v>
      </c>
      <c r="I456">
        <v>2</v>
      </c>
      <c r="J456" t="s">
        <v>3935</v>
      </c>
      <c r="K456" t="s">
        <v>14332</v>
      </c>
      <c r="L456" s="222">
        <v>9783442735785</v>
      </c>
      <c r="M456">
        <v>112</v>
      </c>
      <c r="O456" t="s">
        <v>3890</v>
      </c>
      <c r="P456">
        <v>129</v>
      </c>
      <c r="Q456">
        <v>2.72</v>
      </c>
    </row>
    <row r="457" spans="1:17" x14ac:dyDescent="0.25">
      <c r="A457">
        <v>968</v>
      </c>
      <c r="B457" t="s">
        <v>3956</v>
      </c>
      <c r="C457" t="s">
        <v>3957</v>
      </c>
      <c r="D457" t="s">
        <v>3958</v>
      </c>
      <c r="F457">
        <v>1993</v>
      </c>
      <c r="H457" t="s">
        <v>1878</v>
      </c>
      <c r="I457">
        <v>3</v>
      </c>
      <c r="J457" t="s">
        <v>3959</v>
      </c>
      <c r="K457" t="s">
        <v>14339</v>
      </c>
      <c r="L457" s="222">
        <v>9780330337717</v>
      </c>
      <c r="M457">
        <v>272</v>
      </c>
      <c r="O457" t="s">
        <v>3891</v>
      </c>
      <c r="P457">
        <v>142</v>
      </c>
      <c r="Q457">
        <v>3.04</v>
      </c>
    </row>
    <row r="458" spans="1:17" x14ac:dyDescent="0.25">
      <c r="A458">
        <v>632</v>
      </c>
      <c r="B458" t="s">
        <v>3961</v>
      </c>
      <c r="C458" t="s">
        <v>3962</v>
      </c>
      <c r="D458" t="s">
        <v>1920</v>
      </c>
      <c r="F458">
        <v>2013</v>
      </c>
      <c r="H458" t="s">
        <v>1878</v>
      </c>
      <c r="I458">
        <v>2</v>
      </c>
      <c r="J458" t="s">
        <v>3649</v>
      </c>
      <c r="K458" t="s">
        <v>14332</v>
      </c>
      <c r="M458">
        <v>624</v>
      </c>
      <c r="O458" t="s">
        <v>3892</v>
      </c>
      <c r="P458">
        <v>461</v>
      </c>
      <c r="Q458">
        <v>2.5099999999999998</v>
      </c>
    </row>
    <row r="459" spans="1:17" x14ac:dyDescent="0.25">
      <c r="A459">
        <v>1232</v>
      </c>
      <c r="B459" t="s">
        <v>3968</v>
      </c>
      <c r="C459" t="s">
        <v>3969</v>
      </c>
      <c r="D459" t="s">
        <v>2309</v>
      </c>
      <c r="E459" t="s">
        <v>1877</v>
      </c>
      <c r="F459">
        <v>1998</v>
      </c>
      <c r="H459" t="s">
        <v>1878</v>
      </c>
      <c r="I459">
        <v>2</v>
      </c>
      <c r="J459" t="s">
        <v>3963</v>
      </c>
      <c r="K459" t="s">
        <v>14332</v>
      </c>
      <c r="L459" s="222">
        <v>9783548237954</v>
      </c>
      <c r="M459">
        <v>400</v>
      </c>
      <c r="O459" t="s">
        <v>3911</v>
      </c>
      <c r="P459">
        <v>258</v>
      </c>
      <c r="Q459">
        <v>3.47</v>
      </c>
    </row>
    <row r="460" spans="1:17" x14ac:dyDescent="0.25">
      <c r="A460">
        <v>2522</v>
      </c>
      <c r="B460" t="s">
        <v>2321</v>
      </c>
      <c r="C460" t="s">
        <v>3971</v>
      </c>
      <c r="D460" t="s">
        <v>1912</v>
      </c>
      <c r="F460">
        <v>2002</v>
      </c>
      <c r="H460" t="s">
        <v>1878</v>
      </c>
      <c r="I460">
        <v>2</v>
      </c>
      <c r="J460" t="s">
        <v>3947</v>
      </c>
      <c r="K460" t="s">
        <v>14332</v>
      </c>
      <c r="L460" s="222">
        <v>9783442054930</v>
      </c>
      <c r="M460">
        <v>384</v>
      </c>
      <c r="O460" t="s">
        <v>3912</v>
      </c>
      <c r="P460">
        <v>344</v>
      </c>
      <c r="Q460">
        <v>2.5099999999999998</v>
      </c>
    </row>
    <row r="461" spans="1:17" x14ac:dyDescent="0.25">
      <c r="A461">
        <v>2522</v>
      </c>
      <c r="B461" t="s">
        <v>3941</v>
      </c>
      <c r="C461" t="s">
        <v>3973</v>
      </c>
      <c r="D461" t="s">
        <v>1912</v>
      </c>
      <c r="E461" t="s">
        <v>1913</v>
      </c>
      <c r="F461">
        <v>2010</v>
      </c>
      <c r="H461" t="s">
        <v>1878</v>
      </c>
      <c r="I461">
        <v>2</v>
      </c>
      <c r="J461" t="s">
        <v>14477</v>
      </c>
      <c r="K461" t="s">
        <v>14332</v>
      </c>
      <c r="L461" s="222">
        <v>9783442467969</v>
      </c>
      <c r="M461">
        <v>448</v>
      </c>
      <c r="O461" t="s">
        <v>3913</v>
      </c>
      <c r="P461">
        <v>404</v>
      </c>
      <c r="Q461">
        <v>2.5099999999999998</v>
      </c>
    </row>
    <row r="462" spans="1:17" x14ac:dyDescent="0.25">
      <c r="A462">
        <v>1913</v>
      </c>
      <c r="B462" t="s">
        <v>3976</v>
      </c>
      <c r="C462" t="s">
        <v>3977</v>
      </c>
      <c r="D462" t="s">
        <v>3978</v>
      </c>
      <c r="E462" t="s">
        <v>3979</v>
      </c>
      <c r="F462">
        <v>2015</v>
      </c>
      <c r="H462" t="s">
        <v>2734</v>
      </c>
      <c r="I462">
        <v>2</v>
      </c>
      <c r="J462" t="e" cm="1">
        <f t="array" ref="J462">-MÄNGELEXEMPLAR- sonst wie neu</f>
        <v>#NAME?</v>
      </c>
      <c r="K462" t="s">
        <v>14332</v>
      </c>
      <c r="L462" s="222">
        <v>9783955100568</v>
      </c>
      <c r="M462">
        <v>690</v>
      </c>
      <c r="O462" t="s">
        <v>3914</v>
      </c>
      <c r="P462">
        <v>1001</v>
      </c>
      <c r="Q462">
        <v>9.27</v>
      </c>
    </row>
    <row r="463" spans="1:17" x14ac:dyDescent="0.25">
      <c r="A463">
        <v>2598</v>
      </c>
      <c r="C463" t="s">
        <v>3982</v>
      </c>
      <c r="D463" t="s">
        <v>3136</v>
      </c>
      <c r="H463" t="s">
        <v>2734</v>
      </c>
      <c r="I463">
        <v>1</v>
      </c>
      <c r="K463" t="s">
        <v>14332</v>
      </c>
      <c r="L463" s="222">
        <v>9783522303811</v>
      </c>
      <c r="O463" t="s">
        <v>3915</v>
      </c>
      <c r="P463">
        <v>560</v>
      </c>
      <c r="Q463">
        <v>6.22</v>
      </c>
    </row>
    <row r="464" spans="1:17" x14ac:dyDescent="0.25">
      <c r="A464">
        <v>2663</v>
      </c>
      <c r="B464" t="s">
        <v>3984</v>
      </c>
      <c r="C464" t="s">
        <v>3985</v>
      </c>
      <c r="D464" t="s">
        <v>2257</v>
      </c>
      <c r="F464">
        <v>2015</v>
      </c>
      <c r="H464" t="s">
        <v>1878</v>
      </c>
      <c r="I464">
        <v>2</v>
      </c>
      <c r="J464" t="s">
        <v>3986</v>
      </c>
      <c r="K464" t="s">
        <v>14332</v>
      </c>
      <c r="L464" s="222">
        <v>9783426517598</v>
      </c>
      <c r="M464">
        <v>768</v>
      </c>
      <c r="O464" t="s">
        <v>3916</v>
      </c>
      <c r="P464">
        <v>614</v>
      </c>
      <c r="Q464">
        <v>3.72</v>
      </c>
    </row>
    <row r="465" spans="1:17" x14ac:dyDescent="0.25">
      <c r="A465">
        <v>689</v>
      </c>
      <c r="B465" t="s">
        <v>3988</v>
      </c>
      <c r="C465" t="s">
        <v>3989</v>
      </c>
      <c r="D465" t="s">
        <v>2453</v>
      </c>
      <c r="E465" t="s">
        <v>1913</v>
      </c>
      <c r="F465">
        <v>2012</v>
      </c>
      <c r="H465" t="s">
        <v>1878</v>
      </c>
      <c r="I465">
        <v>2</v>
      </c>
      <c r="J465" t="s">
        <v>3990</v>
      </c>
      <c r="K465" t="s">
        <v>14332</v>
      </c>
      <c r="L465" s="222">
        <v>9783570161463</v>
      </c>
      <c r="M465">
        <v>352</v>
      </c>
      <c r="O465" t="s">
        <v>3917</v>
      </c>
      <c r="P465">
        <v>496</v>
      </c>
      <c r="Q465">
        <v>2.27</v>
      </c>
    </row>
    <row r="466" spans="1:17" x14ac:dyDescent="0.25">
      <c r="A466">
        <v>796</v>
      </c>
      <c r="B466" t="s">
        <v>3992</v>
      </c>
      <c r="C466" t="s">
        <v>3993</v>
      </c>
      <c r="D466" t="s">
        <v>2257</v>
      </c>
      <c r="F466">
        <v>2011</v>
      </c>
      <c r="H466" t="s">
        <v>1878</v>
      </c>
      <c r="I466">
        <v>2</v>
      </c>
      <c r="J466" t="e" cm="1">
        <f t="array" ref="J466">-MÄNGELEXEMPLAR- sonst sehr guter Zustand</f>
        <v>#NAME?</v>
      </c>
      <c r="K466" t="s">
        <v>14332</v>
      </c>
      <c r="L466" s="222">
        <v>9783426500088</v>
      </c>
      <c r="M466">
        <v>608</v>
      </c>
      <c r="O466" t="s">
        <v>3918</v>
      </c>
      <c r="P466">
        <v>464</v>
      </c>
      <c r="Q466">
        <v>2.5099999999999998</v>
      </c>
    </row>
    <row r="467" spans="1:17" x14ac:dyDescent="0.25">
      <c r="A467">
        <v>643</v>
      </c>
      <c r="B467" t="s">
        <v>3996</v>
      </c>
      <c r="C467" t="s">
        <v>3997</v>
      </c>
      <c r="D467" t="s">
        <v>2300</v>
      </c>
      <c r="E467" t="s">
        <v>3998</v>
      </c>
      <c r="F467">
        <v>2005</v>
      </c>
      <c r="H467" t="s">
        <v>1878</v>
      </c>
      <c r="I467">
        <v>2</v>
      </c>
      <c r="J467" t="e" cm="1">
        <f t="array" ref="J467">-MÄNGELEXEMPLAR- sonst sehr guter Zustand</f>
        <v>#NAME?</v>
      </c>
      <c r="K467" t="s">
        <v>14332</v>
      </c>
      <c r="L467" s="222">
        <v>9783499201783</v>
      </c>
      <c r="M467">
        <v>96</v>
      </c>
      <c r="O467" t="s">
        <v>3919</v>
      </c>
      <c r="P467">
        <v>105</v>
      </c>
      <c r="Q467">
        <v>2.5099999999999998</v>
      </c>
    </row>
    <row r="468" spans="1:17" x14ac:dyDescent="0.25">
      <c r="A468">
        <v>796</v>
      </c>
      <c r="B468" t="s">
        <v>4000</v>
      </c>
      <c r="C468" t="s">
        <v>4001</v>
      </c>
      <c r="D468" t="s">
        <v>2257</v>
      </c>
      <c r="E468" t="s">
        <v>1921</v>
      </c>
      <c r="F468">
        <v>2014</v>
      </c>
      <c r="H468" t="s">
        <v>1878</v>
      </c>
      <c r="I468">
        <v>2</v>
      </c>
      <c r="J468" t="s">
        <v>4002</v>
      </c>
      <c r="K468" t="s">
        <v>14332</v>
      </c>
      <c r="L468" s="222">
        <v>9783426515280</v>
      </c>
      <c r="M468">
        <v>432</v>
      </c>
      <c r="O468" t="s">
        <v>3920</v>
      </c>
      <c r="P468">
        <v>434</v>
      </c>
      <c r="Q468">
        <v>2.5099999999999998</v>
      </c>
    </row>
    <row r="469" spans="1:17" x14ac:dyDescent="0.25">
      <c r="A469">
        <v>2002</v>
      </c>
      <c r="B469" t="s">
        <v>4004</v>
      </c>
      <c r="C469" t="s">
        <v>4005</v>
      </c>
      <c r="D469" t="s">
        <v>3199</v>
      </c>
      <c r="F469">
        <v>2003</v>
      </c>
      <c r="H469" t="s">
        <v>1878</v>
      </c>
      <c r="I469">
        <v>3</v>
      </c>
      <c r="K469" t="s">
        <v>14332</v>
      </c>
      <c r="L469" s="222">
        <v>9783453870840</v>
      </c>
      <c r="M469">
        <v>304</v>
      </c>
      <c r="O469" t="s">
        <v>3921</v>
      </c>
      <c r="P469">
        <v>258</v>
      </c>
      <c r="Q469">
        <v>3.79</v>
      </c>
    </row>
    <row r="470" spans="1:17" x14ac:dyDescent="0.25">
      <c r="A470">
        <v>689</v>
      </c>
      <c r="B470" t="s">
        <v>4034</v>
      </c>
      <c r="C470" t="s">
        <v>4035</v>
      </c>
      <c r="D470" t="s">
        <v>2209</v>
      </c>
      <c r="E470" t="s">
        <v>1877</v>
      </c>
      <c r="F470">
        <v>2000</v>
      </c>
      <c r="H470" t="s">
        <v>1878</v>
      </c>
      <c r="I470">
        <v>3</v>
      </c>
      <c r="J470" t="s">
        <v>4036</v>
      </c>
      <c r="K470" t="s">
        <v>14332</v>
      </c>
      <c r="L470" s="222">
        <v>9783453135734</v>
      </c>
      <c r="M470">
        <v>528</v>
      </c>
      <c r="O470" t="s">
        <v>3923</v>
      </c>
      <c r="P470">
        <v>364</v>
      </c>
      <c r="Q470">
        <v>1.72</v>
      </c>
    </row>
    <row r="471" spans="1:17" x14ac:dyDescent="0.25">
      <c r="A471">
        <v>2952</v>
      </c>
      <c r="B471" t="s">
        <v>4038</v>
      </c>
      <c r="C471" t="s">
        <v>4234</v>
      </c>
      <c r="D471" t="s">
        <v>2300</v>
      </c>
      <c r="E471" t="s">
        <v>1899</v>
      </c>
      <c r="F471">
        <v>2005</v>
      </c>
      <c r="H471" t="s">
        <v>1878</v>
      </c>
      <c r="I471">
        <v>2</v>
      </c>
      <c r="J471" t="s">
        <v>4039</v>
      </c>
      <c r="K471" t="s">
        <v>14332</v>
      </c>
      <c r="L471" s="222">
        <v>9783499242083</v>
      </c>
      <c r="M471">
        <v>560</v>
      </c>
      <c r="O471" t="s">
        <v>3924</v>
      </c>
      <c r="P471">
        <v>615</v>
      </c>
      <c r="Q471">
        <v>2.2200000000000002</v>
      </c>
    </row>
    <row r="472" spans="1:17" x14ac:dyDescent="0.25">
      <c r="A472">
        <v>1315</v>
      </c>
      <c r="B472" t="s">
        <v>4041</v>
      </c>
      <c r="C472" t="s">
        <v>4042</v>
      </c>
      <c r="D472" t="s">
        <v>2822</v>
      </c>
      <c r="F472">
        <v>1997</v>
      </c>
      <c r="H472" t="s">
        <v>1878</v>
      </c>
      <c r="I472">
        <v>2</v>
      </c>
      <c r="J472" t="s">
        <v>4043</v>
      </c>
      <c r="K472" t="s">
        <v>14332</v>
      </c>
      <c r="L472" s="222">
        <v>9783522169967</v>
      </c>
      <c r="M472">
        <v>160</v>
      </c>
      <c r="O472" t="s">
        <v>3925</v>
      </c>
      <c r="P472">
        <v>276</v>
      </c>
      <c r="Q472">
        <v>1.93</v>
      </c>
    </row>
    <row r="473" spans="1:17" x14ac:dyDescent="0.25">
      <c r="A473">
        <v>766</v>
      </c>
      <c r="B473" t="s">
        <v>4045</v>
      </c>
      <c r="C473" t="s">
        <v>4046</v>
      </c>
      <c r="D473" t="s">
        <v>4047</v>
      </c>
      <c r="E473" t="s">
        <v>1913</v>
      </c>
      <c r="F473">
        <v>1996</v>
      </c>
      <c r="H473" t="s">
        <v>1878</v>
      </c>
      <c r="I473">
        <v>2</v>
      </c>
      <c r="J473" t="s">
        <v>4043</v>
      </c>
      <c r="K473" t="s">
        <v>14332</v>
      </c>
      <c r="L473" s="222">
        <v>9783895300103</v>
      </c>
      <c r="M473">
        <v>224</v>
      </c>
      <c r="O473" t="s">
        <v>4007</v>
      </c>
      <c r="P473">
        <v>457</v>
      </c>
      <c r="Q473">
        <v>1.72</v>
      </c>
    </row>
    <row r="474" spans="1:17" x14ac:dyDescent="0.25">
      <c r="A474">
        <v>796</v>
      </c>
      <c r="B474" t="s">
        <v>4049</v>
      </c>
      <c r="C474" t="s">
        <v>4050</v>
      </c>
      <c r="D474" t="s">
        <v>1876</v>
      </c>
      <c r="E474" t="s">
        <v>1877</v>
      </c>
      <c r="F474">
        <v>1992</v>
      </c>
      <c r="H474" t="s">
        <v>1878</v>
      </c>
      <c r="I474">
        <v>2</v>
      </c>
      <c r="J474" t="s">
        <v>4036</v>
      </c>
      <c r="K474" t="s">
        <v>14332</v>
      </c>
      <c r="L474" s="222">
        <v>9783492112703</v>
      </c>
      <c r="M474">
        <v>336</v>
      </c>
      <c r="O474" t="s">
        <v>4008</v>
      </c>
      <c r="P474">
        <v>201</v>
      </c>
      <c r="Q474">
        <v>1.72</v>
      </c>
    </row>
    <row r="475" spans="1:17" x14ac:dyDescent="0.25">
      <c r="A475">
        <v>1348</v>
      </c>
      <c r="B475" t="s">
        <v>4052</v>
      </c>
      <c r="C475" t="s">
        <v>4053</v>
      </c>
      <c r="D475" t="s">
        <v>2300</v>
      </c>
      <c r="E475" t="s">
        <v>4054</v>
      </c>
      <c r="F475">
        <v>1973</v>
      </c>
      <c r="H475" t="s">
        <v>2008</v>
      </c>
      <c r="I475">
        <v>2</v>
      </c>
      <c r="J475" t="s">
        <v>3006</v>
      </c>
      <c r="K475" t="s">
        <v>14332</v>
      </c>
      <c r="M475">
        <v>190</v>
      </c>
      <c r="O475" t="s">
        <v>4009</v>
      </c>
      <c r="P475">
        <v>139</v>
      </c>
      <c r="Q475">
        <v>1.72</v>
      </c>
    </row>
    <row r="476" spans="1:17" x14ac:dyDescent="0.25">
      <c r="A476">
        <v>692</v>
      </c>
      <c r="B476" t="s">
        <v>4055</v>
      </c>
      <c r="C476" t="s">
        <v>4056</v>
      </c>
      <c r="D476" t="s">
        <v>2609</v>
      </c>
      <c r="E476" t="s">
        <v>4057</v>
      </c>
      <c r="F476">
        <v>2004</v>
      </c>
      <c r="H476" t="s">
        <v>1878</v>
      </c>
      <c r="I476">
        <v>2</v>
      </c>
      <c r="J476" t="s">
        <v>3006</v>
      </c>
      <c r="K476" t="s">
        <v>14332</v>
      </c>
      <c r="L476" s="222">
        <v>9783596508136</v>
      </c>
      <c r="M476">
        <v>256</v>
      </c>
      <c r="O476" t="s">
        <v>4010</v>
      </c>
      <c r="P476">
        <v>228</v>
      </c>
      <c r="Q476">
        <v>2.08</v>
      </c>
    </row>
    <row r="477" spans="1:17" x14ac:dyDescent="0.25">
      <c r="A477">
        <v>632</v>
      </c>
      <c r="B477" t="s">
        <v>4062</v>
      </c>
      <c r="C477" t="s">
        <v>4063</v>
      </c>
      <c r="D477" t="s">
        <v>2609</v>
      </c>
      <c r="F477">
        <v>2006</v>
      </c>
      <c r="H477" t="s">
        <v>1878</v>
      </c>
      <c r="I477">
        <v>2</v>
      </c>
      <c r="J477" t="s">
        <v>3006</v>
      </c>
      <c r="K477" t="s">
        <v>14332</v>
      </c>
      <c r="L477" s="222">
        <v>9783596174492</v>
      </c>
      <c r="M477">
        <v>432</v>
      </c>
      <c r="O477" t="s">
        <v>4012</v>
      </c>
      <c r="P477">
        <v>325</v>
      </c>
      <c r="Q477">
        <v>3.9</v>
      </c>
    </row>
    <row r="478" spans="1:17" x14ac:dyDescent="0.25">
      <c r="A478">
        <v>2521</v>
      </c>
      <c r="B478" t="s">
        <v>4065</v>
      </c>
      <c r="C478" t="s">
        <v>4066</v>
      </c>
      <c r="D478" t="s">
        <v>2209</v>
      </c>
      <c r="E478" t="s">
        <v>1899</v>
      </c>
      <c r="F478">
        <v>2003</v>
      </c>
      <c r="H478" t="s">
        <v>1878</v>
      </c>
      <c r="I478">
        <v>2</v>
      </c>
      <c r="J478" t="s">
        <v>3006</v>
      </c>
      <c r="K478" t="s">
        <v>14332</v>
      </c>
      <c r="L478" s="222">
        <v>9783453873681</v>
      </c>
      <c r="M478">
        <v>400</v>
      </c>
      <c r="O478" t="s">
        <v>4013</v>
      </c>
      <c r="P478">
        <v>360</v>
      </c>
      <c r="Q478">
        <v>6.25</v>
      </c>
    </row>
    <row r="479" spans="1:17" x14ac:dyDescent="0.25">
      <c r="A479">
        <v>2550</v>
      </c>
      <c r="B479" t="s">
        <v>4068</v>
      </c>
      <c r="C479" t="s">
        <v>4069</v>
      </c>
      <c r="D479" t="s">
        <v>2609</v>
      </c>
      <c r="F479">
        <v>2004</v>
      </c>
      <c r="H479" t="s">
        <v>1878</v>
      </c>
      <c r="I479">
        <v>2</v>
      </c>
      <c r="J479" t="s">
        <v>3653</v>
      </c>
      <c r="K479" t="s">
        <v>14332</v>
      </c>
      <c r="L479" s="222">
        <v>9783596158973</v>
      </c>
      <c r="M479">
        <v>416</v>
      </c>
      <c r="O479" t="s">
        <v>4014</v>
      </c>
      <c r="P479">
        <v>364</v>
      </c>
      <c r="Q479">
        <v>1.97</v>
      </c>
    </row>
    <row r="480" spans="1:17" x14ac:dyDescent="0.25">
      <c r="A480">
        <v>972</v>
      </c>
      <c r="B480" t="s">
        <v>4071</v>
      </c>
      <c r="C480" t="s">
        <v>4072</v>
      </c>
      <c r="F480">
        <v>2006</v>
      </c>
      <c r="H480" t="s">
        <v>1878</v>
      </c>
      <c r="I480">
        <v>3</v>
      </c>
      <c r="J480" t="s">
        <v>4036</v>
      </c>
      <c r="K480" t="s">
        <v>14332</v>
      </c>
      <c r="L480" s="222">
        <v>9780340827482</v>
      </c>
      <c r="M480">
        <v>664</v>
      </c>
      <c r="O480" t="s">
        <v>4015</v>
      </c>
      <c r="P480">
        <v>350</v>
      </c>
      <c r="Q480">
        <v>2.5099999999999998</v>
      </c>
    </row>
    <row r="481" spans="1:17" x14ac:dyDescent="0.25">
      <c r="A481">
        <v>1231</v>
      </c>
      <c r="B481" t="s">
        <v>4074</v>
      </c>
      <c r="C481" t="s">
        <v>4075</v>
      </c>
      <c r="D481" t="s">
        <v>1998</v>
      </c>
      <c r="E481" t="s">
        <v>1877</v>
      </c>
      <c r="F481">
        <v>2013</v>
      </c>
      <c r="H481" t="s">
        <v>2734</v>
      </c>
      <c r="I481">
        <v>2</v>
      </c>
      <c r="J481" t="s">
        <v>4076</v>
      </c>
      <c r="K481" t="s">
        <v>14332</v>
      </c>
      <c r="L481" s="222">
        <v>9783462045130</v>
      </c>
      <c r="M481">
        <v>434</v>
      </c>
      <c r="O481" t="s">
        <v>4016</v>
      </c>
      <c r="P481">
        <v>507</v>
      </c>
      <c r="Q481">
        <v>3.65</v>
      </c>
    </row>
    <row r="482" spans="1:17" x14ac:dyDescent="0.25">
      <c r="A482">
        <v>632</v>
      </c>
      <c r="B482" t="s">
        <v>4078</v>
      </c>
      <c r="C482" t="s">
        <v>4079</v>
      </c>
      <c r="D482" t="s">
        <v>1920</v>
      </c>
      <c r="F482">
        <v>2005</v>
      </c>
      <c r="H482" t="s">
        <v>1878</v>
      </c>
      <c r="I482">
        <v>2</v>
      </c>
      <c r="J482" t="s">
        <v>3649</v>
      </c>
      <c r="K482" t="s">
        <v>14332</v>
      </c>
      <c r="L482" s="222">
        <v>9783404156238</v>
      </c>
      <c r="M482">
        <v>464</v>
      </c>
      <c r="O482" t="s">
        <v>4017</v>
      </c>
      <c r="P482">
        <v>446</v>
      </c>
      <c r="Q482">
        <v>1.9</v>
      </c>
    </row>
    <row r="483" spans="1:17" x14ac:dyDescent="0.25">
      <c r="A483">
        <v>1386</v>
      </c>
      <c r="B483" t="s">
        <v>4081</v>
      </c>
      <c r="C483" t="s">
        <v>4082</v>
      </c>
      <c r="D483" t="s">
        <v>1988</v>
      </c>
      <c r="F483">
        <v>2011</v>
      </c>
      <c r="H483" t="s">
        <v>1878</v>
      </c>
      <c r="I483">
        <v>2</v>
      </c>
      <c r="J483" t="s">
        <v>3649</v>
      </c>
      <c r="K483" t="s">
        <v>14332</v>
      </c>
      <c r="L483" s="222">
        <v>9783423140461</v>
      </c>
      <c r="M483">
        <v>448</v>
      </c>
      <c r="O483" t="s">
        <v>4018</v>
      </c>
      <c r="P483">
        <v>466</v>
      </c>
      <c r="Q483">
        <v>2.62</v>
      </c>
    </row>
    <row r="484" spans="1:17" x14ac:dyDescent="0.25">
      <c r="A484">
        <v>2554</v>
      </c>
      <c r="B484" t="s">
        <v>4084</v>
      </c>
      <c r="C484" t="s">
        <v>4085</v>
      </c>
      <c r="D484" t="s">
        <v>2209</v>
      </c>
      <c r="F484">
        <v>2016</v>
      </c>
      <c r="H484" t="s">
        <v>1878</v>
      </c>
      <c r="I484">
        <v>2</v>
      </c>
      <c r="J484" t="s">
        <v>2237</v>
      </c>
      <c r="K484" t="s">
        <v>14332</v>
      </c>
      <c r="L484" s="222">
        <v>9783453438385</v>
      </c>
      <c r="M484">
        <v>384</v>
      </c>
      <c r="O484" t="s">
        <v>4019</v>
      </c>
      <c r="P484">
        <v>331</v>
      </c>
      <c r="Q484">
        <v>3.04</v>
      </c>
    </row>
    <row r="485" spans="1:17" x14ac:dyDescent="0.25">
      <c r="A485">
        <v>2948</v>
      </c>
      <c r="B485" t="s">
        <v>4087</v>
      </c>
      <c r="C485" t="s">
        <v>4088</v>
      </c>
      <c r="D485" t="s">
        <v>2209</v>
      </c>
      <c r="F485">
        <v>2007</v>
      </c>
      <c r="H485" t="s">
        <v>1878</v>
      </c>
      <c r="I485">
        <v>2</v>
      </c>
      <c r="J485" t="s">
        <v>4089</v>
      </c>
      <c r="K485" t="s">
        <v>14332</v>
      </c>
      <c r="L485" s="222">
        <v>9783453675223</v>
      </c>
      <c r="M485">
        <v>304</v>
      </c>
      <c r="O485" t="s">
        <v>4020</v>
      </c>
      <c r="P485">
        <v>258</v>
      </c>
      <c r="Q485">
        <v>2.5099999999999998</v>
      </c>
    </row>
    <row r="486" spans="1:17" x14ac:dyDescent="0.25">
      <c r="A486">
        <v>2518</v>
      </c>
      <c r="B486" t="s">
        <v>4091</v>
      </c>
      <c r="C486" t="s">
        <v>4092</v>
      </c>
      <c r="D486" t="s">
        <v>2054</v>
      </c>
      <c r="E486" t="s">
        <v>2094</v>
      </c>
      <c r="F486">
        <v>2007</v>
      </c>
      <c r="H486" t="s">
        <v>2734</v>
      </c>
      <c r="I486">
        <v>2</v>
      </c>
      <c r="J486" t="s">
        <v>3653</v>
      </c>
      <c r="K486" t="s">
        <v>14332</v>
      </c>
      <c r="L486" s="222">
        <v>9783828991354</v>
      </c>
      <c r="M486">
        <v>330</v>
      </c>
      <c r="O486" t="s">
        <v>4021</v>
      </c>
      <c r="P486">
        <v>407</v>
      </c>
      <c r="Q486">
        <v>2.4</v>
      </c>
    </row>
    <row r="487" spans="1:17" x14ac:dyDescent="0.25">
      <c r="A487">
        <v>632</v>
      </c>
      <c r="B487" t="s">
        <v>4094</v>
      </c>
      <c r="C487" t="s">
        <v>4095</v>
      </c>
      <c r="D487" t="s">
        <v>1920</v>
      </c>
      <c r="F487">
        <v>2011</v>
      </c>
      <c r="H487" t="s">
        <v>1878</v>
      </c>
      <c r="I487">
        <v>2</v>
      </c>
      <c r="J487" t="s">
        <v>4089</v>
      </c>
      <c r="K487" t="s">
        <v>14332</v>
      </c>
      <c r="L487" s="222">
        <v>9783404165339</v>
      </c>
      <c r="M487">
        <v>720</v>
      </c>
      <c r="O487" t="s">
        <v>4022</v>
      </c>
      <c r="P487">
        <v>516</v>
      </c>
      <c r="Q487">
        <v>3.01</v>
      </c>
    </row>
    <row r="488" spans="1:17" x14ac:dyDescent="0.25">
      <c r="A488">
        <v>2002</v>
      </c>
      <c r="B488" t="s">
        <v>4004</v>
      </c>
      <c r="C488" t="s">
        <v>4097</v>
      </c>
      <c r="D488" t="s">
        <v>2209</v>
      </c>
      <c r="E488" t="s">
        <v>2032</v>
      </c>
      <c r="F488">
        <v>1994</v>
      </c>
      <c r="H488" t="s">
        <v>1878</v>
      </c>
      <c r="I488">
        <v>3</v>
      </c>
      <c r="J488" t="s">
        <v>3649</v>
      </c>
      <c r="K488" t="s">
        <v>14332</v>
      </c>
      <c r="L488" s="222">
        <v>9783453023567</v>
      </c>
      <c r="M488">
        <v>444</v>
      </c>
      <c r="O488" t="s">
        <v>4023</v>
      </c>
      <c r="P488">
        <v>358</v>
      </c>
      <c r="Q488">
        <v>3.37</v>
      </c>
    </row>
    <row r="489" spans="1:17" x14ac:dyDescent="0.25">
      <c r="A489">
        <v>631</v>
      </c>
      <c r="B489" t="s">
        <v>4101</v>
      </c>
      <c r="C489" t="s">
        <v>4102</v>
      </c>
      <c r="D489" t="s">
        <v>2209</v>
      </c>
      <c r="E489" t="s">
        <v>1899</v>
      </c>
      <c r="F489">
        <v>2013</v>
      </c>
      <c r="H489" t="s">
        <v>1878</v>
      </c>
      <c r="I489">
        <v>3</v>
      </c>
      <c r="J489" t="s">
        <v>3653</v>
      </c>
      <c r="K489" t="s">
        <v>14332</v>
      </c>
      <c r="L489" s="222">
        <v>9783453545601</v>
      </c>
      <c r="M489">
        <v>480</v>
      </c>
      <c r="O489" t="s">
        <v>4025</v>
      </c>
      <c r="P489">
        <v>429</v>
      </c>
      <c r="Q489">
        <v>2.62</v>
      </c>
    </row>
    <row r="490" spans="1:17" x14ac:dyDescent="0.25">
      <c r="A490">
        <v>689</v>
      </c>
      <c r="B490" t="s">
        <v>4105</v>
      </c>
      <c r="C490" t="s">
        <v>4106</v>
      </c>
      <c r="D490" t="s">
        <v>2209</v>
      </c>
      <c r="E490" t="s">
        <v>1899</v>
      </c>
      <c r="F490">
        <v>2009</v>
      </c>
      <c r="H490" t="s">
        <v>1878</v>
      </c>
      <c r="I490">
        <v>2</v>
      </c>
      <c r="J490" t="s">
        <v>4107</v>
      </c>
      <c r="K490" t="s">
        <v>14332</v>
      </c>
      <c r="L490" s="222">
        <v>9783453533035</v>
      </c>
      <c r="M490">
        <v>528</v>
      </c>
      <c r="O490" t="s">
        <v>4026</v>
      </c>
      <c r="P490">
        <v>417</v>
      </c>
      <c r="Q490">
        <v>2.94</v>
      </c>
    </row>
    <row r="491" spans="1:17" x14ac:dyDescent="0.25">
      <c r="A491">
        <v>632</v>
      </c>
      <c r="B491" t="s">
        <v>4109</v>
      </c>
      <c r="C491" t="s">
        <v>4110</v>
      </c>
      <c r="D491" t="s">
        <v>2609</v>
      </c>
      <c r="E491" t="s">
        <v>1877</v>
      </c>
      <c r="F491">
        <v>2001</v>
      </c>
      <c r="H491" t="s">
        <v>1878</v>
      </c>
      <c r="I491">
        <v>3</v>
      </c>
      <c r="J491" t="s">
        <v>4111</v>
      </c>
      <c r="K491" t="s">
        <v>14332</v>
      </c>
      <c r="L491" s="222">
        <v>9783596148806</v>
      </c>
      <c r="M491">
        <v>576</v>
      </c>
      <c r="O491" t="s">
        <v>4027</v>
      </c>
      <c r="P491">
        <v>503</v>
      </c>
      <c r="Q491">
        <v>2.69</v>
      </c>
    </row>
    <row r="492" spans="1:17" x14ac:dyDescent="0.25">
      <c r="A492">
        <v>2522</v>
      </c>
      <c r="B492" t="s">
        <v>3369</v>
      </c>
      <c r="C492" t="s">
        <v>4113</v>
      </c>
      <c r="D492" t="s">
        <v>2209</v>
      </c>
      <c r="F492">
        <v>2012</v>
      </c>
      <c r="H492" t="s">
        <v>1878</v>
      </c>
      <c r="I492">
        <v>3</v>
      </c>
      <c r="K492" t="s">
        <v>14332</v>
      </c>
      <c r="L492" s="222">
        <v>9783453408951</v>
      </c>
      <c r="M492">
        <v>432</v>
      </c>
      <c r="O492" t="s">
        <v>4028</v>
      </c>
      <c r="P492">
        <v>355</v>
      </c>
      <c r="Q492">
        <v>2.4</v>
      </c>
    </row>
    <row r="493" spans="1:17" x14ac:dyDescent="0.25">
      <c r="A493">
        <v>2668</v>
      </c>
      <c r="B493" t="s">
        <v>4115</v>
      </c>
      <c r="C493" t="s">
        <v>4116</v>
      </c>
      <c r="D493" t="s">
        <v>1993</v>
      </c>
      <c r="E493" t="s">
        <v>1877</v>
      </c>
      <c r="F493">
        <v>2005</v>
      </c>
      <c r="H493" t="s">
        <v>1878</v>
      </c>
      <c r="I493">
        <v>2</v>
      </c>
      <c r="J493" t="s">
        <v>3854</v>
      </c>
      <c r="K493" t="s">
        <v>14332</v>
      </c>
      <c r="L493" s="222">
        <v>9783442360284</v>
      </c>
      <c r="M493">
        <v>560</v>
      </c>
      <c r="O493" t="s">
        <v>4029</v>
      </c>
      <c r="P493">
        <v>432</v>
      </c>
      <c r="Q493">
        <v>3.52</v>
      </c>
    </row>
    <row r="494" spans="1:17" x14ac:dyDescent="0.25">
      <c r="A494">
        <v>972</v>
      </c>
      <c r="B494" t="s">
        <v>4071</v>
      </c>
      <c r="C494" t="s">
        <v>4118</v>
      </c>
      <c r="F494">
        <v>1996</v>
      </c>
      <c r="H494" t="s">
        <v>1878</v>
      </c>
      <c r="I494">
        <v>3</v>
      </c>
      <c r="K494" t="s">
        <v>14332</v>
      </c>
      <c r="L494" s="222">
        <v>9780340831434</v>
      </c>
      <c r="M494">
        <v>640</v>
      </c>
      <c r="O494" t="s">
        <v>4030</v>
      </c>
      <c r="P494">
        <v>339</v>
      </c>
      <c r="Q494">
        <v>2.72</v>
      </c>
    </row>
    <row r="495" spans="1:17" x14ac:dyDescent="0.25">
      <c r="A495">
        <v>0</v>
      </c>
      <c r="B495" t="s">
        <v>4120</v>
      </c>
      <c r="C495" t="s">
        <v>4121</v>
      </c>
      <c r="D495" t="s">
        <v>2257</v>
      </c>
      <c r="F495">
        <v>1989</v>
      </c>
      <c r="H495" t="s">
        <v>1878</v>
      </c>
      <c r="I495">
        <v>3</v>
      </c>
      <c r="K495" t="s">
        <v>14332</v>
      </c>
      <c r="L495" s="222">
        <v>9783426020852</v>
      </c>
      <c r="M495">
        <v>480</v>
      </c>
      <c r="O495" t="s">
        <v>4104</v>
      </c>
      <c r="P495">
        <v>281</v>
      </c>
      <c r="Q495">
        <v>1.72</v>
      </c>
    </row>
    <row r="496" spans="1:17" x14ac:dyDescent="0.25">
      <c r="A496">
        <v>692</v>
      </c>
      <c r="B496" t="s">
        <v>4127</v>
      </c>
      <c r="C496" t="s">
        <v>4128</v>
      </c>
      <c r="D496" t="s">
        <v>1993</v>
      </c>
      <c r="F496">
        <v>2016</v>
      </c>
      <c r="H496" t="s">
        <v>1878</v>
      </c>
      <c r="I496">
        <v>2</v>
      </c>
      <c r="J496" t="s">
        <v>3303</v>
      </c>
      <c r="K496" t="s">
        <v>14332</v>
      </c>
      <c r="M496">
        <v>352</v>
      </c>
      <c r="O496" t="s">
        <v>4123</v>
      </c>
      <c r="P496">
        <v>311</v>
      </c>
      <c r="Q496">
        <v>1.72</v>
      </c>
    </row>
    <row r="497" spans="1:17" x14ac:dyDescent="0.25">
      <c r="A497">
        <v>1940</v>
      </c>
      <c r="B497" t="s">
        <v>4129</v>
      </c>
      <c r="C497" t="s">
        <v>4130</v>
      </c>
      <c r="D497" t="s">
        <v>4131</v>
      </c>
      <c r="F497">
        <v>2012</v>
      </c>
      <c r="H497" t="s">
        <v>2734</v>
      </c>
      <c r="I497">
        <v>1</v>
      </c>
      <c r="K497" t="s">
        <v>14332</v>
      </c>
      <c r="L497" s="222">
        <v>9783827054999</v>
      </c>
      <c r="M497">
        <v>226</v>
      </c>
      <c r="O497" t="s">
        <v>4124</v>
      </c>
      <c r="P497">
        <v>308</v>
      </c>
      <c r="Q497">
        <v>2.62</v>
      </c>
    </row>
    <row r="498" spans="1:17" x14ac:dyDescent="0.25">
      <c r="A498">
        <v>2547</v>
      </c>
      <c r="B498" t="s">
        <v>4071</v>
      </c>
      <c r="C498" t="s">
        <v>4133</v>
      </c>
      <c r="D498" t="s">
        <v>1912</v>
      </c>
      <c r="F498">
        <v>1991</v>
      </c>
      <c r="H498" t="s">
        <v>1878</v>
      </c>
      <c r="I498">
        <v>2</v>
      </c>
      <c r="J498" t="s">
        <v>3303</v>
      </c>
      <c r="K498" t="s">
        <v>14332</v>
      </c>
      <c r="L498" s="222">
        <v>9783442422036</v>
      </c>
      <c r="M498">
        <v>448</v>
      </c>
      <c r="O498" t="s">
        <v>4125</v>
      </c>
      <c r="P498">
        <v>326</v>
      </c>
      <c r="Q498">
        <v>1.72</v>
      </c>
    </row>
    <row r="499" spans="1:17" x14ac:dyDescent="0.25">
      <c r="A499">
        <v>2522</v>
      </c>
      <c r="B499" t="s">
        <v>4135</v>
      </c>
      <c r="C499" t="s">
        <v>4136</v>
      </c>
      <c r="D499" t="s">
        <v>2054</v>
      </c>
      <c r="F499">
        <v>2008</v>
      </c>
      <c r="H499" t="s">
        <v>2734</v>
      </c>
      <c r="I499">
        <v>2</v>
      </c>
      <c r="J499" t="s">
        <v>3303</v>
      </c>
      <c r="K499" t="s">
        <v>14332</v>
      </c>
      <c r="L499" s="222">
        <v>9783828991460</v>
      </c>
      <c r="M499">
        <v>530</v>
      </c>
      <c r="O499" t="s">
        <v>4126</v>
      </c>
      <c r="P499">
        <v>812</v>
      </c>
      <c r="Q499">
        <v>3.12</v>
      </c>
    </row>
    <row r="500" spans="1:17" x14ac:dyDescent="0.25">
      <c r="A500">
        <v>1348</v>
      </c>
      <c r="B500" t="s">
        <v>4172</v>
      </c>
      <c r="C500" t="s">
        <v>4173</v>
      </c>
      <c r="D500" t="s">
        <v>2300</v>
      </c>
      <c r="E500" t="s">
        <v>2922</v>
      </c>
      <c r="F500">
        <v>1994</v>
      </c>
      <c r="H500" t="s">
        <v>1878</v>
      </c>
      <c r="I500">
        <v>2</v>
      </c>
      <c r="J500" t="s">
        <v>3303</v>
      </c>
      <c r="K500" t="s">
        <v>14332</v>
      </c>
      <c r="L500" s="222">
        <v>9783499503320</v>
      </c>
      <c r="M500">
        <v>160</v>
      </c>
      <c r="O500" t="s">
        <v>4139</v>
      </c>
      <c r="P500">
        <v>115</v>
      </c>
      <c r="Q500">
        <v>1.87</v>
      </c>
    </row>
    <row r="501" spans="1:17" x14ac:dyDescent="0.25">
      <c r="A501">
        <v>1386</v>
      </c>
      <c r="B501" t="s">
        <v>4175</v>
      </c>
      <c r="C501" t="s">
        <v>4176</v>
      </c>
      <c r="D501" t="s">
        <v>4177</v>
      </c>
      <c r="F501">
        <v>2009</v>
      </c>
      <c r="H501" t="s">
        <v>2734</v>
      </c>
      <c r="I501">
        <v>2</v>
      </c>
      <c r="J501" t="s">
        <v>3303</v>
      </c>
      <c r="K501" t="s">
        <v>14332</v>
      </c>
      <c r="L501" s="222">
        <v>9783887472405</v>
      </c>
      <c r="M501">
        <v>162</v>
      </c>
      <c r="O501" t="s">
        <v>4140</v>
      </c>
      <c r="P501">
        <v>323</v>
      </c>
      <c r="Q501">
        <v>2.72</v>
      </c>
    </row>
    <row r="502" spans="1:17" x14ac:dyDescent="0.25">
      <c r="A502">
        <v>1927</v>
      </c>
      <c r="B502" t="s">
        <v>4179</v>
      </c>
      <c r="C502" t="s">
        <v>4180</v>
      </c>
      <c r="D502" t="s">
        <v>4181</v>
      </c>
      <c r="E502" t="s">
        <v>1877</v>
      </c>
      <c r="F502">
        <v>2014</v>
      </c>
      <c r="H502" t="s">
        <v>2734</v>
      </c>
      <c r="I502">
        <v>1</v>
      </c>
      <c r="K502" t="s">
        <v>14332</v>
      </c>
      <c r="L502" s="222">
        <v>9783841903266</v>
      </c>
      <c r="M502">
        <v>290</v>
      </c>
      <c r="O502" t="s">
        <v>4141</v>
      </c>
      <c r="P502">
        <v>548</v>
      </c>
      <c r="Q502">
        <v>3.12</v>
      </c>
    </row>
    <row r="503" spans="1:17" x14ac:dyDescent="0.25">
      <c r="A503">
        <v>175</v>
      </c>
      <c r="B503" t="s">
        <v>4183</v>
      </c>
      <c r="C503" t="s">
        <v>4184</v>
      </c>
      <c r="D503" t="s">
        <v>2300</v>
      </c>
      <c r="F503">
        <v>1992</v>
      </c>
      <c r="H503" t="s">
        <v>1878</v>
      </c>
      <c r="I503">
        <v>2</v>
      </c>
      <c r="J503" t="s">
        <v>3303</v>
      </c>
      <c r="K503" t="s">
        <v>14332</v>
      </c>
      <c r="L503" s="222">
        <v>9783499163388</v>
      </c>
      <c r="M503">
        <v>256</v>
      </c>
      <c r="O503" t="s">
        <v>4142</v>
      </c>
      <c r="P503">
        <v>269</v>
      </c>
      <c r="Q503">
        <v>3.04</v>
      </c>
    </row>
    <row r="504" spans="1:17" x14ac:dyDescent="0.25">
      <c r="A504">
        <v>1939</v>
      </c>
      <c r="B504" t="s">
        <v>4186</v>
      </c>
      <c r="C504" t="s">
        <v>4187</v>
      </c>
      <c r="D504" t="s">
        <v>2926</v>
      </c>
      <c r="E504" t="s">
        <v>3979</v>
      </c>
      <c r="F504">
        <v>2000</v>
      </c>
      <c r="H504" t="s">
        <v>2734</v>
      </c>
      <c r="I504">
        <v>2</v>
      </c>
      <c r="J504" t="s">
        <v>4188</v>
      </c>
      <c r="K504" t="s">
        <v>14332</v>
      </c>
      <c r="L504" s="222">
        <v>9783502113423</v>
      </c>
      <c r="M504">
        <v>290</v>
      </c>
      <c r="O504" t="s">
        <v>4143</v>
      </c>
      <c r="P504">
        <v>459</v>
      </c>
      <c r="Q504">
        <v>3.37</v>
      </c>
    </row>
    <row r="505" spans="1:17" x14ac:dyDescent="0.25">
      <c r="A505">
        <v>697</v>
      </c>
      <c r="B505" t="s">
        <v>4190</v>
      </c>
      <c r="C505" t="s">
        <v>4191</v>
      </c>
      <c r="D505" t="s">
        <v>2300</v>
      </c>
      <c r="E505" t="s">
        <v>2032</v>
      </c>
      <c r="F505">
        <v>1995</v>
      </c>
      <c r="H505" t="s">
        <v>1878</v>
      </c>
      <c r="I505">
        <v>2</v>
      </c>
      <c r="J505" t="s">
        <v>3202</v>
      </c>
      <c r="K505" t="s">
        <v>14332</v>
      </c>
      <c r="L505" s="222">
        <v>9783499502163</v>
      </c>
      <c r="M505">
        <v>160</v>
      </c>
      <c r="O505" t="s">
        <v>4144</v>
      </c>
      <c r="P505">
        <v>116</v>
      </c>
      <c r="Q505">
        <v>4.01</v>
      </c>
    </row>
    <row r="506" spans="1:17" x14ac:dyDescent="0.25">
      <c r="A506">
        <v>1395</v>
      </c>
      <c r="B506" t="s">
        <v>4193</v>
      </c>
      <c r="C506" t="s">
        <v>4194</v>
      </c>
      <c r="D506" t="s">
        <v>1912</v>
      </c>
      <c r="E506" t="s">
        <v>1921</v>
      </c>
      <c r="F506">
        <v>2006</v>
      </c>
      <c r="H506" t="s">
        <v>1878</v>
      </c>
      <c r="I506">
        <v>2</v>
      </c>
      <c r="J506" t="s">
        <v>3303</v>
      </c>
      <c r="K506" t="s">
        <v>14332</v>
      </c>
      <c r="L506" s="222">
        <v>9783442542222</v>
      </c>
      <c r="M506">
        <v>416</v>
      </c>
      <c r="O506" t="s">
        <v>4145</v>
      </c>
      <c r="P506">
        <v>346</v>
      </c>
      <c r="Q506">
        <v>1.87</v>
      </c>
    </row>
    <row r="507" spans="1:17" x14ac:dyDescent="0.25">
      <c r="A507">
        <v>1927</v>
      </c>
      <c r="B507" t="s">
        <v>4196</v>
      </c>
      <c r="C507" t="s">
        <v>4197</v>
      </c>
      <c r="D507" t="s">
        <v>1912</v>
      </c>
      <c r="E507" t="s">
        <v>1921</v>
      </c>
      <c r="F507">
        <v>2001</v>
      </c>
      <c r="H507" t="s">
        <v>1878</v>
      </c>
      <c r="I507">
        <v>2</v>
      </c>
      <c r="J507" t="s">
        <v>4198</v>
      </c>
      <c r="K507" t="s">
        <v>14332</v>
      </c>
      <c r="L507" s="222">
        <v>9783442163335</v>
      </c>
      <c r="M507">
        <v>192</v>
      </c>
      <c r="O507" t="s">
        <v>4146</v>
      </c>
      <c r="P507">
        <v>188</v>
      </c>
      <c r="Q507">
        <v>20.71</v>
      </c>
    </row>
    <row r="508" spans="1:17" x14ac:dyDescent="0.25">
      <c r="A508">
        <v>1395</v>
      </c>
      <c r="B508" t="s">
        <v>1991</v>
      </c>
      <c r="C508" t="s">
        <v>4200</v>
      </c>
      <c r="D508" t="s">
        <v>4201</v>
      </c>
      <c r="F508">
        <v>2007</v>
      </c>
      <c r="H508" t="s">
        <v>1878</v>
      </c>
      <c r="I508">
        <v>2</v>
      </c>
      <c r="K508" t="s">
        <v>14332</v>
      </c>
      <c r="M508">
        <v>416</v>
      </c>
      <c r="O508" t="s">
        <v>4147</v>
      </c>
      <c r="P508">
        <v>303</v>
      </c>
      <c r="Q508">
        <v>1.72</v>
      </c>
    </row>
    <row r="509" spans="1:17" x14ac:dyDescent="0.25">
      <c r="A509">
        <v>319</v>
      </c>
      <c r="B509" t="s">
        <v>4212</v>
      </c>
      <c r="C509" t="s">
        <v>4213</v>
      </c>
      <c r="D509" t="s">
        <v>3022</v>
      </c>
      <c r="F509">
        <v>2002</v>
      </c>
      <c r="H509" t="s">
        <v>2734</v>
      </c>
      <c r="I509">
        <v>2</v>
      </c>
      <c r="J509" t="s">
        <v>4214</v>
      </c>
      <c r="K509" t="s">
        <v>14332</v>
      </c>
      <c r="L509" s="222">
        <v>9783832308629</v>
      </c>
      <c r="M509">
        <v>178</v>
      </c>
      <c r="O509" t="s">
        <v>4148</v>
      </c>
      <c r="P509">
        <v>443</v>
      </c>
      <c r="Q509">
        <v>3.04</v>
      </c>
    </row>
    <row r="510" spans="1:17" x14ac:dyDescent="0.25">
      <c r="A510">
        <v>1395</v>
      </c>
      <c r="B510" t="s">
        <v>4216</v>
      </c>
      <c r="C510" t="s">
        <v>4217</v>
      </c>
      <c r="D510" t="s">
        <v>2054</v>
      </c>
      <c r="F510">
        <v>2009</v>
      </c>
      <c r="H510" t="s">
        <v>1878</v>
      </c>
      <c r="I510">
        <v>2</v>
      </c>
      <c r="K510" t="s">
        <v>14332</v>
      </c>
      <c r="L510" s="222">
        <v>9783828993686</v>
      </c>
      <c r="M510">
        <v>354</v>
      </c>
      <c r="O510" t="s">
        <v>4149</v>
      </c>
      <c r="P510">
        <v>444</v>
      </c>
      <c r="Q510">
        <v>1.72</v>
      </c>
    </row>
    <row r="511" spans="1:17" x14ac:dyDescent="0.25">
      <c r="A511">
        <v>796</v>
      </c>
      <c r="B511" t="s">
        <v>4202</v>
      </c>
      <c r="C511" t="s">
        <v>4203</v>
      </c>
      <c r="D511" t="s">
        <v>2209</v>
      </c>
      <c r="F511">
        <v>2000</v>
      </c>
      <c r="H511" t="s">
        <v>1878</v>
      </c>
      <c r="I511">
        <v>2</v>
      </c>
      <c r="K511" t="s">
        <v>14332</v>
      </c>
      <c r="L511" s="222">
        <v>9783453171947</v>
      </c>
      <c r="M511">
        <v>288</v>
      </c>
      <c r="O511" t="s">
        <v>4150</v>
      </c>
      <c r="P511">
        <v>224</v>
      </c>
      <c r="Q511">
        <v>1.87</v>
      </c>
    </row>
    <row r="512" spans="1:17" x14ac:dyDescent="0.25">
      <c r="A512">
        <v>863</v>
      </c>
      <c r="B512" t="s">
        <v>4205</v>
      </c>
      <c r="C512" t="s">
        <v>4206</v>
      </c>
      <c r="D512" t="s">
        <v>4207</v>
      </c>
      <c r="E512" t="s">
        <v>2606</v>
      </c>
      <c r="F512">
        <v>1988</v>
      </c>
      <c r="H512" t="s">
        <v>4209</v>
      </c>
      <c r="I512">
        <v>2</v>
      </c>
      <c r="J512" t="s">
        <v>3202</v>
      </c>
      <c r="K512" t="s">
        <v>14332</v>
      </c>
      <c r="L512" s="222">
        <v>9783590820241</v>
      </c>
      <c r="M512">
        <v>450</v>
      </c>
      <c r="O512" t="s">
        <v>4151</v>
      </c>
      <c r="P512">
        <v>370</v>
      </c>
      <c r="Q512">
        <v>3.04</v>
      </c>
    </row>
    <row r="513" spans="1:17" x14ac:dyDescent="0.25">
      <c r="A513">
        <v>1396</v>
      </c>
      <c r="B513" t="s">
        <v>1891</v>
      </c>
      <c r="C513" t="s">
        <v>4210</v>
      </c>
      <c r="D513" t="s">
        <v>1876</v>
      </c>
      <c r="F513">
        <v>2011</v>
      </c>
      <c r="H513" t="s">
        <v>1878</v>
      </c>
      <c r="I513">
        <v>2</v>
      </c>
      <c r="K513" t="s">
        <v>14332</v>
      </c>
      <c r="L513" s="222">
        <v>9783492271905</v>
      </c>
      <c r="M513">
        <v>464</v>
      </c>
      <c r="O513" t="s">
        <v>4152</v>
      </c>
      <c r="P513">
        <v>498</v>
      </c>
      <c r="Q513">
        <v>0.52</v>
      </c>
    </row>
    <row r="514" spans="1:17" x14ac:dyDescent="0.25">
      <c r="A514">
        <v>765</v>
      </c>
      <c r="B514" t="s">
        <v>4219</v>
      </c>
      <c r="C514" t="s">
        <v>4220</v>
      </c>
      <c r="D514" t="s">
        <v>3030</v>
      </c>
      <c r="F514">
        <v>1986</v>
      </c>
      <c r="H514" t="s">
        <v>2734</v>
      </c>
      <c r="I514">
        <v>3</v>
      </c>
      <c r="K514" t="s">
        <v>14332</v>
      </c>
      <c r="L514" s="222">
        <v>9783720513418</v>
      </c>
      <c r="M514">
        <v>252</v>
      </c>
      <c r="O514" t="s">
        <v>4153</v>
      </c>
      <c r="P514">
        <v>570</v>
      </c>
      <c r="Q514">
        <v>2.69</v>
      </c>
    </row>
    <row r="515" spans="1:17" x14ac:dyDescent="0.25">
      <c r="A515">
        <v>796</v>
      </c>
      <c r="B515" t="s">
        <v>4222</v>
      </c>
      <c r="C515" t="s">
        <v>4223</v>
      </c>
      <c r="D515" t="s">
        <v>1912</v>
      </c>
      <c r="E515" t="s">
        <v>1913</v>
      </c>
      <c r="F515">
        <v>2010</v>
      </c>
      <c r="H515" t="s">
        <v>1878</v>
      </c>
      <c r="I515">
        <v>2</v>
      </c>
      <c r="K515" t="s">
        <v>14332</v>
      </c>
      <c r="L515" s="222">
        <v>9783442472598</v>
      </c>
      <c r="M515">
        <v>320</v>
      </c>
      <c r="O515" t="s">
        <v>4154</v>
      </c>
      <c r="P515">
        <v>265</v>
      </c>
      <c r="Q515">
        <v>1.97</v>
      </c>
    </row>
    <row r="516" spans="1:17" x14ac:dyDescent="0.25">
      <c r="A516">
        <v>2439</v>
      </c>
      <c r="B516" t="s">
        <v>4225</v>
      </c>
      <c r="C516" t="s">
        <v>1203</v>
      </c>
      <c r="D516" t="s">
        <v>2257</v>
      </c>
      <c r="F516">
        <v>1984</v>
      </c>
      <c r="H516" t="s">
        <v>2734</v>
      </c>
      <c r="I516">
        <v>2</v>
      </c>
      <c r="J516" t="s">
        <v>4226</v>
      </c>
      <c r="K516" t="s">
        <v>14332</v>
      </c>
      <c r="L516" s="222">
        <v>9783426260531</v>
      </c>
      <c r="M516">
        <v>578</v>
      </c>
      <c r="O516" t="s">
        <v>4155</v>
      </c>
      <c r="P516">
        <v>704</v>
      </c>
      <c r="Q516">
        <v>2.2200000000000002</v>
      </c>
    </row>
    <row r="517" spans="1:17" x14ac:dyDescent="0.25">
      <c r="A517">
        <v>1395</v>
      </c>
      <c r="B517" t="s">
        <v>4228</v>
      </c>
      <c r="C517" t="s">
        <v>4229</v>
      </c>
      <c r="D517" t="s">
        <v>2209</v>
      </c>
      <c r="F517">
        <v>1992</v>
      </c>
      <c r="H517" t="s">
        <v>1878</v>
      </c>
      <c r="I517">
        <v>2</v>
      </c>
      <c r="K517" t="s">
        <v>14332</v>
      </c>
      <c r="L517" s="222">
        <v>9783453056800</v>
      </c>
      <c r="M517">
        <v>176</v>
      </c>
      <c r="O517" t="s">
        <v>4156</v>
      </c>
      <c r="P517">
        <v>144</v>
      </c>
      <c r="Q517">
        <v>1.72</v>
      </c>
    </row>
    <row r="518" spans="1:17" x14ac:dyDescent="0.25">
      <c r="A518">
        <v>2522</v>
      </c>
      <c r="B518" t="s">
        <v>4231</v>
      </c>
      <c r="C518" t="s">
        <v>4232</v>
      </c>
      <c r="D518" t="s">
        <v>2054</v>
      </c>
      <c r="F518">
        <v>2001</v>
      </c>
      <c r="H518" t="s">
        <v>2734</v>
      </c>
      <c r="I518">
        <v>2</v>
      </c>
      <c r="K518" t="s">
        <v>14332</v>
      </c>
      <c r="L518" s="222">
        <v>9783828904507</v>
      </c>
      <c r="M518">
        <v>378</v>
      </c>
      <c r="O518" t="s">
        <v>4157</v>
      </c>
      <c r="P518">
        <v>548</v>
      </c>
      <c r="Q518">
        <v>3.01</v>
      </c>
    </row>
    <row r="519" spans="1:17" x14ac:dyDescent="0.25">
      <c r="A519">
        <v>1348</v>
      </c>
      <c r="B519" t="s">
        <v>4235</v>
      </c>
      <c r="C519" t="s">
        <v>4236</v>
      </c>
      <c r="D519" t="s">
        <v>2007</v>
      </c>
      <c r="F519">
        <v>2000</v>
      </c>
      <c r="H519" t="s">
        <v>2008</v>
      </c>
      <c r="I519">
        <v>2</v>
      </c>
      <c r="J519" t="s">
        <v>2237</v>
      </c>
      <c r="K519" t="s">
        <v>14332</v>
      </c>
      <c r="L519" s="222">
        <v>9783150152225</v>
      </c>
      <c r="M519">
        <v>104</v>
      </c>
      <c r="O519" t="s">
        <v>4158</v>
      </c>
      <c r="P519">
        <v>56</v>
      </c>
      <c r="Q519">
        <v>3.58</v>
      </c>
    </row>
    <row r="520" spans="1:17" x14ac:dyDescent="0.25">
      <c r="A520">
        <v>2551</v>
      </c>
      <c r="B520" t="s">
        <v>4238</v>
      </c>
      <c r="C520" t="s">
        <v>4239</v>
      </c>
      <c r="D520" t="s">
        <v>2232</v>
      </c>
      <c r="E520" t="s">
        <v>1913</v>
      </c>
      <c r="F520">
        <v>2006</v>
      </c>
      <c r="H520" t="s">
        <v>1878</v>
      </c>
      <c r="I520">
        <v>2</v>
      </c>
      <c r="J520" t="s">
        <v>3865</v>
      </c>
      <c r="K520" t="s">
        <v>14332</v>
      </c>
      <c r="L520" s="222">
        <v>9783442734771</v>
      </c>
      <c r="M520">
        <v>544</v>
      </c>
      <c r="O520" t="s">
        <v>4159</v>
      </c>
      <c r="P520">
        <v>460</v>
      </c>
      <c r="Q520">
        <v>3.58</v>
      </c>
    </row>
    <row r="521" spans="1:17" x14ac:dyDescent="0.25">
      <c r="A521">
        <v>61</v>
      </c>
      <c r="B521" t="s">
        <v>4241</v>
      </c>
      <c r="C521" t="s">
        <v>4242</v>
      </c>
      <c r="D521" t="s">
        <v>4243</v>
      </c>
      <c r="E521" t="s">
        <v>1899</v>
      </c>
      <c r="F521">
        <v>2010</v>
      </c>
      <c r="H521" t="s">
        <v>1878</v>
      </c>
      <c r="I521">
        <v>2</v>
      </c>
      <c r="J521" t="s">
        <v>3865</v>
      </c>
      <c r="K521" t="s">
        <v>14332</v>
      </c>
      <c r="L521" s="222">
        <v>9783470545134</v>
      </c>
      <c r="M521">
        <v>248</v>
      </c>
      <c r="O521" t="s">
        <v>4160</v>
      </c>
      <c r="P521">
        <v>394</v>
      </c>
      <c r="Q521">
        <v>5.72</v>
      </c>
    </row>
    <row r="522" spans="1:17" x14ac:dyDescent="0.25">
      <c r="A522">
        <v>688</v>
      </c>
      <c r="B522" t="s">
        <v>4034</v>
      </c>
      <c r="C522" t="s">
        <v>4245</v>
      </c>
      <c r="D522" t="s">
        <v>2209</v>
      </c>
      <c r="F522">
        <v>2003</v>
      </c>
      <c r="H522" t="s">
        <v>1878</v>
      </c>
      <c r="I522">
        <v>2</v>
      </c>
      <c r="J522" t="s">
        <v>4246</v>
      </c>
      <c r="K522" t="s">
        <v>14332</v>
      </c>
      <c r="L522" s="222">
        <v>9783453864429</v>
      </c>
      <c r="M522">
        <v>480</v>
      </c>
      <c r="O522" t="s">
        <v>4161</v>
      </c>
      <c r="P522">
        <v>346</v>
      </c>
      <c r="Q522">
        <v>2.5099999999999998</v>
      </c>
    </row>
    <row r="523" spans="1:17" x14ac:dyDescent="0.25">
      <c r="A523">
        <v>767</v>
      </c>
      <c r="B523" t="s">
        <v>4248</v>
      </c>
      <c r="C523" t="s">
        <v>4249</v>
      </c>
      <c r="D523" t="s">
        <v>2054</v>
      </c>
      <c r="F523">
        <v>2010</v>
      </c>
      <c r="H523" t="s">
        <v>2734</v>
      </c>
      <c r="I523">
        <v>2</v>
      </c>
      <c r="J523" t="s">
        <v>4250</v>
      </c>
      <c r="K523" t="s">
        <v>14332</v>
      </c>
      <c r="L523" s="222">
        <v>9783868003505</v>
      </c>
      <c r="M523">
        <v>226</v>
      </c>
      <c r="O523" t="s">
        <v>4162</v>
      </c>
      <c r="P523">
        <v>388</v>
      </c>
      <c r="Q523">
        <v>2.5099999999999998</v>
      </c>
    </row>
    <row r="524" spans="1:17" x14ac:dyDescent="0.25">
      <c r="A524">
        <v>1348</v>
      </c>
      <c r="B524" t="s">
        <v>4252</v>
      </c>
      <c r="C524" t="s">
        <v>4253</v>
      </c>
      <c r="D524" t="s">
        <v>2300</v>
      </c>
      <c r="F524">
        <v>1964</v>
      </c>
      <c r="H524" t="s">
        <v>1878</v>
      </c>
      <c r="I524">
        <v>3</v>
      </c>
      <c r="J524" t="s">
        <v>3653</v>
      </c>
      <c r="K524" t="s">
        <v>14332</v>
      </c>
      <c r="M524">
        <v>188</v>
      </c>
      <c r="O524" t="s">
        <v>4163</v>
      </c>
      <c r="P524">
        <v>134</v>
      </c>
      <c r="Q524">
        <v>1.72</v>
      </c>
    </row>
    <row r="525" spans="1:17" x14ac:dyDescent="0.25">
      <c r="A525">
        <v>2516</v>
      </c>
      <c r="B525" t="s">
        <v>4254</v>
      </c>
      <c r="C525" t="s">
        <v>4255</v>
      </c>
      <c r="D525" t="s">
        <v>2232</v>
      </c>
      <c r="E525" t="s">
        <v>1913</v>
      </c>
      <c r="F525">
        <v>2012</v>
      </c>
      <c r="H525" t="s">
        <v>2008</v>
      </c>
      <c r="I525">
        <v>2</v>
      </c>
      <c r="J525" t="s">
        <v>3854</v>
      </c>
      <c r="K525" t="s">
        <v>14332</v>
      </c>
      <c r="L525" s="222">
        <v>9783442744534</v>
      </c>
      <c r="M525">
        <v>224</v>
      </c>
      <c r="O525" t="s">
        <v>4164</v>
      </c>
      <c r="P525">
        <v>217</v>
      </c>
      <c r="Q525">
        <v>2.4</v>
      </c>
    </row>
    <row r="526" spans="1:17" x14ac:dyDescent="0.25">
      <c r="A526">
        <v>548</v>
      </c>
      <c r="B526" t="s">
        <v>4257</v>
      </c>
      <c r="C526" t="s">
        <v>4258</v>
      </c>
      <c r="D526" t="s">
        <v>2300</v>
      </c>
      <c r="E526" t="s">
        <v>4259</v>
      </c>
      <c r="F526">
        <v>2000</v>
      </c>
      <c r="H526" t="s">
        <v>1878</v>
      </c>
      <c r="I526">
        <v>2</v>
      </c>
      <c r="J526" t="s">
        <v>2237</v>
      </c>
      <c r="K526" t="s">
        <v>14332</v>
      </c>
      <c r="L526" s="222">
        <v>9783499500718</v>
      </c>
      <c r="M526">
        <v>192</v>
      </c>
      <c r="O526" t="s">
        <v>4165</v>
      </c>
      <c r="P526">
        <v>181</v>
      </c>
      <c r="Q526">
        <v>1.72</v>
      </c>
    </row>
    <row r="527" spans="1:17" x14ac:dyDescent="0.25">
      <c r="A527">
        <v>1395</v>
      </c>
      <c r="B527" t="s">
        <v>4261</v>
      </c>
      <c r="C527" t="s">
        <v>4262</v>
      </c>
      <c r="D527" t="s">
        <v>1920</v>
      </c>
      <c r="F527">
        <v>1999</v>
      </c>
      <c r="H527" t="s">
        <v>1878</v>
      </c>
      <c r="I527">
        <v>2</v>
      </c>
      <c r="J527" t="s">
        <v>3854</v>
      </c>
      <c r="K527" t="s">
        <v>14332</v>
      </c>
      <c r="L527" s="222">
        <v>9783404142507</v>
      </c>
      <c r="M527">
        <v>320</v>
      </c>
      <c r="O527" t="s">
        <v>4166</v>
      </c>
      <c r="P527">
        <v>218</v>
      </c>
      <c r="Q527">
        <v>1.72</v>
      </c>
    </row>
    <row r="528" spans="1:17" x14ac:dyDescent="0.25">
      <c r="A528">
        <v>1875</v>
      </c>
      <c r="B528" t="s">
        <v>4264</v>
      </c>
      <c r="C528" t="s">
        <v>4265</v>
      </c>
      <c r="D528" t="s">
        <v>1912</v>
      </c>
      <c r="E528" t="s">
        <v>2032</v>
      </c>
      <c r="F528">
        <v>2006</v>
      </c>
      <c r="H528" t="s">
        <v>1878</v>
      </c>
      <c r="I528">
        <v>2</v>
      </c>
      <c r="K528" t="s">
        <v>14332</v>
      </c>
      <c r="L528" s="222">
        <v>9783442154081</v>
      </c>
      <c r="M528">
        <v>208</v>
      </c>
      <c r="O528" t="s">
        <v>4167</v>
      </c>
      <c r="P528">
        <v>205</v>
      </c>
      <c r="Q528">
        <v>1.72</v>
      </c>
    </row>
    <row r="529" spans="1:17" x14ac:dyDescent="0.25">
      <c r="A529">
        <v>1315</v>
      </c>
      <c r="B529" t="s">
        <v>4287</v>
      </c>
      <c r="C529" t="s">
        <v>4288</v>
      </c>
      <c r="D529" t="s">
        <v>1988</v>
      </c>
      <c r="F529">
        <v>2015</v>
      </c>
      <c r="H529" t="s">
        <v>1878</v>
      </c>
      <c r="I529">
        <v>2</v>
      </c>
      <c r="K529" t="s">
        <v>14332</v>
      </c>
      <c r="L529" s="222">
        <v>9783423086448</v>
      </c>
      <c r="M529">
        <v>336</v>
      </c>
      <c r="O529" t="s">
        <v>4267</v>
      </c>
      <c r="P529">
        <v>291</v>
      </c>
      <c r="Q529">
        <v>1.97</v>
      </c>
    </row>
    <row r="530" spans="1:17" x14ac:dyDescent="0.25">
      <c r="A530">
        <v>690</v>
      </c>
      <c r="B530" t="s">
        <v>4127</v>
      </c>
      <c r="C530" t="s">
        <v>4290</v>
      </c>
      <c r="D530" t="s">
        <v>3116</v>
      </c>
      <c r="E530" t="s">
        <v>1899</v>
      </c>
      <c r="F530">
        <v>2011</v>
      </c>
      <c r="H530" t="s">
        <v>1878</v>
      </c>
      <c r="I530">
        <v>2</v>
      </c>
      <c r="J530" t="s">
        <v>4291</v>
      </c>
      <c r="K530" t="s">
        <v>14332</v>
      </c>
      <c r="L530" s="222">
        <v>9783401501475</v>
      </c>
      <c r="M530">
        <v>256</v>
      </c>
      <c r="O530" t="s">
        <v>4268</v>
      </c>
      <c r="P530">
        <v>223</v>
      </c>
      <c r="Q530">
        <v>1.97</v>
      </c>
    </row>
    <row r="531" spans="1:17" x14ac:dyDescent="0.25">
      <c r="A531">
        <v>1315</v>
      </c>
      <c r="B531" t="s">
        <v>4293</v>
      </c>
      <c r="C531" t="s">
        <v>4294</v>
      </c>
      <c r="D531" t="s">
        <v>3312</v>
      </c>
      <c r="F531">
        <v>2005</v>
      </c>
      <c r="H531" t="s">
        <v>2734</v>
      </c>
      <c r="I531">
        <v>2</v>
      </c>
      <c r="J531" t="s">
        <v>3649</v>
      </c>
      <c r="K531" t="s">
        <v>14332</v>
      </c>
      <c r="L531" s="222">
        <v>9783791526737</v>
      </c>
      <c r="M531">
        <v>322</v>
      </c>
      <c r="O531" t="s">
        <v>4269</v>
      </c>
      <c r="P531">
        <v>564</v>
      </c>
      <c r="Q531">
        <v>2.37</v>
      </c>
    </row>
    <row r="532" spans="1:17" x14ac:dyDescent="0.25">
      <c r="A532">
        <v>607</v>
      </c>
      <c r="C532" t="s">
        <v>4296</v>
      </c>
      <c r="D532" t="s">
        <v>3761</v>
      </c>
      <c r="F532">
        <v>2006</v>
      </c>
      <c r="H532" t="s">
        <v>4297</v>
      </c>
      <c r="I532">
        <v>2</v>
      </c>
      <c r="J532" t="s">
        <v>2237</v>
      </c>
      <c r="K532" t="s">
        <v>14332</v>
      </c>
      <c r="L532" s="222">
        <v>9783907200872</v>
      </c>
      <c r="M532">
        <v>130</v>
      </c>
      <c r="O532" t="s">
        <v>4270</v>
      </c>
      <c r="P532">
        <v>271</v>
      </c>
      <c r="Q532">
        <v>2.19</v>
      </c>
    </row>
    <row r="533" spans="1:17" x14ac:dyDescent="0.25">
      <c r="A533">
        <v>765</v>
      </c>
      <c r="B533" t="s">
        <v>4299</v>
      </c>
      <c r="C533" t="s">
        <v>4300</v>
      </c>
      <c r="D533" t="s">
        <v>2309</v>
      </c>
      <c r="F533">
        <v>1991</v>
      </c>
      <c r="H533" t="s">
        <v>1878</v>
      </c>
      <c r="I533">
        <v>2</v>
      </c>
      <c r="K533" t="s">
        <v>14332</v>
      </c>
      <c r="L533" s="222">
        <v>9783550065156</v>
      </c>
      <c r="M533">
        <v>224</v>
      </c>
      <c r="O533" t="s">
        <v>4271</v>
      </c>
      <c r="P533">
        <v>328</v>
      </c>
      <c r="Q533">
        <v>2.72</v>
      </c>
    </row>
    <row r="534" spans="1:17" x14ac:dyDescent="0.25">
      <c r="A534">
        <v>1304</v>
      </c>
      <c r="B534" t="s">
        <v>4302</v>
      </c>
      <c r="C534" t="s">
        <v>4303</v>
      </c>
      <c r="D534" t="s">
        <v>4304</v>
      </c>
      <c r="E534" t="s">
        <v>1877</v>
      </c>
      <c r="F534">
        <v>1987</v>
      </c>
      <c r="H534" t="s">
        <v>2734</v>
      </c>
      <c r="I534">
        <v>1</v>
      </c>
      <c r="K534" t="s">
        <v>14332</v>
      </c>
      <c r="L534" s="222">
        <v>9783776704136</v>
      </c>
      <c r="M534">
        <v>146</v>
      </c>
      <c r="O534" t="s">
        <v>4272</v>
      </c>
      <c r="P534">
        <v>306</v>
      </c>
      <c r="Q534">
        <v>2.2999999999999998</v>
      </c>
    </row>
    <row r="535" spans="1:17" x14ac:dyDescent="0.25">
      <c r="A535">
        <v>2516</v>
      </c>
      <c r="B535" t="s">
        <v>4306</v>
      </c>
      <c r="C535" t="s">
        <v>4307</v>
      </c>
      <c r="D535" t="s">
        <v>3332</v>
      </c>
      <c r="H535" t="s">
        <v>2734</v>
      </c>
      <c r="I535">
        <v>3</v>
      </c>
      <c r="K535" t="s">
        <v>14332</v>
      </c>
      <c r="L535" s="222">
        <v>9783625210801</v>
      </c>
      <c r="M535">
        <v>322</v>
      </c>
      <c r="O535" t="s">
        <v>4273</v>
      </c>
      <c r="P535">
        <v>402</v>
      </c>
      <c r="Q535">
        <v>1.82</v>
      </c>
    </row>
    <row r="536" spans="1:17" x14ac:dyDescent="0.25">
      <c r="A536">
        <v>688</v>
      </c>
      <c r="B536" t="s">
        <v>4034</v>
      </c>
      <c r="C536" t="s">
        <v>4035</v>
      </c>
      <c r="D536" t="s">
        <v>2209</v>
      </c>
      <c r="E536" t="s">
        <v>1877</v>
      </c>
      <c r="F536">
        <v>2000</v>
      </c>
      <c r="H536" t="s">
        <v>1878</v>
      </c>
      <c r="I536">
        <v>2</v>
      </c>
      <c r="K536" t="s">
        <v>14332</v>
      </c>
      <c r="L536" s="222">
        <v>9783453135734</v>
      </c>
      <c r="M536">
        <v>528</v>
      </c>
      <c r="O536" t="s">
        <v>4274</v>
      </c>
      <c r="P536">
        <v>360</v>
      </c>
      <c r="Q536">
        <v>1.72</v>
      </c>
    </row>
    <row r="537" spans="1:17" x14ac:dyDescent="0.25">
      <c r="A537">
        <v>1386</v>
      </c>
      <c r="B537" t="s">
        <v>4309</v>
      </c>
      <c r="C537" t="s">
        <v>4310</v>
      </c>
      <c r="D537" t="s">
        <v>2835</v>
      </c>
      <c r="F537">
        <v>2010</v>
      </c>
      <c r="H537" t="s">
        <v>2734</v>
      </c>
      <c r="I537">
        <v>2</v>
      </c>
      <c r="J537" t="s">
        <v>2237</v>
      </c>
      <c r="K537" t="s">
        <v>14332</v>
      </c>
      <c r="L537" s="222">
        <v>9783518422236</v>
      </c>
      <c r="M537">
        <v>242</v>
      </c>
      <c r="O537" t="s">
        <v>4275</v>
      </c>
      <c r="P537">
        <v>379</v>
      </c>
      <c r="Q537">
        <v>1.97</v>
      </c>
    </row>
    <row r="538" spans="1:17" x14ac:dyDescent="0.25">
      <c r="A538">
        <v>1395</v>
      </c>
      <c r="B538" t="s">
        <v>4312</v>
      </c>
      <c r="C538" t="s">
        <v>4313</v>
      </c>
      <c r="D538" t="s">
        <v>1988</v>
      </c>
      <c r="F538">
        <v>2009</v>
      </c>
      <c r="H538" t="s">
        <v>1878</v>
      </c>
      <c r="I538">
        <v>2</v>
      </c>
      <c r="J538" t="s">
        <v>4314</v>
      </c>
      <c r="K538" t="s">
        <v>14332</v>
      </c>
      <c r="L538" s="222">
        <v>9783423211741</v>
      </c>
      <c r="M538">
        <v>384</v>
      </c>
      <c r="O538" t="s">
        <v>4276</v>
      </c>
      <c r="P538">
        <v>285</v>
      </c>
      <c r="Q538">
        <v>1.87</v>
      </c>
    </row>
    <row r="539" spans="1:17" x14ac:dyDescent="0.25">
      <c r="A539">
        <v>968</v>
      </c>
      <c r="B539" t="s">
        <v>2191</v>
      </c>
      <c r="C539" t="s">
        <v>4316</v>
      </c>
      <c r="F539">
        <v>2002</v>
      </c>
      <c r="H539" t="s">
        <v>1878</v>
      </c>
      <c r="I539">
        <v>2</v>
      </c>
      <c r="K539" t="s">
        <v>14339</v>
      </c>
      <c r="L539" s="222">
        <v>9780743448642</v>
      </c>
      <c r="M539">
        <v>374</v>
      </c>
      <c r="O539" t="s">
        <v>4277</v>
      </c>
      <c r="P539">
        <v>196</v>
      </c>
      <c r="Q539">
        <v>3.04</v>
      </c>
    </row>
    <row r="540" spans="1:17" x14ac:dyDescent="0.25">
      <c r="A540">
        <v>0</v>
      </c>
      <c r="B540" t="s">
        <v>4318</v>
      </c>
      <c r="C540" t="s">
        <v>4319</v>
      </c>
      <c r="D540" t="s">
        <v>2007</v>
      </c>
      <c r="F540">
        <v>2003</v>
      </c>
      <c r="H540" t="s">
        <v>2008</v>
      </c>
      <c r="I540">
        <v>1</v>
      </c>
      <c r="K540" t="s">
        <v>14332</v>
      </c>
      <c r="L540" s="222">
        <v>9783150176443</v>
      </c>
      <c r="M540">
        <v>128</v>
      </c>
      <c r="O540" t="s">
        <v>4278</v>
      </c>
      <c r="P540">
        <v>70</v>
      </c>
      <c r="Q540">
        <v>2.72</v>
      </c>
    </row>
    <row r="541" spans="1:17" x14ac:dyDescent="0.25">
      <c r="A541">
        <v>1348</v>
      </c>
      <c r="B541" t="s">
        <v>4321</v>
      </c>
      <c r="C541" t="s">
        <v>4236</v>
      </c>
      <c r="D541" t="s">
        <v>2300</v>
      </c>
      <c r="E541" t="s">
        <v>4322</v>
      </c>
      <c r="F541">
        <v>1989</v>
      </c>
      <c r="H541" t="s">
        <v>2008</v>
      </c>
      <c r="I541">
        <v>2</v>
      </c>
      <c r="J541" t="s">
        <v>3202</v>
      </c>
      <c r="K541" t="s">
        <v>14332</v>
      </c>
      <c r="L541" s="222">
        <v>9783499501135</v>
      </c>
      <c r="M541">
        <v>190</v>
      </c>
      <c r="O541" t="s">
        <v>4279</v>
      </c>
      <c r="P541">
        <v>142</v>
      </c>
      <c r="Q541">
        <v>1.97</v>
      </c>
    </row>
    <row r="542" spans="1:17" x14ac:dyDescent="0.25">
      <c r="A542">
        <v>691</v>
      </c>
      <c r="B542" t="s">
        <v>4324</v>
      </c>
      <c r="C542" t="s">
        <v>4325</v>
      </c>
      <c r="D542" t="s">
        <v>1979</v>
      </c>
      <c r="F542">
        <v>1995</v>
      </c>
      <c r="H542" t="s">
        <v>2734</v>
      </c>
      <c r="I542">
        <v>1</v>
      </c>
      <c r="K542" t="s">
        <v>14332</v>
      </c>
      <c r="L542" s="222">
        <v>9783473342761</v>
      </c>
      <c r="M542">
        <v>162</v>
      </c>
      <c r="O542" t="s">
        <v>4280</v>
      </c>
      <c r="P542">
        <v>335</v>
      </c>
      <c r="Q542">
        <v>2.5099999999999998</v>
      </c>
    </row>
    <row r="543" spans="1:17" x14ac:dyDescent="0.25">
      <c r="A543">
        <v>2552</v>
      </c>
      <c r="B543" t="s">
        <v>4329</v>
      </c>
      <c r="C543" t="s">
        <v>4330</v>
      </c>
      <c r="D543" t="s">
        <v>4331</v>
      </c>
      <c r="E543" t="s">
        <v>1921</v>
      </c>
      <c r="F543">
        <v>1998</v>
      </c>
      <c r="H543" t="s">
        <v>2008</v>
      </c>
      <c r="I543">
        <v>2</v>
      </c>
      <c r="K543" t="s">
        <v>14332</v>
      </c>
      <c r="L543" s="222">
        <v>9783929010466</v>
      </c>
      <c r="M543">
        <v>320</v>
      </c>
      <c r="O543" t="s">
        <v>4282</v>
      </c>
      <c r="P543">
        <v>256</v>
      </c>
      <c r="Q543">
        <v>3.04</v>
      </c>
    </row>
    <row r="544" spans="1:17" x14ac:dyDescent="0.25">
      <c r="A544">
        <v>2687</v>
      </c>
      <c r="C544" t="s">
        <v>4333</v>
      </c>
      <c r="D544" t="s">
        <v>4334</v>
      </c>
      <c r="H544" t="s">
        <v>2734</v>
      </c>
      <c r="I544">
        <v>1</v>
      </c>
      <c r="K544" t="s">
        <v>14332</v>
      </c>
      <c r="L544" s="222">
        <v>9783849904715</v>
      </c>
      <c r="O544" t="s">
        <v>4284</v>
      </c>
      <c r="P544">
        <v>387</v>
      </c>
      <c r="Q544">
        <v>2.62</v>
      </c>
    </row>
    <row r="545" spans="1:17" x14ac:dyDescent="0.25">
      <c r="A545">
        <v>689</v>
      </c>
      <c r="B545" t="s">
        <v>4348</v>
      </c>
      <c r="C545" t="s">
        <v>4349</v>
      </c>
      <c r="D545" t="s">
        <v>3022</v>
      </c>
      <c r="F545">
        <v>1998</v>
      </c>
      <c r="H545" t="s">
        <v>2734</v>
      </c>
      <c r="I545">
        <v>2</v>
      </c>
      <c r="K545" t="s">
        <v>14332</v>
      </c>
      <c r="L545" s="222">
        <v>9783800025589</v>
      </c>
      <c r="M545">
        <v>538</v>
      </c>
      <c r="O545" t="s">
        <v>4378</v>
      </c>
      <c r="P545">
        <v>656</v>
      </c>
      <c r="Q545">
        <v>6.01</v>
      </c>
    </row>
    <row r="546" spans="1:17" x14ac:dyDescent="0.25">
      <c r="A546">
        <v>632</v>
      </c>
      <c r="B546" t="s">
        <v>4350</v>
      </c>
      <c r="C546" t="s">
        <v>4353</v>
      </c>
      <c r="D546" t="s">
        <v>2054</v>
      </c>
      <c r="F546">
        <v>1997</v>
      </c>
      <c r="H546" t="s">
        <v>2734</v>
      </c>
      <c r="I546">
        <v>2</v>
      </c>
      <c r="K546" t="s">
        <v>14332</v>
      </c>
      <c r="L546" s="222">
        <v>4026411114040</v>
      </c>
      <c r="M546">
        <v>434</v>
      </c>
      <c r="O546" t="s">
        <v>4379</v>
      </c>
      <c r="P546">
        <v>475</v>
      </c>
      <c r="Q546">
        <v>3.96</v>
      </c>
    </row>
    <row r="547" spans="1:17" x14ac:dyDescent="0.25">
      <c r="A547">
        <v>2522</v>
      </c>
      <c r="B547" t="s">
        <v>4351</v>
      </c>
      <c r="C547" t="s">
        <v>4354</v>
      </c>
      <c r="D547" t="s">
        <v>4357</v>
      </c>
      <c r="F547">
        <v>2014</v>
      </c>
      <c r="H547" t="s">
        <v>1878</v>
      </c>
      <c r="I547">
        <v>2</v>
      </c>
      <c r="J547" t="s">
        <v>4198</v>
      </c>
      <c r="K547" t="s">
        <v>14332</v>
      </c>
      <c r="M547">
        <v>416</v>
      </c>
      <c r="O547" t="s">
        <v>4380</v>
      </c>
      <c r="P547">
        <v>296</v>
      </c>
      <c r="Q547">
        <v>2.4</v>
      </c>
    </row>
    <row r="548" spans="1:17" x14ac:dyDescent="0.25">
      <c r="A548">
        <v>2522</v>
      </c>
      <c r="B548" t="s">
        <v>4352</v>
      </c>
      <c r="C548" t="s">
        <v>4355</v>
      </c>
      <c r="D548" t="s">
        <v>1912</v>
      </c>
      <c r="E548" t="s">
        <v>1877</v>
      </c>
      <c r="F548">
        <v>2010</v>
      </c>
      <c r="H548" t="s">
        <v>1878</v>
      </c>
      <c r="I548">
        <v>2</v>
      </c>
      <c r="J548" t="s">
        <v>3854</v>
      </c>
      <c r="K548" t="s">
        <v>14332</v>
      </c>
      <c r="L548" s="222">
        <v>9783442469383</v>
      </c>
      <c r="M548">
        <v>384</v>
      </c>
      <c r="O548" t="s">
        <v>4381</v>
      </c>
      <c r="P548">
        <v>285</v>
      </c>
      <c r="Q548">
        <v>4.0999999999999996</v>
      </c>
    </row>
    <row r="549" spans="1:17" x14ac:dyDescent="0.25">
      <c r="A549">
        <v>634</v>
      </c>
      <c r="B549" t="s">
        <v>2252</v>
      </c>
      <c r="C549" t="s">
        <v>4356</v>
      </c>
      <c r="D549" t="s">
        <v>2609</v>
      </c>
      <c r="F549">
        <v>2011</v>
      </c>
      <c r="H549" t="s">
        <v>1878</v>
      </c>
      <c r="I549">
        <v>2</v>
      </c>
      <c r="K549" t="s">
        <v>14332</v>
      </c>
      <c r="L549" s="222">
        <v>9783596184880</v>
      </c>
      <c r="M549">
        <v>1312</v>
      </c>
      <c r="O549" t="s">
        <v>4382</v>
      </c>
      <c r="P549">
        <v>806</v>
      </c>
      <c r="Q549">
        <v>5.68</v>
      </c>
    </row>
    <row r="550" spans="1:17" x14ac:dyDescent="0.25">
      <c r="A550">
        <v>853</v>
      </c>
      <c r="B550" t="s">
        <v>4362</v>
      </c>
      <c r="C550" t="s">
        <v>4363</v>
      </c>
      <c r="D550" t="s">
        <v>2300</v>
      </c>
      <c r="F550">
        <v>1992</v>
      </c>
      <c r="H550" t="s">
        <v>1878</v>
      </c>
      <c r="I550">
        <v>2</v>
      </c>
      <c r="K550" t="s">
        <v>14332</v>
      </c>
      <c r="L550" s="222">
        <v>9783499350924</v>
      </c>
      <c r="M550">
        <v>384</v>
      </c>
      <c r="O550" t="s">
        <v>4383</v>
      </c>
      <c r="P550">
        <v>311</v>
      </c>
      <c r="Q550">
        <v>4.97</v>
      </c>
    </row>
    <row r="551" spans="1:17" x14ac:dyDescent="0.25">
      <c r="A551">
        <v>1231</v>
      </c>
      <c r="B551" t="s">
        <v>4365</v>
      </c>
      <c r="C551" t="s">
        <v>4366</v>
      </c>
      <c r="D551" t="s">
        <v>1920</v>
      </c>
      <c r="E551" t="s">
        <v>1921</v>
      </c>
      <c r="F551">
        <v>2013</v>
      </c>
      <c r="H551" t="s">
        <v>1878</v>
      </c>
      <c r="I551">
        <v>3</v>
      </c>
      <c r="K551" t="s">
        <v>14332</v>
      </c>
      <c r="L551" s="222">
        <v>9783404608027</v>
      </c>
      <c r="M551">
        <v>240</v>
      </c>
      <c r="O551" t="s">
        <v>4384</v>
      </c>
      <c r="P551">
        <v>267</v>
      </c>
      <c r="Q551">
        <v>3.8</v>
      </c>
    </row>
    <row r="552" spans="1:17" x14ac:dyDescent="0.25">
      <c r="A552">
        <v>2522</v>
      </c>
      <c r="B552" t="s">
        <v>4368</v>
      </c>
      <c r="C552" t="s">
        <v>4369</v>
      </c>
      <c r="D552" t="s">
        <v>2257</v>
      </c>
      <c r="F552">
        <v>2007</v>
      </c>
      <c r="H552" t="s">
        <v>1878</v>
      </c>
      <c r="I552">
        <v>2</v>
      </c>
      <c r="J552" t="s">
        <v>3854</v>
      </c>
      <c r="K552" t="s">
        <v>14332</v>
      </c>
      <c r="L552" s="222">
        <v>9783426636404</v>
      </c>
      <c r="M552">
        <v>608</v>
      </c>
      <c r="O552" t="s">
        <v>4385</v>
      </c>
      <c r="P552">
        <v>446</v>
      </c>
      <c r="Q552">
        <v>4.29</v>
      </c>
    </row>
    <row r="553" spans="1:17" x14ac:dyDescent="0.25">
      <c r="A553">
        <v>1321</v>
      </c>
      <c r="B553" t="s">
        <v>4371</v>
      </c>
      <c r="C553" t="s">
        <v>4372</v>
      </c>
      <c r="F553">
        <v>2002</v>
      </c>
      <c r="H553" t="s">
        <v>1878</v>
      </c>
      <c r="I553">
        <v>2</v>
      </c>
      <c r="K553" t="s">
        <v>14339</v>
      </c>
      <c r="L553" s="222">
        <v>9780071381390</v>
      </c>
      <c r="M553">
        <v>256</v>
      </c>
      <c r="O553" t="s">
        <v>4386</v>
      </c>
      <c r="P553">
        <v>323</v>
      </c>
      <c r="Q553">
        <v>10.32</v>
      </c>
    </row>
    <row r="554" spans="1:17" x14ac:dyDescent="0.25">
      <c r="A554">
        <v>649</v>
      </c>
      <c r="B554" t="s">
        <v>4374</v>
      </c>
      <c r="C554" t="s">
        <v>4375</v>
      </c>
      <c r="D554" t="s">
        <v>4376</v>
      </c>
      <c r="F554">
        <v>1994</v>
      </c>
      <c r="H554" t="s">
        <v>1878</v>
      </c>
      <c r="I554">
        <v>2</v>
      </c>
      <c r="K554" t="s">
        <v>14332</v>
      </c>
      <c r="L554" s="222">
        <v>9783331006651</v>
      </c>
      <c r="M554">
        <v>112</v>
      </c>
      <c r="O554" t="s">
        <v>4387</v>
      </c>
      <c r="P554">
        <v>335</v>
      </c>
      <c r="Q554">
        <v>4.76</v>
      </c>
    </row>
    <row r="555" spans="1:17" x14ac:dyDescent="0.25">
      <c r="A555">
        <v>1321</v>
      </c>
      <c r="B555" t="s">
        <v>4420</v>
      </c>
      <c r="C555" t="s">
        <v>4421</v>
      </c>
      <c r="D555" t="s">
        <v>4422</v>
      </c>
      <c r="E555" t="s">
        <v>2412</v>
      </c>
      <c r="F555">
        <v>1995</v>
      </c>
      <c r="H555" t="s">
        <v>2734</v>
      </c>
      <c r="I555">
        <v>1</v>
      </c>
      <c r="K555" t="s">
        <v>14332</v>
      </c>
      <c r="L555" s="222">
        <v>9783980449304</v>
      </c>
      <c r="M555">
        <v>162</v>
      </c>
      <c r="O555" t="s">
        <v>4388</v>
      </c>
      <c r="P555">
        <v>472</v>
      </c>
      <c r="Q555">
        <v>3.79</v>
      </c>
    </row>
    <row r="556" spans="1:17" x14ac:dyDescent="0.25">
      <c r="A556">
        <v>691</v>
      </c>
      <c r="B556" t="s">
        <v>4424</v>
      </c>
      <c r="C556" t="s">
        <v>4425</v>
      </c>
      <c r="D556" t="s">
        <v>2402</v>
      </c>
      <c r="F556">
        <v>2001</v>
      </c>
      <c r="H556" t="s">
        <v>2734</v>
      </c>
      <c r="I556">
        <v>2</v>
      </c>
      <c r="K556" t="s">
        <v>14332</v>
      </c>
      <c r="L556" s="222">
        <v>9783505113109</v>
      </c>
      <c r="M556">
        <v>38</v>
      </c>
      <c r="O556" t="s">
        <v>4389</v>
      </c>
      <c r="P556">
        <v>247</v>
      </c>
      <c r="Q556">
        <v>4.51</v>
      </c>
    </row>
    <row r="557" spans="1:17" x14ac:dyDescent="0.25">
      <c r="A557">
        <v>907</v>
      </c>
      <c r="B557" t="s">
        <v>4427</v>
      </c>
      <c r="C557" t="s">
        <v>4428</v>
      </c>
      <c r="D557" t="s">
        <v>3332</v>
      </c>
      <c r="H557" t="s">
        <v>1878</v>
      </c>
      <c r="I557">
        <v>1</v>
      </c>
      <c r="K557" t="s">
        <v>14332</v>
      </c>
      <c r="L557" s="222">
        <v>9783625107903</v>
      </c>
      <c r="M557" t="s">
        <v>4430</v>
      </c>
      <c r="O557" t="s">
        <v>4390</v>
      </c>
      <c r="P557">
        <v>755</v>
      </c>
      <c r="Q557">
        <v>6.33</v>
      </c>
    </row>
    <row r="558" spans="1:17" x14ac:dyDescent="0.25">
      <c r="A558">
        <v>2522</v>
      </c>
      <c r="B558" t="s">
        <v>2456</v>
      </c>
      <c r="C558" t="s">
        <v>4431</v>
      </c>
      <c r="D558" t="s">
        <v>1993</v>
      </c>
      <c r="E558" t="s">
        <v>1913</v>
      </c>
      <c r="F558">
        <v>2014</v>
      </c>
      <c r="H558" t="s">
        <v>1878</v>
      </c>
      <c r="I558">
        <v>2</v>
      </c>
      <c r="K558" t="s">
        <v>14332</v>
      </c>
      <c r="L558" s="222">
        <v>9783442383542</v>
      </c>
      <c r="M558">
        <v>544</v>
      </c>
      <c r="O558" t="s">
        <v>4391</v>
      </c>
      <c r="P558">
        <v>457</v>
      </c>
      <c r="Q558">
        <v>4.22</v>
      </c>
    </row>
    <row r="559" spans="1:17" x14ac:dyDescent="0.25">
      <c r="A559">
        <v>691</v>
      </c>
      <c r="B559" t="s">
        <v>4433</v>
      </c>
      <c r="C559" t="s">
        <v>4434</v>
      </c>
      <c r="D559" t="s">
        <v>4435</v>
      </c>
      <c r="F559">
        <v>2005</v>
      </c>
      <c r="H559" t="s">
        <v>2734</v>
      </c>
      <c r="I559">
        <v>2</v>
      </c>
      <c r="J559" t="s">
        <v>4436</v>
      </c>
      <c r="K559" t="s">
        <v>14332</v>
      </c>
      <c r="L559" s="222">
        <v>9783811225411</v>
      </c>
      <c r="M559">
        <v>190</v>
      </c>
      <c r="O559" t="s">
        <v>4392</v>
      </c>
      <c r="P559">
        <v>310</v>
      </c>
      <c r="Q559">
        <v>5.61</v>
      </c>
    </row>
    <row r="560" spans="1:17" x14ac:dyDescent="0.25">
      <c r="A560">
        <v>632</v>
      </c>
      <c r="B560" t="s">
        <v>4438</v>
      </c>
      <c r="C560" t="s">
        <v>4439</v>
      </c>
      <c r="D560" t="s">
        <v>2257</v>
      </c>
      <c r="F560">
        <v>2006</v>
      </c>
      <c r="H560" t="s">
        <v>1878</v>
      </c>
      <c r="I560">
        <v>2</v>
      </c>
      <c r="J560" t="s">
        <v>3854</v>
      </c>
      <c r="K560" t="s">
        <v>14332</v>
      </c>
      <c r="L560" s="222">
        <v>9783426628591</v>
      </c>
      <c r="M560">
        <v>352</v>
      </c>
      <c r="O560" t="s">
        <v>4393</v>
      </c>
      <c r="P560">
        <v>313</v>
      </c>
      <c r="Q560">
        <v>2.4</v>
      </c>
    </row>
    <row r="561" spans="1:17" x14ac:dyDescent="0.25">
      <c r="A561">
        <v>796</v>
      </c>
      <c r="B561" t="s">
        <v>4449</v>
      </c>
      <c r="C561" t="s">
        <v>4450</v>
      </c>
      <c r="D561" t="s">
        <v>2232</v>
      </c>
      <c r="E561" t="s">
        <v>1913</v>
      </c>
      <c r="F561">
        <v>2009</v>
      </c>
      <c r="H561" t="s">
        <v>1878</v>
      </c>
      <c r="I561">
        <v>2</v>
      </c>
      <c r="J561" t="s">
        <v>3303</v>
      </c>
      <c r="K561" t="s">
        <v>14332</v>
      </c>
      <c r="L561" s="222">
        <v>9783442739301</v>
      </c>
      <c r="M561">
        <v>256</v>
      </c>
      <c r="O561" t="s">
        <v>4396</v>
      </c>
      <c r="P561">
        <v>244</v>
      </c>
      <c r="Q561">
        <v>2.62</v>
      </c>
    </row>
    <row r="562" spans="1:17" x14ac:dyDescent="0.25">
      <c r="A562">
        <v>1875</v>
      </c>
      <c r="C562" t="s">
        <v>4452</v>
      </c>
      <c r="D562" t="s">
        <v>3524</v>
      </c>
      <c r="E562" t="s">
        <v>1913</v>
      </c>
      <c r="F562">
        <v>2004</v>
      </c>
      <c r="H562" t="s">
        <v>2734</v>
      </c>
      <c r="I562">
        <v>2</v>
      </c>
      <c r="J562" t="s">
        <v>3303</v>
      </c>
      <c r="K562" t="s">
        <v>14332</v>
      </c>
      <c r="L562" s="222">
        <v>9783785551318</v>
      </c>
      <c r="M562">
        <v>126</v>
      </c>
      <c r="O562" t="s">
        <v>4397</v>
      </c>
      <c r="P562">
        <v>279</v>
      </c>
      <c r="Q562">
        <v>1.97</v>
      </c>
    </row>
    <row r="563" spans="1:17" x14ac:dyDescent="0.25">
      <c r="A563">
        <v>1348</v>
      </c>
      <c r="B563" t="s">
        <v>4454</v>
      </c>
      <c r="C563" t="s">
        <v>4455</v>
      </c>
      <c r="D563" t="s">
        <v>2300</v>
      </c>
      <c r="E563" t="s">
        <v>4456</v>
      </c>
      <c r="F563">
        <v>1988</v>
      </c>
      <c r="H563" t="s">
        <v>2008</v>
      </c>
      <c r="I563">
        <v>2</v>
      </c>
      <c r="J563" t="s">
        <v>4198</v>
      </c>
      <c r="K563" t="s">
        <v>14332</v>
      </c>
      <c r="L563" s="222">
        <v>9783499500305</v>
      </c>
      <c r="M563">
        <v>190</v>
      </c>
      <c r="O563" t="s">
        <v>4398</v>
      </c>
      <c r="P563">
        <v>137</v>
      </c>
      <c r="Q563">
        <v>3.58</v>
      </c>
    </row>
    <row r="564" spans="1:17" x14ac:dyDescent="0.25">
      <c r="A564">
        <v>2684</v>
      </c>
      <c r="B564" t="s">
        <v>4458</v>
      </c>
      <c r="C564" t="s">
        <v>4459</v>
      </c>
      <c r="D564" t="s">
        <v>2300</v>
      </c>
      <c r="F564">
        <v>1974</v>
      </c>
      <c r="H564" t="s">
        <v>2008</v>
      </c>
      <c r="I564">
        <v>2</v>
      </c>
      <c r="J564" t="s">
        <v>3303</v>
      </c>
      <c r="K564" t="s">
        <v>14332</v>
      </c>
      <c r="L564" s="222">
        <v>9783499502095</v>
      </c>
      <c r="M564">
        <v>158</v>
      </c>
      <c r="O564" t="s">
        <v>4399</v>
      </c>
      <c r="P564">
        <v>120</v>
      </c>
      <c r="Q564">
        <v>1.87</v>
      </c>
    </row>
    <row r="565" spans="1:17" x14ac:dyDescent="0.25">
      <c r="A565">
        <v>981</v>
      </c>
      <c r="B565" t="s">
        <v>4461</v>
      </c>
      <c r="C565" t="s">
        <v>4462</v>
      </c>
      <c r="D565" t="s">
        <v>2007</v>
      </c>
      <c r="F565">
        <v>1998</v>
      </c>
      <c r="H565" t="s">
        <v>2008</v>
      </c>
      <c r="I565">
        <v>2</v>
      </c>
      <c r="J565" t="s">
        <v>4198</v>
      </c>
      <c r="K565" t="s">
        <v>14332</v>
      </c>
      <c r="L565" s="222">
        <v>9783150002254</v>
      </c>
      <c r="M565">
        <v>120</v>
      </c>
      <c r="O565" t="s">
        <v>4400</v>
      </c>
      <c r="P565">
        <v>56</v>
      </c>
      <c r="Q565">
        <v>3.37</v>
      </c>
    </row>
    <row r="566" spans="1:17" x14ac:dyDescent="0.25">
      <c r="A566">
        <v>1231</v>
      </c>
      <c r="B566" t="s">
        <v>4464</v>
      </c>
      <c r="C566" t="s">
        <v>4465</v>
      </c>
      <c r="D566" t="s">
        <v>2232</v>
      </c>
      <c r="E566" t="s">
        <v>2175</v>
      </c>
      <c r="F566">
        <v>2003</v>
      </c>
      <c r="H566" t="s">
        <v>1878</v>
      </c>
      <c r="I566">
        <v>1</v>
      </c>
      <c r="K566" t="s">
        <v>14332</v>
      </c>
      <c r="L566" s="222">
        <v>9783442731527</v>
      </c>
      <c r="M566">
        <v>256</v>
      </c>
      <c r="O566" t="s">
        <v>4401</v>
      </c>
      <c r="P566">
        <v>274</v>
      </c>
      <c r="Q566">
        <v>2.79</v>
      </c>
    </row>
    <row r="567" spans="1:17" x14ac:dyDescent="0.25">
      <c r="A567">
        <v>735</v>
      </c>
      <c r="B567" t="s">
        <v>4467</v>
      </c>
      <c r="C567" t="s">
        <v>4468</v>
      </c>
      <c r="D567" t="s">
        <v>1912</v>
      </c>
      <c r="E567" t="s">
        <v>1913</v>
      </c>
      <c r="F567">
        <v>1991</v>
      </c>
      <c r="H567" t="s">
        <v>1878</v>
      </c>
      <c r="I567">
        <v>2</v>
      </c>
      <c r="J567" t="s">
        <v>3303</v>
      </c>
      <c r="K567" t="s">
        <v>14332</v>
      </c>
      <c r="L567" s="222">
        <v>9783442082162</v>
      </c>
      <c r="M567">
        <v>224</v>
      </c>
      <c r="O567" t="s">
        <v>4402</v>
      </c>
      <c r="P567">
        <v>138</v>
      </c>
      <c r="Q567">
        <v>7.86</v>
      </c>
    </row>
    <row r="568" spans="1:17" x14ac:dyDescent="0.25">
      <c r="A568">
        <v>692</v>
      </c>
      <c r="B568" t="s">
        <v>2578</v>
      </c>
      <c r="C568" t="s">
        <v>2579</v>
      </c>
      <c r="D568" t="s">
        <v>1912</v>
      </c>
      <c r="F568">
        <v>1990</v>
      </c>
      <c r="H568" t="s">
        <v>1878</v>
      </c>
      <c r="I568">
        <v>2</v>
      </c>
      <c r="J568" t="s">
        <v>3303</v>
      </c>
      <c r="K568" t="s">
        <v>14332</v>
      </c>
      <c r="L568" s="222">
        <v>9783442096480</v>
      </c>
      <c r="M568">
        <v>320</v>
      </c>
      <c r="O568" t="s">
        <v>4403</v>
      </c>
      <c r="P568">
        <v>283</v>
      </c>
      <c r="Q568">
        <v>1.72</v>
      </c>
    </row>
    <row r="569" spans="1:17" x14ac:dyDescent="0.25">
      <c r="A569">
        <v>632</v>
      </c>
      <c r="B569" t="s">
        <v>4474</v>
      </c>
      <c r="C569" t="s">
        <v>4475</v>
      </c>
      <c r="D569" t="s">
        <v>4476</v>
      </c>
      <c r="E569" t="s">
        <v>4477</v>
      </c>
      <c r="F569">
        <v>1995</v>
      </c>
      <c r="H569" t="s">
        <v>2734</v>
      </c>
      <c r="I569">
        <v>2</v>
      </c>
      <c r="K569" t="s">
        <v>14332</v>
      </c>
      <c r="L569" s="222">
        <v>9783251002900</v>
      </c>
      <c r="M569">
        <v>578</v>
      </c>
      <c r="O569" t="s">
        <v>4405</v>
      </c>
      <c r="P569">
        <v>717</v>
      </c>
      <c r="Q569">
        <v>4.08</v>
      </c>
    </row>
    <row r="570" spans="1:17" x14ac:dyDescent="0.25">
      <c r="A570">
        <v>2010</v>
      </c>
      <c r="B570" t="s">
        <v>4479</v>
      </c>
      <c r="C570" t="s">
        <v>4480</v>
      </c>
      <c r="D570" t="s">
        <v>4481</v>
      </c>
      <c r="F570">
        <v>1995</v>
      </c>
      <c r="H570" t="s">
        <v>2734</v>
      </c>
      <c r="I570">
        <v>3</v>
      </c>
      <c r="K570" t="s">
        <v>14339</v>
      </c>
      <c r="L570" s="222">
        <v>9780593038895</v>
      </c>
      <c r="M570">
        <v>354</v>
      </c>
      <c r="O570" t="s">
        <v>4406</v>
      </c>
      <c r="P570">
        <v>583</v>
      </c>
      <c r="Q570">
        <v>5.68</v>
      </c>
    </row>
    <row r="571" spans="1:17" x14ac:dyDescent="0.25">
      <c r="A571">
        <v>1809</v>
      </c>
      <c r="B571" t="s">
        <v>2828</v>
      </c>
      <c r="C571" t="s">
        <v>2829</v>
      </c>
      <c r="D571" t="s">
        <v>2822</v>
      </c>
      <c r="F571">
        <v>2008</v>
      </c>
      <c r="H571" t="s">
        <v>1878</v>
      </c>
      <c r="I571">
        <v>2</v>
      </c>
      <c r="K571" t="s">
        <v>14332</v>
      </c>
      <c r="L571" s="222">
        <v>9783522180849</v>
      </c>
      <c r="M571">
        <v>176</v>
      </c>
      <c r="O571" t="s">
        <v>4407</v>
      </c>
      <c r="P571">
        <v>261</v>
      </c>
      <c r="Q571">
        <v>2.2999999999999998</v>
      </c>
    </row>
    <row r="572" spans="1:17" x14ac:dyDescent="0.25">
      <c r="A572">
        <v>2571</v>
      </c>
      <c r="B572" t="s">
        <v>3517</v>
      </c>
      <c r="C572" t="s">
        <v>4484</v>
      </c>
      <c r="D572" t="s">
        <v>2644</v>
      </c>
      <c r="F572">
        <v>1993</v>
      </c>
      <c r="H572" t="s">
        <v>1878</v>
      </c>
      <c r="I572">
        <v>2</v>
      </c>
      <c r="K572" t="s">
        <v>14332</v>
      </c>
      <c r="L572" s="222">
        <v>9783257225754</v>
      </c>
      <c r="M572">
        <v>272</v>
      </c>
      <c r="O572" t="s">
        <v>4408</v>
      </c>
      <c r="P572">
        <v>236</v>
      </c>
      <c r="Q572">
        <v>1.72</v>
      </c>
    </row>
    <row r="573" spans="1:17" x14ac:dyDescent="0.25">
      <c r="A573">
        <v>771</v>
      </c>
      <c r="B573" t="s">
        <v>4487</v>
      </c>
      <c r="C573" t="s">
        <v>4488</v>
      </c>
      <c r="D573" t="s">
        <v>4489</v>
      </c>
      <c r="F573">
        <v>2002</v>
      </c>
      <c r="H573" t="s">
        <v>1878</v>
      </c>
      <c r="I573">
        <v>2</v>
      </c>
      <c r="J573" t="s">
        <v>4198</v>
      </c>
      <c r="K573" t="s">
        <v>14332</v>
      </c>
      <c r="L573" s="222">
        <v>9783434505396</v>
      </c>
      <c r="M573">
        <v>136</v>
      </c>
      <c r="O573" t="s">
        <v>4410</v>
      </c>
      <c r="P573">
        <v>199</v>
      </c>
      <c r="Q573">
        <v>2.83</v>
      </c>
    </row>
    <row r="574" spans="1:17" x14ac:dyDescent="0.25">
      <c r="A574">
        <v>689</v>
      </c>
      <c r="B574" t="s">
        <v>4348</v>
      </c>
      <c r="C574" t="s">
        <v>4493</v>
      </c>
      <c r="D574" t="s">
        <v>3022</v>
      </c>
      <c r="F574">
        <v>2003</v>
      </c>
      <c r="H574" t="s">
        <v>2734</v>
      </c>
      <c r="I574">
        <v>2</v>
      </c>
      <c r="J574" t="s">
        <v>2237</v>
      </c>
      <c r="K574" t="s">
        <v>14332</v>
      </c>
      <c r="L574" s="222">
        <v>9783800029976</v>
      </c>
      <c r="M574">
        <v>866</v>
      </c>
      <c r="O574" t="s">
        <v>4412</v>
      </c>
      <c r="P574">
        <v>1012</v>
      </c>
      <c r="Q574">
        <v>4.3099999999999996</v>
      </c>
    </row>
    <row r="575" spans="1:17" x14ac:dyDescent="0.25">
      <c r="A575">
        <v>692</v>
      </c>
      <c r="B575" t="s">
        <v>3330</v>
      </c>
      <c r="C575" t="s">
        <v>3331</v>
      </c>
      <c r="D575" t="s">
        <v>1912</v>
      </c>
      <c r="F575">
        <v>1995</v>
      </c>
      <c r="H575" t="s">
        <v>1878</v>
      </c>
      <c r="I575">
        <v>2</v>
      </c>
      <c r="K575" t="s">
        <v>14332</v>
      </c>
      <c r="L575" s="222">
        <v>9783442428762</v>
      </c>
      <c r="M575">
        <v>224</v>
      </c>
      <c r="O575" t="s">
        <v>4413</v>
      </c>
      <c r="P575">
        <v>198</v>
      </c>
      <c r="Q575">
        <v>1.72</v>
      </c>
    </row>
    <row r="576" spans="1:17" x14ac:dyDescent="0.25">
      <c r="A576">
        <v>1386</v>
      </c>
      <c r="B576" t="s">
        <v>4496</v>
      </c>
      <c r="C576" t="s">
        <v>4497</v>
      </c>
      <c r="D576" t="s">
        <v>2300</v>
      </c>
      <c r="F576">
        <v>2002</v>
      </c>
      <c r="H576" t="s">
        <v>1878</v>
      </c>
      <c r="I576">
        <v>2</v>
      </c>
      <c r="K576" t="s">
        <v>14332</v>
      </c>
      <c r="L576" s="222">
        <v>9783499231988</v>
      </c>
      <c r="M576">
        <v>222</v>
      </c>
      <c r="O576" t="s">
        <v>4414</v>
      </c>
      <c r="P576">
        <v>252</v>
      </c>
      <c r="Q576">
        <v>2.2999999999999998</v>
      </c>
    </row>
    <row r="577" spans="1:17" x14ac:dyDescent="0.25">
      <c r="A577">
        <v>669</v>
      </c>
      <c r="C577" t="s">
        <v>4499</v>
      </c>
      <c r="D577" t="s">
        <v>4500</v>
      </c>
      <c r="E577" t="s">
        <v>3053</v>
      </c>
      <c r="F577">
        <v>2017</v>
      </c>
      <c r="H577" t="s">
        <v>1878</v>
      </c>
      <c r="I577">
        <v>2</v>
      </c>
      <c r="J577" t="s">
        <v>2237</v>
      </c>
      <c r="K577" t="s">
        <v>14332</v>
      </c>
      <c r="L577" s="222">
        <v>9783849028213</v>
      </c>
      <c r="O577" t="s">
        <v>4415</v>
      </c>
      <c r="P577">
        <v>351</v>
      </c>
      <c r="Q577">
        <v>3.37</v>
      </c>
    </row>
    <row r="578" spans="1:17" x14ac:dyDescent="0.25">
      <c r="A578">
        <v>796</v>
      </c>
      <c r="B578" t="s">
        <v>4502</v>
      </c>
      <c r="C578" t="s">
        <v>4503</v>
      </c>
      <c r="D578" t="s">
        <v>1920</v>
      </c>
      <c r="E578" t="s">
        <v>1913</v>
      </c>
      <c r="F578">
        <v>2010</v>
      </c>
      <c r="H578" t="s">
        <v>1878</v>
      </c>
      <c r="I578">
        <v>2</v>
      </c>
      <c r="J578" t="s">
        <v>3854</v>
      </c>
      <c r="K578" t="s">
        <v>14332</v>
      </c>
      <c r="L578" s="222">
        <v>9783404164592</v>
      </c>
      <c r="M578">
        <v>240</v>
      </c>
      <c r="O578" t="s">
        <v>4416</v>
      </c>
      <c r="P578">
        <v>273</v>
      </c>
      <c r="Q578">
        <v>1.87</v>
      </c>
    </row>
    <row r="579" spans="1:17" x14ac:dyDescent="0.25">
      <c r="A579">
        <v>1386</v>
      </c>
      <c r="B579" t="s">
        <v>4505</v>
      </c>
      <c r="C579" t="s">
        <v>4506</v>
      </c>
      <c r="D579" t="s">
        <v>2232</v>
      </c>
      <c r="E579" t="s">
        <v>1877</v>
      </c>
      <c r="F579">
        <v>1999</v>
      </c>
      <c r="H579" t="s">
        <v>1878</v>
      </c>
      <c r="I579">
        <v>2</v>
      </c>
      <c r="J579" t="s">
        <v>4507</v>
      </c>
      <c r="K579" t="s">
        <v>14332</v>
      </c>
      <c r="L579" s="222">
        <v>9783442725373</v>
      </c>
      <c r="M579">
        <v>384</v>
      </c>
      <c r="O579" t="s">
        <v>4417</v>
      </c>
      <c r="P579">
        <v>377</v>
      </c>
      <c r="Q579">
        <v>6.25</v>
      </c>
    </row>
    <row r="580" spans="1:17" x14ac:dyDescent="0.25">
      <c r="A580">
        <v>1395</v>
      </c>
      <c r="B580" t="s">
        <v>4512</v>
      </c>
      <c r="C580" t="s">
        <v>4513</v>
      </c>
      <c r="D580" t="s">
        <v>2609</v>
      </c>
      <c r="E580" t="s">
        <v>1921</v>
      </c>
      <c r="F580">
        <v>2006</v>
      </c>
      <c r="H580" t="s">
        <v>1878</v>
      </c>
      <c r="I580">
        <v>2</v>
      </c>
      <c r="J580" t="s">
        <v>3854</v>
      </c>
      <c r="K580" t="s">
        <v>14332</v>
      </c>
      <c r="L580" s="222">
        <v>9783596169184</v>
      </c>
      <c r="M580">
        <v>400</v>
      </c>
      <c r="O580" t="s">
        <v>4418</v>
      </c>
      <c r="P580">
        <v>392</v>
      </c>
      <c r="Q580">
        <v>1.72</v>
      </c>
    </row>
    <row r="581" spans="1:17" x14ac:dyDescent="0.25">
      <c r="A581">
        <v>2522</v>
      </c>
      <c r="B581" t="s">
        <v>4519</v>
      </c>
      <c r="C581" t="s">
        <v>4520</v>
      </c>
      <c r="D581" t="s">
        <v>4521</v>
      </c>
      <c r="H581" t="s">
        <v>1878</v>
      </c>
      <c r="I581">
        <v>2</v>
      </c>
      <c r="J581" t="s">
        <v>3854</v>
      </c>
      <c r="K581" t="s">
        <v>14332</v>
      </c>
      <c r="M581">
        <v>416</v>
      </c>
      <c r="O581" t="s">
        <v>4509</v>
      </c>
      <c r="P581">
        <v>371</v>
      </c>
      <c r="Q581">
        <v>1.72</v>
      </c>
    </row>
    <row r="582" spans="1:17" x14ac:dyDescent="0.25">
      <c r="A582">
        <v>2522</v>
      </c>
      <c r="B582" t="s">
        <v>4522</v>
      </c>
      <c r="C582" t="s">
        <v>4523</v>
      </c>
      <c r="D582" t="s">
        <v>4524</v>
      </c>
      <c r="F582">
        <v>1986</v>
      </c>
      <c r="H582" t="s">
        <v>1878</v>
      </c>
      <c r="I582">
        <v>2</v>
      </c>
      <c r="J582" t="s">
        <v>3854</v>
      </c>
      <c r="K582" t="s">
        <v>14332</v>
      </c>
      <c r="M582">
        <v>336</v>
      </c>
      <c r="O582" t="s">
        <v>4510</v>
      </c>
      <c r="P582">
        <v>301</v>
      </c>
      <c r="Q582">
        <v>2.19</v>
      </c>
    </row>
    <row r="583" spans="1:17" x14ac:dyDescent="0.25">
      <c r="A583">
        <v>692</v>
      </c>
      <c r="B583" t="s">
        <v>2877</v>
      </c>
      <c r="C583" t="s">
        <v>4525</v>
      </c>
      <c r="D583" t="s">
        <v>2609</v>
      </c>
      <c r="E583" t="s">
        <v>2412</v>
      </c>
      <c r="F583">
        <v>2010</v>
      </c>
      <c r="H583" t="s">
        <v>1878</v>
      </c>
      <c r="I583">
        <v>2</v>
      </c>
      <c r="K583" t="s">
        <v>14332</v>
      </c>
      <c r="L583" s="222">
        <v>9783596180141</v>
      </c>
      <c r="M583">
        <v>464</v>
      </c>
      <c r="O583" t="s">
        <v>4511</v>
      </c>
      <c r="P583">
        <v>403</v>
      </c>
      <c r="Q583">
        <v>1.73</v>
      </c>
    </row>
    <row r="584" spans="1:17" x14ac:dyDescent="0.25">
      <c r="A584">
        <v>1875</v>
      </c>
      <c r="C584" t="s">
        <v>4532</v>
      </c>
      <c r="D584" t="s">
        <v>3212</v>
      </c>
      <c r="F584">
        <v>2006</v>
      </c>
      <c r="H584" t="s">
        <v>2734</v>
      </c>
      <c r="I584">
        <v>2</v>
      </c>
      <c r="J584" t="s">
        <v>4198</v>
      </c>
      <c r="K584" t="s">
        <v>14332</v>
      </c>
      <c r="L584" s="222">
        <v>9783629021410</v>
      </c>
      <c r="M584">
        <v>306</v>
      </c>
      <c r="O584" t="s">
        <v>4527</v>
      </c>
      <c r="P584">
        <v>341</v>
      </c>
      <c r="Q584">
        <v>2.72</v>
      </c>
    </row>
    <row r="585" spans="1:17" x14ac:dyDescent="0.25">
      <c r="A585">
        <v>796</v>
      </c>
      <c r="B585" t="s">
        <v>3143</v>
      </c>
      <c r="C585" t="s">
        <v>4534</v>
      </c>
      <c r="D585" t="s">
        <v>2244</v>
      </c>
      <c r="F585">
        <v>2008</v>
      </c>
      <c r="H585" t="s">
        <v>2734</v>
      </c>
      <c r="I585">
        <v>2</v>
      </c>
      <c r="J585" t="s">
        <v>4198</v>
      </c>
      <c r="K585" t="s">
        <v>14332</v>
      </c>
      <c r="L585" s="222">
        <v>9783810501448</v>
      </c>
      <c r="M585">
        <v>418</v>
      </c>
      <c r="O585" t="s">
        <v>4528</v>
      </c>
      <c r="P585">
        <v>632</v>
      </c>
      <c r="Q585">
        <v>2.2200000000000002</v>
      </c>
    </row>
    <row r="586" spans="1:17" x14ac:dyDescent="0.25">
      <c r="A586">
        <v>689</v>
      </c>
      <c r="B586" t="s">
        <v>2470</v>
      </c>
      <c r="C586" t="s">
        <v>4536</v>
      </c>
      <c r="D586" t="s">
        <v>2386</v>
      </c>
      <c r="F586">
        <v>2004</v>
      </c>
      <c r="H586" t="s">
        <v>2734</v>
      </c>
      <c r="I586">
        <v>2</v>
      </c>
      <c r="J586" t="s">
        <v>4198</v>
      </c>
      <c r="K586" t="s">
        <v>14332</v>
      </c>
      <c r="L586" s="222">
        <v>9783785721780</v>
      </c>
      <c r="M586">
        <v>768</v>
      </c>
      <c r="O586" t="s">
        <v>4529</v>
      </c>
      <c r="P586">
        <v>885</v>
      </c>
      <c r="Q586">
        <v>2.2200000000000002</v>
      </c>
    </row>
    <row r="587" spans="1:17" x14ac:dyDescent="0.25">
      <c r="A587">
        <v>1395</v>
      </c>
      <c r="B587" t="s">
        <v>4538</v>
      </c>
      <c r="C587" t="s">
        <v>4539</v>
      </c>
      <c r="D587" t="s">
        <v>2477</v>
      </c>
      <c r="E587" t="s">
        <v>1877</v>
      </c>
      <c r="F587">
        <v>2012</v>
      </c>
      <c r="H587" t="s">
        <v>1878</v>
      </c>
      <c r="I587">
        <v>2</v>
      </c>
      <c r="K587" t="s">
        <v>14332</v>
      </c>
      <c r="L587" s="222">
        <v>9783809026228</v>
      </c>
      <c r="M587">
        <v>416</v>
      </c>
      <c r="O587" t="s">
        <v>4530</v>
      </c>
      <c r="P587">
        <v>569</v>
      </c>
      <c r="Q587">
        <v>2.86</v>
      </c>
    </row>
    <row r="588" spans="1:17" x14ac:dyDescent="0.25">
      <c r="A588">
        <v>1395</v>
      </c>
      <c r="B588" t="s">
        <v>4541</v>
      </c>
      <c r="C588" t="s">
        <v>4542</v>
      </c>
      <c r="D588" t="s">
        <v>1920</v>
      </c>
      <c r="F588">
        <v>2007</v>
      </c>
      <c r="H588" t="s">
        <v>1878</v>
      </c>
      <c r="I588">
        <v>2</v>
      </c>
      <c r="K588" t="s">
        <v>14332</v>
      </c>
      <c r="L588" s="222">
        <v>9783404165490</v>
      </c>
      <c r="M588">
        <v>352</v>
      </c>
      <c r="O588" t="s">
        <v>4531</v>
      </c>
      <c r="P588">
        <v>371</v>
      </c>
      <c r="Q588">
        <v>2.36</v>
      </c>
    </row>
    <row r="589" spans="1:17" x14ac:dyDescent="0.25">
      <c r="A589">
        <v>632</v>
      </c>
      <c r="B589" t="s">
        <v>4593</v>
      </c>
      <c r="C589" t="s">
        <v>4594</v>
      </c>
      <c r="D589" t="s">
        <v>1920</v>
      </c>
      <c r="F589">
        <v>2002</v>
      </c>
      <c r="H589" t="s">
        <v>1878</v>
      </c>
      <c r="I589">
        <v>2</v>
      </c>
      <c r="K589" t="s">
        <v>14332</v>
      </c>
      <c r="L589" s="222">
        <v>9783404259144</v>
      </c>
      <c r="M589">
        <v>832</v>
      </c>
      <c r="O589" t="s">
        <v>4544</v>
      </c>
      <c r="P589">
        <v>509</v>
      </c>
      <c r="Q589">
        <v>2.37</v>
      </c>
    </row>
    <row r="590" spans="1:17" x14ac:dyDescent="0.25">
      <c r="A590">
        <v>1231</v>
      </c>
      <c r="B590" t="s">
        <v>4596</v>
      </c>
      <c r="C590" t="s">
        <v>4597</v>
      </c>
      <c r="D590" t="s">
        <v>1920</v>
      </c>
      <c r="F590">
        <v>2002</v>
      </c>
      <c r="H590" t="s">
        <v>1878</v>
      </c>
      <c r="I590">
        <v>2</v>
      </c>
      <c r="J590" t="s">
        <v>3854</v>
      </c>
      <c r="K590" t="s">
        <v>14332</v>
      </c>
      <c r="L590" s="222">
        <v>9783404614998</v>
      </c>
      <c r="M590">
        <v>256</v>
      </c>
      <c r="O590" t="s">
        <v>4545</v>
      </c>
      <c r="P590">
        <v>254</v>
      </c>
      <c r="Q590">
        <v>1.72</v>
      </c>
    </row>
    <row r="591" spans="1:17" x14ac:dyDescent="0.25">
      <c r="A591">
        <v>632</v>
      </c>
      <c r="B591" t="s">
        <v>4599</v>
      </c>
      <c r="C591" t="s">
        <v>4600</v>
      </c>
      <c r="D591" t="s">
        <v>2257</v>
      </c>
      <c r="F591">
        <v>2005</v>
      </c>
      <c r="H591" t="s">
        <v>1878</v>
      </c>
      <c r="I591">
        <v>2</v>
      </c>
      <c r="K591" t="s">
        <v>14332</v>
      </c>
      <c r="L591" s="222">
        <v>9783426631584</v>
      </c>
      <c r="M591">
        <v>574</v>
      </c>
      <c r="O591" t="s">
        <v>4546</v>
      </c>
      <c r="P591">
        <v>500</v>
      </c>
      <c r="Q591">
        <v>0.52</v>
      </c>
    </row>
    <row r="592" spans="1:17" x14ac:dyDescent="0.25">
      <c r="A592">
        <v>1395</v>
      </c>
      <c r="B592" t="s">
        <v>4605</v>
      </c>
      <c r="C592" t="s">
        <v>4606</v>
      </c>
      <c r="D592" t="s">
        <v>1912</v>
      </c>
      <c r="E592" t="s">
        <v>1877</v>
      </c>
      <c r="F592">
        <v>2017</v>
      </c>
      <c r="H592" t="s">
        <v>1878</v>
      </c>
      <c r="I592">
        <v>2</v>
      </c>
      <c r="K592" t="s">
        <v>14332</v>
      </c>
      <c r="L592" s="222">
        <v>9783442159314</v>
      </c>
      <c r="M592">
        <v>320</v>
      </c>
      <c r="O592" t="s">
        <v>4548</v>
      </c>
      <c r="P592">
        <v>280</v>
      </c>
      <c r="Q592">
        <v>4.33</v>
      </c>
    </row>
    <row r="593" spans="1:17" x14ac:dyDescent="0.25">
      <c r="A593">
        <v>2522</v>
      </c>
      <c r="B593" t="s">
        <v>4611</v>
      </c>
      <c r="C593" t="s">
        <v>4612</v>
      </c>
      <c r="D593" t="s">
        <v>4517</v>
      </c>
      <c r="E593" t="s">
        <v>1877</v>
      </c>
      <c r="F593">
        <v>2005</v>
      </c>
      <c r="H593" t="s">
        <v>1878</v>
      </c>
      <c r="I593">
        <v>2</v>
      </c>
      <c r="J593" t="s">
        <v>2237</v>
      </c>
      <c r="K593" t="s">
        <v>14332</v>
      </c>
      <c r="L593" s="222">
        <v>9783746620909</v>
      </c>
      <c r="M593">
        <v>384</v>
      </c>
      <c r="O593" t="s">
        <v>4550</v>
      </c>
      <c r="P593">
        <v>306</v>
      </c>
      <c r="Q593">
        <v>1.72</v>
      </c>
    </row>
    <row r="594" spans="1:17" x14ac:dyDescent="0.25">
      <c r="A594">
        <v>796</v>
      </c>
      <c r="B594" t="s">
        <v>3143</v>
      </c>
      <c r="C594" t="s">
        <v>4614</v>
      </c>
      <c r="D594" t="s">
        <v>2244</v>
      </c>
      <c r="F594">
        <v>2005</v>
      </c>
      <c r="H594" t="s">
        <v>2734</v>
      </c>
      <c r="I594">
        <v>2</v>
      </c>
      <c r="J594" t="s">
        <v>2237</v>
      </c>
      <c r="K594" t="s">
        <v>14332</v>
      </c>
      <c r="L594" s="222">
        <v>9783810501417</v>
      </c>
      <c r="M594">
        <v>450</v>
      </c>
      <c r="O594" t="s">
        <v>4551</v>
      </c>
      <c r="P594">
        <v>658</v>
      </c>
      <c r="Q594">
        <v>2.2200000000000002</v>
      </c>
    </row>
    <row r="595" spans="1:17" x14ac:dyDescent="0.25">
      <c r="A595">
        <v>2547</v>
      </c>
      <c r="B595" t="s">
        <v>4616</v>
      </c>
      <c r="C595" t="s">
        <v>4617</v>
      </c>
      <c r="D595" t="s">
        <v>2257</v>
      </c>
      <c r="E595" t="s">
        <v>1921</v>
      </c>
      <c r="F595">
        <v>2003</v>
      </c>
      <c r="H595" t="s">
        <v>1878</v>
      </c>
      <c r="I595">
        <v>2</v>
      </c>
      <c r="J595" t="e" cm="1">
        <f t="array" ref="J595">-MÄNGELEXEMPLAR</f>
        <v>#NAME?</v>
      </c>
      <c r="K595" t="s">
        <v>14332</v>
      </c>
      <c r="L595" s="222">
        <v>9783426624012</v>
      </c>
      <c r="M595">
        <v>496</v>
      </c>
      <c r="O595" t="s">
        <v>4552</v>
      </c>
      <c r="P595">
        <v>331</v>
      </c>
      <c r="Q595">
        <v>4.6500000000000004</v>
      </c>
    </row>
    <row r="596" spans="1:17" x14ac:dyDescent="0.25">
      <c r="A596">
        <v>1875</v>
      </c>
      <c r="B596" t="s">
        <v>4624</v>
      </c>
      <c r="C596" t="s">
        <v>4625</v>
      </c>
      <c r="D596" t="s">
        <v>4626</v>
      </c>
      <c r="E596" t="s">
        <v>1913</v>
      </c>
      <c r="F596">
        <v>2013</v>
      </c>
      <c r="H596" t="s">
        <v>1878</v>
      </c>
      <c r="I596">
        <v>2</v>
      </c>
      <c r="K596" t="s">
        <v>14332</v>
      </c>
      <c r="L596" s="222">
        <v>9783868832785</v>
      </c>
      <c r="M596">
        <v>256</v>
      </c>
      <c r="O596" t="s">
        <v>4554</v>
      </c>
      <c r="P596">
        <v>289</v>
      </c>
      <c r="Q596">
        <v>1.97</v>
      </c>
    </row>
    <row r="597" spans="1:17" x14ac:dyDescent="0.25">
      <c r="A597">
        <v>2514</v>
      </c>
      <c r="B597" t="s">
        <v>4628</v>
      </c>
      <c r="C597" t="s">
        <v>4629</v>
      </c>
      <c r="D597" t="s">
        <v>2402</v>
      </c>
      <c r="F597">
        <v>1998</v>
      </c>
      <c r="H597" t="s">
        <v>2734</v>
      </c>
      <c r="I597">
        <v>2</v>
      </c>
      <c r="K597" t="s">
        <v>14332</v>
      </c>
      <c r="L597" s="222">
        <v>9783505108938</v>
      </c>
      <c r="M597">
        <v>126</v>
      </c>
      <c r="O597" t="s">
        <v>4555</v>
      </c>
      <c r="P597">
        <v>181</v>
      </c>
      <c r="Q597">
        <v>1.97</v>
      </c>
    </row>
    <row r="598" spans="1:17" x14ac:dyDescent="0.25">
      <c r="A598">
        <v>1306</v>
      </c>
      <c r="C598" t="s">
        <v>4631</v>
      </c>
      <c r="D598" t="s">
        <v>4632</v>
      </c>
      <c r="F598">
        <v>2008</v>
      </c>
      <c r="H598" t="s">
        <v>4297</v>
      </c>
      <c r="I598">
        <v>2</v>
      </c>
      <c r="K598" t="s">
        <v>14332</v>
      </c>
      <c r="L598" s="222">
        <v>9783939527084</v>
      </c>
      <c r="M598">
        <v>98</v>
      </c>
      <c r="O598" t="s">
        <v>4556</v>
      </c>
      <c r="P598">
        <v>206</v>
      </c>
      <c r="Q598">
        <v>3.69</v>
      </c>
    </row>
    <row r="599" spans="1:17" x14ac:dyDescent="0.25">
      <c r="A599">
        <v>721</v>
      </c>
      <c r="B599" t="s">
        <v>4634</v>
      </c>
      <c r="C599" t="s">
        <v>4635</v>
      </c>
      <c r="D599" t="s">
        <v>4636</v>
      </c>
      <c r="E599" t="s">
        <v>1877</v>
      </c>
      <c r="F599">
        <v>2005</v>
      </c>
      <c r="H599" t="s">
        <v>2734</v>
      </c>
      <c r="I599">
        <v>1</v>
      </c>
      <c r="K599" t="s">
        <v>14332</v>
      </c>
      <c r="L599" s="222">
        <v>9783275014453</v>
      </c>
      <c r="M599">
        <v>162</v>
      </c>
      <c r="O599" t="s">
        <v>4557</v>
      </c>
      <c r="P599">
        <v>411</v>
      </c>
      <c r="Q599">
        <v>5.4</v>
      </c>
    </row>
    <row r="600" spans="1:17" x14ac:dyDescent="0.25">
      <c r="A600">
        <v>1395</v>
      </c>
      <c r="B600" t="s">
        <v>4639</v>
      </c>
      <c r="C600" t="s">
        <v>4640</v>
      </c>
      <c r="D600" t="s">
        <v>1912</v>
      </c>
      <c r="E600" t="s">
        <v>1913</v>
      </c>
      <c r="F600">
        <v>2014</v>
      </c>
      <c r="H600" t="s">
        <v>1878</v>
      </c>
      <c r="I600">
        <v>2</v>
      </c>
      <c r="J600" t="s">
        <v>3854</v>
      </c>
      <c r="K600" t="s">
        <v>14332</v>
      </c>
      <c r="L600" s="222">
        <v>9783442480661</v>
      </c>
      <c r="M600">
        <v>400</v>
      </c>
      <c r="O600" t="s">
        <v>4558</v>
      </c>
      <c r="P600">
        <v>324</v>
      </c>
      <c r="Q600">
        <v>2.19</v>
      </c>
    </row>
    <row r="601" spans="1:17" x14ac:dyDescent="0.25">
      <c r="A601">
        <v>796</v>
      </c>
      <c r="B601" t="s">
        <v>4642</v>
      </c>
      <c r="C601" t="s">
        <v>4643</v>
      </c>
      <c r="D601" t="s">
        <v>2257</v>
      </c>
      <c r="E601" t="s">
        <v>1921</v>
      </c>
      <c r="F601">
        <v>2011</v>
      </c>
      <c r="H601" t="s">
        <v>1878</v>
      </c>
      <c r="I601">
        <v>2</v>
      </c>
      <c r="J601" t="s">
        <v>3854</v>
      </c>
      <c r="K601" t="s">
        <v>14332</v>
      </c>
      <c r="L601" s="222">
        <v>9783426507872</v>
      </c>
      <c r="M601">
        <v>656</v>
      </c>
      <c r="O601" t="s">
        <v>4559</v>
      </c>
      <c r="P601">
        <v>427</v>
      </c>
      <c r="Q601">
        <v>2.5099999999999998</v>
      </c>
    </row>
    <row r="602" spans="1:17" x14ac:dyDescent="0.25">
      <c r="A602">
        <v>765</v>
      </c>
      <c r="B602" t="s">
        <v>4645</v>
      </c>
      <c r="C602" t="s">
        <v>4646</v>
      </c>
      <c r="D602" t="s">
        <v>4647</v>
      </c>
      <c r="F602">
        <v>1997</v>
      </c>
      <c r="H602" t="s">
        <v>1878</v>
      </c>
      <c r="I602">
        <v>2</v>
      </c>
      <c r="J602" t="s">
        <v>3202</v>
      </c>
      <c r="K602" t="s">
        <v>14332</v>
      </c>
      <c r="M602">
        <v>160</v>
      </c>
      <c r="O602" t="s">
        <v>4560</v>
      </c>
      <c r="P602">
        <v>236</v>
      </c>
      <c r="Q602">
        <v>2.72</v>
      </c>
    </row>
    <row r="603" spans="1:17" x14ac:dyDescent="0.25">
      <c r="A603">
        <v>1395</v>
      </c>
      <c r="B603" t="s">
        <v>4649</v>
      </c>
      <c r="C603" t="s">
        <v>4650</v>
      </c>
      <c r="D603" t="s">
        <v>1998</v>
      </c>
      <c r="E603" t="s">
        <v>1899</v>
      </c>
      <c r="F603">
        <v>2004</v>
      </c>
      <c r="H603" t="s">
        <v>1878</v>
      </c>
      <c r="I603">
        <v>2</v>
      </c>
      <c r="J603" t="s">
        <v>3202</v>
      </c>
      <c r="K603" t="s">
        <v>14332</v>
      </c>
      <c r="L603" s="222">
        <v>9783462034486</v>
      </c>
      <c r="M603">
        <v>240</v>
      </c>
      <c r="O603" t="s">
        <v>4561</v>
      </c>
      <c r="P603">
        <v>184</v>
      </c>
      <c r="Q603">
        <v>1.72</v>
      </c>
    </row>
    <row r="604" spans="1:17" x14ac:dyDescent="0.25">
      <c r="A604">
        <v>1395</v>
      </c>
      <c r="B604" t="s">
        <v>4652</v>
      </c>
      <c r="C604" t="s">
        <v>4653</v>
      </c>
      <c r="D604" t="s">
        <v>1998</v>
      </c>
      <c r="E604" t="s">
        <v>2032</v>
      </c>
      <c r="F604">
        <v>2010</v>
      </c>
      <c r="H604" t="s">
        <v>1878</v>
      </c>
      <c r="I604">
        <v>2</v>
      </c>
      <c r="J604" t="s">
        <v>3202</v>
      </c>
      <c r="K604" t="s">
        <v>14332</v>
      </c>
      <c r="L604" s="222">
        <v>9783462039351</v>
      </c>
      <c r="M604">
        <v>208</v>
      </c>
      <c r="O604" t="s">
        <v>4562</v>
      </c>
      <c r="P604">
        <v>298</v>
      </c>
      <c r="Q604">
        <v>1.72</v>
      </c>
    </row>
    <row r="605" spans="1:17" x14ac:dyDescent="0.25">
      <c r="A605">
        <v>2522</v>
      </c>
      <c r="B605" t="s">
        <v>3301</v>
      </c>
      <c r="C605" t="s">
        <v>4655</v>
      </c>
      <c r="D605" t="s">
        <v>2309</v>
      </c>
      <c r="F605">
        <v>2012</v>
      </c>
      <c r="H605" t="s">
        <v>4297</v>
      </c>
      <c r="I605">
        <v>3</v>
      </c>
      <c r="K605" t="s">
        <v>14332</v>
      </c>
      <c r="M605">
        <v>562</v>
      </c>
      <c r="O605" t="s">
        <v>4563</v>
      </c>
      <c r="P605">
        <v>422</v>
      </c>
      <c r="Q605">
        <v>1.72</v>
      </c>
    </row>
    <row r="606" spans="1:17" x14ac:dyDescent="0.25">
      <c r="A606">
        <v>618</v>
      </c>
      <c r="B606" t="s">
        <v>4656</v>
      </c>
      <c r="C606" t="s">
        <v>4657</v>
      </c>
      <c r="F606">
        <v>2013</v>
      </c>
      <c r="H606" t="s">
        <v>1878</v>
      </c>
      <c r="I606">
        <v>3</v>
      </c>
      <c r="K606" t="s">
        <v>14332</v>
      </c>
      <c r="L606" s="222">
        <v>9781490551616</v>
      </c>
      <c r="M606">
        <v>188</v>
      </c>
      <c r="O606" t="s">
        <v>4564</v>
      </c>
      <c r="P606">
        <v>242</v>
      </c>
      <c r="Q606">
        <v>2.2999999999999998</v>
      </c>
    </row>
    <row r="607" spans="1:17" x14ac:dyDescent="0.25">
      <c r="A607">
        <v>632</v>
      </c>
      <c r="B607" t="s">
        <v>4659</v>
      </c>
      <c r="C607" t="s">
        <v>4660</v>
      </c>
      <c r="D607" t="s">
        <v>1988</v>
      </c>
      <c r="E607" t="s">
        <v>2937</v>
      </c>
      <c r="F607">
        <v>1997</v>
      </c>
      <c r="H607" t="s">
        <v>1878</v>
      </c>
      <c r="I607">
        <v>2</v>
      </c>
      <c r="K607" t="s">
        <v>14332</v>
      </c>
      <c r="L607" s="222">
        <v>9783423200554</v>
      </c>
      <c r="M607">
        <v>600</v>
      </c>
      <c r="O607" t="s">
        <v>4565</v>
      </c>
      <c r="P607">
        <v>503</v>
      </c>
      <c r="Q607">
        <v>3.5</v>
      </c>
    </row>
    <row r="608" spans="1:17" x14ac:dyDescent="0.25">
      <c r="A608">
        <v>1231</v>
      </c>
      <c r="B608" t="s">
        <v>4662</v>
      </c>
      <c r="C608" t="s">
        <v>4663</v>
      </c>
      <c r="D608" t="s">
        <v>2232</v>
      </c>
      <c r="E608" t="s">
        <v>2157</v>
      </c>
      <c r="F608">
        <v>1998</v>
      </c>
      <c r="H608" t="s">
        <v>1878</v>
      </c>
      <c r="I608">
        <v>2</v>
      </c>
      <c r="K608" t="s">
        <v>14332</v>
      </c>
      <c r="L608" s="222">
        <v>9783442723072</v>
      </c>
      <c r="M608">
        <v>544</v>
      </c>
      <c r="O608" t="s">
        <v>4566</v>
      </c>
      <c r="P608">
        <v>457</v>
      </c>
      <c r="Q608">
        <v>1.72</v>
      </c>
    </row>
    <row r="609" spans="1:17" x14ac:dyDescent="0.25">
      <c r="A609">
        <v>1395</v>
      </c>
      <c r="B609" t="s">
        <v>4665</v>
      </c>
      <c r="C609" t="s">
        <v>4666</v>
      </c>
      <c r="D609" t="s">
        <v>4667</v>
      </c>
      <c r="E609" t="s">
        <v>1877</v>
      </c>
      <c r="F609">
        <v>1975</v>
      </c>
      <c r="H609" t="s">
        <v>2734</v>
      </c>
      <c r="I609">
        <v>2</v>
      </c>
      <c r="K609" t="s">
        <v>14332</v>
      </c>
      <c r="M609">
        <v>242</v>
      </c>
      <c r="O609" t="s">
        <v>4567</v>
      </c>
      <c r="P609">
        <v>254</v>
      </c>
      <c r="Q609">
        <v>2.2999999999999998</v>
      </c>
    </row>
    <row r="610" spans="1:17" x14ac:dyDescent="0.25">
      <c r="A610">
        <v>689</v>
      </c>
      <c r="B610" t="s">
        <v>2470</v>
      </c>
      <c r="C610" t="s">
        <v>4668</v>
      </c>
      <c r="D610" t="s">
        <v>4669</v>
      </c>
      <c r="F610">
        <v>2004</v>
      </c>
      <c r="H610" t="s">
        <v>2734</v>
      </c>
      <c r="I610">
        <v>1</v>
      </c>
      <c r="K610" t="s">
        <v>14332</v>
      </c>
      <c r="L610" s="222">
        <v>9783854929550</v>
      </c>
      <c r="M610">
        <v>238</v>
      </c>
      <c r="O610" t="s">
        <v>4568</v>
      </c>
      <c r="P610">
        <v>459</v>
      </c>
      <c r="Q610">
        <v>2.4</v>
      </c>
    </row>
    <row r="611" spans="1:17" x14ac:dyDescent="0.25">
      <c r="A611">
        <v>2952</v>
      </c>
      <c r="B611" t="s">
        <v>4671</v>
      </c>
      <c r="C611" t="s">
        <v>4672</v>
      </c>
      <c r="D611" t="s">
        <v>3022</v>
      </c>
      <c r="F611">
        <v>2008</v>
      </c>
      <c r="H611" t="s">
        <v>2734</v>
      </c>
      <c r="I611">
        <v>2</v>
      </c>
      <c r="K611" t="s">
        <v>14332</v>
      </c>
      <c r="M611">
        <v>338</v>
      </c>
      <c r="O611" t="s">
        <v>4569</v>
      </c>
      <c r="P611">
        <v>457</v>
      </c>
      <c r="Q611">
        <v>2.5099999999999998</v>
      </c>
    </row>
    <row r="612" spans="1:17" x14ac:dyDescent="0.25">
      <c r="A612">
        <v>389</v>
      </c>
      <c r="B612" t="s">
        <v>2470</v>
      </c>
      <c r="C612" t="s">
        <v>4673</v>
      </c>
      <c r="D612" t="s">
        <v>2386</v>
      </c>
      <c r="F612">
        <v>2002</v>
      </c>
      <c r="H612" t="s">
        <v>2734</v>
      </c>
      <c r="I612">
        <v>2</v>
      </c>
      <c r="K612" t="s">
        <v>14332</v>
      </c>
      <c r="L612" s="222">
        <v>9783893509881</v>
      </c>
      <c r="M612">
        <v>514</v>
      </c>
      <c r="O612" t="s">
        <v>4570</v>
      </c>
      <c r="P612">
        <v>592</v>
      </c>
      <c r="Q612">
        <v>2.2200000000000002</v>
      </c>
    </row>
    <row r="613" spans="1:17" x14ac:dyDescent="0.25">
      <c r="A613">
        <v>2522</v>
      </c>
      <c r="B613" t="s">
        <v>4675</v>
      </c>
      <c r="C613" t="s">
        <v>4676</v>
      </c>
      <c r="D613" t="s">
        <v>1912</v>
      </c>
      <c r="E613" t="s">
        <v>1921</v>
      </c>
      <c r="F613">
        <v>2003</v>
      </c>
      <c r="H613" t="s">
        <v>1878</v>
      </c>
      <c r="I613">
        <v>2</v>
      </c>
      <c r="K613" t="s">
        <v>14332</v>
      </c>
      <c r="L613" s="222">
        <v>9783442450251</v>
      </c>
      <c r="M613">
        <v>480</v>
      </c>
      <c r="O613" t="s">
        <v>4571</v>
      </c>
      <c r="P613">
        <v>422</v>
      </c>
      <c r="Q613">
        <v>2.83</v>
      </c>
    </row>
    <row r="614" spans="1:17" x14ac:dyDescent="0.25">
      <c r="A614">
        <v>721</v>
      </c>
      <c r="B614" t="s">
        <v>4678</v>
      </c>
      <c r="C614" t="s">
        <v>4679</v>
      </c>
      <c r="D614" t="s">
        <v>3057</v>
      </c>
      <c r="F614">
        <v>2008</v>
      </c>
      <c r="H614" t="s">
        <v>1878</v>
      </c>
      <c r="I614">
        <v>2</v>
      </c>
      <c r="J614" t="s">
        <v>4291</v>
      </c>
      <c r="K614" t="s">
        <v>14332</v>
      </c>
      <c r="L614" s="222">
        <v>9783440112984</v>
      </c>
      <c r="M614">
        <v>80</v>
      </c>
      <c r="O614" t="s">
        <v>4572</v>
      </c>
      <c r="P614">
        <v>246</v>
      </c>
      <c r="Q614">
        <v>3.04</v>
      </c>
    </row>
    <row r="615" spans="1:17" x14ac:dyDescent="0.25">
      <c r="A615">
        <v>8</v>
      </c>
      <c r="B615" t="s">
        <v>4681</v>
      </c>
      <c r="C615" t="s">
        <v>4682</v>
      </c>
      <c r="D615" t="s">
        <v>4517</v>
      </c>
      <c r="E615" t="s">
        <v>1913</v>
      </c>
      <c r="F615">
        <v>2012</v>
      </c>
      <c r="H615" t="s">
        <v>1878</v>
      </c>
      <c r="I615">
        <v>2</v>
      </c>
      <c r="J615" t="s">
        <v>3854</v>
      </c>
      <c r="K615" t="s">
        <v>14332</v>
      </c>
      <c r="L615" s="222">
        <v>9783746628066</v>
      </c>
      <c r="M615">
        <v>352</v>
      </c>
      <c r="O615" t="s">
        <v>4573</v>
      </c>
      <c r="P615">
        <v>331</v>
      </c>
      <c r="Q615">
        <v>2.62</v>
      </c>
    </row>
    <row r="616" spans="1:17" x14ac:dyDescent="0.25">
      <c r="A616">
        <v>765</v>
      </c>
      <c r="B616" t="s">
        <v>4638</v>
      </c>
      <c r="C616" t="s">
        <v>4684</v>
      </c>
      <c r="D616" t="s">
        <v>2609</v>
      </c>
      <c r="F616">
        <v>2007</v>
      </c>
      <c r="H616" t="s">
        <v>1878</v>
      </c>
      <c r="I616">
        <v>2</v>
      </c>
      <c r="K616" t="s">
        <v>14332</v>
      </c>
      <c r="L616" s="222">
        <v>9783596177516</v>
      </c>
      <c r="M616">
        <v>288</v>
      </c>
      <c r="O616" t="s">
        <v>4574</v>
      </c>
      <c r="P616">
        <v>300</v>
      </c>
      <c r="Q616">
        <v>1.72</v>
      </c>
    </row>
    <row r="617" spans="1:17" x14ac:dyDescent="0.25">
      <c r="A617">
        <v>721</v>
      </c>
      <c r="C617" t="s">
        <v>4686</v>
      </c>
      <c r="D617" t="s">
        <v>3682</v>
      </c>
      <c r="H617" t="s">
        <v>1878</v>
      </c>
      <c r="I617">
        <v>2</v>
      </c>
      <c r="K617" t="s">
        <v>14332</v>
      </c>
      <c r="L617" s="222">
        <v>9783861463474</v>
      </c>
      <c r="M617">
        <v>64</v>
      </c>
      <c r="O617" t="s">
        <v>4575</v>
      </c>
      <c r="P617">
        <v>106</v>
      </c>
      <c r="Q617">
        <v>1.72</v>
      </c>
    </row>
    <row r="618" spans="1:17" x14ac:dyDescent="0.25">
      <c r="A618">
        <v>1809</v>
      </c>
      <c r="B618" t="s">
        <v>4688</v>
      </c>
      <c r="C618" t="s">
        <v>4689</v>
      </c>
      <c r="D618" t="s">
        <v>3116</v>
      </c>
      <c r="E618" t="s">
        <v>1913</v>
      </c>
      <c r="F618">
        <v>2006</v>
      </c>
      <c r="H618" t="s">
        <v>1878</v>
      </c>
      <c r="I618">
        <v>2</v>
      </c>
      <c r="K618" t="s">
        <v>14332</v>
      </c>
      <c r="L618" s="222">
        <v>9783401059228</v>
      </c>
      <c r="M618">
        <v>192</v>
      </c>
      <c r="O618" t="s">
        <v>4576</v>
      </c>
      <c r="P618">
        <v>274</v>
      </c>
      <c r="Q618">
        <v>1.87</v>
      </c>
    </row>
    <row r="619" spans="1:17" x14ac:dyDescent="0.25">
      <c r="A619">
        <v>1321</v>
      </c>
      <c r="B619" t="s">
        <v>4692</v>
      </c>
      <c r="C619" t="s">
        <v>4691</v>
      </c>
      <c r="D619" t="s">
        <v>4693</v>
      </c>
      <c r="E619" t="s">
        <v>2175</v>
      </c>
      <c r="F619">
        <v>2004</v>
      </c>
      <c r="H619" t="s">
        <v>1878</v>
      </c>
      <c r="I619">
        <v>2</v>
      </c>
      <c r="K619" t="s">
        <v>14332</v>
      </c>
      <c r="L619" s="222">
        <v>9783774248021</v>
      </c>
      <c r="M619">
        <v>96</v>
      </c>
      <c r="O619" t="s">
        <v>4577</v>
      </c>
      <c r="P619">
        <v>244</v>
      </c>
      <c r="Q619">
        <v>2.4</v>
      </c>
    </row>
    <row r="620" spans="1:17" x14ac:dyDescent="0.25">
      <c r="A620">
        <v>1395</v>
      </c>
      <c r="B620" t="s">
        <v>4699</v>
      </c>
      <c r="C620" t="s">
        <v>4700</v>
      </c>
      <c r="D620" t="s">
        <v>2209</v>
      </c>
      <c r="E620" t="s">
        <v>1877</v>
      </c>
      <c r="F620">
        <v>2009</v>
      </c>
      <c r="H620" t="s">
        <v>1878</v>
      </c>
      <c r="I620">
        <v>2</v>
      </c>
      <c r="K620" t="s">
        <v>14332</v>
      </c>
      <c r="L620" s="222">
        <v>9783453601192</v>
      </c>
      <c r="M620">
        <v>288</v>
      </c>
      <c r="O620" t="s">
        <v>4579</v>
      </c>
      <c r="P620">
        <v>242</v>
      </c>
      <c r="Q620">
        <v>1.72</v>
      </c>
    </row>
    <row r="621" spans="1:17" x14ac:dyDescent="0.25">
      <c r="A621">
        <v>624</v>
      </c>
      <c r="B621" t="s">
        <v>4702</v>
      </c>
      <c r="C621" t="s">
        <v>4703</v>
      </c>
      <c r="D621" t="s">
        <v>2609</v>
      </c>
      <c r="F621">
        <v>2006</v>
      </c>
      <c r="H621" t="s">
        <v>2734</v>
      </c>
      <c r="I621">
        <v>2</v>
      </c>
      <c r="J621" t="s">
        <v>4198</v>
      </c>
      <c r="K621" t="s">
        <v>14332</v>
      </c>
      <c r="L621" s="222">
        <v>9783596172917</v>
      </c>
      <c r="M621">
        <v>130</v>
      </c>
      <c r="O621" t="s">
        <v>4580</v>
      </c>
      <c r="P621">
        <v>201</v>
      </c>
      <c r="Q621">
        <v>3.04</v>
      </c>
    </row>
    <row r="622" spans="1:17" x14ac:dyDescent="0.25">
      <c r="A622">
        <v>0</v>
      </c>
      <c r="B622" t="s">
        <v>4705</v>
      </c>
      <c r="C622" t="s">
        <v>4706</v>
      </c>
      <c r="D622" t="s">
        <v>4707</v>
      </c>
      <c r="F622" t="s">
        <v>4708</v>
      </c>
      <c r="H622" t="s">
        <v>2008</v>
      </c>
      <c r="I622">
        <v>2</v>
      </c>
      <c r="K622" t="s">
        <v>14332</v>
      </c>
      <c r="M622">
        <v>120</v>
      </c>
      <c r="O622" t="s">
        <v>4581</v>
      </c>
      <c r="P622">
        <v>133</v>
      </c>
      <c r="Q622">
        <v>8.93</v>
      </c>
    </row>
    <row r="623" spans="1:17" x14ac:dyDescent="0.25">
      <c r="A623">
        <v>689</v>
      </c>
      <c r="B623" t="s">
        <v>4709</v>
      </c>
      <c r="C623" t="s">
        <v>4710</v>
      </c>
      <c r="D623" t="s">
        <v>1993</v>
      </c>
      <c r="E623" t="s">
        <v>1877</v>
      </c>
      <c r="F623">
        <v>2004</v>
      </c>
      <c r="H623" t="s">
        <v>1878</v>
      </c>
      <c r="I623">
        <v>3</v>
      </c>
      <c r="K623" t="s">
        <v>14332</v>
      </c>
      <c r="L623" s="222">
        <v>9783442243037</v>
      </c>
      <c r="M623">
        <v>1024</v>
      </c>
      <c r="O623" t="s">
        <v>4582</v>
      </c>
      <c r="P623">
        <v>726</v>
      </c>
      <c r="Q623">
        <v>4.29</v>
      </c>
    </row>
    <row r="624" spans="1:17" x14ac:dyDescent="0.25">
      <c r="A624">
        <v>1389</v>
      </c>
      <c r="B624" t="s">
        <v>4712</v>
      </c>
      <c r="C624" t="s">
        <v>4713</v>
      </c>
      <c r="D624" t="s">
        <v>2117</v>
      </c>
      <c r="F624">
        <v>1996</v>
      </c>
      <c r="H624" t="s">
        <v>1878</v>
      </c>
      <c r="I624">
        <v>2</v>
      </c>
      <c r="K624" t="s">
        <v>14332</v>
      </c>
      <c r="L624" s="222">
        <v>9783772420535</v>
      </c>
      <c r="M624">
        <v>32</v>
      </c>
      <c r="O624" t="s">
        <v>4583</v>
      </c>
      <c r="P624">
        <v>86</v>
      </c>
      <c r="Q624">
        <v>1.87</v>
      </c>
    </row>
    <row r="625" spans="1:17" x14ac:dyDescent="0.25">
      <c r="A625">
        <v>852</v>
      </c>
      <c r="B625" t="s">
        <v>4715</v>
      </c>
      <c r="C625" t="s">
        <v>4716</v>
      </c>
      <c r="D625" t="s">
        <v>4717</v>
      </c>
      <c r="E625" t="s">
        <v>1899</v>
      </c>
      <c r="F625">
        <v>2000</v>
      </c>
      <c r="H625" t="s">
        <v>2734</v>
      </c>
      <c r="I625">
        <v>2</v>
      </c>
      <c r="J625" t="s">
        <v>2237</v>
      </c>
      <c r="K625" t="s">
        <v>14332</v>
      </c>
      <c r="L625" s="222">
        <v>9783900436933</v>
      </c>
      <c r="M625">
        <v>334</v>
      </c>
      <c r="O625" t="s">
        <v>4584</v>
      </c>
      <c r="P625">
        <v>621</v>
      </c>
      <c r="Q625">
        <v>2.2200000000000002</v>
      </c>
    </row>
    <row r="626" spans="1:17" x14ac:dyDescent="0.25">
      <c r="A626">
        <v>2522</v>
      </c>
      <c r="B626" t="s">
        <v>4719</v>
      </c>
      <c r="C626" t="s">
        <v>4720</v>
      </c>
      <c r="D626" t="s">
        <v>2209</v>
      </c>
      <c r="F626">
        <v>2002</v>
      </c>
      <c r="H626" t="s">
        <v>1878</v>
      </c>
      <c r="I626">
        <v>3</v>
      </c>
      <c r="J626" t="s">
        <v>4721</v>
      </c>
      <c r="K626" t="s">
        <v>14332</v>
      </c>
      <c r="L626" s="222">
        <v>9783453861848</v>
      </c>
      <c r="M626">
        <v>420</v>
      </c>
      <c r="O626" t="s">
        <v>4585</v>
      </c>
      <c r="P626">
        <v>476</v>
      </c>
      <c r="Q626">
        <v>1.97</v>
      </c>
    </row>
    <row r="627" spans="1:17" x14ac:dyDescent="0.25">
      <c r="A627">
        <v>2483</v>
      </c>
      <c r="B627" t="s">
        <v>4723</v>
      </c>
      <c r="C627" t="s">
        <v>1123</v>
      </c>
      <c r="D627" t="s">
        <v>1988</v>
      </c>
      <c r="H627" t="s">
        <v>1878</v>
      </c>
      <c r="I627">
        <v>3</v>
      </c>
      <c r="K627" t="s">
        <v>14332</v>
      </c>
      <c r="L627" s="222">
        <v>9783423037563</v>
      </c>
      <c r="M627">
        <v>324</v>
      </c>
      <c r="O627" t="s">
        <v>4586</v>
      </c>
      <c r="P627">
        <v>308</v>
      </c>
      <c r="Q627">
        <v>2.4</v>
      </c>
    </row>
    <row r="628" spans="1:17" x14ac:dyDescent="0.25">
      <c r="A628">
        <v>1315</v>
      </c>
      <c r="B628" t="s">
        <v>4725</v>
      </c>
      <c r="C628" t="s">
        <v>4726</v>
      </c>
      <c r="D628" t="s">
        <v>2402</v>
      </c>
      <c r="F628">
        <v>1996</v>
      </c>
      <c r="H628" t="s">
        <v>2734</v>
      </c>
      <c r="I628">
        <v>2</v>
      </c>
      <c r="J628" t="s">
        <v>2237</v>
      </c>
      <c r="K628" t="s">
        <v>14332</v>
      </c>
      <c r="L628" s="222">
        <v>9783505103230</v>
      </c>
      <c r="M628">
        <v>126</v>
      </c>
      <c r="O628" t="s">
        <v>4587</v>
      </c>
      <c r="P628">
        <v>187</v>
      </c>
      <c r="Q628">
        <v>2.41</v>
      </c>
    </row>
    <row r="629" spans="1:17" x14ac:dyDescent="0.25">
      <c r="A629">
        <v>2522</v>
      </c>
      <c r="B629" t="s">
        <v>4728</v>
      </c>
      <c r="C629" t="s">
        <v>4729</v>
      </c>
      <c r="D629" t="s">
        <v>4131</v>
      </c>
      <c r="F629">
        <v>2012</v>
      </c>
      <c r="H629" t="s">
        <v>1878</v>
      </c>
      <c r="I629">
        <v>2</v>
      </c>
      <c r="J629" t="s">
        <v>3854</v>
      </c>
      <c r="K629" t="s">
        <v>14332</v>
      </c>
      <c r="L629" s="222">
        <v>9783833308659</v>
      </c>
      <c r="M629">
        <v>384</v>
      </c>
      <c r="O629" t="s">
        <v>4588</v>
      </c>
      <c r="P629">
        <v>316</v>
      </c>
      <c r="Q629">
        <v>2.62</v>
      </c>
    </row>
    <row r="630" spans="1:17" x14ac:dyDescent="0.25">
      <c r="A630">
        <v>1389</v>
      </c>
      <c r="B630" t="s">
        <v>2115</v>
      </c>
      <c r="C630" t="s">
        <v>4731</v>
      </c>
      <c r="D630" t="s">
        <v>2117</v>
      </c>
      <c r="E630" t="s">
        <v>2175</v>
      </c>
      <c r="F630">
        <v>1998</v>
      </c>
      <c r="H630" t="s">
        <v>1878</v>
      </c>
      <c r="I630">
        <v>1</v>
      </c>
      <c r="K630" t="s">
        <v>14332</v>
      </c>
      <c r="L630" s="222">
        <v>9783772418105</v>
      </c>
      <c r="M630">
        <v>32</v>
      </c>
      <c r="O630" t="s">
        <v>4589</v>
      </c>
      <c r="P630">
        <v>99</v>
      </c>
      <c r="Q630">
        <v>1.97</v>
      </c>
    </row>
    <row r="631" spans="1:17" x14ac:dyDescent="0.25">
      <c r="A631">
        <v>2514</v>
      </c>
      <c r="B631" t="s">
        <v>4733</v>
      </c>
      <c r="C631" t="s">
        <v>4734</v>
      </c>
      <c r="D631" t="s">
        <v>3332</v>
      </c>
      <c r="H631" t="s">
        <v>2734</v>
      </c>
      <c r="I631">
        <v>2</v>
      </c>
      <c r="J631" t="s">
        <v>2505</v>
      </c>
      <c r="K631" t="s">
        <v>14332</v>
      </c>
      <c r="L631" s="222">
        <v>9783625201298</v>
      </c>
      <c r="M631">
        <v>258</v>
      </c>
      <c r="O631" t="s">
        <v>4590</v>
      </c>
      <c r="P631">
        <v>410</v>
      </c>
      <c r="Q631">
        <v>1.93</v>
      </c>
    </row>
    <row r="632" spans="1:17" x14ac:dyDescent="0.25">
      <c r="A632">
        <v>1940</v>
      </c>
      <c r="C632" t="s">
        <v>4736</v>
      </c>
      <c r="D632" t="s">
        <v>3524</v>
      </c>
      <c r="E632" t="s">
        <v>1913</v>
      </c>
      <c r="F632">
        <v>1996</v>
      </c>
      <c r="H632" t="s">
        <v>2734</v>
      </c>
      <c r="I632">
        <v>2</v>
      </c>
      <c r="J632" t="s">
        <v>2237</v>
      </c>
      <c r="K632" t="s">
        <v>14332</v>
      </c>
      <c r="L632" s="222">
        <v>9783785528693</v>
      </c>
      <c r="M632">
        <v>254</v>
      </c>
      <c r="O632" t="s">
        <v>4591</v>
      </c>
      <c r="P632">
        <v>375</v>
      </c>
      <c r="Q632">
        <v>1.87</v>
      </c>
    </row>
    <row r="633" spans="1:17" x14ac:dyDescent="0.25">
      <c r="A633">
        <v>796</v>
      </c>
      <c r="B633" t="s">
        <v>4738</v>
      </c>
      <c r="C633" t="s">
        <v>4739</v>
      </c>
      <c r="D633" t="s">
        <v>2300</v>
      </c>
      <c r="E633" t="s">
        <v>1921</v>
      </c>
      <c r="F633">
        <v>2015</v>
      </c>
      <c r="H633" t="s">
        <v>1878</v>
      </c>
      <c r="I633">
        <v>2</v>
      </c>
      <c r="J633" t="e" cm="1">
        <f t="array" ref="J633">-MÄNGELEXEMPLAR- sonst sehr guter Zustand</f>
        <v>#NAME?</v>
      </c>
      <c r="K633" t="s">
        <v>14332</v>
      </c>
      <c r="L633" s="222">
        <v>9783499268854</v>
      </c>
      <c r="M633">
        <v>368</v>
      </c>
      <c r="O633" t="s">
        <v>4592</v>
      </c>
      <c r="P633">
        <v>381</v>
      </c>
      <c r="Q633">
        <v>1.97</v>
      </c>
    </row>
    <row r="634" spans="1:17" x14ac:dyDescent="0.25">
      <c r="A634">
        <v>775</v>
      </c>
      <c r="B634" t="s">
        <v>4792</v>
      </c>
      <c r="C634" t="s">
        <v>4793</v>
      </c>
      <c r="D634" t="s">
        <v>2054</v>
      </c>
      <c r="F634">
        <v>2014</v>
      </c>
      <c r="H634" t="s">
        <v>1878</v>
      </c>
      <c r="I634">
        <v>2</v>
      </c>
      <c r="J634" t="s">
        <v>2237</v>
      </c>
      <c r="K634" t="s">
        <v>14332</v>
      </c>
      <c r="L634" s="222">
        <v>9783863658007</v>
      </c>
      <c r="M634">
        <v>640</v>
      </c>
      <c r="O634" t="s">
        <v>4742</v>
      </c>
      <c r="P634">
        <v>467</v>
      </c>
      <c r="Q634">
        <v>2.72</v>
      </c>
    </row>
    <row r="635" spans="1:17" x14ac:dyDescent="0.25">
      <c r="A635">
        <v>2522</v>
      </c>
      <c r="B635" t="s">
        <v>2456</v>
      </c>
      <c r="C635" t="s">
        <v>4795</v>
      </c>
      <c r="D635" t="s">
        <v>1912</v>
      </c>
      <c r="E635" t="s">
        <v>2412</v>
      </c>
      <c r="F635">
        <v>2008</v>
      </c>
      <c r="H635" t="s">
        <v>1878</v>
      </c>
      <c r="I635">
        <v>2</v>
      </c>
      <c r="K635" t="s">
        <v>14332</v>
      </c>
      <c r="L635" s="222">
        <v>9783442464586</v>
      </c>
      <c r="M635">
        <v>640</v>
      </c>
      <c r="O635" t="s">
        <v>4743</v>
      </c>
      <c r="P635">
        <v>507</v>
      </c>
      <c r="Q635">
        <v>3.01</v>
      </c>
    </row>
    <row r="636" spans="1:17" x14ac:dyDescent="0.25">
      <c r="A636">
        <v>796</v>
      </c>
      <c r="B636" t="s">
        <v>4797</v>
      </c>
      <c r="C636" t="s">
        <v>4798</v>
      </c>
      <c r="D636" t="s">
        <v>1876</v>
      </c>
      <c r="E636" t="s">
        <v>1921</v>
      </c>
      <c r="F636">
        <v>2002</v>
      </c>
      <c r="H636" t="s">
        <v>1878</v>
      </c>
      <c r="I636">
        <v>2</v>
      </c>
      <c r="J636" t="s">
        <v>2237</v>
      </c>
      <c r="K636" t="s">
        <v>14332</v>
      </c>
      <c r="L636" s="222">
        <v>9783492236430</v>
      </c>
      <c r="M636">
        <v>120</v>
      </c>
      <c r="O636" t="s">
        <v>4744</v>
      </c>
      <c r="P636">
        <v>215</v>
      </c>
      <c r="Q636">
        <v>2.5099999999999998</v>
      </c>
    </row>
    <row r="637" spans="1:17" x14ac:dyDescent="0.25">
      <c r="A637">
        <v>689</v>
      </c>
      <c r="B637" t="s">
        <v>2470</v>
      </c>
      <c r="C637" t="s">
        <v>4800</v>
      </c>
      <c r="D637" t="s">
        <v>2054</v>
      </c>
      <c r="F637">
        <v>2007</v>
      </c>
      <c r="H637" t="s">
        <v>1878</v>
      </c>
      <c r="I637">
        <v>2</v>
      </c>
      <c r="J637" t="s">
        <v>4198</v>
      </c>
      <c r="K637" t="s">
        <v>14332</v>
      </c>
      <c r="L637" s="222">
        <v>9783828986107</v>
      </c>
      <c r="M637">
        <v>800</v>
      </c>
      <c r="O637" t="s">
        <v>4745</v>
      </c>
      <c r="P637">
        <v>582</v>
      </c>
      <c r="Q637">
        <v>3.01</v>
      </c>
    </row>
    <row r="638" spans="1:17" x14ac:dyDescent="0.25">
      <c r="A638">
        <v>1395</v>
      </c>
      <c r="B638" t="s">
        <v>4802</v>
      </c>
      <c r="C638" t="s">
        <v>4803</v>
      </c>
      <c r="D638" t="s">
        <v>1920</v>
      </c>
      <c r="E638" t="s">
        <v>2606</v>
      </c>
      <c r="F638">
        <v>2011</v>
      </c>
      <c r="H638" t="s">
        <v>1878</v>
      </c>
      <c r="I638">
        <v>2</v>
      </c>
      <c r="J638" t="s">
        <v>4198</v>
      </c>
      <c r="K638" t="s">
        <v>14332</v>
      </c>
      <c r="L638" s="222">
        <v>9783404152964</v>
      </c>
      <c r="M638">
        <v>320</v>
      </c>
      <c r="O638" t="s">
        <v>4746</v>
      </c>
      <c r="P638">
        <v>308</v>
      </c>
      <c r="Q638">
        <v>2.5099999999999998</v>
      </c>
    </row>
    <row r="639" spans="1:17" x14ac:dyDescent="0.25">
      <c r="A639">
        <v>735</v>
      </c>
      <c r="B639" t="s">
        <v>4805</v>
      </c>
      <c r="C639" t="s">
        <v>4806</v>
      </c>
      <c r="D639" t="s">
        <v>2309</v>
      </c>
      <c r="H639" t="s">
        <v>2734</v>
      </c>
      <c r="I639">
        <v>2</v>
      </c>
      <c r="K639" t="s">
        <v>14332</v>
      </c>
      <c r="M639">
        <v>258</v>
      </c>
      <c r="O639" t="s">
        <v>4747</v>
      </c>
      <c r="P639">
        <v>398</v>
      </c>
      <c r="Q639">
        <v>1.97</v>
      </c>
    </row>
    <row r="640" spans="1:17" x14ac:dyDescent="0.25">
      <c r="A640">
        <v>852</v>
      </c>
      <c r="B640" t="s">
        <v>4807</v>
      </c>
      <c r="C640" t="s">
        <v>3084</v>
      </c>
      <c r="D640" t="s">
        <v>2309</v>
      </c>
      <c r="E640" t="s">
        <v>3053</v>
      </c>
      <c r="F640">
        <v>2004</v>
      </c>
      <c r="H640" t="s">
        <v>1878</v>
      </c>
      <c r="I640">
        <v>2</v>
      </c>
      <c r="J640" t="s">
        <v>2237</v>
      </c>
      <c r="K640" t="s">
        <v>14332</v>
      </c>
      <c r="L640" s="222">
        <v>9783548365916</v>
      </c>
      <c r="M640">
        <v>284</v>
      </c>
      <c r="O640" t="s">
        <v>4748</v>
      </c>
      <c r="P640">
        <v>232</v>
      </c>
      <c r="Q640">
        <v>2.5099999999999998</v>
      </c>
    </row>
    <row r="641" spans="1:17" x14ac:dyDescent="0.25">
      <c r="A641">
        <v>2851</v>
      </c>
      <c r="B641" t="s">
        <v>4809</v>
      </c>
      <c r="C641" t="s">
        <v>4810</v>
      </c>
      <c r="D641" t="s">
        <v>2232</v>
      </c>
      <c r="E641" t="s">
        <v>1913</v>
      </c>
      <c r="F641">
        <v>2008</v>
      </c>
      <c r="H641" t="s">
        <v>1878</v>
      </c>
      <c r="I641">
        <v>2</v>
      </c>
      <c r="J641" t="s">
        <v>4811</v>
      </c>
      <c r="K641" t="s">
        <v>14332</v>
      </c>
      <c r="L641" s="222">
        <v>9783442736966</v>
      </c>
      <c r="M641">
        <v>256</v>
      </c>
      <c r="O641" t="s">
        <v>4749</v>
      </c>
      <c r="P641">
        <v>242</v>
      </c>
      <c r="Q641">
        <v>2.5099999999999998</v>
      </c>
    </row>
    <row r="642" spans="1:17" x14ac:dyDescent="0.25">
      <c r="A642">
        <v>632</v>
      </c>
      <c r="B642" t="s">
        <v>4813</v>
      </c>
      <c r="C642" t="s">
        <v>4814</v>
      </c>
      <c r="D642" t="s">
        <v>2054</v>
      </c>
      <c r="F642">
        <v>2000</v>
      </c>
      <c r="H642" t="s">
        <v>2734</v>
      </c>
      <c r="I642">
        <v>2</v>
      </c>
      <c r="J642" t="s">
        <v>4198</v>
      </c>
      <c r="K642" t="s">
        <v>14332</v>
      </c>
      <c r="L642" s="222">
        <v>4026411172804</v>
      </c>
      <c r="M642">
        <v>658</v>
      </c>
      <c r="O642" t="s">
        <v>4750</v>
      </c>
      <c r="P642">
        <v>547</v>
      </c>
      <c r="Q642">
        <v>3.01</v>
      </c>
    </row>
    <row r="643" spans="1:17" x14ac:dyDescent="0.25">
      <c r="A643">
        <v>1396</v>
      </c>
      <c r="B643" t="s">
        <v>4816</v>
      </c>
      <c r="C643" t="s">
        <v>4817</v>
      </c>
      <c r="D643" t="s">
        <v>2257</v>
      </c>
      <c r="F643">
        <v>2001</v>
      </c>
      <c r="H643" t="s">
        <v>1878</v>
      </c>
      <c r="I643">
        <v>2</v>
      </c>
      <c r="K643" t="s">
        <v>14332</v>
      </c>
      <c r="M643">
        <v>352</v>
      </c>
      <c r="O643" t="s">
        <v>4751</v>
      </c>
      <c r="P643">
        <v>263</v>
      </c>
      <c r="Q643">
        <v>1.97</v>
      </c>
    </row>
    <row r="644" spans="1:17" x14ac:dyDescent="0.25">
      <c r="A644">
        <v>2522</v>
      </c>
      <c r="B644" t="s">
        <v>4818</v>
      </c>
      <c r="C644" t="s">
        <v>4819</v>
      </c>
      <c r="D644" t="s">
        <v>1912</v>
      </c>
      <c r="F644">
        <v>2010</v>
      </c>
      <c r="H644" t="s">
        <v>1878</v>
      </c>
      <c r="I644">
        <v>2</v>
      </c>
      <c r="K644" t="s">
        <v>14332</v>
      </c>
      <c r="L644" s="222">
        <v>4016491018314</v>
      </c>
      <c r="M644">
        <v>288</v>
      </c>
      <c r="O644" t="s">
        <v>4752</v>
      </c>
      <c r="P644">
        <v>170</v>
      </c>
      <c r="Q644">
        <v>2.5099999999999998</v>
      </c>
    </row>
    <row r="645" spans="1:17" x14ac:dyDescent="0.25">
      <c r="A645">
        <v>765</v>
      </c>
      <c r="B645" t="s">
        <v>3715</v>
      </c>
      <c r="C645" t="s">
        <v>4821</v>
      </c>
      <c r="D645" t="s">
        <v>2309</v>
      </c>
      <c r="E645" t="s">
        <v>1877</v>
      </c>
      <c r="F645">
        <v>2002</v>
      </c>
      <c r="H645" t="s">
        <v>1878</v>
      </c>
      <c r="I645">
        <v>2</v>
      </c>
      <c r="K645" t="s">
        <v>14332</v>
      </c>
      <c r="L645" s="222">
        <v>9783550075353</v>
      </c>
      <c r="M645">
        <v>368</v>
      </c>
      <c r="O645" t="s">
        <v>4753</v>
      </c>
      <c r="P645">
        <v>508</v>
      </c>
      <c r="Q645">
        <v>3.01</v>
      </c>
    </row>
    <row r="646" spans="1:17" x14ac:dyDescent="0.25">
      <c r="A646">
        <v>1339</v>
      </c>
      <c r="B646" t="s">
        <v>4823</v>
      </c>
      <c r="C646" t="s">
        <v>4824</v>
      </c>
      <c r="D646" t="s">
        <v>4825</v>
      </c>
      <c r="E646" t="s">
        <v>2175</v>
      </c>
      <c r="F646">
        <v>1997</v>
      </c>
      <c r="H646" t="s">
        <v>2734</v>
      </c>
      <c r="I646">
        <v>2</v>
      </c>
      <c r="K646" t="s">
        <v>14332</v>
      </c>
      <c r="L646" s="222">
        <v>9783310002711</v>
      </c>
      <c r="M646">
        <v>210</v>
      </c>
      <c r="O646" t="s">
        <v>4754</v>
      </c>
      <c r="P646">
        <v>519</v>
      </c>
      <c r="Q646">
        <v>2.4700000000000002</v>
      </c>
    </row>
    <row r="647" spans="1:17" x14ac:dyDescent="0.25">
      <c r="A647">
        <v>1395</v>
      </c>
      <c r="B647" t="s">
        <v>4827</v>
      </c>
      <c r="C647" t="s">
        <v>4828</v>
      </c>
      <c r="D647" t="s">
        <v>1876</v>
      </c>
      <c r="E647" t="s">
        <v>2032</v>
      </c>
      <c r="F647">
        <v>2002</v>
      </c>
      <c r="H647" t="s">
        <v>1878</v>
      </c>
      <c r="I647">
        <v>2</v>
      </c>
      <c r="K647" t="s">
        <v>14332</v>
      </c>
      <c r="L647" s="222">
        <v>9783492260558</v>
      </c>
      <c r="M647">
        <v>320</v>
      </c>
      <c r="O647" t="s">
        <v>4755</v>
      </c>
      <c r="P647">
        <v>267</v>
      </c>
      <c r="Q647">
        <v>1.97</v>
      </c>
    </row>
    <row r="648" spans="1:17" x14ac:dyDescent="0.25">
      <c r="A648">
        <v>2202</v>
      </c>
      <c r="C648" t="s">
        <v>4830</v>
      </c>
      <c r="D648" t="s">
        <v>4831</v>
      </c>
      <c r="E648" t="s">
        <v>1899</v>
      </c>
      <c r="F648">
        <v>2007</v>
      </c>
      <c r="H648" t="s">
        <v>1878</v>
      </c>
      <c r="I648">
        <v>2</v>
      </c>
      <c r="K648" t="s">
        <v>14332</v>
      </c>
      <c r="L648" s="222">
        <v>9783981054804</v>
      </c>
      <c r="M648">
        <v>496</v>
      </c>
      <c r="O648" t="s">
        <v>4756</v>
      </c>
      <c r="P648">
        <v>635</v>
      </c>
      <c r="Q648">
        <v>3.01</v>
      </c>
    </row>
    <row r="649" spans="1:17" x14ac:dyDescent="0.25">
      <c r="A649">
        <v>829</v>
      </c>
      <c r="C649" t="s">
        <v>4833</v>
      </c>
      <c r="D649" t="s">
        <v>4834</v>
      </c>
      <c r="E649" t="s">
        <v>2175</v>
      </c>
      <c r="F649">
        <v>1983</v>
      </c>
      <c r="H649" t="s">
        <v>1878</v>
      </c>
      <c r="I649">
        <v>2</v>
      </c>
      <c r="K649" t="s">
        <v>14332</v>
      </c>
      <c r="L649" s="222">
        <v>9783922028031</v>
      </c>
      <c r="M649">
        <v>168</v>
      </c>
      <c r="O649" t="s">
        <v>4757</v>
      </c>
      <c r="P649">
        <v>209</v>
      </c>
      <c r="Q649">
        <v>2.5099999999999998</v>
      </c>
    </row>
    <row r="650" spans="1:17" x14ac:dyDescent="0.25">
      <c r="A650">
        <v>721</v>
      </c>
      <c r="B650" t="s">
        <v>4836</v>
      </c>
      <c r="C650" t="s">
        <v>4837</v>
      </c>
      <c r="D650" t="s">
        <v>3057</v>
      </c>
      <c r="E650" t="s">
        <v>1899</v>
      </c>
      <c r="F650">
        <v>2003</v>
      </c>
      <c r="H650" t="s">
        <v>2734</v>
      </c>
      <c r="I650">
        <v>2</v>
      </c>
      <c r="J650" t="s">
        <v>2237</v>
      </c>
      <c r="K650" t="s">
        <v>14332</v>
      </c>
      <c r="L650" s="222">
        <v>9783440090596</v>
      </c>
      <c r="M650">
        <v>274</v>
      </c>
      <c r="O650" t="s">
        <v>4758</v>
      </c>
      <c r="P650">
        <v>822</v>
      </c>
      <c r="Q650">
        <v>4.6100000000000003</v>
      </c>
    </row>
    <row r="651" spans="1:17" x14ac:dyDescent="0.25">
      <c r="A651">
        <v>323</v>
      </c>
      <c r="B651" t="s">
        <v>4839</v>
      </c>
      <c r="C651" t="s">
        <v>4840</v>
      </c>
      <c r="D651" t="s">
        <v>4841</v>
      </c>
      <c r="E651" t="s">
        <v>2375</v>
      </c>
      <c r="F651">
        <v>2005</v>
      </c>
      <c r="H651" t="s">
        <v>2734</v>
      </c>
      <c r="I651">
        <v>2</v>
      </c>
      <c r="J651" t="s">
        <v>4842</v>
      </c>
      <c r="K651" t="s">
        <v>14332</v>
      </c>
      <c r="L651" s="222">
        <v>9783451287305</v>
      </c>
      <c r="M651">
        <v>226</v>
      </c>
      <c r="O651" t="s">
        <v>4759</v>
      </c>
      <c r="P651">
        <v>423</v>
      </c>
      <c r="Q651">
        <v>2.62</v>
      </c>
    </row>
    <row r="652" spans="1:17" x14ac:dyDescent="0.25">
      <c r="A652">
        <v>691</v>
      </c>
      <c r="B652" t="s">
        <v>4844</v>
      </c>
      <c r="C652" t="s">
        <v>4845</v>
      </c>
      <c r="D652" t="s">
        <v>4846</v>
      </c>
      <c r="F652">
        <v>2009</v>
      </c>
      <c r="H652" t="s">
        <v>2734</v>
      </c>
      <c r="I652">
        <v>1</v>
      </c>
      <c r="K652" t="s">
        <v>14332</v>
      </c>
      <c r="L652" s="222">
        <v>9783867511674</v>
      </c>
      <c r="M652">
        <v>34</v>
      </c>
      <c r="O652" t="s">
        <v>4760</v>
      </c>
      <c r="P652">
        <v>186</v>
      </c>
      <c r="Q652">
        <v>6.79</v>
      </c>
    </row>
    <row r="653" spans="1:17" x14ac:dyDescent="0.25">
      <c r="A653">
        <v>1008</v>
      </c>
      <c r="B653" t="s">
        <v>4848</v>
      </c>
      <c r="C653" t="s">
        <v>4849</v>
      </c>
      <c r="D653" t="s">
        <v>4850</v>
      </c>
      <c r="H653" t="s">
        <v>2734</v>
      </c>
      <c r="I653">
        <v>2</v>
      </c>
      <c r="K653" t="s">
        <v>14332</v>
      </c>
      <c r="L653" s="222">
        <v>9783784419114</v>
      </c>
      <c r="M653">
        <v>430</v>
      </c>
      <c r="O653" t="s">
        <v>4761</v>
      </c>
      <c r="P653">
        <v>590</v>
      </c>
      <c r="Q653">
        <v>3.01</v>
      </c>
    </row>
    <row r="654" spans="1:17" x14ac:dyDescent="0.25">
      <c r="A654">
        <v>796</v>
      </c>
      <c r="B654" t="s">
        <v>4852</v>
      </c>
      <c r="C654" t="s">
        <v>4853</v>
      </c>
      <c r="D654" t="s">
        <v>2257</v>
      </c>
      <c r="F654">
        <v>2017</v>
      </c>
      <c r="H654" t="s">
        <v>1878</v>
      </c>
      <c r="I654">
        <v>2</v>
      </c>
      <c r="J654" t="s">
        <v>4854</v>
      </c>
      <c r="K654" t="s">
        <v>14332</v>
      </c>
      <c r="L654" s="222">
        <v>9783426517246</v>
      </c>
      <c r="M654">
        <v>416</v>
      </c>
      <c r="O654" t="s">
        <v>4762</v>
      </c>
      <c r="P654">
        <v>320</v>
      </c>
      <c r="Q654">
        <v>3.69</v>
      </c>
    </row>
    <row r="655" spans="1:17" x14ac:dyDescent="0.25">
      <c r="A655">
        <v>2522</v>
      </c>
      <c r="B655" t="s">
        <v>4856</v>
      </c>
      <c r="C655" t="s">
        <v>4857</v>
      </c>
      <c r="D655" t="s">
        <v>1912</v>
      </c>
      <c r="F655">
        <v>2000</v>
      </c>
      <c r="H655" t="s">
        <v>1878</v>
      </c>
      <c r="I655">
        <v>2</v>
      </c>
      <c r="J655" t="s">
        <v>3854</v>
      </c>
      <c r="K655" t="s">
        <v>14332</v>
      </c>
      <c r="L655" s="222">
        <v>9783442446889</v>
      </c>
      <c r="M655">
        <v>448</v>
      </c>
      <c r="O655" t="s">
        <v>4763</v>
      </c>
      <c r="P655">
        <v>397</v>
      </c>
      <c r="Q655">
        <v>1.97</v>
      </c>
    </row>
    <row r="656" spans="1:17" x14ac:dyDescent="0.25">
      <c r="A656">
        <v>713</v>
      </c>
      <c r="B656" t="s">
        <v>4859</v>
      </c>
      <c r="C656" t="s">
        <v>4860</v>
      </c>
      <c r="F656">
        <v>2015</v>
      </c>
      <c r="H656" t="s">
        <v>1878</v>
      </c>
      <c r="I656">
        <v>2</v>
      </c>
      <c r="K656" t="s">
        <v>14478</v>
      </c>
      <c r="L656" s="222">
        <v>9788328026599</v>
      </c>
      <c r="M656">
        <v>400</v>
      </c>
      <c r="O656" t="s">
        <v>4764</v>
      </c>
      <c r="P656">
        <v>363</v>
      </c>
      <c r="Q656">
        <v>12.14</v>
      </c>
    </row>
    <row r="657" spans="1:17" x14ac:dyDescent="0.25">
      <c r="A657">
        <v>691</v>
      </c>
      <c r="B657" t="s">
        <v>4863</v>
      </c>
      <c r="C657" t="s">
        <v>4864</v>
      </c>
      <c r="D657" t="s">
        <v>2054</v>
      </c>
      <c r="H657" t="s">
        <v>2734</v>
      </c>
      <c r="I657">
        <v>2</v>
      </c>
      <c r="K657" t="s">
        <v>14332</v>
      </c>
      <c r="L657" s="222">
        <v>9783401082882</v>
      </c>
      <c r="M657">
        <v>10</v>
      </c>
      <c r="O657" t="s">
        <v>4765</v>
      </c>
      <c r="P657">
        <v>263</v>
      </c>
      <c r="Q657">
        <v>4.33</v>
      </c>
    </row>
    <row r="658" spans="1:17" x14ac:dyDescent="0.25">
      <c r="A658">
        <v>1984</v>
      </c>
      <c r="B658" t="s">
        <v>3824</v>
      </c>
      <c r="C658" t="s">
        <v>4866</v>
      </c>
      <c r="D658" t="s">
        <v>1979</v>
      </c>
      <c r="F658">
        <v>2007</v>
      </c>
      <c r="H658" t="s">
        <v>2734</v>
      </c>
      <c r="I658">
        <v>2</v>
      </c>
      <c r="K658" t="s">
        <v>14332</v>
      </c>
      <c r="L658" s="222">
        <v>9783473363483</v>
      </c>
      <c r="M658">
        <v>140</v>
      </c>
      <c r="O658" t="s">
        <v>4766</v>
      </c>
      <c r="P658">
        <v>550</v>
      </c>
      <c r="Q658">
        <v>3.01</v>
      </c>
    </row>
    <row r="659" spans="1:17" x14ac:dyDescent="0.25">
      <c r="A659">
        <v>632</v>
      </c>
      <c r="B659" t="s">
        <v>4868</v>
      </c>
      <c r="C659" t="s">
        <v>4869</v>
      </c>
      <c r="D659" t="s">
        <v>2609</v>
      </c>
      <c r="H659" t="s">
        <v>1878</v>
      </c>
      <c r="I659">
        <v>2</v>
      </c>
      <c r="K659" t="s">
        <v>14332</v>
      </c>
      <c r="L659" s="222">
        <v>9783596133246</v>
      </c>
      <c r="M659">
        <v>866</v>
      </c>
      <c r="O659" t="s">
        <v>4767</v>
      </c>
      <c r="P659">
        <v>501</v>
      </c>
      <c r="Q659">
        <v>3.01</v>
      </c>
    </row>
    <row r="660" spans="1:17" x14ac:dyDescent="0.25">
      <c r="A660">
        <v>1875</v>
      </c>
      <c r="C660" t="s">
        <v>4871</v>
      </c>
      <c r="D660" t="s">
        <v>4841</v>
      </c>
      <c r="F660">
        <v>2006</v>
      </c>
      <c r="H660" t="s">
        <v>2734</v>
      </c>
      <c r="I660">
        <v>2</v>
      </c>
      <c r="K660" t="s">
        <v>14332</v>
      </c>
      <c r="L660" s="222">
        <v>9783451290190</v>
      </c>
      <c r="M660">
        <v>158</v>
      </c>
      <c r="O660" t="s">
        <v>4768</v>
      </c>
      <c r="P660">
        <v>139</v>
      </c>
      <c r="Q660">
        <v>15.88</v>
      </c>
    </row>
    <row r="661" spans="1:17" x14ac:dyDescent="0.25">
      <c r="A661">
        <v>1348</v>
      </c>
      <c r="B661" t="s">
        <v>4873</v>
      </c>
      <c r="C661" t="s">
        <v>4874</v>
      </c>
      <c r="D661" t="s">
        <v>2300</v>
      </c>
      <c r="F661">
        <v>1962</v>
      </c>
      <c r="H661" t="s">
        <v>1878</v>
      </c>
      <c r="I661">
        <v>2</v>
      </c>
      <c r="K661" t="s">
        <v>14332</v>
      </c>
      <c r="M661">
        <v>180</v>
      </c>
      <c r="O661" t="s">
        <v>4769</v>
      </c>
      <c r="P661">
        <v>132</v>
      </c>
      <c r="Q661">
        <v>1.97</v>
      </c>
    </row>
    <row r="662" spans="1:17" x14ac:dyDescent="0.25">
      <c r="A662">
        <v>18</v>
      </c>
      <c r="B662" t="s">
        <v>4875</v>
      </c>
      <c r="C662" t="s">
        <v>4876</v>
      </c>
      <c r="D662" t="s">
        <v>4877</v>
      </c>
      <c r="E662" t="s">
        <v>1913</v>
      </c>
      <c r="F662">
        <v>2006</v>
      </c>
      <c r="H662" t="s">
        <v>1878</v>
      </c>
      <c r="I662">
        <v>2</v>
      </c>
      <c r="J662" t="s">
        <v>3854</v>
      </c>
      <c r="K662" t="s">
        <v>14332</v>
      </c>
      <c r="L662" s="222">
        <v>9783570550014</v>
      </c>
      <c r="M662">
        <v>288</v>
      </c>
      <c r="O662" t="s">
        <v>4770</v>
      </c>
      <c r="P662">
        <v>375</v>
      </c>
      <c r="Q662">
        <v>1.97</v>
      </c>
    </row>
    <row r="663" spans="1:17" x14ac:dyDescent="0.25">
      <c r="A663">
        <v>634</v>
      </c>
      <c r="B663" t="s">
        <v>4879</v>
      </c>
      <c r="C663" t="s">
        <v>4880</v>
      </c>
      <c r="D663" t="s">
        <v>2209</v>
      </c>
      <c r="F663">
        <v>1989</v>
      </c>
      <c r="H663" t="s">
        <v>1878</v>
      </c>
      <c r="I663">
        <v>2</v>
      </c>
      <c r="K663" t="s">
        <v>14332</v>
      </c>
      <c r="L663" s="222">
        <v>9783453034624</v>
      </c>
      <c r="M663">
        <v>320</v>
      </c>
      <c r="O663" t="s">
        <v>4771</v>
      </c>
      <c r="P663">
        <v>246</v>
      </c>
      <c r="Q663">
        <v>2.5099999999999998</v>
      </c>
    </row>
    <row r="664" spans="1:17" x14ac:dyDescent="0.25">
      <c r="A664">
        <v>2522</v>
      </c>
      <c r="B664" t="s">
        <v>4883</v>
      </c>
      <c r="C664" t="s">
        <v>4884</v>
      </c>
      <c r="D664" t="s">
        <v>1912</v>
      </c>
      <c r="E664" t="s">
        <v>2358</v>
      </c>
      <c r="F664">
        <v>2010</v>
      </c>
      <c r="H664" t="s">
        <v>1878</v>
      </c>
      <c r="I664">
        <v>2</v>
      </c>
      <c r="J664" t="s">
        <v>3854</v>
      </c>
      <c r="K664" t="s">
        <v>14332</v>
      </c>
      <c r="L664" s="222">
        <v>9783442472284</v>
      </c>
      <c r="M664">
        <v>448</v>
      </c>
      <c r="O664" t="s">
        <v>4772</v>
      </c>
      <c r="P664">
        <v>365</v>
      </c>
      <c r="Q664">
        <v>2.4</v>
      </c>
    </row>
    <row r="665" spans="1:17" x14ac:dyDescent="0.25">
      <c r="A665">
        <v>2522</v>
      </c>
      <c r="B665" t="s">
        <v>3835</v>
      </c>
      <c r="C665" t="s">
        <v>4886</v>
      </c>
      <c r="D665" t="s">
        <v>2257</v>
      </c>
      <c r="F665">
        <v>2011</v>
      </c>
      <c r="H665" t="s">
        <v>1878</v>
      </c>
      <c r="I665">
        <v>2</v>
      </c>
      <c r="K665" t="s">
        <v>14332</v>
      </c>
      <c r="L665" s="222">
        <v>9783426639412</v>
      </c>
      <c r="M665">
        <v>592</v>
      </c>
      <c r="O665" t="s">
        <v>4773</v>
      </c>
      <c r="P665">
        <v>380</v>
      </c>
      <c r="Q665">
        <v>2.72</v>
      </c>
    </row>
    <row r="666" spans="1:17" x14ac:dyDescent="0.25">
      <c r="A666">
        <v>692</v>
      </c>
      <c r="B666" t="s">
        <v>4888</v>
      </c>
      <c r="C666" t="s">
        <v>4889</v>
      </c>
      <c r="D666" t="s">
        <v>1912</v>
      </c>
      <c r="E666" t="s">
        <v>1921</v>
      </c>
      <c r="F666">
        <v>2016</v>
      </c>
      <c r="H666" t="s">
        <v>1878</v>
      </c>
      <c r="I666">
        <v>2</v>
      </c>
      <c r="K666" t="s">
        <v>14332</v>
      </c>
      <c r="L666" s="222">
        <v>9783442486656</v>
      </c>
      <c r="M666">
        <v>256</v>
      </c>
      <c r="O666" t="s">
        <v>4774</v>
      </c>
      <c r="P666">
        <v>343</v>
      </c>
      <c r="Q666">
        <v>1.97</v>
      </c>
    </row>
    <row r="667" spans="1:17" x14ac:dyDescent="0.25">
      <c r="A667">
        <v>770</v>
      </c>
      <c r="B667" t="s">
        <v>4893</v>
      </c>
      <c r="C667" t="s">
        <v>4894</v>
      </c>
      <c r="D667" t="s">
        <v>2521</v>
      </c>
      <c r="F667">
        <v>2000</v>
      </c>
      <c r="H667" t="s">
        <v>4297</v>
      </c>
      <c r="I667">
        <v>2</v>
      </c>
      <c r="L667" s="222">
        <v>9783468223440</v>
      </c>
      <c r="M667">
        <v>322</v>
      </c>
      <c r="O667" t="s">
        <v>4776</v>
      </c>
      <c r="P667">
        <v>243</v>
      </c>
      <c r="Q667">
        <v>2.2999999999999998</v>
      </c>
    </row>
    <row r="668" spans="1:17" x14ac:dyDescent="0.25">
      <c r="A668">
        <v>1395</v>
      </c>
      <c r="B668" t="s">
        <v>4827</v>
      </c>
      <c r="C668" t="s">
        <v>4900</v>
      </c>
      <c r="D668" t="s">
        <v>1876</v>
      </c>
      <c r="E668" t="s">
        <v>1877</v>
      </c>
      <c r="F668">
        <v>2002</v>
      </c>
      <c r="H668" t="s">
        <v>1878</v>
      </c>
      <c r="I668">
        <v>2</v>
      </c>
      <c r="K668" t="s">
        <v>14332</v>
      </c>
      <c r="L668" s="222">
        <v>9783492236355</v>
      </c>
      <c r="M668">
        <v>176</v>
      </c>
      <c r="O668" t="s">
        <v>4779</v>
      </c>
      <c r="P668">
        <v>190</v>
      </c>
      <c r="Q668">
        <v>1.97</v>
      </c>
    </row>
    <row r="669" spans="1:17" x14ac:dyDescent="0.25">
      <c r="A669">
        <v>680</v>
      </c>
      <c r="B669" t="s">
        <v>4902</v>
      </c>
      <c r="C669" t="s">
        <v>4903</v>
      </c>
      <c r="H669" t="s">
        <v>1878</v>
      </c>
      <c r="I669">
        <v>2</v>
      </c>
      <c r="J669" t="s">
        <v>4904</v>
      </c>
      <c r="K669" t="s">
        <v>14332</v>
      </c>
      <c r="L669" s="222">
        <v>9783625107934</v>
      </c>
      <c r="O669" t="s">
        <v>4780</v>
      </c>
      <c r="P669">
        <v>1080</v>
      </c>
      <c r="Q669">
        <v>6.17</v>
      </c>
    </row>
    <row r="670" spans="1:17" x14ac:dyDescent="0.25">
      <c r="A670">
        <v>692</v>
      </c>
      <c r="B670" t="s">
        <v>4802</v>
      </c>
      <c r="C670" t="s">
        <v>4906</v>
      </c>
      <c r="D670" t="s">
        <v>1920</v>
      </c>
      <c r="F670">
        <v>2002</v>
      </c>
      <c r="H670" t="s">
        <v>1878</v>
      </c>
      <c r="I670">
        <v>3</v>
      </c>
      <c r="K670" t="s">
        <v>14332</v>
      </c>
      <c r="L670" s="222">
        <v>9783404162369</v>
      </c>
      <c r="M670">
        <v>288</v>
      </c>
      <c r="O670" t="s">
        <v>4781</v>
      </c>
      <c r="P670">
        <v>217</v>
      </c>
      <c r="Q670">
        <v>1.97</v>
      </c>
    </row>
    <row r="671" spans="1:17" x14ac:dyDescent="0.25">
      <c r="A671">
        <v>622</v>
      </c>
      <c r="B671" t="s">
        <v>4908</v>
      </c>
      <c r="C671" t="s">
        <v>4909</v>
      </c>
      <c r="D671" t="s">
        <v>4910</v>
      </c>
      <c r="F671">
        <v>2013</v>
      </c>
      <c r="H671" t="s">
        <v>2734</v>
      </c>
      <c r="I671">
        <v>1</v>
      </c>
      <c r="K671" t="s">
        <v>14332</v>
      </c>
      <c r="L671" s="222">
        <v>9783799504454</v>
      </c>
      <c r="M671">
        <v>122</v>
      </c>
      <c r="O671" t="s">
        <v>4782</v>
      </c>
      <c r="P671">
        <v>466</v>
      </c>
      <c r="Q671">
        <v>4.1100000000000003</v>
      </c>
    </row>
    <row r="672" spans="1:17" x14ac:dyDescent="0.25">
      <c r="A672">
        <v>1366</v>
      </c>
      <c r="B672" t="s">
        <v>4912</v>
      </c>
      <c r="C672" t="s">
        <v>4913</v>
      </c>
      <c r="D672" t="s">
        <v>4914</v>
      </c>
      <c r="E672" t="s">
        <v>1877</v>
      </c>
      <c r="F672">
        <v>1998</v>
      </c>
      <c r="H672" t="s">
        <v>1878</v>
      </c>
      <c r="I672">
        <v>2</v>
      </c>
      <c r="K672" t="s">
        <v>14332</v>
      </c>
      <c r="L672" s="222">
        <v>9783406439292</v>
      </c>
      <c r="M672">
        <v>136</v>
      </c>
      <c r="O672" t="s">
        <v>4783</v>
      </c>
      <c r="P672">
        <v>129</v>
      </c>
      <c r="Q672">
        <v>5.93</v>
      </c>
    </row>
    <row r="673" spans="1:17" x14ac:dyDescent="0.25">
      <c r="A673">
        <v>765</v>
      </c>
      <c r="B673" t="s">
        <v>4916</v>
      </c>
      <c r="C673" t="s">
        <v>4917</v>
      </c>
      <c r="D673" t="s">
        <v>4841</v>
      </c>
      <c r="F673">
        <v>1992</v>
      </c>
      <c r="H673" t="s">
        <v>1878</v>
      </c>
      <c r="I673">
        <v>2</v>
      </c>
      <c r="K673" t="s">
        <v>14332</v>
      </c>
      <c r="L673" s="222">
        <v>9783451040788</v>
      </c>
      <c r="M673">
        <v>128</v>
      </c>
      <c r="O673" t="s">
        <v>4784</v>
      </c>
      <c r="P673">
        <v>113</v>
      </c>
      <c r="Q673">
        <v>2.19</v>
      </c>
    </row>
    <row r="674" spans="1:17" x14ac:dyDescent="0.25">
      <c r="A674">
        <v>1314</v>
      </c>
      <c r="B674" t="s">
        <v>4919</v>
      </c>
      <c r="C674" t="s">
        <v>4920</v>
      </c>
      <c r="D674" t="s">
        <v>2300</v>
      </c>
      <c r="E674" t="s">
        <v>1877</v>
      </c>
      <c r="F674">
        <v>2008</v>
      </c>
      <c r="H674" t="s">
        <v>1878</v>
      </c>
      <c r="I674">
        <v>2</v>
      </c>
      <c r="K674" t="s">
        <v>14332</v>
      </c>
      <c r="L674" s="222">
        <v>9783499623790</v>
      </c>
      <c r="M674">
        <v>176</v>
      </c>
      <c r="O674" t="s">
        <v>4785</v>
      </c>
      <c r="P674">
        <v>179</v>
      </c>
      <c r="Q674">
        <v>2.5099999999999998</v>
      </c>
    </row>
    <row r="675" spans="1:17" x14ac:dyDescent="0.25">
      <c r="A675">
        <v>1395</v>
      </c>
      <c r="B675" t="s">
        <v>4922</v>
      </c>
      <c r="C675" t="s">
        <v>4923</v>
      </c>
      <c r="D675" t="s">
        <v>1998</v>
      </c>
      <c r="E675" t="s">
        <v>1913</v>
      </c>
      <c r="F675">
        <v>2006</v>
      </c>
      <c r="H675" t="s">
        <v>1878</v>
      </c>
      <c r="I675">
        <v>2</v>
      </c>
      <c r="K675" t="s">
        <v>14332</v>
      </c>
      <c r="L675" s="222">
        <v>9783462036619</v>
      </c>
      <c r="M675">
        <v>240</v>
      </c>
      <c r="O675" t="s">
        <v>4786</v>
      </c>
      <c r="P675">
        <v>185</v>
      </c>
      <c r="Q675">
        <v>1.97</v>
      </c>
    </row>
    <row r="676" spans="1:17" x14ac:dyDescent="0.25">
      <c r="A676">
        <v>765</v>
      </c>
      <c r="B676" t="s">
        <v>4925</v>
      </c>
      <c r="C676" t="s">
        <v>4926</v>
      </c>
      <c r="D676" t="s">
        <v>4693</v>
      </c>
      <c r="F676">
        <v>2002</v>
      </c>
      <c r="H676" t="s">
        <v>1878</v>
      </c>
      <c r="I676">
        <v>2</v>
      </c>
      <c r="K676" t="s">
        <v>14332</v>
      </c>
      <c r="L676" s="222">
        <v>9783774248427</v>
      </c>
      <c r="M676">
        <v>128</v>
      </c>
      <c r="O676" t="s">
        <v>4787</v>
      </c>
      <c r="P676">
        <v>277</v>
      </c>
      <c r="Q676">
        <v>2.19</v>
      </c>
    </row>
    <row r="677" spans="1:17" x14ac:dyDescent="0.25">
      <c r="A677">
        <v>1394</v>
      </c>
      <c r="B677" t="s">
        <v>4928</v>
      </c>
      <c r="C677" t="s">
        <v>4929</v>
      </c>
      <c r="D677" t="s">
        <v>4930</v>
      </c>
      <c r="F677">
        <v>2011</v>
      </c>
      <c r="H677" t="s">
        <v>1878</v>
      </c>
      <c r="I677">
        <v>2</v>
      </c>
      <c r="K677" t="s">
        <v>14332</v>
      </c>
      <c r="M677">
        <v>258</v>
      </c>
      <c r="O677" t="s">
        <v>4788</v>
      </c>
      <c r="P677">
        <v>252</v>
      </c>
      <c r="Q677">
        <v>2.62</v>
      </c>
    </row>
    <row r="678" spans="1:17" x14ac:dyDescent="0.25">
      <c r="A678">
        <v>1395</v>
      </c>
      <c r="B678" t="s">
        <v>4933</v>
      </c>
      <c r="C678" t="s">
        <v>4934</v>
      </c>
      <c r="D678" t="s">
        <v>2901</v>
      </c>
      <c r="E678" t="s">
        <v>1913</v>
      </c>
      <c r="F678">
        <v>2014</v>
      </c>
      <c r="H678" t="s">
        <v>2734</v>
      </c>
      <c r="I678">
        <v>2</v>
      </c>
      <c r="J678" t="s">
        <v>2237</v>
      </c>
      <c r="K678" t="s">
        <v>14332</v>
      </c>
      <c r="L678" s="222">
        <v>9783763266524</v>
      </c>
      <c r="M678">
        <v>370</v>
      </c>
      <c r="O678" t="s">
        <v>4790</v>
      </c>
      <c r="P678">
        <v>629</v>
      </c>
      <c r="Q678">
        <v>14.24</v>
      </c>
    </row>
    <row r="679" spans="1:17" x14ac:dyDescent="0.25">
      <c r="A679">
        <v>1231</v>
      </c>
      <c r="B679" t="s">
        <v>4936</v>
      </c>
      <c r="C679" t="s">
        <v>4937</v>
      </c>
      <c r="D679" t="s">
        <v>4938</v>
      </c>
      <c r="F679">
        <v>1987</v>
      </c>
      <c r="H679" t="s">
        <v>2734</v>
      </c>
      <c r="I679">
        <v>2</v>
      </c>
      <c r="K679" t="s">
        <v>14332</v>
      </c>
      <c r="L679" s="222">
        <v>9783762804635</v>
      </c>
      <c r="M679">
        <v>130</v>
      </c>
      <c r="O679" t="s">
        <v>4791</v>
      </c>
      <c r="P679">
        <v>228</v>
      </c>
      <c r="Q679">
        <v>3.58</v>
      </c>
    </row>
    <row r="680" spans="1:17" x14ac:dyDescent="0.25">
      <c r="A680">
        <v>689</v>
      </c>
      <c r="B680" t="s">
        <v>2470</v>
      </c>
      <c r="C680" t="s">
        <v>4990</v>
      </c>
      <c r="D680" t="s">
        <v>2054</v>
      </c>
      <c r="H680" t="s">
        <v>2734</v>
      </c>
      <c r="I680">
        <v>2</v>
      </c>
      <c r="K680" t="s">
        <v>14332</v>
      </c>
      <c r="L680" s="222">
        <v>4026411113319</v>
      </c>
      <c r="M680">
        <v>370</v>
      </c>
      <c r="O680" t="s">
        <v>4940</v>
      </c>
      <c r="P680">
        <v>427</v>
      </c>
      <c r="Q680">
        <v>1.97</v>
      </c>
    </row>
    <row r="681" spans="1:17" x14ac:dyDescent="0.25">
      <c r="A681">
        <v>689</v>
      </c>
      <c r="B681" t="s">
        <v>2470</v>
      </c>
      <c r="C681" t="s">
        <v>4992</v>
      </c>
      <c r="D681" t="s">
        <v>2054</v>
      </c>
      <c r="H681" t="s">
        <v>2734</v>
      </c>
      <c r="I681">
        <v>2</v>
      </c>
      <c r="K681" t="s">
        <v>14332</v>
      </c>
      <c r="L681" s="222">
        <v>4026411113326</v>
      </c>
      <c r="M681">
        <v>258</v>
      </c>
      <c r="O681" t="s">
        <v>4941</v>
      </c>
      <c r="P681">
        <v>322</v>
      </c>
      <c r="Q681">
        <v>3.58</v>
      </c>
    </row>
    <row r="682" spans="1:17" x14ac:dyDescent="0.25">
      <c r="A682">
        <v>689</v>
      </c>
      <c r="B682" t="s">
        <v>2470</v>
      </c>
      <c r="C682" t="s">
        <v>7209</v>
      </c>
      <c r="D682" t="s">
        <v>2054</v>
      </c>
      <c r="H682" t="s">
        <v>2734</v>
      </c>
      <c r="I682">
        <v>2</v>
      </c>
      <c r="K682" t="s">
        <v>14332</v>
      </c>
      <c r="L682" s="222">
        <v>4026411113333</v>
      </c>
      <c r="M682">
        <v>290</v>
      </c>
      <c r="O682" t="s">
        <v>4942</v>
      </c>
      <c r="P682">
        <v>350</v>
      </c>
      <c r="Q682">
        <v>4.4400000000000004</v>
      </c>
    </row>
    <row r="683" spans="1:17" x14ac:dyDescent="0.25">
      <c r="A683">
        <v>689</v>
      </c>
      <c r="B683" t="s">
        <v>2470</v>
      </c>
      <c r="C683" t="s">
        <v>7210</v>
      </c>
      <c r="D683" t="s">
        <v>2054</v>
      </c>
      <c r="H683" t="s">
        <v>2734</v>
      </c>
      <c r="I683">
        <v>2</v>
      </c>
      <c r="K683" t="s">
        <v>14332</v>
      </c>
      <c r="L683" s="222">
        <v>4026411113340</v>
      </c>
      <c r="M683">
        <v>306</v>
      </c>
      <c r="O683" t="s">
        <v>4943</v>
      </c>
      <c r="P683">
        <v>363</v>
      </c>
      <c r="Q683">
        <v>3.04</v>
      </c>
    </row>
    <row r="684" spans="1:17" x14ac:dyDescent="0.25">
      <c r="A684">
        <v>689</v>
      </c>
      <c r="B684" t="s">
        <v>2470</v>
      </c>
      <c r="C684" t="s">
        <v>7211</v>
      </c>
      <c r="D684" t="s">
        <v>2054</v>
      </c>
      <c r="H684" t="s">
        <v>2734</v>
      </c>
      <c r="I684">
        <v>2</v>
      </c>
      <c r="K684" t="s">
        <v>14332</v>
      </c>
      <c r="L684" s="222">
        <v>4026411113357</v>
      </c>
      <c r="M684">
        <v>434</v>
      </c>
      <c r="O684" t="s">
        <v>4944</v>
      </c>
      <c r="P684">
        <v>385</v>
      </c>
      <c r="Q684">
        <v>3.04</v>
      </c>
    </row>
    <row r="685" spans="1:17" x14ac:dyDescent="0.25">
      <c r="A685">
        <v>796</v>
      </c>
      <c r="B685" t="s">
        <v>4997</v>
      </c>
      <c r="C685" t="s">
        <v>4998</v>
      </c>
      <c r="D685" t="s">
        <v>1876</v>
      </c>
      <c r="F685">
        <v>2001</v>
      </c>
      <c r="H685" t="s">
        <v>1878</v>
      </c>
      <c r="I685">
        <v>2</v>
      </c>
      <c r="K685" t="s">
        <v>14332</v>
      </c>
      <c r="L685" s="222">
        <v>9783492233507</v>
      </c>
      <c r="M685">
        <v>480</v>
      </c>
      <c r="O685" t="s">
        <v>4945</v>
      </c>
      <c r="P685">
        <v>400</v>
      </c>
      <c r="Q685">
        <v>1.97</v>
      </c>
    </row>
    <row r="686" spans="1:17" x14ac:dyDescent="0.25">
      <c r="A686">
        <v>1809</v>
      </c>
      <c r="B686" t="s">
        <v>5000</v>
      </c>
      <c r="C686" t="s">
        <v>5001</v>
      </c>
      <c r="D686" t="s">
        <v>3116</v>
      </c>
      <c r="E686" t="s">
        <v>1877</v>
      </c>
      <c r="F686">
        <v>2010</v>
      </c>
      <c r="H686" t="s">
        <v>1878</v>
      </c>
      <c r="I686">
        <v>3</v>
      </c>
      <c r="K686" t="s">
        <v>14332</v>
      </c>
      <c r="L686" s="222">
        <v>9783401064437</v>
      </c>
      <c r="M686">
        <v>256</v>
      </c>
      <c r="O686" t="s">
        <v>4946</v>
      </c>
      <c r="P686">
        <v>390</v>
      </c>
      <c r="Q686">
        <v>2.5099999999999998</v>
      </c>
    </row>
    <row r="687" spans="1:17" x14ac:dyDescent="0.25">
      <c r="A687">
        <v>2522</v>
      </c>
      <c r="B687" t="s">
        <v>5003</v>
      </c>
      <c r="C687" t="s">
        <v>5004</v>
      </c>
      <c r="D687" t="s">
        <v>5005</v>
      </c>
      <c r="F687">
        <v>2006</v>
      </c>
      <c r="H687" t="s">
        <v>1878</v>
      </c>
      <c r="I687">
        <v>2</v>
      </c>
      <c r="K687" t="s">
        <v>14332</v>
      </c>
      <c r="M687">
        <v>560</v>
      </c>
      <c r="O687" t="s">
        <v>4947</v>
      </c>
      <c r="P687">
        <v>400</v>
      </c>
      <c r="Q687">
        <v>2.5099999999999998</v>
      </c>
    </row>
    <row r="688" spans="1:17" x14ac:dyDescent="0.25">
      <c r="A688">
        <v>2524</v>
      </c>
      <c r="B688" t="s">
        <v>5006</v>
      </c>
      <c r="C688" t="s">
        <v>5007</v>
      </c>
      <c r="D688" t="s">
        <v>1912</v>
      </c>
      <c r="F688">
        <v>2000</v>
      </c>
      <c r="H688" t="s">
        <v>1878</v>
      </c>
      <c r="I688">
        <v>3</v>
      </c>
      <c r="K688" t="s">
        <v>14332</v>
      </c>
      <c r="L688" s="222">
        <v>9783442443239</v>
      </c>
      <c r="M688">
        <v>256</v>
      </c>
      <c r="O688" t="s">
        <v>4948</v>
      </c>
      <c r="P688">
        <v>227</v>
      </c>
      <c r="Q688">
        <v>1.97</v>
      </c>
    </row>
    <row r="689" spans="1:17" x14ac:dyDescent="0.25">
      <c r="A689">
        <v>1386</v>
      </c>
      <c r="B689" t="s">
        <v>5009</v>
      </c>
      <c r="C689" t="s">
        <v>5010</v>
      </c>
      <c r="D689" t="s">
        <v>2257</v>
      </c>
      <c r="E689" t="s">
        <v>1921</v>
      </c>
      <c r="F689">
        <v>2010</v>
      </c>
      <c r="H689" t="s">
        <v>1878</v>
      </c>
      <c r="I689">
        <v>3</v>
      </c>
      <c r="K689" t="s">
        <v>14332</v>
      </c>
      <c r="L689" s="222">
        <v>9783426637395</v>
      </c>
      <c r="M689">
        <v>432</v>
      </c>
      <c r="O689" t="s">
        <v>4949</v>
      </c>
      <c r="P689">
        <v>285</v>
      </c>
      <c r="Q689">
        <v>2.5099999999999998</v>
      </c>
    </row>
    <row r="690" spans="1:17" x14ac:dyDescent="0.25">
      <c r="A690">
        <v>2851</v>
      </c>
      <c r="B690" t="s">
        <v>5012</v>
      </c>
      <c r="C690" t="s">
        <v>5013</v>
      </c>
      <c r="D690" t="s">
        <v>1912</v>
      </c>
      <c r="F690">
        <v>1988</v>
      </c>
      <c r="H690" t="s">
        <v>1878</v>
      </c>
      <c r="I690">
        <v>2</v>
      </c>
      <c r="J690" t="s">
        <v>3854</v>
      </c>
      <c r="K690" t="s">
        <v>14332</v>
      </c>
      <c r="L690" s="222">
        <v>9783442093625</v>
      </c>
      <c r="M690">
        <v>704</v>
      </c>
      <c r="O690" t="s">
        <v>4950</v>
      </c>
      <c r="P690">
        <v>478</v>
      </c>
      <c r="Q690">
        <v>10</v>
      </c>
    </row>
    <row r="691" spans="1:17" x14ac:dyDescent="0.25">
      <c r="A691">
        <v>1809</v>
      </c>
      <c r="C691" t="s">
        <v>5015</v>
      </c>
      <c r="D691" t="s">
        <v>2822</v>
      </c>
      <c r="F691">
        <v>2005</v>
      </c>
      <c r="H691" t="s">
        <v>1878</v>
      </c>
      <c r="I691">
        <v>1</v>
      </c>
      <c r="K691" t="s">
        <v>14332</v>
      </c>
      <c r="L691" s="222">
        <v>9783522177344</v>
      </c>
      <c r="M691">
        <v>176</v>
      </c>
      <c r="O691" t="s">
        <v>4951</v>
      </c>
      <c r="P691">
        <v>261</v>
      </c>
      <c r="Q691">
        <v>1.97</v>
      </c>
    </row>
    <row r="692" spans="1:17" x14ac:dyDescent="0.25">
      <c r="A692">
        <v>796</v>
      </c>
      <c r="B692" t="s">
        <v>5017</v>
      </c>
      <c r="C692" t="s">
        <v>5018</v>
      </c>
      <c r="D692" t="s">
        <v>1993</v>
      </c>
      <c r="E692" t="s">
        <v>1913</v>
      </c>
      <c r="F692">
        <v>2005</v>
      </c>
      <c r="H692" t="s">
        <v>1878</v>
      </c>
      <c r="I692">
        <v>3</v>
      </c>
      <c r="K692" t="s">
        <v>14332</v>
      </c>
      <c r="L692" s="222">
        <v>9783442362998</v>
      </c>
      <c r="M692">
        <v>448</v>
      </c>
      <c r="O692" t="s">
        <v>4952</v>
      </c>
      <c r="P692">
        <v>344</v>
      </c>
      <c r="Q692">
        <v>2.5099999999999998</v>
      </c>
    </row>
    <row r="693" spans="1:17" x14ac:dyDescent="0.25">
      <c r="A693">
        <v>1809</v>
      </c>
      <c r="B693" t="s">
        <v>5020</v>
      </c>
      <c r="C693" t="s">
        <v>5021</v>
      </c>
      <c r="D693" t="s">
        <v>2402</v>
      </c>
      <c r="F693">
        <v>1996</v>
      </c>
      <c r="H693" t="s">
        <v>2734</v>
      </c>
      <c r="I693">
        <v>2</v>
      </c>
      <c r="J693" t="s">
        <v>2237</v>
      </c>
      <c r="K693" t="s">
        <v>14332</v>
      </c>
      <c r="L693" s="222">
        <v>9783505104879</v>
      </c>
      <c r="M693">
        <v>382</v>
      </c>
      <c r="O693" t="s">
        <v>4953</v>
      </c>
      <c r="P693">
        <v>460</v>
      </c>
      <c r="Q693">
        <v>1.97</v>
      </c>
    </row>
    <row r="694" spans="1:17" x14ac:dyDescent="0.25">
      <c r="A694">
        <v>785</v>
      </c>
      <c r="B694" t="s">
        <v>5023</v>
      </c>
      <c r="C694" t="s">
        <v>5024</v>
      </c>
      <c r="D694" t="s">
        <v>4357</v>
      </c>
      <c r="E694" t="s">
        <v>2922</v>
      </c>
      <c r="F694">
        <v>2004</v>
      </c>
      <c r="H694" t="s">
        <v>1878</v>
      </c>
      <c r="I694">
        <v>2</v>
      </c>
      <c r="K694" t="s">
        <v>14332</v>
      </c>
      <c r="L694" s="222">
        <v>9783898851596</v>
      </c>
      <c r="M694">
        <v>176</v>
      </c>
      <c r="O694" t="s">
        <v>4954</v>
      </c>
      <c r="P694">
        <v>162</v>
      </c>
      <c r="Q694">
        <v>2.94</v>
      </c>
    </row>
    <row r="695" spans="1:17" x14ac:dyDescent="0.25">
      <c r="A695">
        <v>718</v>
      </c>
      <c r="B695" t="s">
        <v>5026</v>
      </c>
      <c r="C695" t="s">
        <v>5027</v>
      </c>
      <c r="D695" t="s">
        <v>2054</v>
      </c>
      <c r="F695">
        <v>2004</v>
      </c>
      <c r="H695" t="s">
        <v>2734</v>
      </c>
      <c r="I695">
        <v>1</v>
      </c>
      <c r="K695" t="s">
        <v>14332</v>
      </c>
      <c r="L695" s="222">
        <v>9783828916883</v>
      </c>
      <c r="M695">
        <v>130</v>
      </c>
      <c r="O695" t="s">
        <v>4955</v>
      </c>
      <c r="P695">
        <v>420</v>
      </c>
      <c r="Q695">
        <v>4.76</v>
      </c>
    </row>
    <row r="696" spans="1:17" x14ac:dyDescent="0.25">
      <c r="A696">
        <v>1984</v>
      </c>
      <c r="B696" t="s">
        <v>2793</v>
      </c>
      <c r="C696" t="s">
        <v>5029</v>
      </c>
      <c r="D696" t="s">
        <v>2054</v>
      </c>
      <c r="H696" t="s">
        <v>2734</v>
      </c>
      <c r="I696">
        <v>1</v>
      </c>
      <c r="K696" t="s">
        <v>14332</v>
      </c>
      <c r="L696" s="222">
        <v>4026411150970</v>
      </c>
      <c r="M696">
        <v>76</v>
      </c>
      <c r="O696" t="s">
        <v>4956</v>
      </c>
      <c r="P696">
        <v>236</v>
      </c>
      <c r="Q696">
        <v>3.37</v>
      </c>
    </row>
    <row r="697" spans="1:17" x14ac:dyDescent="0.25">
      <c r="A697">
        <v>690</v>
      </c>
      <c r="B697" t="s">
        <v>4593</v>
      </c>
      <c r="C697" t="s">
        <v>5031</v>
      </c>
      <c r="D697" t="s">
        <v>1979</v>
      </c>
      <c r="F697">
        <v>2003</v>
      </c>
      <c r="H697" t="s">
        <v>1878</v>
      </c>
      <c r="I697">
        <v>2</v>
      </c>
      <c r="K697" t="s">
        <v>14332</v>
      </c>
      <c r="L697" s="222">
        <v>9783473581917</v>
      </c>
      <c r="M697">
        <v>128</v>
      </c>
      <c r="O697" t="s">
        <v>4957</v>
      </c>
      <c r="P697">
        <v>140</v>
      </c>
      <c r="Q697">
        <v>2.5099999999999998</v>
      </c>
    </row>
    <row r="698" spans="1:17" x14ac:dyDescent="0.25">
      <c r="A698">
        <v>2547</v>
      </c>
      <c r="B698" t="s">
        <v>5033</v>
      </c>
      <c r="C698" t="s">
        <v>5034</v>
      </c>
      <c r="D698" t="s">
        <v>1988</v>
      </c>
      <c r="E698" t="s">
        <v>5035</v>
      </c>
      <c r="F698">
        <v>2003</v>
      </c>
      <c r="H698" t="s">
        <v>1878</v>
      </c>
      <c r="I698">
        <v>2</v>
      </c>
      <c r="J698" t="s">
        <v>5036</v>
      </c>
      <c r="K698" t="s">
        <v>14332</v>
      </c>
      <c r="L698" s="222">
        <v>9783423202329</v>
      </c>
      <c r="M698">
        <v>336</v>
      </c>
      <c r="O698" t="s">
        <v>4958</v>
      </c>
      <c r="P698">
        <v>243</v>
      </c>
      <c r="Q698">
        <v>1.97</v>
      </c>
    </row>
    <row r="699" spans="1:17" x14ac:dyDescent="0.25">
      <c r="A699">
        <v>796</v>
      </c>
      <c r="B699" t="s">
        <v>5038</v>
      </c>
      <c r="C699" t="s">
        <v>5039</v>
      </c>
      <c r="D699" t="s">
        <v>2257</v>
      </c>
      <c r="F699">
        <v>2006</v>
      </c>
      <c r="H699" t="s">
        <v>1878</v>
      </c>
      <c r="I699">
        <v>2</v>
      </c>
      <c r="J699" t="s">
        <v>3854</v>
      </c>
      <c r="K699" t="s">
        <v>14332</v>
      </c>
      <c r="L699" s="222">
        <v>9783426778784</v>
      </c>
      <c r="M699">
        <v>176</v>
      </c>
      <c r="O699" t="s">
        <v>4959</v>
      </c>
      <c r="P699">
        <v>142</v>
      </c>
      <c r="Q699">
        <v>1.97</v>
      </c>
    </row>
    <row r="700" spans="1:17" x14ac:dyDescent="0.25">
      <c r="A700">
        <v>1339</v>
      </c>
      <c r="B700" t="s">
        <v>5041</v>
      </c>
      <c r="C700" t="s">
        <v>5042</v>
      </c>
      <c r="F700">
        <v>2003</v>
      </c>
      <c r="H700" t="s">
        <v>1878</v>
      </c>
      <c r="I700">
        <v>1</v>
      </c>
      <c r="K700" t="s">
        <v>14332</v>
      </c>
      <c r="L700" s="222">
        <v>9783924145361</v>
      </c>
      <c r="M700">
        <v>160</v>
      </c>
      <c r="O700" t="s">
        <v>4960</v>
      </c>
      <c r="P700">
        <v>282</v>
      </c>
      <c r="Q700">
        <v>2.72</v>
      </c>
    </row>
    <row r="701" spans="1:17" x14ac:dyDescent="0.25">
      <c r="A701">
        <v>632</v>
      </c>
      <c r="B701" t="s">
        <v>5044</v>
      </c>
      <c r="C701" t="s">
        <v>5045</v>
      </c>
      <c r="D701" t="s">
        <v>2309</v>
      </c>
      <c r="F701">
        <v>2000</v>
      </c>
      <c r="H701" t="s">
        <v>1878</v>
      </c>
      <c r="I701">
        <v>2</v>
      </c>
      <c r="K701" t="s">
        <v>14332</v>
      </c>
      <c r="L701" s="222">
        <v>9783548251035</v>
      </c>
      <c r="M701">
        <v>480</v>
      </c>
      <c r="O701" t="s">
        <v>4961</v>
      </c>
      <c r="P701">
        <v>310</v>
      </c>
      <c r="Q701">
        <v>1.97</v>
      </c>
    </row>
    <row r="702" spans="1:17" x14ac:dyDescent="0.25">
      <c r="A702">
        <v>2522</v>
      </c>
      <c r="B702" t="s">
        <v>5047</v>
      </c>
      <c r="C702" t="s">
        <v>5048</v>
      </c>
      <c r="D702" t="s">
        <v>2209</v>
      </c>
      <c r="F702">
        <v>1997</v>
      </c>
      <c r="H702" t="s">
        <v>1878</v>
      </c>
      <c r="I702">
        <v>2</v>
      </c>
      <c r="K702" t="s">
        <v>14332</v>
      </c>
      <c r="L702" s="222">
        <v>9783453125292</v>
      </c>
      <c r="M702">
        <v>608</v>
      </c>
      <c r="O702" t="s">
        <v>4962</v>
      </c>
      <c r="P702">
        <v>346</v>
      </c>
      <c r="Q702">
        <v>2.62</v>
      </c>
    </row>
    <row r="703" spans="1:17" x14ac:dyDescent="0.25">
      <c r="A703">
        <v>632</v>
      </c>
      <c r="B703" t="s">
        <v>2870</v>
      </c>
      <c r="C703" t="s">
        <v>5050</v>
      </c>
      <c r="D703" t="s">
        <v>2609</v>
      </c>
      <c r="F703">
        <v>1988</v>
      </c>
      <c r="H703" t="s">
        <v>2734</v>
      </c>
      <c r="I703">
        <v>2</v>
      </c>
      <c r="K703" t="s">
        <v>14332</v>
      </c>
      <c r="M703">
        <v>642</v>
      </c>
      <c r="O703" t="s">
        <v>4963</v>
      </c>
      <c r="P703">
        <v>753</v>
      </c>
      <c r="Q703">
        <v>2.4700000000000002</v>
      </c>
    </row>
    <row r="704" spans="1:17" x14ac:dyDescent="0.25">
      <c r="A704">
        <v>1386</v>
      </c>
      <c r="B704" t="s">
        <v>5051</v>
      </c>
      <c r="C704" t="s">
        <v>5052</v>
      </c>
      <c r="D704" t="s">
        <v>4517</v>
      </c>
      <c r="E704" t="s">
        <v>1913</v>
      </c>
      <c r="F704">
        <v>2014</v>
      </c>
      <c r="H704" t="s">
        <v>1878</v>
      </c>
      <c r="I704">
        <v>1</v>
      </c>
      <c r="K704" t="s">
        <v>14332</v>
      </c>
      <c r="L704" s="222">
        <v>9783746629759</v>
      </c>
      <c r="M704">
        <v>208</v>
      </c>
      <c r="O704" t="s">
        <v>4964</v>
      </c>
      <c r="P704">
        <v>176</v>
      </c>
      <c r="Q704">
        <v>2.94</v>
      </c>
    </row>
    <row r="705" spans="1:17" x14ac:dyDescent="0.25">
      <c r="A705">
        <v>8</v>
      </c>
      <c r="B705" t="s">
        <v>5054</v>
      </c>
      <c r="C705" t="s">
        <v>5055</v>
      </c>
      <c r="D705" t="s">
        <v>2901</v>
      </c>
      <c r="H705" t="s">
        <v>2734</v>
      </c>
      <c r="I705">
        <v>2</v>
      </c>
      <c r="J705" t="s">
        <v>2237</v>
      </c>
      <c r="K705" t="s">
        <v>14332</v>
      </c>
      <c r="L705" s="222">
        <v>9783763236169</v>
      </c>
      <c r="M705">
        <v>282</v>
      </c>
      <c r="O705" t="s">
        <v>4965</v>
      </c>
      <c r="P705">
        <v>496</v>
      </c>
      <c r="Q705">
        <v>4.08</v>
      </c>
    </row>
    <row r="706" spans="1:17" x14ac:dyDescent="0.25">
      <c r="A706">
        <v>690</v>
      </c>
      <c r="B706" t="s">
        <v>5057</v>
      </c>
      <c r="C706" t="s">
        <v>5058</v>
      </c>
      <c r="D706" t="s">
        <v>3022</v>
      </c>
      <c r="F706">
        <v>1997</v>
      </c>
      <c r="H706" t="s">
        <v>2734</v>
      </c>
      <c r="I706">
        <v>2</v>
      </c>
      <c r="J706" t="s">
        <v>2237</v>
      </c>
      <c r="K706" t="s">
        <v>14332</v>
      </c>
      <c r="L706" s="222">
        <v>9783800024858</v>
      </c>
      <c r="M706">
        <v>218</v>
      </c>
      <c r="O706" t="s">
        <v>4966</v>
      </c>
      <c r="P706">
        <v>434</v>
      </c>
      <c r="Q706">
        <v>3.69</v>
      </c>
    </row>
    <row r="707" spans="1:17" x14ac:dyDescent="0.25">
      <c r="A707">
        <v>2851</v>
      </c>
      <c r="B707" t="s">
        <v>5060</v>
      </c>
      <c r="C707" t="s">
        <v>5061</v>
      </c>
      <c r="D707" t="s">
        <v>5005</v>
      </c>
      <c r="E707" t="s">
        <v>2032</v>
      </c>
      <c r="F707">
        <v>1998</v>
      </c>
      <c r="H707" t="s">
        <v>2734</v>
      </c>
      <c r="I707">
        <v>2</v>
      </c>
      <c r="J707" t="s">
        <v>2237</v>
      </c>
      <c r="K707" t="s">
        <v>14332</v>
      </c>
      <c r="L707" s="222">
        <v>9783570002650</v>
      </c>
      <c r="M707">
        <v>418</v>
      </c>
      <c r="O707" t="s">
        <v>4967</v>
      </c>
      <c r="P707">
        <v>648</v>
      </c>
      <c r="Q707">
        <v>2.69</v>
      </c>
    </row>
    <row r="708" spans="1:17" x14ac:dyDescent="0.25">
      <c r="A708">
        <v>1386</v>
      </c>
      <c r="B708" t="s">
        <v>4638</v>
      </c>
      <c r="C708" t="s">
        <v>5063</v>
      </c>
      <c r="D708" t="s">
        <v>2926</v>
      </c>
      <c r="E708" t="s">
        <v>2518</v>
      </c>
      <c r="F708">
        <v>2010</v>
      </c>
      <c r="H708" t="s">
        <v>1878</v>
      </c>
      <c r="I708">
        <v>2</v>
      </c>
      <c r="K708" t="s">
        <v>14332</v>
      </c>
      <c r="L708" s="222">
        <v>9783502110378</v>
      </c>
      <c r="M708">
        <v>320</v>
      </c>
      <c r="O708" t="s">
        <v>4968</v>
      </c>
      <c r="P708">
        <v>455</v>
      </c>
      <c r="Q708">
        <v>1.97</v>
      </c>
    </row>
    <row r="709" spans="1:17" x14ac:dyDescent="0.25">
      <c r="A709">
        <v>1231</v>
      </c>
      <c r="B709" t="s">
        <v>5065</v>
      </c>
      <c r="C709" t="s">
        <v>5066</v>
      </c>
      <c r="D709" t="s">
        <v>2244</v>
      </c>
      <c r="E709" t="s">
        <v>1877</v>
      </c>
      <c r="F709">
        <v>2008</v>
      </c>
      <c r="H709" t="s">
        <v>2734</v>
      </c>
      <c r="I709">
        <v>2</v>
      </c>
      <c r="J709" t="s">
        <v>2237</v>
      </c>
      <c r="K709" t="s">
        <v>14332</v>
      </c>
      <c r="L709" s="222">
        <v>9783810501912</v>
      </c>
      <c r="M709">
        <v>322</v>
      </c>
      <c r="O709" t="s">
        <v>4969</v>
      </c>
      <c r="P709">
        <v>482</v>
      </c>
      <c r="Q709">
        <v>2.4</v>
      </c>
    </row>
    <row r="710" spans="1:17" x14ac:dyDescent="0.25">
      <c r="A710">
        <v>631</v>
      </c>
      <c r="B710" t="s">
        <v>5068</v>
      </c>
      <c r="C710" t="s">
        <v>5069</v>
      </c>
      <c r="D710" t="s">
        <v>1095</v>
      </c>
      <c r="E710" t="s">
        <v>2518</v>
      </c>
      <c r="F710">
        <v>2000</v>
      </c>
      <c r="H710" t="s">
        <v>2734</v>
      </c>
      <c r="I710">
        <v>2</v>
      </c>
      <c r="J710" t="s">
        <v>2237</v>
      </c>
      <c r="K710" t="s">
        <v>14332</v>
      </c>
      <c r="L710" s="222">
        <v>9783827002778</v>
      </c>
      <c r="M710">
        <v>370</v>
      </c>
      <c r="O710" t="s">
        <v>4970</v>
      </c>
      <c r="P710">
        <v>590</v>
      </c>
      <c r="Q710">
        <v>2.4700000000000002</v>
      </c>
    </row>
    <row r="711" spans="1:17" x14ac:dyDescent="0.25">
      <c r="A711">
        <v>692</v>
      </c>
      <c r="B711" t="s">
        <v>5071</v>
      </c>
      <c r="C711" t="s">
        <v>5069</v>
      </c>
      <c r="D711" t="s">
        <v>2609</v>
      </c>
      <c r="F711">
        <v>1991</v>
      </c>
      <c r="H711" t="s">
        <v>2734</v>
      </c>
      <c r="I711">
        <v>2</v>
      </c>
      <c r="J711" t="s">
        <v>2237</v>
      </c>
      <c r="K711" t="s">
        <v>14332</v>
      </c>
      <c r="L711" s="222">
        <v>9783100489043</v>
      </c>
      <c r="M711">
        <v>330</v>
      </c>
      <c r="O711" t="s">
        <v>4971</v>
      </c>
      <c r="P711">
        <v>405</v>
      </c>
      <c r="Q711">
        <v>2.5099999999999998</v>
      </c>
    </row>
    <row r="712" spans="1:17" x14ac:dyDescent="0.25">
      <c r="A712">
        <v>1386</v>
      </c>
      <c r="B712" t="s">
        <v>5075</v>
      </c>
      <c r="C712" t="s">
        <v>5076</v>
      </c>
      <c r="D712" t="s">
        <v>1912</v>
      </c>
      <c r="E712" t="s">
        <v>2375</v>
      </c>
      <c r="F712">
        <v>2003</v>
      </c>
      <c r="H712" t="s">
        <v>1878</v>
      </c>
      <c r="I712">
        <v>2</v>
      </c>
      <c r="K712" t="s">
        <v>14332</v>
      </c>
      <c r="L712" s="222">
        <v>9783442453306</v>
      </c>
      <c r="M712">
        <v>288</v>
      </c>
      <c r="O712" t="s">
        <v>4973</v>
      </c>
      <c r="P712">
        <v>256</v>
      </c>
      <c r="Q712">
        <v>1.72</v>
      </c>
    </row>
    <row r="713" spans="1:17" x14ac:dyDescent="0.25">
      <c r="A713">
        <v>2522</v>
      </c>
      <c r="B713" t="s">
        <v>5078</v>
      </c>
      <c r="C713" t="s">
        <v>5079</v>
      </c>
      <c r="D713" t="s">
        <v>1912</v>
      </c>
      <c r="F713">
        <v>1982</v>
      </c>
      <c r="H713" t="s">
        <v>1878</v>
      </c>
      <c r="I713">
        <v>2</v>
      </c>
      <c r="K713" t="s">
        <v>14332</v>
      </c>
      <c r="L713" s="222">
        <v>9783442066445</v>
      </c>
      <c r="M713">
        <v>448</v>
      </c>
      <c r="O713" t="s">
        <v>4974</v>
      </c>
      <c r="P713">
        <v>260</v>
      </c>
      <c r="Q713">
        <v>1.97</v>
      </c>
    </row>
    <row r="714" spans="1:17" x14ac:dyDescent="0.25">
      <c r="A714">
        <v>1386</v>
      </c>
      <c r="B714" t="s">
        <v>5081</v>
      </c>
      <c r="C714" t="s">
        <v>5082</v>
      </c>
      <c r="D714" t="s">
        <v>1993</v>
      </c>
      <c r="E714" t="s">
        <v>1921</v>
      </c>
      <c r="F714">
        <v>2006</v>
      </c>
      <c r="H714" t="s">
        <v>1878</v>
      </c>
      <c r="I714">
        <v>2</v>
      </c>
      <c r="J714" t="s">
        <v>3854</v>
      </c>
      <c r="K714" t="s">
        <v>14332</v>
      </c>
      <c r="L714" s="222">
        <v>9783442364893</v>
      </c>
      <c r="M714">
        <v>256</v>
      </c>
      <c r="O714" t="s">
        <v>4975</v>
      </c>
      <c r="P714">
        <v>202</v>
      </c>
      <c r="Q714">
        <v>1.97</v>
      </c>
    </row>
    <row r="715" spans="1:17" x14ac:dyDescent="0.25">
      <c r="A715">
        <v>1386</v>
      </c>
      <c r="B715" t="s">
        <v>4827</v>
      </c>
      <c r="C715" t="s">
        <v>4828</v>
      </c>
      <c r="D715" t="s">
        <v>1876</v>
      </c>
      <c r="E715" t="s">
        <v>4472</v>
      </c>
      <c r="F715">
        <v>1996</v>
      </c>
      <c r="H715" t="s">
        <v>1878</v>
      </c>
      <c r="I715">
        <v>3</v>
      </c>
      <c r="K715" t="s">
        <v>14332</v>
      </c>
      <c r="L715" s="222">
        <v>9783492121521</v>
      </c>
      <c r="M715">
        <v>320</v>
      </c>
      <c r="O715" t="s">
        <v>4976</v>
      </c>
      <c r="P715">
        <v>270</v>
      </c>
      <c r="Q715">
        <v>1.72</v>
      </c>
    </row>
    <row r="716" spans="1:17" x14ac:dyDescent="0.25">
      <c r="A716">
        <v>1386</v>
      </c>
      <c r="B716" t="s">
        <v>5085</v>
      </c>
      <c r="C716" t="s">
        <v>5086</v>
      </c>
      <c r="D716" t="s">
        <v>2971</v>
      </c>
      <c r="E716" t="s">
        <v>1913</v>
      </c>
      <c r="F716">
        <v>2009</v>
      </c>
      <c r="H716" t="s">
        <v>2734</v>
      </c>
      <c r="I716">
        <v>1</v>
      </c>
      <c r="K716" t="s">
        <v>14332</v>
      </c>
      <c r="L716" s="222">
        <v>9783821865027</v>
      </c>
      <c r="M716">
        <v>176</v>
      </c>
      <c r="O716" t="s">
        <v>4977</v>
      </c>
      <c r="P716">
        <v>258</v>
      </c>
      <c r="Q716">
        <v>3.04</v>
      </c>
    </row>
    <row r="717" spans="1:17" x14ac:dyDescent="0.25">
      <c r="A717">
        <v>844</v>
      </c>
      <c r="B717" t="s">
        <v>5088</v>
      </c>
      <c r="C717" t="s">
        <v>5089</v>
      </c>
      <c r="D717" t="s">
        <v>3057</v>
      </c>
      <c r="F717">
        <v>2004</v>
      </c>
      <c r="H717" t="s">
        <v>2734</v>
      </c>
      <c r="I717">
        <v>1</v>
      </c>
      <c r="K717" t="s">
        <v>14332</v>
      </c>
      <c r="L717" s="222">
        <v>9783440098905</v>
      </c>
      <c r="M717">
        <v>66</v>
      </c>
      <c r="O717" t="s">
        <v>4978</v>
      </c>
      <c r="P717">
        <v>289</v>
      </c>
      <c r="Q717">
        <v>2.72</v>
      </c>
    </row>
    <row r="718" spans="1:17" x14ac:dyDescent="0.25">
      <c r="A718">
        <v>651</v>
      </c>
      <c r="B718" t="s">
        <v>3497</v>
      </c>
      <c r="C718" t="s">
        <v>5091</v>
      </c>
      <c r="D718" t="s">
        <v>2117</v>
      </c>
      <c r="E718" t="s">
        <v>1913</v>
      </c>
      <c r="F718">
        <v>1999</v>
      </c>
      <c r="H718" t="s">
        <v>1878</v>
      </c>
      <c r="I718">
        <v>1</v>
      </c>
      <c r="K718" t="s">
        <v>14332</v>
      </c>
      <c r="L718" s="222">
        <v>9783772424465</v>
      </c>
      <c r="M718">
        <v>30</v>
      </c>
      <c r="O718" t="s">
        <v>4979</v>
      </c>
      <c r="P718">
        <v>100</v>
      </c>
      <c r="Q718">
        <v>1.97</v>
      </c>
    </row>
    <row r="719" spans="1:17" x14ac:dyDescent="0.25">
      <c r="A719">
        <v>323</v>
      </c>
      <c r="B719" t="s">
        <v>5093</v>
      </c>
      <c r="C719" t="s">
        <v>5094</v>
      </c>
      <c r="D719" t="s">
        <v>5095</v>
      </c>
      <c r="F719">
        <v>1993</v>
      </c>
      <c r="H719" t="s">
        <v>2734</v>
      </c>
      <c r="I719">
        <v>2</v>
      </c>
      <c r="J719" t="s">
        <v>2237</v>
      </c>
      <c r="K719" t="s">
        <v>14332</v>
      </c>
      <c r="L719" s="222">
        <v>9783860070659</v>
      </c>
      <c r="M719">
        <v>130</v>
      </c>
      <c r="O719" t="s">
        <v>4980</v>
      </c>
      <c r="P719">
        <v>649</v>
      </c>
      <c r="Q719">
        <v>5.47</v>
      </c>
    </row>
    <row r="720" spans="1:17" x14ac:dyDescent="0.25">
      <c r="A720">
        <v>1282</v>
      </c>
      <c r="B720" t="s">
        <v>5097</v>
      </c>
      <c r="C720" t="s">
        <v>5098</v>
      </c>
      <c r="D720" t="s">
        <v>5099</v>
      </c>
      <c r="F720">
        <v>1987</v>
      </c>
      <c r="H720" t="s">
        <v>1878</v>
      </c>
      <c r="I720">
        <v>2</v>
      </c>
      <c r="K720" t="s">
        <v>14332</v>
      </c>
      <c r="L720" s="222">
        <v>9783822800454</v>
      </c>
      <c r="M720">
        <v>96</v>
      </c>
      <c r="O720" t="s">
        <v>4981</v>
      </c>
      <c r="P720">
        <v>479</v>
      </c>
      <c r="Q720">
        <v>2.4</v>
      </c>
    </row>
    <row r="721" spans="1:17" x14ac:dyDescent="0.25">
      <c r="A721">
        <v>1282</v>
      </c>
      <c r="B721" t="s">
        <v>5101</v>
      </c>
      <c r="C721" t="s">
        <v>5102</v>
      </c>
      <c r="D721" t="s">
        <v>5099</v>
      </c>
      <c r="F721">
        <v>1986</v>
      </c>
      <c r="H721" t="s">
        <v>1878</v>
      </c>
      <c r="I721">
        <v>3</v>
      </c>
      <c r="K721" t="s">
        <v>14332</v>
      </c>
      <c r="L721" s="222">
        <v>9783822800256</v>
      </c>
      <c r="M721">
        <v>96</v>
      </c>
      <c r="O721" t="s">
        <v>4982</v>
      </c>
      <c r="P721">
        <v>500</v>
      </c>
      <c r="Q721">
        <v>3.01</v>
      </c>
    </row>
    <row r="722" spans="1:17" x14ac:dyDescent="0.25">
      <c r="A722">
        <v>625</v>
      </c>
      <c r="B722" t="s">
        <v>5104</v>
      </c>
      <c r="C722" t="s">
        <v>5105</v>
      </c>
      <c r="D722" t="s">
        <v>5106</v>
      </c>
      <c r="F722">
        <v>1986</v>
      </c>
      <c r="H722" t="s">
        <v>2734</v>
      </c>
      <c r="I722">
        <v>2</v>
      </c>
      <c r="J722" t="s">
        <v>2237</v>
      </c>
      <c r="K722" t="s">
        <v>14332</v>
      </c>
      <c r="L722" s="222">
        <v>9783881992855</v>
      </c>
      <c r="O722" t="s">
        <v>4983</v>
      </c>
      <c r="P722">
        <v>342</v>
      </c>
      <c r="Q722">
        <v>2.08</v>
      </c>
    </row>
    <row r="723" spans="1:17" x14ac:dyDescent="0.25">
      <c r="A723">
        <v>846</v>
      </c>
      <c r="B723" t="s">
        <v>5108</v>
      </c>
      <c r="C723" t="s">
        <v>5109</v>
      </c>
      <c r="D723" t="s">
        <v>2036</v>
      </c>
      <c r="F723">
        <v>1999</v>
      </c>
      <c r="H723" t="s">
        <v>2734</v>
      </c>
      <c r="I723">
        <v>2</v>
      </c>
      <c r="K723" t="s">
        <v>14332</v>
      </c>
      <c r="L723" s="222">
        <v>9783828953666</v>
      </c>
      <c r="M723">
        <v>162</v>
      </c>
      <c r="O723" t="s">
        <v>4984</v>
      </c>
      <c r="P723">
        <v>814</v>
      </c>
      <c r="Q723">
        <v>4.08</v>
      </c>
    </row>
    <row r="724" spans="1:17" x14ac:dyDescent="0.25">
      <c r="A724">
        <v>2699</v>
      </c>
      <c r="C724" t="s">
        <v>5111</v>
      </c>
      <c r="H724" t="s">
        <v>5112</v>
      </c>
      <c r="I724">
        <v>2</v>
      </c>
      <c r="J724" t="s">
        <v>2237</v>
      </c>
      <c r="K724" t="s">
        <v>14332</v>
      </c>
      <c r="L724" s="222">
        <v>4020833053215</v>
      </c>
      <c r="M724">
        <v>197</v>
      </c>
      <c r="O724" t="s">
        <v>4985</v>
      </c>
      <c r="P724">
        <v>807</v>
      </c>
      <c r="Q724">
        <v>8.0399999999999991</v>
      </c>
    </row>
    <row r="725" spans="1:17" x14ac:dyDescent="0.25">
      <c r="A725">
        <v>691</v>
      </c>
      <c r="C725" t="s">
        <v>5114</v>
      </c>
      <c r="D725" t="s">
        <v>5115</v>
      </c>
      <c r="F725">
        <v>1993</v>
      </c>
      <c r="H725" t="s">
        <v>2734</v>
      </c>
      <c r="I725">
        <v>2</v>
      </c>
      <c r="K725" t="s">
        <v>14332</v>
      </c>
      <c r="L725" s="222">
        <v>9783812232500</v>
      </c>
      <c r="M725">
        <v>86</v>
      </c>
      <c r="O725" t="s">
        <v>4986</v>
      </c>
      <c r="P725">
        <v>488</v>
      </c>
      <c r="Q725">
        <v>2.15</v>
      </c>
    </row>
    <row r="726" spans="1:17" x14ac:dyDescent="0.25">
      <c r="A726">
        <v>1246</v>
      </c>
      <c r="B726" t="s">
        <v>5118</v>
      </c>
      <c r="C726" t="s">
        <v>5117</v>
      </c>
      <c r="H726" t="s">
        <v>5119</v>
      </c>
      <c r="I726">
        <v>2</v>
      </c>
      <c r="J726" t="s">
        <v>2237</v>
      </c>
      <c r="K726" t="s">
        <v>14332</v>
      </c>
      <c r="L726" s="222">
        <v>4395121709809</v>
      </c>
      <c r="M726">
        <v>58</v>
      </c>
      <c r="O726" t="s">
        <v>4987</v>
      </c>
      <c r="P726">
        <v>269</v>
      </c>
      <c r="Q726">
        <v>3.37</v>
      </c>
    </row>
    <row r="727" spans="1:17" x14ac:dyDescent="0.25">
      <c r="A727">
        <v>691</v>
      </c>
      <c r="B727" t="s">
        <v>5121</v>
      </c>
      <c r="C727" t="s">
        <v>5122</v>
      </c>
      <c r="D727" t="s">
        <v>5123</v>
      </c>
      <c r="H727" t="s">
        <v>2734</v>
      </c>
      <c r="I727">
        <v>2</v>
      </c>
      <c r="J727" t="s">
        <v>2237</v>
      </c>
      <c r="K727" t="s">
        <v>14332</v>
      </c>
      <c r="L727" s="222">
        <v>9783773556233</v>
      </c>
      <c r="M727">
        <v>62</v>
      </c>
      <c r="O727" t="s">
        <v>4988</v>
      </c>
      <c r="P727">
        <v>495</v>
      </c>
      <c r="Q727">
        <v>3.33</v>
      </c>
    </row>
    <row r="728" spans="1:17" x14ac:dyDescent="0.25">
      <c r="A728">
        <v>2420</v>
      </c>
      <c r="B728" t="s">
        <v>5125</v>
      </c>
      <c r="C728" t="s">
        <v>5126</v>
      </c>
      <c r="D728" t="s">
        <v>3509</v>
      </c>
      <c r="E728" t="s">
        <v>1877</v>
      </c>
      <c r="F728">
        <v>1996</v>
      </c>
      <c r="H728" t="s">
        <v>2734</v>
      </c>
      <c r="I728">
        <v>1</v>
      </c>
      <c r="K728" t="s">
        <v>14332</v>
      </c>
      <c r="L728" s="222">
        <v>9783490146120</v>
      </c>
      <c r="M728">
        <v>162</v>
      </c>
      <c r="O728" t="s">
        <v>4989</v>
      </c>
      <c r="P728">
        <v>537</v>
      </c>
      <c r="Q728">
        <v>27.08</v>
      </c>
    </row>
    <row r="729" spans="1:17" x14ac:dyDescent="0.25">
      <c r="A729">
        <v>844</v>
      </c>
      <c r="B729" t="s">
        <v>5696</v>
      </c>
      <c r="C729" t="s">
        <v>5697</v>
      </c>
      <c r="D729" t="s">
        <v>5115</v>
      </c>
      <c r="F729">
        <v>1992</v>
      </c>
      <c r="H729" t="s">
        <v>2734</v>
      </c>
      <c r="I729">
        <v>2</v>
      </c>
      <c r="K729" t="s">
        <v>14332</v>
      </c>
      <c r="L729" s="222">
        <v>9783812232173</v>
      </c>
      <c r="M729">
        <v>102</v>
      </c>
      <c r="O729" t="s">
        <v>5128</v>
      </c>
      <c r="P729">
        <v>606</v>
      </c>
      <c r="Q729">
        <v>2.37</v>
      </c>
    </row>
    <row r="730" spans="1:17" x14ac:dyDescent="0.25">
      <c r="A730">
        <v>323</v>
      </c>
      <c r="B730" t="s">
        <v>5699</v>
      </c>
      <c r="C730" t="s">
        <v>5700</v>
      </c>
      <c r="D730" t="s">
        <v>5701</v>
      </c>
      <c r="E730" t="s">
        <v>2032</v>
      </c>
      <c r="F730">
        <v>1989</v>
      </c>
      <c r="H730" t="s">
        <v>2734</v>
      </c>
      <c r="I730">
        <v>1</v>
      </c>
      <c r="K730" t="s">
        <v>14332</v>
      </c>
      <c r="L730" s="222">
        <v>9783527154227</v>
      </c>
      <c r="M730">
        <v>368</v>
      </c>
      <c r="O730" t="s">
        <v>5129</v>
      </c>
      <c r="P730">
        <v>928</v>
      </c>
      <c r="Q730">
        <v>3.76</v>
      </c>
    </row>
    <row r="731" spans="1:17" x14ac:dyDescent="0.25">
      <c r="A731">
        <v>323</v>
      </c>
      <c r="B731" t="s">
        <v>5703</v>
      </c>
      <c r="C731" t="s">
        <v>5704</v>
      </c>
      <c r="D731" t="s">
        <v>5705</v>
      </c>
      <c r="F731">
        <v>1984</v>
      </c>
      <c r="H731" t="s">
        <v>2734</v>
      </c>
      <c r="I731">
        <v>2</v>
      </c>
      <c r="K731" t="s">
        <v>14339</v>
      </c>
      <c r="O731" t="s">
        <v>5130</v>
      </c>
      <c r="P731">
        <v>515</v>
      </c>
      <c r="Q731">
        <v>6.22</v>
      </c>
    </row>
    <row r="732" spans="1:17" x14ac:dyDescent="0.25">
      <c r="A732">
        <v>323</v>
      </c>
      <c r="B732" t="s">
        <v>5706</v>
      </c>
      <c r="C732" t="s">
        <v>5707</v>
      </c>
      <c r="D732" t="s">
        <v>5708</v>
      </c>
      <c r="F732">
        <v>1996</v>
      </c>
      <c r="H732" t="s">
        <v>2734</v>
      </c>
      <c r="I732">
        <v>1</v>
      </c>
      <c r="K732" t="s">
        <v>14332</v>
      </c>
      <c r="L732" s="222">
        <v>9783870706418</v>
      </c>
      <c r="M732">
        <v>402</v>
      </c>
      <c r="O732" t="s">
        <v>5131</v>
      </c>
      <c r="P732">
        <v>1626</v>
      </c>
      <c r="Q732">
        <v>5.42</v>
      </c>
    </row>
    <row r="733" spans="1:17" x14ac:dyDescent="0.25">
      <c r="A733">
        <v>844</v>
      </c>
      <c r="B733" t="s">
        <v>5710</v>
      </c>
      <c r="C733" t="s">
        <v>5711</v>
      </c>
      <c r="D733" t="s">
        <v>2679</v>
      </c>
      <c r="F733">
        <v>2005</v>
      </c>
      <c r="H733" t="s">
        <v>2734</v>
      </c>
      <c r="I733">
        <v>1</v>
      </c>
      <c r="K733" t="s">
        <v>14332</v>
      </c>
      <c r="M733">
        <v>130</v>
      </c>
      <c r="O733" t="s">
        <v>5132</v>
      </c>
      <c r="P733">
        <v>932</v>
      </c>
      <c r="Q733">
        <v>6.75</v>
      </c>
    </row>
    <row r="734" spans="1:17" x14ac:dyDescent="0.25">
      <c r="A734">
        <v>593</v>
      </c>
      <c r="B734" t="s">
        <v>5712</v>
      </c>
      <c r="C734" t="s">
        <v>5713</v>
      </c>
      <c r="D734" t="s">
        <v>2041</v>
      </c>
      <c r="H734" t="s">
        <v>2734</v>
      </c>
      <c r="I734">
        <v>1</v>
      </c>
      <c r="K734" t="s">
        <v>14332</v>
      </c>
      <c r="L734" s="222">
        <v>9783898363723</v>
      </c>
      <c r="M734">
        <v>194</v>
      </c>
      <c r="O734" t="s">
        <v>5133</v>
      </c>
      <c r="P734">
        <v>1157</v>
      </c>
      <c r="Q734">
        <v>5.85</v>
      </c>
    </row>
    <row r="735" spans="1:17" x14ac:dyDescent="0.25">
      <c r="A735">
        <v>703</v>
      </c>
      <c r="C735" t="s">
        <v>5715</v>
      </c>
      <c r="D735" t="s">
        <v>4930</v>
      </c>
      <c r="F735">
        <v>2012</v>
      </c>
      <c r="H735" t="s">
        <v>2734</v>
      </c>
      <c r="I735">
        <v>2</v>
      </c>
      <c r="J735" t="s">
        <v>2237</v>
      </c>
      <c r="K735" t="s">
        <v>14332</v>
      </c>
      <c r="M735">
        <v>130</v>
      </c>
      <c r="O735" t="s">
        <v>5134</v>
      </c>
      <c r="P735">
        <v>959</v>
      </c>
      <c r="Q735">
        <v>3.01</v>
      </c>
    </row>
    <row r="736" spans="1:17" x14ac:dyDescent="0.25">
      <c r="A736">
        <v>1302</v>
      </c>
      <c r="C736" t="s">
        <v>5716</v>
      </c>
      <c r="D736" t="s">
        <v>1927</v>
      </c>
      <c r="F736">
        <v>2004</v>
      </c>
      <c r="H736" t="s">
        <v>2734</v>
      </c>
      <c r="I736">
        <v>2</v>
      </c>
      <c r="J736" t="s">
        <v>2237</v>
      </c>
      <c r="K736" t="s">
        <v>14332</v>
      </c>
      <c r="L736" s="222">
        <v>9781405437684</v>
      </c>
      <c r="M736">
        <v>94</v>
      </c>
      <c r="O736" t="s">
        <v>5135</v>
      </c>
      <c r="P736">
        <v>620</v>
      </c>
      <c r="Q736">
        <v>3.22</v>
      </c>
    </row>
    <row r="737" spans="1:17" x14ac:dyDescent="0.25">
      <c r="A737">
        <v>816</v>
      </c>
      <c r="B737" t="s">
        <v>5718</v>
      </c>
      <c r="C737" t="s">
        <v>5719</v>
      </c>
      <c r="D737" t="s">
        <v>5720</v>
      </c>
      <c r="F737">
        <v>2000</v>
      </c>
      <c r="H737" t="s">
        <v>2734</v>
      </c>
      <c r="I737">
        <v>1</v>
      </c>
      <c r="K737" t="s">
        <v>14332</v>
      </c>
      <c r="M737">
        <v>258</v>
      </c>
      <c r="O737" t="s">
        <v>5136</v>
      </c>
      <c r="P737">
        <v>1350</v>
      </c>
      <c r="Q737">
        <v>6.06</v>
      </c>
    </row>
    <row r="738" spans="1:17" x14ac:dyDescent="0.25">
      <c r="A738">
        <v>718</v>
      </c>
      <c r="B738" t="s">
        <v>5722</v>
      </c>
      <c r="C738" t="s">
        <v>5721</v>
      </c>
      <c r="D738" t="s">
        <v>5723</v>
      </c>
      <c r="E738" t="s">
        <v>1921</v>
      </c>
      <c r="F738">
        <v>2008</v>
      </c>
      <c r="H738" t="s">
        <v>2734</v>
      </c>
      <c r="I738">
        <v>2</v>
      </c>
      <c r="J738" t="s">
        <v>2237</v>
      </c>
      <c r="K738" t="s">
        <v>14332</v>
      </c>
      <c r="L738" s="222">
        <v>9783940984562</v>
      </c>
      <c r="M738">
        <v>162</v>
      </c>
      <c r="O738" t="s">
        <v>5137</v>
      </c>
      <c r="P738">
        <v>960</v>
      </c>
      <c r="Q738">
        <v>5.68</v>
      </c>
    </row>
    <row r="739" spans="1:17" x14ac:dyDescent="0.25">
      <c r="A739">
        <v>703</v>
      </c>
      <c r="C739" t="s">
        <v>5725</v>
      </c>
      <c r="D739" t="s">
        <v>5708</v>
      </c>
      <c r="F739">
        <v>1992</v>
      </c>
      <c r="H739" t="s">
        <v>2734</v>
      </c>
      <c r="I739">
        <v>2</v>
      </c>
      <c r="J739" t="s">
        <v>2237</v>
      </c>
      <c r="K739" t="s">
        <v>14332</v>
      </c>
      <c r="L739" s="222">
        <v>9783870704322</v>
      </c>
      <c r="M739">
        <v>354</v>
      </c>
      <c r="O739" t="s">
        <v>5138</v>
      </c>
      <c r="P739">
        <v>1736</v>
      </c>
      <c r="Q739">
        <v>4.3099999999999996</v>
      </c>
    </row>
    <row r="740" spans="1:17" x14ac:dyDescent="0.25">
      <c r="A740">
        <v>703</v>
      </c>
      <c r="C740" t="s">
        <v>5727</v>
      </c>
      <c r="D740" t="s">
        <v>5728</v>
      </c>
      <c r="F740">
        <v>2000</v>
      </c>
      <c r="H740" t="s">
        <v>2734</v>
      </c>
      <c r="I740">
        <v>2</v>
      </c>
      <c r="J740" t="s">
        <v>2237</v>
      </c>
      <c r="K740" t="s">
        <v>14332</v>
      </c>
      <c r="L740" s="222">
        <v>9783575020031</v>
      </c>
      <c r="M740">
        <v>234</v>
      </c>
      <c r="O740" t="s">
        <v>5139</v>
      </c>
      <c r="P740">
        <v>1390</v>
      </c>
      <c r="Q740">
        <v>5.31</v>
      </c>
    </row>
    <row r="741" spans="1:17" x14ac:dyDescent="0.25">
      <c r="A741">
        <v>591</v>
      </c>
      <c r="B741" t="s">
        <v>5730</v>
      </c>
      <c r="C741" t="s">
        <v>5731</v>
      </c>
      <c r="D741" t="s">
        <v>5732</v>
      </c>
      <c r="F741">
        <v>2000</v>
      </c>
      <c r="H741" t="s">
        <v>2734</v>
      </c>
      <c r="I741">
        <v>2</v>
      </c>
      <c r="K741" t="s">
        <v>14332</v>
      </c>
      <c r="L741" s="222">
        <v>9783829048743</v>
      </c>
      <c r="M741">
        <v>362</v>
      </c>
      <c r="O741" t="s">
        <v>5140</v>
      </c>
      <c r="P741">
        <v>1513</v>
      </c>
      <c r="Q741">
        <v>5.85</v>
      </c>
    </row>
    <row r="742" spans="1:17" x14ac:dyDescent="0.25">
      <c r="A742">
        <v>844</v>
      </c>
      <c r="B742" t="s">
        <v>5710</v>
      </c>
      <c r="C742" t="s">
        <v>2678</v>
      </c>
      <c r="F742">
        <v>2005</v>
      </c>
      <c r="H742" t="s">
        <v>2734</v>
      </c>
      <c r="I742">
        <v>2</v>
      </c>
      <c r="J742" t="s">
        <v>2237</v>
      </c>
      <c r="K742" t="s">
        <v>14332</v>
      </c>
      <c r="M742">
        <v>50</v>
      </c>
      <c r="O742" t="s">
        <v>5141</v>
      </c>
      <c r="P742">
        <v>436</v>
      </c>
      <c r="Q742">
        <v>2.5099999999999998</v>
      </c>
    </row>
    <row r="743" spans="1:17" x14ac:dyDescent="0.25">
      <c r="A743">
        <v>844</v>
      </c>
      <c r="B743" t="s">
        <v>5734</v>
      </c>
      <c r="C743" t="s">
        <v>5735</v>
      </c>
      <c r="D743" t="s">
        <v>4930</v>
      </c>
      <c r="F743">
        <v>2005</v>
      </c>
      <c r="H743" t="s">
        <v>2734</v>
      </c>
      <c r="I743">
        <v>2</v>
      </c>
      <c r="J743" t="s">
        <v>2237</v>
      </c>
      <c r="K743" t="s">
        <v>14332</v>
      </c>
      <c r="M743">
        <v>94</v>
      </c>
      <c r="O743" t="s">
        <v>5142</v>
      </c>
      <c r="P743">
        <v>553</v>
      </c>
      <c r="Q743">
        <v>3.87</v>
      </c>
    </row>
    <row r="744" spans="1:17" x14ac:dyDescent="0.25">
      <c r="A744">
        <v>897</v>
      </c>
      <c r="C744" t="s">
        <v>5736</v>
      </c>
      <c r="D744" t="s">
        <v>1927</v>
      </c>
      <c r="H744" t="s">
        <v>2734</v>
      </c>
      <c r="I744">
        <v>2</v>
      </c>
      <c r="J744" t="s">
        <v>5737</v>
      </c>
      <c r="K744" t="s">
        <v>14332</v>
      </c>
      <c r="L744" s="222">
        <v>9781407570570</v>
      </c>
      <c r="M744">
        <v>98</v>
      </c>
      <c r="O744" t="s">
        <v>5143</v>
      </c>
      <c r="P744">
        <v>667</v>
      </c>
      <c r="Q744">
        <v>3.97</v>
      </c>
    </row>
    <row r="745" spans="1:17" x14ac:dyDescent="0.25">
      <c r="A745">
        <v>2650</v>
      </c>
      <c r="B745" t="s">
        <v>5739</v>
      </c>
      <c r="C745" t="s">
        <v>5740</v>
      </c>
      <c r="D745" t="s">
        <v>2054</v>
      </c>
      <c r="F745">
        <v>1995</v>
      </c>
      <c r="H745" t="s">
        <v>2734</v>
      </c>
      <c r="I745">
        <v>2</v>
      </c>
      <c r="K745" t="s">
        <v>14332</v>
      </c>
      <c r="L745" s="222">
        <v>9783893508310</v>
      </c>
      <c r="M745">
        <v>322</v>
      </c>
      <c r="O745" t="s">
        <v>5144</v>
      </c>
      <c r="P745">
        <v>2332</v>
      </c>
      <c r="Q745">
        <v>8.26</v>
      </c>
    </row>
    <row r="746" spans="1:17" x14ac:dyDescent="0.25">
      <c r="A746">
        <v>273</v>
      </c>
      <c r="C746" t="s">
        <v>5742</v>
      </c>
      <c r="D746" t="s">
        <v>5743</v>
      </c>
      <c r="F746">
        <v>1990</v>
      </c>
      <c r="H746" t="s">
        <v>2734</v>
      </c>
      <c r="I746">
        <v>2</v>
      </c>
      <c r="K746" t="s">
        <v>14332</v>
      </c>
      <c r="L746" s="222">
        <v>9783517010915</v>
      </c>
      <c r="M746">
        <v>642</v>
      </c>
      <c r="O746" t="s">
        <v>5145</v>
      </c>
      <c r="P746">
        <v>2357</v>
      </c>
      <c r="Q746">
        <v>8.3699999999999992</v>
      </c>
    </row>
    <row r="747" spans="1:17" x14ac:dyDescent="0.25">
      <c r="A747">
        <v>137</v>
      </c>
      <c r="B747" t="s">
        <v>5745</v>
      </c>
      <c r="C747" t="s">
        <v>5746</v>
      </c>
      <c r="D747" t="s">
        <v>5747</v>
      </c>
      <c r="F747">
        <v>2002</v>
      </c>
      <c r="H747" t="s">
        <v>1878</v>
      </c>
      <c r="I747">
        <v>3</v>
      </c>
      <c r="K747" t="s">
        <v>14479</v>
      </c>
      <c r="L747" s="222">
        <v>9783125291034</v>
      </c>
      <c r="M747">
        <v>168</v>
      </c>
      <c r="O747" t="s">
        <v>5146</v>
      </c>
      <c r="P747">
        <v>441</v>
      </c>
      <c r="Q747">
        <v>3.58</v>
      </c>
    </row>
    <row r="748" spans="1:17" x14ac:dyDescent="0.25">
      <c r="A748">
        <v>442</v>
      </c>
      <c r="C748" t="s">
        <v>5750</v>
      </c>
      <c r="D748" t="s">
        <v>5751</v>
      </c>
      <c r="F748">
        <v>2009</v>
      </c>
      <c r="H748" t="s">
        <v>1878</v>
      </c>
      <c r="I748">
        <v>2</v>
      </c>
      <c r="J748" t="s">
        <v>5752</v>
      </c>
      <c r="K748" t="s">
        <v>14480</v>
      </c>
      <c r="L748" s="222">
        <v>9783190042869</v>
      </c>
      <c r="M748">
        <v>192</v>
      </c>
      <c r="O748" t="s">
        <v>5147</v>
      </c>
      <c r="P748">
        <v>502</v>
      </c>
      <c r="Q748">
        <v>8.89</v>
      </c>
    </row>
    <row r="749" spans="1:17" x14ac:dyDescent="0.25">
      <c r="A749">
        <v>589</v>
      </c>
      <c r="B749" t="s">
        <v>5755</v>
      </c>
      <c r="C749" t="s">
        <v>5756</v>
      </c>
      <c r="D749" t="s">
        <v>4357</v>
      </c>
      <c r="F749">
        <v>1998</v>
      </c>
      <c r="H749" t="s">
        <v>2734</v>
      </c>
      <c r="I749">
        <v>2</v>
      </c>
      <c r="J749" t="s">
        <v>5752</v>
      </c>
      <c r="K749" t="s">
        <v>14332</v>
      </c>
      <c r="L749" s="222">
        <v>9783770404797</v>
      </c>
      <c r="M749">
        <v>50</v>
      </c>
      <c r="O749" t="s">
        <v>5148</v>
      </c>
      <c r="P749">
        <v>390</v>
      </c>
      <c r="Q749">
        <v>4.1100000000000003</v>
      </c>
    </row>
    <row r="750" spans="1:17" x14ac:dyDescent="0.25">
      <c r="A750">
        <v>853</v>
      </c>
      <c r="B750" t="s">
        <v>5758</v>
      </c>
      <c r="C750" t="s">
        <v>5759</v>
      </c>
      <c r="F750">
        <v>1979</v>
      </c>
      <c r="H750" t="s">
        <v>2734</v>
      </c>
      <c r="I750">
        <v>2</v>
      </c>
      <c r="K750" t="s">
        <v>14332</v>
      </c>
      <c r="L750" s="222">
        <v>9783881400527</v>
      </c>
      <c r="M750">
        <v>78</v>
      </c>
      <c r="O750" t="s">
        <v>5149</v>
      </c>
      <c r="P750">
        <v>829</v>
      </c>
      <c r="Q750">
        <v>7.61</v>
      </c>
    </row>
    <row r="751" spans="1:17" x14ac:dyDescent="0.25">
      <c r="A751">
        <v>691</v>
      </c>
      <c r="C751" t="s">
        <v>5761</v>
      </c>
      <c r="D751" t="s">
        <v>5762</v>
      </c>
      <c r="F751">
        <v>2010</v>
      </c>
      <c r="H751" t="s">
        <v>2734</v>
      </c>
      <c r="I751">
        <v>2</v>
      </c>
      <c r="J751" t="s">
        <v>3202</v>
      </c>
      <c r="K751" t="s">
        <v>14332</v>
      </c>
      <c r="L751" s="222">
        <v>9783897364295</v>
      </c>
      <c r="M751">
        <v>86</v>
      </c>
      <c r="O751" t="s">
        <v>5150</v>
      </c>
      <c r="P751">
        <v>573</v>
      </c>
      <c r="Q751">
        <v>2.9</v>
      </c>
    </row>
    <row r="752" spans="1:17" x14ac:dyDescent="0.25">
      <c r="A752">
        <v>774</v>
      </c>
      <c r="B752" t="s">
        <v>5764</v>
      </c>
      <c r="C752" t="s">
        <v>5765</v>
      </c>
      <c r="D752" t="s">
        <v>5766</v>
      </c>
      <c r="E752" t="s">
        <v>1877</v>
      </c>
      <c r="F752">
        <v>2002</v>
      </c>
      <c r="H752" t="s">
        <v>2734</v>
      </c>
      <c r="I752">
        <v>2</v>
      </c>
      <c r="J752" t="s">
        <v>3202</v>
      </c>
      <c r="K752" t="s">
        <v>14332</v>
      </c>
      <c r="L752" s="222">
        <v>9783608935042</v>
      </c>
      <c r="O752" t="s">
        <v>5151</v>
      </c>
      <c r="P752">
        <v>731</v>
      </c>
      <c r="Q752">
        <v>3.54</v>
      </c>
    </row>
    <row r="753" spans="1:17" x14ac:dyDescent="0.25">
      <c r="A753">
        <v>1285</v>
      </c>
      <c r="C753" t="s">
        <v>5768</v>
      </c>
      <c r="D753" t="s">
        <v>5769</v>
      </c>
      <c r="F753">
        <v>1986</v>
      </c>
      <c r="H753" t="s">
        <v>1878</v>
      </c>
      <c r="I753">
        <v>2</v>
      </c>
      <c r="K753" t="s">
        <v>14332</v>
      </c>
      <c r="L753" s="222">
        <v>9783892680055</v>
      </c>
      <c r="M753">
        <v>112</v>
      </c>
      <c r="O753" t="s">
        <v>5152</v>
      </c>
      <c r="P753">
        <v>529</v>
      </c>
      <c r="Q753">
        <v>2.2599999999999998</v>
      </c>
    </row>
    <row r="754" spans="1:17" x14ac:dyDescent="0.25">
      <c r="A754">
        <v>691</v>
      </c>
      <c r="C754" t="s">
        <v>5771</v>
      </c>
      <c r="D754" t="s">
        <v>5772</v>
      </c>
      <c r="H754" t="s">
        <v>2734</v>
      </c>
      <c r="I754">
        <v>2</v>
      </c>
      <c r="K754" t="s">
        <v>14332</v>
      </c>
      <c r="L754" s="222">
        <v>9783863250826</v>
      </c>
      <c r="M754">
        <v>86</v>
      </c>
      <c r="O754" t="s">
        <v>5153</v>
      </c>
      <c r="P754">
        <v>505</v>
      </c>
      <c r="Q754">
        <v>3.12</v>
      </c>
    </row>
    <row r="755" spans="1:17" x14ac:dyDescent="0.25">
      <c r="A755">
        <v>624</v>
      </c>
      <c r="C755" t="s">
        <v>5774</v>
      </c>
      <c r="D755" t="s">
        <v>4334</v>
      </c>
      <c r="H755" t="s">
        <v>2734</v>
      </c>
      <c r="I755">
        <v>2</v>
      </c>
      <c r="J755" t="s">
        <v>4343</v>
      </c>
      <c r="K755" t="s">
        <v>14332</v>
      </c>
      <c r="L755" s="222">
        <v>9783867757416</v>
      </c>
      <c r="O755" t="s">
        <v>5154</v>
      </c>
      <c r="P755">
        <v>850</v>
      </c>
      <c r="Q755">
        <v>3.22</v>
      </c>
    </row>
    <row r="756" spans="1:17" x14ac:dyDescent="0.25">
      <c r="A756">
        <v>2906</v>
      </c>
      <c r="C756" t="s">
        <v>5776</v>
      </c>
      <c r="D756" t="s">
        <v>2054</v>
      </c>
      <c r="F756">
        <v>2005</v>
      </c>
      <c r="H756" t="s">
        <v>2734</v>
      </c>
      <c r="I756">
        <v>1</v>
      </c>
      <c r="K756" t="s">
        <v>14332</v>
      </c>
      <c r="L756" s="222">
        <v>4026411167121</v>
      </c>
      <c r="M756">
        <v>98</v>
      </c>
      <c r="O756" t="s">
        <v>5155</v>
      </c>
      <c r="P756">
        <v>568</v>
      </c>
      <c r="Q756">
        <v>4.6100000000000003</v>
      </c>
    </row>
    <row r="757" spans="1:17" x14ac:dyDescent="0.25">
      <c r="A757">
        <v>2912</v>
      </c>
      <c r="C757" t="s">
        <v>5778</v>
      </c>
      <c r="D757" t="s">
        <v>2054</v>
      </c>
      <c r="F757">
        <v>2005</v>
      </c>
      <c r="H757" t="s">
        <v>2734</v>
      </c>
      <c r="I757">
        <v>1</v>
      </c>
      <c r="K757" t="s">
        <v>14332</v>
      </c>
      <c r="L757" s="222">
        <v>4026411167039</v>
      </c>
      <c r="M757">
        <v>98</v>
      </c>
      <c r="O757" t="s">
        <v>5156</v>
      </c>
      <c r="P757">
        <v>561</v>
      </c>
      <c r="Q757">
        <v>3.97</v>
      </c>
    </row>
    <row r="758" spans="1:17" x14ac:dyDescent="0.25">
      <c r="A758">
        <v>803</v>
      </c>
      <c r="C758" t="s">
        <v>5780</v>
      </c>
      <c r="D758" t="s">
        <v>4930</v>
      </c>
      <c r="F758">
        <v>1996</v>
      </c>
      <c r="H758" t="s">
        <v>2734</v>
      </c>
      <c r="I758">
        <v>2</v>
      </c>
      <c r="K758" t="s">
        <v>14332</v>
      </c>
      <c r="M758">
        <v>434</v>
      </c>
      <c r="O758" t="s">
        <v>5157</v>
      </c>
      <c r="P758">
        <v>1577</v>
      </c>
      <c r="Q758">
        <v>7.77</v>
      </c>
    </row>
    <row r="759" spans="1:17" x14ac:dyDescent="0.25">
      <c r="A759">
        <v>721</v>
      </c>
      <c r="C759" t="s">
        <v>5781</v>
      </c>
      <c r="D759" t="s">
        <v>5782</v>
      </c>
      <c r="E759" t="s">
        <v>1921</v>
      </c>
      <c r="F759">
        <v>2004</v>
      </c>
      <c r="H759" t="s">
        <v>2734</v>
      </c>
      <c r="I759">
        <v>1</v>
      </c>
      <c r="K759" t="s">
        <v>14332</v>
      </c>
      <c r="L759" s="222">
        <v>9783897822634</v>
      </c>
      <c r="M759">
        <v>82</v>
      </c>
      <c r="O759" t="s">
        <v>5158</v>
      </c>
      <c r="P759">
        <v>510</v>
      </c>
      <c r="Q759">
        <v>3.44</v>
      </c>
    </row>
    <row r="760" spans="1:17" x14ac:dyDescent="0.25">
      <c r="A760">
        <v>680</v>
      </c>
      <c r="B760" t="s">
        <v>5785</v>
      </c>
      <c r="C760" t="s">
        <v>5784</v>
      </c>
      <c r="D760" t="s">
        <v>2679</v>
      </c>
      <c r="F760">
        <v>1996</v>
      </c>
      <c r="H760" t="s">
        <v>1878</v>
      </c>
      <c r="I760">
        <v>2</v>
      </c>
      <c r="J760" t="s">
        <v>3202</v>
      </c>
      <c r="K760" t="s">
        <v>14332</v>
      </c>
      <c r="L760" s="222">
        <v>9783833198359</v>
      </c>
      <c r="M760">
        <v>132</v>
      </c>
      <c r="O760" t="s">
        <v>5159</v>
      </c>
      <c r="P760">
        <v>383</v>
      </c>
      <c r="Q760">
        <v>2.62</v>
      </c>
    </row>
    <row r="761" spans="1:17" x14ac:dyDescent="0.25">
      <c r="A761">
        <v>680</v>
      </c>
      <c r="B761" t="s">
        <v>5785</v>
      </c>
      <c r="C761" t="s">
        <v>5787</v>
      </c>
      <c r="D761" t="s">
        <v>2679</v>
      </c>
      <c r="H761" t="s">
        <v>1878</v>
      </c>
      <c r="I761">
        <v>2</v>
      </c>
      <c r="J761" t="s">
        <v>3202</v>
      </c>
      <c r="K761" t="s">
        <v>14332</v>
      </c>
      <c r="L761" s="222">
        <v>9783842700888</v>
      </c>
      <c r="M761">
        <v>132</v>
      </c>
      <c r="O761" t="s">
        <v>5160</v>
      </c>
      <c r="P761">
        <v>380</v>
      </c>
      <c r="Q761">
        <v>2.5099999999999998</v>
      </c>
    </row>
    <row r="762" spans="1:17" x14ac:dyDescent="0.25">
      <c r="A762">
        <v>680</v>
      </c>
      <c r="B762" t="s">
        <v>5785</v>
      </c>
      <c r="C762" t="s">
        <v>5789</v>
      </c>
      <c r="D762" t="s">
        <v>5790</v>
      </c>
      <c r="H762" t="s">
        <v>1878</v>
      </c>
      <c r="I762">
        <v>2</v>
      </c>
      <c r="J762" t="s">
        <v>3202</v>
      </c>
      <c r="K762" t="s">
        <v>14332</v>
      </c>
      <c r="L762" s="222">
        <v>9783833198342</v>
      </c>
      <c r="M762">
        <v>132</v>
      </c>
      <c r="O762" t="s">
        <v>5161</v>
      </c>
      <c r="P762">
        <v>375</v>
      </c>
      <c r="Q762">
        <v>2.62</v>
      </c>
    </row>
    <row r="763" spans="1:17" x14ac:dyDescent="0.25">
      <c r="A763">
        <v>1339</v>
      </c>
      <c r="C763" t="s">
        <v>5792</v>
      </c>
      <c r="D763" t="s">
        <v>4693</v>
      </c>
      <c r="F763">
        <v>2006</v>
      </c>
      <c r="H763" t="s">
        <v>1878</v>
      </c>
      <c r="I763">
        <v>2</v>
      </c>
      <c r="J763" t="s">
        <v>2237</v>
      </c>
      <c r="K763" t="s">
        <v>14332</v>
      </c>
      <c r="L763" s="222">
        <v>9783774287792</v>
      </c>
      <c r="M763">
        <v>192</v>
      </c>
      <c r="O763" t="s">
        <v>5162</v>
      </c>
      <c r="P763">
        <v>570</v>
      </c>
      <c r="Q763">
        <v>2.8</v>
      </c>
    </row>
    <row r="764" spans="1:17" x14ac:dyDescent="0.25">
      <c r="A764">
        <v>323</v>
      </c>
      <c r="B764" t="s">
        <v>5794</v>
      </c>
      <c r="C764" t="s">
        <v>5795</v>
      </c>
      <c r="D764" t="s">
        <v>5701</v>
      </c>
      <c r="E764" t="s">
        <v>1877</v>
      </c>
      <c r="H764" t="s">
        <v>2734</v>
      </c>
      <c r="I764">
        <v>2</v>
      </c>
      <c r="J764" t="s">
        <v>5796</v>
      </c>
      <c r="K764" t="s">
        <v>14332</v>
      </c>
      <c r="L764" s="222">
        <v>9783527154067</v>
      </c>
      <c r="M764">
        <v>298</v>
      </c>
      <c r="O764" t="s">
        <v>5163</v>
      </c>
      <c r="P764">
        <v>789</v>
      </c>
      <c r="Q764">
        <v>2.4700000000000002</v>
      </c>
    </row>
    <row r="765" spans="1:17" x14ac:dyDescent="0.25">
      <c r="A765">
        <v>634</v>
      </c>
      <c r="B765" t="s">
        <v>5798</v>
      </c>
      <c r="C765" t="s">
        <v>5799</v>
      </c>
      <c r="D765" t="s">
        <v>1912</v>
      </c>
      <c r="F765">
        <v>1993</v>
      </c>
      <c r="H765" t="s">
        <v>1878</v>
      </c>
      <c r="I765">
        <v>3</v>
      </c>
      <c r="K765" t="s">
        <v>14332</v>
      </c>
      <c r="L765" s="222">
        <v>9783442421831</v>
      </c>
      <c r="M765">
        <v>480</v>
      </c>
      <c r="O765" t="s">
        <v>5164</v>
      </c>
      <c r="P765">
        <v>475</v>
      </c>
      <c r="Q765">
        <v>2.2999999999999998</v>
      </c>
    </row>
    <row r="766" spans="1:17" x14ac:dyDescent="0.25">
      <c r="A766">
        <v>3</v>
      </c>
      <c r="B766" t="s">
        <v>5803</v>
      </c>
      <c r="C766" t="s">
        <v>5804</v>
      </c>
      <c r="D766" t="s">
        <v>5805</v>
      </c>
      <c r="E766" t="s">
        <v>1913</v>
      </c>
      <c r="F766">
        <v>1986</v>
      </c>
      <c r="H766" t="s">
        <v>1878</v>
      </c>
      <c r="I766">
        <v>2</v>
      </c>
      <c r="K766" t="s">
        <v>14332</v>
      </c>
      <c r="L766" s="222">
        <v>9783891044377</v>
      </c>
      <c r="M766">
        <v>292</v>
      </c>
      <c r="O766" t="s">
        <v>5166</v>
      </c>
      <c r="P766">
        <v>402</v>
      </c>
      <c r="Q766">
        <v>2.72</v>
      </c>
    </row>
    <row r="767" spans="1:17" x14ac:dyDescent="0.25">
      <c r="A767">
        <v>632</v>
      </c>
      <c r="B767" t="s">
        <v>5807</v>
      </c>
      <c r="C767" t="s">
        <v>5808</v>
      </c>
      <c r="D767" t="s">
        <v>2036</v>
      </c>
      <c r="F767">
        <v>2000</v>
      </c>
      <c r="H767" t="s">
        <v>2734</v>
      </c>
      <c r="I767">
        <v>2</v>
      </c>
      <c r="K767" t="s">
        <v>14332</v>
      </c>
      <c r="L767" s="222">
        <v>9783828969018</v>
      </c>
      <c r="M767">
        <v>466</v>
      </c>
      <c r="O767" t="s">
        <v>5167</v>
      </c>
      <c r="P767">
        <v>661</v>
      </c>
      <c r="Q767">
        <v>2.69</v>
      </c>
    </row>
    <row r="768" spans="1:17" x14ac:dyDescent="0.25">
      <c r="A768">
        <v>765</v>
      </c>
      <c r="B768" t="s">
        <v>5810</v>
      </c>
      <c r="C768" t="s">
        <v>5811</v>
      </c>
      <c r="D768" t="s">
        <v>2209</v>
      </c>
      <c r="F768">
        <v>2009</v>
      </c>
      <c r="H768" t="s">
        <v>1878</v>
      </c>
      <c r="I768">
        <v>1</v>
      </c>
      <c r="K768" t="s">
        <v>14332</v>
      </c>
      <c r="L768" s="222">
        <v>9783453601369</v>
      </c>
      <c r="M768">
        <v>192</v>
      </c>
      <c r="O768" t="s">
        <v>5168</v>
      </c>
      <c r="P768">
        <v>264</v>
      </c>
      <c r="Q768">
        <v>2.5099999999999998</v>
      </c>
    </row>
    <row r="769" spans="1:17" x14ac:dyDescent="0.25">
      <c r="A769">
        <v>2514</v>
      </c>
      <c r="B769" t="s">
        <v>4479</v>
      </c>
      <c r="C769" t="s">
        <v>5813</v>
      </c>
      <c r="D769" t="s">
        <v>1912</v>
      </c>
      <c r="F769">
        <v>1997</v>
      </c>
      <c r="H769" t="s">
        <v>1878</v>
      </c>
      <c r="I769">
        <v>2</v>
      </c>
      <c r="K769" t="s">
        <v>14332</v>
      </c>
      <c r="L769" s="222">
        <v>9783442431878</v>
      </c>
      <c r="M769">
        <v>416</v>
      </c>
      <c r="O769" t="s">
        <v>5169</v>
      </c>
      <c r="P769">
        <v>367</v>
      </c>
      <c r="Q769">
        <v>1.97</v>
      </c>
    </row>
    <row r="770" spans="1:17" x14ac:dyDescent="0.25">
      <c r="A770">
        <v>319</v>
      </c>
      <c r="C770" t="s">
        <v>5815</v>
      </c>
      <c r="D770" t="s">
        <v>5816</v>
      </c>
      <c r="E770" t="s">
        <v>1899</v>
      </c>
      <c r="F770">
        <v>2011</v>
      </c>
      <c r="H770" t="s">
        <v>1878</v>
      </c>
      <c r="I770">
        <v>2</v>
      </c>
      <c r="J770" t="s">
        <v>2237</v>
      </c>
      <c r="K770" t="s">
        <v>14332</v>
      </c>
      <c r="M770">
        <v>256</v>
      </c>
      <c r="O770" t="s">
        <v>5170</v>
      </c>
      <c r="P770">
        <v>625</v>
      </c>
      <c r="Q770">
        <v>5.15</v>
      </c>
    </row>
    <row r="771" spans="1:17" x14ac:dyDescent="0.25">
      <c r="A771">
        <v>2518</v>
      </c>
      <c r="B771" t="s">
        <v>5817</v>
      </c>
      <c r="C771" t="s">
        <v>5818</v>
      </c>
      <c r="D771" t="s">
        <v>2300</v>
      </c>
      <c r="E771" t="s">
        <v>1877</v>
      </c>
      <c r="F771">
        <v>2011</v>
      </c>
      <c r="H771" t="s">
        <v>1878</v>
      </c>
      <c r="I771">
        <v>2</v>
      </c>
      <c r="J771" t="s">
        <v>2237</v>
      </c>
      <c r="K771" t="s">
        <v>14332</v>
      </c>
      <c r="L771" s="222">
        <v>9783862520244</v>
      </c>
      <c r="M771">
        <v>288</v>
      </c>
      <c r="O771" t="s">
        <v>5171</v>
      </c>
      <c r="P771">
        <v>403</v>
      </c>
      <c r="Q771">
        <v>2.5099999999999998</v>
      </c>
    </row>
    <row r="772" spans="1:17" x14ac:dyDescent="0.25">
      <c r="A772">
        <v>2649</v>
      </c>
      <c r="B772" t="s">
        <v>3667</v>
      </c>
      <c r="C772" t="s">
        <v>5820</v>
      </c>
      <c r="D772" t="s">
        <v>2103</v>
      </c>
      <c r="F772">
        <v>2012</v>
      </c>
      <c r="H772" t="s">
        <v>1878</v>
      </c>
      <c r="I772">
        <v>2</v>
      </c>
      <c r="J772" t="s">
        <v>2237</v>
      </c>
      <c r="K772" t="s">
        <v>14332</v>
      </c>
      <c r="L772" s="222">
        <v>4198106803604</v>
      </c>
      <c r="M772">
        <v>146</v>
      </c>
      <c r="O772" t="s">
        <v>5172</v>
      </c>
      <c r="P772">
        <v>93</v>
      </c>
      <c r="Q772">
        <v>2.72</v>
      </c>
    </row>
    <row r="773" spans="1:17" x14ac:dyDescent="0.25">
      <c r="A773">
        <v>2906</v>
      </c>
      <c r="C773" t="s">
        <v>5821</v>
      </c>
      <c r="D773" t="s">
        <v>4930</v>
      </c>
      <c r="F773">
        <v>2013</v>
      </c>
      <c r="H773" t="s">
        <v>5112</v>
      </c>
      <c r="I773">
        <v>2</v>
      </c>
      <c r="J773" t="s">
        <v>2237</v>
      </c>
      <c r="K773" t="s">
        <v>14332</v>
      </c>
      <c r="M773">
        <v>160</v>
      </c>
      <c r="O773" t="s">
        <v>5173</v>
      </c>
      <c r="P773">
        <v>415</v>
      </c>
      <c r="Q773">
        <v>1.97</v>
      </c>
    </row>
    <row r="774" spans="1:17" x14ac:dyDescent="0.25">
      <c r="A774">
        <v>765</v>
      </c>
      <c r="B774" t="s">
        <v>5822</v>
      </c>
      <c r="C774" t="s">
        <v>5823</v>
      </c>
      <c r="D774" t="s">
        <v>2257</v>
      </c>
      <c r="F774">
        <v>2005</v>
      </c>
      <c r="H774" t="s">
        <v>1878</v>
      </c>
      <c r="I774">
        <v>2</v>
      </c>
      <c r="J774" t="s">
        <v>3202</v>
      </c>
      <c r="K774" t="s">
        <v>14332</v>
      </c>
      <c r="L774" s="222">
        <v>9783426777626</v>
      </c>
      <c r="M774">
        <v>176</v>
      </c>
      <c r="O774" t="s">
        <v>5174</v>
      </c>
      <c r="P774">
        <v>143</v>
      </c>
      <c r="Q774">
        <v>3.47</v>
      </c>
    </row>
    <row r="775" spans="1:17" x14ac:dyDescent="0.25">
      <c r="A775">
        <v>1386</v>
      </c>
      <c r="B775" t="s">
        <v>5825</v>
      </c>
      <c r="C775" t="s">
        <v>5826</v>
      </c>
      <c r="D775" t="s">
        <v>5005</v>
      </c>
      <c r="F775">
        <v>2002</v>
      </c>
      <c r="H775" t="s">
        <v>1878</v>
      </c>
      <c r="I775">
        <v>2</v>
      </c>
      <c r="K775" t="s">
        <v>14332</v>
      </c>
      <c r="M775">
        <v>448</v>
      </c>
      <c r="O775" t="s">
        <v>5175</v>
      </c>
      <c r="P775">
        <v>323</v>
      </c>
      <c r="Q775">
        <v>1.97</v>
      </c>
    </row>
    <row r="776" spans="1:17" x14ac:dyDescent="0.25">
      <c r="A776">
        <v>8</v>
      </c>
      <c r="B776" t="s">
        <v>5827</v>
      </c>
      <c r="C776" t="s">
        <v>5828</v>
      </c>
      <c r="D776" t="s">
        <v>1998</v>
      </c>
      <c r="E776" t="s">
        <v>2175</v>
      </c>
      <c r="F776">
        <v>2005</v>
      </c>
      <c r="H776" t="s">
        <v>2734</v>
      </c>
      <c r="I776">
        <v>2</v>
      </c>
      <c r="J776" t="s">
        <v>3202</v>
      </c>
      <c r="K776" t="s">
        <v>14332</v>
      </c>
      <c r="L776" s="222">
        <v>9783462034554</v>
      </c>
      <c r="M776">
        <v>354</v>
      </c>
      <c r="O776" t="s">
        <v>5176</v>
      </c>
      <c r="P776">
        <v>455</v>
      </c>
      <c r="Q776">
        <v>2.5099999999999998</v>
      </c>
    </row>
    <row r="777" spans="1:17" x14ac:dyDescent="0.25">
      <c r="A777">
        <v>1325</v>
      </c>
      <c r="B777" t="s">
        <v>5830</v>
      </c>
      <c r="C777" t="s">
        <v>5831</v>
      </c>
      <c r="D777" t="s">
        <v>5832</v>
      </c>
      <c r="E777" t="s">
        <v>1913</v>
      </c>
      <c r="F777">
        <v>2006</v>
      </c>
      <c r="H777" t="s">
        <v>2734</v>
      </c>
      <c r="I777">
        <v>1</v>
      </c>
      <c r="K777" t="s">
        <v>14332</v>
      </c>
      <c r="L777" s="222">
        <v>9783780630278</v>
      </c>
      <c r="M777">
        <v>122</v>
      </c>
      <c r="O777" t="s">
        <v>5177</v>
      </c>
      <c r="P777">
        <v>287</v>
      </c>
      <c r="Q777">
        <v>3.58</v>
      </c>
    </row>
    <row r="778" spans="1:17" x14ac:dyDescent="0.25">
      <c r="A778">
        <v>692</v>
      </c>
      <c r="B778" t="s">
        <v>3517</v>
      </c>
      <c r="C778" t="s">
        <v>5834</v>
      </c>
      <c r="D778" t="s">
        <v>2644</v>
      </c>
      <c r="F778">
        <v>2001</v>
      </c>
      <c r="H778" t="s">
        <v>2734</v>
      </c>
      <c r="I778">
        <v>2</v>
      </c>
      <c r="K778" t="s">
        <v>14332</v>
      </c>
      <c r="L778" s="222">
        <v>9783257062656</v>
      </c>
      <c r="M778">
        <v>274</v>
      </c>
      <c r="O778" t="s">
        <v>5178</v>
      </c>
      <c r="P778">
        <v>294</v>
      </c>
      <c r="Q778">
        <v>2.5099999999999998</v>
      </c>
    </row>
    <row r="779" spans="1:17" x14ac:dyDescent="0.25">
      <c r="A779">
        <v>8</v>
      </c>
      <c r="B779" t="s">
        <v>5836</v>
      </c>
      <c r="C779" t="s">
        <v>5837</v>
      </c>
      <c r="D779" t="s">
        <v>5838</v>
      </c>
      <c r="F779">
        <v>2006</v>
      </c>
      <c r="H779" t="s">
        <v>1878</v>
      </c>
      <c r="I779">
        <v>2</v>
      </c>
      <c r="K779" t="s">
        <v>14332</v>
      </c>
      <c r="L779" s="222">
        <v>9783865320568</v>
      </c>
      <c r="M779">
        <v>144</v>
      </c>
      <c r="O779" t="s">
        <v>5179</v>
      </c>
      <c r="P779">
        <v>126</v>
      </c>
      <c r="Q779">
        <v>5.18</v>
      </c>
    </row>
    <row r="780" spans="1:17" x14ac:dyDescent="0.25">
      <c r="A780">
        <v>2547</v>
      </c>
      <c r="B780" t="s">
        <v>3941</v>
      </c>
      <c r="C780" t="s">
        <v>5840</v>
      </c>
      <c r="D780" t="s">
        <v>1912</v>
      </c>
      <c r="F780">
        <v>2002</v>
      </c>
      <c r="H780" t="s">
        <v>1878</v>
      </c>
      <c r="I780">
        <v>2</v>
      </c>
      <c r="J780" t="s">
        <v>3854</v>
      </c>
      <c r="K780" t="s">
        <v>14332</v>
      </c>
      <c r="L780" s="222">
        <v>9783442452576</v>
      </c>
      <c r="M780">
        <v>144</v>
      </c>
      <c r="O780" t="s">
        <v>5180</v>
      </c>
      <c r="P780">
        <v>164</v>
      </c>
      <c r="Q780">
        <v>2.5099999999999998</v>
      </c>
    </row>
    <row r="781" spans="1:17" x14ac:dyDescent="0.25">
      <c r="A781">
        <v>2547</v>
      </c>
      <c r="B781" t="s">
        <v>5842</v>
      </c>
      <c r="C781" t="s">
        <v>5843</v>
      </c>
      <c r="D781" t="s">
        <v>1912</v>
      </c>
      <c r="E781" t="s">
        <v>1913</v>
      </c>
      <c r="F781">
        <v>2006</v>
      </c>
      <c r="H781" t="s">
        <v>2734</v>
      </c>
      <c r="I781">
        <v>1</v>
      </c>
      <c r="K781" t="s">
        <v>14332</v>
      </c>
      <c r="L781" s="222">
        <v>9783442311248</v>
      </c>
      <c r="M781">
        <v>418</v>
      </c>
      <c r="O781" t="s">
        <v>5181</v>
      </c>
      <c r="P781">
        <v>668</v>
      </c>
      <c r="Q781">
        <v>4.08</v>
      </c>
    </row>
    <row r="782" spans="1:17" x14ac:dyDescent="0.25">
      <c r="A782">
        <v>1327</v>
      </c>
      <c r="B782" t="s">
        <v>3334</v>
      </c>
      <c r="C782" t="s">
        <v>5844</v>
      </c>
      <c r="D782" t="s">
        <v>5845</v>
      </c>
      <c r="F782">
        <v>1990</v>
      </c>
      <c r="H782" t="s">
        <v>2734</v>
      </c>
      <c r="I782">
        <v>2</v>
      </c>
      <c r="K782" t="s">
        <v>14332</v>
      </c>
      <c r="L782" s="222">
        <v>9783927390072</v>
      </c>
      <c r="M782">
        <v>418</v>
      </c>
      <c r="O782" t="s">
        <v>5182</v>
      </c>
      <c r="P782">
        <v>576</v>
      </c>
      <c r="Q782">
        <v>3.01</v>
      </c>
    </row>
    <row r="783" spans="1:17" x14ac:dyDescent="0.25">
      <c r="A783">
        <v>2522</v>
      </c>
      <c r="B783" t="s">
        <v>5847</v>
      </c>
      <c r="C783" t="s">
        <v>5848</v>
      </c>
      <c r="D783" t="s">
        <v>3524</v>
      </c>
      <c r="E783" t="s">
        <v>1913</v>
      </c>
      <c r="F783">
        <v>2012</v>
      </c>
      <c r="H783" t="s">
        <v>1878</v>
      </c>
      <c r="I783">
        <v>3</v>
      </c>
      <c r="K783" t="s">
        <v>14332</v>
      </c>
      <c r="L783" s="222">
        <v>9783785574713</v>
      </c>
      <c r="M783">
        <v>368</v>
      </c>
      <c r="O783" t="s">
        <v>5183</v>
      </c>
      <c r="P783">
        <v>373</v>
      </c>
      <c r="Q783">
        <v>3.58</v>
      </c>
    </row>
    <row r="784" spans="1:17" x14ac:dyDescent="0.25">
      <c r="A784">
        <v>1231</v>
      </c>
      <c r="B784" t="s">
        <v>1996</v>
      </c>
      <c r="C784" t="s">
        <v>5850</v>
      </c>
      <c r="D784" t="s">
        <v>1998</v>
      </c>
      <c r="E784" t="s">
        <v>1913</v>
      </c>
      <c r="F784">
        <v>1998</v>
      </c>
      <c r="H784" t="s">
        <v>2734</v>
      </c>
      <c r="I784">
        <v>2</v>
      </c>
      <c r="K784" t="s">
        <v>14332</v>
      </c>
      <c r="L784" s="222">
        <v>9783462027402</v>
      </c>
      <c r="M784">
        <v>226</v>
      </c>
      <c r="O784" t="s">
        <v>5184</v>
      </c>
      <c r="P784">
        <v>491</v>
      </c>
      <c r="Q784">
        <v>3.01</v>
      </c>
    </row>
    <row r="785" spans="1:17" x14ac:dyDescent="0.25">
      <c r="A785">
        <v>765</v>
      </c>
      <c r="B785" t="s">
        <v>5851</v>
      </c>
      <c r="C785" t="s">
        <v>5852</v>
      </c>
      <c r="D785" t="s">
        <v>2419</v>
      </c>
      <c r="E785" t="s">
        <v>1899</v>
      </c>
      <c r="F785">
        <v>2007</v>
      </c>
      <c r="H785" t="s">
        <v>1878</v>
      </c>
      <c r="I785">
        <v>2</v>
      </c>
      <c r="K785" t="s">
        <v>14332</v>
      </c>
      <c r="L785" s="222">
        <v>9783430200134</v>
      </c>
      <c r="M785">
        <v>208</v>
      </c>
      <c r="O785" t="s">
        <v>5185</v>
      </c>
      <c r="P785">
        <v>343</v>
      </c>
      <c r="Q785">
        <v>3.04</v>
      </c>
    </row>
    <row r="786" spans="1:17" x14ac:dyDescent="0.25">
      <c r="A786">
        <v>774</v>
      </c>
      <c r="B786" t="s">
        <v>4827</v>
      </c>
      <c r="C786" t="s">
        <v>5854</v>
      </c>
      <c r="D786" t="s">
        <v>1876</v>
      </c>
      <c r="F786">
        <v>2001</v>
      </c>
      <c r="H786" t="s">
        <v>1878</v>
      </c>
      <c r="I786">
        <v>2</v>
      </c>
      <c r="K786" t="s">
        <v>14332</v>
      </c>
      <c r="L786" s="222">
        <v>9783492234023</v>
      </c>
      <c r="M786">
        <v>320</v>
      </c>
      <c r="O786" t="s">
        <v>5186</v>
      </c>
      <c r="P786">
        <v>274</v>
      </c>
      <c r="Q786">
        <v>1.97</v>
      </c>
    </row>
    <row r="787" spans="1:17" x14ac:dyDescent="0.25">
      <c r="A787">
        <v>796</v>
      </c>
      <c r="B787" t="s">
        <v>5856</v>
      </c>
      <c r="C787" t="s">
        <v>5857</v>
      </c>
      <c r="D787" t="s">
        <v>2257</v>
      </c>
      <c r="F787">
        <v>2007</v>
      </c>
      <c r="H787" t="s">
        <v>1878</v>
      </c>
      <c r="I787">
        <v>2</v>
      </c>
      <c r="K787" t="s">
        <v>14332</v>
      </c>
      <c r="L787" s="222">
        <v>9783426635087</v>
      </c>
      <c r="M787">
        <v>336</v>
      </c>
      <c r="O787" t="s">
        <v>5187</v>
      </c>
      <c r="P787">
        <v>299</v>
      </c>
      <c r="Q787">
        <v>1.97</v>
      </c>
    </row>
    <row r="788" spans="1:17" x14ac:dyDescent="0.25">
      <c r="A788">
        <v>632</v>
      </c>
      <c r="B788" t="s">
        <v>5859</v>
      </c>
      <c r="C788" t="s">
        <v>5860</v>
      </c>
      <c r="D788" t="s">
        <v>2209</v>
      </c>
      <c r="F788">
        <v>2002</v>
      </c>
      <c r="H788" t="s">
        <v>1878</v>
      </c>
      <c r="I788">
        <v>2</v>
      </c>
      <c r="K788" t="s">
        <v>14332</v>
      </c>
      <c r="L788" s="222">
        <v>9783453215252</v>
      </c>
      <c r="M788">
        <v>608</v>
      </c>
      <c r="O788" t="s">
        <v>5188</v>
      </c>
      <c r="P788">
        <v>412</v>
      </c>
      <c r="Q788">
        <v>2.62</v>
      </c>
    </row>
    <row r="789" spans="1:17" x14ac:dyDescent="0.25">
      <c r="A789">
        <v>1001</v>
      </c>
      <c r="B789" t="s">
        <v>5862</v>
      </c>
      <c r="C789" t="s">
        <v>5863</v>
      </c>
      <c r="D789" t="s">
        <v>5864</v>
      </c>
      <c r="F789">
        <v>2002</v>
      </c>
      <c r="H789" t="s">
        <v>2734</v>
      </c>
      <c r="I789">
        <v>2</v>
      </c>
      <c r="K789" t="s">
        <v>14332</v>
      </c>
      <c r="L789" s="222">
        <v>9783782739696</v>
      </c>
      <c r="O789" t="s">
        <v>5189</v>
      </c>
      <c r="P789">
        <v>169</v>
      </c>
      <c r="Q789">
        <v>1.97</v>
      </c>
    </row>
    <row r="790" spans="1:17" x14ac:dyDescent="0.25">
      <c r="A790">
        <v>904</v>
      </c>
      <c r="B790" t="s">
        <v>5866</v>
      </c>
      <c r="C790" t="s">
        <v>5867</v>
      </c>
      <c r="D790" t="s">
        <v>2419</v>
      </c>
      <c r="E790" t="s">
        <v>2032</v>
      </c>
      <c r="F790">
        <v>2001</v>
      </c>
      <c r="H790" t="s">
        <v>1878</v>
      </c>
      <c r="I790">
        <v>3</v>
      </c>
      <c r="K790" t="s">
        <v>14332</v>
      </c>
      <c r="L790" s="222">
        <v>9783548710419</v>
      </c>
      <c r="M790">
        <v>336</v>
      </c>
      <c r="O790" t="s">
        <v>5190</v>
      </c>
      <c r="P790">
        <v>244</v>
      </c>
      <c r="Q790">
        <v>5.18</v>
      </c>
    </row>
    <row r="791" spans="1:17" x14ac:dyDescent="0.25">
      <c r="A791">
        <v>2522</v>
      </c>
      <c r="B791" t="s">
        <v>2470</v>
      </c>
      <c r="C791" t="s">
        <v>5869</v>
      </c>
      <c r="D791" t="s">
        <v>2209</v>
      </c>
      <c r="E791" t="s">
        <v>2937</v>
      </c>
      <c r="F791">
        <v>2002</v>
      </c>
      <c r="H791" t="s">
        <v>1878</v>
      </c>
      <c r="I791">
        <v>2</v>
      </c>
      <c r="K791" t="s">
        <v>14332</v>
      </c>
      <c r="L791" s="222">
        <v>9783453099739</v>
      </c>
      <c r="M791">
        <v>496</v>
      </c>
      <c r="O791" t="s">
        <v>5191</v>
      </c>
      <c r="P791">
        <v>322</v>
      </c>
      <c r="Q791">
        <v>1.97</v>
      </c>
    </row>
    <row r="792" spans="1:17" x14ac:dyDescent="0.25">
      <c r="A792">
        <v>689</v>
      </c>
      <c r="B792" t="s">
        <v>2470</v>
      </c>
      <c r="C792" t="s">
        <v>5871</v>
      </c>
      <c r="D792" t="s">
        <v>1920</v>
      </c>
      <c r="F792">
        <v>1999</v>
      </c>
      <c r="H792" t="s">
        <v>1878</v>
      </c>
      <c r="I792">
        <v>3</v>
      </c>
      <c r="K792" t="s">
        <v>14332</v>
      </c>
      <c r="L792" s="222">
        <v>9783404141975</v>
      </c>
      <c r="M792">
        <v>640</v>
      </c>
      <c r="O792" t="s">
        <v>5192</v>
      </c>
      <c r="P792">
        <v>553</v>
      </c>
      <c r="Q792">
        <v>2.4700000000000002</v>
      </c>
    </row>
    <row r="793" spans="1:17" x14ac:dyDescent="0.25">
      <c r="A793">
        <v>302</v>
      </c>
      <c r="B793" t="s">
        <v>5873</v>
      </c>
      <c r="C793" t="s">
        <v>5874</v>
      </c>
      <c r="D793" t="s">
        <v>2209</v>
      </c>
      <c r="E793" t="s">
        <v>2922</v>
      </c>
      <c r="F793">
        <v>1988</v>
      </c>
      <c r="H793" t="s">
        <v>1878</v>
      </c>
      <c r="I793">
        <v>2</v>
      </c>
      <c r="K793" t="s">
        <v>14332</v>
      </c>
      <c r="L793" s="222">
        <v>9783453026353</v>
      </c>
      <c r="M793">
        <v>288</v>
      </c>
      <c r="O793" t="s">
        <v>5193</v>
      </c>
      <c r="P793">
        <v>257</v>
      </c>
      <c r="Q793">
        <v>4.1100000000000003</v>
      </c>
    </row>
    <row r="794" spans="1:17" x14ac:dyDescent="0.25">
      <c r="A794">
        <v>66</v>
      </c>
      <c r="B794" t="s">
        <v>5876</v>
      </c>
      <c r="C794" t="s">
        <v>464</v>
      </c>
      <c r="D794" t="s">
        <v>5877</v>
      </c>
      <c r="E794" t="s">
        <v>5035</v>
      </c>
      <c r="F794">
        <v>1988</v>
      </c>
      <c r="H794" t="s">
        <v>1878</v>
      </c>
      <c r="I794">
        <v>2</v>
      </c>
      <c r="K794" t="s">
        <v>14332</v>
      </c>
      <c r="L794" s="222">
        <v>9783872400628</v>
      </c>
      <c r="M794">
        <v>192</v>
      </c>
      <c r="O794" t="s">
        <v>5194</v>
      </c>
      <c r="P794">
        <v>170</v>
      </c>
      <c r="Q794">
        <v>2.72</v>
      </c>
    </row>
    <row r="795" spans="1:17" x14ac:dyDescent="0.25">
      <c r="A795">
        <v>2522</v>
      </c>
      <c r="B795" t="s">
        <v>5879</v>
      </c>
      <c r="C795" t="s">
        <v>5880</v>
      </c>
      <c r="D795" t="s">
        <v>2300</v>
      </c>
      <c r="F795">
        <v>2005</v>
      </c>
      <c r="H795" t="s">
        <v>1878</v>
      </c>
      <c r="I795">
        <v>3</v>
      </c>
      <c r="K795" t="s">
        <v>14332</v>
      </c>
      <c r="L795" s="222">
        <v>9783499232435</v>
      </c>
      <c r="M795">
        <v>512</v>
      </c>
      <c r="O795" t="s">
        <v>5195</v>
      </c>
      <c r="P795">
        <v>462</v>
      </c>
      <c r="Q795">
        <v>1.97</v>
      </c>
    </row>
    <row r="796" spans="1:17" x14ac:dyDescent="0.25">
      <c r="A796">
        <v>811</v>
      </c>
      <c r="B796" t="s">
        <v>5883</v>
      </c>
      <c r="C796" t="s">
        <v>5882</v>
      </c>
      <c r="D796" t="s">
        <v>5884</v>
      </c>
      <c r="H796" t="s">
        <v>2734</v>
      </c>
      <c r="I796">
        <v>2</v>
      </c>
      <c r="K796" t="s">
        <v>14332</v>
      </c>
      <c r="L796" s="222">
        <v>9783829905312</v>
      </c>
      <c r="M796">
        <v>194</v>
      </c>
      <c r="O796" t="s">
        <v>5196</v>
      </c>
      <c r="P796">
        <v>945</v>
      </c>
      <c r="Q796">
        <v>3.22</v>
      </c>
    </row>
    <row r="797" spans="1:17" x14ac:dyDescent="0.25">
      <c r="A797">
        <v>803</v>
      </c>
      <c r="B797" t="s">
        <v>5886</v>
      </c>
      <c r="C797" t="s">
        <v>5887</v>
      </c>
      <c r="D797" t="s">
        <v>5888</v>
      </c>
      <c r="E797" t="s">
        <v>1877</v>
      </c>
      <c r="F797">
        <v>2001</v>
      </c>
      <c r="H797" t="s">
        <v>2734</v>
      </c>
      <c r="I797">
        <v>2</v>
      </c>
      <c r="K797" t="s">
        <v>14332</v>
      </c>
      <c r="L797" s="222">
        <v>9783934427112</v>
      </c>
      <c r="M797">
        <v>130</v>
      </c>
      <c r="O797" t="s">
        <v>5197</v>
      </c>
      <c r="P797">
        <v>851</v>
      </c>
      <c r="Q797">
        <v>3.22</v>
      </c>
    </row>
    <row r="798" spans="1:17" x14ac:dyDescent="0.25">
      <c r="A798">
        <v>1336</v>
      </c>
      <c r="C798" t="s">
        <v>5890</v>
      </c>
      <c r="D798" t="s">
        <v>3332</v>
      </c>
      <c r="H798" t="s">
        <v>2734</v>
      </c>
      <c r="I798">
        <v>2</v>
      </c>
      <c r="K798" t="s">
        <v>14332</v>
      </c>
      <c r="L798" s="222">
        <v>9783625108597</v>
      </c>
      <c r="M798">
        <v>242</v>
      </c>
      <c r="O798" t="s">
        <v>5198</v>
      </c>
      <c r="P798">
        <v>1295</v>
      </c>
      <c r="Q798">
        <v>4.5599999999999996</v>
      </c>
    </row>
    <row r="799" spans="1:17" x14ac:dyDescent="0.25">
      <c r="A799">
        <v>2681</v>
      </c>
      <c r="C799" t="s">
        <v>5892</v>
      </c>
      <c r="D799" t="s">
        <v>3761</v>
      </c>
      <c r="F799">
        <v>2010</v>
      </c>
      <c r="H799" t="s">
        <v>2734</v>
      </c>
      <c r="I799">
        <v>1</v>
      </c>
      <c r="K799" t="s">
        <v>14332</v>
      </c>
      <c r="L799" s="222">
        <v>9783905851717</v>
      </c>
      <c r="M799">
        <v>98</v>
      </c>
      <c r="O799" t="s">
        <v>5199</v>
      </c>
      <c r="P799">
        <v>772</v>
      </c>
      <c r="Q799">
        <v>4.08</v>
      </c>
    </row>
    <row r="800" spans="1:17" x14ac:dyDescent="0.25">
      <c r="A800">
        <v>2852</v>
      </c>
      <c r="B800" t="s">
        <v>5894</v>
      </c>
      <c r="C800" t="s">
        <v>5895</v>
      </c>
      <c r="D800" t="s">
        <v>3761</v>
      </c>
      <c r="F800">
        <v>2009</v>
      </c>
      <c r="H800" t="s">
        <v>2734</v>
      </c>
      <c r="I800">
        <v>1</v>
      </c>
      <c r="K800" t="s">
        <v>14332</v>
      </c>
      <c r="L800" s="222">
        <v>9783905851328</v>
      </c>
      <c r="M800">
        <v>642</v>
      </c>
      <c r="O800" t="s">
        <v>5200</v>
      </c>
      <c r="P800">
        <v>2816</v>
      </c>
      <c r="Q800">
        <v>12.86</v>
      </c>
    </row>
    <row r="801" spans="1:17" x14ac:dyDescent="0.25">
      <c r="A801">
        <v>821</v>
      </c>
      <c r="C801" t="s">
        <v>5897</v>
      </c>
      <c r="H801" t="s">
        <v>2734</v>
      </c>
      <c r="I801">
        <v>2</v>
      </c>
      <c r="K801" t="s">
        <v>14332</v>
      </c>
      <c r="M801">
        <v>162</v>
      </c>
      <c r="O801" t="s">
        <v>5201</v>
      </c>
      <c r="P801">
        <v>925</v>
      </c>
      <c r="Q801">
        <v>3.01</v>
      </c>
    </row>
    <row r="802" spans="1:17" x14ac:dyDescent="0.25">
      <c r="A802">
        <v>818</v>
      </c>
      <c r="B802" t="s">
        <v>5899</v>
      </c>
      <c r="C802" t="s">
        <v>5900</v>
      </c>
      <c r="D802" t="s">
        <v>4930</v>
      </c>
      <c r="F802">
        <v>1991</v>
      </c>
      <c r="H802" t="s">
        <v>2734</v>
      </c>
      <c r="I802">
        <v>2</v>
      </c>
      <c r="K802" t="s">
        <v>14332</v>
      </c>
      <c r="M802">
        <v>178</v>
      </c>
      <c r="O802" t="s">
        <v>5202</v>
      </c>
      <c r="P802">
        <v>775</v>
      </c>
      <c r="Q802">
        <v>8.36</v>
      </c>
    </row>
    <row r="803" spans="1:17" x14ac:dyDescent="0.25">
      <c r="A803">
        <v>647</v>
      </c>
      <c r="C803" t="s">
        <v>5901</v>
      </c>
      <c r="D803" t="s">
        <v>5902</v>
      </c>
      <c r="F803">
        <v>2009</v>
      </c>
      <c r="H803" t="s">
        <v>2734</v>
      </c>
      <c r="I803">
        <v>1</v>
      </c>
      <c r="K803" t="s">
        <v>14332</v>
      </c>
      <c r="L803" s="222">
        <v>9783899154993</v>
      </c>
      <c r="M803">
        <v>442</v>
      </c>
      <c r="O803" t="s">
        <v>5203</v>
      </c>
      <c r="P803">
        <v>1377</v>
      </c>
      <c r="Q803">
        <v>5.0999999999999996</v>
      </c>
    </row>
    <row r="804" spans="1:17" x14ac:dyDescent="0.25">
      <c r="A804">
        <v>863</v>
      </c>
      <c r="B804" t="s">
        <v>5904</v>
      </c>
      <c r="C804" t="s">
        <v>5905</v>
      </c>
      <c r="D804" t="s">
        <v>5906</v>
      </c>
      <c r="F804">
        <v>1968</v>
      </c>
      <c r="H804" t="s">
        <v>2734</v>
      </c>
      <c r="I804">
        <v>2</v>
      </c>
      <c r="J804" t="s">
        <v>2222</v>
      </c>
      <c r="K804" t="s">
        <v>14332</v>
      </c>
      <c r="M804">
        <v>114</v>
      </c>
      <c r="O804" t="s">
        <v>5204</v>
      </c>
      <c r="P804">
        <v>587</v>
      </c>
      <c r="Q804">
        <v>2.4700000000000002</v>
      </c>
    </row>
    <row r="805" spans="1:17" x14ac:dyDescent="0.25">
      <c r="A805">
        <v>796</v>
      </c>
      <c r="B805" t="s">
        <v>5907</v>
      </c>
      <c r="C805" t="s">
        <v>5908</v>
      </c>
      <c r="D805" t="s">
        <v>4693</v>
      </c>
      <c r="F805">
        <v>2001</v>
      </c>
      <c r="H805" t="s">
        <v>2734</v>
      </c>
      <c r="I805">
        <v>2</v>
      </c>
      <c r="K805" t="s">
        <v>14332</v>
      </c>
      <c r="M805">
        <v>170</v>
      </c>
      <c r="O805" t="s">
        <v>5205</v>
      </c>
      <c r="P805">
        <v>898</v>
      </c>
      <c r="Q805">
        <v>3.01</v>
      </c>
    </row>
    <row r="806" spans="1:17" x14ac:dyDescent="0.25">
      <c r="A806">
        <v>2973</v>
      </c>
      <c r="C806" t="s">
        <v>5909</v>
      </c>
      <c r="D806" t="s">
        <v>5910</v>
      </c>
      <c r="F806">
        <v>1994</v>
      </c>
      <c r="H806" t="s">
        <v>2734</v>
      </c>
      <c r="I806">
        <v>2</v>
      </c>
      <c r="J806" t="s">
        <v>2369</v>
      </c>
      <c r="K806" t="s">
        <v>14332</v>
      </c>
      <c r="M806">
        <v>158</v>
      </c>
      <c r="O806" t="s">
        <v>5206</v>
      </c>
      <c r="P806">
        <v>613</v>
      </c>
      <c r="Q806">
        <v>3.12</v>
      </c>
    </row>
    <row r="807" spans="1:17" x14ac:dyDescent="0.25">
      <c r="A807">
        <v>691</v>
      </c>
      <c r="C807" t="s">
        <v>5911</v>
      </c>
      <c r="D807" t="s">
        <v>5912</v>
      </c>
      <c r="F807">
        <v>2004</v>
      </c>
      <c r="H807" t="s">
        <v>2734</v>
      </c>
      <c r="I807">
        <v>1</v>
      </c>
      <c r="K807" t="s">
        <v>14332</v>
      </c>
      <c r="L807" s="222">
        <v>4022073011598</v>
      </c>
      <c r="M807">
        <v>62</v>
      </c>
      <c r="O807" t="s">
        <v>5207</v>
      </c>
      <c r="P807">
        <v>447</v>
      </c>
      <c r="Q807">
        <v>4.76</v>
      </c>
    </row>
    <row r="808" spans="1:17" x14ac:dyDescent="0.25">
      <c r="A808">
        <v>2689</v>
      </c>
      <c r="B808" t="s">
        <v>5914</v>
      </c>
      <c r="C808" t="s">
        <v>5915</v>
      </c>
      <c r="D808" t="s">
        <v>5916</v>
      </c>
      <c r="F808">
        <v>2000</v>
      </c>
      <c r="H808" t="s">
        <v>2734</v>
      </c>
      <c r="I808">
        <v>2</v>
      </c>
      <c r="J808" t="s">
        <v>2369</v>
      </c>
      <c r="K808" t="s">
        <v>14332</v>
      </c>
      <c r="L808" s="222">
        <v>9783425078007</v>
      </c>
      <c r="M808">
        <v>300</v>
      </c>
      <c r="O808" t="s">
        <v>5208</v>
      </c>
      <c r="P808">
        <v>726</v>
      </c>
      <c r="Q808">
        <v>2.2200000000000002</v>
      </c>
    </row>
    <row r="809" spans="1:17" x14ac:dyDescent="0.25">
      <c r="A809">
        <v>534</v>
      </c>
      <c r="B809" t="s">
        <v>5918</v>
      </c>
      <c r="C809" t="s">
        <v>5919</v>
      </c>
      <c r="D809" t="s">
        <v>5920</v>
      </c>
      <c r="F809">
        <v>1956</v>
      </c>
      <c r="H809" t="s">
        <v>2008</v>
      </c>
      <c r="I809">
        <v>2</v>
      </c>
      <c r="J809" t="s">
        <v>2222</v>
      </c>
      <c r="K809" t="s">
        <v>14332</v>
      </c>
      <c r="M809">
        <v>148</v>
      </c>
      <c r="O809" t="s">
        <v>5209</v>
      </c>
      <c r="P809">
        <v>312</v>
      </c>
      <c r="Q809">
        <v>4.1100000000000003</v>
      </c>
    </row>
    <row r="810" spans="1:17" x14ac:dyDescent="0.25">
      <c r="A810">
        <v>1324</v>
      </c>
      <c r="C810" t="s">
        <v>5921</v>
      </c>
      <c r="D810" t="s">
        <v>5922</v>
      </c>
      <c r="E810" t="s">
        <v>1913</v>
      </c>
      <c r="F810">
        <v>1998</v>
      </c>
      <c r="H810" t="s">
        <v>4297</v>
      </c>
      <c r="I810">
        <v>2</v>
      </c>
      <c r="K810" t="s">
        <v>14332</v>
      </c>
      <c r="L810" s="222">
        <v>9783829571005</v>
      </c>
      <c r="M810">
        <v>148</v>
      </c>
      <c r="O810" t="s">
        <v>5210</v>
      </c>
      <c r="P810">
        <v>372</v>
      </c>
      <c r="Q810">
        <v>2.5099999999999998</v>
      </c>
    </row>
    <row r="811" spans="1:17" x14ac:dyDescent="0.25">
      <c r="A811">
        <v>1321</v>
      </c>
      <c r="B811" t="s">
        <v>5924</v>
      </c>
      <c r="C811" t="s">
        <v>5925</v>
      </c>
      <c r="D811" t="s">
        <v>5926</v>
      </c>
      <c r="F811">
        <v>1994</v>
      </c>
      <c r="H811" t="s">
        <v>2734</v>
      </c>
      <c r="I811">
        <v>2</v>
      </c>
      <c r="K811" t="s">
        <v>14332</v>
      </c>
      <c r="L811" s="222">
        <v>4006067677489</v>
      </c>
      <c r="M811">
        <v>98</v>
      </c>
      <c r="O811" t="s">
        <v>5211</v>
      </c>
      <c r="P811">
        <v>485</v>
      </c>
      <c r="Q811">
        <v>3.04</v>
      </c>
    </row>
    <row r="812" spans="1:17" x14ac:dyDescent="0.25">
      <c r="A812">
        <v>323</v>
      </c>
      <c r="B812" t="s">
        <v>5928</v>
      </c>
      <c r="C812" t="s">
        <v>5929</v>
      </c>
      <c r="D812" t="s">
        <v>5930</v>
      </c>
      <c r="F812">
        <v>2004</v>
      </c>
      <c r="H812" t="s">
        <v>2734</v>
      </c>
      <c r="I812">
        <v>1</v>
      </c>
      <c r="K812" t="s">
        <v>14332</v>
      </c>
      <c r="L812" s="222">
        <v>9783811223622</v>
      </c>
      <c r="M812">
        <v>130</v>
      </c>
      <c r="O812" t="s">
        <v>5212</v>
      </c>
      <c r="P812">
        <v>398</v>
      </c>
      <c r="Q812">
        <v>2.62</v>
      </c>
    </row>
    <row r="813" spans="1:17" x14ac:dyDescent="0.25">
      <c r="A813">
        <v>972</v>
      </c>
      <c r="B813" t="s">
        <v>5932</v>
      </c>
      <c r="C813" t="s">
        <v>5933</v>
      </c>
      <c r="D813" t="s">
        <v>2640</v>
      </c>
      <c r="F813">
        <v>1993</v>
      </c>
      <c r="H813" t="s">
        <v>2734</v>
      </c>
      <c r="I813">
        <v>2</v>
      </c>
      <c r="J813" t="s">
        <v>5934</v>
      </c>
      <c r="K813" t="s">
        <v>14339</v>
      </c>
      <c r="L813" s="222">
        <v>9780002243520</v>
      </c>
      <c r="M813">
        <v>312</v>
      </c>
      <c r="O813" t="s">
        <v>5213</v>
      </c>
      <c r="P813">
        <v>682</v>
      </c>
      <c r="Q813">
        <v>4.6100000000000003</v>
      </c>
    </row>
    <row r="814" spans="1:17" x14ac:dyDescent="0.25">
      <c r="A814">
        <v>689</v>
      </c>
      <c r="B814" t="s">
        <v>5936</v>
      </c>
      <c r="C814" t="s">
        <v>5937</v>
      </c>
      <c r="D814" t="s">
        <v>2897</v>
      </c>
      <c r="E814" t="s">
        <v>1913</v>
      </c>
      <c r="F814">
        <v>1998</v>
      </c>
      <c r="H814" t="s">
        <v>2734</v>
      </c>
      <c r="I814">
        <v>2</v>
      </c>
      <c r="K814" t="s">
        <v>14332</v>
      </c>
      <c r="L814" s="222">
        <v>9783896670557</v>
      </c>
      <c r="M814">
        <v>354</v>
      </c>
      <c r="O814" t="s">
        <v>5214</v>
      </c>
      <c r="P814">
        <v>550</v>
      </c>
      <c r="Q814">
        <v>2.4700000000000002</v>
      </c>
    </row>
    <row r="815" spans="1:17" x14ac:dyDescent="0.25">
      <c r="A815">
        <v>700</v>
      </c>
      <c r="B815" t="s">
        <v>5939</v>
      </c>
      <c r="C815" t="s">
        <v>5940</v>
      </c>
      <c r="D815" t="s">
        <v>5941</v>
      </c>
      <c r="F815">
        <v>1990</v>
      </c>
      <c r="H815" t="s">
        <v>2734</v>
      </c>
      <c r="I815">
        <v>2</v>
      </c>
      <c r="K815" t="s">
        <v>14332</v>
      </c>
      <c r="L815" s="222">
        <v>9783446159884</v>
      </c>
      <c r="M815">
        <v>156</v>
      </c>
      <c r="O815" t="s">
        <v>5215</v>
      </c>
      <c r="P815">
        <v>381</v>
      </c>
      <c r="Q815">
        <v>5.72</v>
      </c>
    </row>
    <row r="816" spans="1:17" x14ac:dyDescent="0.25">
      <c r="A816">
        <v>972</v>
      </c>
      <c r="B816" t="s">
        <v>2321</v>
      </c>
      <c r="C816" t="s">
        <v>5943</v>
      </c>
      <c r="D816" t="s">
        <v>5944</v>
      </c>
      <c r="F816">
        <v>1999</v>
      </c>
      <c r="H816" t="s">
        <v>2734</v>
      </c>
      <c r="I816">
        <v>2</v>
      </c>
      <c r="J816" t="s">
        <v>5945</v>
      </c>
      <c r="K816" t="s">
        <v>14339</v>
      </c>
      <c r="L816" s="222">
        <v>9780316846790</v>
      </c>
      <c r="M816">
        <v>344</v>
      </c>
      <c r="O816" t="s">
        <v>5216</v>
      </c>
      <c r="P816">
        <v>602</v>
      </c>
      <c r="Q816">
        <v>3.97</v>
      </c>
    </row>
    <row r="817" spans="1:17" x14ac:dyDescent="0.25">
      <c r="A817">
        <v>2547</v>
      </c>
      <c r="B817" t="s">
        <v>5842</v>
      </c>
      <c r="C817" t="s">
        <v>5947</v>
      </c>
      <c r="D817" t="s">
        <v>1912</v>
      </c>
      <c r="E817" t="s">
        <v>1913</v>
      </c>
      <c r="F817">
        <v>2004</v>
      </c>
      <c r="H817" t="s">
        <v>2734</v>
      </c>
      <c r="I817">
        <v>1</v>
      </c>
      <c r="K817" t="s">
        <v>14332</v>
      </c>
      <c r="L817" s="222">
        <v>9783442310074</v>
      </c>
      <c r="M817">
        <v>450</v>
      </c>
      <c r="O817" t="s">
        <v>5217</v>
      </c>
      <c r="P817">
        <v>704</v>
      </c>
      <c r="Q817">
        <v>3.01</v>
      </c>
    </row>
    <row r="818" spans="1:17" x14ac:dyDescent="0.25">
      <c r="A818">
        <v>1324</v>
      </c>
      <c r="B818" t="s">
        <v>5949</v>
      </c>
      <c r="C818" t="s">
        <v>5950</v>
      </c>
      <c r="D818" t="s">
        <v>5926</v>
      </c>
      <c r="F818">
        <v>2000</v>
      </c>
      <c r="H818" t="s">
        <v>2734</v>
      </c>
      <c r="I818">
        <v>1</v>
      </c>
      <c r="K818" t="s">
        <v>14332</v>
      </c>
      <c r="L818" s="222">
        <v>9783576115408</v>
      </c>
      <c r="M818">
        <v>290</v>
      </c>
      <c r="O818" t="s">
        <v>5218</v>
      </c>
      <c r="P818">
        <v>759</v>
      </c>
      <c r="Q818">
        <v>3.12</v>
      </c>
    </row>
    <row r="819" spans="1:17" x14ac:dyDescent="0.25">
      <c r="A819">
        <v>2522</v>
      </c>
      <c r="B819" t="s">
        <v>5952</v>
      </c>
      <c r="C819" t="s">
        <v>5953</v>
      </c>
      <c r="D819" t="s">
        <v>1993</v>
      </c>
      <c r="E819" t="s">
        <v>1913</v>
      </c>
      <c r="F819">
        <v>2008</v>
      </c>
      <c r="H819" t="s">
        <v>1878</v>
      </c>
      <c r="I819">
        <v>3</v>
      </c>
      <c r="K819" t="s">
        <v>14332</v>
      </c>
      <c r="L819" s="222">
        <v>9783442375066</v>
      </c>
      <c r="M819">
        <v>384</v>
      </c>
      <c r="O819" t="s">
        <v>5219</v>
      </c>
      <c r="P819">
        <v>297</v>
      </c>
      <c r="Q819">
        <v>2.94</v>
      </c>
    </row>
    <row r="820" spans="1:17" x14ac:dyDescent="0.25">
      <c r="A820">
        <v>2792</v>
      </c>
      <c r="B820" t="s">
        <v>5955</v>
      </c>
      <c r="C820" t="s">
        <v>5956</v>
      </c>
      <c r="D820" t="s">
        <v>4517</v>
      </c>
      <c r="E820" t="s">
        <v>1913</v>
      </c>
      <c r="F820">
        <v>2003</v>
      </c>
      <c r="H820" t="s">
        <v>1878</v>
      </c>
      <c r="I820">
        <v>3</v>
      </c>
      <c r="K820" t="s">
        <v>14332</v>
      </c>
      <c r="L820" s="222">
        <v>9783746670409</v>
      </c>
      <c r="M820">
        <v>400</v>
      </c>
      <c r="O820" t="s">
        <v>5220</v>
      </c>
      <c r="P820">
        <v>329</v>
      </c>
      <c r="Q820">
        <v>1.97</v>
      </c>
    </row>
    <row r="821" spans="1:17" x14ac:dyDescent="0.25">
      <c r="A821">
        <v>1031</v>
      </c>
      <c r="B821" t="s">
        <v>5958</v>
      </c>
      <c r="C821" t="s">
        <v>5959</v>
      </c>
      <c r="D821" t="s">
        <v>5960</v>
      </c>
      <c r="H821" t="s">
        <v>2734</v>
      </c>
      <c r="I821">
        <v>2</v>
      </c>
      <c r="K821" t="s">
        <v>14332</v>
      </c>
      <c r="M821">
        <v>314</v>
      </c>
      <c r="O821" t="s">
        <v>5221</v>
      </c>
      <c r="P821">
        <v>449</v>
      </c>
      <c r="Q821">
        <v>1.76</v>
      </c>
    </row>
    <row r="822" spans="1:17" x14ac:dyDescent="0.25">
      <c r="A822">
        <v>2712</v>
      </c>
      <c r="B822" t="s">
        <v>5961</v>
      </c>
      <c r="C822" t="s">
        <v>5962</v>
      </c>
      <c r="D822" t="s">
        <v>5941</v>
      </c>
      <c r="F822">
        <v>1976</v>
      </c>
      <c r="H822" t="s">
        <v>2734</v>
      </c>
      <c r="I822">
        <v>2</v>
      </c>
      <c r="J822" t="s">
        <v>5934</v>
      </c>
      <c r="K822" t="s">
        <v>14332</v>
      </c>
      <c r="L822" s="222">
        <v>9783446122734</v>
      </c>
      <c r="M822">
        <v>758</v>
      </c>
      <c r="O822" t="s">
        <v>5222</v>
      </c>
      <c r="P822">
        <v>882</v>
      </c>
      <c r="Q822">
        <v>3.12</v>
      </c>
    </row>
    <row r="823" spans="1:17" x14ac:dyDescent="0.25">
      <c r="A823">
        <v>973</v>
      </c>
      <c r="B823" t="s">
        <v>5964</v>
      </c>
      <c r="C823" t="s">
        <v>5965</v>
      </c>
      <c r="F823">
        <v>1999</v>
      </c>
      <c r="H823" t="s">
        <v>2734</v>
      </c>
      <c r="I823">
        <v>2</v>
      </c>
      <c r="K823" t="s">
        <v>14339</v>
      </c>
      <c r="L823" s="222">
        <v>9780814404638</v>
      </c>
      <c r="M823">
        <v>268</v>
      </c>
      <c r="O823" t="s">
        <v>5223</v>
      </c>
      <c r="P823">
        <v>573</v>
      </c>
      <c r="Q823">
        <v>17.989999999999998</v>
      </c>
    </row>
    <row r="824" spans="1:17" x14ac:dyDescent="0.25">
      <c r="A824">
        <v>766</v>
      </c>
      <c r="B824" t="s">
        <v>5967</v>
      </c>
      <c r="C824" t="s">
        <v>5968</v>
      </c>
      <c r="D824" t="s">
        <v>2300</v>
      </c>
      <c r="F824">
        <v>1999</v>
      </c>
      <c r="H824" t="s">
        <v>1878</v>
      </c>
      <c r="I824">
        <v>2</v>
      </c>
      <c r="K824" t="s">
        <v>14332</v>
      </c>
      <c r="L824" s="222">
        <v>9783499209673</v>
      </c>
      <c r="M824">
        <v>128</v>
      </c>
      <c r="O824" t="s">
        <v>5224</v>
      </c>
      <c r="P824">
        <v>151</v>
      </c>
      <c r="Q824">
        <v>2.72</v>
      </c>
    </row>
    <row r="825" spans="1:17" x14ac:dyDescent="0.25">
      <c r="A825">
        <v>1216</v>
      </c>
      <c r="B825" t="s">
        <v>5970</v>
      </c>
      <c r="C825" t="s">
        <v>5971</v>
      </c>
      <c r="D825" t="s">
        <v>5972</v>
      </c>
      <c r="F825">
        <v>1983</v>
      </c>
      <c r="H825" t="s">
        <v>1878</v>
      </c>
      <c r="I825">
        <v>2</v>
      </c>
      <c r="K825" t="s">
        <v>14332</v>
      </c>
      <c r="L825" s="222">
        <v>9783885920373</v>
      </c>
      <c r="M825">
        <v>192</v>
      </c>
      <c r="O825" t="s">
        <v>5225</v>
      </c>
      <c r="P825">
        <v>269</v>
      </c>
      <c r="Q825">
        <v>2.83</v>
      </c>
    </row>
    <row r="826" spans="1:17" x14ac:dyDescent="0.25">
      <c r="A826">
        <v>704</v>
      </c>
      <c r="B826" t="s">
        <v>5974</v>
      </c>
      <c r="C826" t="s">
        <v>5975</v>
      </c>
      <c r="D826" t="s">
        <v>5976</v>
      </c>
      <c r="E826" t="s">
        <v>1913</v>
      </c>
      <c r="F826">
        <v>2012</v>
      </c>
      <c r="H826" t="s">
        <v>1878</v>
      </c>
      <c r="I826">
        <v>2</v>
      </c>
      <c r="K826" t="s">
        <v>14332</v>
      </c>
      <c r="L826" s="222">
        <v>9783868832020</v>
      </c>
      <c r="M826">
        <v>208</v>
      </c>
      <c r="O826" t="s">
        <v>5226</v>
      </c>
      <c r="P826">
        <v>234</v>
      </c>
      <c r="Q826">
        <v>3.04</v>
      </c>
    </row>
    <row r="827" spans="1:17" x14ac:dyDescent="0.25">
      <c r="A827">
        <v>651</v>
      </c>
      <c r="B827" t="s">
        <v>5978</v>
      </c>
      <c r="C827" t="s">
        <v>5979</v>
      </c>
      <c r="D827" t="s">
        <v>2117</v>
      </c>
      <c r="E827" t="s">
        <v>1913</v>
      </c>
      <c r="F827">
        <v>2000</v>
      </c>
      <c r="H827" t="s">
        <v>1878</v>
      </c>
      <c r="I827">
        <v>2</v>
      </c>
      <c r="K827" t="s">
        <v>14332</v>
      </c>
      <c r="L827" s="222">
        <v>9783772426230</v>
      </c>
      <c r="M827">
        <v>32</v>
      </c>
      <c r="O827" t="s">
        <v>5227</v>
      </c>
      <c r="P827">
        <v>128</v>
      </c>
      <c r="Q827">
        <v>4.1100000000000003</v>
      </c>
    </row>
    <row r="828" spans="1:17" x14ac:dyDescent="0.25">
      <c r="A828">
        <v>1395</v>
      </c>
      <c r="B828" t="s">
        <v>5981</v>
      </c>
      <c r="C828" t="s">
        <v>5982</v>
      </c>
      <c r="D828" t="s">
        <v>1920</v>
      </c>
      <c r="F828">
        <v>2005</v>
      </c>
      <c r="H828" t="s">
        <v>1878</v>
      </c>
      <c r="I828">
        <v>2</v>
      </c>
      <c r="K828" t="s">
        <v>14332</v>
      </c>
      <c r="L828" s="222">
        <v>9783404153275</v>
      </c>
      <c r="M828">
        <v>336</v>
      </c>
      <c r="O828" t="s">
        <v>5228</v>
      </c>
      <c r="P828">
        <v>289</v>
      </c>
      <c r="Q828">
        <v>2.4</v>
      </c>
    </row>
    <row r="829" spans="1:17" x14ac:dyDescent="0.25">
      <c r="A829">
        <v>1386</v>
      </c>
      <c r="B829" t="s">
        <v>5984</v>
      </c>
      <c r="C829" t="s">
        <v>5985</v>
      </c>
      <c r="D829" t="s">
        <v>2309</v>
      </c>
      <c r="E829" t="s">
        <v>1877</v>
      </c>
      <c r="F829">
        <v>2005</v>
      </c>
      <c r="H829" t="s">
        <v>1878</v>
      </c>
      <c r="I829">
        <v>2</v>
      </c>
      <c r="J829" t="s">
        <v>3854</v>
      </c>
      <c r="K829" t="s">
        <v>14332</v>
      </c>
      <c r="L829" s="222">
        <v>9783471351000</v>
      </c>
      <c r="M829">
        <v>274</v>
      </c>
      <c r="O829" t="s">
        <v>5229</v>
      </c>
      <c r="P829">
        <v>408</v>
      </c>
      <c r="Q829">
        <v>3.47</v>
      </c>
    </row>
    <row r="830" spans="1:17" x14ac:dyDescent="0.25">
      <c r="A830">
        <v>1395</v>
      </c>
      <c r="B830" t="s">
        <v>3305</v>
      </c>
      <c r="C830" t="s">
        <v>5987</v>
      </c>
      <c r="D830" t="s">
        <v>2424</v>
      </c>
      <c r="F830">
        <v>2016</v>
      </c>
      <c r="H830" t="s">
        <v>1878</v>
      </c>
      <c r="I830">
        <v>1</v>
      </c>
      <c r="K830" t="s">
        <v>14332</v>
      </c>
      <c r="L830" s="222">
        <v>9783453358928</v>
      </c>
      <c r="M830">
        <v>368</v>
      </c>
      <c r="O830" t="s">
        <v>5230</v>
      </c>
      <c r="P830">
        <v>305</v>
      </c>
      <c r="Q830">
        <v>3.58</v>
      </c>
    </row>
    <row r="831" spans="1:17" x14ac:dyDescent="0.25">
      <c r="A831">
        <v>632</v>
      </c>
      <c r="B831" t="s">
        <v>2515</v>
      </c>
      <c r="C831" t="s">
        <v>5989</v>
      </c>
      <c r="D831" t="s">
        <v>4517</v>
      </c>
      <c r="E831" t="s">
        <v>1877</v>
      </c>
      <c r="F831">
        <v>2001</v>
      </c>
      <c r="H831" t="s">
        <v>1878</v>
      </c>
      <c r="I831">
        <v>3</v>
      </c>
      <c r="K831" t="s">
        <v>14332</v>
      </c>
      <c r="L831" s="222">
        <v>9783746616902</v>
      </c>
      <c r="M831">
        <v>576</v>
      </c>
      <c r="O831" t="s">
        <v>5231</v>
      </c>
      <c r="P831">
        <v>624</v>
      </c>
      <c r="Q831">
        <v>2.4700000000000002</v>
      </c>
    </row>
    <row r="832" spans="1:17" x14ac:dyDescent="0.25">
      <c r="A832">
        <v>632</v>
      </c>
      <c r="B832" t="s">
        <v>2467</v>
      </c>
      <c r="C832" t="s">
        <v>5991</v>
      </c>
      <c r="D832" t="s">
        <v>2257</v>
      </c>
      <c r="F832">
        <v>2012</v>
      </c>
      <c r="H832" t="s">
        <v>1878</v>
      </c>
      <c r="I832">
        <v>3</v>
      </c>
      <c r="K832" t="s">
        <v>14332</v>
      </c>
      <c r="L832" s="222">
        <v>9783426500217</v>
      </c>
      <c r="M832">
        <v>640</v>
      </c>
      <c r="O832" t="s">
        <v>5232</v>
      </c>
      <c r="P832">
        <v>481</v>
      </c>
      <c r="Q832">
        <v>2.5099999999999998</v>
      </c>
    </row>
    <row r="833" spans="1:17" x14ac:dyDescent="0.25">
      <c r="A833">
        <v>1927</v>
      </c>
      <c r="B833" t="s">
        <v>5993</v>
      </c>
      <c r="C833" t="s">
        <v>5994</v>
      </c>
      <c r="D833" t="s">
        <v>5926</v>
      </c>
      <c r="F833">
        <v>1999</v>
      </c>
      <c r="H833" t="s">
        <v>1878</v>
      </c>
      <c r="I833">
        <v>2</v>
      </c>
      <c r="K833" t="s">
        <v>14332</v>
      </c>
      <c r="L833" s="222">
        <v>9783442162482</v>
      </c>
      <c r="M833">
        <v>320</v>
      </c>
      <c r="O833" t="s">
        <v>5233</v>
      </c>
      <c r="P833">
        <v>308</v>
      </c>
      <c r="Q833">
        <v>1.97</v>
      </c>
    </row>
    <row r="834" spans="1:17" x14ac:dyDescent="0.25">
      <c r="A834">
        <v>632</v>
      </c>
      <c r="B834" t="s">
        <v>5996</v>
      </c>
      <c r="C834" t="s">
        <v>5997</v>
      </c>
      <c r="D834" t="s">
        <v>2609</v>
      </c>
      <c r="E834" t="s">
        <v>1877</v>
      </c>
      <c r="F834">
        <v>2006</v>
      </c>
      <c r="H834" t="s">
        <v>1878</v>
      </c>
      <c r="I834">
        <v>2</v>
      </c>
      <c r="K834" t="s">
        <v>14332</v>
      </c>
      <c r="L834" s="222">
        <v>9783596167012</v>
      </c>
      <c r="M834">
        <v>320</v>
      </c>
      <c r="O834" t="s">
        <v>5234</v>
      </c>
      <c r="P834">
        <v>278</v>
      </c>
      <c r="Q834">
        <v>1.97</v>
      </c>
    </row>
    <row r="835" spans="1:17" x14ac:dyDescent="0.25">
      <c r="A835">
        <v>1395</v>
      </c>
      <c r="B835" t="s">
        <v>2464</v>
      </c>
      <c r="C835" t="s">
        <v>5999</v>
      </c>
      <c r="D835" t="s">
        <v>1876</v>
      </c>
      <c r="E835" t="s">
        <v>2412</v>
      </c>
      <c r="F835">
        <v>2007</v>
      </c>
      <c r="H835" t="s">
        <v>2734</v>
      </c>
      <c r="I835">
        <v>2</v>
      </c>
      <c r="K835" t="s">
        <v>14332</v>
      </c>
      <c r="L835" s="222">
        <v>9783492049368</v>
      </c>
      <c r="M835">
        <v>226</v>
      </c>
      <c r="O835" t="s">
        <v>5235</v>
      </c>
      <c r="P835">
        <v>333</v>
      </c>
      <c r="Q835">
        <v>2.5099999999999998</v>
      </c>
    </row>
    <row r="836" spans="1:17" x14ac:dyDescent="0.25">
      <c r="A836">
        <v>920</v>
      </c>
      <c r="B836" t="s">
        <v>6001</v>
      </c>
      <c r="C836" t="s">
        <v>6002</v>
      </c>
      <c r="D836" t="s">
        <v>4841</v>
      </c>
      <c r="F836">
        <v>1985</v>
      </c>
      <c r="H836" t="s">
        <v>1878</v>
      </c>
      <c r="I836">
        <v>3</v>
      </c>
      <c r="K836" t="s">
        <v>14332</v>
      </c>
      <c r="L836" s="222">
        <v>9783451081637</v>
      </c>
      <c r="M836">
        <v>160</v>
      </c>
      <c r="O836" t="s">
        <v>5236</v>
      </c>
      <c r="P836">
        <v>113</v>
      </c>
      <c r="Q836">
        <v>2.5099999999999998</v>
      </c>
    </row>
    <row r="837" spans="1:17" x14ac:dyDescent="0.25">
      <c r="A837">
        <v>1395</v>
      </c>
      <c r="B837" t="s">
        <v>6004</v>
      </c>
      <c r="C837" t="s">
        <v>6005</v>
      </c>
      <c r="D837" t="s">
        <v>2309</v>
      </c>
      <c r="E837" t="s">
        <v>2412</v>
      </c>
      <c r="F837">
        <v>2011</v>
      </c>
      <c r="H837" t="s">
        <v>1878</v>
      </c>
      <c r="I837">
        <v>2</v>
      </c>
      <c r="J837" t="s">
        <v>6006</v>
      </c>
      <c r="K837" t="s">
        <v>14332</v>
      </c>
      <c r="L837" s="222">
        <v>9783548280172</v>
      </c>
      <c r="M837">
        <v>400</v>
      </c>
      <c r="O837" t="s">
        <v>5237</v>
      </c>
      <c r="P837">
        <v>339</v>
      </c>
      <c r="Q837">
        <v>2.5099999999999998</v>
      </c>
    </row>
    <row r="838" spans="1:17" x14ac:dyDescent="0.25">
      <c r="A838">
        <v>1287</v>
      </c>
      <c r="B838" t="s">
        <v>6008</v>
      </c>
      <c r="C838" t="s">
        <v>6009</v>
      </c>
      <c r="D838" t="s">
        <v>6010</v>
      </c>
      <c r="H838" t="s">
        <v>2734</v>
      </c>
      <c r="I838">
        <v>2</v>
      </c>
      <c r="J838" t="s">
        <v>5945</v>
      </c>
      <c r="K838" t="s">
        <v>14332</v>
      </c>
      <c r="M838">
        <v>618</v>
      </c>
      <c r="O838" t="s">
        <v>5238</v>
      </c>
      <c r="P838">
        <v>1398</v>
      </c>
      <c r="Q838">
        <v>6.7</v>
      </c>
    </row>
    <row r="839" spans="1:17" x14ac:dyDescent="0.25">
      <c r="A839">
        <v>1875</v>
      </c>
      <c r="C839" t="s">
        <v>6011</v>
      </c>
      <c r="D839" t="s">
        <v>4841</v>
      </c>
      <c r="F839">
        <v>1996</v>
      </c>
      <c r="H839" t="s">
        <v>2734</v>
      </c>
      <c r="I839">
        <v>2</v>
      </c>
      <c r="K839" t="s">
        <v>14332</v>
      </c>
      <c r="L839" s="222">
        <v>9783451239885</v>
      </c>
      <c r="M839">
        <v>98</v>
      </c>
      <c r="O839" t="s">
        <v>5239</v>
      </c>
      <c r="P839">
        <v>435</v>
      </c>
      <c r="Q839">
        <v>2.72</v>
      </c>
    </row>
    <row r="840" spans="1:17" x14ac:dyDescent="0.25">
      <c r="A840">
        <v>990</v>
      </c>
      <c r="B840" t="s">
        <v>6013</v>
      </c>
      <c r="C840" t="s">
        <v>6014</v>
      </c>
      <c r="D840" t="s">
        <v>6015</v>
      </c>
      <c r="F840">
        <v>2006</v>
      </c>
      <c r="H840" t="s">
        <v>2734</v>
      </c>
      <c r="I840">
        <v>2</v>
      </c>
      <c r="K840" t="s">
        <v>14332</v>
      </c>
      <c r="L840" s="222">
        <v>9783898762687</v>
      </c>
      <c r="M840">
        <v>142</v>
      </c>
      <c r="O840" t="s">
        <v>5240</v>
      </c>
      <c r="P840">
        <v>295</v>
      </c>
      <c r="Q840">
        <v>4.6500000000000004</v>
      </c>
    </row>
    <row r="841" spans="1:17" x14ac:dyDescent="0.25">
      <c r="A841">
        <v>606</v>
      </c>
      <c r="B841" t="s">
        <v>6017</v>
      </c>
      <c r="C841" t="s">
        <v>6018</v>
      </c>
      <c r="D841" t="s">
        <v>6019</v>
      </c>
      <c r="F841">
        <v>1953</v>
      </c>
      <c r="H841" t="s">
        <v>2734</v>
      </c>
      <c r="I841">
        <v>3</v>
      </c>
      <c r="J841" t="s">
        <v>5934</v>
      </c>
      <c r="K841" t="s">
        <v>14332</v>
      </c>
      <c r="M841">
        <v>254</v>
      </c>
      <c r="O841" t="s">
        <v>5241</v>
      </c>
      <c r="P841">
        <v>520</v>
      </c>
      <c r="Q841">
        <v>2.37</v>
      </c>
    </row>
    <row r="842" spans="1:17" x14ac:dyDescent="0.25">
      <c r="A842">
        <v>1875</v>
      </c>
      <c r="C842" t="s">
        <v>6020</v>
      </c>
      <c r="D842" t="s">
        <v>6021</v>
      </c>
      <c r="E842" t="s">
        <v>2922</v>
      </c>
      <c r="F842">
        <v>1991</v>
      </c>
      <c r="H842" t="s">
        <v>2734</v>
      </c>
      <c r="I842">
        <v>2</v>
      </c>
      <c r="K842" t="s">
        <v>14332</v>
      </c>
      <c r="L842" s="222">
        <v>9783823102526</v>
      </c>
      <c r="M842">
        <v>74</v>
      </c>
      <c r="O842" t="s">
        <v>5242</v>
      </c>
      <c r="P842">
        <v>171</v>
      </c>
      <c r="Q842">
        <v>2.62</v>
      </c>
    </row>
    <row r="843" spans="1:17" x14ac:dyDescent="0.25">
      <c r="A843">
        <v>704</v>
      </c>
      <c r="B843" t="s">
        <v>6023</v>
      </c>
      <c r="C843" t="s">
        <v>6024</v>
      </c>
      <c r="D843" t="s">
        <v>5762</v>
      </c>
      <c r="F843">
        <v>2007</v>
      </c>
      <c r="H843" t="s">
        <v>2734</v>
      </c>
      <c r="I843">
        <v>1</v>
      </c>
      <c r="K843" t="s">
        <v>14332</v>
      </c>
      <c r="L843" s="222">
        <v>9783897368996</v>
      </c>
      <c r="M843">
        <v>198</v>
      </c>
      <c r="O843" t="s">
        <v>5243</v>
      </c>
      <c r="P843">
        <v>390</v>
      </c>
      <c r="Q843">
        <v>2.62</v>
      </c>
    </row>
    <row r="844" spans="1:17" x14ac:dyDescent="0.25">
      <c r="A844">
        <v>721</v>
      </c>
      <c r="C844" t="s">
        <v>6026</v>
      </c>
      <c r="D844" t="s">
        <v>6027</v>
      </c>
      <c r="F844">
        <v>2009</v>
      </c>
      <c r="H844" t="s">
        <v>1878</v>
      </c>
      <c r="I844">
        <v>2</v>
      </c>
      <c r="K844" t="s">
        <v>14332</v>
      </c>
      <c r="L844" s="222">
        <v>4016491016792</v>
      </c>
      <c r="M844">
        <v>64</v>
      </c>
      <c r="O844" t="s">
        <v>5244</v>
      </c>
      <c r="P844">
        <v>88</v>
      </c>
      <c r="Q844">
        <v>2.19</v>
      </c>
    </row>
    <row r="845" spans="1:17" x14ac:dyDescent="0.25">
      <c r="A845">
        <v>2522</v>
      </c>
      <c r="B845" t="s">
        <v>6028</v>
      </c>
      <c r="C845" t="s">
        <v>6029</v>
      </c>
      <c r="D845" t="s">
        <v>2036</v>
      </c>
      <c r="F845">
        <v>1997</v>
      </c>
      <c r="H845" t="s">
        <v>2734</v>
      </c>
      <c r="I845">
        <v>2</v>
      </c>
      <c r="K845" t="s">
        <v>14332</v>
      </c>
      <c r="L845" s="222">
        <v>9783860478738</v>
      </c>
      <c r="M845">
        <v>386</v>
      </c>
      <c r="O845" t="s">
        <v>5245</v>
      </c>
      <c r="P845">
        <v>435</v>
      </c>
      <c r="Q845">
        <v>1.97</v>
      </c>
    </row>
    <row r="846" spans="1:17" x14ac:dyDescent="0.25">
      <c r="A846">
        <v>943</v>
      </c>
      <c r="B846" t="s">
        <v>6031</v>
      </c>
      <c r="C846" t="s">
        <v>6032</v>
      </c>
      <c r="D846" t="s">
        <v>2054</v>
      </c>
      <c r="F846">
        <v>1999</v>
      </c>
      <c r="H846" t="s">
        <v>2734</v>
      </c>
      <c r="I846">
        <v>1</v>
      </c>
      <c r="K846" t="s">
        <v>14332</v>
      </c>
      <c r="L846" s="222">
        <v>9783896044075</v>
      </c>
      <c r="M846">
        <v>258</v>
      </c>
      <c r="O846" t="s">
        <v>5246</v>
      </c>
      <c r="P846">
        <v>756</v>
      </c>
      <c r="Q846">
        <v>3.54</v>
      </c>
    </row>
    <row r="847" spans="1:17" x14ac:dyDescent="0.25">
      <c r="A847">
        <v>1299</v>
      </c>
      <c r="B847" t="s">
        <v>6038</v>
      </c>
      <c r="C847" t="s">
        <v>6037</v>
      </c>
      <c r="D847" t="s">
        <v>2068</v>
      </c>
      <c r="F847">
        <v>1996</v>
      </c>
      <c r="H847" t="s">
        <v>2734</v>
      </c>
      <c r="I847">
        <v>1</v>
      </c>
      <c r="K847" t="s">
        <v>14332</v>
      </c>
      <c r="L847" s="222">
        <v>9783806848410</v>
      </c>
      <c r="M847">
        <v>130</v>
      </c>
      <c r="O847" t="s">
        <v>5248</v>
      </c>
      <c r="P847">
        <v>770</v>
      </c>
      <c r="Q847">
        <v>3.87</v>
      </c>
    </row>
    <row r="848" spans="1:17" x14ac:dyDescent="0.25">
      <c r="A848">
        <v>1243</v>
      </c>
      <c r="B848" t="s">
        <v>6040</v>
      </c>
      <c r="C848" t="s">
        <v>6041</v>
      </c>
      <c r="D848" t="s">
        <v>2068</v>
      </c>
      <c r="F848">
        <v>2000</v>
      </c>
      <c r="H848" t="s">
        <v>2734</v>
      </c>
      <c r="I848">
        <v>1</v>
      </c>
      <c r="K848" t="s">
        <v>14332</v>
      </c>
      <c r="L848" s="222">
        <v>9783806875157</v>
      </c>
      <c r="M848">
        <v>354</v>
      </c>
      <c r="O848" t="s">
        <v>5249</v>
      </c>
      <c r="P848">
        <v>978</v>
      </c>
      <c r="Q848">
        <v>3.87</v>
      </c>
    </row>
    <row r="849" spans="1:17" x14ac:dyDescent="0.25">
      <c r="A849">
        <v>1324</v>
      </c>
      <c r="C849" t="s">
        <v>6043</v>
      </c>
      <c r="D849" t="s">
        <v>2036</v>
      </c>
      <c r="F849">
        <v>2000</v>
      </c>
      <c r="H849" t="s">
        <v>2734</v>
      </c>
      <c r="I849">
        <v>2</v>
      </c>
      <c r="K849" t="s">
        <v>14332</v>
      </c>
      <c r="L849" s="222">
        <v>9783828918887</v>
      </c>
      <c r="M849">
        <v>532</v>
      </c>
      <c r="O849" t="s">
        <v>5250</v>
      </c>
      <c r="P849">
        <v>1036</v>
      </c>
      <c r="Q849">
        <v>4.5599999999999996</v>
      </c>
    </row>
    <row r="850" spans="1:17" x14ac:dyDescent="0.25">
      <c r="A850">
        <v>2666</v>
      </c>
      <c r="C850" t="s">
        <v>6045</v>
      </c>
      <c r="D850" t="s">
        <v>6046</v>
      </c>
      <c r="E850" t="s">
        <v>1877</v>
      </c>
      <c r="F850">
        <v>1999</v>
      </c>
      <c r="H850" t="s">
        <v>2734</v>
      </c>
      <c r="I850">
        <v>2</v>
      </c>
      <c r="K850" t="s">
        <v>14332</v>
      </c>
      <c r="L850" s="222">
        <v>9783777313986</v>
      </c>
      <c r="M850">
        <v>386</v>
      </c>
      <c r="O850" t="s">
        <v>5251</v>
      </c>
      <c r="P850">
        <v>957</v>
      </c>
      <c r="Q850">
        <v>15.85</v>
      </c>
    </row>
    <row r="851" spans="1:17" x14ac:dyDescent="0.25">
      <c r="A851">
        <v>993</v>
      </c>
      <c r="C851" t="s">
        <v>6048</v>
      </c>
      <c r="D851" t="s">
        <v>6049</v>
      </c>
      <c r="F851">
        <v>2003</v>
      </c>
      <c r="H851" t="s">
        <v>2734</v>
      </c>
      <c r="I851">
        <v>1</v>
      </c>
      <c r="K851" t="s">
        <v>14332</v>
      </c>
      <c r="L851" s="222">
        <v>9783932752971</v>
      </c>
      <c r="M851">
        <v>430</v>
      </c>
      <c r="O851" t="s">
        <v>5252</v>
      </c>
      <c r="P851">
        <v>1119</v>
      </c>
      <c r="Q851">
        <v>17.940000000000001</v>
      </c>
    </row>
    <row r="852" spans="1:17" x14ac:dyDescent="0.25">
      <c r="A852">
        <v>796</v>
      </c>
      <c r="C852" t="s">
        <v>6051</v>
      </c>
      <c r="D852" t="s">
        <v>5902</v>
      </c>
      <c r="F852">
        <v>2001</v>
      </c>
      <c r="H852" t="s">
        <v>2734</v>
      </c>
      <c r="I852">
        <v>1</v>
      </c>
      <c r="K852" t="s">
        <v>14332</v>
      </c>
      <c r="L852" s="222">
        <v>9783870709433</v>
      </c>
      <c r="M852">
        <v>258</v>
      </c>
      <c r="O852" t="s">
        <v>5253</v>
      </c>
      <c r="P852">
        <v>777</v>
      </c>
      <c r="Q852">
        <v>3.01</v>
      </c>
    </row>
    <row r="853" spans="1:17" x14ac:dyDescent="0.25">
      <c r="A853">
        <v>1324</v>
      </c>
      <c r="B853" t="s">
        <v>6053</v>
      </c>
      <c r="C853" t="s">
        <v>6054</v>
      </c>
      <c r="D853" t="s">
        <v>2054</v>
      </c>
      <c r="F853">
        <v>2006</v>
      </c>
      <c r="H853" t="s">
        <v>1878</v>
      </c>
      <c r="I853">
        <v>2</v>
      </c>
      <c r="K853" t="s">
        <v>14332</v>
      </c>
      <c r="L853" s="222">
        <v>9783828920910</v>
      </c>
      <c r="M853">
        <v>144</v>
      </c>
      <c r="O853" t="s">
        <v>5254</v>
      </c>
      <c r="P853">
        <v>430</v>
      </c>
      <c r="Q853">
        <v>2.5099999999999998</v>
      </c>
    </row>
    <row r="854" spans="1:17" x14ac:dyDescent="0.25">
      <c r="A854">
        <v>665</v>
      </c>
      <c r="C854" t="s">
        <v>6056</v>
      </c>
      <c r="D854" t="s">
        <v>6057</v>
      </c>
      <c r="F854">
        <v>2005</v>
      </c>
      <c r="H854" t="s">
        <v>1878</v>
      </c>
      <c r="I854">
        <v>2</v>
      </c>
      <c r="K854" t="s">
        <v>14332</v>
      </c>
      <c r="L854" s="222">
        <v>9783507416611</v>
      </c>
      <c r="M854">
        <v>160</v>
      </c>
      <c r="O854" t="s">
        <v>5255</v>
      </c>
      <c r="P854">
        <v>291</v>
      </c>
      <c r="Q854">
        <v>4.6500000000000004</v>
      </c>
    </row>
    <row r="855" spans="1:17" x14ac:dyDescent="0.25">
      <c r="A855">
        <v>796</v>
      </c>
      <c r="B855" t="s">
        <v>6059</v>
      </c>
      <c r="C855" t="s">
        <v>6060</v>
      </c>
      <c r="D855" t="s">
        <v>2244</v>
      </c>
      <c r="E855" t="s">
        <v>1899</v>
      </c>
      <c r="F855">
        <v>2010</v>
      </c>
      <c r="H855" t="s">
        <v>2734</v>
      </c>
      <c r="I855">
        <v>2</v>
      </c>
      <c r="K855" t="s">
        <v>14332</v>
      </c>
      <c r="L855" s="222">
        <v>9783810506788</v>
      </c>
      <c r="M855">
        <v>642</v>
      </c>
      <c r="O855" t="s">
        <v>5256</v>
      </c>
      <c r="P855">
        <v>897</v>
      </c>
      <c r="Q855">
        <v>2.8</v>
      </c>
    </row>
    <row r="856" spans="1:17" x14ac:dyDescent="0.25">
      <c r="A856">
        <v>1939</v>
      </c>
      <c r="B856" t="s">
        <v>6062</v>
      </c>
      <c r="C856" t="s">
        <v>6063</v>
      </c>
      <c r="D856" t="s">
        <v>2300</v>
      </c>
      <c r="F856">
        <v>1994</v>
      </c>
      <c r="H856" t="s">
        <v>1878</v>
      </c>
      <c r="I856">
        <v>2</v>
      </c>
      <c r="K856" t="s">
        <v>14332</v>
      </c>
      <c r="M856">
        <v>160</v>
      </c>
      <c r="O856" t="s">
        <v>5257</v>
      </c>
      <c r="P856">
        <v>135</v>
      </c>
      <c r="Q856">
        <v>1.97</v>
      </c>
    </row>
    <row r="857" spans="1:17" x14ac:dyDescent="0.25">
      <c r="A857">
        <v>1395</v>
      </c>
      <c r="B857" t="s">
        <v>6064</v>
      </c>
      <c r="C857" t="s">
        <v>6065</v>
      </c>
      <c r="D857" t="s">
        <v>6066</v>
      </c>
      <c r="F857">
        <v>2005</v>
      </c>
      <c r="H857" t="s">
        <v>1878</v>
      </c>
      <c r="I857">
        <v>2</v>
      </c>
      <c r="K857" t="s">
        <v>14332</v>
      </c>
      <c r="L857" s="222">
        <v>9783936758207</v>
      </c>
      <c r="M857">
        <v>336</v>
      </c>
      <c r="O857" t="s">
        <v>5258</v>
      </c>
      <c r="P857">
        <v>379</v>
      </c>
      <c r="Q857">
        <v>2.72</v>
      </c>
    </row>
    <row r="858" spans="1:17" x14ac:dyDescent="0.25">
      <c r="A858">
        <v>2516</v>
      </c>
      <c r="B858" t="s">
        <v>6068</v>
      </c>
      <c r="C858" t="s">
        <v>6069</v>
      </c>
      <c r="D858" t="s">
        <v>2209</v>
      </c>
      <c r="F858">
        <v>1992</v>
      </c>
      <c r="H858" t="s">
        <v>2734</v>
      </c>
      <c r="I858">
        <v>3</v>
      </c>
      <c r="K858" t="s">
        <v>14332</v>
      </c>
      <c r="M858">
        <v>434</v>
      </c>
      <c r="O858" t="s">
        <v>5259</v>
      </c>
      <c r="P858">
        <v>499</v>
      </c>
      <c r="Q858">
        <v>2.4700000000000002</v>
      </c>
    </row>
    <row r="859" spans="1:17" x14ac:dyDescent="0.25">
      <c r="A859">
        <v>2576</v>
      </c>
      <c r="B859" t="s">
        <v>6070</v>
      </c>
      <c r="C859" t="s">
        <v>6071</v>
      </c>
      <c r="D859" t="s">
        <v>2453</v>
      </c>
      <c r="E859" t="s">
        <v>1913</v>
      </c>
      <c r="F859">
        <v>2010</v>
      </c>
      <c r="H859" t="s">
        <v>1878</v>
      </c>
      <c r="I859">
        <v>3</v>
      </c>
      <c r="K859" t="s">
        <v>14332</v>
      </c>
      <c r="L859" s="222">
        <v>9783570306635</v>
      </c>
      <c r="M859">
        <v>224</v>
      </c>
      <c r="O859" t="s">
        <v>5260</v>
      </c>
      <c r="P859">
        <v>247</v>
      </c>
      <c r="Q859">
        <v>2.62</v>
      </c>
    </row>
    <row r="860" spans="1:17" x14ac:dyDescent="0.25">
      <c r="A860">
        <v>1327</v>
      </c>
      <c r="B860" t="s">
        <v>6073</v>
      </c>
      <c r="C860" t="s">
        <v>6074</v>
      </c>
      <c r="D860" t="s">
        <v>5941</v>
      </c>
      <c r="F860">
        <v>2004</v>
      </c>
      <c r="H860" t="s">
        <v>2734</v>
      </c>
      <c r="I860">
        <v>1</v>
      </c>
      <c r="K860" t="s">
        <v>14332</v>
      </c>
      <c r="M860">
        <v>514</v>
      </c>
      <c r="O860" t="s">
        <v>5261</v>
      </c>
      <c r="P860">
        <v>980</v>
      </c>
      <c r="Q860">
        <v>3.01</v>
      </c>
    </row>
    <row r="861" spans="1:17" x14ac:dyDescent="0.25">
      <c r="A861">
        <v>2522</v>
      </c>
      <c r="B861" t="s">
        <v>6075</v>
      </c>
      <c r="C861" t="s">
        <v>6076</v>
      </c>
      <c r="D861" t="s">
        <v>2036</v>
      </c>
      <c r="F861">
        <v>2000</v>
      </c>
      <c r="H861" t="s">
        <v>2734</v>
      </c>
      <c r="I861">
        <v>2</v>
      </c>
      <c r="K861" t="s">
        <v>14332</v>
      </c>
      <c r="L861" s="222">
        <v>9783828967168</v>
      </c>
      <c r="M861">
        <v>530</v>
      </c>
      <c r="O861" t="s">
        <v>5262</v>
      </c>
      <c r="P861">
        <v>724</v>
      </c>
      <c r="Q861">
        <v>2.4700000000000002</v>
      </c>
    </row>
    <row r="862" spans="1:17" x14ac:dyDescent="0.25">
      <c r="A862">
        <v>1333</v>
      </c>
      <c r="B862" t="s">
        <v>6078</v>
      </c>
      <c r="C862" t="s">
        <v>6079</v>
      </c>
      <c r="D862" t="s">
        <v>4693</v>
      </c>
      <c r="E862" t="s">
        <v>2175</v>
      </c>
      <c r="F862">
        <v>2008</v>
      </c>
      <c r="H862" t="s">
        <v>1878</v>
      </c>
      <c r="I862">
        <v>2</v>
      </c>
      <c r="K862" t="s">
        <v>14332</v>
      </c>
      <c r="L862" s="222">
        <v>9783774263406</v>
      </c>
      <c r="M862">
        <v>64</v>
      </c>
      <c r="O862" t="s">
        <v>5263</v>
      </c>
      <c r="P862">
        <v>162</v>
      </c>
      <c r="Q862">
        <v>2.5099999999999998</v>
      </c>
    </row>
    <row r="863" spans="1:17" x14ac:dyDescent="0.25">
      <c r="A863">
        <v>1333</v>
      </c>
      <c r="C863" t="s">
        <v>6081</v>
      </c>
      <c r="D863" t="s">
        <v>3332</v>
      </c>
      <c r="H863" t="s">
        <v>1878</v>
      </c>
      <c r="I863">
        <v>1</v>
      </c>
      <c r="K863" t="s">
        <v>14332</v>
      </c>
      <c r="L863" s="222">
        <v>9783625112495</v>
      </c>
      <c r="M863">
        <v>96</v>
      </c>
      <c r="O863" t="s">
        <v>5264</v>
      </c>
      <c r="P863">
        <v>245</v>
      </c>
      <c r="Q863">
        <v>2.72</v>
      </c>
    </row>
    <row r="864" spans="1:17" x14ac:dyDescent="0.25">
      <c r="A864">
        <v>1314</v>
      </c>
      <c r="B864" t="s">
        <v>6086</v>
      </c>
      <c r="C864" t="s">
        <v>6087</v>
      </c>
      <c r="D864" t="s">
        <v>2822</v>
      </c>
      <c r="F864">
        <v>2003</v>
      </c>
      <c r="H864" t="s">
        <v>1878</v>
      </c>
      <c r="I864">
        <v>2</v>
      </c>
      <c r="J864" t="s">
        <v>3854</v>
      </c>
      <c r="K864" t="s">
        <v>14332</v>
      </c>
      <c r="L864" s="222">
        <v>9783570261453</v>
      </c>
      <c r="M864">
        <v>176</v>
      </c>
      <c r="O864" t="s">
        <v>5266</v>
      </c>
      <c r="P864">
        <v>199</v>
      </c>
      <c r="Q864">
        <v>2.5099999999999998</v>
      </c>
    </row>
    <row r="865" spans="1:17" x14ac:dyDescent="0.25">
      <c r="A865">
        <v>634</v>
      </c>
      <c r="B865" t="s">
        <v>6089</v>
      </c>
      <c r="C865" t="s">
        <v>6090</v>
      </c>
      <c r="D865" t="s">
        <v>2151</v>
      </c>
      <c r="F865">
        <v>1982</v>
      </c>
      <c r="H865" t="s">
        <v>1878</v>
      </c>
      <c r="I865">
        <v>3</v>
      </c>
      <c r="K865" t="s">
        <v>14332</v>
      </c>
      <c r="M865">
        <v>162</v>
      </c>
      <c r="O865" t="s">
        <v>5267</v>
      </c>
      <c r="P865">
        <v>111</v>
      </c>
      <c r="Q865">
        <v>2.5099999999999998</v>
      </c>
    </row>
    <row r="866" spans="1:17" x14ac:dyDescent="0.25">
      <c r="A866">
        <v>1395</v>
      </c>
      <c r="B866" t="s">
        <v>6091</v>
      </c>
      <c r="C866" t="s">
        <v>6092</v>
      </c>
      <c r="D866" t="s">
        <v>2257</v>
      </c>
      <c r="F866">
        <v>1998</v>
      </c>
      <c r="H866" t="s">
        <v>1878</v>
      </c>
      <c r="I866">
        <v>2</v>
      </c>
      <c r="J866" t="s">
        <v>3854</v>
      </c>
      <c r="K866" t="s">
        <v>14332</v>
      </c>
      <c r="L866" s="222">
        <v>9783426608432</v>
      </c>
      <c r="M866">
        <v>288</v>
      </c>
      <c r="O866" t="s">
        <v>5268</v>
      </c>
      <c r="P866">
        <v>344</v>
      </c>
      <c r="Q866">
        <v>2.5099999999999998</v>
      </c>
    </row>
    <row r="867" spans="1:17" x14ac:dyDescent="0.25">
      <c r="A867">
        <v>2551</v>
      </c>
      <c r="B867" t="s">
        <v>4238</v>
      </c>
      <c r="C867" t="s">
        <v>6094</v>
      </c>
      <c r="D867" t="s">
        <v>2232</v>
      </c>
      <c r="E867" t="s">
        <v>1913</v>
      </c>
      <c r="F867">
        <v>2001</v>
      </c>
      <c r="H867" t="s">
        <v>1878</v>
      </c>
      <c r="I867">
        <v>2</v>
      </c>
      <c r="K867" t="s">
        <v>14332</v>
      </c>
      <c r="L867" s="222">
        <v>9783442727193</v>
      </c>
      <c r="M867">
        <v>288</v>
      </c>
      <c r="O867" t="s">
        <v>5269</v>
      </c>
      <c r="P867">
        <v>275</v>
      </c>
      <c r="Q867">
        <v>2.5099999999999998</v>
      </c>
    </row>
    <row r="868" spans="1:17" x14ac:dyDescent="0.25">
      <c r="A868">
        <v>2571</v>
      </c>
      <c r="B868" t="s">
        <v>6073</v>
      </c>
      <c r="C868" t="s">
        <v>6096</v>
      </c>
      <c r="D868" t="s">
        <v>1988</v>
      </c>
      <c r="E868" t="s">
        <v>6097</v>
      </c>
      <c r="F868">
        <v>1997</v>
      </c>
      <c r="H868" t="s">
        <v>1878</v>
      </c>
      <c r="I868">
        <v>2</v>
      </c>
      <c r="K868" t="s">
        <v>14332</v>
      </c>
      <c r="L868" s="222">
        <v>9783423105514</v>
      </c>
      <c r="M868">
        <v>688</v>
      </c>
      <c r="O868" t="s">
        <v>5270</v>
      </c>
      <c r="P868">
        <v>501</v>
      </c>
      <c r="Q868">
        <v>3.01</v>
      </c>
    </row>
    <row r="869" spans="1:17" x14ac:dyDescent="0.25">
      <c r="A869">
        <v>2522</v>
      </c>
      <c r="B869" t="s">
        <v>6099</v>
      </c>
      <c r="C869" t="s">
        <v>6100</v>
      </c>
      <c r="D869" t="s">
        <v>4476</v>
      </c>
      <c r="E869" t="s">
        <v>1913</v>
      </c>
      <c r="F869">
        <v>1999</v>
      </c>
      <c r="H869" t="s">
        <v>2734</v>
      </c>
      <c r="I869">
        <v>1</v>
      </c>
      <c r="K869" t="s">
        <v>14332</v>
      </c>
      <c r="L869" s="222">
        <v>9783251004300</v>
      </c>
      <c r="M869">
        <v>290</v>
      </c>
      <c r="O869" t="s">
        <v>5271</v>
      </c>
      <c r="P869">
        <v>491</v>
      </c>
      <c r="Q869">
        <v>3.01</v>
      </c>
    </row>
    <row r="870" spans="1:17" x14ac:dyDescent="0.25">
      <c r="A870">
        <v>2522</v>
      </c>
      <c r="B870" t="s">
        <v>6102</v>
      </c>
      <c r="C870" t="s">
        <v>6103</v>
      </c>
      <c r="D870" t="s">
        <v>2386</v>
      </c>
      <c r="F870">
        <v>1999</v>
      </c>
      <c r="H870" t="s">
        <v>2734</v>
      </c>
      <c r="I870">
        <v>2</v>
      </c>
      <c r="K870" t="s">
        <v>14332</v>
      </c>
      <c r="L870" s="222">
        <v>9783785709993</v>
      </c>
      <c r="M870">
        <v>546</v>
      </c>
      <c r="O870" t="s">
        <v>5272</v>
      </c>
      <c r="P870">
        <v>751</v>
      </c>
      <c r="Q870">
        <v>3.12</v>
      </c>
    </row>
    <row r="871" spans="1:17" x14ac:dyDescent="0.25">
      <c r="A871">
        <v>2522</v>
      </c>
      <c r="B871" t="s">
        <v>6105</v>
      </c>
      <c r="C871" t="s">
        <v>6106</v>
      </c>
      <c r="D871" t="s">
        <v>2209</v>
      </c>
      <c r="E871" t="s">
        <v>1877</v>
      </c>
      <c r="F871">
        <v>2013</v>
      </c>
      <c r="H871" t="s">
        <v>1878</v>
      </c>
      <c r="I871">
        <v>2</v>
      </c>
      <c r="K871" t="s">
        <v>14332</v>
      </c>
      <c r="L871" s="222">
        <v>9783453269224</v>
      </c>
      <c r="M871">
        <v>400</v>
      </c>
      <c r="O871" t="s">
        <v>5273</v>
      </c>
      <c r="P871">
        <v>524</v>
      </c>
      <c r="Q871">
        <v>3.22</v>
      </c>
    </row>
    <row r="872" spans="1:17" x14ac:dyDescent="0.25">
      <c r="A872">
        <v>1327</v>
      </c>
      <c r="B872" t="s">
        <v>6108</v>
      </c>
      <c r="C872" t="s">
        <v>6109</v>
      </c>
      <c r="D872" t="s">
        <v>1912</v>
      </c>
      <c r="E872" t="s">
        <v>2335</v>
      </c>
      <c r="F872">
        <v>2001</v>
      </c>
      <c r="H872" t="s">
        <v>1878</v>
      </c>
      <c r="I872">
        <v>2</v>
      </c>
      <c r="K872" t="s">
        <v>14332</v>
      </c>
      <c r="L872" s="222">
        <v>9783442449361</v>
      </c>
      <c r="M872">
        <v>896</v>
      </c>
      <c r="O872" t="s">
        <v>5274</v>
      </c>
      <c r="P872">
        <v>588</v>
      </c>
      <c r="Q872">
        <v>2.4700000000000002</v>
      </c>
    </row>
    <row r="873" spans="1:17" x14ac:dyDescent="0.25">
      <c r="A873">
        <v>2571</v>
      </c>
      <c r="B873" t="s">
        <v>6111</v>
      </c>
      <c r="C873" t="s">
        <v>6112</v>
      </c>
      <c r="D873" t="s">
        <v>6113</v>
      </c>
      <c r="H873" t="s">
        <v>1878</v>
      </c>
      <c r="I873">
        <v>2</v>
      </c>
      <c r="K873" t="s">
        <v>14332</v>
      </c>
      <c r="L873" s="222">
        <v>9783924145132</v>
      </c>
      <c r="M873">
        <v>128</v>
      </c>
      <c r="O873" t="s">
        <v>5275</v>
      </c>
      <c r="P873">
        <v>146</v>
      </c>
      <c r="Q873">
        <v>3.37</v>
      </c>
    </row>
    <row r="874" spans="1:17" x14ac:dyDescent="0.25">
      <c r="A874">
        <v>692</v>
      </c>
      <c r="B874" t="s">
        <v>3637</v>
      </c>
      <c r="C874" t="s">
        <v>6115</v>
      </c>
      <c r="D874" t="s">
        <v>1993</v>
      </c>
      <c r="F874">
        <v>2011</v>
      </c>
      <c r="H874" t="s">
        <v>1878</v>
      </c>
      <c r="I874">
        <v>2</v>
      </c>
      <c r="K874" t="s">
        <v>14332</v>
      </c>
      <c r="M874">
        <v>448</v>
      </c>
      <c r="O874" t="s">
        <v>5276</v>
      </c>
      <c r="P874">
        <v>329</v>
      </c>
      <c r="Q874">
        <v>2.2999999999999998</v>
      </c>
    </row>
    <row r="875" spans="1:17" x14ac:dyDescent="0.25">
      <c r="A875">
        <v>1327</v>
      </c>
      <c r="B875" t="s">
        <v>4505</v>
      </c>
      <c r="C875" t="s">
        <v>6116</v>
      </c>
      <c r="D875" t="s">
        <v>1912</v>
      </c>
      <c r="E875" t="s">
        <v>1877</v>
      </c>
      <c r="F875">
        <v>1984</v>
      </c>
      <c r="H875" t="s">
        <v>1878</v>
      </c>
      <c r="I875">
        <v>3</v>
      </c>
      <c r="K875" t="s">
        <v>14332</v>
      </c>
      <c r="L875" s="222">
        <v>9783442067213</v>
      </c>
      <c r="M875">
        <v>512</v>
      </c>
      <c r="O875" t="s">
        <v>5277</v>
      </c>
      <c r="P875">
        <v>303</v>
      </c>
      <c r="Q875">
        <v>2.72</v>
      </c>
    </row>
    <row r="876" spans="1:17" x14ac:dyDescent="0.25">
      <c r="A876">
        <v>1327</v>
      </c>
      <c r="B876" t="s">
        <v>6118</v>
      </c>
      <c r="C876" t="s">
        <v>6119</v>
      </c>
      <c r="D876" t="s">
        <v>6120</v>
      </c>
      <c r="H876" t="s">
        <v>2734</v>
      </c>
      <c r="I876">
        <v>3</v>
      </c>
      <c r="K876" t="s">
        <v>14332</v>
      </c>
      <c r="L876" s="222">
        <v>9783700400134</v>
      </c>
      <c r="M876">
        <v>290</v>
      </c>
      <c r="O876" t="s">
        <v>5278</v>
      </c>
      <c r="P876">
        <v>526</v>
      </c>
      <c r="Q876">
        <v>4.08</v>
      </c>
    </row>
    <row r="877" spans="1:17" x14ac:dyDescent="0.25">
      <c r="A877">
        <v>1327</v>
      </c>
      <c r="B877" t="s">
        <v>6122</v>
      </c>
      <c r="C877" t="s">
        <v>6123</v>
      </c>
      <c r="D877" t="s">
        <v>1912</v>
      </c>
      <c r="E877" t="s">
        <v>1913</v>
      </c>
      <c r="F877">
        <v>1989</v>
      </c>
      <c r="H877" t="s">
        <v>1878</v>
      </c>
      <c r="I877">
        <v>3</v>
      </c>
      <c r="K877" t="s">
        <v>14332</v>
      </c>
      <c r="L877" s="222">
        <v>9783442119370</v>
      </c>
      <c r="M877">
        <v>288</v>
      </c>
      <c r="O877" t="s">
        <v>5279</v>
      </c>
      <c r="P877">
        <v>221</v>
      </c>
      <c r="Q877">
        <v>2.62</v>
      </c>
    </row>
    <row r="878" spans="1:17" x14ac:dyDescent="0.25">
      <c r="A878">
        <v>1327</v>
      </c>
      <c r="B878" t="s">
        <v>6125</v>
      </c>
      <c r="C878" t="s">
        <v>6126</v>
      </c>
      <c r="D878" t="s">
        <v>6127</v>
      </c>
      <c r="H878" t="s">
        <v>2734</v>
      </c>
      <c r="I878">
        <v>2</v>
      </c>
      <c r="K878" t="s">
        <v>14332</v>
      </c>
      <c r="M878">
        <v>114</v>
      </c>
      <c r="O878" t="s">
        <v>5280</v>
      </c>
      <c r="P878">
        <v>347</v>
      </c>
      <c r="Q878">
        <v>3.04</v>
      </c>
    </row>
    <row r="879" spans="1:17" x14ac:dyDescent="0.25">
      <c r="A879">
        <v>1327</v>
      </c>
      <c r="B879" t="s">
        <v>6128</v>
      </c>
      <c r="C879" t="s">
        <v>6129</v>
      </c>
      <c r="D879" t="s">
        <v>3312</v>
      </c>
      <c r="F879">
        <v>1997</v>
      </c>
      <c r="H879" t="s">
        <v>2734</v>
      </c>
      <c r="I879">
        <v>2</v>
      </c>
      <c r="K879" t="s">
        <v>14332</v>
      </c>
      <c r="M879">
        <v>434</v>
      </c>
      <c r="O879" t="s">
        <v>5281</v>
      </c>
      <c r="P879">
        <v>511</v>
      </c>
      <c r="Q879">
        <v>2.8</v>
      </c>
    </row>
    <row r="880" spans="1:17" x14ac:dyDescent="0.25">
      <c r="A880">
        <v>1395</v>
      </c>
      <c r="B880" t="s">
        <v>6130</v>
      </c>
      <c r="C880" t="s">
        <v>6131</v>
      </c>
      <c r="D880" t="s">
        <v>6132</v>
      </c>
      <c r="F880">
        <v>2013</v>
      </c>
      <c r="H880" t="s">
        <v>2734</v>
      </c>
      <c r="I880">
        <v>1</v>
      </c>
      <c r="K880" t="s">
        <v>14332</v>
      </c>
      <c r="M880">
        <v>194</v>
      </c>
      <c r="O880" t="s">
        <v>5282</v>
      </c>
      <c r="P880">
        <v>350</v>
      </c>
      <c r="Q880">
        <v>3.58</v>
      </c>
    </row>
    <row r="881" spans="1:17" x14ac:dyDescent="0.25">
      <c r="A881">
        <v>2522</v>
      </c>
      <c r="B881" t="s">
        <v>6133</v>
      </c>
      <c r="C881" t="s">
        <v>6134</v>
      </c>
      <c r="D881" t="s">
        <v>6135</v>
      </c>
      <c r="F881">
        <v>2017</v>
      </c>
      <c r="H881" t="s">
        <v>1878</v>
      </c>
      <c r="I881">
        <v>2</v>
      </c>
      <c r="K881" t="s">
        <v>14332</v>
      </c>
      <c r="L881" s="222">
        <v>9783608503784</v>
      </c>
      <c r="M881">
        <v>400</v>
      </c>
      <c r="O881" t="s">
        <v>5283</v>
      </c>
      <c r="P881">
        <v>572</v>
      </c>
      <c r="Q881">
        <v>3.87</v>
      </c>
    </row>
    <row r="882" spans="1:17" x14ac:dyDescent="0.25">
      <c r="A882">
        <v>796</v>
      </c>
      <c r="B882" t="s">
        <v>6137</v>
      </c>
      <c r="C882" t="s">
        <v>6138</v>
      </c>
      <c r="D882" t="s">
        <v>2209</v>
      </c>
      <c r="F882">
        <v>2010</v>
      </c>
      <c r="H882" t="s">
        <v>1878</v>
      </c>
      <c r="I882">
        <v>2</v>
      </c>
      <c r="K882" t="s">
        <v>14332</v>
      </c>
      <c r="L882" s="222">
        <v>9783453407077</v>
      </c>
      <c r="M882">
        <v>400</v>
      </c>
      <c r="O882" t="s">
        <v>5284</v>
      </c>
      <c r="P882">
        <v>323</v>
      </c>
      <c r="Q882">
        <v>2.5099999999999998</v>
      </c>
    </row>
    <row r="883" spans="1:17" x14ac:dyDescent="0.25">
      <c r="A883">
        <v>573</v>
      </c>
      <c r="B883" t="s">
        <v>6140</v>
      </c>
      <c r="C883" t="s">
        <v>6142</v>
      </c>
      <c r="D883" t="s">
        <v>6141</v>
      </c>
      <c r="F883">
        <v>1991</v>
      </c>
      <c r="H883" t="s">
        <v>1878</v>
      </c>
      <c r="I883">
        <v>2</v>
      </c>
      <c r="K883" t="s">
        <v>14332</v>
      </c>
      <c r="L883" s="222">
        <v>9783795029029</v>
      </c>
      <c r="M883">
        <v>192</v>
      </c>
      <c r="O883" t="s">
        <v>5285</v>
      </c>
      <c r="P883">
        <v>288</v>
      </c>
      <c r="Q883">
        <v>7.86</v>
      </c>
    </row>
    <row r="884" spans="1:17" x14ac:dyDescent="0.25">
      <c r="A884">
        <v>573</v>
      </c>
      <c r="B884" t="s">
        <v>6140</v>
      </c>
      <c r="C884" t="s">
        <v>6144</v>
      </c>
      <c r="D884" t="s">
        <v>6141</v>
      </c>
      <c r="F884">
        <v>1996</v>
      </c>
      <c r="H884" t="s">
        <v>1878</v>
      </c>
      <c r="I884">
        <v>2</v>
      </c>
      <c r="K884" t="s">
        <v>14332</v>
      </c>
      <c r="L884" s="222">
        <v>9783795029081</v>
      </c>
      <c r="M884">
        <v>224</v>
      </c>
      <c r="O884" t="s">
        <v>5286</v>
      </c>
      <c r="P884">
        <v>326</v>
      </c>
      <c r="Q884">
        <v>10</v>
      </c>
    </row>
    <row r="885" spans="1:17" x14ac:dyDescent="0.25">
      <c r="A885">
        <v>2522</v>
      </c>
      <c r="B885" t="s">
        <v>6146</v>
      </c>
      <c r="C885" t="s">
        <v>6180</v>
      </c>
      <c r="D885" t="s">
        <v>1912</v>
      </c>
      <c r="F885">
        <v>1995</v>
      </c>
      <c r="H885" t="s">
        <v>1878</v>
      </c>
      <c r="I885">
        <v>2</v>
      </c>
      <c r="K885" t="s">
        <v>14332</v>
      </c>
      <c r="M885">
        <v>576</v>
      </c>
      <c r="O885" t="s">
        <v>5287</v>
      </c>
      <c r="P885">
        <v>416</v>
      </c>
      <c r="Q885">
        <v>2.5099999999999998</v>
      </c>
    </row>
    <row r="886" spans="1:17" x14ac:dyDescent="0.25">
      <c r="A886">
        <v>765</v>
      </c>
      <c r="B886" t="s">
        <v>6147</v>
      </c>
      <c r="C886" t="s">
        <v>6148</v>
      </c>
      <c r="D886" t="s">
        <v>2300</v>
      </c>
      <c r="E886" t="s">
        <v>1913</v>
      </c>
      <c r="F886">
        <v>1992</v>
      </c>
      <c r="H886" t="s">
        <v>2734</v>
      </c>
      <c r="I886">
        <v>2</v>
      </c>
      <c r="J886" t="s">
        <v>5945</v>
      </c>
      <c r="K886" t="s">
        <v>14332</v>
      </c>
      <c r="L886" s="222">
        <v>9783498052720</v>
      </c>
      <c r="M886">
        <v>418</v>
      </c>
      <c r="O886" t="s">
        <v>5288</v>
      </c>
      <c r="P886">
        <v>582</v>
      </c>
      <c r="Q886">
        <v>4.08</v>
      </c>
    </row>
    <row r="887" spans="1:17" x14ac:dyDescent="0.25">
      <c r="A887">
        <v>692</v>
      </c>
      <c r="B887" t="s">
        <v>4031</v>
      </c>
      <c r="C887" t="s">
        <v>6150</v>
      </c>
      <c r="D887" t="s">
        <v>2609</v>
      </c>
      <c r="F887">
        <v>1996</v>
      </c>
      <c r="H887" t="s">
        <v>1878</v>
      </c>
      <c r="I887">
        <v>2</v>
      </c>
      <c r="K887" t="s">
        <v>14332</v>
      </c>
      <c r="L887" s="222">
        <v>9783596110575</v>
      </c>
      <c r="M887">
        <v>272</v>
      </c>
      <c r="O887" t="s">
        <v>5289</v>
      </c>
      <c r="P887">
        <v>228</v>
      </c>
      <c r="Q887">
        <v>1.97</v>
      </c>
    </row>
    <row r="888" spans="1:17" x14ac:dyDescent="0.25">
      <c r="A888">
        <v>1327</v>
      </c>
      <c r="B888" t="s">
        <v>6152</v>
      </c>
      <c r="C888" t="s">
        <v>6153</v>
      </c>
      <c r="D888" t="s">
        <v>2419</v>
      </c>
      <c r="E888" t="s">
        <v>1877</v>
      </c>
      <c r="F888">
        <v>1996</v>
      </c>
      <c r="H888" t="s">
        <v>1878</v>
      </c>
      <c r="I888">
        <v>3</v>
      </c>
      <c r="K888" t="s">
        <v>14332</v>
      </c>
      <c r="L888" s="222">
        <v>9783612270566</v>
      </c>
      <c r="M888">
        <v>264</v>
      </c>
      <c r="O888" t="s">
        <v>5290</v>
      </c>
      <c r="P888">
        <v>176</v>
      </c>
      <c r="Q888">
        <v>2.5099999999999998</v>
      </c>
    </row>
    <row r="889" spans="1:17" x14ac:dyDescent="0.25">
      <c r="A889">
        <v>632</v>
      </c>
      <c r="B889" t="s">
        <v>6155</v>
      </c>
      <c r="C889" t="s">
        <v>6156</v>
      </c>
      <c r="D889" t="s">
        <v>2644</v>
      </c>
      <c r="F889">
        <v>2005</v>
      </c>
      <c r="H889" t="s">
        <v>1878</v>
      </c>
      <c r="I889">
        <v>3</v>
      </c>
      <c r="K889" t="s">
        <v>14332</v>
      </c>
      <c r="L889" s="222">
        <v>9783257861259</v>
      </c>
      <c r="M889">
        <v>688</v>
      </c>
      <c r="O889" t="s">
        <v>5291</v>
      </c>
      <c r="P889">
        <v>478</v>
      </c>
      <c r="Q889">
        <v>3.37</v>
      </c>
    </row>
    <row r="890" spans="1:17" x14ac:dyDescent="0.25">
      <c r="A890">
        <v>1327</v>
      </c>
      <c r="B890" t="s">
        <v>6158</v>
      </c>
      <c r="C890" t="s">
        <v>6159</v>
      </c>
      <c r="D890" t="s">
        <v>1912</v>
      </c>
      <c r="E890" t="s">
        <v>1913</v>
      </c>
      <c r="F890">
        <v>2003</v>
      </c>
      <c r="H890" t="s">
        <v>1878</v>
      </c>
      <c r="I890">
        <v>2</v>
      </c>
      <c r="J890" t="s">
        <v>3854</v>
      </c>
      <c r="K890" t="s">
        <v>14332</v>
      </c>
      <c r="L890" s="222">
        <v>9783442456345</v>
      </c>
      <c r="M890">
        <v>320</v>
      </c>
      <c r="O890" t="s">
        <v>5292</v>
      </c>
      <c r="P890">
        <v>287</v>
      </c>
      <c r="Q890">
        <v>2.5099999999999998</v>
      </c>
    </row>
    <row r="891" spans="1:17" x14ac:dyDescent="0.25">
      <c r="A891">
        <v>704</v>
      </c>
      <c r="B891" t="s">
        <v>6164</v>
      </c>
      <c r="C891" t="s">
        <v>6165</v>
      </c>
      <c r="D891" t="s">
        <v>2300</v>
      </c>
      <c r="E891" t="s">
        <v>1913</v>
      </c>
      <c r="F891">
        <v>1988</v>
      </c>
      <c r="H891" t="s">
        <v>1878</v>
      </c>
      <c r="I891">
        <v>2</v>
      </c>
      <c r="K891" t="s">
        <v>14332</v>
      </c>
      <c r="L891" s="222">
        <v>9783498012762</v>
      </c>
      <c r="M891">
        <v>224</v>
      </c>
      <c r="O891" t="s">
        <v>5294</v>
      </c>
      <c r="P891">
        <v>297</v>
      </c>
      <c r="Q891">
        <v>2.72</v>
      </c>
    </row>
    <row r="892" spans="1:17" x14ac:dyDescent="0.25">
      <c r="A892">
        <v>1327</v>
      </c>
      <c r="B892" t="s">
        <v>6167</v>
      </c>
      <c r="C892" t="s">
        <v>6168</v>
      </c>
      <c r="D892" t="s">
        <v>2644</v>
      </c>
      <c r="F892">
        <v>1991</v>
      </c>
      <c r="H892" t="s">
        <v>2734</v>
      </c>
      <c r="I892">
        <v>2</v>
      </c>
      <c r="K892" t="s">
        <v>14332</v>
      </c>
      <c r="L892" s="222">
        <v>9783257018950</v>
      </c>
      <c r="M892">
        <v>134</v>
      </c>
      <c r="O892" t="s">
        <v>5295</v>
      </c>
      <c r="P892">
        <v>272</v>
      </c>
      <c r="Q892">
        <v>2.5099999999999998</v>
      </c>
    </row>
    <row r="893" spans="1:17" x14ac:dyDescent="0.25">
      <c r="A893">
        <v>0</v>
      </c>
      <c r="B893" t="s">
        <v>6171</v>
      </c>
      <c r="C893" t="s">
        <v>6172</v>
      </c>
      <c r="D893" t="s">
        <v>6173</v>
      </c>
      <c r="F893">
        <v>1986</v>
      </c>
      <c r="H893" t="s">
        <v>2734</v>
      </c>
      <c r="I893">
        <v>3</v>
      </c>
      <c r="K893" t="s">
        <v>14332</v>
      </c>
      <c r="L893" s="222">
        <v>9783922144564</v>
      </c>
      <c r="M893">
        <v>162</v>
      </c>
      <c r="O893" t="s">
        <v>5296</v>
      </c>
      <c r="P893">
        <v>251</v>
      </c>
      <c r="Q893">
        <v>2.94</v>
      </c>
    </row>
    <row r="894" spans="1:17" x14ac:dyDescent="0.25">
      <c r="A894">
        <v>2898</v>
      </c>
      <c r="B894" t="s">
        <v>6174</v>
      </c>
      <c r="C894" t="s">
        <v>6175</v>
      </c>
      <c r="D894" t="s">
        <v>6176</v>
      </c>
      <c r="F894">
        <v>1977</v>
      </c>
      <c r="H894" t="s">
        <v>2734</v>
      </c>
      <c r="I894">
        <v>3</v>
      </c>
      <c r="K894" t="s">
        <v>14332</v>
      </c>
      <c r="L894" s="222">
        <v>9783793605485</v>
      </c>
      <c r="M894">
        <v>82</v>
      </c>
      <c r="O894" t="s">
        <v>5297</v>
      </c>
      <c r="P894">
        <v>99</v>
      </c>
      <c r="Q894">
        <v>2.5099999999999998</v>
      </c>
    </row>
    <row r="895" spans="1:17" x14ac:dyDescent="0.25">
      <c r="A895">
        <v>2522</v>
      </c>
      <c r="B895" t="s">
        <v>2191</v>
      </c>
      <c r="C895" t="s">
        <v>6181</v>
      </c>
      <c r="D895" t="s">
        <v>1912</v>
      </c>
      <c r="E895" t="s">
        <v>2335</v>
      </c>
      <c r="F895">
        <v>2000</v>
      </c>
      <c r="H895" t="s">
        <v>1878</v>
      </c>
      <c r="I895">
        <v>2</v>
      </c>
      <c r="K895" t="s">
        <v>14332</v>
      </c>
      <c r="L895" s="222">
        <v>9783442448241</v>
      </c>
      <c r="M895">
        <v>416</v>
      </c>
      <c r="O895" t="s">
        <v>5298</v>
      </c>
      <c r="P895">
        <v>276</v>
      </c>
      <c r="Q895">
        <v>2.5099999999999998</v>
      </c>
    </row>
    <row r="896" spans="1:17" x14ac:dyDescent="0.25">
      <c r="A896">
        <v>1396</v>
      </c>
      <c r="B896" t="s">
        <v>6183</v>
      </c>
      <c r="C896" t="s">
        <v>6184</v>
      </c>
      <c r="D896" t="s">
        <v>2257</v>
      </c>
      <c r="F896">
        <v>2003</v>
      </c>
      <c r="H896" t="s">
        <v>1878</v>
      </c>
      <c r="I896">
        <v>2</v>
      </c>
      <c r="K896" t="s">
        <v>14332</v>
      </c>
      <c r="L896" s="222">
        <v>9783426622896</v>
      </c>
      <c r="M896">
        <v>448</v>
      </c>
      <c r="O896" t="s">
        <v>5299</v>
      </c>
      <c r="P896">
        <v>246</v>
      </c>
      <c r="Q896">
        <v>2.5099999999999998</v>
      </c>
    </row>
    <row r="897" spans="1:17" x14ac:dyDescent="0.25">
      <c r="A897">
        <v>796</v>
      </c>
      <c r="B897" t="s">
        <v>6186</v>
      </c>
      <c r="C897" t="s">
        <v>6187</v>
      </c>
      <c r="D897" t="s">
        <v>2300</v>
      </c>
      <c r="F897">
        <v>2006</v>
      </c>
      <c r="H897" t="s">
        <v>1878</v>
      </c>
      <c r="I897">
        <v>2</v>
      </c>
      <c r="K897" t="s">
        <v>14332</v>
      </c>
      <c r="L897" s="222">
        <v>9783499241260</v>
      </c>
      <c r="M897">
        <v>224</v>
      </c>
      <c r="O897" t="s">
        <v>5300</v>
      </c>
      <c r="P897">
        <v>210</v>
      </c>
      <c r="Q897">
        <v>2.5099999999999998</v>
      </c>
    </row>
    <row r="898" spans="1:17" x14ac:dyDescent="0.25">
      <c r="A898">
        <v>1244</v>
      </c>
      <c r="C898" t="s">
        <v>6189</v>
      </c>
      <c r="D898" t="s">
        <v>6190</v>
      </c>
      <c r="H898" t="s">
        <v>1878</v>
      </c>
      <c r="I898">
        <v>1</v>
      </c>
      <c r="K898" t="s">
        <v>14481</v>
      </c>
      <c r="L898" s="222">
        <v>9789044713343</v>
      </c>
      <c r="O898" t="s">
        <v>5301</v>
      </c>
      <c r="P898">
        <v>234</v>
      </c>
      <c r="Q898">
        <v>4.6500000000000004</v>
      </c>
    </row>
    <row r="899" spans="1:17" x14ac:dyDescent="0.25">
      <c r="A899">
        <v>632</v>
      </c>
      <c r="B899" t="s">
        <v>6193</v>
      </c>
      <c r="C899" t="s">
        <v>6194</v>
      </c>
      <c r="D899" t="s">
        <v>2054</v>
      </c>
      <c r="F899">
        <v>2007</v>
      </c>
      <c r="H899" t="s">
        <v>1878</v>
      </c>
      <c r="I899">
        <v>3</v>
      </c>
      <c r="K899" t="s">
        <v>14332</v>
      </c>
      <c r="L899" s="222">
        <v>9783868008210</v>
      </c>
      <c r="M899">
        <v>576</v>
      </c>
      <c r="O899" t="s">
        <v>5302</v>
      </c>
      <c r="P899">
        <v>425</v>
      </c>
      <c r="Q899">
        <v>2.5099999999999998</v>
      </c>
    </row>
    <row r="900" spans="1:17" x14ac:dyDescent="0.25">
      <c r="A900">
        <v>2649</v>
      </c>
      <c r="B900" t="s">
        <v>6196</v>
      </c>
      <c r="C900" t="s">
        <v>6197</v>
      </c>
      <c r="D900" t="s">
        <v>2103</v>
      </c>
      <c r="F900">
        <v>2012</v>
      </c>
      <c r="H900" t="s">
        <v>1878</v>
      </c>
      <c r="I900">
        <v>3</v>
      </c>
      <c r="K900" t="s">
        <v>14332</v>
      </c>
      <c r="L900" s="222">
        <v>4197585805505</v>
      </c>
      <c r="M900">
        <v>258</v>
      </c>
      <c r="O900" t="s">
        <v>5303</v>
      </c>
      <c r="P900">
        <v>160</v>
      </c>
      <c r="Q900">
        <v>2.72</v>
      </c>
    </row>
    <row r="901" spans="1:17" x14ac:dyDescent="0.25">
      <c r="A901">
        <v>765</v>
      </c>
      <c r="B901" t="s">
        <v>4797</v>
      </c>
      <c r="C901" t="s">
        <v>6199</v>
      </c>
      <c r="D901" t="s">
        <v>1876</v>
      </c>
      <c r="E901" t="s">
        <v>3053</v>
      </c>
      <c r="F901">
        <v>2002</v>
      </c>
      <c r="H901" t="s">
        <v>1878</v>
      </c>
      <c r="I901">
        <v>2</v>
      </c>
      <c r="K901" t="s">
        <v>14332</v>
      </c>
      <c r="L901" s="222">
        <v>9783492229418</v>
      </c>
      <c r="M901">
        <v>96</v>
      </c>
      <c r="O901" t="s">
        <v>5304</v>
      </c>
      <c r="P901">
        <v>175</v>
      </c>
      <c r="Q901">
        <v>2.5099999999999998</v>
      </c>
    </row>
    <row r="902" spans="1:17" x14ac:dyDescent="0.25">
      <c r="A902">
        <v>1395</v>
      </c>
      <c r="B902" t="s">
        <v>6201</v>
      </c>
      <c r="C902" t="s">
        <v>6202</v>
      </c>
      <c r="D902" t="s">
        <v>2209</v>
      </c>
      <c r="F902">
        <v>2005</v>
      </c>
      <c r="H902" t="s">
        <v>1878</v>
      </c>
      <c r="I902">
        <v>2</v>
      </c>
      <c r="J902" t="s">
        <v>3854</v>
      </c>
      <c r="K902" t="s">
        <v>14332</v>
      </c>
      <c r="L902" s="222">
        <v>9783453590137</v>
      </c>
      <c r="M902">
        <v>416</v>
      </c>
      <c r="O902" t="s">
        <v>5305</v>
      </c>
      <c r="P902">
        <v>340</v>
      </c>
      <c r="Q902">
        <v>2.5099999999999998</v>
      </c>
    </row>
    <row r="903" spans="1:17" x14ac:dyDescent="0.25">
      <c r="A903">
        <v>618</v>
      </c>
      <c r="B903" t="s">
        <v>6204</v>
      </c>
      <c r="C903" t="s">
        <v>6205</v>
      </c>
      <c r="D903" t="s">
        <v>2209</v>
      </c>
      <c r="F903">
        <v>1986</v>
      </c>
      <c r="H903" t="s">
        <v>1878</v>
      </c>
      <c r="I903">
        <v>3</v>
      </c>
      <c r="K903" t="s">
        <v>14332</v>
      </c>
      <c r="L903" s="222">
        <v>9783453312913</v>
      </c>
      <c r="M903">
        <v>336</v>
      </c>
      <c r="O903" t="s">
        <v>5306</v>
      </c>
      <c r="P903">
        <v>191</v>
      </c>
      <c r="Q903">
        <v>2.5099999999999998</v>
      </c>
    </row>
    <row r="904" spans="1:17" x14ac:dyDescent="0.25">
      <c r="A904">
        <v>632</v>
      </c>
      <c r="B904" t="s">
        <v>6210</v>
      </c>
      <c r="C904" t="s">
        <v>6211</v>
      </c>
      <c r="D904" t="s">
        <v>1988</v>
      </c>
      <c r="F904">
        <v>1999</v>
      </c>
      <c r="H904" t="s">
        <v>1878</v>
      </c>
      <c r="I904">
        <v>2</v>
      </c>
      <c r="K904" t="s">
        <v>14332</v>
      </c>
      <c r="L904" s="222">
        <v>9783423125673</v>
      </c>
      <c r="M904">
        <v>240</v>
      </c>
      <c r="O904" t="s">
        <v>5308</v>
      </c>
      <c r="P904">
        <v>213</v>
      </c>
      <c r="Q904">
        <v>3.04</v>
      </c>
    </row>
    <row r="905" spans="1:17" x14ac:dyDescent="0.25">
      <c r="A905">
        <v>1939</v>
      </c>
      <c r="B905" t="s">
        <v>6213</v>
      </c>
      <c r="C905" t="s">
        <v>6214</v>
      </c>
      <c r="D905" t="s">
        <v>2209</v>
      </c>
      <c r="F905">
        <v>2008</v>
      </c>
      <c r="H905" t="s">
        <v>1878</v>
      </c>
      <c r="I905">
        <v>1</v>
      </c>
      <c r="K905" t="s">
        <v>14332</v>
      </c>
      <c r="L905" s="222">
        <v>9783453406223</v>
      </c>
      <c r="M905">
        <v>96</v>
      </c>
      <c r="O905" t="s">
        <v>5309</v>
      </c>
      <c r="P905">
        <v>166</v>
      </c>
      <c r="Q905">
        <v>4.54</v>
      </c>
    </row>
    <row r="906" spans="1:17" x14ac:dyDescent="0.25">
      <c r="A906">
        <v>2463</v>
      </c>
      <c r="B906" t="s">
        <v>6216</v>
      </c>
      <c r="C906" t="s">
        <v>6217</v>
      </c>
      <c r="D906" t="s">
        <v>6218</v>
      </c>
      <c r="F906">
        <v>2002</v>
      </c>
      <c r="H906" t="s">
        <v>1878</v>
      </c>
      <c r="I906">
        <v>1</v>
      </c>
      <c r="K906" t="s">
        <v>14332</v>
      </c>
      <c r="L906" s="222">
        <v>9783829701846</v>
      </c>
      <c r="M906">
        <v>128</v>
      </c>
      <c r="O906" t="s">
        <v>5310</v>
      </c>
      <c r="P906">
        <v>193</v>
      </c>
      <c r="Q906">
        <v>1.97</v>
      </c>
    </row>
    <row r="907" spans="1:17" x14ac:dyDescent="0.25">
      <c r="A907">
        <v>1314</v>
      </c>
      <c r="B907" t="s">
        <v>6220</v>
      </c>
      <c r="C907" t="s">
        <v>6221</v>
      </c>
      <c r="D907" t="s">
        <v>2209</v>
      </c>
      <c r="F907">
        <v>2003</v>
      </c>
      <c r="H907" t="s">
        <v>1878</v>
      </c>
      <c r="I907">
        <v>2</v>
      </c>
      <c r="K907" t="s">
        <v>14332</v>
      </c>
      <c r="L907" s="222">
        <v>9783453870345</v>
      </c>
      <c r="M907">
        <v>224</v>
      </c>
      <c r="O907" t="s">
        <v>5311</v>
      </c>
      <c r="P907">
        <v>225</v>
      </c>
      <c r="Q907">
        <v>2.5099999999999998</v>
      </c>
    </row>
    <row r="908" spans="1:17" x14ac:dyDescent="0.25">
      <c r="A908">
        <v>1314</v>
      </c>
      <c r="B908" t="s">
        <v>4127</v>
      </c>
      <c r="C908" t="s">
        <v>6223</v>
      </c>
      <c r="D908" t="s">
        <v>3116</v>
      </c>
      <c r="E908" t="s">
        <v>1877</v>
      </c>
      <c r="F908">
        <v>2008</v>
      </c>
      <c r="H908" t="s">
        <v>1878</v>
      </c>
      <c r="I908">
        <v>2</v>
      </c>
      <c r="K908" t="s">
        <v>14332</v>
      </c>
      <c r="L908" s="222">
        <v>9783401057743</v>
      </c>
      <c r="M908">
        <v>256</v>
      </c>
      <c r="O908" t="s">
        <v>5312</v>
      </c>
      <c r="P908">
        <v>401</v>
      </c>
      <c r="Q908">
        <v>2.72</v>
      </c>
    </row>
    <row r="909" spans="1:17" x14ac:dyDescent="0.25">
      <c r="A909">
        <v>2551</v>
      </c>
      <c r="B909" t="s">
        <v>6225</v>
      </c>
      <c r="C909" t="s">
        <v>6226</v>
      </c>
      <c r="D909" t="s">
        <v>2054</v>
      </c>
      <c r="F909">
        <v>2012</v>
      </c>
      <c r="H909" t="s">
        <v>1878</v>
      </c>
      <c r="I909">
        <v>2</v>
      </c>
      <c r="K909" t="s">
        <v>14332</v>
      </c>
      <c r="L909" s="222">
        <v>9783868009132</v>
      </c>
      <c r="M909">
        <v>512</v>
      </c>
      <c r="O909" t="s">
        <v>5313</v>
      </c>
      <c r="P909">
        <v>638</v>
      </c>
      <c r="Q909">
        <v>3.22</v>
      </c>
    </row>
    <row r="910" spans="1:17" x14ac:dyDescent="0.25">
      <c r="A910">
        <v>2551</v>
      </c>
      <c r="B910" t="s">
        <v>4238</v>
      </c>
      <c r="C910" t="s">
        <v>6228</v>
      </c>
      <c r="D910" t="s">
        <v>5005</v>
      </c>
      <c r="F910">
        <v>2001</v>
      </c>
      <c r="H910" t="s">
        <v>1878</v>
      </c>
      <c r="I910">
        <v>3</v>
      </c>
      <c r="K910" t="s">
        <v>14332</v>
      </c>
      <c r="M910">
        <v>320</v>
      </c>
      <c r="O910" t="s">
        <v>5314</v>
      </c>
      <c r="P910">
        <v>235</v>
      </c>
      <c r="Q910">
        <v>2.5099999999999998</v>
      </c>
    </row>
    <row r="911" spans="1:17" x14ac:dyDescent="0.25">
      <c r="A911">
        <v>692</v>
      </c>
      <c r="B911" t="s">
        <v>6229</v>
      </c>
      <c r="C911" t="s">
        <v>6230</v>
      </c>
      <c r="D911" t="s">
        <v>2309</v>
      </c>
      <c r="E911" t="s">
        <v>1899</v>
      </c>
      <c r="F911">
        <v>2009</v>
      </c>
      <c r="H911" t="s">
        <v>1878</v>
      </c>
      <c r="I911">
        <v>2</v>
      </c>
      <c r="J911" t="s">
        <v>4291</v>
      </c>
      <c r="K911" t="s">
        <v>14332</v>
      </c>
      <c r="L911" s="222">
        <v>9783547711523</v>
      </c>
      <c r="M911">
        <v>242</v>
      </c>
      <c r="O911" t="s">
        <v>5315</v>
      </c>
      <c r="P911">
        <v>403</v>
      </c>
      <c r="Q911">
        <v>2.5099999999999998</v>
      </c>
    </row>
    <row r="912" spans="1:17" x14ac:dyDescent="0.25">
      <c r="A912">
        <v>1386</v>
      </c>
      <c r="B912" t="s">
        <v>6232</v>
      </c>
      <c r="C912" t="s">
        <v>3814</v>
      </c>
      <c r="D912" t="s">
        <v>5005</v>
      </c>
      <c r="F912">
        <v>2006</v>
      </c>
      <c r="H912" t="s">
        <v>1878</v>
      </c>
      <c r="I912">
        <v>3</v>
      </c>
      <c r="K912" t="s">
        <v>14332</v>
      </c>
      <c r="M912">
        <v>416</v>
      </c>
      <c r="O912" t="s">
        <v>5316</v>
      </c>
      <c r="P912">
        <v>303</v>
      </c>
      <c r="Q912">
        <v>2.5099999999999998</v>
      </c>
    </row>
    <row r="913" spans="1:17" x14ac:dyDescent="0.25">
      <c r="A913">
        <v>1395</v>
      </c>
      <c r="B913" t="s">
        <v>6233</v>
      </c>
      <c r="C913" t="s">
        <v>6234</v>
      </c>
      <c r="D913" t="s">
        <v>2644</v>
      </c>
      <c r="F913">
        <v>2009</v>
      </c>
      <c r="H913" t="s">
        <v>1878</v>
      </c>
      <c r="I913">
        <v>1</v>
      </c>
      <c r="K913" t="s">
        <v>14332</v>
      </c>
      <c r="L913" s="222">
        <v>9783257239492</v>
      </c>
      <c r="M913">
        <v>320</v>
      </c>
      <c r="O913" t="s">
        <v>5317</v>
      </c>
      <c r="P913">
        <v>274</v>
      </c>
      <c r="Q913">
        <v>2.5099999999999998</v>
      </c>
    </row>
    <row r="914" spans="1:17" x14ac:dyDescent="0.25">
      <c r="A914">
        <v>704</v>
      </c>
      <c r="B914" t="s">
        <v>6235</v>
      </c>
      <c r="C914" t="s">
        <v>6236</v>
      </c>
      <c r="D914" t="s">
        <v>1876</v>
      </c>
      <c r="E914" t="s">
        <v>2175</v>
      </c>
      <c r="F914">
        <v>2014</v>
      </c>
      <c r="H914" t="s">
        <v>1878</v>
      </c>
      <c r="I914">
        <v>2</v>
      </c>
      <c r="J914" t="s">
        <v>3854</v>
      </c>
      <c r="K914" t="s">
        <v>14332</v>
      </c>
      <c r="L914" s="222">
        <v>9783492300681</v>
      </c>
      <c r="M914">
        <v>320</v>
      </c>
      <c r="O914" t="s">
        <v>5318</v>
      </c>
      <c r="P914">
        <v>271</v>
      </c>
      <c r="Q914">
        <v>3.26</v>
      </c>
    </row>
    <row r="915" spans="1:17" x14ac:dyDescent="0.25">
      <c r="A915">
        <v>1321</v>
      </c>
      <c r="B915" t="s">
        <v>6237</v>
      </c>
      <c r="C915" t="s">
        <v>6238</v>
      </c>
      <c r="D915" t="s">
        <v>2257</v>
      </c>
      <c r="F915">
        <v>2006</v>
      </c>
      <c r="H915" t="s">
        <v>1878</v>
      </c>
      <c r="I915">
        <v>2</v>
      </c>
      <c r="J915" t="s">
        <v>4291</v>
      </c>
      <c r="K915" t="s">
        <v>14332</v>
      </c>
      <c r="L915" s="222">
        <v>9783426634752</v>
      </c>
      <c r="M915">
        <v>240</v>
      </c>
      <c r="O915" t="s">
        <v>5319</v>
      </c>
      <c r="P915">
        <v>220</v>
      </c>
      <c r="Q915">
        <v>2.62</v>
      </c>
    </row>
    <row r="916" spans="1:17" x14ac:dyDescent="0.25">
      <c r="A916">
        <v>1395</v>
      </c>
      <c r="B916" t="s">
        <v>6242</v>
      </c>
      <c r="C916" t="s">
        <v>6243</v>
      </c>
      <c r="D916" t="s">
        <v>1912</v>
      </c>
      <c r="E916" t="s">
        <v>2412</v>
      </c>
      <c r="F916">
        <v>2007</v>
      </c>
      <c r="H916" t="s">
        <v>1878</v>
      </c>
      <c r="I916">
        <v>3</v>
      </c>
      <c r="K916" t="s">
        <v>14332</v>
      </c>
      <c r="L916" s="222">
        <v>9783442464364</v>
      </c>
      <c r="M916">
        <v>448</v>
      </c>
      <c r="O916" t="s">
        <v>5320</v>
      </c>
      <c r="P916">
        <v>369</v>
      </c>
      <c r="Q916">
        <v>1.97</v>
      </c>
    </row>
    <row r="917" spans="1:17" x14ac:dyDescent="0.25">
      <c r="A917">
        <v>704</v>
      </c>
      <c r="B917" t="s">
        <v>6245</v>
      </c>
      <c r="C917" t="s">
        <v>6246</v>
      </c>
      <c r="D917" t="s">
        <v>2309</v>
      </c>
      <c r="E917" t="s">
        <v>2358</v>
      </c>
      <c r="F917">
        <v>2010</v>
      </c>
      <c r="H917" t="s">
        <v>1878</v>
      </c>
      <c r="I917">
        <v>2</v>
      </c>
      <c r="K917" t="s">
        <v>14332</v>
      </c>
      <c r="L917" s="222">
        <v>9783548373263</v>
      </c>
      <c r="M917">
        <v>192</v>
      </c>
      <c r="O917" t="s">
        <v>5321</v>
      </c>
      <c r="P917">
        <v>210</v>
      </c>
      <c r="Q917">
        <v>2.5099999999999998</v>
      </c>
    </row>
    <row r="918" spans="1:17" x14ac:dyDescent="0.25">
      <c r="A918">
        <v>796</v>
      </c>
      <c r="B918" t="s">
        <v>6248</v>
      </c>
      <c r="C918" t="s">
        <v>6249</v>
      </c>
      <c r="D918" t="s">
        <v>1993</v>
      </c>
      <c r="E918" t="s">
        <v>1877</v>
      </c>
      <c r="F918">
        <v>2014</v>
      </c>
      <c r="H918" t="s">
        <v>1878</v>
      </c>
      <c r="I918">
        <v>2</v>
      </c>
      <c r="J918" t="s">
        <v>4291</v>
      </c>
      <c r="K918" t="s">
        <v>14332</v>
      </c>
      <c r="L918" s="222">
        <v>9783442384051</v>
      </c>
      <c r="M918">
        <v>272</v>
      </c>
      <c r="O918" t="s">
        <v>5322</v>
      </c>
      <c r="P918">
        <v>231</v>
      </c>
      <c r="Q918">
        <v>5.61</v>
      </c>
    </row>
    <row r="919" spans="1:17" x14ac:dyDescent="0.25">
      <c r="A919">
        <v>2522</v>
      </c>
      <c r="B919" t="s">
        <v>3835</v>
      </c>
      <c r="C919" t="s">
        <v>6251</v>
      </c>
      <c r="D919" t="s">
        <v>2054</v>
      </c>
      <c r="F919">
        <v>2018</v>
      </c>
      <c r="H919" t="s">
        <v>1878</v>
      </c>
      <c r="I919">
        <v>2</v>
      </c>
      <c r="J919" t="s">
        <v>2237</v>
      </c>
      <c r="K919" t="s">
        <v>14332</v>
      </c>
      <c r="L919" s="222">
        <v>9783959738880</v>
      </c>
      <c r="M919">
        <v>432</v>
      </c>
      <c r="O919" t="s">
        <v>5323</v>
      </c>
      <c r="P919">
        <v>422</v>
      </c>
      <c r="Q919">
        <v>4.1100000000000003</v>
      </c>
    </row>
    <row r="920" spans="1:17" x14ac:dyDescent="0.25">
      <c r="A920">
        <v>632</v>
      </c>
      <c r="B920" t="s">
        <v>6256</v>
      </c>
      <c r="C920" t="s">
        <v>6257</v>
      </c>
      <c r="D920" t="s">
        <v>1920</v>
      </c>
      <c r="F920">
        <v>1998</v>
      </c>
      <c r="H920" t="s">
        <v>1878</v>
      </c>
      <c r="I920">
        <v>2</v>
      </c>
      <c r="K920" t="s">
        <v>14332</v>
      </c>
      <c r="L920" s="222">
        <v>9783404147298</v>
      </c>
      <c r="M920">
        <v>720</v>
      </c>
      <c r="O920" t="s">
        <v>5325</v>
      </c>
      <c r="P920">
        <v>608</v>
      </c>
      <c r="Q920">
        <v>3.01</v>
      </c>
    </row>
    <row r="921" spans="1:17" x14ac:dyDescent="0.25">
      <c r="A921">
        <v>766</v>
      </c>
      <c r="B921" t="s">
        <v>6259</v>
      </c>
      <c r="C921" t="s">
        <v>6260</v>
      </c>
      <c r="D921" t="s">
        <v>4841</v>
      </c>
      <c r="F921">
        <v>1997</v>
      </c>
      <c r="H921" t="s">
        <v>1878</v>
      </c>
      <c r="I921">
        <v>2</v>
      </c>
      <c r="K921" t="s">
        <v>14332</v>
      </c>
      <c r="L921" s="222">
        <v>9783451262845</v>
      </c>
      <c r="M921">
        <v>208</v>
      </c>
      <c r="O921" t="s">
        <v>5326</v>
      </c>
      <c r="P921">
        <v>293</v>
      </c>
      <c r="Q921">
        <v>3.47</v>
      </c>
    </row>
    <row r="922" spans="1:17" x14ac:dyDescent="0.25">
      <c r="A922">
        <v>2522</v>
      </c>
      <c r="B922" t="s">
        <v>6262</v>
      </c>
      <c r="C922" t="s">
        <v>6263</v>
      </c>
      <c r="D922" t="s">
        <v>2209</v>
      </c>
      <c r="F922">
        <v>2008</v>
      </c>
      <c r="H922" t="s">
        <v>1878</v>
      </c>
      <c r="I922">
        <v>2</v>
      </c>
      <c r="K922" t="s">
        <v>14332</v>
      </c>
      <c r="L922" s="222">
        <v>9783453721791</v>
      </c>
      <c r="M922">
        <v>528</v>
      </c>
      <c r="O922" t="s">
        <v>5327</v>
      </c>
      <c r="P922">
        <v>312</v>
      </c>
      <c r="Q922">
        <v>2.5099999999999998</v>
      </c>
    </row>
    <row r="923" spans="1:17" x14ac:dyDescent="0.25">
      <c r="A923">
        <v>766</v>
      </c>
      <c r="B923" t="s">
        <v>6237</v>
      </c>
      <c r="C923" t="s">
        <v>6265</v>
      </c>
      <c r="D923" t="s">
        <v>2257</v>
      </c>
      <c r="F923">
        <v>2004</v>
      </c>
      <c r="H923" t="s">
        <v>1878</v>
      </c>
      <c r="I923">
        <v>2</v>
      </c>
      <c r="K923" t="s">
        <v>14332</v>
      </c>
      <c r="L923" s="222">
        <v>9783426627143</v>
      </c>
      <c r="M923">
        <v>224</v>
      </c>
      <c r="O923" t="s">
        <v>5328</v>
      </c>
      <c r="P923">
        <v>207</v>
      </c>
      <c r="Q923">
        <v>1.81</v>
      </c>
    </row>
    <row r="924" spans="1:17" x14ac:dyDescent="0.25">
      <c r="A924">
        <v>1231</v>
      </c>
      <c r="B924" t="s">
        <v>6267</v>
      </c>
      <c r="C924" t="s">
        <v>6268</v>
      </c>
      <c r="D924" t="s">
        <v>2850</v>
      </c>
      <c r="F924">
        <v>2015</v>
      </c>
      <c r="H924" t="s">
        <v>1878</v>
      </c>
      <c r="I924">
        <v>2</v>
      </c>
      <c r="K924" t="s">
        <v>14332</v>
      </c>
      <c r="L924" s="222">
        <v>9783426304044</v>
      </c>
      <c r="M924">
        <v>320</v>
      </c>
      <c r="O924" t="s">
        <v>5329</v>
      </c>
      <c r="P924">
        <v>359</v>
      </c>
      <c r="Q924">
        <v>3.4</v>
      </c>
    </row>
    <row r="925" spans="1:17" x14ac:dyDescent="0.25">
      <c r="A925">
        <v>631</v>
      </c>
      <c r="B925" t="s">
        <v>6270</v>
      </c>
      <c r="C925" t="s">
        <v>6271</v>
      </c>
      <c r="D925" t="s">
        <v>2300</v>
      </c>
      <c r="F925">
        <v>2009</v>
      </c>
      <c r="H925" t="s">
        <v>1878</v>
      </c>
      <c r="I925">
        <v>3</v>
      </c>
      <c r="K925" t="s">
        <v>14332</v>
      </c>
      <c r="L925" s="222">
        <v>9783499252105</v>
      </c>
      <c r="M925">
        <v>352</v>
      </c>
      <c r="O925" t="s">
        <v>5330</v>
      </c>
      <c r="P925">
        <v>292</v>
      </c>
      <c r="Q925">
        <v>3.88</v>
      </c>
    </row>
    <row r="926" spans="1:17" x14ac:dyDescent="0.25">
      <c r="A926">
        <v>2522</v>
      </c>
      <c r="B926" t="s">
        <v>6273</v>
      </c>
      <c r="C926" t="s">
        <v>6274</v>
      </c>
      <c r="D926" t="s">
        <v>6275</v>
      </c>
      <c r="E926" t="s">
        <v>1913</v>
      </c>
      <c r="F926">
        <v>2012</v>
      </c>
      <c r="H926" t="s">
        <v>2734</v>
      </c>
      <c r="I926">
        <v>2</v>
      </c>
      <c r="J926" t="s">
        <v>14482</v>
      </c>
      <c r="K926" t="s">
        <v>14332</v>
      </c>
      <c r="L926" s="222">
        <v>9783937357546</v>
      </c>
      <c r="M926">
        <v>226</v>
      </c>
      <c r="O926" t="s">
        <v>5331</v>
      </c>
      <c r="P926">
        <v>378</v>
      </c>
      <c r="Q926">
        <v>7.13</v>
      </c>
    </row>
    <row r="927" spans="1:17" x14ac:dyDescent="0.25">
      <c r="A927">
        <v>2967</v>
      </c>
      <c r="B927" t="s">
        <v>6278</v>
      </c>
      <c r="C927" t="s">
        <v>6279</v>
      </c>
      <c r="D927" t="s">
        <v>2257</v>
      </c>
      <c r="F927">
        <v>2010</v>
      </c>
      <c r="H927" t="s">
        <v>1878</v>
      </c>
      <c r="I927">
        <v>3</v>
      </c>
      <c r="J927" t="s">
        <v>3854</v>
      </c>
      <c r="K927" t="s">
        <v>14332</v>
      </c>
      <c r="L927" s="222">
        <v>9783426779842</v>
      </c>
      <c r="M927">
        <v>304</v>
      </c>
      <c r="O927" t="s">
        <v>5332</v>
      </c>
      <c r="P927">
        <v>231</v>
      </c>
      <c r="Q927">
        <v>3.08</v>
      </c>
    </row>
    <row r="928" spans="1:17" x14ac:dyDescent="0.25">
      <c r="A928">
        <v>1321</v>
      </c>
      <c r="B928" t="s">
        <v>6281</v>
      </c>
      <c r="C928" t="s">
        <v>6282</v>
      </c>
      <c r="D928" t="s">
        <v>6283</v>
      </c>
      <c r="E928" t="s">
        <v>1877</v>
      </c>
      <c r="F928">
        <v>2003</v>
      </c>
      <c r="H928" t="s">
        <v>1878</v>
      </c>
      <c r="I928">
        <v>2</v>
      </c>
      <c r="K928" t="s">
        <v>14332</v>
      </c>
      <c r="L928" s="222">
        <v>9783332013139</v>
      </c>
      <c r="M928">
        <v>128</v>
      </c>
      <c r="O928" t="s">
        <v>5333</v>
      </c>
      <c r="P928">
        <v>269</v>
      </c>
      <c r="Q928">
        <v>4.3899999999999997</v>
      </c>
    </row>
    <row r="929" spans="1:17" x14ac:dyDescent="0.25">
      <c r="A929">
        <v>1231</v>
      </c>
      <c r="B929" t="s">
        <v>6285</v>
      </c>
      <c r="C929" t="s">
        <v>6286</v>
      </c>
      <c r="D929" t="s">
        <v>4834</v>
      </c>
      <c r="E929" t="s">
        <v>2375</v>
      </c>
      <c r="F929">
        <v>1983</v>
      </c>
      <c r="H929" t="s">
        <v>1878</v>
      </c>
      <c r="I929">
        <v>3</v>
      </c>
      <c r="K929" t="s">
        <v>14332</v>
      </c>
      <c r="L929" s="222">
        <v>9783922028048</v>
      </c>
      <c r="M929">
        <v>152</v>
      </c>
      <c r="O929" t="s">
        <v>5334</v>
      </c>
      <c r="P929">
        <v>186</v>
      </c>
      <c r="Q929">
        <v>2.13</v>
      </c>
    </row>
    <row r="930" spans="1:17" x14ac:dyDescent="0.25">
      <c r="A930">
        <v>618</v>
      </c>
      <c r="B930" t="s">
        <v>6288</v>
      </c>
      <c r="C930" t="s">
        <v>6289</v>
      </c>
      <c r="D930" t="s">
        <v>1920</v>
      </c>
      <c r="F930">
        <v>1986</v>
      </c>
      <c r="H930" t="s">
        <v>1878</v>
      </c>
      <c r="I930">
        <v>3</v>
      </c>
      <c r="K930" t="s">
        <v>14332</v>
      </c>
      <c r="L930" s="222">
        <v>9783404230556</v>
      </c>
      <c r="M930">
        <v>224</v>
      </c>
      <c r="O930" t="s">
        <v>5335</v>
      </c>
      <c r="P930">
        <v>130</v>
      </c>
      <c r="Q930">
        <v>3.4</v>
      </c>
    </row>
    <row r="931" spans="1:17" x14ac:dyDescent="0.25">
      <c r="A931">
        <v>758</v>
      </c>
      <c r="B931" t="s">
        <v>6291</v>
      </c>
      <c r="C931" t="s">
        <v>6292</v>
      </c>
      <c r="D931" t="s">
        <v>1912</v>
      </c>
      <c r="E931" t="s">
        <v>2175</v>
      </c>
      <c r="F931">
        <v>2005</v>
      </c>
      <c r="H931" t="s">
        <v>1878</v>
      </c>
      <c r="I931">
        <v>2</v>
      </c>
      <c r="K931" t="s">
        <v>14332</v>
      </c>
      <c r="L931" s="222">
        <v>9783442164998</v>
      </c>
      <c r="M931">
        <v>192</v>
      </c>
      <c r="O931" t="s">
        <v>5336</v>
      </c>
      <c r="P931">
        <v>190</v>
      </c>
      <c r="Q931">
        <v>3.72</v>
      </c>
    </row>
    <row r="932" spans="1:17" x14ac:dyDescent="0.25">
      <c r="A932">
        <v>692</v>
      </c>
      <c r="B932" t="s">
        <v>6294</v>
      </c>
      <c r="C932" t="s">
        <v>6295</v>
      </c>
      <c r="D932" t="s">
        <v>6296</v>
      </c>
      <c r="F932">
        <v>1984</v>
      </c>
      <c r="H932" t="s">
        <v>2734</v>
      </c>
      <c r="I932">
        <v>2</v>
      </c>
      <c r="J932" t="s">
        <v>5945</v>
      </c>
      <c r="K932" t="s">
        <v>14332</v>
      </c>
      <c r="M932">
        <v>310</v>
      </c>
      <c r="O932" t="s">
        <v>5337</v>
      </c>
      <c r="P932">
        <v>434</v>
      </c>
      <c r="Q932">
        <v>2.5299999999999998</v>
      </c>
    </row>
    <row r="933" spans="1:17" x14ac:dyDescent="0.25">
      <c r="A933">
        <v>1898</v>
      </c>
      <c r="B933" t="s">
        <v>6297</v>
      </c>
      <c r="C933" t="s">
        <v>6298</v>
      </c>
      <c r="D933" t="s">
        <v>6299</v>
      </c>
      <c r="F933">
        <v>1992</v>
      </c>
      <c r="H933" t="s">
        <v>1878</v>
      </c>
      <c r="I933">
        <v>2</v>
      </c>
      <c r="K933" t="s">
        <v>14332</v>
      </c>
      <c r="L933" s="222">
        <v>9783768807432</v>
      </c>
      <c r="M933">
        <v>120</v>
      </c>
      <c r="O933" t="s">
        <v>5338</v>
      </c>
      <c r="P933">
        <v>233</v>
      </c>
      <c r="Q933">
        <v>4.41</v>
      </c>
    </row>
    <row r="934" spans="1:17" x14ac:dyDescent="0.25">
      <c r="A934">
        <v>1360</v>
      </c>
      <c r="B934" t="s">
        <v>6301</v>
      </c>
      <c r="C934" t="s">
        <v>6302</v>
      </c>
      <c r="D934" t="s">
        <v>2209</v>
      </c>
      <c r="E934" t="s">
        <v>2518</v>
      </c>
      <c r="F934">
        <v>2014</v>
      </c>
      <c r="H934" t="s">
        <v>1878</v>
      </c>
      <c r="I934">
        <v>1</v>
      </c>
      <c r="K934" t="s">
        <v>14332</v>
      </c>
      <c r="L934" s="222">
        <v>9783453412699</v>
      </c>
      <c r="M934">
        <v>384</v>
      </c>
      <c r="O934" t="s">
        <v>5339</v>
      </c>
      <c r="P934">
        <v>309</v>
      </c>
      <c r="Q934">
        <v>2.65</v>
      </c>
    </row>
    <row r="935" spans="1:17" x14ac:dyDescent="0.25">
      <c r="A935">
        <v>1360</v>
      </c>
      <c r="B935" t="s">
        <v>6304</v>
      </c>
      <c r="C935" t="s">
        <v>6305</v>
      </c>
      <c r="D935" t="s">
        <v>2068</v>
      </c>
      <c r="F935">
        <v>1983</v>
      </c>
      <c r="H935" t="s">
        <v>1878</v>
      </c>
      <c r="I935">
        <v>3</v>
      </c>
      <c r="K935" t="s">
        <v>14332</v>
      </c>
      <c r="L935" s="222">
        <v>9783806804607</v>
      </c>
      <c r="M935">
        <v>128</v>
      </c>
      <c r="O935" t="s">
        <v>5340</v>
      </c>
      <c r="P935">
        <v>177</v>
      </c>
      <c r="Q935">
        <v>2.42</v>
      </c>
    </row>
    <row r="936" spans="1:17" x14ac:dyDescent="0.25">
      <c r="A936">
        <v>1324</v>
      </c>
      <c r="B936" t="s">
        <v>6307</v>
      </c>
      <c r="C936" t="s">
        <v>6308</v>
      </c>
      <c r="D936" t="s">
        <v>5743</v>
      </c>
      <c r="E936" t="s">
        <v>2375</v>
      </c>
      <c r="F936">
        <v>2001</v>
      </c>
      <c r="H936" t="s">
        <v>1878</v>
      </c>
      <c r="I936">
        <v>2</v>
      </c>
      <c r="K936" t="s">
        <v>14332</v>
      </c>
      <c r="L936" s="222">
        <v>4006067983504</v>
      </c>
      <c r="M936">
        <v>184</v>
      </c>
      <c r="O936" t="s">
        <v>5341</v>
      </c>
      <c r="P936">
        <v>474</v>
      </c>
      <c r="Q936">
        <v>2.21</v>
      </c>
    </row>
    <row r="937" spans="1:17" x14ac:dyDescent="0.25">
      <c r="A937">
        <v>991</v>
      </c>
      <c r="C937" t="s">
        <v>6310</v>
      </c>
      <c r="D937" t="s">
        <v>6311</v>
      </c>
      <c r="F937">
        <v>2006</v>
      </c>
      <c r="H937" t="s">
        <v>1878</v>
      </c>
      <c r="I937">
        <v>2</v>
      </c>
      <c r="J937" t="s">
        <v>4291</v>
      </c>
      <c r="K937" t="s">
        <v>14332</v>
      </c>
      <c r="L937" s="222">
        <v>9783458349044</v>
      </c>
      <c r="M937">
        <v>256</v>
      </c>
      <c r="O937" t="s">
        <v>5342</v>
      </c>
      <c r="P937">
        <v>288</v>
      </c>
      <c r="Q937">
        <v>2.64</v>
      </c>
    </row>
    <row r="938" spans="1:17" x14ac:dyDescent="0.25">
      <c r="A938">
        <v>2522</v>
      </c>
      <c r="B938" t="s">
        <v>6313</v>
      </c>
      <c r="C938" t="s">
        <v>6314</v>
      </c>
      <c r="D938" t="s">
        <v>2232</v>
      </c>
      <c r="E938" t="s">
        <v>1913</v>
      </c>
      <c r="F938">
        <v>2018</v>
      </c>
      <c r="H938" t="s">
        <v>1878</v>
      </c>
      <c r="I938">
        <v>1</v>
      </c>
      <c r="K938" t="s">
        <v>14332</v>
      </c>
      <c r="L938" s="222">
        <v>9783442716746</v>
      </c>
      <c r="M938">
        <v>352</v>
      </c>
      <c r="O938" t="s">
        <v>5343</v>
      </c>
      <c r="P938">
        <v>418</v>
      </c>
      <c r="Q938">
        <v>3.39</v>
      </c>
    </row>
    <row r="939" spans="1:17" x14ac:dyDescent="0.25">
      <c r="A939">
        <v>8</v>
      </c>
      <c r="B939" t="s">
        <v>6316</v>
      </c>
      <c r="C939" t="s">
        <v>6317</v>
      </c>
      <c r="D939" t="s">
        <v>2257</v>
      </c>
      <c r="E939" t="s">
        <v>2175</v>
      </c>
      <c r="F939">
        <v>1993</v>
      </c>
      <c r="H939" t="s">
        <v>1878</v>
      </c>
      <c r="I939">
        <v>3</v>
      </c>
      <c r="K939" t="s">
        <v>14332</v>
      </c>
      <c r="L939" s="222">
        <v>9783426601914</v>
      </c>
      <c r="M939">
        <v>432</v>
      </c>
      <c r="O939" t="s">
        <v>5344</v>
      </c>
      <c r="P939">
        <v>293</v>
      </c>
      <c r="Q939">
        <v>2.5299999999999998</v>
      </c>
    </row>
    <row r="940" spans="1:17" x14ac:dyDescent="0.25">
      <c r="A940">
        <v>1875</v>
      </c>
      <c r="B940" t="s">
        <v>6319</v>
      </c>
      <c r="C940" t="s">
        <v>6320</v>
      </c>
      <c r="D940" t="s">
        <v>2818</v>
      </c>
      <c r="E940" t="s">
        <v>1899</v>
      </c>
      <c r="F940">
        <v>2000</v>
      </c>
      <c r="H940" t="s">
        <v>2734</v>
      </c>
      <c r="I940">
        <v>2</v>
      </c>
      <c r="K940" t="s">
        <v>14332</v>
      </c>
      <c r="L940" s="222">
        <v>9783765564086</v>
      </c>
      <c r="O940" t="s">
        <v>5345</v>
      </c>
      <c r="P940">
        <v>171</v>
      </c>
      <c r="Q940">
        <v>3.07</v>
      </c>
    </row>
    <row r="941" spans="1:17" x14ac:dyDescent="0.25">
      <c r="A941">
        <v>689</v>
      </c>
      <c r="B941" t="s">
        <v>6322</v>
      </c>
      <c r="C941" t="s">
        <v>6323</v>
      </c>
      <c r="D941" t="s">
        <v>5005</v>
      </c>
      <c r="F941">
        <v>2003</v>
      </c>
      <c r="H941" t="s">
        <v>1878</v>
      </c>
      <c r="I941">
        <v>3</v>
      </c>
      <c r="K941" t="s">
        <v>14332</v>
      </c>
      <c r="M941">
        <v>576</v>
      </c>
      <c r="O941" t="s">
        <v>5346</v>
      </c>
      <c r="P941">
        <v>414</v>
      </c>
      <c r="Q941">
        <v>2.13</v>
      </c>
    </row>
    <row r="942" spans="1:17" x14ac:dyDescent="0.25">
      <c r="A942">
        <v>1957</v>
      </c>
      <c r="B942" t="s">
        <v>6324</v>
      </c>
      <c r="C942" t="s">
        <v>6325</v>
      </c>
      <c r="D942" t="s">
        <v>2209</v>
      </c>
      <c r="E942" t="s">
        <v>1877</v>
      </c>
      <c r="F942">
        <v>1993</v>
      </c>
      <c r="H942" t="s">
        <v>1878</v>
      </c>
      <c r="I942">
        <v>3</v>
      </c>
      <c r="K942" t="s">
        <v>14332</v>
      </c>
      <c r="L942" s="222">
        <v>9783453059108</v>
      </c>
      <c r="M942">
        <v>432</v>
      </c>
      <c r="O942" t="s">
        <v>5347</v>
      </c>
      <c r="P942">
        <v>288</v>
      </c>
      <c r="Q942">
        <v>2.74</v>
      </c>
    </row>
    <row r="943" spans="1:17" x14ac:dyDescent="0.25">
      <c r="A943">
        <v>2551</v>
      </c>
      <c r="B943" t="s">
        <v>6327</v>
      </c>
      <c r="C943" t="s">
        <v>6328</v>
      </c>
      <c r="D943" t="s">
        <v>2232</v>
      </c>
      <c r="E943" t="s">
        <v>1921</v>
      </c>
      <c r="F943">
        <v>2001</v>
      </c>
      <c r="H943" t="s">
        <v>1878</v>
      </c>
      <c r="I943">
        <v>2</v>
      </c>
      <c r="K943" t="s">
        <v>14332</v>
      </c>
      <c r="L943" s="222">
        <v>9783442726240</v>
      </c>
      <c r="M943">
        <v>384</v>
      </c>
      <c r="O943" t="s">
        <v>5348</v>
      </c>
      <c r="P943">
        <v>322</v>
      </c>
      <c r="Q943">
        <v>2.3199999999999998</v>
      </c>
    </row>
    <row r="944" spans="1:17" x14ac:dyDescent="0.25">
      <c r="A944">
        <v>647</v>
      </c>
      <c r="B944" t="s">
        <v>6330</v>
      </c>
      <c r="C944" t="s">
        <v>6331</v>
      </c>
      <c r="D944" t="s">
        <v>2068</v>
      </c>
      <c r="F944">
        <v>2001</v>
      </c>
      <c r="H944" t="s">
        <v>1878</v>
      </c>
      <c r="I944">
        <v>2</v>
      </c>
      <c r="K944" t="s">
        <v>14332</v>
      </c>
      <c r="L944" s="222">
        <v>9783806828399</v>
      </c>
      <c r="M944">
        <v>160</v>
      </c>
      <c r="O944" t="s">
        <v>5349</v>
      </c>
      <c r="P944">
        <v>260</v>
      </c>
      <c r="Q944">
        <v>2.74</v>
      </c>
    </row>
    <row r="945" spans="1:17" x14ac:dyDescent="0.25">
      <c r="A945">
        <v>1927</v>
      </c>
      <c r="B945" t="s">
        <v>6333</v>
      </c>
      <c r="C945" t="s">
        <v>6334</v>
      </c>
      <c r="D945" t="s">
        <v>2054</v>
      </c>
      <c r="F945">
        <v>2011</v>
      </c>
      <c r="H945" t="s">
        <v>1878</v>
      </c>
      <c r="I945">
        <v>2</v>
      </c>
      <c r="K945" t="s">
        <v>14332</v>
      </c>
      <c r="L945" s="222">
        <v>9783828941786</v>
      </c>
      <c r="M945">
        <v>192</v>
      </c>
      <c r="O945" t="s">
        <v>5350</v>
      </c>
      <c r="P945">
        <v>360</v>
      </c>
      <c r="Q945">
        <v>5.95</v>
      </c>
    </row>
    <row r="946" spans="1:17" x14ac:dyDescent="0.25">
      <c r="A946">
        <v>1395</v>
      </c>
      <c r="B946" t="s">
        <v>6336</v>
      </c>
      <c r="C946" t="s">
        <v>6337</v>
      </c>
      <c r="D946" t="s">
        <v>1912</v>
      </c>
      <c r="E946" t="s">
        <v>1913</v>
      </c>
      <c r="F946">
        <v>2012</v>
      </c>
      <c r="H946" t="s">
        <v>1878</v>
      </c>
      <c r="I946">
        <v>2</v>
      </c>
      <c r="J946" t="s">
        <v>3854</v>
      </c>
      <c r="K946" t="s">
        <v>14332</v>
      </c>
      <c r="L946" s="222">
        <v>9783442477920</v>
      </c>
      <c r="M946">
        <v>320</v>
      </c>
      <c r="O946" t="s">
        <v>5351</v>
      </c>
      <c r="P946">
        <v>292</v>
      </c>
      <c r="Q946">
        <v>2.3199999999999998</v>
      </c>
    </row>
    <row r="947" spans="1:17" x14ac:dyDescent="0.25">
      <c r="A947">
        <v>2571</v>
      </c>
      <c r="B947" t="s">
        <v>6339</v>
      </c>
      <c r="C947" t="s">
        <v>6340</v>
      </c>
      <c r="D947" t="s">
        <v>2257</v>
      </c>
      <c r="F947">
        <v>2008</v>
      </c>
      <c r="H947" t="s">
        <v>1878</v>
      </c>
      <c r="I947">
        <v>3</v>
      </c>
      <c r="K947" t="s">
        <v>14332</v>
      </c>
      <c r="L947" s="222">
        <v>9783426627570</v>
      </c>
      <c r="M947">
        <v>528</v>
      </c>
      <c r="O947" t="s">
        <v>5352</v>
      </c>
      <c r="P947">
        <v>354</v>
      </c>
      <c r="Q947">
        <v>2.96</v>
      </c>
    </row>
    <row r="948" spans="1:17" x14ac:dyDescent="0.25">
      <c r="A948">
        <v>2851</v>
      </c>
      <c r="B948" t="s">
        <v>6342</v>
      </c>
      <c r="C948" t="s">
        <v>6343</v>
      </c>
      <c r="D948" t="s">
        <v>2176</v>
      </c>
      <c r="F948">
        <v>1999</v>
      </c>
      <c r="H948" t="s">
        <v>2734</v>
      </c>
      <c r="I948">
        <v>1</v>
      </c>
      <c r="K948" t="s">
        <v>14332</v>
      </c>
      <c r="L948" s="222">
        <v>9783100048042</v>
      </c>
      <c r="M948">
        <v>562</v>
      </c>
      <c r="O948" t="s">
        <v>5353</v>
      </c>
      <c r="P948">
        <v>977</v>
      </c>
      <c r="Q948">
        <v>3.24</v>
      </c>
    </row>
    <row r="949" spans="1:17" x14ac:dyDescent="0.25">
      <c r="A949">
        <v>2571</v>
      </c>
      <c r="B949" t="s">
        <v>6345</v>
      </c>
      <c r="C949" t="s">
        <v>6346</v>
      </c>
      <c r="D949" t="s">
        <v>2300</v>
      </c>
      <c r="F949">
        <v>2012</v>
      </c>
      <c r="H949" t="s">
        <v>1878</v>
      </c>
      <c r="I949">
        <v>2</v>
      </c>
      <c r="J949" t="s">
        <v>3854</v>
      </c>
      <c r="K949" t="s">
        <v>14332</v>
      </c>
      <c r="L949" s="222">
        <v>9783499259524</v>
      </c>
      <c r="M949">
        <v>384</v>
      </c>
      <c r="O949" t="s">
        <v>5354</v>
      </c>
      <c r="P949">
        <v>343</v>
      </c>
      <c r="Q949">
        <v>2.42</v>
      </c>
    </row>
    <row r="950" spans="1:17" x14ac:dyDescent="0.25">
      <c r="A950">
        <v>689</v>
      </c>
      <c r="B950" t="s">
        <v>2470</v>
      </c>
      <c r="C950" t="s">
        <v>6348</v>
      </c>
      <c r="D950" t="s">
        <v>4669</v>
      </c>
      <c r="F950">
        <v>2004</v>
      </c>
      <c r="H950" t="s">
        <v>2734</v>
      </c>
      <c r="I950">
        <v>1</v>
      </c>
      <c r="K950" t="s">
        <v>14332</v>
      </c>
      <c r="L950" s="222">
        <v>9783854929543</v>
      </c>
      <c r="M950">
        <v>242</v>
      </c>
      <c r="O950" t="s">
        <v>5355</v>
      </c>
      <c r="P950">
        <v>460</v>
      </c>
      <c r="Q950">
        <v>2.85</v>
      </c>
    </row>
    <row r="951" spans="1:17" x14ac:dyDescent="0.25">
      <c r="A951">
        <v>1395</v>
      </c>
      <c r="B951" t="s">
        <v>6350</v>
      </c>
      <c r="C951" t="s">
        <v>6351</v>
      </c>
      <c r="D951" t="s">
        <v>1993</v>
      </c>
      <c r="E951" t="s">
        <v>1913</v>
      </c>
      <c r="F951">
        <v>2011</v>
      </c>
      <c r="H951" t="s">
        <v>1878</v>
      </c>
      <c r="I951">
        <v>2</v>
      </c>
      <c r="K951" t="s">
        <v>14332</v>
      </c>
      <c r="L951" s="222">
        <v>9783442377688</v>
      </c>
      <c r="M951">
        <v>352</v>
      </c>
      <c r="O951" t="s">
        <v>5356</v>
      </c>
      <c r="P951">
        <v>296</v>
      </c>
      <c r="Q951">
        <v>2.13</v>
      </c>
    </row>
    <row r="952" spans="1:17" x14ac:dyDescent="0.25">
      <c r="A952">
        <v>1327</v>
      </c>
      <c r="B952" t="s">
        <v>6353</v>
      </c>
      <c r="C952" t="s">
        <v>6354</v>
      </c>
      <c r="D952" t="s">
        <v>2151</v>
      </c>
      <c r="E952" t="s">
        <v>1877</v>
      </c>
      <c r="F952">
        <v>1985</v>
      </c>
      <c r="H952" t="s">
        <v>1878</v>
      </c>
      <c r="I952">
        <v>3</v>
      </c>
      <c r="K952" t="s">
        <v>14332</v>
      </c>
      <c r="L952" s="222">
        <v>9783811861268</v>
      </c>
      <c r="M952">
        <v>240</v>
      </c>
      <c r="O952" t="s">
        <v>5357</v>
      </c>
      <c r="P952">
        <v>142</v>
      </c>
      <c r="Q952">
        <v>2.13</v>
      </c>
    </row>
    <row r="953" spans="1:17" x14ac:dyDescent="0.25">
      <c r="A953">
        <v>2851</v>
      </c>
      <c r="B953" t="s">
        <v>6357</v>
      </c>
      <c r="C953" t="s">
        <v>6358</v>
      </c>
      <c r="D953" t="s">
        <v>3864</v>
      </c>
      <c r="F953">
        <v>2016</v>
      </c>
      <c r="H953" t="s">
        <v>2734</v>
      </c>
      <c r="I953">
        <v>1</v>
      </c>
      <c r="J953" t="s">
        <v>14483</v>
      </c>
      <c r="K953" t="s">
        <v>14332</v>
      </c>
      <c r="L953" s="222">
        <v>9783832198299</v>
      </c>
      <c r="O953" t="s">
        <v>5358</v>
      </c>
      <c r="P953">
        <v>384</v>
      </c>
      <c r="Q953">
        <v>1.63</v>
      </c>
    </row>
    <row r="954" spans="1:17" x14ac:dyDescent="0.25">
      <c r="A954">
        <v>655</v>
      </c>
      <c r="B954" t="s">
        <v>6362</v>
      </c>
      <c r="C954" t="s">
        <v>6363</v>
      </c>
      <c r="D954" t="s">
        <v>2117</v>
      </c>
      <c r="E954" t="s">
        <v>1913</v>
      </c>
      <c r="F954">
        <v>2016</v>
      </c>
      <c r="I954">
        <v>2</v>
      </c>
      <c r="J954" t="s">
        <v>3854</v>
      </c>
      <c r="L954" s="222">
        <v>4007742199869</v>
      </c>
      <c r="M954">
        <v>50</v>
      </c>
      <c r="O954" t="s">
        <v>5359</v>
      </c>
      <c r="P954">
        <v>330</v>
      </c>
      <c r="Q954">
        <v>4.84</v>
      </c>
    </row>
    <row r="955" spans="1:17" x14ac:dyDescent="0.25">
      <c r="A955">
        <v>704</v>
      </c>
      <c r="B955" t="s">
        <v>6365</v>
      </c>
      <c r="C955" t="s">
        <v>6366</v>
      </c>
      <c r="D955" t="s">
        <v>6367</v>
      </c>
      <c r="F955">
        <v>2013</v>
      </c>
      <c r="H955" t="s">
        <v>1878</v>
      </c>
      <c r="I955">
        <v>2</v>
      </c>
      <c r="J955" t="s">
        <v>3854</v>
      </c>
      <c r="K955" t="s">
        <v>14332</v>
      </c>
      <c r="L955" s="222">
        <v>9783806227659</v>
      </c>
      <c r="M955">
        <v>208</v>
      </c>
      <c r="O955" t="s">
        <v>5360</v>
      </c>
      <c r="P955">
        <v>316</v>
      </c>
      <c r="Q955">
        <v>4.3099999999999996</v>
      </c>
    </row>
    <row r="956" spans="1:17" x14ac:dyDescent="0.25">
      <c r="A956">
        <v>2706</v>
      </c>
      <c r="B956" t="s">
        <v>6369</v>
      </c>
      <c r="C956" t="s">
        <v>6370</v>
      </c>
      <c r="D956" t="s">
        <v>2117</v>
      </c>
      <c r="E956" t="s">
        <v>1913</v>
      </c>
      <c r="F956">
        <v>2013</v>
      </c>
      <c r="H956" t="s">
        <v>1878</v>
      </c>
      <c r="I956">
        <v>2</v>
      </c>
      <c r="J956" t="s">
        <v>3854</v>
      </c>
      <c r="K956" t="s">
        <v>14332</v>
      </c>
      <c r="L956" s="222">
        <v>9783772473531</v>
      </c>
      <c r="M956">
        <v>128</v>
      </c>
      <c r="O956" t="s">
        <v>5361</v>
      </c>
      <c r="P956">
        <v>274</v>
      </c>
      <c r="Q956">
        <v>2.7</v>
      </c>
    </row>
    <row r="957" spans="1:17" x14ac:dyDescent="0.25">
      <c r="A957">
        <v>2706</v>
      </c>
      <c r="B957" t="s">
        <v>6372</v>
      </c>
      <c r="C957" t="s">
        <v>6373</v>
      </c>
      <c r="D957" t="s">
        <v>2117</v>
      </c>
      <c r="E957" t="s">
        <v>1877</v>
      </c>
      <c r="F957">
        <v>2014</v>
      </c>
      <c r="H957" t="s">
        <v>1878</v>
      </c>
      <c r="I957">
        <v>1</v>
      </c>
      <c r="K957" t="s">
        <v>14332</v>
      </c>
      <c r="L957" s="222">
        <v>9783772473487</v>
      </c>
      <c r="M957">
        <v>144</v>
      </c>
      <c r="O957" t="s">
        <v>5362</v>
      </c>
      <c r="P957">
        <v>328</v>
      </c>
      <c r="Q957">
        <v>2.06</v>
      </c>
    </row>
    <row r="958" spans="1:17" x14ac:dyDescent="0.25">
      <c r="A958">
        <v>689</v>
      </c>
      <c r="B958" t="s">
        <v>6376</v>
      </c>
      <c r="C958" t="s">
        <v>6377</v>
      </c>
      <c r="D958" t="s">
        <v>2822</v>
      </c>
      <c r="E958" t="s">
        <v>1877</v>
      </c>
      <c r="F958">
        <v>2018</v>
      </c>
      <c r="H958" t="s">
        <v>1878</v>
      </c>
      <c r="I958">
        <v>2</v>
      </c>
      <c r="J958" t="s">
        <v>3854</v>
      </c>
      <c r="K958" t="s">
        <v>14332</v>
      </c>
      <c r="L958" s="222">
        <v>9783522202442</v>
      </c>
      <c r="M958">
        <v>400</v>
      </c>
      <c r="O958" t="s">
        <v>5363</v>
      </c>
      <c r="P958">
        <v>485</v>
      </c>
      <c r="Q958">
        <v>5.38</v>
      </c>
    </row>
    <row r="959" spans="1:17" x14ac:dyDescent="0.25">
      <c r="A959">
        <v>634</v>
      </c>
      <c r="B959" t="s">
        <v>6379</v>
      </c>
      <c r="C959" t="s">
        <v>6380</v>
      </c>
      <c r="D959" t="s">
        <v>2609</v>
      </c>
      <c r="F959">
        <v>2015</v>
      </c>
      <c r="H959" t="s">
        <v>1878</v>
      </c>
      <c r="I959">
        <v>2</v>
      </c>
      <c r="J959" t="s">
        <v>3854</v>
      </c>
      <c r="K959" t="s">
        <v>14332</v>
      </c>
      <c r="L959" s="222">
        <v>9783733501075</v>
      </c>
      <c r="M959">
        <v>352</v>
      </c>
      <c r="O959" t="s">
        <v>5364</v>
      </c>
      <c r="P959">
        <v>306</v>
      </c>
      <c r="Q959">
        <v>2.2799999999999998</v>
      </c>
    </row>
    <row r="960" spans="1:17" x14ac:dyDescent="0.25">
      <c r="A960">
        <v>704</v>
      </c>
      <c r="B960" t="s">
        <v>6382</v>
      </c>
      <c r="C960" t="s">
        <v>6383</v>
      </c>
      <c r="D960" t="s">
        <v>2901</v>
      </c>
      <c r="E960" t="s">
        <v>1913</v>
      </c>
      <c r="F960">
        <v>2010</v>
      </c>
      <c r="H960" t="s">
        <v>2734</v>
      </c>
      <c r="I960">
        <v>1</v>
      </c>
      <c r="K960" t="s">
        <v>14332</v>
      </c>
      <c r="L960" s="222">
        <v>9783763263547</v>
      </c>
      <c r="O960" t="s">
        <v>5365</v>
      </c>
      <c r="P960">
        <v>170</v>
      </c>
      <c r="Q960">
        <v>3.66</v>
      </c>
    </row>
    <row r="961" spans="1:17" x14ac:dyDescent="0.25">
      <c r="A961">
        <v>1395</v>
      </c>
      <c r="B961" t="s">
        <v>6385</v>
      </c>
      <c r="C961" t="s">
        <v>6386</v>
      </c>
      <c r="D961" t="s">
        <v>2257</v>
      </c>
      <c r="E961" t="s">
        <v>1921</v>
      </c>
      <c r="F961">
        <v>2011</v>
      </c>
      <c r="H961" t="s">
        <v>1878</v>
      </c>
      <c r="I961">
        <v>2</v>
      </c>
      <c r="J961" t="s">
        <v>3854</v>
      </c>
      <c r="K961" t="s">
        <v>14332</v>
      </c>
      <c r="L961" s="222">
        <v>9783426509302</v>
      </c>
      <c r="M961">
        <v>448</v>
      </c>
      <c r="O961" t="s">
        <v>5366</v>
      </c>
      <c r="P961">
        <v>291</v>
      </c>
      <c r="Q961">
        <v>2.1800000000000002</v>
      </c>
    </row>
    <row r="962" spans="1:17" x14ac:dyDescent="0.25">
      <c r="A962">
        <v>2522</v>
      </c>
      <c r="B962" t="s">
        <v>6388</v>
      </c>
      <c r="C962" t="s">
        <v>6389</v>
      </c>
      <c r="D962" t="s">
        <v>1912</v>
      </c>
      <c r="E962" t="s">
        <v>1921</v>
      </c>
      <c r="F962">
        <v>2008</v>
      </c>
      <c r="H962" t="s">
        <v>1878</v>
      </c>
      <c r="I962">
        <v>3</v>
      </c>
      <c r="K962" t="s">
        <v>14332</v>
      </c>
      <c r="L962" s="222">
        <v>9783442466399</v>
      </c>
      <c r="M962">
        <v>510</v>
      </c>
      <c r="O962" t="s">
        <v>5367</v>
      </c>
      <c r="P962">
        <v>415</v>
      </c>
      <c r="Q962">
        <v>0.52</v>
      </c>
    </row>
    <row r="963" spans="1:17" x14ac:dyDescent="0.25">
      <c r="A963">
        <v>2681</v>
      </c>
      <c r="B963" t="s">
        <v>6391</v>
      </c>
      <c r="C963" t="s">
        <v>6392</v>
      </c>
      <c r="D963" t="s">
        <v>6393</v>
      </c>
      <c r="F963">
        <v>2016</v>
      </c>
      <c r="H963" t="s">
        <v>1878</v>
      </c>
      <c r="I963">
        <v>2</v>
      </c>
      <c r="J963" t="s">
        <v>3854</v>
      </c>
      <c r="K963" t="s">
        <v>14332</v>
      </c>
      <c r="L963" s="222">
        <v>9783954518630</v>
      </c>
      <c r="M963">
        <v>240</v>
      </c>
      <c r="O963" t="s">
        <v>5368</v>
      </c>
      <c r="P963">
        <v>471</v>
      </c>
      <c r="Q963">
        <v>5.16</v>
      </c>
    </row>
    <row r="964" spans="1:17" x14ac:dyDescent="0.25">
      <c r="A964">
        <v>2894</v>
      </c>
      <c r="C964" t="s">
        <v>6395</v>
      </c>
      <c r="D964" t="s">
        <v>6396</v>
      </c>
      <c r="E964" t="s">
        <v>1913</v>
      </c>
      <c r="F964">
        <v>2015</v>
      </c>
      <c r="H964" t="s">
        <v>2734</v>
      </c>
      <c r="I964">
        <v>2</v>
      </c>
      <c r="J964" t="s">
        <v>3854</v>
      </c>
      <c r="K964" t="s">
        <v>14332</v>
      </c>
      <c r="L964" s="222">
        <v>9783863553975</v>
      </c>
      <c r="M964">
        <v>50</v>
      </c>
      <c r="O964" t="s">
        <v>5369</v>
      </c>
      <c r="P964">
        <v>250</v>
      </c>
      <c r="Q964">
        <v>3.77</v>
      </c>
    </row>
    <row r="965" spans="1:17" x14ac:dyDescent="0.25">
      <c r="A965">
        <v>593</v>
      </c>
      <c r="B965" t="s">
        <v>6398</v>
      </c>
      <c r="C965" t="s">
        <v>6399</v>
      </c>
      <c r="D965" t="s">
        <v>4693</v>
      </c>
      <c r="H965" t="s">
        <v>1878</v>
      </c>
      <c r="I965">
        <v>1</v>
      </c>
      <c r="K965" t="s">
        <v>14332</v>
      </c>
      <c r="L965" s="222">
        <v>9783833864599</v>
      </c>
      <c r="M965">
        <v>64</v>
      </c>
      <c r="O965" t="s">
        <v>5370</v>
      </c>
      <c r="P965">
        <v>177</v>
      </c>
      <c r="Q965">
        <v>3.45</v>
      </c>
    </row>
    <row r="966" spans="1:17" x14ac:dyDescent="0.25">
      <c r="A966">
        <v>987</v>
      </c>
      <c r="B966" t="s">
        <v>6401</v>
      </c>
      <c r="C966" t="s">
        <v>6402</v>
      </c>
      <c r="D966" t="s">
        <v>6403</v>
      </c>
      <c r="E966" t="s">
        <v>1877</v>
      </c>
      <c r="F966">
        <v>2012</v>
      </c>
      <c r="H966" t="s">
        <v>1878</v>
      </c>
      <c r="I966">
        <v>2</v>
      </c>
      <c r="J966" t="s">
        <v>3854</v>
      </c>
      <c r="K966" t="s">
        <v>14332</v>
      </c>
      <c r="L966" s="222">
        <v>9783861970521</v>
      </c>
      <c r="M966">
        <v>268</v>
      </c>
      <c r="O966" t="s">
        <v>5371</v>
      </c>
      <c r="P966">
        <v>391</v>
      </c>
      <c r="Q966">
        <v>3.72</v>
      </c>
    </row>
    <row r="967" spans="1:17" x14ac:dyDescent="0.25">
      <c r="A967">
        <v>651</v>
      </c>
      <c r="B967" t="s">
        <v>2115</v>
      </c>
      <c r="C967" t="s">
        <v>6405</v>
      </c>
      <c r="D967" t="s">
        <v>2117</v>
      </c>
      <c r="E967" t="s">
        <v>1913</v>
      </c>
      <c r="F967">
        <v>2013</v>
      </c>
      <c r="H967" t="s">
        <v>1878</v>
      </c>
      <c r="I967">
        <v>2</v>
      </c>
      <c r="J967" t="s">
        <v>3854</v>
      </c>
      <c r="K967" t="s">
        <v>14332</v>
      </c>
      <c r="L967" s="222">
        <v>9783772440557</v>
      </c>
      <c r="M967">
        <v>48</v>
      </c>
      <c r="O967" t="s">
        <v>5372</v>
      </c>
      <c r="P967">
        <v>222</v>
      </c>
      <c r="Q967">
        <v>3.56</v>
      </c>
    </row>
    <row r="968" spans="1:17" x14ac:dyDescent="0.25">
      <c r="A968">
        <v>651</v>
      </c>
      <c r="B968" t="s">
        <v>6407</v>
      </c>
      <c r="C968" t="s">
        <v>6408</v>
      </c>
      <c r="D968" t="s">
        <v>2117</v>
      </c>
      <c r="E968" t="s">
        <v>1913</v>
      </c>
      <c r="F968">
        <v>2014</v>
      </c>
      <c r="H968" t="s">
        <v>1878</v>
      </c>
      <c r="I968">
        <v>2</v>
      </c>
      <c r="J968" t="s">
        <v>3854</v>
      </c>
      <c r="K968" t="s">
        <v>14332</v>
      </c>
      <c r="L968" s="222">
        <v>9783772441226</v>
      </c>
      <c r="M968">
        <v>32</v>
      </c>
      <c r="O968" t="s">
        <v>5373</v>
      </c>
      <c r="P968">
        <v>135</v>
      </c>
      <c r="Q968">
        <v>3.24</v>
      </c>
    </row>
    <row r="969" spans="1:17" x14ac:dyDescent="0.25">
      <c r="A969">
        <v>593</v>
      </c>
      <c r="B969" t="s">
        <v>6410</v>
      </c>
      <c r="C969" t="s">
        <v>6411</v>
      </c>
      <c r="D969" t="s">
        <v>2117</v>
      </c>
      <c r="E969" t="s">
        <v>1913</v>
      </c>
      <c r="F969">
        <v>2013</v>
      </c>
      <c r="H969" t="s">
        <v>2734</v>
      </c>
      <c r="I969">
        <v>1</v>
      </c>
      <c r="K969" t="s">
        <v>14332</v>
      </c>
      <c r="L969" s="222">
        <v>9783772459108</v>
      </c>
      <c r="M969">
        <v>66</v>
      </c>
      <c r="O969" t="s">
        <v>5374</v>
      </c>
      <c r="P969">
        <v>254</v>
      </c>
      <c r="Q969">
        <v>1.63</v>
      </c>
    </row>
    <row r="970" spans="1:17" x14ac:dyDescent="0.25">
      <c r="A970">
        <v>593</v>
      </c>
      <c r="B970" t="s">
        <v>6410</v>
      </c>
      <c r="C970" t="s">
        <v>6413</v>
      </c>
      <c r="D970" t="s">
        <v>2117</v>
      </c>
      <c r="E970" t="s">
        <v>1913</v>
      </c>
      <c r="F970">
        <v>2013</v>
      </c>
      <c r="H970" t="s">
        <v>2734</v>
      </c>
      <c r="I970">
        <v>1</v>
      </c>
      <c r="K970" t="s">
        <v>14332</v>
      </c>
      <c r="L970" s="222">
        <v>9783772459139</v>
      </c>
      <c r="M970">
        <v>66</v>
      </c>
      <c r="O970" t="s">
        <v>5375</v>
      </c>
      <c r="P970">
        <v>257</v>
      </c>
      <c r="Q970">
        <v>3.24</v>
      </c>
    </row>
    <row r="971" spans="1:17" x14ac:dyDescent="0.25">
      <c r="A971">
        <v>765</v>
      </c>
      <c r="B971" t="s">
        <v>6415</v>
      </c>
      <c r="C971" t="s">
        <v>6416</v>
      </c>
      <c r="D971" t="s">
        <v>2117</v>
      </c>
      <c r="F971">
        <v>2016</v>
      </c>
      <c r="H971" t="s">
        <v>1878</v>
      </c>
      <c r="I971">
        <v>1</v>
      </c>
      <c r="K971" t="s">
        <v>14332</v>
      </c>
      <c r="L971" s="222">
        <v>9783772476426</v>
      </c>
      <c r="M971">
        <v>64</v>
      </c>
      <c r="O971" t="s">
        <v>5376</v>
      </c>
      <c r="P971">
        <v>166</v>
      </c>
      <c r="Q971">
        <v>2.66</v>
      </c>
    </row>
    <row r="972" spans="1:17" x14ac:dyDescent="0.25">
      <c r="A972">
        <v>765</v>
      </c>
      <c r="B972" t="s">
        <v>6415</v>
      </c>
      <c r="C972" t="s">
        <v>6418</v>
      </c>
      <c r="D972" t="s">
        <v>2117</v>
      </c>
      <c r="F972">
        <v>2016</v>
      </c>
      <c r="H972" t="s">
        <v>1878</v>
      </c>
      <c r="I972">
        <v>1</v>
      </c>
      <c r="K972" t="s">
        <v>14332</v>
      </c>
      <c r="L972" s="222">
        <v>9783772476471</v>
      </c>
      <c r="M972">
        <v>64</v>
      </c>
      <c r="O972" t="s">
        <v>5377</v>
      </c>
      <c r="P972">
        <v>165</v>
      </c>
      <c r="Q972">
        <v>2.66</v>
      </c>
    </row>
    <row r="973" spans="1:17" x14ac:dyDescent="0.25">
      <c r="A973">
        <v>2522</v>
      </c>
      <c r="B973" t="s">
        <v>6420</v>
      </c>
      <c r="C973" t="s">
        <v>6421</v>
      </c>
      <c r="D973" t="s">
        <v>2209</v>
      </c>
      <c r="F973">
        <v>1994</v>
      </c>
      <c r="H973" t="s">
        <v>1878</v>
      </c>
      <c r="I973">
        <v>3</v>
      </c>
      <c r="K973" t="s">
        <v>14332</v>
      </c>
      <c r="L973" s="222">
        <v>9783453075030</v>
      </c>
      <c r="M973">
        <v>512</v>
      </c>
      <c r="O973" t="s">
        <v>5378</v>
      </c>
      <c r="P973">
        <v>334</v>
      </c>
      <c r="Q973">
        <v>0.99</v>
      </c>
    </row>
    <row r="974" spans="1:17" x14ac:dyDescent="0.25">
      <c r="A974">
        <v>2522</v>
      </c>
      <c r="B974" t="s">
        <v>6424</v>
      </c>
      <c r="C974" t="s">
        <v>6425</v>
      </c>
      <c r="D974" t="s">
        <v>1912</v>
      </c>
      <c r="E974" t="s">
        <v>2032</v>
      </c>
      <c r="F974">
        <v>2014</v>
      </c>
      <c r="H974" t="s">
        <v>1878</v>
      </c>
      <c r="I974">
        <v>2</v>
      </c>
      <c r="K974" t="s">
        <v>14332</v>
      </c>
      <c r="L974" s="222">
        <v>9783442481170</v>
      </c>
      <c r="M974">
        <v>480</v>
      </c>
      <c r="O974" t="s">
        <v>5379</v>
      </c>
      <c r="P974">
        <v>567</v>
      </c>
      <c r="Q974">
        <v>0.99</v>
      </c>
    </row>
    <row r="975" spans="1:17" x14ac:dyDescent="0.25">
      <c r="A975">
        <v>2522</v>
      </c>
      <c r="B975" t="s">
        <v>6424</v>
      </c>
      <c r="C975" t="s">
        <v>6427</v>
      </c>
      <c r="D975" t="s">
        <v>1912</v>
      </c>
      <c r="E975" t="s">
        <v>1921</v>
      </c>
      <c r="F975">
        <v>2014</v>
      </c>
      <c r="H975" t="s">
        <v>1878</v>
      </c>
      <c r="I975">
        <v>2</v>
      </c>
      <c r="K975" t="s">
        <v>14332</v>
      </c>
      <c r="L975" s="222">
        <v>9783442481187</v>
      </c>
      <c r="M975">
        <v>512</v>
      </c>
      <c r="O975" t="s">
        <v>5380</v>
      </c>
      <c r="P975">
        <v>582</v>
      </c>
      <c r="Q975">
        <v>1.31</v>
      </c>
    </row>
    <row r="976" spans="1:17" x14ac:dyDescent="0.25">
      <c r="A976">
        <v>2522</v>
      </c>
      <c r="B976" t="s">
        <v>6431</v>
      </c>
      <c r="C976" t="s">
        <v>6432</v>
      </c>
      <c r="D976" t="s">
        <v>1912</v>
      </c>
      <c r="E976" t="s">
        <v>1913</v>
      </c>
      <c r="F976">
        <v>2004</v>
      </c>
      <c r="H976" t="s">
        <v>1878</v>
      </c>
      <c r="I976">
        <v>3</v>
      </c>
      <c r="K976" t="s">
        <v>14332</v>
      </c>
      <c r="L976" s="222">
        <v>9783442457434</v>
      </c>
      <c r="M976">
        <v>416</v>
      </c>
      <c r="O976" t="s">
        <v>5382</v>
      </c>
      <c r="P976">
        <v>364</v>
      </c>
      <c r="Q976">
        <v>0.77</v>
      </c>
    </row>
    <row r="977" spans="1:17" x14ac:dyDescent="0.25">
      <c r="A977">
        <v>2522</v>
      </c>
      <c r="B977" t="s">
        <v>6437</v>
      </c>
      <c r="C977" t="s">
        <v>6438</v>
      </c>
      <c r="D977" t="s">
        <v>1988</v>
      </c>
      <c r="F977">
        <v>2014</v>
      </c>
      <c r="H977" t="s">
        <v>1878</v>
      </c>
      <c r="I977">
        <v>1</v>
      </c>
      <c r="K977" t="s">
        <v>14332</v>
      </c>
      <c r="M977">
        <v>432</v>
      </c>
      <c r="O977" t="s">
        <v>5384</v>
      </c>
      <c r="P977">
        <v>312</v>
      </c>
      <c r="Q977">
        <v>0.99</v>
      </c>
    </row>
    <row r="978" spans="1:17" x14ac:dyDescent="0.25">
      <c r="A978">
        <v>2522</v>
      </c>
      <c r="B978" t="s">
        <v>6439</v>
      </c>
      <c r="C978" t="s">
        <v>6440</v>
      </c>
      <c r="D978" t="s">
        <v>2054</v>
      </c>
      <c r="F978">
        <v>2009</v>
      </c>
      <c r="H978" t="s">
        <v>1878</v>
      </c>
      <c r="I978">
        <v>3</v>
      </c>
      <c r="K978" t="s">
        <v>14332</v>
      </c>
      <c r="L978" s="222">
        <v>9783868001280</v>
      </c>
      <c r="M978">
        <v>272</v>
      </c>
      <c r="O978" t="s">
        <v>5385</v>
      </c>
      <c r="P978">
        <v>267</v>
      </c>
      <c r="Q978">
        <v>3.34</v>
      </c>
    </row>
    <row r="979" spans="1:17" x14ac:dyDescent="0.25">
      <c r="A979">
        <v>1386</v>
      </c>
      <c r="B979" t="s">
        <v>6442</v>
      </c>
      <c r="C979" t="s">
        <v>6443</v>
      </c>
      <c r="D979" t="s">
        <v>2232</v>
      </c>
      <c r="E979" t="s">
        <v>1913</v>
      </c>
      <c r="F979">
        <v>2001</v>
      </c>
      <c r="H979" t="s">
        <v>1878</v>
      </c>
      <c r="I979">
        <v>2</v>
      </c>
      <c r="J979" t="s">
        <v>3854</v>
      </c>
      <c r="K979" t="s">
        <v>14332</v>
      </c>
      <c r="L979" s="222">
        <v>9783442727834</v>
      </c>
      <c r="M979">
        <v>352</v>
      </c>
      <c r="O979" t="s">
        <v>5386</v>
      </c>
      <c r="P979">
        <v>331</v>
      </c>
      <c r="Q979">
        <v>0.67</v>
      </c>
    </row>
    <row r="980" spans="1:17" x14ac:dyDescent="0.25">
      <c r="A980">
        <v>774</v>
      </c>
      <c r="B980" t="s">
        <v>6445</v>
      </c>
      <c r="C980" t="s">
        <v>6446</v>
      </c>
      <c r="D980" t="s">
        <v>2209</v>
      </c>
      <c r="E980" t="s">
        <v>1877</v>
      </c>
      <c r="F980">
        <v>2001</v>
      </c>
      <c r="H980" t="s">
        <v>1878</v>
      </c>
      <c r="I980">
        <v>3</v>
      </c>
      <c r="K980" t="s">
        <v>14332</v>
      </c>
      <c r="M980">
        <v>544</v>
      </c>
      <c r="O980" t="s">
        <v>5387</v>
      </c>
      <c r="P980">
        <v>421</v>
      </c>
      <c r="Q980">
        <v>0.52</v>
      </c>
    </row>
    <row r="981" spans="1:17" x14ac:dyDescent="0.25">
      <c r="A981">
        <v>796</v>
      </c>
      <c r="B981" t="s">
        <v>6447</v>
      </c>
      <c r="C981" t="s">
        <v>6448</v>
      </c>
      <c r="D981" t="s">
        <v>2424</v>
      </c>
      <c r="E981" t="s">
        <v>1899</v>
      </c>
      <c r="F981">
        <v>2014</v>
      </c>
      <c r="H981" t="s">
        <v>1878</v>
      </c>
      <c r="I981">
        <v>2</v>
      </c>
      <c r="J981" t="s">
        <v>3854</v>
      </c>
      <c r="K981" t="s">
        <v>14332</v>
      </c>
      <c r="L981" s="222">
        <v>9783453291645</v>
      </c>
      <c r="M981">
        <v>368</v>
      </c>
      <c r="O981" t="s">
        <v>5388</v>
      </c>
      <c r="P981">
        <v>494</v>
      </c>
      <c r="Q981">
        <v>1.63</v>
      </c>
    </row>
    <row r="982" spans="1:17" x14ac:dyDescent="0.25">
      <c r="A982">
        <v>2593</v>
      </c>
      <c r="B982" t="s">
        <v>6450</v>
      </c>
      <c r="C982" t="s">
        <v>6451</v>
      </c>
      <c r="D982" t="s">
        <v>4877</v>
      </c>
      <c r="E982" t="s">
        <v>6452</v>
      </c>
      <c r="F982">
        <v>2010</v>
      </c>
      <c r="H982" t="s">
        <v>1878</v>
      </c>
      <c r="I982">
        <v>2</v>
      </c>
      <c r="J982" t="s">
        <v>3854</v>
      </c>
      <c r="K982" t="s">
        <v>14332</v>
      </c>
      <c r="L982" s="222">
        <v>9783570551172</v>
      </c>
      <c r="M982">
        <v>480</v>
      </c>
      <c r="O982" t="s">
        <v>5389</v>
      </c>
      <c r="P982">
        <v>588</v>
      </c>
      <c r="Q982">
        <v>5.38</v>
      </c>
    </row>
    <row r="983" spans="1:17" x14ac:dyDescent="0.25">
      <c r="A983">
        <v>1927</v>
      </c>
      <c r="B983" t="s">
        <v>6454</v>
      </c>
      <c r="C983" t="s">
        <v>6455</v>
      </c>
      <c r="D983" t="s">
        <v>6456</v>
      </c>
      <c r="F983">
        <v>2018</v>
      </c>
      <c r="H983" t="s">
        <v>1878</v>
      </c>
      <c r="I983">
        <v>2</v>
      </c>
      <c r="J983" t="s">
        <v>3854</v>
      </c>
      <c r="K983" t="s">
        <v>14332</v>
      </c>
      <c r="L983" s="222">
        <v>9783942665421</v>
      </c>
      <c r="M983">
        <v>280</v>
      </c>
      <c r="O983" t="s">
        <v>5390</v>
      </c>
      <c r="P983">
        <v>287</v>
      </c>
      <c r="Q983">
        <v>4.3099999999999996</v>
      </c>
    </row>
    <row r="984" spans="1:17" x14ac:dyDescent="0.25">
      <c r="A984">
        <v>651</v>
      </c>
      <c r="B984" t="s">
        <v>6458</v>
      </c>
      <c r="C984" t="s">
        <v>6459</v>
      </c>
      <c r="D984" t="s">
        <v>2117</v>
      </c>
      <c r="E984" t="s">
        <v>1913</v>
      </c>
      <c r="F984">
        <v>2016</v>
      </c>
      <c r="H984" t="s">
        <v>1878</v>
      </c>
      <c r="I984">
        <v>1</v>
      </c>
      <c r="K984" t="s">
        <v>14332</v>
      </c>
      <c r="L984" s="222">
        <v>9783772442193</v>
      </c>
      <c r="M984">
        <v>30</v>
      </c>
      <c r="O984" t="s">
        <v>5391</v>
      </c>
      <c r="P984">
        <v>207</v>
      </c>
      <c r="Q984">
        <v>3.24</v>
      </c>
    </row>
    <row r="985" spans="1:17" x14ac:dyDescent="0.25">
      <c r="A985">
        <v>704</v>
      </c>
      <c r="B985" t="s">
        <v>6461</v>
      </c>
      <c r="C985" t="s">
        <v>6462</v>
      </c>
      <c r="D985" t="s">
        <v>4626</v>
      </c>
      <c r="E985" t="s">
        <v>1877</v>
      </c>
      <c r="F985">
        <v>2015</v>
      </c>
      <c r="H985" t="s">
        <v>1878</v>
      </c>
      <c r="I985">
        <v>1</v>
      </c>
      <c r="K985" t="s">
        <v>14332</v>
      </c>
      <c r="L985" s="222">
        <v>9783868835786</v>
      </c>
      <c r="M985">
        <v>256</v>
      </c>
      <c r="O985" t="s">
        <v>5392</v>
      </c>
      <c r="P985">
        <v>344</v>
      </c>
      <c r="Q985">
        <v>3.24</v>
      </c>
    </row>
    <row r="986" spans="1:17" x14ac:dyDescent="0.25">
      <c r="A986">
        <v>2518</v>
      </c>
      <c r="B986" t="s">
        <v>6464</v>
      </c>
      <c r="C986" t="s">
        <v>6465</v>
      </c>
      <c r="D986" t="s">
        <v>1912</v>
      </c>
      <c r="E986" t="s">
        <v>1877</v>
      </c>
      <c r="F986">
        <v>2015</v>
      </c>
      <c r="H986" t="s">
        <v>2734</v>
      </c>
      <c r="I986">
        <v>2</v>
      </c>
      <c r="J986" t="s">
        <v>3854</v>
      </c>
      <c r="K986" t="s">
        <v>14332</v>
      </c>
      <c r="L986" s="222">
        <v>9783442313860</v>
      </c>
      <c r="M986">
        <v>450</v>
      </c>
      <c r="O986" t="s">
        <v>5393</v>
      </c>
      <c r="P986">
        <v>710</v>
      </c>
      <c r="Q986">
        <v>2.17</v>
      </c>
    </row>
    <row r="987" spans="1:17" x14ac:dyDescent="0.25">
      <c r="A987">
        <v>651</v>
      </c>
      <c r="B987" t="s">
        <v>2115</v>
      </c>
      <c r="C987" t="s">
        <v>6467</v>
      </c>
      <c r="D987" t="s">
        <v>2117</v>
      </c>
      <c r="E987" t="s">
        <v>1913</v>
      </c>
      <c r="F987">
        <v>2014</v>
      </c>
      <c r="H987" t="s">
        <v>1878</v>
      </c>
      <c r="I987">
        <v>1</v>
      </c>
      <c r="K987" t="s">
        <v>14332</v>
      </c>
      <c r="L987" s="222">
        <v>9783772440793</v>
      </c>
      <c r="M987">
        <v>32</v>
      </c>
      <c r="O987" t="s">
        <v>5394</v>
      </c>
      <c r="P987">
        <v>138</v>
      </c>
      <c r="Q987">
        <v>4.3099999999999996</v>
      </c>
    </row>
    <row r="988" spans="1:17" x14ac:dyDescent="0.25">
      <c r="A988">
        <v>689</v>
      </c>
      <c r="B988" t="s">
        <v>6469</v>
      </c>
      <c r="C988" t="s">
        <v>6470</v>
      </c>
      <c r="D988" t="s">
        <v>2530</v>
      </c>
      <c r="F988">
        <v>2017</v>
      </c>
      <c r="H988" t="s">
        <v>2734</v>
      </c>
      <c r="I988">
        <v>2</v>
      </c>
      <c r="J988" t="s">
        <v>3854</v>
      </c>
      <c r="K988" t="s">
        <v>14332</v>
      </c>
      <c r="L988" s="222">
        <v>9783789104053</v>
      </c>
      <c r="M988">
        <v>466</v>
      </c>
      <c r="O988" t="s">
        <v>5395</v>
      </c>
      <c r="P988">
        <v>765</v>
      </c>
      <c r="Q988">
        <v>4.63</v>
      </c>
    </row>
    <row r="989" spans="1:17" x14ac:dyDescent="0.25">
      <c r="A989">
        <v>651</v>
      </c>
      <c r="B989" t="s">
        <v>6472</v>
      </c>
      <c r="C989" t="s">
        <v>6473</v>
      </c>
      <c r="D989" t="s">
        <v>2117</v>
      </c>
      <c r="E989" t="s">
        <v>1913</v>
      </c>
      <c r="F989">
        <v>2015</v>
      </c>
      <c r="H989" t="s">
        <v>1878</v>
      </c>
      <c r="I989">
        <v>1</v>
      </c>
      <c r="K989" t="s">
        <v>14332</v>
      </c>
      <c r="L989" s="222">
        <v>9783772441325</v>
      </c>
      <c r="M989">
        <v>48</v>
      </c>
      <c r="O989" t="s">
        <v>5396</v>
      </c>
      <c r="P989">
        <v>209</v>
      </c>
      <c r="Q989">
        <v>1.84</v>
      </c>
    </row>
    <row r="990" spans="1:17" x14ac:dyDescent="0.25">
      <c r="A990">
        <v>1332</v>
      </c>
      <c r="B990" t="s">
        <v>6475</v>
      </c>
      <c r="C990" t="s">
        <v>6476</v>
      </c>
      <c r="D990" t="s">
        <v>2117</v>
      </c>
      <c r="E990" t="s">
        <v>1913</v>
      </c>
      <c r="F990">
        <v>2016</v>
      </c>
      <c r="H990" t="s">
        <v>1878</v>
      </c>
      <c r="I990">
        <v>1</v>
      </c>
      <c r="K990" t="s">
        <v>14332</v>
      </c>
      <c r="L990" s="222">
        <v>9783772480164</v>
      </c>
      <c r="M990">
        <v>48</v>
      </c>
      <c r="O990" t="s">
        <v>5397</v>
      </c>
      <c r="P990">
        <v>203</v>
      </c>
      <c r="Q990">
        <v>1.95</v>
      </c>
    </row>
    <row r="991" spans="1:17" x14ac:dyDescent="0.25">
      <c r="A991">
        <v>651</v>
      </c>
      <c r="B991" t="s">
        <v>6478</v>
      </c>
      <c r="C991" t="s">
        <v>6479</v>
      </c>
      <c r="D991" t="s">
        <v>2117</v>
      </c>
      <c r="E991" t="s">
        <v>1913</v>
      </c>
      <c r="F991">
        <v>2014</v>
      </c>
      <c r="H991" t="s">
        <v>1878</v>
      </c>
      <c r="I991">
        <v>1</v>
      </c>
      <c r="K991" t="s">
        <v>14332</v>
      </c>
      <c r="L991" s="222">
        <v>9783772441165</v>
      </c>
      <c r="M991">
        <v>32</v>
      </c>
      <c r="O991" t="s">
        <v>5398</v>
      </c>
      <c r="P991">
        <v>188</v>
      </c>
      <c r="Q991">
        <v>1.95</v>
      </c>
    </row>
    <row r="992" spans="1:17" x14ac:dyDescent="0.25">
      <c r="A992">
        <v>704</v>
      </c>
      <c r="B992" t="s">
        <v>6481</v>
      </c>
      <c r="C992" t="s">
        <v>6482</v>
      </c>
      <c r="D992" t="s">
        <v>6456</v>
      </c>
      <c r="F992">
        <v>2017</v>
      </c>
      <c r="H992" t="s">
        <v>1878</v>
      </c>
      <c r="I992">
        <v>2</v>
      </c>
      <c r="J992" t="s">
        <v>3854</v>
      </c>
      <c r="K992" t="s">
        <v>14332</v>
      </c>
      <c r="L992" s="222">
        <v>9783862656295</v>
      </c>
      <c r="M992">
        <v>232</v>
      </c>
      <c r="O992" t="s">
        <v>5399</v>
      </c>
      <c r="P992">
        <v>238</v>
      </c>
      <c r="Q992">
        <v>3.24</v>
      </c>
    </row>
    <row r="993" spans="1:17" x14ac:dyDescent="0.25">
      <c r="A993">
        <v>742</v>
      </c>
      <c r="B993" t="s">
        <v>6484</v>
      </c>
      <c r="C993" t="s">
        <v>6485</v>
      </c>
      <c r="D993" t="s">
        <v>6456</v>
      </c>
      <c r="F993">
        <v>2018</v>
      </c>
      <c r="H993" t="s">
        <v>1878</v>
      </c>
      <c r="I993">
        <v>2</v>
      </c>
      <c r="J993" t="s">
        <v>3854</v>
      </c>
      <c r="K993" t="s">
        <v>14332</v>
      </c>
      <c r="L993" s="222">
        <v>9783942665292</v>
      </c>
      <c r="M993">
        <v>280</v>
      </c>
      <c r="O993" t="s">
        <v>5400</v>
      </c>
      <c r="P993">
        <v>285</v>
      </c>
      <c r="Q993">
        <v>4.3099999999999996</v>
      </c>
    </row>
    <row r="994" spans="1:17" x14ac:dyDescent="0.25">
      <c r="A994">
        <v>1231</v>
      </c>
      <c r="B994" t="s">
        <v>6487</v>
      </c>
      <c r="C994" t="s">
        <v>6488</v>
      </c>
      <c r="D994" t="s">
        <v>6489</v>
      </c>
      <c r="F994">
        <v>2012</v>
      </c>
      <c r="H994" t="s">
        <v>1878</v>
      </c>
      <c r="I994">
        <v>2</v>
      </c>
      <c r="J994" t="s">
        <v>3854</v>
      </c>
      <c r="K994" t="s">
        <v>14332</v>
      </c>
      <c r="L994" s="222">
        <v>9783854453710</v>
      </c>
      <c r="M994">
        <v>304</v>
      </c>
      <c r="O994" t="s">
        <v>5401</v>
      </c>
      <c r="P994">
        <v>486</v>
      </c>
      <c r="Q994">
        <v>3.24</v>
      </c>
    </row>
    <row r="995" spans="1:17" x14ac:dyDescent="0.25">
      <c r="A995">
        <v>1339</v>
      </c>
      <c r="B995" t="s">
        <v>6491</v>
      </c>
      <c r="C995" t="s">
        <v>6492</v>
      </c>
      <c r="D995" t="s">
        <v>4693</v>
      </c>
      <c r="E995" t="s">
        <v>1913</v>
      </c>
      <c r="F995">
        <v>2016</v>
      </c>
      <c r="H995" t="s">
        <v>1878</v>
      </c>
      <c r="I995">
        <v>2</v>
      </c>
      <c r="J995" t="s">
        <v>3854</v>
      </c>
      <c r="K995" t="s">
        <v>14332</v>
      </c>
      <c r="L995" s="222">
        <v>9783833853401</v>
      </c>
      <c r="M995">
        <v>176</v>
      </c>
      <c r="O995" t="s">
        <v>5402</v>
      </c>
      <c r="P995">
        <v>521</v>
      </c>
      <c r="Q995">
        <v>2.17</v>
      </c>
    </row>
    <row r="996" spans="1:17" x14ac:dyDescent="0.25">
      <c r="A996">
        <v>612</v>
      </c>
      <c r="C996" t="s">
        <v>6494</v>
      </c>
      <c r="D996" t="s">
        <v>6495</v>
      </c>
      <c r="E996" t="s">
        <v>2032</v>
      </c>
      <c r="F996">
        <v>1989</v>
      </c>
      <c r="H996" t="s">
        <v>2734</v>
      </c>
      <c r="I996">
        <v>1</v>
      </c>
      <c r="K996" t="s">
        <v>14332</v>
      </c>
      <c r="L996" s="222">
        <v>9783421014320</v>
      </c>
      <c r="M996">
        <v>554</v>
      </c>
      <c r="O996" t="s">
        <v>5403</v>
      </c>
      <c r="P996">
        <v>856</v>
      </c>
      <c r="Q996">
        <v>5.38</v>
      </c>
    </row>
    <row r="997" spans="1:17" x14ac:dyDescent="0.25">
      <c r="A997">
        <v>704</v>
      </c>
      <c r="B997" t="s">
        <v>4624</v>
      </c>
      <c r="C997" t="s">
        <v>6497</v>
      </c>
      <c r="D997" t="s">
        <v>4626</v>
      </c>
      <c r="E997" t="s">
        <v>1913</v>
      </c>
      <c r="F997">
        <v>2014</v>
      </c>
      <c r="H997" t="s">
        <v>2734</v>
      </c>
      <c r="I997">
        <v>2</v>
      </c>
      <c r="J997" t="s">
        <v>3854</v>
      </c>
      <c r="K997" t="s">
        <v>14332</v>
      </c>
      <c r="L997" s="222">
        <v>9783868833195</v>
      </c>
      <c r="M997">
        <v>98</v>
      </c>
      <c r="O997" t="s">
        <v>5404</v>
      </c>
      <c r="P997">
        <v>179</v>
      </c>
      <c r="Q997">
        <v>4.3099999999999996</v>
      </c>
    </row>
    <row r="998" spans="1:17" x14ac:dyDescent="0.25">
      <c r="A998">
        <v>2894</v>
      </c>
      <c r="C998" t="s">
        <v>6498</v>
      </c>
      <c r="D998" t="s">
        <v>6499</v>
      </c>
      <c r="F998">
        <v>2010</v>
      </c>
      <c r="H998" t="s">
        <v>1878</v>
      </c>
      <c r="I998">
        <v>1</v>
      </c>
      <c r="K998" t="s">
        <v>14332</v>
      </c>
      <c r="L998" s="222">
        <v>9783838831169</v>
      </c>
      <c r="M998">
        <v>32</v>
      </c>
      <c r="O998" t="s">
        <v>5405</v>
      </c>
      <c r="P998">
        <v>99</v>
      </c>
      <c r="Q998">
        <v>3.24</v>
      </c>
    </row>
    <row r="999" spans="1:17" x14ac:dyDescent="0.25">
      <c r="A999">
        <v>2894</v>
      </c>
      <c r="B999" t="s">
        <v>6502</v>
      </c>
      <c r="C999" t="s">
        <v>6503</v>
      </c>
      <c r="D999" t="s">
        <v>2117</v>
      </c>
      <c r="E999" t="s">
        <v>1913</v>
      </c>
      <c r="F999">
        <v>2015</v>
      </c>
      <c r="H999" t="s">
        <v>1878</v>
      </c>
      <c r="I999">
        <v>1</v>
      </c>
      <c r="K999" t="s">
        <v>14332</v>
      </c>
      <c r="L999" s="222">
        <v>9783772481819</v>
      </c>
      <c r="M999">
        <v>64</v>
      </c>
      <c r="O999" t="s">
        <v>5406</v>
      </c>
      <c r="P999">
        <v>251</v>
      </c>
      <c r="Q999">
        <v>2.4900000000000002</v>
      </c>
    </row>
    <row r="1000" spans="1:17" x14ac:dyDescent="0.25">
      <c r="A1000">
        <v>2522</v>
      </c>
      <c r="B1000" t="s">
        <v>4078</v>
      </c>
      <c r="C1000" t="s">
        <v>6505</v>
      </c>
      <c r="D1000" t="s">
        <v>1920</v>
      </c>
      <c r="H1000" t="s">
        <v>1878</v>
      </c>
      <c r="I1000">
        <v>3</v>
      </c>
      <c r="K1000" t="s">
        <v>14332</v>
      </c>
      <c r="L1000" s="222">
        <v>9783404143429</v>
      </c>
      <c r="M1000">
        <v>416</v>
      </c>
      <c r="O1000" t="s">
        <v>5407</v>
      </c>
      <c r="P1000">
        <v>365</v>
      </c>
      <c r="Q1000">
        <v>0.89</v>
      </c>
    </row>
    <row r="1001" spans="1:17" x14ac:dyDescent="0.25">
      <c r="A1001">
        <v>985</v>
      </c>
      <c r="C1001" t="s">
        <v>6507</v>
      </c>
      <c r="D1001" t="s">
        <v>6367</v>
      </c>
      <c r="F1001">
        <v>2016</v>
      </c>
      <c r="H1001" t="s">
        <v>2734</v>
      </c>
      <c r="I1001">
        <v>2</v>
      </c>
      <c r="J1001" t="s">
        <v>3854</v>
      </c>
      <c r="K1001" t="s">
        <v>14332</v>
      </c>
      <c r="L1001" s="222">
        <v>9783806234008</v>
      </c>
      <c r="M1001">
        <v>146</v>
      </c>
      <c r="O1001" t="s">
        <v>5408</v>
      </c>
      <c r="P1001">
        <v>815</v>
      </c>
      <c r="Q1001">
        <v>4.63</v>
      </c>
    </row>
    <row r="1002" spans="1:17" x14ac:dyDescent="0.25">
      <c r="A1002">
        <v>1355</v>
      </c>
      <c r="C1002" t="s">
        <v>6509</v>
      </c>
      <c r="D1002" t="s">
        <v>2082</v>
      </c>
      <c r="F1002">
        <v>2018</v>
      </c>
      <c r="H1002" t="s">
        <v>2734</v>
      </c>
      <c r="I1002">
        <v>2</v>
      </c>
      <c r="J1002" t="s">
        <v>3854</v>
      </c>
      <c r="K1002" t="s">
        <v>14332</v>
      </c>
      <c r="L1002" s="222">
        <v>9783830334897</v>
      </c>
      <c r="M1002">
        <v>126</v>
      </c>
      <c r="O1002" t="s">
        <v>5409</v>
      </c>
      <c r="P1002">
        <v>605</v>
      </c>
      <c r="Q1002">
        <v>5.48</v>
      </c>
    </row>
    <row r="1003" spans="1:17" x14ac:dyDescent="0.25">
      <c r="A1003">
        <v>2906</v>
      </c>
      <c r="B1003" t="s">
        <v>6511</v>
      </c>
      <c r="C1003" t="s">
        <v>6512</v>
      </c>
      <c r="D1003" t="s">
        <v>2117</v>
      </c>
      <c r="E1003" t="s">
        <v>1913</v>
      </c>
      <c r="F1003">
        <v>2012</v>
      </c>
      <c r="H1003" t="s">
        <v>2734</v>
      </c>
      <c r="I1003">
        <v>2</v>
      </c>
      <c r="J1003" t="s">
        <v>3854</v>
      </c>
      <c r="K1003" t="s">
        <v>14332</v>
      </c>
      <c r="L1003" s="222">
        <v>9783772473319</v>
      </c>
      <c r="M1003">
        <v>82</v>
      </c>
      <c r="O1003" t="s">
        <v>5410</v>
      </c>
      <c r="P1003">
        <v>538</v>
      </c>
      <c r="Q1003">
        <v>3.24</v>
      </c>
    </row>
    <row r="1004" spans="1:17" x14ac:dyDescent="0.25">
      <c r="A1004">
        <v>614</v>
      </c>
      <c r="B1004" t="s">
        <v>6514</v>
      </c>
      <c r="C1004" t="s">
        <v>6515</v>
      </c>
      <c r="D1004" t="s">
        <v>6516</v>
      </c>
      <c r="E1004" t="s">
        <v>1913</v>
      </c>
      <c r="F1004">
        <v>2014</v>
      </c>
      <c r="H1004" t="s">
        <v>2734</v>
      </c>
      <c r="I1004">
        <v>1</v>
      </c>
      <c r="K1004" t="s">
        <v>14332</v>
      </c>
      <c r="L1004" s="222">
        <v>9783954550663</v>
      </c>
      <c r="M1004">
        <v>258</v>
      </c>
      <c r="O1004" t="s">
        <v>5411</v>
      </c>
      <c r="P1004">
        <v>1127</v>
      </c>
      <c r="Q1004">
        <v>0.89</v>
      </c>
    </row>
    <row r="1005" spans="1:17" x14ac:dyDescent="0.25">
      <c r="A1005">
        <v>651</v>
      </c>
      <c r="B1005" t="s">
        <v>6518</v>
      </c>
      <c r="C1005" t="s">
        <v>6519</v>
      </c>
      <c r="D1005" t="s">
        <v>2117</v>
      </c>
      <c r="E1005" t="s">
        <v>1913</v>
      </c>
      <c r="F1005">
        <v>2015</v>
      </c>
      <c r="H1005" t="s">
        <v>2734</v>
      </c>
      <c r="I1005">
        <v>1</v>
      </c>
      <c r="K1005" t="s">
        <v>14332</v>
      </c>
      <c r="L1005" s="222">
        <v>9783772459849</v>
      </c>
      <c r="M1005">
        <v>138</v>
      </c>
      <c r="O1005" t="s">
        <v>5412</v>
      </c>
      <c r="P1005">
        <v>818</v>
      </c>
      <c r="Q1005">
        <v>4.7300000000000004</v>
      </c>
    </row>
    <row r="1006" spans="1:17" x14ac:dyDescent="0.25">
      <c r="A1006">
        <v>1285</v>
      </c>
      <c r="C1006" t="s">
        <v>6525</v>
      </c>
      <c r="D1006" t="s">
        <v>6526</v>
      </c>
      <c r="F1006">
        <v>2004</v>
      </c>
      <c r="H1006" t="s">
        <v>2734</v>
      </c>
      <c r="I1006">
        <v>2</v>
      </c>
      <c r="J1006" t="s">
        <v>3854</v>
      </c>
      <c r="K1006" t="s">
        <v>14332</v>
      </c>
      <c r="L1006" s="222">
        <v>9783775714969</v>
      </c>
      <c r="M1006">
        <v>130</v>
      </c>
      <c r="O1006" t="s">
        <v>5414</v>
      </c>
      <c r="P1006">
        <v>887</v>
      </c>
      <c r="Q1006">
        <v>2.91</v>
      </c>
    </row>
    <row r="1007" spans="1:17" x14ac:dyDescent="0.25">
      <c r="A1007">
        <v>1285</v>
      </c>
      <c r="B1007" t="s">
        <v>6529</v>
      </c>
      <c r="C1007" t="s">
        <v>6528</v>
      </c>
      <c r="F1007">
        <v>2007</v>
      </c>
      <c r="H1007" t="s">
        <v>2734</v>
      </c>
      <c r="I1007">
        <v>2</v>
      </c>
      <c r="J1007" t="s">
        <v>3854</v>
      </c>
      <c r="K1007" t="s">
        <v>14332</v>
      </c>
      <c r="L1007" s="222">
        <v>9783886095544</v>
      </c>
      <c r="M1007">
        <v>50</v>
      </c>
      <c r="O1007" t="s">
        <v>5415</v>
      </c>
      <c r="P1007">
        <v>404</v>
      </c>
      <c r="Q1007">
        <v>0.89</v>
      </c>
    </row>
    <row r="1008" spans="1:17" x14ac:dyDescent="0.25">
      <c r="A1008">
        <v>1299</v>
      </c>
      <c r="C1008" t="s">
        <v>6531</v>
      </c>
      <c r="D1008" t="s">
        <v>2117</v>
      </c>
      <c r="E1008" t="s">
        <v>1913</v>
      </c>
      <c r="F1008">
        <v>2016</v>
      </c>
      <c r="H1008" t="s">
        <v>5112</v>
      </c>
      <c r="I1008">
        <v>1</v>
      </c>
      <c r="K1008" t="s">
        <v>14332</v>
      </c>
      <c r="L1008" s="222">
        <v>9783772476136</v>
      </c>
      <c r="O1008" t="s">
        <v>5416</v>
      </c>
      <c r="P1008">
        <v>683</v>
      </c>
      <c r="Q1008">
        <v>5.38</v>
      </c>
    </row>
    <row r="1009" spans="1:17" x14ac:dyDescent="0.25">
      <c r="A1009">
        <v>1972</v>
      </c>
      <c r="B1009" t="s">
        <v>6533</v>
      </c>
      <c r="C1009" t="s">
        <v>6534</v>
      </c>
      <c r="D1009" t="s">
        <v>6535</v>
      </c>
      <c r="E1009" t="s">
        <v>1913</v>
      </c>
      <c r="F1009">
        <v>2016</v>
      </c>
      <c r="H1009" t="s">
        <v>2734</v>
      </c>
      <c r="I1009">
        <v>2</v>
      </c>
      <c r="J1009" t="s">
        <v>3854</v>
      </c>
      <c r="K1009" t="s">
        <v>14332</v>
      </c>
      <c r="L1009" s="222">
        <v>9783613508378</v>
      </c>
      <c r="M1009">
        <v>210</v>
      </c>
      <c r="O1009" t="s">
        <v>5417</v>
      </c>
      <c r="P1009">
        <v>755</v>
      </c>
      <c r="Q1009">
        <v>2.17</v>
      </c>
    </row>
    <row r="1010" spans="1:17" x14ac:dyDescent="0.25">
      <c r="A1010">
        <v>1940</v>
      </c>
      <c r="B1010" t="s">
        <v>6537</v>
      </c>
      <c r="C1010" t="s">
        <v>6538</v>
      </c>
      <c r="D1010" t="s">
        <v>3524</v>
      </c>
      <c r="E1010" t="s">
        <v>1913</v>
      </c>
      <c r="F1010">
        <v>1993</v>
      </c>
      <c r="H1010" t="s">
        <v>2734</v>
      </c>
      <c r="I1010">
        <v>4</v>
      </c>
      <c r="K1010" t="s">
        <v>14332</v>
      </c>
      <c r="L1010" s="222">
        <v>9783785524824</v>
      </c>
      <c r="M1010">
        <v>94</v>
      </c>
      <c r="O1010" t="s">
        <v>5418</v>
      </c>
      <c r="P1010">
        <v>615</v>
      </c>
      <c r="Q1010">
        <v>0.59</v>
      </c>
    </row>
    <row r="1011" spans="1:17" x14ac:dyDescent="0.25">
      <c r="A1011">
        <v>106</v>
      </c>
      <c r="B1011" t="s">
        <v>6540</v>
      </c>
      <c r="C1011" t="s">
        <v>6541</v>
      </c>
      <c r="D1011" t="s">
        <v>6542</v>
      </c>
      <c r="E1011" t="s">
        <v>1913</v>
      </c>
      <c r="F1011">
        <v>2004</v>
      </c>
      <c r="H1011" t="s">
        <v>2734</v>
      </c>
      <c r="I1011">
        <v>1</v>
      </c>
      <c r="K1011" t="s">
        <v>14332</v>
      </c>
      <c r="L1011" s="222">
        <v>9783708800257</v>
      </c>
      <c r="M1011">
        <v>182</v>
      </c>
      <c r="O1011" t="s">
        <v>5419</v>
      </c>
      <c r="P1011">
        <v>737</v>
      </c>
      <c r="Q1011">
        <v>0.77</v>
      </c>
    </row>
    <row r="1012" spans="1:17" x14ac:dyDescent="0.25">
      <c r="A1012">
        <v>18</v>
      </c>
      <c r="B1012" t="s">
        <v>6544</v>
      </c>
      <c r="C1012" t="s">
        <v>6545</v>
      </c>
      <c r="D1012" t="s">
        <v>6546</v>
      </c>
      <c r="H1012" t="s">
        <v>2734</v>
      </c>
      <c r="I1012">
        <v>1</v>
      </c>
      <c r="J1012" t="s">
        <v>6359</v>
      </c>
      <c r="K1012" t="s">
        <v>14332</v>
      </c>
      <c r="L1012" s="222">
        <v>9783782210089</v>
      </c>
      <c r="O1012" t="s">
        <v>5420</v>
      </c>
      <c r="P1012">
        <v>592</v>
      </c>
      <c r="Q1012">
        <v>1.63</v>
      </c>
    </row>
    <row r="1013" spans="1:17" x14ac:dyDescent="0.25">
      <c r="A1013">
        <v>624</v>
      </c>
      <c r="B1013" t="s">
        <v>6552</v>
      </c>
      <c r="C1013" t="s">
        <v>6551</v>
      </c>
      <c r="D1013" t="s">
        <v>3116</v>
      </c>
      <c r="E1013" t="s">
        <v>1913</v>
      </c>
      <c r="F1013">
        <v>1993</v>
      </c>
      <c r="H1013" t="s">
        <v>2734</v>
      </c>
      <c r="I1013">
        <v>2</v>
      </c>
      <c r="J1013" t="s">
        <v>3854</v>
      </c>
      <c r="K1013" t="s">
        <v>14332</v>
      </c>
      <c r="L1013" s="222">
        <v>9783401044637</v>
      </c>
      <c r="M1013">
        <v>114</v>
      </c>
      <c r="O1013" t="s">
        <v>5422</v>
      </c>
      <c r="P1013">
        <v>580</v>
      </c>
      <c r="Q1013">
        <v>2.93</v>
      </c>
    </row>
    <row r="1014" spans="1:17" x14ac:dyDescent="0.25">
      <c r="A1014">
        <v>1309</v>
      </c>
      <c r="B1014" t="s">
        <v>7094</v>
      </c>
      <c r="C1014" t="s">
        <v>7095</v>
      </c>
      <c r="D1014" t="s">
        <v>3524</v>
      </c>
      <c r="E1014" t="s">
        <v>1913</v>
      </c>
      <c r="F1014">
        <v>2016</v>
      </c>
      <c r="H1014" t="s">
        <v>2734</v>
      </c>
      <c r="I1014">
        <v>2</v>
      </c>
      <c r="J1014" t="s">
        <v>3854</v>
      </c>
      <c r="K1014" t="s">
        <v>14332</v>
      </c>
      <c r="L1014" s="222">
        <v>9783785583524</v>
      </c>
      <c r="M1014">
        <v>126</v>
      </c>
      <c r="O1014" t="s">
        <v>5423</v>
      </c>
      <c r="P1014">
        <v>543</v>
      </c>
      <c r="Q1014">
        <v>3.26</v>
      </c>
    </row>
    <row r="1015" spans="1:17" x14ac:dyDescent="0.25">
      <c r="A1015">
        <v>651</v>
      </c>
      <c r="C1015" t="s">
        <v>7097</v>
      </c>
      <c r="D1015" t="s">
        <v>2117</v>
      </c>
      <c r="E1015" t="s">
        <v>1913</v>
      </c>
      <c r="F1015">
        <v>2013</v>
      </c>
      <c r="H1015" t="s">
        <v>2734</v>
      </c>
      <c r="I1015">
        <v>1</v>
      </c>
      <c r="K1015" t="s">
        <v>14332</v>
      </c>
      <c r="L1015" s="222">
        <v>9783772458743</v>
      </c>
      <c r="M1015">
        <v>66</v>
      </c>
      <c r="O1015" t="s">
        <v>5424</v>
      </c>
      <c r="P1015">
        <v>478</v>
      </c>
      <c r="Q1015">
        <v>4.43</v>
      </c>
    </row>
    <row r="1016" spans="1:17" x14ac:dyDescent="0.25">
      <c r="A1016">
        <v>13</v>
      </c>
      <c r="C1016" t="s">
        <v>7099</v>
      </c>
      <c r="D1016" t="s">
        <v>7100</v>
      </c>
      <c r="H1016" t="s">
        <v>1878</v>
      </c>
      <c r="I1016">
        <v>2</v>
      </c>
      <c r="J1016" t="s">
        <v>3854</v>
      </c>
      <c r="K1016" t="s">
        <v>14332</v>
      </c>
      <c r="L1016" s="222">
        <v>9783939666325</v>
      </c>
      <c r="M1016">
        <v>116</v>
      </c>
      <c r="O1016" t="s">
        <v>5425</v>
      </c>
      <c r="P1016">
        <v>424</v>
      </c>
      <c r="Q1016">
        <v>8.07</v>
      </c>
    </row>
    <row r="1017" spans="1:17" x14ac:dyDescent="0.25">
      <c r="A1017">
        <v>735</v>
      </c>
      <c r="C1017" t="s">
        <v>7102</v>
      </c>
      <c r="D1017" t="s">
        <v>7103</v>
      </c>
      <c r="F1017">
        <v>2017</v>
      </c>
      <c r="H1017" t="s">
        <v>5119</v>
      </c>
      <c r="I1017">
        <v>2</v>
      </c>
      <c r="K1017" t="s">
        <v>14332</v>
      </c>
      <c r="L1017" s="222">
        <v>9783897150508</v>
      </c>
      <c r="M1017">
        <v>98</v>
      </c>
      <c r="O1017" t="s">
        <v>5426</v>
      </c>
      <c r="P1017">
        <v>321</v>
      </c>
      <c r="Q1017">
        <v>12.35</v>
      </c>
    </row>
    <row r="1018" spans="1:17" x14ac:dyDescent="0.25">
      <c r="A1018">
        <v>2671</v>
      </c>
      <c r="C1018" t="s">
        <v>7107</v>
      </c>
      <c r="D1018" t="s">
        <v>2117</v>
      </c>
      <c r="E1018" t="s">
        <v>1913</v>
      </c>
      <c r="F1018">
        <v>2012</v>
      </c>
      <c r="H1018" t="s">
        <v>1878</v>
      </c>
      <c r="I1018">
        <v>2</v>
      </c>
      <c r="J1018" t="s">
        <v>3854</v>
      </c>
      <c r="K1018" t="s">
        <v>14332</v>
      </c>
      <c r="L1018" s="222">
        <v>9783772451829</v>
      </c>
      <c r="M1018">
        <v>132</v>
      </c>
      <c r="O1018" t="s">
        <v>5428</v>
      </c>
      <c r="P1018">
        <v>582</v>
      </c>
      <c r="Q1018">
        <v>1.97</v>
      </c>
    </row>
    <row r="1019" spans="1:17" x14ac:dyDescent="0.25">
      <c r="A1019">
        <v>2000</v>
      </c>
      <c r="C1019" t="s">
        <v>7109</v>
      </c>
      <c r="D1019" t="s">
        <v>2117</v>
      </c>
      <c r="F1019">
        <v>2016</v>
      </c>
      <c r="H1019" t="s">
        <v>5112</v>
      </c>
      <c r="I1019">
        <v>1</v>
      </c>
      <c r="K1019" t="s">
        <v>14332</v>
      </c>
      <c r="L1019" s="222">
        <v>9783772476419</v>
      </c>
      <c r="M1019">
        <v>48</v>
      </c>
      <c r="O1019" t="s">
        <v>5429</v>
      </c>
      <c r="P1019">
        <v>263</v>
      </c>
      <c r="Q1019">
        <v>2.71</v>
      </c>
    </row>
    <row r="1020" spans="1:17" x14ac:dyDescent="0.25">
      <c r="A1020">
        <v>990</v>
      </c>
      <c r="B1020" t="s">
        <v>7111</v>
      </c>
      <c r="C1020" t="s">
        <v>7112</v>
      </c>
      <c r="D1020" t="s">
        <v>6546</v>
      </c>
      <c r="H1020" t="s">
        <v>2734</v>
      </c>
      <c r="I1020">
        <v>1</v>
      </c>
      <c r="J1020" t="s">
        <v>7113</v>
      </c>
      <c r="K1020" t="s">
        <v>14332</v>
      </c>
      <c r="L1020" s="222">
        <v>9783782212328</v>
      </c>
      <c r="O1020" t="s">
        <v>5430</v>
      </c>
      <c r="P1020">
        <v>1063</v>
      </c>
      <c r="Q1020">
        <v>17.7</v>
      </c>
    </row>
    <row r="1021" spans="1:17" x14ac:dyDescent="0.25">
      <c r="A1021">
        <v>2000</v>
      </c>
      <c r="C1021" t="s">
        <v>7115</v>
      </c>
      <c r="D1021" t="s">
        <v>2117</v>
      </c>
      <c r="E1021" t="s">
        <v>1913</v>
      </c>
      <c r="F1021">
        <v>2016</v>
      </c>
      <c r="H1021" t="s">
        <v>1878</v>
      </c>
      <c r="I1021">
        <v>1</v>
      </c>
      <c r="K1021" t="s">
        <v>14332</v>
      </c>
      <c r="L1021" s="222">
        <v>9783772482908</v>
      </c>
      <c r="O1021" t="s">
        <v>5431</v>
      </c>
      <c r="P1021">
        <v>258</v>
      </c>
      <c r="Q1021">
        <v>2.19</v>
      </c>
    </row>
    <row r="1022" spans="1:17" x14ac:dyDescent="0.25">
      <c r="A1022">
        <v>2706</v>
      </c>
      <c r="B1022" t="s">
        <v>7117</v>
      </c>
      <c r="C1022" t="s">
        <v>7118</v>
      </c>
      <c r="D1022" t="s">
        <v>7119</v>
      </c>
      <c r="F1022">
        <v>2009</v>
      </c>
      <c r="H1022" t="s">
        <v>2734</v>
      </c>
      <c r="I1022">
        <v>2</v>
      </c>
      <c r="J1022" t="s">
        <v>3854</v>
      </c>
      <c r="K1022" t="s">
        <v>14332</v>
      </c>
      <c r="L1022" s="222">
        <v>9783766717948</v>
      </c>
      <c r="M1022">
        <v>162</v>
      </c>
      <c r="O1022" t="s">
        <v>5432</v>
      </c>
      <c r="P1022">
        <v>1030</v>
      </c>
      <c r="Q1022">
        <v>9.14</v>
      </c>
    </row>
    <row r="1023" spans="1:17" x14ac:dyDescent="0.25">
      <c r="A1023">
        <v>1282</v>
      </c>
      <c r="C1023" t="s">
        <v>7122</v>
      </c>
      <c r="D1023" t="s">
        <v>7121</v>
      </c>
      <c r="F1023">
        <v>2002</v>
      </c>
      <c r="H1023" t="s">
        <v>1878</v>
      </c>
      <c r="I1023">
        <v>2</v>
      </c>
      <c r="J1023" t="s">
        <v>3854</v>
      </c>
      <c r="K1023" t="s">
        <v>14332</v>
      </c>
      <c r="L1023" s="222">
        <v>9783923344574</v>
      </c>
      <c r="M1023">
        <v>296</v>
      </c>
      <c r="O1023" t="s">
        <v>5433</v>
      </c>
      <c r="P1023">
        <v>1541</v>
      </c>
      <c r="Q1023">
        <v>8.07</v>
      </c>
    </row>
    <row r="1024" spans="1:17" x14ac:dyDescent="0.25">
      <c r="A1024">
        <v>1389</v>
      </c>
      <c r="C1024" t="s">
        <v>7124</v>
      </c>
      <c r="D1024" t="s">
        <v>2117</v>
      </c>
      <c r="E1024" t="s">
        <v>1913</v>
      </c>
      <c r="F1024">
        <v>2011</v>
      </c>
      <c r="H1024" t="s">
        <v>1878</v>
      </c>
      <c r="I1024">
        <v>2</v>
      </c>
      <c r="J1024" t="s">
        <v>3854</v>
      </c>
      <c r="K1024" t="s">
        <v>14332</v>
      </c>
      <c r="L1024" s="222">
        <v>9783772457456</v>
      </c>
      <c r="M1024">
        <v>134</v>
      </c>
      <c r="O1024" t="s">
        <v>5434</v>
      </c>
      <c r="P1024">
        <v>824</v>
      </c>
      <c r="Q1024">
        <v>2.83</v>
      </c>
    </row>
    <row r="1025" spans="1:17" x14ac:dyDescent="0.25">
      <c r="A1025">
        <v>1389</v>
      </c>
      <c r="B1025" t="s">
        <v>7126</v>
      </c>
      <c r="C1025" t="s">
        <v>7127</v>
      </c>
      <c r="D1025" t="s">
        <v>6499</v>
      </c>
      <c r="H1025" t="s">
        <v>2734</v>
      </c>
      <c r="I1025">
        <v>1</v>
      </c>
      <c r="J1025" t="s">
        <v>7113</v>
      </c>
      <c r="K1025" t="s">
        <v>14332</v>
      </c>
      <c r="L1025" s="222">
        <v>9783838831909</v>
      </c>
      <c r="O1025" t="s">
        <v>5435</v>
      </c>
      <c r="P1025">
        <v>438</v>
      </c>
      <c r="Q1025">
        <v>1.87</v>
      </c>
    </row>
    <row r="1026" spans="1:17" x14ac:dyDescent="0.25">
      <c r="A1026">
        <v>651</v>
      </c>
      <c r="C1026" t="s">
        <v>7129</v>
      </c>
      <c r="D1026" t="s">
        <v>2117</v>
      </c>
      <c r="E1026" t="s">
        <v>1913</v>
      </c>
      <c r="F1026">
        <v>2013</v>
      </c>
      <c r="H1026" t="s">
        <v>2734</v>
      </c>
      <c r="I1026">
        <v>2</v>
      </c>
      <c r="J1026" t="s">
        <v>3854</v>
      </c>
      <c r="K1026" t="s">
        <v>14332</v>
      </c>
      <c r="L1026" s="222">
        <v>9783772456688</v>
      </c>
      <c r="M1026">
        <v>82</v>
      </c>
      <c r="O1026" t="s">
        <v>5436</v>
      </c>
      <c r="P1026">
        <v>481</v>
      </c>
      <c r="Q1026">
        <v>2.44</v>
      </c>
    </row>
    <row r="1027" spans="1:17" x14ac:dyDescent="0.25">
      <c r="A1027">
        <v>2000</v>
      </c>
      <c r="C1027" t="s">
        <v>7131</v>
      </c>
      <c r="D1027" t="s">
        <v>2117</v>
      </c>
      <c r="E1027" t="s">
        <v>1913</v>
      </c>
      <c r="F1027">
        <v>2016</v>
      </c>
      <c r="H1027" t="s">
        <v>1878</v>
      </c>
      <c r="I1027">
        <v>1</v>
      </c>
      <c r="K1027" t="s">
        <v>14332</v>
      </c>
      <c r="L1027" s="222">
        <v>9783772476365</v>
      </c>
      <c r="M1027">
        <v>32</v>
      </c>
      <c r="O1027" t="s">
        <v>5437</v>
      </c>
      <c r="P1027">
        <v>176</v>
      </c>
      <c r="Q1027">
        <v>3.15</v>
      </c>
    </row>
    <row r="1028" spans="1:17" x14ac:dyDescent="0.25">
      <c r="A1028">
        <v>1717</v>
      </c>
      <c r="B1028" t="s">
        <v>7133</v>
      </c>
      <c r="C1028" t="s">
        <v>7134</v>
      </c>
      <c r="D1028" t="s">
        <v>2209</v>
      </c>
      <c r="F1028">
        <v>1999</v>
      </c>
      <c r="H1028" t="s">
        <v>1878</v>
      </c>
      <c r="I1028">
        <v>2</v>
      </c>
      <c r="K1028" t="s">
        <v>14332</v>
      </c>
      <c r="L1028" s="222">
        <v>9783453114814</v>
      </c>
      <c r="M1028">
        <v>156</v>
      </c>
      <c r="O1028" t="s">
        <v>5438</v>
      </c>
      <c r="P1028">
        <v>729</v>
      </c>
      <c r="Q1028">
        <v>1.22</v>
      </c>
    </row>
    <row r="1029" spans="1:17" x14ac:dyDescent="0.25">
      <c r="A1029">
        <v>137</v>
      </c>
      <c r="B1029" t="s">
        <v>5745</v>
      </c>
      <c r="C1029" t="s">
        <v>7136</v>
      </c>
      <c r="D1029" t="s">
        <v>7137</v>
      </c>
      <c r="F1029">
        <v>2007</v>
      </c>
      <c r="H1029" t="s">
        <v>1878</v>
      </c>
      <c r="I1029">
        <v>3</v>
      </c>
      <c r="K1029" t="s">
        <v>14479</v>
      </c>
      <c r="L1029" s="222">
        <v>9782090354249</v>
      </c>
      <c r="M1029">
        <v>160</v>
      </c>
      <c r="O1029" t="s">
        <v>5439</v>
      </c>
      <c r="P1029">
        <v>467</v>
      </c>
      <c r="Q1029">
        <v>3.79</v>
      </c>
    </row>
    <row r="1030" spans="1:17" x14ac:dyDescent="0.25">
      <c r="A1030">
        <v>1320</v>
      </c>
      <c r="B1030" t="s">
        <v>7139</v>
      </c>
      <c r="C1030" t="s">
        <v>7140</v>
      </c>
      <c r="D1030" t="s">
        <v>5743</v>
      </c>
      <c r="F1030">
        <v>2009</v>
      </c>
      <c r="H1030" t="s">
        <v>2734</v>
      </c>
      <c r="I1030">
        <v>1</v>
      </c>
      <c r="K1030" t="s">
        <v>14332</v>
      </c>
      <c r="L1030" s="222">
        <v>9783517069814</v>
      </c>
      <c r="M1030">
        <v>394</v>
      </c>
      <c r="O1030" t="s">
        <v>5440</v>
      </c>
      <c r="P1030">
        <v>1381</v>
      </c>
      <c r="Q1030">
        <v>5.72</v>
      </c>
    </row>
    <row r="1031" spans="1:17" x14ac:dyDescent="0.25">
      <c r="A1031">
        <v>1927</v>
      </c>
      <c r="C1031" t="s">
        <v>7142</v>
      </c>
      <c r="D1031" t="s">
        <v>7143</v>
      </c>
      <c r="F1031">
        <v>2001</v>
      </c>
      <c r="H1031" t="s">
        <v>2734</v>
      </c>
      <c r="I1031">
        <v>1</v>
      </c>
      <c r="K1031" t="s">
        <v>14332</v>
      </c>
      <c r="L1031" s="222">
        <v>9783770186181</v>
      </c>
      <c r="M1031">
        <v>234</v>
      </c>
      <c r="O1031" t="s">
        <v>5441</v>
      </c>
      <c r="P1031">
        <v>1117</v>
      </c>
      <c r="Q1031">
        <v>1.1200000000000001</v>
      </c>
    </row>
    <row r="1032" spans="1:17" x14ac:dyDescent="0.25">
      <c r="A1032">
        <v>1322</v>
      </c>
      <c r="B1032" t="s">
        <v>7145</v>
      </c>
      <c r="C1032" t="s">
        <v>7146</v>
      </c>
      <c r="D1032" t="s">
        <v>7147</v>
      </c>
      <c r="F1032">
        <v>1996</v>
      </c>
      <c r="H1032" t="s">
        <v>2734</v>
      </c>
      <c r="I1032">
        <v>2</v>
      </c>
      <c r="K1032" t="s">
        <v>14332</v>
      </c>
      <c r="L1032" s="222">
        <v>4028022299406</v>
      </c>
      <c r="M1032">
        <v>146</v>
      </c>
      <c r="O1032" t="s">
        <v>5442</v>
      </c>
      <c r="P1032">
        <v>698</v>
      </c>
      <c r="Q1032">
        <v>1.97</v>
      </c>
    </row>
    <row r="1033" spans="1:17" x14ac:dyDescent="0.25">
      <c r="A1033">
        <v>624</v>
      </c>
      <c r="B1033" t="s">
        <v>7151</v>
      </c>
      <c r="C1033" t="s">
        <v>7152</v>
      </c>
      <c r="D1033" t="s">
        <v>4334</v>
      </c>
      <c r="F1033">
        <v>1983</v>
      </c>
      <c r="H1033" t="s">
        <v>2734</v>
      </c>
      <c r="I1033">
        <v>3</v>
      </c>
      <c r="K1033" t="s">
        <v>14332</v>
      </c>
      <c r="M1033">
        <v>158</v>
      </c>
      <c r="O1033" t="s">
        <v>5444</v>
      </c>
      <c r="P1033">
        <v>815</v>
      </c>
      <c r="Q1033">
        <v>8.07</v>
      </c>
    </row>
    <row r="1034" spans="1:17" x14ac:dyDescent="0.25">
      <c r="A1034">
        <v>1324</v>
      </c>
      <c r="B1034" t="s">
        <v>7153</v>
      </c>
      <c r="C1034" t="s">
        <v>7154</v>
      </c>
      <c r="D1034" t="s">
        <v>7155</v>
      </c>
      <c r="F1034">
        <v>1958</v>
      </c>
      <c r="H1034" t="s">
        <v>2734</v>
      </c>
      <c r="I1034">
        <v>3</v>
      </c>
      <c r="K1034" t="s">
        <v>14332</v>
      </c>
      <c r="M1034">
        <v>70</v>
      </c>
      <c r="O1034" t="s">
        <v>5445</v>
      </c>
      <c r="P1034">
        <v>779</v>
      </c>
      <c r="Q1034">
        <v>1.22</v>
      </c>
    </row>
    <row r="1035" spans="1:17" x14ac:dyDescent="0.25">
      <c r="A1035">
        <v>722</v>
      </c>
      <c r="C1035" t="s">
        <v>7156</v>
      </c>
      <c r="D1035" t="s">
        <v>7157</v>
      </c>
      <c r="H1035" t="s">
        <v>2734</v>
      </c>
      <c r="I1035">
        <v>2</v>
      </c>
      <c r="K1035" t="s">
        <v>14332</v>
      </c>
      <c r="M1035">
        <v>258</v>
      </c>
      <c r="O1035" t="s">
        <v>5446</v>
      </c>
      <c r="P1035">
        <v>1646</v>
      </c>
      <c r="Q1035">
        <v>5.82</v>
      </c>
    </row>
    <row r="1036" spans="1:17" x14ac:dyDescent="0.25">
      <c r="A1036">
        <v>1253</v>
      </c>
      <c r="C1036" t="s">
        <v>7158</v>
      </c>
      <c r="D1036" t="s">
        <v>5708</v>
      </c>
      <c r="F1036">
        <v>2003</v>
      </c>
      <c r="H1036" t="s">
        <v>2734</v>
      </c>
      <c r="I1036">
        <v>1</v>
      </c>
      <c r="K1036" t="s">
        <v>14332</v>
      </c>
      <c r="L1036" s="222">
        <v>9783899151213</v>
      </c>
      <c r="M1036">
        <v>386</v>
      </c>
      <c r="O1036" t="s">
        <v>5447</v>
      </c>
      <c r="P1036">
        <v>1616</v>
      </c>
      <c r="Q1036">
        <v>1.22</v>
      </c>
    </row>
    <row r="1037" spans="1:17" x14ac:dyDescent="0.25">
      <c r="A1037">
        <v>270</v>
      </c>
      <c r="B1037" t="s">
        <v>7160</v>
      </c>
      <c r="C1037" t="s">
        <v>7161</v>
      </c>
      <c r="D1037" t="s">
        <v>2054</v>
      </c>
      <c r="F1037">
        <v>1994</v>
      </c>
      <c r="H1037" t="s">
        <v>2734</v>
      </c>
      <c r="I1037">
        <v>2</v>
      </c>
      <c r="K1037" t="s">
        <v>14332</v>
      </c>
      <c r="L1037" s="222">
        <v>9783893501496</v>
      </c>
      <c r="M1037">
        <v>146</v>
      </c>
      <c r="O1037" t="s">
        <v>5448</v>
      </c>
      <c r="P1037">
        <v>995</v>
      </c>
      <c r="Q1037">
        <v>1.76</v>
      </c>
    </row>
    <row r="1038" spans="1:17" x14ac:dyDescent="0.25">
      <c r="A1038">
        <v>806</v>
      </c>
      <c r="C1038" t="s">
        <v>7163</v>
      </c>
      <c r="D1038" t="s">
        <v>7157</v>
      </c>
      <c r="H1038" t="s">
        <v>2734</v>
      </c>
      <c r="I1038">
        <v>2</v>
      </c>
      <c r="K1038" t="s">
        <v>14332</v>
      </c>
      <c r="M1038">
        <v>258</v>
      </c>
      <c r="O1038" t="s">
        <v>5449</v>
      </c>
      <c r="P1038">
        <v>1598</v>
      </c>
      <c r="Q1038">
        <v>4.01</v>
      </c>
    </row>
    <row r="1039" spans="1:17" x14ac:dyDescent="0.25">
      <c r="A1039">
        <v>2442</v>
      </c>
      <c r="C1039" t="s">
        <v>7208</v>
      </c>
      <c r="D1039" t="s">
        <v>7164</v>
      </c>
      <c r="F1039">
        <v>1979</v>
      </c>
      <c r="H1039" t="s">
        <v>2734</v>
      </c>
      <c r="I1039">
        <v>2</v>
      </c>
      <c r="K1039" t="s">
        <v>14339</v>
      </c>
      <c r="M1039">
        <v>130</v>
      </c>
      <c r="O1039" t="s">
        <v>5450</v>
      </c>
      <c r="P1039">
        <v>1034</v>
      </c>
      <c r="Q1039">
        <v>14.49</v>
      </c>
    </row>
    <row r="1040" spans="1:17" x14ac:dyDescent="0.25">
      <c r="A1040">
        <v>844</v>
      </c>
      <c r="B1040" t="s">
        <v>7165</v>
      </c>
      <c r="C1040" t="s">
        <v>7166</v>
      </c>
      <c r="E1040" t="s">
        <v>3141</v>
      </c>
      <c r="H1040" t="s">
        <v>2734</v>
      </c>
      <c r="I1040">
        <v>1</v>
      </c>
      <c r="K1040" t="s">
        <v>14332</v>
      </c>
      <c r="L1040" s="222">
        <v>9783831015948</v>
      </c>
      <c r="M1040">
        <v>28</v>
      </c>
      <c r="O1040" t="s">
        <v>5451</v>
      </c>
      <c r="P1040">
        <v>301</v>
      </c>
      <c r="Q1040">
        <v>2.29</v>
      </c>
    </row>
    <row r="1041" spans="1:17" x14ac:dyDescent="0.25">
      <c r="A1041">
        <v>2634</v>
      </c>
      <c r="C1041" t="s">
        <v>7168</v>
      </c>
      <c r="D1041" t="s">
        <v>7169</v>
      </c>
      <c r="F1041">
        <v>1982</v>
      </c>
      <c r="H1041" t="s">
        <v>2734</v>
      </c>
      <c r="I1041">
        <v>2</v>
      </c>
      <c r="K1041" t="s">
        <v>14332</v>
      </c>
      <c r="L1041" s="222">
        <v>9783259088524</v>
      </c>
      <c r="M1041">
        <v>210</v>
      </c>
      <c r="O1041" t="s">
        <v>5452</v>
      </c>
      <c r="P1041">
        <v>1519</v>
      </c>
      <c r="Q1041">
        <v>4.1100000000000003</v>
      </c>
    </row>
    <row r="1042" spans="1:17" x14ac:dyDescent="0.25">
      <c r="A1042">
        <v>212</v>
      </c>
      <c r="C1042" t="s">
        <v>7171</v>
      </c>
      <c r="D1042" t="s">
        <v>2050</v>
      </c>
      <c r="F1042">
        <v>1990</v>
      </c>
      <c r="H1042" t="s">
        <v>2734</v>
      </c>
      <c r="I1042">
        <v>2</v>
      </c>
      <c r="K1042" t="s">
        <v>14332</v>
      </c>
      <c r="L1042" s="222">
        <v>9783809400318</v>
      </c>
      <c r="M1042">
        <v>98</v>
      </c>
      <c r="O1042" t="s">
        <v>5453</v>
      </c>
      <c r="P1042">
        <v>722</v>
      </c>
      <c r="Q1042">
        <v>1.33</v>
      </c>
    </row>
    <row r="1043" spans="1:17" x14ac:dyDescent="0.25">
      <c r="A1043">
        <v>273</v>
      </c>
      <c r="B1043" t="s">
        <v>7174</v>
      </c>
      <c r="C1043" t="s">
        <v>7173</v>
      </c>
      <c r="F1043">
        <v>1963</v>
      </c>
      <c r="H1043" t="s">
        <v>2734</v>
      </c>
      <c r="I1043">
        <v>2</v>
      </c>
      <c r="K1043" t="s">
        <v>14332</v>
      </c>
      <c r="M1043">
        <v>98</v>
      </c>
      <c r="O1043" t="s">
        <v>5454</v>
      </c>
      <c r="P1043">
        <v>1129</v>
      </c>
      <c r="Q1043">
        <v>3.47</v>
      </c>
    </row>
    <row r="1044" spans="1:17" x14ac:dyDescent="0.25">
      <c r="A1044">
        <v>273</v>
      </c>
      <c r="C1044" t="s">
        <v>7175</v>
      </c>
      <c r="D1044" t="s">
        <v>5005</v>
      </c>
      <c r="F1044">
        <v>1967</v>
      </c>
      <c r="H1044" t="s">
        <v>2734</v>
      </c>
      <c r="I1044">
        <v>2</v>
      </c>
      <c r="K1044" t="s">
        <v>14332</v>
      </c>
      <c r="M1044">
        <v>176</v>
      </c>
      <c r="O1044" t="s">
        <v>5455</v>
      </c>
      <c r="P1044">
        <v>925</v>
      </c>
      <c r="Q1044">
        <v>1.65</v>
      </c>
    </row>
    <row r="1045" spans="1:17" x14ac:dyDescent="0.25">
      <c r="A1045">
        <v>692</v>
      </c>
      <c r="B1045" t="s">
        <v>7176</v>
      </c>
      <c r="C1045" t="s">
        <v>7177</v>
      </c>
      <c r="D1045" t="s">
        <v>7178</v>
      </c>
      <c r="F1045">
        <v>2010</v>
      </c>
      <c r="H1045" t="s">
        <v>1878</v>
      </c>
      <c r="I1045">
        <v>1</v>
      </c>
      <c r="K1045" t="s">
        <v>14332</v>
      </c>
      <c r="L1045" s="222">
        <v>9783896025609</v>
      </c>
      <c r="M1045">
        <v>304</v>
      </c>
      <c r="O1045" t="s">
        <v>5456</v>
      </c>
      <c r="P1045">
        <v>276</v>
      </c>
      <c r="Q1045">
        <v>1.65</v>
      </c>
    </row>
    <row r="1046" spans="1:17" x14ac:dyDescent="0.25">
      <c r="A1046">
        <v>1315</v>
      </c>
      <c r="B1046" t="s">
        <v>7182</v>
      </c>
      <c r="C1046" t="s">
        <v>7183</v>
      </c>
      <c r="D1046" t="s">
        <v>2402</v>
      </c>
      <c r="F1046">
        <v>2003</v>
      </c>
      <c r="H1046" t="s">
        <v>2734</v>
      </c>
      <c r="I1046">
        <v>2</v>
      </c>
      <c r="K1046" t="s">
        <v>14332</v>
      </c>
      <c r="L1046" s="222">
        <v>9783505119545</v>
      </c>
      <c r="M1046">
        <v>386</v>
      </c>
      <c r="O1046" t="s">
        <v>5458</v>
      </c>
      <c r="P1046">
        <v>677</v>
      </c>
      <c r="Q1046">
        <v>1.1200000000000001</v>
      </c>
    </row>
    <row r="1047" spans="1:17" x14ac:dyDescent="0.25">
      <c r="A1047">
        <v>1395</v>
      </c>
      <c r="B1047" t="s">
        <v>7185</v>
      </c>
      <c r="C1047" t="s">
        <v>7186</v>
      </c>
      <c r="D1047" t="s">
        <v>1993</v>
      </c>
      <c r="E1047" t="s">
        <v>1913</v>
      </c>
      <c r="F1047">
        <v>2016</v>
      </c>
      <c r="H1047" t="s">
        <v>1878</v>
      </c>
      <c r="I1047">
        <v>2</v>
      </c>
      <c r="J1047" t="s">
        <v>3854</v>
      </c>
      <c r="K1047" t="s">
        <v>14332</v>
      </c>
      <c r="L1047" s="222">
        <v>9783734102332</v>
      </c>
      <c r="M1047">
        <v>416</v>
      </c>
      <c r="O1047" t="s">
        <v>5459</v>
      </c>
      <c r="P1047">
        <v>346</v>
      </c>
      <c r="Q1047">
        <v>2.61</v>
      </c>
    </row>
    <row r="1048" spans="1:17" x14ac:dyDescent="0.25">
      <c r="A1048">
        <v>2522</v>
      </c>
      <c r="B1048" t="s">
        <v>3832</v>
      </c>
      <c r="C1048" t="s">
        <v>7188</v>
      </c>
      <c r="D1048" t="s">
        <v>1920</v>
      </c>
      <c r="F1048">
        <v>2000</v>
      </c>
      <c r="H1048" t="s">
        <v>1878</v>
      </c>
      <c r="I1048">
        <v>3</v>
      </c>
      <c r="K1048" t="s">
        <v>14332</v>
      </c>
      <c r="L1048" s="222">
        <v>9783404113880</v>
      </c>
      <c r="M1048">
        <v>464</v>
      </c>
      <c r="O1048" t="s">
        <v>5460</v>
      </c>
      <c r="P1048">
        <v>394</v>
      </c>
      <c r="Q1048">
        <v>0.93</v>
      </c>
    </row>
    <row r="1049" spans="1:17" x14ac:dyDescent="0.25">
      <c r="A1049">
        <v>2522</v>
      </c>
      <c r="B1049" t="s">
        <v>4599</v>
      </c>
      <c r="C1049" t="s">
        <v>7190</v>
      </c>
      <c r="D1049" t="s">
        <v>2257</v>
      </c>
      <c r="F1049">
        <v>2010</v>
      </c>
      <c r="H1049" t="s">
        <v>1878</v>
      </c>
      <c r="I1049">
        <v>2</v>
      </c>
      <c r="J1049" t="s">
        <v>3854</v>
      </c>
      <c r="K1049" t="s">
        <v>14332</v>
      </c>
      <c r="L1049" s="222">
        <v>9783426507261</v>
      </c>
      <c r="M1049">
        <v>528</v>
      </c>
      <c r="O1049" t="s">
        <v>5461</v>
      </c>
      <c r="P1049">
        <v>528</v>
      </c>
      <c r="Q1049">
        <v>1.65</v>
      </c>
    </row>
    <row r="1050" spans="1:17" x14ac:dyDescent="0.25">
      <c r="A1050">
        <v>2522</v>
      </c>
      <c r="B1050" t="s">
        <v>7192</v>
      </c>
      <c r="C1050" t="s">
        <v>7193</v>
      </c>
      <c r="D1050" t="s">
        <v>1912</v>
      </c>
      <c r="E1050" t="s">
        <v>1913</v>
      </c>
      <c r="F1050">
        <v>2007</v>
      </c>
      <c r="H1050" t="s">
        <v>1878</v>
      </c>
      <c r="I1050">
        <v>2</v>
      </c>
      <c r="K1050" t="s">
        <v>14332</v>
      </c>
      <c r="L1050" s="222">
        <v>9783442463848</v>
      </c>
      <c r="M1050">
        <v>512</v>
      </c>
      <c r="O1050" t="s">
        <v>5462</v>
      </c>
      <c r="P1050">
        <v>425</v>
      </c>
      <c r="Q1050">
        <v>1.33</v>
      </c>
    </row>
    <row r="1051" spans="1:17" x14ac:dyDescent="0.25">
      <c r="A1051">
        <v>1315</v>
      </c>
      <c r="B1051" t="s">
        <v>4186</v>
      </c>
      <c r="C1051" t="s">
        <v>7195</v>
      </c>
      <c r="D1051" t="s">
        <v>3312</v>
      </c>
      <c r="F1051">
        <v>2003</v>
      </c>
      <c r="H1051" t="s">
        <v>2734</v>
      </c>
      <c r="I1051">
        <v>2</v>
      </c>
      <c r="J1051" t="s">
        <v>3854</v>
      </c>
      <c r="K1051" t="s">
        <v>14332</v>
      </c>
      <c r="L1051" s="222">
        <v>9783791510095</v>
      </c>
      <c r="M1051">
        <v>322</v>
      </c>
      <c r="O1051" t="s">
        <v>5463</v>
      </c>
      <c r="P1051">
        <v>568</v>
      </c>
      <c r="Q1051">
        <v>1.1200000000000001</v>
      </c>
    </row>
    <row r="1052" spans="1:17" x14ac:dyDescent="0.25">
      <c r="A1052">
        <v>1231</v>
      </c>
      <c r="B1052" t="s">
        <v>7197</v>
      </c>
      <c r="C1052" t="s">
        <v>7198</v>
      </c>
      <c r="D1052" t="s">
        <v>4841</v>
      </c>
      <c r="F1052">
        <v>2007</v>
      </c>
      <c r="H1052" t="s">
        <v>2734</v>
      </c>
      <c r="I1052">
        <v>1</v>
      </c>
      <c r="K1052" t="s">
        <v>14332</v>
      </c>
      <c r="L1052" s="222">
        <v>9783451293696</v>
      </c>
      <c r="M1052">
        <v>226</v>
      </c>
      <c r="O1052" t="s">
        <v>5464</v>
      </c>
      <c r="P1052">
        <v>418</v>
      </c>
      <c r="Q1052">
        <v>1.87</v>
      </c>
    </row>
    <row r="1053" spans="1:17" x14ac:dyDescent="0.25">
      <c r="A1053">
        <v>1327</v>
      </c>
      <c r="B1053" t="s">
        <v>7203</v>
      </c>
      <c r="C1053" t="s">
        <v>7204</v>
      </c>
      <c r="D1053" t="s">
        <v>2609</v>
      </c>
      <c r="F1053">
        <v>2008</v>
      </c>
      <c r="H1053" t="s">
        <v>2734</v>
      </c>
      <c r="I1053">
        <v>2</v>
      </c>
      <c r="K1053" t="s">
        <v>14332</v>
      </c>
      <c r="M1053">
        <v>450</v>
      </c>
      <c r="O1053" t="s">
        <v>5466</v>
      </c>
      <c r="P1053">
        <v>624</v>
      </c>
      <c r="Q1053">
        <v>0.93</v>
      </c>
    </row>
    <row r="1054" spans="1:17" x14ac:dyDescent="0.25">
      <c r="A1054">
        <v>721</v>
      </c>
      <c r="B1054" t="s">
        <v>7205</v>
      </c>
      <c r="C1054" t="s">
        <v>7206</v>
      </c>
      <c r="D1054" t="s">
        <v>3057</v>
      </c>
      <c r="H1054" t="s">
        <v>1878</v>
      </c>
      <c r="I1054">
        <v>2</v>
      </c>
      <c r="K1054" t="s">
        <v>14332</v>
      </c>
      <c r="L1054" s="222">
        <v>9783440103005</v>
      </c>
      <c r="M1054">
        <v>128</v>
      </c>
      <c r="O1054" t="s">
        <v>5467</v>
      </c>
      <c r="P1054">
        <v>359</v>
      </c>
      <c r="Q1054">
        <v>2.19</v>
      </c>
    </row>
    <row r="1055" spans="1:17" x14ac:dyDescent="0.25">
      <c r="A1055">
        <v>2514</v>
      </c>
      <c r="B1055" t="s">
        <v>7212</v>
      </c>
      <c r="C1055" t="s">
        <v>7213</v>
      </c>
      <c r="D1055" t="s">
        <v>7214</v>
      </c>
      <c r="E1055" t="s">
        <v>1877</v>
      </c>
      <c r="F1055">
        <v>1992</v>
      </c>
      <c r="H1055" t="s">
        <v>2734</v>
      </c>
      <c r="I1055">
        <v>3</v>
      </c>
      <c r="J1055" t="s">
        <v>7225</v>
      </c>
      <c r="K1055" t="s">
        <v>14332</v>
      </c>
      <c r="L1055" s="222">
        <v>9783414854520</v>
      </c>
      <c r="M1055">
        <v>130</v>
      </c>
      <c r="O1055" t="s">
        <v>5468</v>
      </c>
      <c r="P1055">
        <v>280</v>
      </c>
      <c r="Q1055">
        <v>1.33</v>
      </c>
    </row>
    <row r="1056" spans="1:17" x14ac:dyDescent="0.25">
      <c r="A1056">
        <v>2514</v>
      </c>
      <c r="B1056" t="s">
        <v>7216</v>
      </c>
      <c r="C1056" t="s">
        <v>7217</v>
      </c>
      <c r="D1056" t="s">
        <v>4435</v>
      </c>
      <c r="F1056">
        <v>2004</v>
      </c>
      <c r="H1056" t="s">
        <v>2734</v>
      </c>
      <c r="I1056">
        <v>2</v>
      </c>
      <c r="K1056" t="s">
        <v>14332</v>
      </c>
      <c r="L1056" s="222">
        <v>9783811220492</v>
      </c>
      <c r="M1056">
        <v>238</v>
      </c>
      <c r="O1056" t="s">
        <v>5469</v>
      </c>
      <c r="P1056">
        <v>498</v>
      </c>
      <c r="Q1056">
        <v>0.8</v>
      </c>
    </row>
    <row r="1057" spans="1:17" x14ac:dyDescent="0.25">
      <c r="A1057">
        <v>2514</v>
      </c>
      <c r="B1057" t="s">
        <v>7222</v>
      </c>
      <c r="C1057" t="s">
        <v>7223</v>
      </c>
      <c r="D1057" t="s">
        <v>2402</v>
      </c>
      <c r="F1057">
        <v>1993</v>
      </c>
      <c r="H1057" t="s">
        <v>2734</v>
      </c>
      <c r="I1057">
        <v>2</v>
      </c>
      <c r="J1057" t="s">
        <v>7224</v>
      </c>
      <c r="K1057" t="s">
        <v>14332</v>
      </c>
      <c r="L1057" s="222">
        <v>9783505048340</v>
      </c>
      <c r="M1057">
        <v>224</v>
      </c>
      <c r="O1057" t="s">
        <v>5471</v>
      </c>
      <c r="P1057">
        <v>313</v>
      </c>
      <c r="Q1057">
        <v>0.8</v>
      </c>
    </row>
    <row r="1058" spans="1:17" x14ac:dyDescent="0.25">
      <c r="A1058">
        <v>2514</v>
      </c>
      <c r="B1058" t="s">
        <v>7227</v>
      </c>
      <c r="C1058" t="s">
        <v>7228</v>
      </c>
      <c r="D1058" t="s">
        <v>3524</v>
      </c>
      <c r="E1058" t="s">
        <v>1913</v>
      </c>
      <c r="F1058">
        <v>2010</v>
      </c>
      <c r="H1058" t="s">
        <v>1878</v>
      </c>
      <c r="I1058">
        <v>2</v>
      </c>
      <c r="K1058" t="s">
        <v>14332</v>
      </c>
      <c r="L1058" s="222">
        <v>9783785571576</v>
      </c>
      <c r="M1058">
        <v>288</v>
      </c>
      <c r="O1058" t="s">
        <v>5472</v>
      </c>
      <c r="P1058">
        <v>331</v>
      </c>
      <c r="Q1058">
        <v>1.44</v>
      </c>
    </row>
    <row r="1059" spans="1:17" x14ac:dyDescent="0.25">
      <c r="A1059">
        <v>2514</v>
      </c>
      <c r="B1059" t="s">
        <v>7233</v>
      </c>
      <c r="C1059" t="s">
        <v>7234</v>
      </c>
      <c r="D1059" t="s">
        <v>2402</v>
      </c>
      <c r="F1059">
        <v>2010</v>
      </c>
      <c r="H1059" t="s">
        <v>2734</v>
      </c>
      <c r="I1059">
        <v>2</v>
      </c>
      <c r="K1059" t="s">
        <v>14332</v>
      </c>
      <c r="L1059" s="222">
        <v>9783505127199</v>
      </c>
      <c r="M1059">
        <v>98</v>
      </c>
      <c r="O1059" t="s">
        <v>5474</v>
      </c>
      <c r="P1059">
        <v>244</v>
      </c>
      <c r="Q1059">
        <v>2.4</v>
      </c>
    </row>
    <row r="1060" spans="1:17" x14ac:dyDescent="0.25">
      <c r="A1060">
        <v>2514</v>
      </c>
      <c r="B1060" t="s">
        <v>7236</v>
      </c>
      <c r="C1060" t="s">
        <v>7237</v>
      </c>
      <c r="D1060" t="s">
        <v>2402</v>
      </c>
      <c r="F1060">
        <v>1976</v>
      </c>
      <c r="H1060" t="s">
        <v>2734</v>
      </c>
      <c r="I1060">
        <v>3</v>
      </c>
      <c r="K1060" t="s">
        <v>14332</v>
      </c>
      <c r="L1060" s="222">
        <v>9783505076121</v>
      </c>
      <c r="M1060">
        <v>126</v>
      </c>
      <c r="O1060" t="s">
        <v>5475</v>
      </c>
      <c r="P1060">
        <v>195</v>
      </c>
      <c r="Q1060">
        <v>0.8</v>
      </c>
    </row>
    <row r="1061" spans="1:17" x14ac:dyDescent="0.25">
      <c r="A1061">
        <v>2514</v>
      </c>
      <c r="B1061" t="s">
        <v>7236</v>
      </c>
      <c r="C1061" t="s">
        <v>7239</v>
      </c>
      <c r="D1061" t="s">
        <v>2402</v>
      </c>
      <c r="F1061">
        <v>1972</v>
      </c>
      <c r="H1061" t="s">
        <v>2734</v>
      </c>
      <c r="I1061">
        <v>3</v>
      </c>
      <c r="K1061" t="s">
        <v>14332</v>
      </c>
      <c r="L1061" s="222">
        <v>9783505048661</v>
      </c>
      <c r="M1061">
        <v>126</v>
      </c>
      <c r="O1061" t="s">
        <v>5476</v>
      </c>
      <c r="P1061">
        <v>201</v>
      </c>
      <c r="Q1061">
        <v>0.8</v>
      </c>
    </row>
    <row r="1062" spans="1:17" x14ac:dyDescent="0.25">
      <c r="A1062">
        <v>2776</v>
      </c>
      <c r="C1062" t="s">
        <v>7241</v>
      </c>
      <c r="D1062" t="s">
        <v>7242</v>
      </c>
      <c r="F1062">
        <v>2017</v>
      </c>
      <c r="H1062" t="s">
        <v>1878</v>
      </c>
      <c r="I1062">
        <v>1</v>
      </c>
      <c r="J1062" t="s">
        <v>7243</v>
      </c>
      <c r="K1062" t="s">
        <v>14332</v>
      </c>
      <c r="L1062" s="222">
        <v>9783813209662</v>
      </c>
      <c r="O1062" t="s">
        <v>5477</v>
      </c>
      <c r="P1062">
        <v>476</v>
      </c>
      <c r="Q1062">
        <v>5.57</v>
      </c>
    </row>
    <row r="1063" spans="1:17" x14ac:dyDescent="0.25">
      <c r="A1063">
        <v>2522</v>
      </c>
      <c r="B1063" t="s">
        <v>7245</v>
      </c>
      <c r="C1063" t="s">
        <v>7246</v>
      </c>
      <c r="D1063" t="s">
        <v>5005</v>
      </c>
      <c r="F1063">
        <v>2009</v>
      </c>
      <c r="H1063" t="s">
        <v>1878</v>
      </c>
      <c r="I1063">
        <v>2</v>
      </c>
      <c r="K1063" t="s">
        <v>14332</v>
      </c>
      <c r="M1063">
        <v>416</v>
      </c>
      <c r="O1063" t="s">
        <v>5478</v>
      </c>
      <c r="P1063">
        <v>302</v>
      </c>
      <c r="Q1063">
        <v>0.8</v>
      </c>
    </row>
    <row r="1064" spans="1:17" x14ac:dyDescent="0.25">
      <c r="A1064">
        <v>2518</v>
      </c>
      <c r="B1064" t="s">
        <v>5033</v>
      </c>
      <c r="C1064" t="s">
        <v>7247</v>
      </c>
      <c r="D1064" t="s">
        <v>7248</v>
      </c>
      <c r="E1064" t="s">
        <v>2937</v>
      </c>
      <c r="F1064">
        <v>2004</v>
      </c>
      <c r="H1064" t="s">
        <v>1878</v>
      </c>
      <c r="I1064">
        <v>2</v>
      </c>
      <c r="K1064" t="s">
        <v>14332</v>
      </c>
      <c r="L1064" s="222">
        <v>9783423202947</v>
      </c>
      <c r="M1064">
        <v>352</v>
      </c>
      <c r="O1064" t="s">
        <v>5479</v>
      </c>
      <c r="P1064">
        <v>254</v>
      </c>
      <c r="Q1064">
        <v>0.8</v>
      </c>
    </row>
    <row r="1065" spans="1:17" x14ac:dyDescent="0.25">
      <c r="A1065">
        <v>1386</v>
      </c>
      <c r="B1065" t="s">
        <v>2242</v>
      </c>
      <c r="C1065" t="s">
        <v>7250</v>
      </c>
      <c r="D1065" t="s">
        <v>2609</v>
      </c>
      <c r="F1065">
        <v>1994</v>
      </c>
      <c r="H1065" t="s">
        <v>1878</v>
      </c>
      <c r="I1065">
        <v>4</v>
      </c>
      <c r="K1065" t="s">
        <v>14332</v>
      </c>
      <c r="L1065" s="222">
        <v>9783596109746</v>
      </c>
      <c r="M1065">
        <v>288</v>
      </c>
      <c r="O1065" t="s">
        <v>5480</v>
      </c>
      <c r="P1065">
        <v>186</v>
      </c>
      <c r="Q1065">
        <v>0.8</v>
      </c>
    </row>
    <row r="1066" spans="1:17" x14ac:dyDescent="0.25">
      <c r="A1066">
        <v>2851</v>
      </c>
      <c r="B1066" t="s">
        <v>7252</v>
      </c>
      <c r="C1066">
        <v>48</v>
      </c>
      <c r="D1066" t="s">
        <v>1920</v>
      </c>
      <c r="F1066">
        <v>1998</v>
      </c>
      <c r="H1066" t="s">
        <v>1878</v>
      </c>
      <c r="I1066">
        <v>3</v>
      </c>
      <c r="K1066" t="s">
        <v>14332</v>
      </c>
      <c r="L1066" s="222">
        <v>9783404139873</v>
      </c>
      <c r="M1066">
        <v>392</v>
      </c>
      <c r="O1066" t="s">
        <v>5481</v>
      </c>
      <c r="P1066">
        <v>329</v>
      </c>
      <c r="Q1066">
        <v>1.33</v>
      </c>
    </row>
    <row r="1067" spans="1:17" x14ac:dyDescent="0.25">
      <c r="A1067">
        <v>2522</v>
      </c>
      <c r="B1067" t="s">
        <v>7255</v>
      </c>
      <c r="C1067" t="s">
        <v>7256</v>
      </c>
      <c r="D1067" t="s">
        <v>2300</v>
      </c>
      <c r="F1067">
        <v>1990</v>
      </c>
      <c r="H1067" t="s">
        <v>1878</v>
      </c>
      <c r="I1067">
        <v>3</v>
      </c>
      <c r="K1067" t="s">
        <v>14332</v>
      </c>
      <c r="L1067" s="222">
        <v>9783499122460</v>
      </c>
      <c r="M1067">
        <v>542</v>
      </c>
      <c r="O1067" t="s">
        <v>5482</v>
      </c>
      <c r="P1067">
        <v>321</v>
      </c>
      <c r="Q1067">
        <v>0.8</v>
      </c>
    </row>
    <row r="1068" spans="1:17" x14ac:dyDescent="0.25">
      <c r="A1068">
        <v>1327</v>
      </c>
      <c r="B1068" t="s">
        <v>7258</v>
      </c>
      <c r="C1068" t="s">
        <v>7259</v>
      </c>
      <c r="D1068" t="s">
        <v>7260</v>
      </c>
      <c r="F1068">
        <v>1970</v>
      </c>
      <c r="H1068" t="s">
        <v>2734</v>
      </c>
      <c r="I1068">
        <v>2</v>
      </c>
      <c r="K1068" t="s">
        <v>14332</v>
      </c>
      <c r="M1068">
        <v>402</v>
      </c>
      <c r="O1068" t="s">
        <v>5483</v>
      </c>
      <c r="P1068">
        <v>577</v>
      </c>
      <c r="Q1068">
        <v>0.8</v>
      </c>
    </row>
    <row r="1069" spans="1:17" x14ac:dyDescent="0.25">
      <c r="A1069">
        <v>2518</v>
      </c>
      <c r="B1069" t="s">
        <v>5033</v>
      </c>
      <c r="C1069" t="s">
        <v>7261</v>
      </c>
      <c r="D1069" t="s">
        <v>7260</v>
      </c>
      <c r="F1069">
        <v>2001</v>
      </c>
      <c r="H1069" t="s">
        <v>2734</v>
      </c>
      <c r="I1069">
        <v>1</v>
      </c>
      <c r="J1069" t="s">
        <v>7262</v>
      </c>
      <c r="K1069" t="s">
        <v>14332</v>
      </c>
      <c r="L1069" s="222">
        <v>9783552049918</v>
      </c>
      <c r="M1069">
        <v>386</v>
      </c>
      <c r="O1069" t="s">
        <v>5484</v>
      </c>
      <c r="P1069">
        <v>578</v>
      </c>
      <c r="Q1069">
        <v>0.8</v>
      </c>
    </row>
    <row r="1070" spans="1:17" x14ac:dyDescent="0.25">
      <c r="A1070">
        <v>2522</v>
      </c>
      <c r="B1070" t="s">
        <v>2889</v>
      </c>
      <c r="C1070" t="s">
        <v>7264</v>
      </c>
      <c r="D1070" t="s">
        <v>2054</v>
      </c>
      <c r="E1070" t="s">
        <v>3141</v>
      </c>
      <c r="F1070">
        <v>2008</v>
      </c>
      <c r="H1070" t="s">
        <v>1878</v>
      </c>
      <c r="I1070">
        <v>1</v>
      </c>
      <c r="K1070" t="s">
        <v>14332</v>
      </c>
      <c r="L1070" s="222">
        <v>9783899415223</v>
      </c>
      <c r="M1070">
        <v>320</v>
      </c>
      <c r="O1070" t="s">
        <v>5485</v>
      </c>
      <c r="P1070">
        <v>308</v>
      </c>
      <c r="Q1070">
        <v>1.22</v>
      </c>
    </row>
    <row r="1071" spans="1:17" x14ac:dyDescent="0.25">
      <c r="A1071">
        <v>735</v>
      </c>
      <c r="B1071" t="s">
        <v>7266</v>
      </c>
      <c r="C1071" t="s">
        <v>7267</v>
      </c>
      <c r="D1071" t="s">
        <v>2209</v>
      </c>
      <c r="E1071" t="s">
        <v>1921</v>
      </c>
      <c r="F1071">
        <v>1987</v>
      </c>
      <c r="H1071" t="s">
        <v>1878</v>
      </c>
      <c r="I1071">
        <v>3</v>
      </c>
      <c r="K1071" t="s">
        <v>14332</v>
      </c>
      <c r="L1071" s="222">
        <v>9783453003682</v>
      </c>
      <c r="M1071">
        <v>288</v>
      </c>
      <c r="O1071" t="s">
        <v>5486</v>
      </c>
      <c r="P1071">
        <v>160</v>
      </c>
      <c r="Q1071">
        <v>0.8</v>
      </c>
    </row>
    <row r="1072" spans="1:17" x14ac:dyDescent="0.25">
      <c r="A1072">
        <v>2681</v>
      </c>
      <c r="C1072" t="s">
        <v>7269</v>
      </c>
      <c r="D1072" t="s">
        <v>1927</v>
      </c>
      <c r="H1072" t="s">
        <v>2734</v>
      </c>
      <c r="I1072">
        <v>1</v>
      </c>
      <c r="K1072" t="s">
        <v>14332</v>
      </c>
      <c r="L1072" s="222">
        <v>9781445455815</v>
      </c>
      <c r="M1072">
        <v>210</v>
      </c>
      <c r="O1072" t="s">
        <v>5487</v>
      </c>
      <c r="P1072">
        <v>312</v>
      </c>
      <c r="Q1072">
        <v>1.33</v>
      </c>
    </row>
    <row r="1073" spans="1:17" x14ac:dyDescent="0.25">
      <c r="A1073">
        <v>632</v>
      </c>
      <c r="B1073" t="s">
        <v>2870</v>
      </c>
      <c r="C1073" t="s">
        <v>5050</v>
      </c>
      <c r="D1073" t="s">
        <v>2609</v>
      </c>
      <c r="E1073" t="s">
        <v>2055</v>
      </c>
      <c r="F1073">
        <v>1988</v>
      </c>
      <c r="H1073" t="s">
        <v>2734</v>
      </c>
      <c r="I1073">
        <v>2</v>
      </c>
      <c r="K1073" t="s">
        <v>14332</v>
      </c>
      <c r="M1073">
        <v>658</v>
      </c>
      <c r="O1073" t="s">
        <v>5488</v>
      </c>
      <c r="P1073">
        <v>837</v>
      </c>
      <c r="Q1073">
        <v>0.8</v>
      </c>
    </row>
    <row r="1074" spans="1:17" x14ac:dyDescent="0.25">
      <c r="A1074">
        <v>774</v>
      </c>
      <c r="B1074" t="s">
        <v>7271</v>
      </c>
      <c r="C1074" t="s">
        <v>7272</v>
      </c>
      <c r="D1074" t="s">
        <v>2209</v>
      </c>
      <c r="E1074" t="s">
        <v>1921</v>
      </c>
      <c r="F1074">
        <v>1985</v>
      </c>
      <c r="H1074" t="s">
        <v>1878</v>
      </c>
      <c r="I1074">
        <v>3</v>
      </c>
      <c r="K1074" t="s">
        <v>14332</v>
      </c>
      <c r="L1074" s="222">
        <v>9783453021839</v>
      </c>
      <c r="M1074">
        <v>224</v>
      </c>
      <c r="O1074" t="s">
        <v>5489</v>
      </c>
      <c r="P1074">
        <v>156</v>
      </c>
      <c r="Q1074">
        <v>1.01</v>
      </c>
    </row>
    <row r="1075" spans="1:17" x14ac:dyDescent="0.25">
      <c r="A1075">
        <v>735</v>
      </c>
      <c r="B1075" t="s">
        <v>7274</v>
      </c>
      <c r="C1075" t="s">
        <v>7275</v>
      </c>
      <c r="D1075" t="s">
        <v>1912</v>
      </c>
      <c r="E1075" t="s">
        <v>1899</v>
      </c>
      <c r="F1075">
        <v>1984</v>
      </c>
      <c r="H1075" t="s">
        <v>1878</v>
      </c>
      <c r="I1075">
        <v>3</v>
      </c>
      <c r="K1075" t="s">
        <v>14332</v>
      </c>
      <c r="L1075" s="222">
        <v>9783442066360</v>
      </c>
      <c r="M1075">
        <v>368</v>
      </c>
      <c r="O1075" t="s">
        <v>5490</v>
      </c>
      <c r="P1075">
        <v>217</v>
      </c>
      <c r="Q1075">
        <v>0.8</v>
      </c>
    </row>
    <row r="1076" spans="1:17" x14ac:dyDescent="0.25">
      <c r="A1076">
        <v>2522</v>
      </c>
      <c r="B1076" t="s">
        <v>7277</v>
      </c>
      <c r="C1076" t="s">
        <v>7278</v>
      </c>
      <c r="D1076" t="s">
        <v>2209</v>
      </c>
      <c r="F1076">
        <v>1998</v>
      </c>
      <c r="H1076" t="s">
        <v>1878</v>
      </c>
      <c r="I1076">
        <v>3</v>
      </c>
      <c r="K1076" t="s">
        <v>14332</v>
      </c>
      <c r="L1076" s="222">
        <v>9783453140974</v>
      </c>
      <c r="M1076">
        <v>576</v>
      </c>
      <c r="O1076" t="s">
        <v>5491</v>
      </c>
      <c r="P1076">
        <v>319</v>
      </c>
      <c r="Q1076">
        <v>0.8</v>
      </c>
    </row>
    <row r="1077" spans="1:17" x14ac:dyDescent="0.25">
      <c r="A1077">
        <v>2894</v>
      </c>
      <c r="B1077" t="s">
        <v>7280</v>
      </c>
      <c r="C1077" t="s">
        <v>7281</v>
      </c>
      <c r="D1077" t="s">
        <v>7280</v>
      </c>
      <c r="E1077" t="s">
        <v>1877</v>
      </c>
      <c r="F1077">
        <v>2013</v>
      </c>
      <c r="H1077" t="s">
        <v>1878</v>
      </c>
      <c r="I1077">
        <v>1</v>
      </c>
      <c r="K1077" t="s">
        <v>14332</v>
      </c>
      <c r="L1077" s="222">
        <v>9783944778013</v>
      </c>
      <c r="M1077">
        <v>30</v>
      </c>
      <c r="O1077" t="s">
        <v>5492</v>
      </c>
      <c r="P1077">
        <v>54</v>
      </c>
      <c r="Q1077">
        <v>0.8</v>
      </c>
    </row>
    <row r="1078" spans="1:17" x14ac:dyDescent="0.25">
      <c r="A1078">
        <v>2522</v>
      </c>
      <c r="B1078" t="s">
        <v>7283</v>
      </c>
      <c r="C1078" t="s">
        <v>7284</v>
      </c>
      <c r="D1078" t="s">
        <v>1920</v>
      </c>
      <c r="F1078">
        <v>2014</v>
      </c>
      <c r="H1078" t="s">
        <v>1878</v>
      </c>
      <c r="I1078">
        <v>2</v>
      </c>
      <c r="J1078" t="s">
        <v>3854</v>
      </c>
      <c r="K1078" t="s">
        <v>14332</v>
      </c>
      <c r="L1078" s="222">
        <v>9783404169610</v>
      </c>
      <c r="M1078">
        <v>512</v>
      </c>
      <c r="O1078" t="s">
        <v>5493</v>
      </c>
      <c r="P1078">
        <v>439</v>
      </c>
      <c r="Q1078">
        <v>1.87</v>
      </c>
    </row>
    <row r="1079" spans="1:17" x14ac:dyDescent="0.25">
      <c r="A1079">
        <v>1231</v>
      </c>
      <c r="B1079" t="s">
        <v>7286</v>
      </c>
      <c r="C1079" t="s">
        <v>7287</v>
      </c>
      <c r="D1079" t="s">
        <v>7288</v>
      </c>
      <c r="F1079">
        <v>2002</v>
      </c>
      <c r="H1079" t="s">
        <v>1878</v>
      </c>
      <c r="I1079">
        <v>3</v>
      </c>
      <c r="K1079" t="s">
        <v>14332</v>
      </c>
      <c r="L1079" s="222">
        <v>9783935895477</v>
      </c>
      <c r="M1079">
        <v>224</v>
      </c>
      <c r="O1079" t="s">
        <v>5494</v>
      </c>
      <c r="P1079">
        <v>315</v>
      </c>
      <c r="Q1079">
        <v>5.08</v>
      </c>
    </row>
    <row r="1080" spans="1:17" x14ac:dyDescent="0.25">
      <c r="A1080">
        <v>692</v>
      </c>
      <c r="B1080" t="s">
        <v>7290</v>
      </c>
      <c r="C1080" t="s">
        <v>7291</v>
      </c>
      <c r="D1080" t="s">
        <v>2609</v>
      </c>
      <c r="F1080">
        <v>1999</v>
      </c>
      <c r="H1080" t="s">
        <v>1878</v>
      </c>
      <c r="I1080">
        <v>2</v>
      </c>
      <c r="K1080" t="s">
        <v>14332</v>
      </c>
      <c r="L1080" s="222">
        <v>9783596140121</v>
      </c>
      <c r="M1080">
        <v>288</v>
      </c>
      <c r="O1080" t="s">
        <v>5495</v>
      </c>
      <c r="P1080">
        <v>246</v>
      </c>
      <c r="Q1080">
        <v>1.22</v>
      </c>
    </row>
    <row r="1081" spans="1:17" x14ac:dyDescent="0.25">
      <c r="A1081">
        <v>1231</v>
      </c>
      <c r="B1081" t="s">
        <v>7293</v>
      </c>
      <c r="C1081" t="s">
        <v>7294</v>
      </c>
      <c r="D1081" t="s">
        <v>2394</v>
      </c>
      <c r="F1081">
        <v>1995</v>
      </c>
      <c r="H1081" t="s">
        <v>2734</v>
      </c>
      <c r="I1081">
        <v>2</v>
      </c>
      <c r="K1081" t="s">
        <v>14332</v>
      </c>
      <c r="L1081" s="222">
        <v>9783421050137</v>
      </c>
      <c r="M1081">
        <v>258</v>
      </c>
      <c r="O1081" t="s">
        <v>5496</v>
      </c>
      <c r="P1081">
        <v>410</v>
      </c>
      <c r="Q1081">
        <v>0.8</v>
      </c>
    </row>
    <row r="1082" spans="1:17" x14ac:dyDescent="0.25">
      <c r="A1082">
        <v>1395</v>
      </c>
      <c r="B1082" t="s">
        <v>7296</v>
      </c>
      <c r="C1082" t="s">
        <v>7297</v>
      </c>
      <c r="D1082" t="s">
        <v>2257</v>
      </c>
      <c r="E1082" t="s">
        <v>1921</v>
      </c>
      <c r="F1082">
        <v>2003</v>
      </c>
      <c r="H1082" t="s">
        <v>1878</v>
      </c>
      <c r="I1082">
        <v>3</v>
      </c>
      <c r="K1082" t="s">
        <v>14332</v>
      </c>
      <c r="L1082" s="222">
        <v>9783426622940</v>
      </c>
      <c r="M1082">
        <v>384</v>
      </c>
      <c r="O1082" t="s">
        <v>5497</v>
      </c>
      <c r="P1082">
        <v>251</v>
      </c>
      <c r="Q1082">
        <v>0.8</v>
      </c>
    </row>
    <row r="1083" spans="1:17" x14ac:dyDescent="0.25">
      <c r="A1083">
        <v>655</v>
      </c>
      <c r="B1083" t="s">
        <v>7299</v>
      </c>
      <c r="C1083" t="s">
        <v>7300</v>
      </c>
      <c r="D1083" t="s">
        <v>7301</v>
      </c>
      <c r="E1083" t="s">
        <v>1913</v>
      </c>
      <c r="F1083">
        <v>1999</v>
      </c>
      <c r="H1083" t="s">
        <v>2734</v>
      </c>
      <c r="I1083">
        <v>2</v>
      </c>
      <c r="K1083" t="s">
        <v>14332</v>
      </c>
      <c r="L1083" s="222">
        <v>9783861180821</v>
      </c>
      <c r="M1083">
        <v>146</v>
      </c>
      <c r="O1083" t="s">
        <v>5498</v>
      </c>
      <c r="P1083">
        <v>332</v>
      </c>
      <c r="Q1083">
        <v>3.26</v>
      </c>
    </row>
    <row r="1084" spans="1:17" x14ac:dyDescent="0.25">
      <c r="A1084">
        <v>765</v>
      </c>
      <c r="B1084" t="s">
        <v>7303</v>
      </c>
      <c r="C1084" t="s">
        <v>7304</v>
      </c>
      <c r="D1084" t="s">
        <v>4841</v>
      </c>
      <c r="F1084">
        <v>2011</v>
      </c>
      <c r="H1084" t="s">
        <v>2734</v>
      </c>
      <c r="I1084">
        <v>2</v>
      </c>
      <c r="J1084" t="s">
        <v>3854</v>
      </c>
      <c r="K1084" t="s">
        <v>14332</v>
      </c>
      <c r="L1084" s="222">
        <v>9783451303418</v>
      </c>
      <c r="M1084">
        <v>422</v>
      </c>
      <c r="O1084" t="s">
        <v>5499</v>
      </c>
      <c r="P1084">
        <v>685</v>
      </c>
      <c r="Q1084">
        <v>4.01</v>
      </c>
    </row>
    <row r="1085" spans="1:17" x14ac:dyDescent="0.25">
      <c r="A1085">
        <v>632</v>
      </c>
      <c r="B1085" t="s">
        <v>7306</v>
      </c>
      <c r="C1085" t="s">
        <v>7307</v>
      </c>
      <c r="D1085" t="s">
        <v>3223</v>
      </c>
      <c r="F1085">
        <v>2009</v>
      </c>
      <c r="H1085" t="s">
        <v>2734</v>
      </c>
      <c r="I1085">
        <v>2</v>
      </c>
      <c r="J1085" t="s">
        <v>7308</v>
      </c>
      <c r="K1085" t="s">
        <v>14332</v>
      </c>
      <c r="M1085">
        <v>298</v>
      </c>
      <c r="O1085" t="s">
        <v>5500</v>
      </c>
      <c r="P1085">
        <v>337</v>
      </c>
      <c r="Q1085">
        <v>0.8</v>
      </c>
    </row>
    <row r="1086" spans="1:17" x14ac:dyDescent="0.25">
      <c r="A1086">
        <v>1928</v>
      </c>
      <c r="B1086" t="s">
        <v>7309</v>
      </c>
      <c r="C1086" t="s">
        <v>7310</v>
      </c>
      <c r="D1086" t="s">
        <v>1988</v>
      </c>
      <c r="F1086">
        <v>1997</v>
      </c>
      <c r="H1086" t="s">
        <v>1878</v>
      </c>
      <c r="I1086">
        <v>3</v>
      </c>
      <c r="K1086" t="s">
        <v>14332</v>
      </c>
      <c r="L1086" s="222">
        <v>9783423360739</v>
      </c>
      <c r="M1086">
        <v>216</v>
      </c>
      <c r="O1086" t="s">
        <v>5501</v>
      </c>
      <c r="P1086">
        <v>197</v>
      </c>
      <c r="Q1086">
        <v>0.8</v>
      </c>
    </row>
    <row r="1087" spans="1:17" x14ac:dyDescent="0.25">
      <c r="A1087">
        <v>774</v>
      </c>
      <c r="B1087" t="s">
        <v>7312</v>
      </c>
      <c r="C1087" t="s">
        <v>7313</v>
      </c>
      <c r="D1087" t="s">
        <v>2209</v>
      </c>
      <c r="E1087" t="s">
        <v>2922</v>
      </c>
      <c r="F1087">
        <v>1990</v>
      </c>
      <c r="H1087" t="s">
        <v>1878</v>
      </c>
      <c r="I1087">
        <v>2</v>
      </c>
      <c r="J1087" t="s">
        <v>7314</v>
      </c>
      <c r="K1087" t="s">
        <v>14332</v>
      </c>
      <c r="L1087" s="222">
        <v>9783453024960</v>
      </c>
      <c r="M1087">
        <v>176</v>
      </c>
      <c r="O1087" t="s">
        <v>5502</v>
      </c>
      <c r="P1087">
        <v>242</v>
      </c>
      <c r="Q1087">
        <v>0.8</v>
      </c>
    </row>
    <row r="1088" spans="1:17" x14ac:dyDescent="0.25">
      <c r="A1088">
        <v>607</v>
      </c>
      <c r="B1088" t="s">
        <v>6245</v>
      </c>
      <c r="C1088" t="s">
        <v>7316</v>
      </c>
      <c r="D1088" t="s">
        <v>2309</v>
      </c>
      <c r="E1088" t="s">
        <v>1913</v>
      </c>
      <c r="F1088">
        <v>2011</v>
      </c>
      <c r="H1088" t="s">
        <v>1878</v>
      </c>
      <c r="I1088">
        <v>2</v>
      </c>
      <c r="J1088" t="s">
        <v>2237</v>
      </c>
      <c r="K1088" t="s">
        <v>14332</v>
      </c>
      <c r="L1088" s="222">
        <v>9783548374109</v>
      </c>
      <c r="M1088">
        <v>224</v>
      </c>
      <c r="O1088" t="s">
        <v>5503</v>
      </c>
      <c r="P1088">
        <v>247</v>
      </c>
      <c r="Q1088">
        <v>0.8</v>
      </c>
    </row>
    <row r="1089" spans="1:17" x14ac:dyDescent="0.25">
      <c r="A1089">
        <v>1386</v>
      </c>
      <c r="B1089" t="s">
        <v>7318</v>
      </c>
      <c r="C1089" t="s">
        <v>7319</v>
      </c>
      <c r="D1089" t="s">
        <v>1912</v>
      </c>
      <c r="E1089" t="s">
        <v>1913</v>
      </c>
      <c r="F1089">
        <v>1989</v>
      </c>
      <c r="H1089" t="s">
        <v>1878</v>
      </c>
      <c r="I1089">
        <v>2</v>
      </c>
      <c r="K1089" t="s">
        <v>14332</v>
      </c>
      <c r="L1089" s="222">
        <v>9783442098873</v>
      </c>
      <c r="M1089">
        <v>640</v>
      </c>
      <c r="O1089" t="s">
        <v>5504</v>
      </c>
      <c r="P1089">
        <v>411</v>
      </c>
      <c r="Q1089">
        <v>0.8</v>
      </c>
    </row>
    <row r="1090" spans="1:17" x14ac:dyDescent="0.25">
      <c r="A1090">
        <v>1231</v>
      </c>
      <c r="B1090" t="s">
        <v>7321</v>
      </c>
      <c r="C1090" t="s">
        <v>7322</v>
      </c>
      <c r="D1090" t="s">
        <v>1920</v>
      </c>
      <c r="F1090">
        <v>1993</v>
      </c>
      <c r="H1090" t="s">
        <v>1878</v>
      </c>
      <c r="I1090">
        <v>3</v>
      </c>
      <c r="K1090" t="s">
        <v>14332</v>
      </c>
      <c r="L1090" s="222">
        <v>9783404120147</v>
      </c>
      <c r="M1090">
        <v>736</v>
      </c>
      <c r="O1090" t="s">
        <v>5505</v>
      </c>
      <c r="P1090">
        <v>571</v>
      </c>
      <c r="Q1090">
        <v>1.87</v>
      </c>
    </row>
    <row r="1091" spans="1:17" x14ac:dyDescent="0.25">
      <c r="A1091">
        <v>2851</v>
      </c>
      <c r="B1091" t="s">
        <v>7324</v>
      </c>
      <c r="C1091" t="s">
        <v>7325</v>
      </c>
      <c r="D1091" t="s">
        <v>1920</v>
      </c>
      <c r="F1091">
        <v>2014</v>
      </c>
      <c r="H1091" t="s">
        <v>1878</v>
      </c>
      <c r="I1091">
        <v>2</v>
      </c>
      <c r="J1091" t="s">
        <v>3854</v>
      </c>
      <c r="K1091" t="s">
        <v>14332</v>
      </c>
      <c r="L1091" s="222">
        <v>9783404170241</v>
      </c>
      <c r="M1091">
        <v>464</v>
      </c>
      <c r="O1091" t="s">
        <v>5506</v>
      </c>
      <c r="P1091">
        <v>451</v>
      </c>
      <c r="Q1091">
        <v>1.33</v>
      </c>
    </row>
    <row r="1092" spans="1:17" x14ac:dyDescent="0.25">
      <c r="A1092">
        <v>2522</v>
      </c>
      <c r="B1092" t="s">
        <v>7327</v>
      </c>
      <c r="C1092" t="s">
        <v>7328</v>
      </c>
      <c r="D1092" t="s">
        <v>2309</v>
      </c>
      <c r="E1092" t="s">
        <v>1877</v>
      </c>
      <c r="F1092">
        <v>2003</v>
      </c>
      <c r="H1092" t="s">
        <v>1878</v>
      </c>
      <c r="I1092">
        <v>2</v>
      </c>
      <c r="J1092" t="s">
        <v>3854</v>
      </c>
      <c r="K1092" t="s">
        <v>14332</v>
      </c>
      <c r="L1092" s="222">
        <v>9783548254685</v>
      </c>
      <c r="M1092">
        <v>512</v>
      </c>
      <c r="O1092" t="s">
        <v>5507</v>
      </c>
      <c r="P1092">
        <v>348</v>
      </c>
      <c r="Q1092">
        <v>1.33</v>
      </c>
    </row>
    <row r="1093" spans="1:17" x14ac:dyDescent="0.25">
      <c r="A1093">
        <v>634</v>
      </c>
      <c r="B1093" t="s">
        <v>7330</v>
      </c>
      <c r="C1093" t="s">
        <v>7331</v>
      </c>
      <c r="D1093" t="s">
        <v>7332</v>
      </c>
      <c r="E1093" t="s">
        <v>1913</v>
      </c>
      <c r="F1093">
        <v>2012</v>
      </c>
      <c r="H1093" t="s">
        <v>2734</v>
      </c>
      <c r="I1093">
        <v>1</v>
      </c>
      <c r="K1093" t="s">
        <v>14332</v>
      </c>
      <c r="L1093" s="222">
        <v>9783570154649</v>
      </c>
      <c r="M1093">
        <v>498</v>
      </c>
      <c r="O1093" t="s">
        <v>5508</v>
      </c>
      <c r="P1093">
        <v>804</v>
      </c>
      <c r="Q1093">
        <v>2.29</v>
      </c>
    </row>
    <row r="1094" spans="1:17" x14ac:dyDescent="0.25">
      <c r="A1094">
        <v>1386</v>
      </c>
      <c r="B1094" t="s">
        <v>7334</v>
      </c>
      <c r="C1094" t="s">
        <v>7335</v>
      </c>
      <c r="D1094" t="s">
        <v>2300</v>
      </c>
      <c r="F1094">
        <v>1993</v>
      </c>
      <c r="H1094" t="s">
        <v>2734</v>
      </c>
      <c r="I1094">
        <v>2</v>
      </c>
      <c r="K1094" t="s">
        <v>14332</v>
      </c>
      <c r="L1094" s="222">
        <v>9783805204712</v>
      </c>
      <c r="M1094">
        <v>706</v>
      </c>
      <c r="O1094" t="s">
        <v>5509</v>
      </c>
      <c r="P1094">
        <v>967</v>
      </c>
      <c r="Q1094">
        <v>0.8</v>
      </c>
    </row>
    <row r="1095" spans="1:17" x14ac:dyDescent="0.25">
      <c r="A1095">
        <v>613</v>
      </c>
      <c r="B1095" t="s">
        <v>7337</v>
      </c>
      <c r="C1095" t="s">
        <v>7338</v>
      </c>
      <c r="D1095" t="s">
        <v>2054</v>
      </c>
      <c r="E1095" t="s">
        <v>2094</v>
      </c>
      <c r="F1095">
        <v>2003</v>
      </c>
      <c r="H1095" t="s">
        <v>1878</v>
      </c>
      <c r="I1095">
        <v>2</v>
      </c>
      <c r="K1095" t="s">
        <v>14332</v>
      </c>
      <c r="L1095" s="222">
        <v>9783828972391</v>
      </c>
      <c r="M1095">
        <v>336</v>
      </c>
      <c r="O1095" t="s">
        <v>5510</v>
      </c>
      <c r="P1095">
        <v>389</v>
      </c>
      <c r="Q1095">
        <v>0.8</v>
      </c>
    </row>
    <row r="1096" spans="1:17" x14ac:dyDescent="0.25">
      <c r="A1096">
        <v>632</v>
      </c>
      <c r="B1096" t="s">
        <v>7343</v>
      </c>
      <c r="C1096" t="s">
        <v>7344</v>
      </c>
      <c r="D1096" t="s">
        <v>2209</v>
      </c>
      <c r="E1096" t="s">
        <v>1877</v>
      </c>
      <c r="F1096">
        <v>1991</v>
      </c>
      <c r="H1096" t="s">
        <v>1878</v>
      </c>
      <c r="I1096">
        <v>3</v>
      </c>
      <c r="K1096" t="s">
        <v>14332</v>
      </c>
      <c r="L1096" s="222">
        <v>9783453045651</v>
      </c>
      <c r="M1096">
        <v>432</v>
      </c>
      <c r="O1096" t="s">
        <v>5512</v>
      </c>
      <c r="P1096">
        <v>286</v>
      </c>
      <c r="Q1096">
        <v>1.01</v>
      </c>
    </row>
    <row r="1097" spans="1:17" x14ac:dyDescent="0.25">
      <c r="A1097">
        <v>1386</v>
      </c>
      <c r="B1097" t="s">
        <v>7346</v>
      </c>
      <c r="C1097" t="s">
        <v>7347</v>
      </c>
      <c r="D1097" t="s">
        <v>1920</v>
      </c>
      <c r="E1097" t="s">
        <v>1877</v>
      </c>
      <c r="F1097">
        <v>1989</v>
      </c>
      <c r="H1097" t="s">
        <v>1878</v>
      </c>
      <c r="I1097">
        <v>3</v>
      </c>
      <c r="K1097" t="s">
        <v>14332</v>
      </c>
      <c r="L1097" s="222">
        <v>9783404113132</v>
      </c>
      <c r="M1097">
        <v>608</v>
      </c>
      <c r="O1097" t="s">
        <v>5513</v>
      </c>
      <c r="P1097">
        <v>335</v>
      </c>
      <c r="Q1097">
        <v>0.8</v>
      </c>
    </row>
    <row r="1098" spans="1:17" x14ac:dyDescent="0.25">
      <c r="A1098">
        <v>2522</v>
      </c>
      <c r="B1098" t="s">
        <v>7349</v>
      </c>
      <c r="C1098" t="s">
        <v>7350</v>
      </c>
      <c r="D1098" t="s">
        <v>2209</v>
      </c>
      <c r="E1098" t="s">
        <v>2375</v>
      </c>
      <c r="F1098">
        <v>1995</v>
      </c>
      <c r="H1098" t="s">
        <v>1878</v>
      </c>
      <c r="I1098">
        <v>3</v>
      </c>
      <c r="K1098" t="s">
        <v>14332</v>
      </c>
      <c r="L1098" s="222">
        <v>9783453052949</v>
      </c>
      <c r="M1098">
        <v>576</v>
      </c>
      <c r="O1098" t="s">
        <v>5514</v>
      </c>
      <c r="P1098">
        <v>320</v>
      </c>
      <c r="Q1098">
        <v>1.33</v>
      </c>
    </row>
    <row r="1099" spans="1:17" x14ac:dyDescent="0.25">
      <c r="A1099">
        <v>1721</v>
      </c>
      <c r="B1099" t="s">
        <v>7352</v>
      </c>
      <c r="C1099" t="s">
        <v>7353</v>
      </c>
      <c r="D1099" t="s">
        <v>2309</v>
      </c>
      <c r="F1099">
        <v>1963</v>
      </c>
      <c r="H1099" t="s">
        <v>1878</v>
      </c>
      <c r="I1099">
        <v>4</v>
      </c>
      <c r="K1099" t="s">
        <v>14332</v>
      </c>
      <c r="M1099">
        <v>272</v>
      </c>
      <c r="O1099" t="s">
        <v>5515</v>
      </c>
      <c r="P1099">
        <v>192</v>
      </c>
      <c r="Q1099">
        <v>0.8</v>
      </c>
    </row>
    <row r="1100" spans="1:17" x14ac:dyDescent="0.25">
      <c r="A1100">
        <v>2547</v>
      </c>
      <c r="B1100" t="s">
        <v>4071</v>
      </c>
      <c r="C1100" t="s">
        <v>7354</v>
      </c>
      <c r="D1100" t="s">
        <v>7355</v>
      </c>
      <c r="E1100" t="s">
        <v>2055</v>
      </c>
      <c r="F1100">
        <v>2003</v>
      </c>
      <c r="H1100" t="s">
        <v>1878</v>
      </c>
      <c r="I1100">
        <v>2</v>
      </c>
      <c r="J1100" t="s">
        <v>7314</v>
      </c>
      <c r="K1100" t="s">
        <v>14332</v>
      </c>
      <c r="M1100">
        <v>482</v>
      </c>
      <c r="O1100" t="s">
        <v>5516</v>
      </c>
      <c r="P1100">
        <v>404</v>
      </c>
      <c r="Q1100">
        <v>0.8</v>
      </c>
    </row>
    <row r="1101" spans="1:17" x14ac:dyDescent="0.25">
      <c r="A1101">
        <v>614</v>
      </c>
      <c r="B1101" t="s">
        <v>7356</v>
      </c>
      <c r="C1101" t="s">
        <v>7357</v>
      </c>
      <c r="D1101" t="s">
        <v>7358</v>
      </c>
      <c r="F1101">
        <v>2006</v>
      </c>
      <c r="H1101" t="s">
        <v>2734</v>
      </c>
      <c r="I1101">
        <v>2</v>
      </c>
      <c r="K1101" t="s">
        <v>14332</v>
      </c>
      <c r="L1101" s="222">
        <v>9783720528573</v>
      </c>
      <c r="M1101">
        <v>210</v>
      </c>
      <c r="O1101" t="s">
        <v>5517</v>
      </c>
      <c r="P1101">
        <v>349</v>
      </c>
      <c r="Q1101">
        <v>1.01</v>
      </c>
    </row>
    <row r="1102" spans="1:17" x14ac:dyDescent="0.25">
      <c r="A1102">
        <v>796</v>
      </c>
      <c r="B1102" t="s">
        <v>5856</v>
      </c>
      <c r="C1102" t="s">
        <v>7360</v>
      </c>
      <c r="D1102" t="s">
        <v>1993</v>
      </c>
      <c r="E1102" t="s">
        <v>1913</v>
      </c>
      <c r="F1102">
        <v>2013</v>
      </c>
      <c r="H1102" t="s">
        <v>1878</v>
      </c>
      <c r="I1102">
        <v>3</v>
      </c>
      <c r="J1102" t="s">
        <v>3854</v>
      </c>
      <c r="K1102" t="s">
        <v>14332</v>
      </c>
      <c r="L1102" s="222">
        <v>9783442380619</v>
      </c>
      <c r="M1102">
        <v>288</v>
      </c>
      <c r="O1102" t="s">
        <v>5518</v>
      </c>
      <c r="P1102">
        <v>282</v>
      </c>
      <c r="Q1102">
        <v>1.65</v>
      </c>
    </row>
    <row r="1103" spans="1:17" x14ac:dyDescent="0.25">
      <c r="A1103">
        <v>1327</v>
      </c>
      <c r="B1103" t="s">
        <v>7362</v>
      </c>
      <c r="C1103" t="s">
        <v>7363</v>
      </c>
      <c r="D1103" t="s">
        <v>2609</v>
      </c>
      <c r="E1103" t="s">
        <v>2922</v>
      </c>
      <c r="F1103">
        <v>2002</v>
      </c>
      <c r="H1103" t="s">
        <v>1878</v>
      </c>
      <c r="I1103">
        <v>2</v>
      </c>
      <c r="K1103" t="s">
        <v>14332</v>
      </c>
      <c r="L1103" s="222">
        <v>9783596143252</v>
      </c>
      <c r="M1103">
        <v>384</v>
      </c>
      <c r="O1103" t="s">
        <v>5519</v>
      </c>
      <c r="P1103">
        <v>341</v>
      </c>
      <c r="Q1103">
        <v>0.65</v>
      </c>
    </row>
    <row r="1104" spans="1:17" x14ac:dyDescent="0.25">
      <c r="A1104">
        <v>1386</v>
      </c>
      <c r="B1104" t="s">
        <v>7368</v>
      </c>
      <c r="C1104" t="s">
        <v>7369</v>
      </c>
      <c r="D1104" t="s">
        <v>7370</v>
      </c>
      <c r="E1104" t="s">
        <v>1913</v>
      </c>
      <c r="F1104">
        <v>2010</v>
      </c>
      <c r="H1104" t="s">
        <v>1878</v>
      </c>
      <c r="I1104">
        <v>2</v>
      </c>
      <c r="K1104" t="s">
        <v>14332</v>
      </c>
      <c r="L1104" s="222">
        <v>9783896674104</v>
      </c>
      <c r="M1104">
        <v>240</v>
      </c>
      <c r="O1104" t="s">
        <v>5521</v>
      </c>
      <c r="P1104">
        <v>289</v>
      </c>
      <c r="Q1104">
        <v>1.33</v>
      </c>
    </row>
    <row r="1105" spans="1:17" x14ac:dyDescent="0.25">
      <c r="A1105">
        <v>1396</v>
      </c>
      <c r="B1105" t="s">
        <v>7375</v>
      </c>
      <c r="C1105" t="s">
        <v>7376</v>
      </c>
      <c r="D1105" t="s">
        <v>2309</v>
      </c>
      <c r="E1105" t="s">
        <v>1913</v>
      </c>
      <c r="F1105">
        <v>2002</v>
      </c>
      <c r="H1105" t="s">
        <v>1878</v>
      </c>
      <c r="I1105">
        <v>3</v>
      </c>
      <c r="K1105" t="s">
        <v>14332</v>
      </c>
      <c r="L1105" s="222">
        <v>9783548363776</v>
      </c>
      <c r="M1105">
        <v>368</v>
      </c>
      <c r="O1105" t="s">
        <v>5523</v>
      </c>
      <c r="P1105">
        <v>257</v>
      </c>
      <c r="Q1105">
        <v>1.33</v>
      </c>
    </row>
    <row r="1106" spans="1:17" x14ac:dyDescent="0.25">
      <c r="A1106">
        <v>634</v>
      </c>
      <c r="B1106" t="s">
        <v>7378</v>
      </c>
      <c r="C1106" t="s">
        <v>7379</v>
      </c>
      <c r="D1106" t="s">
        <v>1993</v>
      </c>
      <c r="F1106">
        <v>1998</v>
      </c>
      <c r="H1106" t="s">
        <v>1878</v>
      </c>
      <c r="I1106">
        <v>4</v>
      </c>
      <c r="K1106" t="s">
        <v>14332</v>
      </c>
      <c r="L1106" s="222">
        <v>9783442248759</v>
      </c>
      <c r="M1106">
        <v>160</v>
      </c>
      <c r="O1106" t="s">
        <v>5524</v>
      </c>
      <c r="P1106">
        <v>152</v>
      </c>
      <c r="Q1106">
        <v>1.01</v>
      </c>
    </row>
    <row r="1107" spans="1:17" x14ac:dyDescent="0.25">
      <c r="A1107">
        <v>634</v>
      </c>
      <c r="B1107" t="s">
        <v>2493</v>
      </c>
      <c r="C1107" t="s">
        <v>7381</v>
      </c>
      <c r="D1107" t="s">
        <v>1993</v>
      </c>
      <c r="F1107">
        <v>1999</v>
      </c>
      <c r="H1107" t="s">
        <v>1878</v>
      </c>
      <c r="I1107">
        <v>3</v>
      </c>
      <c r="K1107" t="s">
        <v>14332</v>
      </c>
      <c r="L1107" s="222">
        <v>9783442352500</v>
      </c>
      <c r="M1107">
        <v>192</v>
      </c>
      <c r="O1107" t="s">
        <v>5525</v>
      </c>
      <c r="P1107">
        <v>180</v>
      </c>
      <c r="Q1107">
        <v>0.8</v>
      </c>
    </row>
    <row r="1108" spans="1:17" x14ac:dyDescent="0.25">
      <c r="A1108">
        <v>634</v>
      </c>
      <c r="B1108" t="s">
        <v>7378</v>
      </c>
      <c r="C1108" t="s">
        <v>7383</v>
      </c>
      <c r="D1108" t="s">
        <v>1993</v>
      </c>
      <c r="F1108">
        <v>1998</v>
      </c>
      <c r="H1108" t="s">
        <v>1878</v>
      </c>
      <c r="I1108">
        <v>3</v>
      </c>
      <c r="K1108" t="s">
        <v>14332</v>
      </c>
      <c r="L1108" s="222">
        <v>9783442248735</v>
      </c>
      <c r="M1108">
        <v>192</v>
      </c>
      <c r="O1108" t="s">
        <v>5526</v>
      </c>
      <c r="P1108">
        <v>180</v>
      </c>
      <c r="Q1108">
        <v>1.55</v>
      </c>
    </row>
    <row r="1109" spans="1:17" x14ac:dyDescent="0.25">
      <c r="A1109">
        <v>634</v>
      </c>
      <c r="B1109" t="s">
        <v>7385</v>
      </c>
      <c r="C1109" t="s">
        <v>7386</v>
      </c>
      <c r="D1109" t="s">
        <v>1912</v>
      </c>
      <c r="F1109">
        <v>1997</v>
      </c>
      <c r="H1109" t="s">
        <v>1878</v>
      </c>
      <c r="I1109">
        <v>3</v>
      </c>
      <c r="J1109" t="s">
        <v>3854</v>
      </c>
      <c r="K1109" t="s">
        <v>14332</v>
      </c>
      <c r="L1109" s="222">
        <v>9783442247646</v>
      </c>
      <c r="M1109">
        <v>192</v>
      </c>
      <c r="O1109" t="s">
        <v>5527</v>
      </c>
      <c r="P1109">
        <v>182</v>
      </c>
      <c r="Q1109">
        <v>1.01</v>
      </c>
    </row>
    <row r="1110" spans="1:17" x14ac:dyDescent="0.25">
      <c r="A1110">
        <v>2522</v>
      </c>
      <c r="B1110" t="s">
        <v>7388</v>
      </c>
      <c r="C1110" t="s">
        <v>7389</v>
      </c>
      <c r="D1110" t="s">
        <v>1912</v>
      </c>
      <c r="E1110" t="s">
        <v>1921</v>
      </c>
      <c r="F1110">
        <v>2009</v>
      </c>
      <c r="H1110" t="s">
        <v>1878</v>
      </c>
      <c r="I1110">
        <v>2</v>
      </c>
      <c r="J1110" t="s">
        <v>3854</v>
      </c>
      <c r="K1110" t="s">
        <v>14332</v>
      </c>
      <c r="L1110" s="222">
        <v>9783442468560</v>
      </c>
      <c r="M1110">
        <v>416</v>
      </c>
      <c r="O1110" t="s">
        <v>5528</v>
      </c>
      <c r="P1110">
        <v>338</v>
      </c>
      <c r="Q1110">
        <v>0.8</v>
      </c>
    </row>
    <row r="1111" spans="1:17" x14ac:dyDescent="0.25">
      <c r="A1111">
        <v>684</v>
      </c>
      <c r="B1111" t="s">
        <v>7397</v>
      </c>
      <c r="C1111" t="s">
        <v>7398</v>
      </c>
      <c r="D1111" t="s">
        <v>7399</v>
      </c>
      <c r="F1111">
        <v>2009</v>
      </c>
      <c r="H1111" t="s">
        <v>1878</v>
      </c>
      <c r="I1111">
        <v>1</v>
      </c>
      <c r="K1111" t="s">
        <v>14332</v>
      </c>
      <c r="L1111" s="222">
        <v>9783939979050</v>
      </c>
      <c r="M1111">
        <v>608</v>
      </c>
      <c r="O1111" t="s">
        <v>5531</v>
      </c>
      <c r="P1111">
        <v>381</v>
      </c>
      <c r="Q1111">
        <v>0.8</v>
      </c>
    </row>
    <row r="1112" spans="1:17" x14ac:dyDescent="0.25">
      <c r="A1112">
        <v>2663</v>
      </c>
      <c r="B1112" t="s">
        <v>3637</v>
      </c>
      <c r="C1112" t="s">
        <v>7401</v>
      </c>
      <c r="D1112" t="s">
        <v>2103</v>
      </c>
      <c r="E1112" t="s">
        <v>1913</v>
      </c>
      <c r="F1112">
        <v>2008</v>
      </c>
      <c r="H1112" t="s">
        <v>1878</v>
      </c>
      <c r="I1112">
        <v>2</v>
      </c>
      <c r="K1112" t="s">
        <v>14332</v>
      </c>
      <c r="L1112" s="222">
        <v>9783899415025</v>
      </c>
      <c r="M1112">
        <v>304</v>
      </c>
      <c r="O1112" t="s">
        <v>5532</v>
      </c>
      <c r="P1112">
        <v>301</v>
      </c>
      <c r="Q1112">
        <v>0.8</v>
      </c>
    </row>
    <row r="1113" spans="1:17" x14ac:dyDescent="0.25">
      <c r="A1113">
        <v>1320</v>
      </c>
      <c r="B1113" t="s">
        <v>7403</v>
      </c>
      <c r="C1113" t="s">
        <v>7404</v>
      </c>
      <c r="D1113" t="s">
        <v>2091</v>
      </c>
      <c r="F1113">
        <v>2007</v>
      </c>
      <c r="H1113" t="s">
        <v>1878</v>
      </c>
      <c r="I1113">
        <v>2</v>
      </c>
      <c r="K1113" t="s">
        <v>14332</v>
      </c>
      <c r="L1113" s="222">
        <v>9783836300117</v>
      </c>
      <c r="M1113">
        <v>160</v>
      </c>
      <c r="O1113" t="s">
        <v>5533</v>
      </c>
      <c r="P1113">
        <v>248</v>
      </c>
      <c r="Q1113">
        <v>0.8</v>
      </c>
    </row>
    <row r="1114" spans="1:17" x14ac:dyDescent="0.25">
      <c r="A1114">
        <v>632</v>
      </c>
      <c r="B1114" t="s">
        <v>2629</v>
      </c>
      <c r="C1114" t="s">
        <v>7406</v>
      </c>
      <c r="D1114" t="s">
        <v>1876</v>
      </c>
      <c r="F1114">
        <v>2002</v>
      </c>
      <c r="H1114" t="s">
        <v>1878</v>
      </c>
      <c r="I1114">
        <v>2</v>
      </c>
      <c r="K1114" t="s">
        <v>14332</v>
      </c>
      <c r="L1114" s="222">
        <v>9783492260428</v>
      </c>
      <c r="M1114">
        <v>576</v>
      </c>
      <c r="O1114" t="s">
        <v>5534</v>
      </c>
      <c r="P1114">
        <v>475</v>
      </c>
      <c r="Q1114">
        <v>2.62</v>
      </c>
    </row>
    <row r="1115" spans="1:17" x14ac:dyDescent="0.25">
      <c r="A1115">
        <v>758</v>
      </c>
      <c r="B1115" t="s">
        <v>7408</v>
      </c>
      <c r="C1115" t="s">
        <v>7409</v>
      </c>
      <c r="D1115" t="s">
        <v>2971</v>
      </c>
      <c r="F1115">
        <v>2003</v>
      </c>
      <c r="H1115" t="s">
        <v>1878</v>
      </c>
      <c r="I1115">
        <v>2</v>
      </c>
      <c r="K1115" t="s">
        <v>14332</v>
      </c>
      <c r="L1115" s="222">
        <v>9783821838472</v>
      </c>
      <c r="M1115">
        <v>176</v>
      </c>
      <c r="O1115" t="s">
        <v>5535</v>
      </c>
      <c r="P1115">
        <v>191</v>
      </c>
      <c r="Q1115">
        <v>0.8</v>
      </c>
    </row>
    <row r="1116" spans="1:17" x14ac:dyDescent="0.25">
      <c r="A1116">
        <v>2516</v>
      </c>
      <c r="B1116" t="s">
        <v>7411</v>
      </c>
      <c r="C1116" t="s">
        <v>7412</v>
      </c>
      <c r="D1116" t="s">
        <v>7413</v>
      </c>
      <c r="F1116">
        <v>2005</v>
      </c>
      <c r="H1116" t="s">
        <v>1878</v>
      </c>
      <c r="I1116">
        <v>2</v>
      </c>
      <c r="J1116" t="s">
        <v>7414</v>
      </c>
      <c r="K1116" t="s">
        <v>14332</v>
      </c>
      <c r="L1116" s="222">
        <v>9783937001654</v>
      </c>
      <c r="M1116">
        <v>204</v>
      </c>
      <c r="O1116" t="s">
        <v>5536</v>
      </c>
      <c r="P1116">
        <v>216</v>
      </c>
      <c r="Q1116">
        <v>0.8</v>
      </c>
    </row>
    <row r="1117" spans="1:17" x14ac:dyDescent="0.25">
      <c r="A1117">
        <v>632</v>
      </c>
      <c r="B1117" t="s">
        <v>7416</v>
      </c>
      <c r="C1117" t="s">
        <v>7417</v>
      </c>
      <c r="D1117" t="s">
        <v>1920</v>
      </c>
      <c r="F1117">
        <v>2002</v>
      </c>
      <c r="H1117" t="s">
        <v>1878</v>
      </c>
      <c r="I1117">
        <v>2</v>
      </c>
      <c r="J1117" t="s">
        <v>3854</v>
      </c>
      <c r="K1117" t="s">
        <v>14332</v>
      </c>
      <c r="L1117" s="222">
        <v>9783404150410</v>
      </c>
      <c r="M1117">
        <v>512</v>
      </c>
      <c r="O1117" t="s">
        <v>5537</v>
      </c>
      <c r="P1117">
        <v>434</v>
      </c>
      <c r="Q1117">
        <v>0.8</v>
      </c>
    </row>
    <row r="1118" spans="1:17" x14ac:dyDescent="0.25">
      <c r="A1118">
        <v>323</v>
      </c>
      <c r="B1118" t="s">
        <v>7419</v>
      </c>
      <c r="C1118" t="s">
        <v>7420</v>
      </c>
      <c r="D1118" t="s">
        <v>7421</v>
      </c>
      <c r="F1118">
        <v>1995</v>
      </c>
      <c r="H1118" t="s">
        <v>2734</v>
      </c>
      <c r="I1118">
        <v>1</v>
      </c>
      <c r="K1118" t="s">
        <v>14332</v>
      </c>
      <c r="L1118" s="222">
        <v>9783804714052</v>
      </c>
      <c r="M1118">
        <v>342</v>
      </c>
      <c r="O1118" t="s">
        <v>5538</v>
      </c>
      <c r="P1118">
        <v>746</v>
      </c>
      <c r="Q1118">
        <v>5.72</v>
      </c>
    </row>
    <row r="1119" spans="1:17" x14ac:dyDescent="0.25">
      <c r="A1119">
        <v>323</v>
      </c>
      <c r="C1119" t="s">
        <v>7423</v>
      </c>
      <c r="D1119" t="s">
        <v>2151</v>
      </c>
      <c r="F1119">
        <v>1996</v>
      </c>
      <c r="H1119" t="s">
        <v>1878</v>
      </c>
      <c r="I1119">
        <v>2</v>
      </c>
      <c r="K1119" t="s">
        <v>14332</v>
      </c>
      <c r="L1119" s="222">
        <v>9783811873605</v>
      </c>
      <c r="M1119">
        <v>128</v>
      </c>
      <c r="O1119" t="s">
        <v>5539</v>
      </c>
      <c r="P1119">
        <v>82</v>
      </c>
      <c r="Q1119">
        <v>0.8</v>
      </c>
    </row>
    <row r="1120" spans="1:17" x14ac:dyDescent="0.25">
      <c r="A1120">
        <v>796</v>
      </c>
      <c r="B1120" t="s">
        <v>7425</v>
      </c>
      <c r="C1120" t="s">
        <v>7426</v>
      </c>
      <c r="D1120" t="s">
        <v>2300</v>
      </c>
      <c r="F1120">
        <v>2005</v>
      </c>
      <c r="H1120" t="s">
        <v>1878</v>
      </c>
      <c r="I1120">
        <v>2</v>
      </c>
      <c r="J1120" t="s">
        <v>3854</v>
      </c>
      <c r="K1120" t="s">
        <v>14332</v>
      </c>
      <c r="L1120" s="222">
        <v>9783499239021</v>
      </c>
      <c r="M1120">
        <v>448</v>
      </c>
      <c r="O1120" t="s">
        <v>5540</v>
      </c>
      <c r="P1120">
        <v>311</v>
      </c>
      <c r="Q1120">
        <v>0.8</v>
      </c>
    </row>
    <row r="1121" spans="1:17" x14ac:dyDescent="0.25">
      <c r="A1121">
        <v>1231</v>
      </c>
      <c r="B1121" t="s">
        <v>7428</v>
      </c>
      <c r="C1121" t="s">
        <v>7429</v>
      </c>
      <c r="D1121" t="s">
        <v>2257</v>
      </c>
      <c r="F1121">
        <v>2016</v>
      </c>
      <c r="H1121" t="s">
        <v>1878</v>
      </c>
      <c r="I1121">
        <v>1</v>
      </c>
      <c r="K1121" t="s">
        <v>14332</v>
      </c>
      <c r="L1121" s="222">
        <v>9783426787861</v>
      </c>
      <c r="M1121">
        <v>240</v>
      </c>
      <c r="O1121" t="s">
        <v>5541</v>
      </c>
      <c r="P1121">
        <v>230</v>
      </c>
      <c r="Q1121">
        <v>1.1200000000000001</v>
      </c>
    </row>
    <row r="1122" spans="1:17" x14ac:dyDescent="0.25">
      <c r="A1122">
        <v>853</v>
      </c>
      <c r="B1122" t="s">
        <v>7434</v>
      </c>
      <c r="C1122" t="s">
        <v>7435</v>
      </c>
      <c r="D1122" t="s">
        <v>4669</v>
      </c>
      <c r="H1122" t="s">
        <v>2734</v>
      </c>
      <c r="I1122">
        <v>2</v>
      </c>
      <c r="K1122" t="s">
        <v>14332</v>
      </c>
      <c r="L1122" s="222">
        <v>9783850011013</v>
      </c>
      <c r="M1122">
        <v>410</v>
      </c>
      <c r="O1122" t="s">
        <v>5543</v>
      </c>
      <c r="P1122">
        <v>605</v>
      </c>
      <c r="Q1122">
        <v>1.01</v>
      </c>
    </row>
    <row r="1123" spans="1:17" x14ac:dyDescent="0.25">
      <c r="A1123">
        <v>1327</v>
      </c>
      <c r="B1123" t="s">
        <v>2242</v>
      </c>
      <c r="C1123" t="s">
        <v>7437</v>
      </c>
      <c r="D1123" t="s">
        <v>2244</v>
      </c>
      <c r="F1123">
        <v>2001</v>
      </c>
      <c r="H1123" t="s">
        <v>2734</v>
      </c>
      <c r="I1123">
        <v>2</v>
      </c>
      <c r="K1123" t="s">
        <v>14332</v>
      </c>
      <c r="L1123" s="222">
        <v>9783810523518</v>
      </c>
      <c r="M1123">
        <v>498</v>
      </c>
      <c r="O1123" t="s">
        <v>5544</v>
      </c>
      <c r="P1123">
        <v>797</v>
      </c>
      <c r="Q1123">
        <v>0.65</v>
      </c>
    </row>
    <row r="1124" spans="1:17" x14ac:dyDescent="0.25">
      <c r="A1124">
        <v>573</v>
      </c>
      <c r="B1124" t="s">
        <v>7439</v>
      </c>
      <c r="C1124" t="s">
        <v>7440</v>
      </c>
      <c r="D1124" t="s">
        <v>7441</v>
      </c>
      <c r="E1124" t="s">
        <v>2922</v>
      </c>
      <c r="F1124">
        <v>2000</v>
      </c>
      <c r="H1124" t="s">
        <v>1878</v>
      </c>
      <c r="I1124">
        <v>2</v>
      </c>
      <c r="K1124" t="s">
        <v>14332</v>
      </c>
      <c r="L1124" s="222">
        <v>9783801104191</v>
      </c>
      <c r="M1124">
        <v>216</v>
      </c>
      <c r="O1124" t="s">
        <v>5545</v>
      </c>
      <c r="P1124">
        <v>285</v>
      </c>
      <c r="Q1124">
        <v>16.309999999999999</v>
      </c>
    </row>
    <row r="1125" spans="1:17" x14ac:dyDescent="0.25">
      <c r="A1125">
        <v>690</v>
      </c>
      <c r="B1125" t="s">
        <v>7443</v>
      </c>
      <c r="C1125" t="s">
        <v>7444</v>
      </c>
      <c r="D1125" t="s">
        <v>7445</v>
      </c>
      <c r="E1125" t="s">
        <v>1921</v>
      </c>
      <c r="F1125">
        <v>2008</v>
      </c>
      <c r="H1125" t="s">
        <v>2734</v>
      </c>
      <c r="I1125">
        <v>2</v>
      </c>
      <c r="K1125" t="s">
        <v>14332</v>
      </c>
      <c r="L1125" s="222">
        <v>9783836951968</v>
      </c>
      <c r="M1125">
        <v>306</v>
      </c>
      <c r="O1125" t="s">
        <v>5546</v>
      </c>
      <c r="P1125">
        <v>525</v>
      </c>
      <c r="Q1125">
        <v>0.8</v>
      </c>
    </row>
    <row r="1126" spans="1:17" x14ac:dyDescent="0.25">
      <c r="A1126">
        <v>1231</v>
      </c>
      <c r="B1126" t="s">
        <v>7447</v>
      </c>
      <c r="C1126" t="s">
        <v>7448</v>
      </c>
      <c r="D1126" t="s">
        <v>4667</v>
      </c>
      <c r="F1126">
        <v>1997</v>
      </c>
      <c r="H1126" t="s">
        <v>2734</v>
      </c>
      <c r="I1126">
        <v>2</v>
      </c>
      <c r="K1126" t="s">
        <v>14332</v>
      </c>
      <c r="M1126">
        <v>290</v>
      </c>
      <c r="O1126" t="s">
        <v>5547</v>
      </c>
      <c r="P1126">
        <v>423</v>
      </c>
      <c r="Q1126">
        <v>0.8</v>
      </c>
    </row>
    <row r="1127" spans="1:17" x14ac:dyDescent="0.25">
      <c r="A1127">
        <v>2522</v>
      </c>
      <c r="B1127" t="s">
        <v>7449</v>
      </c>
      <c r="C1127" t="s">
        <v>7450</v>
      </c>
      <c r="D1127" t="s">
        <v>2257</v>
      </c>
      <c r="F1127">
        <v>2007</v>
      </c>
      <c r="H1127" t="s">
        <v>1878</v>
      </c>
      <c r="I1127">
        <v>2</v>
      </c>
      <c r="J1127" t="s">
        <v>3854</v>
      </c>
      <c r="K1127" t="s">
        <v>14332</v>
      </c>
      <c r="L1127" s="222">
        <v>9783426636534</v>
      </c>
      <c r="M1127">
        <v>512</v>
      </c>
      <c r="O1127" t="s">
        <v>5548</v>
      </c>
      <c r="P1127">
        <v>378</v>
      </c>
      <c r="Q1127">
        <v>0.65</v>
      </c>
    </row>
    <row r="1128" spans="1:17" x14ac:dyDescent="0.25">
      <c r="A1128">
        <v>1395</v>
      </c>
      <c r="B1128" t="s">
        <v>7452</v>
      </c>
      <c r="C1128" t="s">
        <v>7453</v>
      </c>
      <c r="D1128" t="s">
        <v>2300</v>
      </c>
      <c r="F1128">
        <v>1995</v>
      </c>
      <c r="H1128" t="s">
        <v>1878</v>
      </c>
      <c r="I1128" s="305">
        <v>43892</v>
      </c>
      <c r="K1128" t="s">
        <v>14332</v>
      </c>
      <c r="L1128" s="222">
        <v>9783499136450</v>
      </c>
      <c r="M1128">
        <v>400</v>
      </c>
      <c r="O1128" t="s">
        <v>5549</v>
      </c>
      <c r="P1128">
        <v>234</v>
      </c>
      <c r="Q1128">
        <v>0.65</v>
      </c>
    </row>
    <row r="1129" spans="1:17" x14ac:dyDescent="0.25">
      <c r="A1129">
        <v>634</v>
      </c>
      <c r="B1129" t="s">
        <v>7456</v>
      </c>
      <c r="C1129" t="s">
        <v>7457</v>
      </c>
      <c r="D1129" t="s">
        <v>3077</v>
      </c>
      <c r="F1129">
        <v>1999</v>
      </c>
      <c r="H1129" t="s">
        <v>1878</v>
      </c>
      <c r="I1129">
        <v>2</v>
      </c>
      <c r="K1129" t="s">
        <v>14332</v>
      </c>
      <c r="L1129" s="222">
        <v>9783442352494</v>
      </c>
      <c r="M1129">
        <v>192</v>
      </c>
      <c r="O1129" t="s">
        <v>5550</v>
      </c>
      <c r="P1129">
        <v>179</v>
      </c>
      <c r="Q1129">
        <v>0.8</v>
      </c>
    </row>
    <row r="1130" spans="1:17" x14ac:dyDescent="0.25">
      <c r="A1130">
        <v>2522</v>
      </c>
      <c r="B1130" t="s">
        <v>7459</v>
      </c>
      <c r="C1130" t="s">
        <v>7460</v>
      </c>
      <c r="D1130" t="s">
        <v>1876</v>
      </c>
      <c r="E1130" t="s">
        <v>1921</v>
      </c>
      <c r="F1130">
        <v>2016</v>
      </c>
      <c r="H1130" t="s">
        <v>1878</v>
      </c>
      <c r="I1130">
        <v>2</v>
      </c>
      <c r="J1130" t="s">
        <v>3854</v>
      </c>
      <c r="K1130" t="s">
        <v>14332</v>
      </c>
      <c r="L1130" s="222">
        <v>9783492307871</v>
      </c>
      <c r="M1130">
        <v>464</v>
      </c>
      <c r="O1130" t="s">
        <v>5551</v>
      </c>
      <c r="P1130">
        <v>332</v>
      </c>
      <c r="Q1130">
        <v>1.76</v>
      </c>
    </row>
    <row r="1131" spans="1:17" x14ac:dyDescent="0.25">
      <c r="A1131">
        <v>632</v>
      </c>
      <c r="B1131" t="s">
        <v>7462</v>
      </c>
      <c r="C1131" t="s">
        <v>7463</v>
      </c>
      <c r="D1131" t="s">
        <v>1912</v>
      </c>
      <c r="E1131" t="s">
        <v>1913</v>
      </c>
      <c r="F1131">
        <v>1988</v>
      </c>
      <c r="H1131" t="s">
        <v>1878</v>
      </c>
      <c r="I1131">
        <v>3</v>
      </c>
      <c r="K1131" t="s">
        <v>14332</v>
      </c>
      <c r="L1131" s="222">
        <v>9783442092017</v>
      </c>
      <c r="M1131">
        <v>544</v>
      </c>
      <c r="O1131" t="s">
        <v>5552</v>
      </c>
      <c r="P1131">
        <v>297</v>
      </c>
      <c r="Q1131">
        <v>1.44</v>
      </c>
    </row>
    <row r="1132" spans="1:17" x14ac:dyDescent="0.25">
      <c r="A1132">
        <v>815</v>
      </c>
      <c r="B1132" t="s">
        <v>7465</v>
      </c>
      <c r="C1132" t="s">
        <v>7466</v>
      </c>
      <c r="D1132" t="s">
        <v>7467</v>
      </c>
      <c r="F1132">
        <v>1985</v>
      </c>
      <c r="H1132" t="s">
        <v>1878</v>
      </c>
      <c r="I1132">
        <v>2</v>
      </c>
      <c r="K1132" t="s">
        <v>14332</v>
      </c>
      <c r="L1132" s="222">
        <v>9783889491114</v>
      </c>
      <c r="M1132">
        <v>384</v>
      </c>
      <c r="O1132" t="s">
        <v>5553</v>
      </c>
      <c r="P1132">
        <v>349</v>
      </c>
      <c r="Q1132">
        <v>0.8</v>
      </c>
    </row>
    <row r="1133" spans="1:17" x14ac:dyDescent="0.25">
      <c r="A1133">
        <v>806</v>
      </c>
      <c r="B1133" t="s">
        <v>7469</v>
      </c>
      <c r="C1133" t="s">
        <v>7470</v>
      </c>
      <c r="D1133" t="s">
        <v>2257</v>
      </c>
      <c r="F1133">
        <v>1978</v>
      </c>
      <c r="H1133" t="s">
        <v>1878</v>
      </c>
      <c r="I1133">
        <v>3</v>
      </c>
      <c r="K1133" t="s">
        <v>14332</v>
      </c>
      <c r="L1133" s="222">
        <v>9783426005378</v>
      </c>
      <c r="M1133">
        <v>256</v>
      </c>
      <c r="O1133" t="s">
        <v>5554</v>
      </c>
      <c r="P1133">
        <v>278</v>
      </c>
      <c r="Q1133">
        <v>1.01</v>
      </c>
    </row>
    <row r="1134" spans="1:17" x14ac:dyDescent="0.25">
      <c r="A1134">
        <v>651</v>
      </c>
      <c r="B1134" t="s">
        <v>7472</v>
      </c>
      <c r="C1134" t="s">
        <v>7473</v>
      </c>
      <c r="D1134" t="s">
        <v>2117</v>
      </c>
      <c r="E1134" t="s">
        <v>1913</v>
      </c>
      <c r="F1134">
        <v>2000</v>
      </c>
      <c r="H1134" t="s">
        <v>1878</v>
      </c>
      <c r="I1134">
        <v>2</v>
      </c>
      <c r="K1134" t="s">
        <v>14332</v>
      </c>
      <c r="L1134" s="222">
        <v>9783772426148</v>
      </c>
      <c r="M1134">
        <v>32</v>
      </c>
      <c r="O1134" t="s">
        <v>5555</v>
      </c>
      <c r="P1134">
        <v>126</v>
      </c>
      <c r="Q1134">
        <v>0.8</v>
      </c>
    </row>
    <row r="1135" spans="1:17" x14ac:dyDescent="0.25">
      <c r="A1135">
        <v>4</v>
      </c>
      <c r="B1135" t="s">
        <v>7475</v>
      </c>
      <c r="C1135" t="s">
        <v>7476</v>
      </c>
      <c r="D1135" t="s">
        <v>7441</v>
      </c>
      <c r="F1135">
        <v>2004</v>
      </c>
      <c r="H1135" t="s">
        <v>1878</v>
      </c>
      <c r="I1135">
        <v>2</v>
      </c>
      <c r="K1135" t="s">
        <v>14332</v>
      </c>
      <c r="L1135" s="222">
        <v>9783801104887</v>
      </c>
      <c r="M1135">
        <v>288</v>
      </c>
      <c r="O1135" t="s">
        <v>5556</v>
      </c>
      <c r="P1135">
        <v>423</v>
      </c>
      <c r="Q1135">
        <v>5.72</v>
      </c>
    </row>
    <row r="1136" spans="1:17" x14ac:dyDescent="0.25">
      <c r="A1136">
        <v>1395</v>
      </c>
      <c r="B1136" t="s">
        <v>7478</v>
      </c>
      <c r="C1136" t="s">
        <v>7479</v>
      </c>
      <c r="D1136" t="s">
        <v>1912</v>
      </c>
      <c r="E1136" t="s">
        <v>1913</v>
      </c>
      <c r="F1136">
        <v>2004</v>
      </c>
      <c r="H1136" t="s">
        <v>1878</v>
      </c>
      <c r="I1136">
        <v>2</v>
      </c>
      <c r="K1136" t="s">
        <v>14332</v>
      </c>
      <c r="L1136" s="222">
        <v>9783442460731</v>
      </c>
      <c r="M1136">
        <v>352</v>
      </c>
      <c r="O1136" t="s">
        <v>5557</v>
      </c>
      <c r="P1136">
        <v>276</v>
      </c>
      <c r="Q1136">
        <v>0.8</v>
      </c>
    </row>
    <row r="1137" spans="1:17" x14ac:dyDescent="0.25">
      <c r="A1137">
        <v>8</v>
      </c>
      <c r="B1137" t="s">
        <v>7481</v>
      </c>
      <c r="C1137" t="s">
        <v>7482</v>
      </c>
      <c r="D1137" t="s">
        <v>1998</v>
      </c>
      <c r="E1137" t="s">
        <v>1913</v>
      </c>
      <c r="F1137">
        <v>1997</v>
      </c>
      <c r="H1137" t="s">
        <v>1878</v>
      </c>
      <c r="I1137">
        <v>2</v>
      </c>
      <c r="K1137" t="s">
        <v>14332</v>
      </c>
      <c r="L1137" s="222">
        <v>9783462025941</v>
      </c>
      <c r="M1137">
        <v>352</v>
      </c>
      <c r="O1137" t="s">
        <v>5558</v>
      </c>
      <c r="P1137">
        <v>302</v>
      </c>
      <c r="Q1137">
        <v>1.01</v>
      </c>
    </row>
    <row r="1138" spans="1:17" x14ac:dyDescent="0.25">
      <c r="A1138">
        <v>655</v>
      </c>
      <c r="B1138" t="s">
        <v>7484</v>
      </c>
      <c r="C1138" t="s">
        <v>7485</v>
      </c>
      <c r="F1138">
        <v>2010</v>
      </c>
      <c r="H1138" t="s">
        <v>1878</v>
      </c>
      <c r="I1138">
        <v>1</v>
      </c>
      <c r="K1138" t="s">
        <v>14332</v>
      </c>
      <c r="L1138" s="222">
        <v>9789490538019</v>
      </c>
      <c r="M1138">
        <v>288</v>
      </c>
      <c r="O1138" t="s">
        <v>5559</v>
      </c>
      <c r="P1138">
        <v>279</v>
      </c>
      <c r="Q1138">
        <v>0.8</v>
      </c>
    </row>
    <row r="1139" spans="1:17" x14ac:dyDescent="0.25">
      <c r="A1139">
        <v>2573</v>
      </c>
      <c r="B1139" t="s">
        <v>7487</v>
      </c>
      <c r="C1139" t="s">
        <v>7488</v>
      </c>
      <c r="D1139" t="s">
        <v>7489</v>
      </c>
      <c r="F1139">
        <v>2004</v>
      </c>
      <c r="H1139" t="s">
        <v>1878</v>
      </c>
      <c r="I1139">
        <v>2</v>
      </c>
      <c r="K1139" t="s">
        <v>14332</v>
      </c>
      <c r="L1139" s="222">
        <v>9783411002245</v>
      </c>
      <c r="M1139">
        <v>464</v>
      </c>
      <c r="O1139" t="s">
        <v>5560</v>
      </c>
      <c r="P1139">
        <v>685</v>
      </c>
      <c r="Q1139">
        <v>1.23</v>
      </c>
    </row>
    <row r="1140" spans="1:17" x14ac:dyDescent="0.25">
      <c r="A1140">
        <v>774</v>
      </c>
      <c r="B1140" t="s">
        <v>7491</v>
      </c>
      <c r="C1140" t="s">
        <v>7492</v>
      </c>
      <c r="D1140" t="s">
        <v>2209</v>
      </c>
      <c r="F1140">
        <v>2015</v>
      </c>
      <c r="H1140" t="s">
        <v>1878</v>
      </c>
      <c r="I1140">
        <v>1</v>
      </c>
      <c r="K1140" t="s">
        <v>14332</v>
      </c>
      <c r="L1140" s="222">
        <v>9783453270329</v>
      </c>
      <c r="M1140">
        <v>304</v>
      </c>
      <c r="O1140" t="s">
        <v>5561</v>
      </c>
      <c r="P1140">
        <v>286</v>
      </c>
      <c r="Q1140">
        <v>2.2999999999999998</v>
      </c>
    </row>
    <row r="1141" spans="1:17" x14ac:dyDescent="0.25">
      <c r="A1141">
        <v>1395</v>
      </c>
      <c r="B1141" t="s">
        <v>7494</v>
      </c>
      <c r="C1141" t="s">
        <v>7495</v>
      </c>
      <c r="D1141" t="s">
        <v>2300</v>
      </c>
      <c r="F1141">
        <v>1986</v>
      </c>
      <c r="H1141" t="s">
        <v>1878</v>
      </c>
      <c r="I1141">
        <v>2</v>
      </c>
      <c r="K1141" t="s">
        <v>14332</v>
      </c>
      <c r="M1141">
        <v>210</v>
      </c>
      <c r="O1141" t="s">
        <v>5562</v>
      </c>
      <c r="P1141">
        <v>270</v>
      </c>
      <c r="Q1141">
        <v>0.65</v>
      </c>
    </row>
    <row r="1142" spans="1:17" x14ac:dyDescent="0.25">
      <c r="A1142">
        <v>632</v>
      </c>
      <c r="B1142" t="s">
        <v>7496</v>
      </c>
      <c r="C1142" t="s">
        <v>7497</v>
      </c>
      <c r="D1142" t="s">
        <v>1912</v>
      </c>
      <c r="E1142" t="s">
        <v>1921</v>
      </c>
      <c r="F1142">
        <v>1998</v>
      </c>
      <c r="H1142" t="s">
        <v>1878</v>
      </c>
      <c r="I1142">
        <v>2</v>
      </c>
      <c r="K1142" t="s">
        <v>14332</v>
      </c>
      <c r="L1142" s="222">
        <v>9783442440818</v>
      </c>
      <c r="M1142">
        <v>416</v>
      </c>
      <c r="O1142" t="s">
        <v>5563</v>
      </c>
      <c r="P1142">
        <v>276</v>
      </c>
      <c r="Q1142">
        <v>0.8</v>
      </c>
    </row>
    <row r="1143" spans="1:17" x14ac:dyDescent="0.25">
      <c r="A1143">
        <v>796</v>
      </c>
      <c r="B1143" t="s">
        <v>7499</v>
      </c>
      <c r="C1143" t="s">
        <v>7500</v>
      </c>
      <c r="D1143" t="s">
        <v>1920</v>
      </c>
      <c r="E1143" t="s">
        <v>1921</v>
      </c>
      <c r="F1143">
        <v>2016</v>
      </c>
      <c r="H1143" t="s">
        <v>1878</v>
      </c>
      <c r="I1143">
        <v>2</v>
      </c>
      <c r="J1143" t="s">
        <v>3854</v>
      </c>
      <c r="K1143" t="s">
        <v>14332</v>
      </c>
      <c r="L1143" s="222">
        <v>9783404173945</v>
      </c>
      <c r="M1143">
        <v>320</v>
      </c>
      <c r="O1143" t="s">
        <v>5564</v>
      </c>
      <c r="P1143">
        <v>317</v>
      </c>
      <c r="Q1143">
        <v>0.8</v>
      </c>
    </row>
    <row r="1144" spans="1:17" x14ac:dyDescent="0.25">
      <c r="A1144">
        <v>796</v>
      </c>
      <c r="B1144" t="s">
        <v>7502</v>
      </c>
      <c r="C1144" t="s">
        <v>7503</v>
      </c>
      <c r="D1144" t="s">
        <v>2054</v>
      </c>
      <c r="F1144">
        <v>2002</v>
      </c>
      <c r="H1144" t="s">
        <v>2734</v>
      </c>
      <c r="I1144">
        <v>2</v>
      </c>
      <c r="K1144" t="s">
        <v>14332</v>
      </c>
      <c r="L1144" s="222">
        <v>9783828971042</v>
      </c>
      <c r="M1144">
        <v>322</v>
      </c>
      <c r="O1144" t="s">
        <v>5565</v>
      </c>
      <c r="P1144">
        <v>397</v>
      </c>
      <c r="Q1144">
        <v>0.8</v>
      </c>
    </row>
    <row r="1145" spans="1:17" x14ac:dyDescent="0.25">
      <c r="A1145">
        <v>1927</v>
      </c>
      <c r="B1145" t="s">
        <v>7505</v>
      </c>
      <c r="C1145" t="s">
        <v>7506</v>
      </c>
      <c r="D1145" t="s">
        <v>2257</v>
      </c>
      <c r="F1145">
        <v>2009</v>
      </c>
      <c r="H1145" t="s">
        <v>1878</v>
      </c>
      <c r="I1145">
        <v>2</v>
      </c>
      <c r="K1145" t="s">
        <v>14332</v>
      </c>
      <c r="L1145" s="222">
        <v>9783426781937</v>
      </c>
      <c r="M1145">
        <v>256</v>
      </c>
      <c r="O1145" t="s">
        <v>5566</v>
      </c>
      <c r="P1145">
        <v>196</v>
      </c>
      <c r="Q1145">
        <v>0.65</v>
      </c>
    </row>
    <row r="1146" spans="1:17" x14ac:dyDescent="0.25">
      <c r="A1146">
        <v>1335</v>
      </c>
      <c r="B1146" t="s">
        <v>7508</v>
      </c>
      <c r="C1146" t="s">
        <v>7509</v>
      </c>
      <c r="D1146" t="s">
        <v>7510</v>
      </c>
      <c r="F1146">
        <v>2015</v>
      </c>
      <c r="H1146" t="s">
        <v>2734</v>
      </c>
      <c r="I1146">
        <v>1</v>
      </c>
      <c r="K1146" t="s">
        <v>14332</v>
      </c>
      <c r="L1146" s="222">
        <v>9783881178358</v>
      </c>
      <c r="M1146">
        <v>90</v>
      </c>
      <c r="O1146" t="s">
        <v>5567</v>
      </c>
      <c r="P1146">
        <v>354</v>
      </c>
      <c r="Q1146">
        <v>3.79</v>
      </c>
    </row>
    <row r="1147" spans="1:17" x14ac:dyDescent="0.25">
      <c r="A1147">
        <v>2522</v>
      </c>
      <c r="B1147" t="s">
        <v>1986</v>
      </c>
      <c r="C1147" t="s">
        <v>7512</v>
      </c>
      <c r="D1147" t="s">
        <v>1988</v>
      </c>
      <c r="E1147" t="s">
        <v>2157</v>
      </c>
      <c r="F1147">
        <v>2011</v>
      </c>
      <c r="H1147" t="s">
        <v>1878</v>
      </c>
      <c r="I1147">
        <v>2</v>
      </c>
      <c r="K1147" t="s">
        <v>14332</v>
      </c>
      <c r="L1147" s="222">
        <v>9783423247870</v>
      </c>
      <c r="M1147">
        <v>464</v>
      </c>
      <c r="O1147" t="s">
        <v>5568</v>
      </c>
      <c r="P1147">
        <v>575</v>
      </c>
      <c r="Q1147">
        <v>0.8</v>
      </c>
    </row>
    <row r="1148" spans="1:17" x14ac:dyDescent="0.25">
      <c r="A1148">
        <v>704</v>
      </c>
      <c r="B1148" t="s">
        <v>7514</v>
      </c>
      <c r="C1148" t="s">
        <v>7515</v>
      </c>
      <c r="D1148" t="s">
        <v>7516</v>
      </c>
      <c r="F1148">
        <v>2012</v>
      </c>
      <c r="H1148" t="s">
        <v>1878</v>
      </c>
      <c r="I1148">
        <v>2</v>
      </c>
      <c r="K1148" t="s">
        <v>14332</v>
      </c>
      <c r="L1148" s="222">
        <v>9783926163752</v>
      </c>
      <c r="M1148">
        <v>240</v>
      </c>
      <c r="O1148" t="s">
        <v>5569</v>
      </c>
      <c r="P1148">
        <v>587</v>
      </c>
      <c r="Q1148">
        <v>0.65</v>
      </c>
    </row>
    <row r="1149" spans="1:17" x14ac:dyDescent="0.25">
      <c r="A1149">
        <v>704</v>
      </c>
      <c r="B1149" t="s">
        <v>2397</v>
      </c>
      <c r="C1149" t="s">
        <v>7520</v>
      </c>
      <c r="D1149" t="s">
        <v>2309</v>
      </c>
      <c r="F1149">
        <v>1989</v>
      </c>
      <c r="H1149" t="s">
        <v>1878</v>
      </c>
      <c r="I1149">
        <v>2</v>
      </c>
      <c r="K1149" t="s">
        <v>14332</v>
      </c>
      <c r="L1149" s="222">
        <v>9783548206233</v>
      </c>
      <c r="M1149">
        <v>174</v>
      </c>
      <c r="O1149" t="s">
        <v>5571</v>
      </c>
      <c r="P1149">
        <v>164</v>
      </c>
      <c r="Q1149">
        <v>0.65</v>
      </c>
    </row>
    <row r="1150" spans="1:17" x14ac:dyDescent="0.25">
      <c r="A1150">
        <v>1327</v>
      </c>
      <c r="B1150" t="s">
        <v>7522</v>
      </c>
      <c r="C1150" t="s">
        <v>7523</v>
      </c>
      <c r="D1150" t="s">
        <v>1988</v>
      </c>
      <c r="E1150" t="s">
        <v>1877</v>
      </c>
      <c r="F1150">
        <v>2013</v>
      </c>
      <c r="H1150" t="s">
        <v>1878</v>
      </c>
      <c r="I1150">
        <v>2</v>
      </c>
      <c r="K1150" t="s">
        <v>14332</v>
      </c>
      <c r="L1150" s="222">
        <v>9783423249621</v>
      </c>
      <c r="M1150">
        <v>418</v>
      </c>
      <c r="O1150" t="s">
        <v>5572</v>
      </c>
      <c r="P1150">
        <v>513</v>
      </c>
      <c r="Q1150">
        <v>0.7</v>
      </c>
    </row>
    <row r="1151" spans="1:17" x14ac:dyDescent="0.25">
      <c r="A1151">
        <v>2522</v>
      </c>
      <c r="B1151" t="s">
        <v>7525</v>
      </c>
      <c r="C1151" t="s">
        <v>7526</v>
      </c>
      <c r="D1151" t="s">
        <v>2209</v>
      </c>
      <c r="F1151">
        <v>2004</v>
      </c>
      <c r="H1151" t="s">
        <v>1878</v>
      </c>
      <c r="I1151" s="305">
        <v>43892</v>
      </c>
      <c r="K1151" t="s">
        <v>14332</v>
      </c>
      <c r="L1151" s="222">
        <v>9783453500006</v>
      </c>
      <c r="M1151">
        <v>832</v>
      </c>
      <c r="O1151" t="s">
        <v>5573</v>
      </c>
      <c r="P1151">
        <v>603</v>
      </c>
      <c r="Q1151">
        <v>0.65</v>
      </c>
    </row>
    <row r="1152" spans="1:17" x14ac:dyDescent="0.25">
      <c r="A1152">
        <v>2522</v>
      </c>
      <c r="B1152" t="s">
        <v>7535</v>
      </c>
      <c r="C1152" t="s">
        <v>7536</v>
      </c>
      <c r="D1152" t="s">
        <v>3524</v>
      </c>
      <c r="E1152" t="s">
        <v>1913</v>
      </c>
      <c r="F1152">
        <v>2013</v>
      </c>
      <c r="H1152" t="s">
        <v>2734</v>
      </c>
      <c r="I1152">
        <v>2</v>
      </c>
      <c r="K1152" t="s">
        <v>14332</v>
      </c>
      <c r="L1152" s="222">
        <v>9783785573860</v>
      </c>
      <c r="M1152">
        <v>354</v>
      </c>
      <c r="O1152" t="s">
        <v>5576</v>
      </c>
      <c r="P1152">
        <v>639</v>
      </c>
      <c r="Q1152">
        <v>1.34</v>
      </c>
    </row>
    <row r="1153" spans="1:17" x14ac:dyDescent="0.25">
      <c r="A1153">
        <v>2522</v>
      </c>
      <c r="B1153" t="s">
        <v>7538</v>
      </c>
      <c r="C1153" t="s">
        <v>7539</v>
      </c>
      <c r="D1153" t="s">
        <v>2257</v>
      </c>
      <c r="F1153">
        <v>2018</v>
      </c>
      <c r="H1153" t="s">
        <v>1878</v>
      </c>
      <c r="I1153">
        <v>1</v>
      </c>
      <c r="K1153" t="s">
        <v>14332</v>
      </c>
      <c r="L1153" s="222">
        <v>9783426522813</v>
      </c>
      <c r="M1153">
        <v>398</v>
      </c>
      <c r="O1153" t="s">
        <v>5577</v>
      </c>
      <c r="P1153">
        <v>307</v>
      </c>
      <c r="Q1153">
        <v>3.7</v>
      </c>
    </row>
    <row r="1154" spans="1:17" x14ac:dyDescent="0.25">
      <c r="A1154">
        <v>2522</v>
      </c>
      <c r="B1154" t="s">
        <v>2892</v>
      </c>
      <c r="C1154" t="s">
        <v>7545</v>
      </c>
      <c r="D1154" t="s">
        <v>2209</v>
      </c>
      <c r="E1154" t="s">
        <v>1877</v>
      </c>
      <c r="F1154">
        <v>2014</v>
      </c>
      <c r="H1154" t="s">
        <v>2734</v>
      </c>
      <c r="I1154">
        <v>1</v>
      </c>
      <c r="K1154" t="s">
        <v>14332</v>
      </c>
      <c r="L1154" s="222">
        <v>9783453268845</v>
      </c>
      <c r="M1154">
        <v>850</v>
      </c>
      <c r="O1154" t="s">
        <v>5579</v>
      </c>
      <c r="P1154">
        <v>972</v>
      </c>
      <c r="Q1154">
        <v>8.3000000000000007</v>
      </c>
    </row>
    <row r="1155" spans="1:17" x14ac:dyDescent="0.25">
      <c r="A1155">
        <v>968</v>
      </c>
      <c r="C1155" t="s">
        <v>7548</v>
      </c>
      <c r="D1155" t="s">
        <v>7547</v>
      </c>
      <c r="F1155">
        <v>1990</v>
      </c>
      <c r="H1155" t="s">
        <v>1878</v>
      </c>
      <c r="I1155">
        <v>2</v>
      </c>
      <c r="K1155" t="s">
        <v>14339</v>
      </c>
      <c r="M1155">
        <v>208</v>
      </c>
      <c r="O1155" t="s">
        <v>5580</v>
      </c>
      <c r="P1155">
        <v>174</v>
      </c>
      <c r="Q1155">
        <v>2.4</v>
      </c>
    </row>
    <row r="1156" spans="1:17" x14ac:dyDescent="0.25">
      <c r="A1156">
        <v>2551</v>
      </c>
      <c r="B1156" t="s">
        <v>5033</v>
      </c>
      <c r="C1156" t="s">
        <v>7549</v>
      </c>
      <c r="D1156" t="s">
        <v>7260</v>
      </c>
      <c r="F1156">
        <v>2002</v>
      </c>
      <c r="H1156" t="s">
        <v>2734</v>
      </c>
      <c r="I1156">
        <v>2</v>
      </c>
      <c r="K1156" t="s">
        <v>14332</v>
      </c>
      <c r="L1156" s="222">
        <v>9783552051874</v>
      </c>
      <c r="M1156">
        <v>482</v>
      </c>
      <c r="O1156" t="s">
        <v>5581</v>
      </c>
      <c r="P1156">
        <v>635</v>
      </c>
      <c r="Q1156">
        <v>0.65</v>
      </c>
    </row>
    <row r="1157" spans="1:17" x14ac:dyDescent="0.25">
      <c r="A1157">
        <v>2551</v>
      </c>
      <c r="B1157" t="s">
        <v>5033</v>
      </c>
      <c r="C1157" t="s">
        <v>7551</v>
      </c>
      <c r="D1157" t="s">
        <v>5005</v>
      </c>
      <c r="F1157">
        <v>2001</v>
      </c>
      <c r="H1157" t="s">
        <v>2734</v>
      </c>
      <c r="I1157">
        <v>2</v>
      </c>
      <c r="K1157" t="s">
        <v>14332</v>
      </c>
      <c r="M1157">
        <v>578</v>
      </c>
      <c r="O1157" t="s">
        <v>5582</v>
      </c>
      <c r="P1157">
        <v>774</v>
      </c>
      <c r="Q1157">
        <v>0.65</v>
      </c>
    </row>
    <row r="1158" spans="1:17" x14ac:dyDescent="0.25">
      <c r="A1158">
        <v>2547</v>
      </c>
      <c r="B1158" t="s">
        <v>7552</v>
      </c>
      <c r="C1158" t="s">
        <v>7553</v>
      </c>
      <c r="D1158" t="s">
        <v>2309</v>
      </c>
      <c r="E1158" t="s">
        <v>1913</v>
      </c>
      <c r="F1158">
        <v>2003</v>
      </c>
      <c r="H1158" t="s">
        <v>1878</v>
      </c>
      <c r="I1158">
        <v>3</v>
      </c>
      <c r="K1158" t="s">
        <v>14332</v>
      </c>
      <c r="L1158" s="222">
        <v>9783548256832</v>
      </c>
      <c r="M1158">
        <v>416</v>
      </c>
      <c r="O1158" t="s">
        <v>5583</v>
      </c>
      <c r="P1158">
        <v>280</v>
      </c>
      <c r="Q1158">
        <v>0.8</v>
      </c>
    </row>
    <row r="1159" spans="1:17" x14ac:dyDescent="0.25">
      <c r="A1159">
        <v>689</v>
      </c>
      <c r="B1159" t="s">
        <v>2470</v>
      </c>
      <c r="C1159" t="s">
        <v>7555</v>
      </c>
      <c r="D1159" t="s">
        <v>2209</v>
      </c>
      <c r="E1159" t="s">
        <v>2518</v>
      </c>
      <c r="F1159">
        <v>2002</v>
      </c>
      <c r="H1159" t="s">
        <v>1878</v>
      </c>
      <c r="I1159">
        <v>2</v>
      </c>
      <c r="K1159" t="s">
        <v>14332</v>
      </c>
      <c r="L1159" s="222">
        <v>9783453116542</v>
      </c>
      <c r="M1159">
        <v>512</v>
      </c>
      <c r="O1159" t="s">
        <v>5584</v>
      </c>
      <c r="P1159">
        <v>292</v>
      </c>
      <c r="Q1159">
        <v>0.65</v>
      </c>
    </row>
    <row r="1160" spans="1:17" x14ac:dyDescent="0.25">
      <c r="A1160">
        <v>1231</v>
      </c>
      <c r="B1160" t="s">
        <v>7560</v>
      </c>
      <c r="C1160" t="s">
        <v>7561</v>
      </c>
      <c r="D1160" t="s">
        <v>2257</v>
      </c>
      <c r="F1160">
        <v>2006</v>
      </c>
      <c r="H1160" t="s">
        <v>1878</v>
      </c>
      <c r="I1160">
        <v>1</v>
      </c>
      <c r="K1160" t="s">
        <v>14332</v>
      </c>
      <c r="L1160" s="222">
        <v>9783426511572</v>
      </c>
      <c r="M1160">
        <v>240</v>
      </c>
      <c r="O1160" t="s">
        <v>5586</v>
      </c>
      <c r="P1160">
        <v>187</v>
      </c>
      <c r="Q1160">
        <v>0.8</v>
      </c>
    </row>
    <row r="1161" spans="1:17" x14ac:dyDescent="0.25">
      <c r="A1161">
        <v>692</v>
      </c>
      <c r="B1161" t="s">
        <v>7563</v>
      </c>
      <c r="C1161" t="s">
        <v>7564</v>
      </c>
      <c r="D1161" t="s">
        <v>1912</v>
      </c>
      <c r="E1161" t="s">
        <v>2157</v>
      </c>
      <c r="F1161">
        <v>2001</v>
      </c>
      <c r="H1161" t="s">
        <v>1878</v>
      </c>
      <c r="I1161">
        <v>1</v>
      </c>
      <c r="K1161" t="s">
        <v>14332</v>
      </c>
      <c r="L1161" s="222">
        <v>9783442453009</v>
      </c>
      <c r="M1161">
        <v>256</v>
      </c>
      <c r="O1161" t="s">
        <v>5587</v>
      </c>
      <c r="P1161">
        <v>228</v>
      </c>
      <c r="Q1161">
        <v>0.65</v>
      </c>
    </row>
    <row r="1162" spans="1:17" x14ac:dyDescent="0.25">
      <c r="A1162">
        <v>1231</v>
      </c>
      <c r="B1162" t="s">
        <v>7568</v>
      </c>
      <c r="C1162" t="s">
        <v>7569</v>
      </c>
      <c r="D1162" t="s">
        <v>7570</v>
      </c>
      <c r="F1162">
        <v>1986</v>
      </c>
      <c r="H1162" t="s">
        <v>1878</v>
      </c>
      <c r="I1162">
        <v>3</v>
      </c>
      <c r="K1162" t="s">
        <v>14332</v>
      </c>
      <c r="L1162" s="222">
        <v>9783881423731</v>
      </c>
      <c r="M1162">
        <v>384</v>
      </c>
      <c r="O1162" t="s">
        <v>5589</v>
      </c>
      <c r="P1162">
        <v>371</v>
      </c>
      <c r="Q1162">
        <v>1.88</v>
      </c>
    </row>
    <row r="1163" spans="1:17" x14ac:dyDescent="0.25">
      <c r="A1163">
        <v>2706</v>
      </c>
      <c r="B1163" t="s">
        <v>7572</v>
      </c>
      <c r="C1163" t="s">
        <v>7573</v>
      </c>
      <c r="D1163" t="s">
        <v>3682</v>
      </c>
      <c r="F1163">
        <v>2005</v>
      </c>
      <c r="H1163" t="s">
        <v>1878</v>
      </c>
      <c r="I1163">
        <v>2</v>
      </c>
      <c r="K1163" t="s">
        <v>14332</v>
      </c>
      <c r="L1163" s="222">
        <v>9783833604348</v>
      </c>
      <c r="M1163">
        <v>112</v>
      </c>
      <c r="O1163" t="s">
        <v>5590</v>
      </c>
      <c r="P1163">
        <v>157</v>
      </c>
      <c r="Q1163">
        <v>0.65</v>
      </c>
    </row>
    <row r="1164" spans="1:17" x14ac:dyDescent="0.25">
      <c r="A1164">
        <v>765</v>
      </c>
      <c r="B1164" t="s">
        <v>5810</v>
      </c>
      <c r="C1164" t="s">
        <v>5811</v>
      </c>
      <c r="D1164" t="s">
        <v>2209</v>
      </c>
      <c r="F1164">
        <v>2009</v>
      </c>
      <c r="H1164" t="s">
        <v>1878</v>
      </c>
      <c r="I1164">
        <v>2</v>
      </c>
      <c r="K1164" t="s">
        <v>14332</v>
      </c>
      <c r="L1164" s="222">
        <v>9783453601369</v>
      </c>
      <c r="M1164">
        <v>192</v>
      </c>
      <c r="O1164" t="s">
        <v>5592</v>
      </c>
      <c r="P1164">
        <v>262</v>
      </c>
      <c r="Q1164">
        <v>0.65</v>
      </c>
    </row>
    <row r="1165" spans="1:17" x14ac:dyDescent="0.25">
      <c r="A1165">
        <v>1315</v>
      </c>
      <c r="B1165" t="s">
        <v>7578</v>
      </c>
      <c r="C1165" t="s">
        <v>7579</v>
      </c>
      <c r="D1165" t="s">
        <v>807</v>
      </c>
      <c r="F1165">
        <v>2009</v>
      </c>
      <c r="H1165" t="s">
        <v>1878</v>
      </c>
      <c r="I1165">
        <v>2</v>
      </c>
      <c r="K1165" t="s">
        <v>14332</v>
      </c>
      <c r="L1165" s="222">
        <v>9783551358462</v>
      </c>
      <c r="M1165">
        <v>192</v>
      </c>
      <c r="O1165" t="s">
        <v>5593</v>
      </c>
      <c r="P1165">
        <v>207</v>
      </c>
      <c r="Q1165">
        <v>1.21</v>
      </c>
    </row>
    <row r="1166" spans="1:17" x14ac:dyDescent="0.25">
      <c r="A1166">
        <v>1324</v>
      </c>
      <c r="B1166" t="s">
        <v>7581</v>
      </c>
      <c r="C1166" t="s">
        <v>7582</v>
      </c>
      <c r="D1166" t="s">
        <v>7583</v>
      </c>
      <c r="E1166" t="s">
        <v>1913</v>
      </c>
      <c r="F1166">
        <v>2009</v>
      </c>
      <c r="H1166" t="s">
        <v>2734</v>
      </c>
      <c r="I1166">
        <v>1</v>
      </c>
      <c r="K1166" t="s">
        <v>14332</v>
      </c>
      <c r="L1166" s="222">
        <v>9783927372511</v>
      </c>
      <c r="M1166">
        <v>418</v>
      </c>
      <c r="O1166" t="s">
        <v>5594</v>
      </c>
      <c r="P1166">
        <v>810</v>
      </c>
      <c r="Q1166">
        <v>1.88</v>
      </c>
    </row>
    <row r="1167" spans="1:17" x14ac:dyDescent="0.25">
      <c r="A1167">
        <v>153</v>
      </c>
      <c r="B1167" t="s">
        <v>7585</v>
      </c>
      <c r="C1167" t="s">
        <v>7586</v>
      </c>
      <c r="D1167" t="s">
        <v>2007</v>
      </c>
      <c r="F1167">
        <v>1998</v>
      </c>
      <c r="H1167" t="s">
        <v>2008</v>
      </c>
      <c r="I1167">
        <v>2</v>
      </c>
      <c r="K1167" t="s">
        <v>14332</v>
      </c>
      <c r="L1167" s="222">
        <v>9783150071779</v>
      </c>
      <c r="M1167">
        <v>392</v>
      </c>
      <c r="O1167" t="s">
        <v>5595</v>
      </c>
      <c r="P1167">
        <v>181</v>
      </c>
      <c r="Q1167">
        <v>0.65</v>
      </c>
    </row>
    <row r="1168" spans="1:17" x14ac:dyDescent="0.25">
      <c r="A1168">
        <v>18</v>
      </c>
      <c r="B1168" t="s">
        <v>7588</v>
      </c>
      <c r="C1168" t="s">
        <v>7589</v>
      </c>
      <c r="D1168" t="s">
        <v>5005</v>
      </c>
      <c r="F1168">
        <v>1972</v>
      </c>
      <c r="H1168" t="s">
        <v>2734</v>
      </c>
      <c r="I1168">
        <v>2</v>
      </c>
      <c r="K1168" t="s">
        <v>14332</v>
      </c>
      <c r="L1168" s="222">
        <v>9783571090021</v>
      </c>
      <c r="M1168">
        <v>238</v>
      </c>
      <c r="O1168" t="s">
        <v>5596</v>
      </c>
      <c r="P1168">
        <v>115</v>
      </c>
      <c r="Q1168">
        <v>2.93</v>
      </c>
    </row>
    <row r="1169" spans="1:17" x14ac:dyDescent="0.25">
      <c r="A1169">
        <v>1875</v>
      </c>
      <c r="B1169" t="s">
        <v>7592</v>
      </c>
      <c r="C1169" t="s">
        <v>7591</v>
      </c>
      <c r="D1169" t="s">
        <v>2926</v>
      </c>
      <c r="H1169" t="s">
        <v>2734</v>
      </c>
      <c r="I1169">
        <v>2</v>
      </c>
      <c r="K1169" t="s">
        <v>14332</v>
      </c>
      <c r="L1169" s="222">
        <v>9783502392224</v>
      </c>
      <c r="M1169">
        <v>162</v>
      </c>
      <c r="O1169" t="s">
        <v>5597</v>
      </c>
      <c r="P1169">
        <v>154</v>
      </c>
      <c r="Q1169">
        <v>0.65</v>
      </c>
    </row>
    <row r="1170" spans="1:17" x14ac:dyDescent="0.25">
      <c r="A1170">
        <v>1939</v>
      </c>
      <c r="B1170" t="s">
        <v>7594</v>
      </c>
      <c r="C1170" t="s">
        <v>7595</v>
      </c>
      <c r="D1170" t="s">
        <v>7596</v>
      </c>
      <c r="E1170" t="s">
        <v>1877</v>
      </c>
      <c r="F1170">
        <v>2005</v>
      </c>
      <c r="H1170" t="s">
        <v>1878</v>
      </c>
      <c r="I1170">
        <v>2</v>
      </c>
      <c r="K1170" t="s">
        <v>14332</v>
      </c>
      <c r="L1170" s="222">
        <v>9783861226987</v>
      </c>
      <c r="M1170">
        <v>192</v>
      </c>
      <c r="O1170" t="s">
        <v>5598</v>
      </c>
      <c r="P1170">
        <v>162</v>
      </c>
      <c r="Q1170">
        <v>0.96</v>
      </c>
    </row>
    <row r="1171" spans="1:17" x14ac:dyDescent="0.25">
      <c r="A1171">
        <v>1324</v>
      </c>
      <c r="B1171" t="s">
        <v>7603</v>
      </c>
      <c r="C1171" t="s">
        <v>7604</v>
      </c>
      <c r="D1171" t="s">
        <v>1912</v>
      </c>
      <c r="E1171" t="s">
        <v>1921</v>
      </c>
      <c r="F1171">
        <v>2000</v>
      </c>
      <c r="H1171" t="s">
        <v>1878</v>
      </c>
      <c r="I1171">
        <v>2</v>
      </c>
      <c r="K1171" t="s">
        <v>14332</v>
      </c>
      <c r="L1171" s="222">
        <v>9783442164028</v>
      </c>
      <c r="M1171">
        <v>160</v>
      </c>
      <c r="O1171" t="s">
        <v>5600</v>
      </c>
      <c r="P1171">
        <v>124</v>
      </c>
      <c r="Q1171">
        <v>0.65</v>
      </c>
    </row>
    <row r="1172" spans="1:17" x14ac:dyDescent="0.25">
      <c r="A1172">
        <v>1875</v>
      </c>
      <c r="C1172" t="s">
        <v>7606</v>
      </c>
      <c r="D1172" t="s">
        <v>1876</v>
      </c>
      <c r="E1172" t="s">
        <v>2157</v>
      </c>
      <c r="F1172">
        <v>2008</v>
      </c>
      <c r="H1172" t="s">
        <v>1878</v>
      </c>
      <c r="I1172">
        <v>2</v>
      </c>
      <c r="K1172" t="s">
        <v>14332</v>
      </c>
      <c r="L1172" s="222">
        <v>9783492243841</v>
      </c>
      <c r="M1172">
        <v>240</v>
      </c>
      <c r="O1172" t="s">
        <v>5601</v>
      </c>
      <c r="P1172">
        <v>145</v>
      </c>
      <c r="Q1172">
        <v>0.8</v>
      </c>
    </row>
    <row r="1173" spans="1:17" x14ac:dyDescent="0.25">
      <c r="A1173">
        <v>689</v>
      </c>
      <c r="B1173" t="s">
        <v>2470</v>
      </c>
      <c r="C1173" t="s">
        <v>7608</v>
      </c>
      <c r="D1173" t="s">
        <v>2209</v>
      </c>
      <c r="F1173">
        <v>1998</v>
      </c>
      <c r="H1173" t="s">
        <v>1878</v>
      </c>
      <c r="I1173">
        <v>2</v>
      </c>
      <c r="K1173" t="s">
        <v>14332</v>
      </c>
      <c r="L1173" s="222">
        <v>9783453135765</v>
      </c>
      <c r="M1173">
        <v>224</v>
      </c>
      <c r="O1173" t="s">
        <v>5602</v>
      </c>
      <c r="P1173">
        <v>160</v>
      </c>
      <c r="Q1173">
        <v>0.65</v>
      </c>
    </row>
    <row r="1174" spans="1:17" x14ac:dyDescent="0.25">
      <c r="A1174">
        <v>2591</v>
      </c>
      <c r="C1174" t="s">
        <v>7610</v>
      </c>
      <c r="D1174" t="s">
        <v>7611</v>
      </c>
      <c r="F1174">
        <v>2017</v>
      </c>
      <c r="H1174" t="s">
        <v>1878</v>
      </c>
      <c r="I1174">
        <v>2</v>
      </c>
      <c r="K1174" t="s">
        <v>14332</v>
      </c>
      <c r="L1174" s="222">
        <v>9783845106199</v>
      </c>
      <c r="M1174">
        <v>16</v>
      </c>
      <c r="O1174" t="s">
        <v>5603</v>
      </c>
      <c r="P1174">
        <v>16</v>
      </c>
      <c r="Q1174">
        <v>7.76</v>
      </c>
    </row>
    <row r="1175" spans="1:17" x14ac:dyDescent="0.25">
      <c r="A1175">
        <v>2591</v>
      </c>
      <c r="C1175" t="s">
        <v>7613</v>
      </c>
      <c r="D1175" t="s">
        <v>7611</v>
      </c>
      <c r="F1175">
        <v>2017</v>
      </c>
      <c r="H1175" t="s">
        <v>1878</v>
      </c>
      <c r="I1175">
        <v>1</v>
      </c>
      <c r="K1175" t="s">
        <v>14332</v>
      </c>
      <c r="L1175" s="222">
        <v>9783845106199</v>
      </c>
      <c r="M1175">
        <v>16</v>
      </c>
      <c r="O1175" t="s">
        <v>5604</v>
      </c>
      <c r="P1175">
        <v>17</v>
      </c>
      <c r="Q1175">
        <v>7.76</v>
      </c>
    </row>
    <row r="1176" spans="1:17" x14ac:dyDescent="0.25">
      <c r="A1176">
        <v>2591</v>
      </c>
      <c r="C1176" t="s">
        <v>7614</v>
      </c>
      <c r="D1176" t="s">
        <v>7611</v>
      </c>
      <c r="F1176">
        <v>2017</v>
      </c>
      <c r="H1176" t="s">
        <v>1878</v>
      </c>
      <c r="I1176">
        <v>1</v>
      </c>
      <c r="K1176" t="s">
        <v>14332</v>
      </c>
      <c r="L1176" s="222">
        <v>9783845109664</v>
      </c>
      <c r="M1176">
        <v>16</v>
      </c>
      <c r="O1176" t="s">
        <v>5605</v>
      </c>
      <c r="P1176">
        <v>17</v>
      </c>
      <c r="Q1176">
        <v>7.76</v>
      </c>
    </row>
    <row r="1177" spans="1:17" x14ac:dyDescent="0.25">
      <c r="A1177">
        <v>1905</v>
      </c>
      <c r="B1177" t="s">
        <v>7616</v>
      </c>
      <c r="C1177" t="s">
        <v>7617</v>
      </c>
      <c r="D1177" t="s">
        <v>2835</v>
      </c>
      <c r="E1177" t="s">
        <v>1877</v>
      </c>
      <c r="F1177">
        <v>2012</v>
      </c>
      <c r="H1177" t="s">
        <v>1878</v>
      </c>
      <c r="I1177">
        <v>2</v>
      </c>
      <c r="K1177" t="s">
        <v>14332</v>
      </c>
      <c r="L1177" s="222">
        <v>9783518459478</v>
      </c>
      <c r="M1177">
        <v>144</v>
      </c>
      <c r="O1177" t="s">
        <v>5606</v>
      </c>
      <c r="P1177">
        <v>95</v>
      </c>
      <c r="Q1177">
        <v>3.37</v>
      </c>
    </row>
    <row r="1178" spans="1:17" x14ac:dyDescent="0.25">
      <c r="A1178">
        <v>769</v>
      </c>
      <c r="C1178" t="s">
        <v>7619</v>
      </c>
      <c r="D1178" t="s">
        <v>7620</v>
      </c>
      <c r="E1178" t="s">
        <v>1899</v>
      </c>
      <c r="F1178">
        <v>1991</v>
      </c>
      <c r="H1178" t="s">
        <v>2734</v>
      </c>
      <c r="I1178">
        <v>1</v>
      </c>
      <c r="K1178" t="s">
        <v>14332</v>
      </c>
      <c r="L1178" s="222">
        <v>9783411046737</v>
      </c>
      <c r="M1178">
        <v>450</v>
      </c>
      <c r="O1178" t="s">
        <v>5607</v>
      </c>
      <c r="P1178">
        <v>314</v>
      </c>
      <c r="Q1178">
        <v>0.65</v>
      </c>
    </row>
    <row r="1179" spans="1:17" x14ac:dyDescent="0.25">
      <c r="A1179">
        <v>704</v>
      </c>
      <c r="B1179" t="s">
        <v>7625</v>
      </c>
      <c r="C1179" t="s">
        <v>7626</v>
      </c>
      <c r="D1179" t="s">
        <v>2300</v>
      </c>
      <c r="E1179" t="s">
        <v>2175</v>
      </c>
      <c r="F1179">
        <v>2004</v>
      </c>
      <c r="H1179" t="s">
        <v>1878</v>
      </c>
      <c r="I1179">
        <v>2</v>
      </c>
      <c r="K1179" t="s">
        <v>14332</v>
      </c>
      <c r="L1179" s="222">
        <v>9783499231575</v>
      </c>
      <c r="M1179">
        <v>144</v>
      </c>
      <c r="O1179" t="s">
        <v>5610</v>
      </c>
      <c r="P1179">
        <v>138</v>
      </c>
      <c r="Q1179">
        <v>0.65</v>
      </c>
    </row>
    <row r="1180" spans="1:17" x14ac:dyDescent="0.25">
      <c r="A1180">
        <v>765</v>
      </c>
      <c r="B1180" t="s">
        <v>7628</v>
      </c>
      <c r="C1180" t="s">
        <v>7629</v>
      </c>
      <c r="D1180" t="s">
        <v>7630</v>
      </c>
      <c r="F1180">
        <v>2005</v>
      </c>
      <c r="H1180" t="s">
        <v>1878</v>
      </c>
      <c r="I1180">
        <v>2</v>
      </c>
      <c r="K1180" t="s">
        <v>14332</v>
      </c>
      <c r="L1180" s="222">
        <v>9783451055744</v>
      </c>
      <c r="M1180">
        <v>240</v>
      </c>
      <c r="O1180" t="s">
        <v>5611</v>
      </c>
      <c r="P1180">
        <v>212</v>
      </c>
      <c r="Q1180">
        <v>2.84</v>
      </c>
    </row>
    <row r="1181" spans="1:17" x14ac:dyDescent="0.25">
      <c r="A1181">
        <v>18</v>
      </c>
      <c r="B1181" t="s">
        <v>7632</v>
      </c>
      <c r="C1181" t="s">
        <v>7633</v>
      </c>
      <c r="D1181" t="s">
        <v>7634</v>
      </c>
      <c r="F1181">
        <v>2018</v>
      </c>
      <c r="H1181" t="s">
        <v>1878</v>
      </c>
      <c r="I1181">
        <v>1</v>
      </c>
      <c r="K1181" t="s">
        <v>14332</v>
      </c>
      <c r="L1181" s="222">
        <v>9783741002625</v>
      </c>
      <c r="M1181">
        <v>244</v>
      </c>
      <c r="O1181" t="s">
        <v>5612</v>
      </c>
      <c r="P1181">
        <v>349</v>
      </c>
      <c r="Q1181">
        <v>3.47</v>
      </c>
    </row>
    <row r="1182" spans="1:17" x14ac:dyDescent="0.25">
      <c r="A1182">
        <v>2551</v>
      </c>
      <c r="B1182" t="s">
        <v>5033</v>
      </c>
      <c r="C1182" t="s">
        <v>7636</v>
      </c>
      <c r="D1182" t="s">
        <v>5005</v>
      </c>
      <c r="F1182">
        <v>2000</v>
      </c>
      <c r="H1182" t="s">
        <v>2734</v>
      </c>
      <c r="I1182">
        <v>2</v>
      </c>
      <c r="K1182" t="s">
        <v>14332</v>
      </c>
      <c r="M1182">
        <v>610</v>
      </c>
      <c r="O1182" t="s">
        <v>5613</v>
      </c>
      <c r="P1182">
        <v>796</v>
      </c>
      <c r="Q1182">
        <v>0.65</v>
      </c>
    </row>
    <row r="1183" spans="1:17" x14ac:dyDescent="0.25">
      <c r="A1183">
        <v>1395</v>
      </c>
      <c r="B1183" t="s">
        <v>7637</v>
      </c>
      <c r="C1183" t="s">
        <v>7638</v>
      </c>
      <c r="D1183" t="s">
        <v>2257</v>
      </c>
      <c r="F1183">
        <v>1990</v>
      </c>
      <c r="H1183" t="s">
        <v>1878</v>
      </c>
      <c r="I1183">
        <v>4</v>
      </c>
      <c r="K1183" t="s">
        <v>14332</v>
      </c>
      <c r="L1183" s="222">
        <v>9783426030158</v>
      </c>
      <c r="M1183">
        <v>880</v>
      </c>
      <c r="O1183" t="s">
        <v>5614</v>
      </c>
      <c r="P1183">
        <v>509</v>
      </c>
      <c r="Q1183">
        <v>0.81</v>
      </c>
    </row>
    <row r="1184" spans="1:17" x14ac:dyDescent="0.25">
      <c r="A1184">
        <v>2522</v>
      </c>
      <c r="B1184" t="s">
        <v>7349</v>
      </c>
      <c r="C1184" t="s">
        <v>7640</v>
      </c>
      <c r="D1184" t="s">
        <v>2209</v>
      </c>
      <c r="F1184">
        <v>1991</v>
      </c>
      <c r="H1184" t="s">
        <v>1878</v>
      </c>
      <c r="I1184">
        <v>4</v>
      </c>
      <c r="K1184" t="s">
        <v>14332</v>
      </c>
      <c r="L1184" s="222">
        <v>9783453046009</v>
      </c>
      <c r="M1184">
        <v>480</v>
      </c>
      <c r="O1184" t="s">
        <v>5615</v>
      </c>
      <c r="P1184">
        <v>261</v>
      </c>
      <c r="Q1184">
        <v>0.81</v>
      </c>
    </row>
    <row r="1185" spans="1:17" x14ac:dyDescent="0.25">
      <c r="A1185">
        <v>734</v>
      </c>
      <c r="B1185" t="s">
        <v>7392</v>
      </c>
      <c r="C1185" t="s">
        <v>7644</v>
      </c>
      <c r="D1185" t="s">
        <v>2209</v>
      </c>
      <c r="E1185" t="s">
        <v>2032</v>
      </c>
      <c r="F1185">
        <v>1991</v>
      </c>
      <c r="H1185" t="s">
        <v>1878</v>
      </c>
      <c r="I1185">
        <v>3</v>
      </c>
      <c r="K1185" t="s">
        <v>14332</v>
      </c>
      <c r="L1185" s="222">
        <v>9783453036970</v>
      </c>
      <c r="M1185">
        <v>688</v>
      </c>
      <c r="O1185" t="s">
        <v>5617</v>
      </c>
      <c r="P1185">
        <v>421</v>
      </c>
      <c r="Q1185">
        <v>0.65</v>
      </c>
    </row>
    <row r="1186" spans="1:17" x14ac:dyDescent="0.25">
      <c r="A1186">
        <v>632</v>
      </c>
      <c r="B1186" t="s">
        <v>6322</v>
      </c>
      <c r="C1186" t="s">
        <v>7646</v>
      </c>
      <c r="D1186" t="s">
        <v>1993</v>
      </c>
      <c r="F1186">
        <v>2002</v>
      </c>
      <c r="H1186" t="s">
        <v>1878</v>
      </c>
      <c r="I1186">
        <v>2</v>
      </c>
      <c r="K1186" t="s">
        <v>14332</v>
      </c>
      <c r="L1186" s="222">
        <v>9783442358472</v>
      </c>
      <c r="M1186">
        <v>576</v>
      </c>
      <c r="O1186" t="s">
        <v>5618</v>
      </c>
      <c r="P1186">
        <v>408</v>
      </c>
      <c r="Q1186">
        <v>1.24</v>
      </c>
    </row>
    <row r="1187" spans="1:17" x14ac:dyDescent="0.25">
      <c r="A1187">
        <v>734</v>
      </c>
      <c r="B1187" t="s">
        <v>7648</v>
      </c>
      <c r="C1187" t="s">
        <v>7649</v>
      </c>
      <c r="D1187" t="s">
        <v>2257</v>
      </c>
      <c r="E1187" t="s">
        <v>1921</v>
      </c>
      <c r="F1187">
        <v>2008</v>
      </c>
      <c r="H1187" t="s">
        <v>1878</v>
      </c>
      <c r="I1187">
        <v>3</v>
      </c>
      <c r="K1187" t="s">
        <v>14332</v>
      </c>
      <c r="L1187" s="222">
        <v>9783426637586</v>
      </c>
      <c r="M1187">
        <v>688</v>
      </c>
      <c r="O1187" t="s">
        <v>5619</v>
      </c>
      <c r="P1187">
        <v>509</v>
      </c>
      <c r="Q1187">
        <v>0.65</v>
      </c>
    </row>
    <row r="1188" spans="1:17" x14ac:dyDescent="0.25">
      <c r="A1188">
        <v>632</v>
      </c>
      <c r="B1188" t="s">
        <v>7654</v>
      </c>
      <c r="C1188" t="s">
        <v>7655</v>
      </c>
      <c r="D1188" t="s">
        <v>2257</v>
      </c>
      <c r="F1188">
        <v>2011</v>
      </c>
      <c r="H1188" t="s">
        <v>1878</v>
      </c>
      <c r="I1188">
        <v>2</v>
      </c>
      <c r="K1188" t="s">
        <v>14332</v>
      </c>
      <c r="L1188" s="222">
        <v>9783426508206</v>
      </c>
      <c r="M1188">
        <v>432</v>
      </c>
      <c r="O1188" t="s">
        <v>5621</v>
      </c>
      <c r="P1188">
        <v>384</v>
      </c>
      <c r="Q1188">
        <v>1.1299999999999999</v>
      </c>
    </row>
    <row r="1189" spans="1:17" x14ac:dyDescent="0.25">
      <c r="A1189">
        <v>229</v>
      </c>
      <c r="C1189" t="s">
        <v>7657</v>
      </c>
      <c r="D1189" t="s">
        <v>1912</v>
      </c>
      <c r="H1189" t="s">
        <v>1878</v>
      </c>
      <c r="I1189">
        <v>3</v>
      </c>
      <c r="K1189" t="s">
        <v>14332</v>
      </c>
      <c r="L1189" s="222">
        <v>9783442079049</v>
      </c>
      <c r="M1189">
        <v>512</v>
      </c>
      <c r="O1189" t="s">
        <v>5622</v>
      </c>
      <c r="P1189">
        <v>285</v>
      </c>
      <c r="Q1189">
        <v>2.2999999999999998</v>
      </c>
    </row>
    <row r="1190" spans="1:17" x14ac:dyDescent="0.25">
      <c r="A1190">
        <v>1326</v>
      </c>
      <c r="B1190" t="s">
        <v>6167</v>
      </c>
      <c r="C1190" t="s">
        <v>6168</v>
      </c>
      <c r="D1190" t="s">
        <v>2644</v>
      </c>
      <c r="F1190">
        <v>1994</v>
      </c>
      <c r="H1190" t="s">
        <v>1878</v>
      </c>
      <c r="I1190">
        <v>2</v>
      </c>
      <c r="K1190" t="s">
        <v>14332</v>
      </c>
      <c r="L1190" s="222">
        <v>9783257226645</v>
      </c>
      <c r="M1190">
        <v>136</v>
      </c>
      <c r="O1190" t="s">
        <v>5623</v>
      </c>
      <c r="P1190">
        <v>204</v>
      </c>
      <c r="Q1190">
        <v>0.65</v>
      </c>
    </row>
    <row r="1191" spans="1:17" x14ac:dyDescent="0.25">
      <c r="A1191">
        <v>624</v>
      </c>
      <c r="B1191" t="s">
        <v>7660</v>
      </c>
      <c r="C1191" t="s">
        <v>7661</v>
      </c>
      <c r="D1191" t="s">
        <v>7662</v>
      </c>
      <c r="E1191" t="s">
        <v>2518</v>
      </c>
      <c r="F1191">
        <v>1994</v>
      </c>
      <c r="H1191" t="s">
        <v>1878</v>
      </c>
      <c r="I1191">
        <v>3</v>
      </c>
      <c r="K1191" t="s">
        <v>14332</v>
      </c>
      <c r="L1191" s="222">
        <v>9783922028185</v>
      </c>
      <c r="M1191">
        <v>96</v>
      </c>
      <c r="O1191" t="s">
        <v>5624</v>
      </c>
      <c r="P1191">
        <v>142</v>
      </c>
      <c r="Q1191">
        <v>1.06</v>
      </c>
    </row>
    <row r="1192" spans="1:17" x14ac:dyDescent="0.25">
      <c r="A1192">
        <v>1396</v>
      </c>
      <c r="B1192" t="s">
        <v>7664</v>
      </c>
      <c r="C1192" t="s">
        <v>7665</v>
      </c>
      <c r="D1192" t="s">
        <v>1912</v>
      </c>
      <c r="E1192" t="s">
        <v>2922</v>
      </c>
      <c r="F1192">
        <v>2000</v>
      </c>
      <c r="H1192" t="s">
        <v>1878</v>
      </c>
      <c r="I1192">
        <v>2</v>
      </c>
      <c r="K1192" t="s">
        <v>14332</v>
      </c>
      <c r="L1192" s="222">
        <v>9783442150847</v>
      </c>
      <c r="M1192">
        <v>544</v>
      </c>
      <c r="O1192" t="s">
        <v>5625</v>
      </c>
      <c r="P1192">
        <v>516</v>
      </c>
      <c r="Q1192">
        <v>0.65</v>
      </c>
    </row>
    <row r="1193" spans="1:17" x14ac:dyDescent="0.25">
      <c r="A1193">
        <v>2522</v>
      </c>
      <c r="B1193" t="s">
        <v>4038</v>
      </c>
      <c r="C1193" t="s">
        <v>4234</v>
      </c>
      <c r="D1193" t="s">
        <v>2300</v>
      </c>
      <c r="E1193" t="s">
        <v>1921</v>
      </c>
      <c r="F1193">
        <v>2005</v>
      </c>
      <c r="H1193" t="s">
        <v>1878</v>
      </c>
      <c r="I1193">
        <v>3</v>
      </c>
      <c r="K1193" t="s">
        <v>14332</v>
      </c>
      <c r="L1193" s="222">
        <v>9783499242083</v>
      </c>
      <c r="M1193">
        <v>560</v>
      </c>
      <c r="O1193" t="s">
        <v>5627</v>
      </c>
      <c r="P1193">
        <v>624</v>
      </c>
      <c r="Q1193">
        <v>0.65</v>
      </c>
    </row>
    <row r="1194" spans="1:17" x14ac:dyDescent="0.25">
      <c r="A1194">
        <v>655</v>
      </c>
      <c r="B1194" t="s">
        <v>7133</v>
      </c>
      <c r="C1194" t="s">
        <v>7669</v>
      </c>
      <c r="D1194" t="s">
        <v>2209</v>
      </c>
      <c r="E1194" t="s">
        <v>1899</v>
      </c>
      <c r="F1194">
        <v>2004</v>
      </c>
      <c r="H1194" t="s">
        <v>2734</v>
      </c>
      <c r="I1194">
        <v>1</v>
      </c>
      <c r="K1194" t="s">
        <v>14332</v>
      </c>
      <c r="L1194" s="222">
        <v>9783899101904</v>
      </c>
      <c r="M1194">
        <v>82</v>
      </c>
      <c r="O1194" t="s">
        <v>5628</v>
      </c>
      <c r="P1194">
        <v>476</v>
      </c>
      <c r="Q1194">
        <v>10.96</v>
      </c>
    </row>
    <row r="1195" spans="1:17" x14ac:dyDescent="0.25">
      <c r="A1195">
        <v>758</v>
      </c>
      <c r="B1195" t="s">
        <v>7671</v>
      </c>
      <c r="C1195" t="s">
        <v>7672</v>
      </c>
      <c r="D1195" t="s">
        <v>2050</v>
      </c>
      <c r="F1195">
        <v>1995</v>
      </c>
      <c r="H1195" t="s">
        <v>2734</v>
      </c>
      <c r="I1195">
        <v>2</v>
      </c>
      <c r="K1195" t="s">
        <v>14332</v>
      </c>
      <c r="L1195" s="222">
        <v>9783809401070</v>
      </c>
      <c r="M1195">
        <v>302</v>
      </c>
      <c r="O1195" t="s">
        <v>5629</v>
      </c>
      <c r="P1195">
        <v>621</v>
      </c>
      <c r="Q1195">
        <v>0.65</v>
      </c>
    </row>
    <row r="1196" spans="1:17" x14ac:dyDescent="0.25">
      <c r="A1196">
        <v>1875</v>
      </c>
      <c r="C1196" t="s">
        <v>7674</v>
      </c>
      <c r="D1196" t="s">
        <v>2676</v>
      </c>
      <c r="E1196" t="s">
        <v>1913</v>
      </c>
      <c r="F1196">
        <v>2002</v>
      </c>
      <c r="H1196" t="s">
        <v>2734</v>
      </c>
      <c r="I1196">
        <v>1</v>
      </c>
      <c r="K1196" t="s">
        <v>14332</v>
      </c>
      <c r="L1196" s="222">
        <v>9783760751436</v>
      </c>
      <c r="O1196" t="s">
        <v>5630</v>
      </c>
      <c r="P1196">
        <v>462</v>
      </c>
      <c r="Q1196">
        <v>1.34</v>
      </c>
    </row>
    <row r="1197" spans="1:17" x14ac:dyDescent="0.25">
      <c r="A1197">
        <v>765</v>
      </c>
      <c r="B1197" t="s">
        <v>7676</v>
      </c>
      <c r="C1197" t="s">
        <v>7677</v>
      </c>
      <c r="D1197" t="s">
        <v>7678</v>
      </c>
      <c r="F1197">
        <v>2001</v>
      </c>
      <c r="H1197" t="s">
        <v>1878</v>
      </c>
      <c r="I1197">
        <v>2</v>
      </c>
      <c r="K1197" t="s">
        <v>14332</v>
      </c>
      <c r="L1197" s="222">
        <v>9788023868043</v>
      </c>
      <c r="M1197">
        <v>136</v>
      </c>
      <c r="O1197" t="s">
        <v>5631</v>
      </c>
      <c r="P1197">
        <v>182</v>
      </c>
      <c r="Q1197">
        <v>10.96</v>
      </c>
    </row>
    <row r="1198" spans="1:17" x14ac:dyDescent="0.25">
      <c r="A1198">
        <v>852</v>
      </c>
      <c r="B1198" t="s">
        <v>7680</v>
      </c>
      <c r="C1198" t="s">
        <v>7681</v>
      </c>
      <c r="D1198" t="s">
        <v>1988</v>
      </c>
      <c r="E1198" t="s">
        <v>2175</v>
      </c>
      <c r="F1198">
        <v>2011</v>
      </c>
      <c r="H1198" t="s">
        <v>1878</v>
      </c>
      <c r="I1198">
        <v>2</v>
      </c>
      <c r="K1198" t="s">
        <v>14332</v>
      </c>
      <c r="L1198" s="222">
        <v>9783423345767</v>
      </c>
      <c r="M1198">
        <v>272</v>
      </c>
      <c r="O1198" t="s">
        <v>5632</v>
      </c>
      <c r="P1198">
        <v>290</v>
      </c>
      <c r="Q1198">
        <v>0.65</v>
      </c>
    </row>
    <row r="1199" spans="1:17" x14ac:dyDescent="0.25">
      <c r="A1199">
        <v>690</v>
      </c>
      <c r="B1199" t="s">
        <v>7686</v>
      </c>
      <c r="C1199" t="s">
        <v>7687</v>
      </c>
      <c r="D1199" t="s">
        <v>7688</v>
      </c>
      <c r="F1199">
        <v>1990</v>
      </c>
      <c r="H1199" t="s">
        <v>1878</v>
      </c>
      <c r="I1199">
        <v>2</v>
      </c>
      <c r="K1199" t="s">
        <v>14332</v>
      </c>
      <c r="L1199" s="222">
        <v>9783407787453</v>
      </c>
      <c r="M1199">
        <v>176</v>
      </c>
      <c r="O1199" t="s">
        <v>5634</v>
      </c>
      <c r="P1199">
        <v>202</v>
      </c>
      <c r="Q1199">
        <v>0.8</v>
      </c>
    </row>
    <row r="1200" spans="1:17" x14ac:dyDescent="0.25">
      <c r="A1200">
        <v>765</v>
      </c>
      <c r="B1200" t="s">
        <v>7690</v>
      </c>
      <c r="C1200" t="s">
        <v>14484</v>
      </c>
      <c r="D1200" t="s">
        <v>1912</v>
      </c>
      <c r="F1200">
        <v>2000</v>
      </c>
      <c r="H1200" t="s">
        <v>1878</v>
      </c>
      <c r="I1200">
        <v>3</v>
      </c>
      <c r="K1200" t="s">
        <v>14332</v>
      </c>
      <c r="L1200" s="222">
        <v>9783442161393</v>
      </c>
      <c r="M1200">
        <v>448</v>
      </c>
      <c r="O1200" t="s">
        <v>5635</v>
      </c>
      <c r="P1200">
        <v>431</v>
      </c>
      <c r="Q1200">
        <v>1.24</v>
      </c>
    </row>
    <row r="1201" spans="1:17" x14ac:dyDescent="0.25">
      <c r="A1201">
        <v>2522</v>
      </c>
      <c r="B1201" t="s">
        <v>7693</v>
      </c>
      <c r="C1201" t="s">
        <v>7694</v>
      </c>
      <c r="D1201" t="s">
        <v>2933</v>
      </c>
      <c r="F1201">
        <v>2012</v>
      </c>
      <c r="H1201" t="s">
        <v>1878</v>
      </c>
      <c r="I1201">
        <v>2</v>
      </c>
      <c r="K1201" t="s">
        <v>14332</v>
      </c>
      <c r="L1201" s="222">
        <v>9783861908135</v>
      </c>
      <c r="M1201">
        <v>320</v>
      </c>
      <c r="O1201" t="s">
        <v>5636</v>
      </c>
      <c r="P1201">
        <v>283</v>
      </c>
      <c r="Q1201">
        <v>2.4</v>
      </c>
    </row>
    <row r="1202" spans="1:17" x14ac:dyDescent="0.25">
      <c r="A1202">
        <v>2522</v>
      </c>
      <c r="B1202" t="s">
        <v>7696</v>
      </c>
      <c r="C1202" t="s">
        <v>7697</v>
      </c>
      <c r="D1202" t="s">
        <v>7698</v>
      </c>
      <c r="F1202">
        <v>2009</v>
      </c>
      <c r="H1202" t="s">
        <v>1878</v>
      </c>
      <c r="I1202">
        <v>2</v>
      </c>
      <c r="K1202" t="s">
        <v>14332</v>
      </c>
      <c r="M1202">
        <v>304</v>
      </c>
      <c r="O1202" t="s">
        <v>5637</v>
      </c>
      <c r="P1202">
        <v>273</v>
      </c>
      <c r="Q1202">
        <v>0.65</v>
      </c>
    </row>
    <row r="1203" spans="1:17" x14ac:dyDescent="0.25">
      <c r="A1203">
        <v>852</v>
      </c>
      <c r="B1203" t="s">
        <v>7699</v>
      </c>
      <c r="C1203" t="s">
        <v>7700</v>
      </c>
      <c r="D1203" t="s">
        <v>1920</v>
      </c>
      <c r="F1203">
        <v>2011</v>
      </c>
      <c r="H1203" t="s">
        <v>1878</v>
      </c>
      <c r="I1203">
        <v>2</v>
      </c>
      <c r="K1203" t="s">
        <v>14332</v>
      </c>
      <c r="L1203" s="222">
        <v>9783404606696</v>
      </c>
      <c r="M1203">
        <v>208</v>
      </c>
      <c r="O1203" t="s">
        <v>5638</v>
      </c>
      <c r="P1203">
        <v>277</v>
      </c>
      <c r="Q1203">
        <v>0.65</v>
      </c>
    </row>
    <row r="1204" spans="1:17" x14ac:dyDescent="0.25">
      <c r="A1204">
        <v>2576</v>
      </c>
      <c r="B1204" t="s">
        <v>7702</v>
      </c>
      <c r="C1204" t="s">
        <v>7703</v>
      </c>
      <c r="D1204" t="s">
        <v>1912</v>
      </c>
      <c r="E1204" t="s">
        <v>1899</v>
      </c>
      <c r="F1204">
        <v>2006</v>
      </c>
      <c r="H1204" t="s">
        <v>1878</v>
      </c>
      <c r="I1204">
        <v>2</v>
      </c>
      <c r="J1204" t="s">
        <v>3854</v>
      </c>
      <c r="K1204" t="s">
        <v>14332</v>
      </c>
      <c r="L1204" s="222">
        <v>9783442459995</v>
      </c>
      <c r="M1204">
        <v>608</v>
      </c>
      <c r="O1204" t="s">
        <v>5639</v>
      </c>
      <c r="P1204">
        <v>469</v>
      </c>
      <c r="Q1204">
        <v>5.61</v>
      </c>
    </row>
    <row r="1205" spans="1:17" x14ac:dyDescent="0.25">
      <c r="A1205">
        <v>2789</v>
      </c>
      <c r="B1205" t="s">
        <v>7708</v>
      </c>
      <c r="C1205" t="s">
        <v>7709</v>
      </c>
      <c r="D1205" t="s">
        <v>7710</v>
      </c>
      <c r="H1205" t="s">
        <v>2734</v>
      </c>
      <c r="I1205">
        <v>2</v>
      </c>
      <c r="K1205" t="s">
        <v>14332</v>
      </c>
      <c r="L1205" s="222">
        <v>9783888511202</v>
      </c>
      <c r="M1205">
        <v>242</v>
      </c>
      <c r="O1205" t="s">
        <v>5641</v>
      </c>
      <c r="P1205">
        <v>270</v>
      </c>
      <c r="Q1205">
        <v>2.81</v>
      </c>
    </row>
    <row r="1206" spans="1:17" x14ac:dyDescent="0.25">
      <c r="A1206">
        <v>852</v>
      </c>
      <c r="B1206" t="s">
        <v>7712</v>
      </c>
      <c r="C1206" t="s">
        <v>7713</v>
      </c>
      <c r="D1206" t="s">
        <v>7714</v>
      </c>
      <c r="E1206" t="s">
        <v>1913</v>
      </c>
      <c r="F1206">
        <v>2007</v>
      </c>
      <c r="H1206" t="s">
        <v>1878</v>
      </c>
      <c r="I1206">
        <v>2</v>
      </c>
      <c r="K1206" t="s">
        <v>14332</v>
      </c>
      <c r="L1206" s="222">
        <v>9783896266767</v>
      </c>
      <c r="M1206">
        <v>204</v>
      </c>
      <c r="O1206" t="s">
        <v>5642</v>
      </c>
      <c r="P1206">
        <v>243</v>
      </c>
      <c r="Q1206">
        <v>3.47</v>
      </c>
    </row>
    <row r="1207" spans="1:17" x14ac:dyDescent="0.25">
      <c r="A1207">
        <v>1395</v>
      </c>
      <c r="B1207" t="s">
        <v>7716</v>
      </c>
      <c r="C1207" t="s">
        <v>7717</v>
      </c>
      <c r="D1207" t="s">
        <v>7718</v>
      </c>
      <c r="E1207" t="s">
        <v>1913</v>
      </c>
      <c r="F1207">
        <v>1999</v>
      </c>
      <c r="H1207" t="s">
        <v>2734</v>
      </c>
      <c r="I1207">
        <v>1</v>
      </c>
      <c r="K1207" t="s">
        <v>14332</v>
      </c>
      <c r="M1207">
        <v>272</v>
      </c>
      <c r="O1207" t="s">
        <v>5643</v>
      </c>
      <c r="P1207">
        <v>435</v>
      </c>
      <c r="Q1207">
        <v>1.01</v>
      </c>
    </row>
    <row r="1208" spans="1:17" x14ac:dyDescent="0.25">
      <c r="A1208">
        <v>1320</v>
      </c>
      <c r="B1208" t="s">
        <v>7133</v>
      </c>
      <c r="C1208" t="s">
        <v>7719</v>
      </c>
      <c r="D1208" t="s">
        <v>2209</v>
      </c>
      <c r="E1208" t="s">
        <v>1877</v>
      </c>
      <c r="F1208">
        <v>2003</v>
      </c>
      <c r="H1208" t="s">
        <v>2734</v>
      </c>
      <c r="I1208">
        <v>2</v>
      </c>
      <c r="K1208" t="s">
        <v>14332</v>
      </c>
      <c r="L1208" s="222">
        <v>9783899102079</v>
      </c>
      <c r="O1208" t="s">
        <v>5644</v>
      </c>
      <c r="P1208">
        <v>399</v>
      </c>
      <c r="Q1208">
        <v>1.76</v>
      </c>
    </row>
    <row r="1209" spans="1:17" x14ac:dyDescent="0.25">
      <c r="A1209">
        <v>852</v>
      </c>
      <c r="B1209" t="s">
        <v>7721</v>
      </c>
      <c r="C1209" t="s">
        <v>7722</v>
      </c>
      <c r="D1209" t="s">
        <v>2309</v>
      </c>
      <c r="F1209">
        <v>2006</v>
      </c>
      <c r="H1209" t="s">
        <v>2734</v>
      </c>
      <c r="I1209">
        <v>2</v>
      </c>
      <c r="K1209" t="s">
        <v>14332</v>
      </c>
      <c r="L1209" s="222">
        <v>9783550078910</v>
      </c>
      <c r="M1209">
        <v>290</v>
      </c>
      <c r="O1209" t="s">
        <v>5645</v>
      </c>
      <c r="P1209">
        <v>486</v>
      </c>
      <c r="Q1209">
        <v>3.37</v>
      </c>
    </row>
    <row r="1210" spans="1:17" x14ac:dyDescent="0.25">
      <c r="A1210">
        <v>2706</v>
      </c>
      <c r="C1210" t="s">
        <v>7724</v>
      </c>
      <c r="D1210" t="s">
        <v>2077</v>
      </c>
      <c r="F1210">
        <v>2007</v>
      </c>
      <c r="H1210" t="s">
        <v>2734</v>
      </c>
      <c r="I1210">
        <v>2</v>
      </c>
      <c r="K1210" t="s">
        <v>14332</v>
      </c>
      <c r="L1210" s="222">
        <v>9783802516894</v>
      </c>
      <c r="M1210">
        <v>144</v>
      </c>
      <c r="O1210" t="s">
        <v>5646</v>
      </c>
      <c r="P1210">
        <v>406</v>
      </c>
      <c r="Q1210">
        <v>0.65</v>
      </c>
    </row>
    <row r="1211" spans="1:17" x14ac:dyDescent="0.25">
      <c r="A1211">
        <v>704</v>
      </c>
      <c r="B1211" t="s">
        <v>3715</v>
      </c>
      <c r="C1211" t="s">
        <v>7726</v>
      </c>
      <c r="D1211" t="s">
        <v>2309</v>
      </c>
      <c r="E1211" t="s">
        <v>4259</v>
      </c>
      <c r="F1211">
        <v>2002</v>
      </c>
      <c r="H1211" t="s">
        <v>1878</v>
      </c>
      <c r="I1211">
        <v>2</v>
      </c>
      <c r="K1211" t="s">
        <v>14332</v>
      </c>
      <c r="L1211" s="222">
        <v>9783548359694</v>
      </c>
      <c r="M1211">
        <v>400</v>
      </c>
      <c r="O1211" t="s">
        <v>5647</v>
      </c>
      <c r="P1211">
        <v>253</v>
      </c>
      <c r="Q1211">
        <v>0.65</v>
      </c>
    </row>
    <row r="1212" spans="1:17" x14ac:dyDescent="0.25">
      <c r="A1212">
        <v>1818</v>
      </c>
      <c r="B1212" t="s">
        <v>7728</v>
      </c>
      <c r="C1212" t="s">
        <v>7729</v>
      </c>
      <c r="D1212" t="s">
        <v>6456</v>
      </c>
      <c r="F1212">
        <v>2011</v>
      </c>
      <c r="H1212" t="s">
        <v>1878</v>
      </c>
      <c r="I1212">
        <v>2</v>
      </c>
      <c r="K1212" t="s">
        <v>14332</v>
      </c>
      <c r="L1212" s="222">
        <v>9783862650651</v>
      </c>
      <c r="M1212">
        <v>208</v>
      </c>
      <c r="O1212" t="s">
        <v>5648</v>
      </c>
      <c r="P1212">
        <v>242</v>
      </c>
      <c r="Q1212">
        <v>0.8</v>
      </c>
    </row>
    <row r="1213" spans="1:17" x14ac:dyDescent="0.25">
      <c r="A1213">
        <v>665</v>
      </c>
      <c r="B1213" t="s">
        <v>7732</v>
      </c>
      <c r="C1213" t="s">
        <v>7731</v>
      </c>
      <c r="D1213" t="s">
        <v>7733</v>
      </c>
      <c r="E1213" t="s">
        <v>2937</v>
      </c>
      <c r="F1213">
        <v>2011</v>
      </c>
      <c r="H1213" t="s">
        <v>1878</v>
      </c>
      <c r="I1213">
        <v>2</v>
      </c>
      <c r="K1213" t="s">
        <v>14332</v>
      </c>
      <c r="L1213" s="222">
        <v>9783140222785</v>
      </c>
      <c r="M1213">
        <v>244</v>
      </c>
      <c r="O1213" t="s">
        <v>5649</v>
      </c>
      <c r="P1213">
        <v>235</v>
      </c>
      <c r="Q1213">
        <v>0.81</v>
      </c>
    </row>
    <row r="1214" spans="1:17" x14ac:dyDescent="0.25">
      <c r="A1214">
        <v>2522</v>
      </c>
      <c r="B1214" t="s">
        <v>2889</v>
      </c>
      <c r="C1214" t="s">
        <v>7739</v>
      </c>
      <c r="D1214" t="s">
        <v>3077</v>
      </c>
      <c r="E1214" t="s">
        <v>1913</v>
      </c>
      <c r="F1214">
        <v>2010</v>
      </c>
      <c r="H1214" t="s">
        <v>2734</v>
      </c>
      <c r="I1214">
        <v>2</v>
      </c>
      <c r="K1214" t="s">
        <v>14332</v>
      </c>
      <c r="L1214" s="222">
        <v>9783764503086</v>
      </c>
      <c r="M1214">
        <v>514</v>
      </c>
      <c r="O1214" t="s">
        <v>5651</v>
      </c>
      <c r="P1214">
        <v>711</v>
      </c>
      <c r="Q1214">
        <v>1.33</v>
      </c>
    </row>
    <row r="1215" spans="1:17" x14ac:dyDescent="0.25">
      <c r="A1215">
        <v>2522</v>
      </c>
      <c r="B1215" t="s">
        <v>7741</v>
      </c>
      <c r="C1215" t="s">
        <v>7742</v>
      </c>
      <c r="D1215" t="s">
        <v>5005</v>
      </c>
      <c r="F1215">
        <v>1992</v>
      </c>
      <c r="H1215" t="s">
        <v>2734</v>
      </c>
      <c r="I1215">
        <v>2</v>
      </c>
      <c r="K1215" t="s">
        <v>14332</v>
      </c>
      <c r="M1215">
        <v>434</v>
      </c>
      <c r="O1215" t="s">
        <v>5652</v>
      </c>
      <c r="P1215">
        <v>624</v>
      </c>
      <c r="Q1215">
        <v>0.65</v>
      </c>
    </row>
    <row r="1216" spans="1:17" x14ac:dyDescent="0.25">
      <c r="A1216">
        <v>2547</v>
      </c>
      <c r="B1216" t="s">
        <v>7743</v>
      </c>
      <c r="C1216" t="s">
        <v>7744</v>
      </c>
      <c r="D1216" t="s">
        <v>7745</v>
      </c>
      <c r="F1216">
        <v>1984</v>
      </c>
      <c r="H1216" t="s">
        <v>1878</v>
      </c>
      <c r="I1216">
        <v>2</v>
      </c>
      <c r="K1216" t="s">
        <v>14332</v>
      </c>
      <c r="M1216">
        <v>176</v>
      </c>
      <c r="O1216" t="s">
        <v>5653</v>
      </c>
      <c r="P1216">
        <v>112</v>
      </c>
      <c r="Q1216">
        <v>1.1200000000000001</v>
      </c>
    </row>
    <row r="1217" spans="1:17" x14ac:dyDescent="0.25">
      <c r="A1217">
        <v>614</v>
      </c>
      <c r="C1217" t="s">
        <v>7749</v>
      </c>
      <c r="D1217" t="s">
        <v>1912</v>
      </c>
      <c r="E1217" t="s">
        <v>1913</v>
      </c>
      <c r="F1217">
        <v>2011</v>
      </c>
      <c r="H1217" t="s">
        <v>1878</v>
      </c>
      <c r="I1217">
        <v>2</v>
      </c>
      <c r="K1217" t="s">
        <v>14332</v>
      </c>
      <c r="L1217" s="222">
        <v>9783442475971</v>
      </c>
      <c r="M1217">
        <v>240</v>
      </c>
      <c r="O1217" t="s">
        <v>5655</v>
      </c>
      <c r="P1217">
        <v>514</v>
      </c>
      <c r="Q1217">
        <v>1.33</v>
      </c>
    </row>
    <row r="1218" spans="1:17" x14ac:dyDescent="0.25">
      <c r="A1218">
        <v>2514</v>
      </c>
      <c r="B1218" t="s">
        <v>7751</v>
      </c>
      <c r="C1218" t="s">
        <v>7752</v>
      </c>
      <c r="D1218" t="s">
        <v>3524</v>
      </c>
      <c r="E1218" t="s">
        <v>1913</v>
      </c>
      <c r="F1218">
        <v>1994</v>
      </c>
      <c r="H1218" t="s">
        <v>2734</v>
      </c>
      <c r="I1218">
        <v>2</v>
      </c>
      <c r="K1218" t="s">
        <v>14332</v>
      </c>
      <c r="L1218" s="222">
        <v>9783785526255</v>
      </c>
      <c r="M1218">
        <v>244</v>
      </c>
      <c r="O1218" t="s">
        <v>5656</v>
      </c>
      <c r="P1218">
        <v>440</v>
      </c>
      <c r="Q1218">
        <v>1.83</v>
      </c>
    </row>
    <row r="1219" spans="1:17" x14ac:dyDescent="0.25">
      <c r="A1219">
        <v>852</v>
      </c>
      <c r="B1219" t="s">
        <v>7754</v>
      </c>
      <c r="C1219" t="s">
        <v>7755</v>
      </c>
      <c r="D1219" t="s">
        <v>1920</v>
      </c>
      <c r="F1219">
        <v>2017</v>
      </c>
      <c r="H1219" t="s">
        <v>1878</v>
      </c>
      <c r="I1219">
        <v>2</v>
      </c>
      <c r="J1219" t="s">
        <v>3854</v>
      </c>
      <c r="K1219" t="s">
        <v>14332</v>
      </c>
      <c r="L1219" s="222">
        <v>9783785725849</v>
      </c>
      <c r="M1219">
        <v>224</v>
      </c>
      <c r="O1219" t="s">
        <v>5657</v>
      </c>
      <c r="P1219">
        <v>317</v>
      </c>
      <c r="Q1219">
        <v>4.18</v>
      </c>
    </row>
    <row r="1220" spans="1:17" x14ac:dyDescent="0.25">
      <c r="A1220">
        <v>689</v>
      </c>
      <c r="B1220" t="s">
        <v>7702</v>
      </c>
      <c r="C1220" t="s">
        <v>7757</v>
      </c>
      <c r="D1220" t="s">
        <v>2054</v>
      </c>
      <c r="E1220" t="s">
        <v>1877</v>
      </c>
      <c r="F1220">
        <v>2000</v>
      </c>
      <c r="H1220" t="s">
        <v>1878</v>
      </c>
      <c r="I1220">
        <v>2</v>
      </c>
      <c r="K1220" t="s">
        <v>14332</v>
      </c>
      <c r="L1220" s="222">
        <v>9783896045652</v>
      </c>
      <c r="M1220">
        <v>450</v>
      </c>
      <c r="O1220" t="s">
        <v>5658</v>
      </c>
      <c r="P1220">
        <v>518</v>
      </c>
      <c r="Q1220">
        <v>0.8</v>
      </c>
    </row>
    <row r="1221" spans="1:17" x14ac:dyDescent="0.25">
      <c r="A1221">
        <v>689</v>
      </c>
      <c r="B1221" t="s">
        <v>7702</v>
      </c>
      <c r="C1221" t="s">
        <v>7759</v>
      </c>
      <c r="D1221" t="s">
        <v>2054</v>
      </c>
      <c r="F1221">
        <v>2001</v>
      </c>
      <c r="H1221" t="s">
        <v>1878</v>
      </c>
      <c r="I1221">
        <v>2</v>
      </c>
      <c r="K1221" t="s">
        <v>14332</v>
      </c>
      <c r="L1221" s="222">
        <v>9783828904354</v>
      </c>
      <c r="M1221">
        <v>338</v>
      </c>
      <c r="O1221" t="s">
        <v>5659</v>
      </c>
      <c r="P1221">
        <v>387</v>
      </c>
      <c r="Q1221">
        <v>1.33</v>
      </c>
    </row>
    <row r="1222" spans="1:17" x14ac:dyDescent="0.25">
      <c r="A1222">
        <v>631</v>
      </c>
      <c r="B1222" t="s">
        <v>7761</v>
      </c>
      <c r="C1222" t="s">
        <v>7762</v>
      </c>
      <c r="D1222" t="s">
        <v>2309</v>
      </c>
      <c r="E1222" t="s">
        <v>1877</v>
      </c>
      <c r="F1222">
        <v>2009</v>
      </c>
      <c r="H1222" t="s">
        <v>1878</v>
      </c>
      <c r="I1222">
        <v>3</v>
      </c>
      <c r="K1222" t="s">
        <v>14332</v>
      </c>
      <c r="L1222" s="222">
        <v>9783548280400</v>
      </c>
      <c r="M1222">
        <v>224</v>
      </c>
      <c r="O1222" t="s">
        <v>5660</v>
      </c>
      <c r="P1222">
        <v>242</v>
      </c>
      <c r="Q1222">
        <v>0.65</v>
      </c>
    </row>
    <row r="1223" spans="1:17" x14ac:dyDescent="0.25">
      <c r="A1223">
        <v>775</v>
      </c>
      <c r="B1223" t="s">
        <v>7764</v>
      </c>
      <c r="C1223" t="s">
        <v>7765</v>
      </c>
      <c r="D1223" t="s">
        <v>7766</v>
      </c>
      <c r="F1223">
        <v>1999</v>
      </c>
      <c r="H1223" t="s">
        <v>2734</v>
      </c>
      <c r="I1223">
        <v>2</v>
      </c>
      <c r="K1223" t="s">
        <v>14332</v>
      </c>
      <c r="M1223">
        <v>898</v>
      </c>
      <c r="O1223" t="s">
        <v>5661</v>
      </c>
      <c r="P1223">
        <v>1012</v>
      </c>
      <c r="Q1223">
        <v>0.65</v>
      </c>
    </row>
    <row r="1224" spans="1:17" x14ac:dyDescent="0.25">
      <c r="A1224">
        <v>2518</v>
      </c>
      <c r="B1224" t="s">
        <v>7767</v>
      </c>
      <c r="C1224" t="s">
        <v>7768</v>
      </c>
      <c r="D1224" t="s">
        <v>3646</v>
      </c>
      <c r="F1224">
        <v>1999</v>
      </c>
      <c r="H1224" t="s">
        <v>1878</v>
      </c>
      <c r="I1224">
        <v>2</v>
      </c>
      <c r="K1224" t="s">
        <v>14332</v>
      </c>
      <c r="M1224">
        <v>352</v>
      </c>
      <c r="O1224" t="s">
        <v>5662</v>
      </c>
      <c r="P1224">
        <v>317</v>
      </c>
      <c r="Q1224">
        <v>0.76</v>
      </c>
    </row>
    <row r="1225" spans="1:17" x14ac:dyDescent="0.25">
      <c r="A1225">
        <v>632</v>
      </c>
      <c r="B1225" t="s">
        <v>7769</v>
      </c>
      <c r="C1225" t="s">
        <v>7770</v>
      </c>
      <c r="D1225" t="s">
        <v>1920</v>
      </c>
      <c r="F1225">
        <v>2003</v>
      </c>
      <c r="H1225" t="s">
        <v>1878</v>
      </c>
      <c r="I1225">
        <v>2</v>
      </c>
      <c r="K1225" t="s">
        <v>14332</v>
      </c>
      <c r="L1225" s="222">
        <v>9783404149131</v>
      </c>
      <c r="M1225">
        <v>560</v>
      </c>
      <c r="O1225" t="s">
        <v>5663</v>
      </c>
      <c r="P1225">
        <v>467</v>
      </c>
      <c r="Q1225">
        <v>0.65</v>
      </c>
    </row>
    <row r="1226" spans="1:17" x14ac:dyDescent="0.25">
      <c r="A1226">
        <v>1395</v>
      </c>
      <c r="B1226" t="s">
        <v>7772</v>
      </c>
      <c r="C1226" t="s">
        <v>7773</v>
      </c>
      <c r="D1226" t="s">
        <v>2609</v>
      </c>
      <c r="E1226" t="s">
        <v>1877</v>
      </c>
      <c r="F1226">
        <v>2003</v>
      </c>
      <c r="H1226" t="s">
        <v>1878</v>
      </c>
      <c r="I1226">
        <v>2</v>
      </c>
      <c r="K1226" t="s">
        <v>14332</v>
      </c>
      <c r="L1226" s="222">
        <v>9783596156672</v>
      </c>
      <c r="M1226">
        <v>224</v>
      </c>
      <c r="O1226" t="s">
        <v>5664</v>
      </c>
      <c r="P1226">
        <v>194</v>
      </c>
      <c r="Q1226">
        <v>1.44</v>
      </c>
    </row>
    <row r="1227" spans="1:17" x14ac:dyDescent="0.25">
      <c r="A1227">
        <v>2576</v>
      </c>
      <c r="B1227" t="s">
        <v>7702</v>
      </c>
      <c r="C1227" t="s">
        <v>7776</v>
      </c>
      <c r="D1227" t="s">
        <v>2054</v>
      </c>
      <c r="F1227">
        <v>2002</v>
      </c>
      <c r="H1227" t="s">
        <v>1878</v>
      </c>
      <c r="I1227">
        <v>2</v>
      </c>
      <c r="K1227" t="s">
        <v>14332</v>
      </c>
      <c r="L1227" s="222">
        <v>9783828970786</v>
      </c>
      <c r="M1227">
        <v>546</v>
      </c>
      <c r="O1227" t="s">
        <v>5666</v>
      </c>
      <c r="P1227">
        <v>594</v>
      </c>
      <c r="Q1227">
        <v>1.1200000000000001</v>
      </c>
    </row>
    <row r="1228" spans="1:17" x14ac:dyDescent="0.25">
      <c r="A1228">
        <v>655</v>
      </c>
      <c r="B1228" t="s">
        <v>3004</v>
      </c>
      <c r="C1228" t="s">
        <v>7778</v>
      </c>
      <c r="D1228" t="s">
        <v>2300</v>
      </c>
      <c r="E1228" t="s">
        <v>1877</v>
      </c>
      <c r="F1228">
        <v>2009</v>
      </c>
      <c r="H1228" t="s">
        <v>1878</v>
      </c>
      <c r="I1228">
        <v>2</v>
      </c>
      <c r="K1228" t="s">
        <v>14332</v>
      </c>
      <c r="L1228" s="222">
        <v>9783499622526</v>
      </c>
      <c r="M1228">
        <v>304</v>
      </c>
      <c r="O1228" t="s">
        <v>5667</v>
      </c>
      <c r="P1228">
        <v>373</v>
      </c>
      <c r="Q1228">
        <v>0.8</v>
      </c>
    </row>
    <row r="1229" spans="1:17" x14ac:dyDescent="0.25">
      <c r="A1229">
        <v>947</v>
      </c>
      <c r="B1229" t="s">
        <v>7779</v>
      </c>
      <c r="C1229" t="s">
        <v>7780</v>
      </c>
      <c r="D1229" t="s">
        <v>2054</v>
      </c>
      <c r="H1229" t="s">
        <v>2734</v>
      </c>
      <c r="I1229">
        <v>2</v>
      </c>
      <c r="K1229" t="s">
        <v>14332</v>
      </c>
      <c r="L1229" s="222">
        <v>9783893503209</v>
      </c>
      <c r="M1229">
        <v>354</v>
      </c>
      <c r="O1229" t="s">
        <v>5668</v>
      </c>
      <c r="P1229">
        <v>473</v>
      </c>
      <c r="Q1229">
        <v>0.7</v>
      </c>
    </row>
    <row r="1230" spans="1:17" x14ac:dyDescent="0.25">
      <c r="A1230">
        <v>1028</v>
      </c>
      <c r="C1230" t="s">
        <v>7782</v>
      </c>
      <c r="D1230" t="s">
        <v>2117</v>
      </c>
      <c r="E1230" t="s">
        <v>1913</v>
      </c>
      <c r="F1230">
        <v>2013</v>
      </c>
      <c r="H1230" t="s">
        <v>2734</v>
      </c>
      <c r="I1230">
        <v>1</v>
      </c>
      <c r="K1230" t="s">
        <v>14332</v>
      </c>
      <c r="L1230" s="222">
        <v>9783772459146</v>
      </c>
      <c r="M1230">
        <v>66</v>
      </c>
      <c r="O1230" t="s">
        <v>5669</v>
      </c>
      <c r="P1230">
        <v>256</v>
      </c>
      <c r="Q1230">
        <v>3.47</v>
      </c>
    </row>
    <row r="1231" spans="1:17" x14ac:dyDescent="0.25">
      <c r="A1231">
        <v>1355</v>
      </c>
      <c r="B1231" t="s">
        <v>7784</v>
      </c>
      <c r="C1231" t="s">
        <v>7785</v>
      </c>
      <c r="D1231" t="s">
        <v>4626</v>
      </c>
      <c r="E1231" t="s">
        <v>1913</v>
      </c>
      <c r="F1231">
        <v>2015</v>
      </c>
      <c r="H1231" t="s">
        <v>2734</v>
      </c>
      <c r="I1231">
        <v>1</v>
      </c>
      <c r="K1231" t="s">
        <v>14332</v>
      </c>
      <c r="L1231" s="222">
        <v>9783868836820</v>
      </c>
      <c r="M1231">
        <v>98</v>
      </c>
      <c r="O1231" t="s">
        <v>5670</v>
      </c>
      <c r="P1231">
        <v>379</v>
      </c>
      <c r="Q1231">
        <v>2.4</v>
      </c>
    </row>
    <row r="1232" spans="1:17" x14ac:dyDescent="0.25">
      <c r="A1232">
        <v>651</v>
      </c>
      <c r="B1232" t="s">
        <v>7788</v>
      </c>
      <c r="C1232" t="s">
        <v>7789</v>
      </c>
      <c r="D1232" t="s">
        <v>6499</v>
      </c>
      <c r="F1232">
        <v>2015</v>
      </c>
      <c r="H1232" t="s">
        <v>1878</v>
      </c>
      <c r="I1232">
        <v>2</v>
      </c>
      <c r="J1232" t="s">
        <v>3854</v>
      </c>
      <c r="K1232" t="s">
        <v>14332</v>
      </c>
      <c r="L1232" s="222">
        <v>9783838835969</v>
      </c>
      <c r="M1232">
        <v>48</v>
      </c>
      <c r="O1232" t="s">
        <v>5672</v>
      </c>
      <c r="P1232">
        <v>177</v>
      </c>
      <c r="Q1232">
        <v>0.96</v>
      </c>
    </row>
    <row r="1233" spans="1:17" x14ac:dyDescent="0.25">
      <c r="A1233">
        <v>651</v>
      </c>
      <c r="B1233" t="s">
        <v>6478</v>
      </c>
      <c r="C1233" t="s">
        <v>7791</v>
      </c>
      <c r="D1233" t="s">
        <v>2117</v>
      </c>
      <c r="E1233" t="s">
        <v>1913</v>
      </c>
      <c r="F1233">
        <v>2014</v>
      </c>
      <c r="H1233" t="s">
        <v>1878</v>
      </c>
      <c r="I1233">
        <v>1</v>
      </c>
      <c r="K1233" t="s">
        <v>14332</v>
      </c>
      <c r="L1233" s="222">
        <v>9783772441172</v>
      </c>
      <c r="M1233">
        <v>32</v>
      </c>
      <c r="O1233" t="s">
        <v>5673</v>
      </c>
      <c r="P1233">
        <v>188</v>
      </c>
      <c r="Q1233">
        <v>2.31</v>
      </c>
    </row>
    <row r="1234" spans="1:17" x14ac:dyDescent="0.25">
      <c r="A1234">
        <v>1327</v>
      </c>
      <c r="B1234" t="s">
        <v>7796</v>
      </c>
      <c r="C1234" t="s">
        <v>7797</v>
      </c>
      <c r="D1234" t="s">
        <v>7798</v>
      </c>
      <c r="H1234" t="s">
        <v>2734</v>
      </c>
      <c r="I1234">
        <v>1</v>
      </c>
      <c r="K1234" t="s">
        <v>14332</v>
      </c>
      <c r="L1234" s="222">
        <v>9783625209508</v>
      </c>
      <c r="M1234">
        <v>218</v>
      </c>
      <c r="O1234" t="s">
        <v>5675</v>
      </c>
      <c r="P1234">
        <v>353</v>
      </c>
      <c r="Q1234">
        <v>1.18</v>
      </c>
    </row>
    <row r="1235" spans="1:17" x14ac:dyDescent="0.25">
      <c r="A1235">
        <v>704</v>
      </c>
      <c r="B1235" t="s">
        <v>7800</v>
      </c>
      <c r="C1235" t="s">
        <v>7801</v>
      </c>
      <c r="D1235" t="s">
        <v>1876</v>
      </c>
      <c r="E1235" t="s">
        <v>2032</v>
      </c>
      <c r="F1235">
        <v>2012</v>
      </c>
      <c r="H1235" t="s">
        <v>1878</v>
      </c>
      <c r="I1235">
        <v>1</v>
      </c>
      <c r="K1235" t="s">
        <v>14332</v>
      </c>
      <c r="L1235" s="222">
        <v>9783492253994</v>
      </c>
      <c r="M1235">
        <v>256</v>
      </c>
      <c r="O1235" t="s">
        <v>5676</v>
      </c>
      <c r="P1235">
        <v>290</v>
      </c>
      <c r="Q1235">
        <v>1.33</v>
      </c>
    </row>
    <row r="1236" spans="1:17" x14ac:dyDescent="0.25">
      <c r="A1236">
        <v>1327</v>
      </c>
      <c r="B1236" t="s">
        <v>7803</v>
      </c>
      <c r="C1236" t="s">
        <v>7804</v>
      </c>
      <c r="D1236" t="s">
        <v>7718</v>
      </c>
      <c r="F1236">
        <v>1988</v>
      </c>
      <c r="H1236" t="s">
        <v>2734</v>
      </c>
      <c r="I1236">
        <v>2</v>
      </c>
      <c r="K1236" t="s">
        <v>14332</v>
      </c>
      <c r="L1236" s="222">
        <v>9783627100803</v>
      </c>
      <c r="M1236">
        <v>306</v>
      </c>
      <c r="O1236" t="s">
        <v>5677</v>
      </c>
      <c r="P1236">
        <v>449</v>
      </c>
      <c r="Q1236">
        <v>1.01</v>
      </c>
    </row>
    <row r="1237" spans="1:17" x14ac:dyDescent="0.25">
      <c r="A1237">
        <v>1386</v>
      </c>
      <c r="B1237" t="s">
        <v>7806</v>
      </c>
      <c r="C1237" t="s">
        <v>7807</v>
      </c>
      <c r="D1237" t="s">
        <v>5005</v>
      </c>
      <c r="F1237">
        <v>1996</v>
      </c>
      <c r="H1237" t="s">
        <v>2734</v>
      </c>
      <c r="I1237">
        <v>1</v>
      </c>
      <c r="K1237" t="s">
        <v>14332</v>
      </c>
      <c r="M1237">
        <v>354</v>
      </c>
      <c r="O1237" t="s">
        <v>5678</v>
      </c>
      <c r="P1237">
        <v>504</v>
      </c>
      <c r="Q1237">
        <v>0.65</v>
      </c>
    </row>
    <row r="1238" spans="1:17" x14ac:dyDescent="0.25">
      <c r="A1238">
        <v>2514</v>
      </c>
      <c r="B1238" t="s">
        <v>7808</v>
      </c>
      <c r="C1238" t="s">
        <v>7809</v>
      </c>
      <c r="D1238" t="s">
        <v>4669</v>
      </c>
      <c r="H1238" t="s">
        <v>2734</v>
      </c>
      <c r="I1238" s="305">
        <v>43892</v>
      </c>
      <c r="K1238" t="s">
        <v>14332</v>
      </c>
      <c r="L1238" s="222">
        <v>9783850010283</v>
      </c>
      <c r="M1238">
        <v>132</v>
      </c>
      <c r="O1238" t="s">
        <v>5679</v>
      </c>
      <c r="P1238">
        <v>273</v>
      </c>
      <c r="Q1238">
        <v>1.56</v>
      </c>
    </row>
    <row r="1239" spans="1:17" x14ac:dyDescent="0.25">
      <c r="A1239">
        <v>2514</v>
      </c>
      <c r="B1239" t="s">
        <v>7808</v>
      </c>
      <c r="C1239" t="s">
        <v>7810</v>
      </c>
      <c r="D1239" t="s">
        <v>4669</v>
      </c>
      <c r="H1239" t="s">
        <v>2734</v>
      </c>
      <c r="I1239" s="305">
        <v>43892</v>
      </c>
      <c r="K1239" t="s">
        <v>14332</v>
      </c>
      <c r="L1239" s="222">
        <v>9783850010320</v>
      </c>
      <c r="M1239">
        <v>134</v>
      </c>
      <c r="O1239" t="s">
        <v>5680</v>
      </c>
      <c r="P1239">
        <v>268</v>
      </c>
      <c r="Q1239">
        <v>3.05</v>
      </c>
    </row>
    <row r="1240" spans="1:17" x14ac:dyDescent="0.25">
      <c r="A1240">
        <v>2894</v>
      </c>
      <c r="C1240" t="s">
        <v>7813</v>
      </c>
      <c r="D1240" t="s">
        <v>7280</v>
      </c>
      <c r="E1240" t="s">
        <v>1877</v>
      </c>
      <c r="F1240">
        <v>2013</v>
      </c>
      <c r="H1240" t="s">
        <v>1878</v>
      </c>
      <c r="I1240">
        <v>1</v>
      </c>
      <c r="K1240" t="s">
        <v>14332</v>
      </c>
      <c r="L1240" s="222">
        <v>9783944778150</v>
      </c>
      <c r="M1240">
        <v>30</v>
      </c>
      <c r="O1240" t="s">
        <v>5681</v>
      </c>
      <c r="P1240">
        <v>54</v>
      </c>
      <c r="Q1240">
        <v>0.65</v>
      </c>
    </row>
    <row r="1241" spans="1:17" x14ac:dyDescent="0.25">
      <c r="A1241">
        <v>1221</v>
      </c>
      <c r="B1241" t="s">
        <v>7815</v>
      </c>
      <c r="C1241" t="s">
        <v>7816</v>
      </c>
      <c r="D1241" t="s">
        <v>2300</v>
      </c>
      <c r="E1241" t="s">
        <v>1913</v>
      </c>
      <c r="F1241">
        <v>2002</v>
      </c>
      <c r="H1241" t="s">
        <v>2734</v>
      </c>
      <c r="I1241" s="305">
        <v>43862</v>
      </c>
      <c r="K1241" t="s">
        <v>14332</v>
      </c>
      <c r="L1241" s="222">
        <v>9783871344077</v>
      </c>
      <c r="M1241">
        <v>146</v>
      </c>
      <c r="O1241" t="s">
        <v>5682</v>
      </c>
      <c r="P1241">
        <v>349</v>
      </c>
      <c r="Q1241">
        <v>1.56</v>
      </c>
    </row>
    <row r="1242" spans="1:17" x14ac:dyDescent="0.25">
      <c r="A1242">
        <v>739</v>
      </c>
      <c r="B1242" t="s">
        <v>7820</v>
      </c>
      <c r="C1242" t="s">
        <v>7819</v>
      </c>
      <c r="D1242" t="s">
        <v>7821</v>
      </c>
      <c r="E1242" t="s">
        <v>2175</v>
      </c>
      <c r="F1242">
        <v>1986</v>
      </c>
      <c r="H1242" t="s">
        <v>1878</v>
      </c>
      <c r="I1242">
        <v>2</v>
      </c>
      <c r="K1242" t="s">
        <v>14332</v>
      </c>
      <c r="M1242">
        <v>136</v>
      </c>
      <c r="O1242" t="s">
        <v>5683</v>
      </c>
      <c r="P1242">
        <v>174</v>
      </c>
      <c r="Q1242">
        <v>0.65</v>
      </c>
    </row>
    <row r="1243" spans="1:17" x14ac:dyDescent="0.25">
      <c r="A1243">
        <v>2547</v>
      </c>
      <c r="B1243" t="s">
        <v>2456</v>
      </c>
      <c r="C1243" t="s">
        <v>7822</v>
      </c>
      <c r="D1243" t="s">
        <v>5005</v>
      </c>
      <c r="F1243">
        <v>2003</v>
      </c>
      <c r="H1243" t="s">
        <v>2734</v>
      </c>
      <c r="I1243">
        <v>2</v>
      </c>
      <c r="K1243" t="s">
        <v>14332</v>
      </c>
      <c r="M1243">
        <v>610</v>
      </c>
      <c r="O1243" t="s">
        <v>5684</v>
      </c>
      <c r="P1243">
        <v>715</v>
      </c>
      <c r="Q1243">
        <v>0.65</v>
      </c>
    </row>
    <row r="1244" spans="1:17" x14ac:dyDescent="0.25">
      <c r="A1244">
        <v>1386</v>
      </c>
      <c r="B1244" t="s">
        <v>7823</v>
      </c>
      <c r="C1244" t="s">
        <v>7824</v>
      </c>
      <c r="D1244" t="s">
        <v>2850</v>
      </c>
      <c r="F1244">
        <v>2011</v>
      </c>
      <c r="H1244" t="s">
        <v>2734</v>
      </c>
      <c r="I1244">
        <v>2</v>
      </c>
      <c r="J1244" t="s">
        <v>3854</v>
      </c>
      <c r="K1244" t="s">
        <v>14332</v>
      </c>
      <c r="L1244" s="222">
        <v>9783426198766</v>
      </c>
      <c r="M1244">
        <v>466</v>
      </c>
      <c r="O1244" t="s">
        <v>5685</v>
      </c>
      <c r="P1244">
        <v>676</v>
      </c>
      <c r="Q1244">
        <v>1.33</v>
      </c>
    </row>
    <row r="1245" spans="1:17" x14ac:dyDescent="0.25">
      <c r="A1245">
        <v>2522</v>
      </c>
      <c r="B1245" t="s">
        <v>7826</v>
      </c>
      <c r="C1245" t="s">
        <v>7827</v>
      </c>
      <c r="D1245" t="s">
        <v>1912</v>
      </c>
      <c r="E1245" t="s">
        <v>1877</v>
      </c>
      <c r="F1245">
        <v>2014</v>
      </c>
      <c r="H1245" t="s">
        <v>1878</v>
      </c>
      <c r="I1245">
        <v>2</v>
      </c>
      <c r="J1245" t="s">
        <v>3854</v>
      </c>
      <c r="K1245" t="s">
        <v>14332</v>
      </c>
      <c r="L1245" s="222">
        <v>9783442479658</v>
      </c>
      <c r="M1245">
        <v>448</v>
      </c>
      <c r="O1245" t="s">
        <v>5686</v>
      </c>
      <c r="P1245">
        <v>360</v>
      </c>
      <c r="Q1245">
        <v>0.69</v>
      </c>
    </row>
    <row r="1246" spans="1:17" x14ac:dyDescent="0.25">
      <c r="A1246">
        <v>2522</v>
      </c>
      <c r="B1246" t="s">
        <v>7829</v>
      </c>
      <c r="C1246" t="s">
        <v>7830</v>
      </c>
      <c r="D1246" t="s">
        <v>2850</v>
      </c>
      <c r="F1246">
        <v>2010</v>
      </c>
      <c r="H1246" t="s">
        <v>2734</v>
      </c>
      <c r="I1246">
        <v>1</v>
      </c>
      <c r="K1246" t="s">
        <v>14332</v>
      </c>
      <c r="L1246" s="222">
        <v>9783426197684</v>
      </c>
      <c r="M1246">
        <v>402</v>
      </c>
      <c r="O1246" t="s">
        <v>5687</v>
      </c>
      <c r="P1246">
        <v>649</v>
      </c>
      <c r="Q1246">
        <v>1.87</v>
      </c>
    </row>
    <row r="1247" spans="1:17" x14ac:dyDescent="0.25">
      <c r="A1247">
        <v>632</v>
      </c>
      <c r="B1247" t="s">
        <v>3832</v>
      </c>
      <c r="C1247" t="s">
        <v>7832</v>
      </c>
      <c r="D1247" t="s">
        <v>2386</v>
      </c>
      <c r="F1247">
        <v>2002</v>
      </c>
      <c r="H1247" t="s">
        <v>2734</v>
      </c>
      <c r="I1247">
        <v>2</v>
      </c>
      <c r="K1247" t="s">
        <v>14332</v>
      </c>
      <c r="L1247" s="222">
        <v>9783785720905</v>
      </c>
      <c r="M1247">
        <v>546</v>
      </c>
      <c r="O1247" t="s">
        <v>5688</v>
      </c>
      <c r="P1247">
        <v>750</v>
      </c>
      <c r="Q1247">
        <v>0.65</v>
      </c>
    </row>
    <row r="1248" spans="1:17" x14ac:dyDescent="0.25">
      <c r="A1248">
        <v>692</v>
      </c>
      <c r="B1248" t="s">
        <v>7834</v>
      </c>
      <c r="C1248" t="s">
        <v>7835</v>
      </c>
      <c r="D1248" t="s">
        <v>5766</v>
      </c>
      <c r="F1248">
        <v>2004</v>
      </c>
      <c r="H1248" t="s">
        <v>2734</v>
      </c>
      <c r="I1248">
        <v>2</v>
      </c>
      <c r="K1248" t="s">
        <v>14332</v>
      </c>
      <c r="L1248" s="222">
        <v>9783608933307</v>
      </c>
      <c r="M1248">
        <v>162</v>
      </c>
      <c r="O1248" t="s">
        <v>5689</v>
      </c>
      <c r="P1248">
        <v>284</v>
      </c>
      <c r="Q1248">
        <v>2.2999999999999998</v>
      </c>
    </row>
    <row r="1249" spans="1:17" x14ac:dyDescent="0.25">
      <c r="A1249">
        <v>1395</v>
      </c>
      <c r="B1249" t="s">
        <v>7840</v>
      </c>
      <c r="C1249" t="s">
        <v>7841</v>
      </c>
      <c r="D1249" t="s">
        <v>3895</v>
      </c>
      <c r="F1249">
        <v>2002</v>
      </c>
      <c r="H1249" t="s">
        <v>1878</v>
      </c>
      <c r="I1249">
        <v>2</v>
      </c>
      <c r="K1249" t="s">
        <v>14332</v>
      </c>
      <c r="L1249" s="222">
        <v>9783899415162</v>
      </c>
      <c r="M1249">
        <v>480</v>
      </c>
      <c r="O1249" t="s">
        <v>5691</v>
      </c>
      <c r="P1249">
        <v>408</v>
      </c>
      <c r="Q1249">
        <v>0.76</v>
      </c>
    </row>
    <row r="1250" spans="1:17" x14ac:dyDescent="0.25">
      <c r="A1250">
        <v>632</v>
      </c>
      <c r="B1250" t="s">
        <v>2467</v>
      </c>
      <c r="C1250" t="s">
        <v>7843</v>
      </c>
      <c r="D1250" t="s">
        <v>2257</v>
      </c>
      <c r="F1250">
        <v>2004</v>
      </c>
      <c r="H1250" t="s">
        <v>1878</v>
      </c>
      <c r="I1250">
        <v>3</v>
      </c>
      <c r="K1250" t="s">
        <v>14332</v>
      </c>
      <c r="L1250" s="222">
        <v>9783426626610</v>
      </c>
      <c r="M1250">
        <v>608</v>
      </c>
      <c r="O1250" t="s">
        <v>5692</v>
      </c>
      <c r="P1250">
        <v>456</v>
      </c>
      <c r="Q1250">
        <v>0.65</v>
      </c>
    </row>
    <row r="1251" spans="1:17" x14ac:dyDescent="0.25">
      <c r="A1251">
        <v>632</v>
      </c>
      <c r="B1251" t="s">
        <v>7845</v>
      </c>
      <c r="C1251" t="s">
        <v>7846</v>
      </c>
      <c r="D1251" t="s">
        <v>7847</v>
      </c>
      <c r="E1251" t="s">
        <v>2937</v>
      </c>
      <c r="F1251">
        <v>1999</v>
      </c>
      <c r="H1251" t="s">
        <v>2734</v>
      </c>
      <c r="I1251">
        <v>2</v>
      </c>
      <c r="K1251" t="s">
        <v>14332</v>
      </c>
      <c r="L1251" s="222">
        <v>9789631347739</v>
      </c>
      <c r="M1251">
        <v>642</v>
      </c>
      <c r="O1251" t="s">
        <v>5693</v>
      </c>
      <c r="P1251">
        <v>700</v>
      </c>
      <c r="Q1251">
        <v>10.96</v>
      </c>
    </row>
    <row r="1252" spans="1:17" x14ac:dyDescent="0.25">
      <c r="A1252">
        <v>1386</v>
      </c>
      <c r="B1252" t="s">
        <v>7855</v>
      </c>
      <c r="C1252" t="s">
        <v>7856</v>
      </c>
      <c r="D1252" t="s">
        <v>2209</v>
      </c>
      <c r="F1252">
        <v>2008</v>
      </c>
      <c r="H1252" t="s">
        <v>1878</v>
      </c>
      <c r="I1252">
        <v>3</v>
      </c>
      <c r="J1252" t="s">
        <v>7858</v>
      </c>
      <c r="K1252" t="s">
        <v>14332</v>
      </c>
      <c r="L1252" s="222">
        <v>9783453405578</v>
      </c>
      <c r="M1252">
        <v>416</v>
      </c>
      <c r="O1252" t="s">
        <v>6557</v>
      </c>
      <c r="P1252">
        <v>337</v>
      </c>
      <c r="Q1252">
        <v>0.65</v>
      </c>
    </row>
    <row r="1253" spans="1:17" x14ac:dyDescent="0.25">
      <c r="A1253">
        <v>2522</v>
      </c>
      <c r="B1253" t="s">
        <v>5033</v>
      </c>
      <c r="C1253" t="s">
        <v>5034</v>
      </c>
      <c r="D1253" t="s">
        <v>1988</v>
      </c>
      <c r="E1253" t="s">
        <v>2937</v>
      </c>
      <c r="F1253">
        <v>2001</v>
      </c>
      <c r="H1253" t="s">
        <v>1878</v>
      </c>
      <c r="I1253">
        <v>3</v>
      </c>
      <c r="K1253" t="s">
        <v>14332</v>
      </c>
      <c r="L1253" s="222">
        <v>9783423202329</v>
      </c>
      <c r="M1253">
        <v>36</v>
      </c>
      <c r="O1253" t="s">
        <v>6558</v>
      </c>
      <c r="P1253">
        <v>246</v>
      </c>
      <c r="Q1253">
        <v>0.65</v>
      </c>
    </row>
    <row r="1254" spans="1:17" x14ac:dyDescent="0.25">
      <c r="A1254">
        <v>721</v>
      </c>
      <c r="B1254" t="s">
        <v>7859</v>
      </c>
      <c r="C1254" t="s">
        <v>7860</v>
      </c>
      <c r="D1254" t="s">
        <v>4334</v>
      </c>
      <c r="H1254" t="s">
        <v>2734</v>
      </c>
      <c r="I1254">
        <v>2</v>
      </c>
      <c r="K1254" t="s">
        <v>14332</v>
      </c>
      <c r="L1254" s="222">
        <v>4007148012991</v>
      </c>
      <c r="M1254">
        <v>50</v>
      </c>
      <c r="O1254" t="s">
        <v>6559</v>
      </c>
      <c r="P1254">
        <v>516</v>
      </c>
      <c r="Q1254">
        <v>0.65</v>
      </c>
    </row>
    <row r="1255" spans="1:17" x14ac:dyDescent="0.25">
      <c r="A1255">
        <v>2514</v>
      </c>
      <c r="C1255" t="s">
        <v>7862</v>
      </c>
      <c r="D1255" t="s">
        <v>7863</v>
      </c>
      <c r="F1255">
        <v>1993</v>
      </c>
      <c r="H1255" t="s">
        <v>2734</v>
      </c>
      <c r="I1255">
        <v>2</v>
      </c>
      <c r="K1255" t="s">
        <v>14332</v>
      </c>
      <c r="L1255" s="222">
        <v>4001338002236</v>
      </c>
      <c r="M1255">
        <v>82</v>
      </c>
      <c r="O1255" t="s">
        <v>6560</v>
      </c>
      <c r="P1255">
        <v>559</v>
      </c>
      <c r="Q1255">
        <v>3.47</v>
      </c>
    </row>
    <row r="1256" spans="1:17" x14ac:dyDescent="0.25">
      <c r="A1256">
        <v>721</v>
      </c>
      <c r="B1256" t="s">
        <v>7866</v>
      </c>
      <c r="C1256" t="s">
        <v>7865</v>
      </c>
      <c r="D1256" t="s">
        <v>7863</v>
      </c>
      <c r="F1256">
        <v>2005</v>
      </c>
      <c r="H1256" t="s">
        <v>2734</v>
      </c>
      <c r="I1256">
        <v>2</v>
      </c>
      <c r="K1256" t="s">
        <v>14332</v>
      </c>
      <c r="L1256" s="222">
        <v>9783821230894</v>
      </c>
      <c r="M1256">
        <v>50</v>
      </c>
      <c r="O1256" t="s">
        <v>6561</v>
      </c>
      <c r="P1256">
        <v>468</v>
      </c>
      <c r="Q1256">
        <v>3.22</v>
      </c>
    </row>
    <row r="1257" spans="1:17" x14ac:dyDescent="0.25">
      <c r="A1257">
        <v>2514</v>
      </c>
      <c r="B1257" t="s">
        <v>7868</v>
      </c>
      <c r="C1257" t="s">
        <v>7862</v>
      </c>
      <c r="D1257" t="s">
        <v>7869</v>
      </c>
      <c r="H1257" t="s">
        <v>2734</v>
      </c>
      <c r="I1257">
        <v>2</v>
      </c>
      <c r="K1257" t="s">
        <v>14332</v>
      </c>
      <c r="L1257" s="222">
        <v>9783773556288</v>
      </c>
      <c r="M1257">
        <v>62</v>
      </c>
      <c r="O1257" t="s">
        <v>6562</v>
      </c>
      <c r="P1257">
        <v>573</v>
      </c>
      <c r="Q1257">
        <v>1.33</v>
      </c>
    </row>
    <row r="1258" spans="1:17" x14ac:dyDescent="0.25">
      <c r="A1258">
        <v>721</v>
      </c>
      <c r="B1258" t="s">
        <v>7871</v>
      </c>
      <c r="C1258" t="s">
        <v>7872</v>
      </c>
      <c r="D1258" t="s">
        <v>7873</v>
      </c>
      <c r="E1258" t="s">
        <v>2518</v>
      </c>
      <c r="F1258">
        <v>2006</v>
      </c>
      <c r="H1258" t="s">
        <v>2734</v>
      </c>
      <c r="I1258">
        <v>2</v>
      </c>
      <c r="K1258" t="s">
        <v>14332</v>
      </c>
      <c r="L1258" s="222">
        <v>9783885423317</v>
      </c>
      <c r="M1258">
        <v>258</v>
      </c>
      <c r="O1258" t="s">
        <v>6563</v>
      </c>
      <c r="P1258">
        <v>873</v>
      </c>
      <c r="Q1258">
        <v>1.87</v>
      </c>
    </row>
    <row r="1259" spans="1:17" x14ac:dyDescent="0.25">
      <c r="A1259">
        <v>691</v>
      </c>
      <c r="B1259" t="s">
        <v>7875</v>
      </c>
      <c r="C1259" t="s">
        <v>7879</v>
      </c>
      <c r="D1259" t="s">
        <v>7877</v>
      </c>
      <c r="F1259">
        <v>2003</v>
      </c>
      <c r="H1259" t="s">
        <v>2734</v>
      </c>
      <c r="I1259">
        <v>3</v>
      </c>
      <c r="K1259" t="s">
        <v>14332</v>
      </c>
      <c r="L1259" s="222">
        <v>9783897488151</v>
      </c>
      <c r="O1259" t="s">
        <v>6565</v>
      </c>
      <c r="P1259">
        <v>233</v>
      </c>
      <c r="Q1259">
        <v>2.2999999999999998</v>
      </c>
    </row>
    <row r="1260" spans="1:17" x14ac:dyDescent="0.25">
      <c r="A1260">
        <v>651</v>
      </c>
      <c r="B1260" t="s">
        <v>7884</v>
      </c>
      <c r="C1260" t="s">
        <v>7885</v>
      </c>
      <c r="D1260" t="s">
        <v>2068</v>
      </c>
      <c r="F1260">
        <v>1991</v>
      </c>
      <c r="H1260" t="s">
        <v>1878</v>
      </c>
      <c r="I1260">
        <v>2</v>
      </c>
      <c r="K1260" t="s">
        <v>14332</v>
      </c>
      <c r="M1260">
        <v>112</v>
      </c>
      <c r="O1260" t="s">
        <v>6567</v>
      </c>
      <c r="P1260">
        <v>453</v>
      </c>
      <c r="Q1260">
        <v>0.65</v>
      </c>
    </row>
    <row r="1261" spans="1:17" x14ac:dyDescent="0.25">
      <c r="A1261">
        <v>1935</v>
      </c>
      <c r="B1261" t="s">
        <v>7886</v>
      </c>
      <c r="C1261" t="s">
        <v>7887</v>
      </c>
      <c r="D1261" t="s">
        <v>7888</v>
      </c>
      <c r="F1261">
        <v>1998</v>
      </c>
      <c r="H1261" t="s">
        <v>5119</v>
      </c>
      <c r="I1261">
        <v>3</v>
      </c>
      <c r="K1261" t="s">
        <v>14332</v>
      </c>
      <c r="L1261" s="222">
        <v>9783829000147</v>
      </c>
      <c r="M1261">
        <v>64</v>
      </c>
      <c r="O1261" t="s">
        <v>6568</v>
      </c>
      <c r="P1261">
        <v>259</v>
      </c>
      <c r="Q1261">
        <v>1.33</v>
      </c>
    </row>
    <row r="1262" spans="1:17" x14ac:dyDescent="0.25">
      <c r="A1262">
        <v>2514</v>
      </c>
      <c r="B1262" t="s">
        <v>7891</v>
      </c>
      <c r="C1262" t="s">
        <v>7890</v>
      </c>
      <c r="D1262" t="s">
        <v>5723</v>
      </c>
      <c r="H1262" t="s">
        <v>2734</v>
      </c>
      <c r="I1262">
        <v>2</v>
      </c>
      <c r="K1262" t="s">
        <v>14332</v>
      </c>
      <c r="L1262" s="222">
        <v>9783833600999</v>
      </c>
      <c r="M1262">
        <v>78</v>
      </c>
      <c r="O1262" t="s">
        <v>6569</v>
      </c>
      <c r="P1262">
        <v>385</v>
      </c>
      <c r="Q1262">
        <v>1.44</v>
      </c>
    </row>
    <row r="1263" spans="1:17" x14ac:dyDescent="0.25">
      <c r="A1263">
        <v>1253</v>
      </c>
      <c r="C1263" t="s">
        <v>7894</v>
      </c>
      <c r="D1263" t="s">
        <v>5708</v>
      </c>
      <c r="F1263">
        <v>1989</v>
      </c>
      <c r="H1263" t="s">
        <v>2734</v>
      </c>
      <c r="I1263">
        <v>2</v>
      </c>
      <c r="K1263" t="s">
        <v>14332</v>
      </c>
      <c r="L1263" s="222">
        <v>9783870703318</v>
      </c>
      <c r="M1263">
        <v>1190</v>
      </c>
      <c r="O1263" t="s">
        <v>6570</v>
      </c>
      <c r="P1263">
        <v>3555</v>
      </c>
      <c r="Q1263">
        <v>3.58</v>
      </c>
    </row>
    <row r="1264" spans="1:17" x14ac:dyDescent="0.25">
      <c r="A1264">
        <v>2514</v>
      </c>
      <c r="B1264" t="s">
        <v>7895</v>
      </c>
      <c r="C1264" t="s">
        <v>7896</v>
      </c>
      <c r="D1264" t="s">
        <v>1979</v>
      </c>
      <c r="E1264" t="s">
        <v>2922</v>
      </c>
      <c r="F1264">
        <v>1989</v>
      </c>
      <c r="H1264" t="s">
        <v>1878</v>
      </c>
      <c r="I1264" s="305">
        <v>43892</v>
      </c>
      <c r="K1264" t="s">
        <v>14332</v>
      </c>
      <c r="L1264" s="222">
        <v>9783473389124</v>
      </c>
      <c r="M1264">
        <v>160</v>
      </c>
      <c r="O1264" t="s">
        <v>6571</v>
      </c>
      <c r="P1264">
        <v>113</v>
      </c>
      <c r="Q1264">
        <v>0.65</v>
      </c>
    </row>
    <row r="1265" spans="1:17" x14ac:dyDescent="0.25">
      <c r="A1265">
        <v>2514</v>
      </c>
      <c r="B1265" t="s">
        <v>7236</v>
      </c>
      <c r="C1265" t="s">
        <v>7898</v>
      </c>
      <c r="D1265" t="s">
        <v>2402</v>
      </c>
      <c r="F1265">
        <v>1979</v>
      </c>
      <c r="H1265" t="s">
        <v>2734</v>
      </c>
      <c r="I1265" s="305">
        <v>43892</v>
      </c>
      <c r="K1265" t="s">
        <v>14332</v>
      </c>
      <c r="L1265" s="222">
        <v>9783505079467</v>
      </c>
      <c r="M1265">
        <v>142</v>
      </c>
      <c r="O1265" t="s">
        <v>6572</v>
      </c>
      <c r="P1265">
        <v>216</v>
      </c>
      <c r="Q1265">
        <v>1.19</v>
      </c>
    </row>
    <row r="1266" spans="1:17" x14ac:dyDescent="0.25">
      <c r="A1266">
        <v>2514</v>
      </c>
      <c r="B1266" t="s">
        <v>7236</v>
      </c>
      <c r="C1266" t="s">
        <v>7902</v>
      </c>
      <c r="D1266" t="s">
        <v>2402</v>
      </c>
      <c r="F1266">
        <v>1982</v>
      </c>
      <c r="H1266" t="s">
        <v>2734</v>
      </c>
      <c r="I1266">
        <v>3</v>
      </c>
      <c r="K1266" t="s">
        <v>14332</v>
      </c>
      <c r="L1266" s="222">
        <v>9783505082153</v>
      </c>
      <c r="M1266">
        <v>126</v>
      </c>
      <c r="O1266" t="s">
        <v>6574</v>
      </c>
      <c r="P1266">
        <v>189</v>
      </c>
      <c r="Q1266">
        <v>1.22</v>
      </c>
    </row>
    <row r="1267" spans="1:17" x14ac:dyDescent="0.25">
      <c r="A1267">
        <v>2514</v>
      </c>
      <c r="B1267" t="s">
        <v>7236</v>
      </c>
      <c r="C1267" t="s">
        <v>7904</v>
      </c>
      <c r="D1267" t="s">
        <v>2402</v>
      </c>
      <c r="F1267">
        <v>1968</v>
      </c>
      <c r="H1267" t="s">
        <v>2734</v>
      </c>
      <c r="I1267">
        <v>3</v>
      </c>
      <c r="K1267" t="s">
        <v>14332</v>
      </c>
      <c r="L1267" s="222">
        <v>9783505048678</v>
      </c>
      <c r="M1267">
        <v>108</v>
      </c>
      <c r="O1267" t="s">
        <v>6575</v>
      </c>
      <c r="P1267">
        <v>180</v>
      </c>
      <c r="Q1267">
        <v>0.65</v>
      </c>
    </row>
    <row r="1268" spans="1:17" x14ac:dyDescent="0.25">
      <c r="A1268">
        <v>2514</v>
      </c>
      <c r="B1268" t="s">
        <v>7236</v>
      </c>
      <c r="C1268" t="s">
        <v>7906</v>
      </c>
      <c r="D1268" t="s">
        <v>2402</v>
      </c>
      <c r="F1268">
        <v>1976</v>
      </c>
      <c r="H1268" t="s">
        <v>2734</v>
      </c>
      <c r="I1268">
        <v>3</v>
      </c>
      <c r="K1268" t="s">
        <v>14332</v>
      </c>
      <c r="L1268" s="222">
        <v>9783505076817</v>
      </c>
      <c r="M1268">
        <v>126</v>
      </c>
      <c r="O1268" t="s">
        <v>6576</v>
      </c>
      <c r="P1268">
        <v>194</v>
      </c>
      <c r="Q1268">
        <v>0.65</v>
      </c>
    </row>
    <row r="1269" spans="1:17" x14ac:dyDescent="0.25">
      <c r="A1269">
        <v>2514</v>
      </c>
      <c r="B1269" t="s">
        <v>7236</v>
      </c>
      <c r="C1269" t="s">
        <v>7910</v>
      </c>
      <c r="D1269" t="s">
        <v>2402</v>
      </c>
      <c r="F1269">
        <v>1973</v>
      </c>
      <c r="H1269" t="s">
        <v>2734</v>
      </c>
      <c r="I1269">
        <v>3</v>
      </c>
      <c r="K1269" t="s">
        <v>14332</v>
      </c>
      <c r="L1269" s="222">
        <v>9783505048647</v>
      </c>
      <c r="M1269">
        <v>142</v>
      </c>
      <c r="O1269" t="s">
        <v>6578</v>
      </c>
      <c r="P1269">
        <v>209</v>
      </c>
      <c r="Q1269">
        <v>0.65</v>
      </c>
    </row>
    <row r="1270" spans="1:17" x14ac:dyDescent="0.25">
      <c r="A1270">
        <v>2514</v>
      </c>
      <c r="B1270" t="s">
        <v>7912</v>
      </c>
      <c r="C1270" t="s">
        <v>7913</v>
      </c>
      <c r="D1270" t="s">
        <v>3524</v>
      </c>
      <c r="E1270" t="s">
        <v>1913</v>
      </c>
      <c r="F1270">
        <v>1999</v>
      </c>
      <c r="H1270" t="s">
        <v>2734</v>
      </c>
      <c r="I1270">
        <v>2</v>
      </c>
      <c r="J1270" t="s">
        <v>7914</v>
      </c>
      <c r="K1270" t="s">
        <v>14332</v>
      </c>
      <c r="L1270" s="222">
        <v>9783785533406</v>
      </c>
      <c r="M1270">
        <v>126</v>
      </c>
      <c r="O1270" t="s">
        <v>6579</v>
      </c>
      <c r="P1270">
        <v>238</v>
      </c>
      <c r="Q1270">
        <v>1.44</v>
      </c>
    </row>
    <row r="1271" spans="1:17" x14ac:dyDescent="0.25">
      <c r="A1271">
        <v>2514</v>
      </c>
      <c r="B1271" t="s">
        <v>7916</v>
      </c>
      <c r="C1271" t="s">
        <v>7917</v>
      </c>
      <c r="D1271" t="s">
        <v>2003</v>
      </c>
      <c r="F1271">
        <v>1997</v>
      </c>
      <c r="H1271" t="s">
        <v>2734</v>
      </c>
      <c r="I1271">
        <v>2</v>
      </c>
      <c r="K1271" t="s">
        <v>14332</v>
      </c>
      <c r="L1271" s="222">
        <v>9783933099006</v>
      </c>
      <c r="M1271">
        <v>156</v>
      </c>
      <c r="O1271" t="s">
        <v>6580</v>
      </c>
      <c r="P1271">
        <v>228</v>
      </c>
      <c r="Q1271">
        <v>0.65</v>
      </c>
    </row>
    <row r="1272" spans="1:17" x14ac:dyDescent="0.25">
      <c r="A1272">
        <v>926</v>
      </c>
      <c r="B1272" t="s">
        <v>7919</v>
      </c>
      <c r="C1272" t="s">
        <v>7920</v>
      </c>
      <c r="D1272" t="s">
        <v>2068</v>
      </c>
      <c r="F1272">
        <v>2000</v>
      </c>
      <c r="H1272" t="s">
        <v>1878</v>
      </c>
      <c r="I1272">
        <v>1</v>
      </c>
      <c r="K1272" t="s">
        <v>14332</v>
      </c>
      <c r="L1272" s="222">
        <v>9783635605086</v>
      </c>
      <c r="M1272">
        <v>120</v>
      </c>
      <c r="O1272" t="s">
        <v>6581</v>
      </c>
      <c r="P1272">
        <v>186</v>
      </c>
      <c r="Q1272">
        <v>1.33</v>
      </c>
    </row>
    <row r="1273" spans="1:17" x14ac:dyDescent="0.25">
      <c r="A1273">
        <v>1320</v>
      </c>
      <c r="B1273" t="s">
        <v>7922</v>
      </c>
      <c r="C1273" t="s">
        <v>7923</v>
      </c>
      <c r="D1273" t="s">
        <v>7924</v>
      </c>
      <c r="E1273" t="s">
        <v>2175</v>
      </c>
      <c r="F1273">
        <v>1999</v>
      </c>
      <c r="H1273" t="s">
        <v>1878</v>
      </c>
      <c r="I1273">
        <v>2</v>
      </c>
      <c r="K1273" t="s">
        <v>14332</v>
      </c>
      <c r="L1273" s="222">
        <v>9783466344123</v>
      </c>
      <c r="M1273">
        <v>240</v>
      </c>
      <c r="O1273" t="s">
        <v>6582</v>
      </c>
      <c r="P1273">
        <v>296</v>
      </c>
      <c r="Q1273">
        <v>2.4</v>
      </c>
    </row>
    <row r="1274" spans="1:17" x14ac:dyDescent="0.25">
      <c r="A1274">
        <v>2456</v>
      </c>
      <c r="B1274" t="s">
        <v>7926</v>
      </c>
      <c r="C1274" t="s">
        <v>7927</v>
      </c>
      <c r="D1274" t="s">
        <v>2054</v>
      </c>
      <c r="H1274" t="s">
        <v>2734</v>
      </c>
      <c r="I1274">
        <v>2</v>
      </c>
      <c r="K1274" t="s">
        <v>14332</v>
      </c>
      <c r="L1274" s="222">
        <v>4026411183923</v>
      </c>
      <c r="M1274">
        <v>258</v>
      </c>
      <c r="O1274" t="s">
        <v>6583</v>
      </c>
      <c r="P1274">
        <v>345</v>
      </c>
      <c r="Q1274">
        <v>1.45</v>
      </c>
    </row>
    <row r="1275" spans="1:17" x14ac:dyDescent="0.25">
      <c r="A1275">
        <v>734</v>
      </c>
      <c r="B1275" t="s">
        <v>7392</v>
      </c>
      <c r="C1275" t="s">
        <v>7929</v>
      </c>
      <c r="D1275" t="s">
        <v>1920</v>
      </c>
      <c r="F1275">
        <v>1986</v>
      </c>
      <c r="H1275" t="s">
        <v>1878</v>
      </c>
      <c r="I1275">
        <v>4</v>
      </c>
      <c r="K1275" t="s">
        <v>14332</v>
      </c>
      <c r="L1275" s="222">
        <v>9783404130542</v>
      </c>
      <c r="M1275">
        <v>656</v>
      </c>
      <c r="O1275" t="s">
        <v>6584</v>
      </c>
      <c r="P1275">
        <v>343</v>
      </c>
      <c r="Q1275">
        <v>0.65</v>
      </c>
    </row>
    <row r="1276" spans="1:17" x14ac:dyDescent="0.25">
      <c r="A1276">
        <v>2663</v>
      </c>
      <c r="B1276" t="s">
        <v>7931</v>
      </c>
      <c r="C1276" t="s">
        <v>7932</v>
      </c>
      <c r="D1276" t="s">
        <v>2609</v>
      </c>
      <c r="E1276" t="s">
        <v>1877</v>
      </c>
      <c r="F1276">
        <v>2004</v>
      </c>
      <c r="H1276" t="s">
        <v>1878</v>
      </c>
      <c r="I1276" s="305">
        <v>43862</v>
      </c>
      <c r="K1276" t="s">
        <v>14332</v>
      </c>
      <c r="L1276" s="222">
        <v>9783596159369</v>
      </c>
      <c r="M1276">
        <v>512</v>
      </c>
      <c r="O1276" t="s">
        <v>6585</v>
      </c>
      <c r="P1276">
        <v>441</v>
      </c>
      <c r="Q1276">
        <v>0.76</v>
      </c>
    </row>
    <row r="1277" spans="1:17" x14ac:dyDescent="0.25">
      <c r="A1277">
        <v>633</v>
      </c>
      <c r="B1277" t="s">
        <v>7934</v>
      </c>
      <c r="C1277" t="s">
        <v>7935</v>
      </c>
      <c r="D1277" t="s">
        <v>2209</v>
      </c>
      <c r="F1277">
        <v>1988</v>
      </c>
      <c r="H1277" t="s">
        <v>1878</v>
      </c>
      <c r="I1277">
        <v>3</v>
      </c>
      <c r="K1277" t="s">
        <v>14332</v>
      </c>
      <c r="L1277" s="222">
        <v>9783453026971</v>
      </c>
      <c r="M1277">
        <v>254</v>
      </c>
      <c r="O1277" t="s">
        <v>6586</v>
      </c>
      <c r="P1277">
        <v>170</v>
      </c>
      <c r="Q1277">
        <v>1.1200000000000001</v>
      </c>
    </row>
    <row r="1278" spans="1:17" x14ac:dyDescent="0.25">
      <c r="A1278">
        <v>796</v>
      </c>
      <c r="B1278" t="s">
        <v>7937</v>
      </c>
      <c r="C1278" t="s">
        <v>7938</v>
      </c>
      <c r="D1278" t="s">
        <v>2609</v>
      </c>
      <c r="F1278">
        <v>2007</v>
      </c>
      <c r="H1278" t="s">
        <v>1878</v>
      </c>
      <c r="I1278">
        <v>2</v>
      </c>
      <c r="K1278" t="s">
        <v>14332</v>
      </c>
      <c r="L1278" s="222">
        <v>9783596163786</v>
      </c>
      <c r="M1278">
        <v>560</v>
      </c>
      <c r="O1278" t="s">
        <v>6587</v>
      </c>
      <c r="P1278">
        <v>547</v>
      </c>
      <c r="Q1278">
        <v>0.65</v>
      </c>
    </row>
    <row r="1279" spans="1:17" x14ac:dyDescent="0.25">
      <c r="A1279">
        <v>2514</v>
      </c>
      <c r="B1279" t="s">
        <v>2674</v>
      </c>
      <c r="C1279" t="s">
        <v>7940</v>
      </c>
      <c r="D1279" t="s">
        <v>3448</v>
      </c>
      <c r="F1279">
        <v>2007</v>
      </c>
      <c r="H1279" t="s">
        <v>2734</v>
      </c>
      <c r="I1279">
        <v>1</v>
      </c>
      <c r="K1279" t="s">
        <v>14332</v>
      </c>
      <c r="L1279" s="222">
        <v>9783781701151</v>
      </c>
      <c r="M1279">
        <v>146</v>
      </c>
      <c r="O1279" t="s">
        <v>6588</v>
      </c>
      <c r="P1279">
        <v>342</v>
      </c>
      <c r="Q1279">
        <v>1.63</v>
      </c>
    </row>
    <row r="1280" spans="1:17" x14ac:dyDescent="0.25">
      <c r="A1280">
        <v>2547</v>
      </c>
      <c r="B1280" t="s">
        <v>7942</v>
      </c>
      <c r="C1280" t="s">
        <v>7943</v>
      </c>
      <c r="D1280" t="s">
        <v>2300</v>
      </c>
      <c r="E1280" t="s">
        <v>1921</v>
      </c>
      <c r="F1280">
        <v>2009</v>
      </c>
      <c r="H1280" t="s">
        <v>1878</v>
      </c>
      <c r="I1280">
        <v>2</v>
      </c>
      <c r="J1280" t="s">
        <v>3854</v>
      </c>
      <c r="K1280" t="s">
        <v>14332</v>
      </c>
      <c r="L1280" s="222">
        <v>9783499249068</v>
      </c>
      <c r="M1280">
        <v>608</v>
      </c>
      <c r="O1280" t="s">
        <v>6589</v>
      </c>
      <c r="P1280">
        <v>457</v>
      </c>
      <c r="Q1280">
        <v>0.65</v>
      </c>
    </row>
    <row r="1281" spans="1:17" x14ac:dyDescent="0.25">
      <c r="A1281">
        <v>2022</v>
      </c>
      <c r="B1281" t="s">
        <v>7945</v>
      </c>
      <c r="C1281" t="s">
        <v>7946</v>
      </c>
      <c r="D1281" t="s">
        <v>6367</v>
      </c>
      <c r="F1281">
        <v>2017</v>
      </c>
      <c r="H1281" t="s">
        <v>2734</v>
      </c>
      <c r="I1281">
        <v>2</v>
      </c>
      <c r="J1281" t="s">
        <v>3854</v>
      </c>
      <c r="K1281" t="s">
        <v>14332</v>
      </c>
      <c r="L1281" s="222">
        <v>9783806234749</v>
      </c>
      <c r="M1281">
        <v>578</v>
      </c>
      <c r="O1281" t="s">
        <v>6590</v>
      </c>
      <c r="P1281">
        <v>995</v>
      </c>
      <c r="Q1281">
        <v>5.73</v>
      </c>
    </row>
    <row r="1282" spans="1:17" x14ac:dyDescent="0.25">
      <c r="A1282">
        <v>651</v>
      </c>
      <c r="B1282" t="s">
        <v>7948</v>
      </c>
      <c r="C1282" t="s">
        <v>7949</v>
      </c>
      <c r="D1282" t="s">
        <v>2117</v>
      </c>
      <c r="E1282" t="s">
        <v>1913</v>
      </c>
      <c r="F1282">
        <v>2012</v>
      </c>
      <c r="H1282" t="s">
        <v>1878</v>
      </c>
      <c r="I1282">
        <v>1</v>
      </c>
      <c r="K1282" t="s">
        <v>14332</v>
      </c>
      <c r="L1282" s="222">
        <v>9783772439971</v>
      </c>
      <c r="M1282">
        <v>32</v>
      </c>
      <c r="O1282" t="s">
        <v>6591</v>
      </c>
      <c r="P1282">
        <v>152</v>
      </c>
      <c r="Q1282">
        <v>0.8</v>
      </c>
    </row>
    <row r="1283" spans="1:17" x14ac:dyDescent="0.25">
      <c r="A1283">
        <v>651</v>
      </c>
      <c r="B1283" t="s">
        <v>2115</v>
      </c>
      <c r="C1283" t="s">
        <v>7951</v>
      </c>
      <c r="D1283" t="s">
        <v>2117</v>
      </c>
      <c r="E1283" t="s">
        <v>1913</v>
      </c>
      <c r="F1283">
        <v>2015</v>
      </c>
      <c r="H1283" t="s">
        <v>1878</v>
      </c>
      <c r="I1283">
        <v>1</v>
      </c>
      <c r="K1283" t="s">
        <v>14332</v>
      </c>
      <c r="L1283" s="222">
        <v>9783772441783</v>
      </c>
      <c r="M1283">
        <v>32</v>
      </c>
      <c r="O1283" t="s">
        <v>6592</v>
      </c>
      <c r="P1283">
        <v>154</v>
      </c>
      <c r="Q1283">
        <v>1.87</v>
      </c>
    </row>
    <row r="1284" spans="1:17" x14ac:dyDescent="0.25">
      <c r="A1284">
        <v>2522</v>
      </c>
      <c r="B1284" t="s">
        <v>7953</v>
      </c>
      <c r="C1284" t="s">
        <v>7954</v>
      </c>
      <c r="D1284" t="s">
        <v>2609</v>
      </c>
      <c r="E1284" t="s">
        <v>1877</v>
      </c>
      <c r="F1284">
        <v>2006</v>
      </c>
      <c r="H1284" t="s">
        <v>1878</v>
      </c>
      <c r="I1284">
        <v>2</v>
      </c>
      <c r="J1284" t="s">
        <v>3854</v>
      </c>
      <c r="K1284" t="s">
        <v>14332</v>
      </c>
      <c r="L1284" s="222">
        <v>9783596168798</v>
      </c>
      <c r="M1284">
        <v>352</v>
      </c>
      <c r="O1284" t="s">
        <v>6593</v>
      </c>
      <c r="P1284">
        <v>351</v>
      </c>
      <c r="Q1284">
        <v>0.65</v>
      </c>
    </row>
    <row r="1285" spans="1:17" x14ac:dyDescent="0.25">
      <c r="A1285">
        <v>689</v>
      </c>
      <c r="B1285" t="s">
        <v>7959</v>
      </c>
      <c r="C1285" t="s">
        <v>7960</v>
      </c>
      <c r="D1285" t="s">
        <v>2609</v>
      </c>
      <c r="F1285">
        <v>2011</v>
      </c>
      <c r="H1285" t="s">
        <v>2734</v>
      </c>
      <c r="I1285">
        <v>2</v>
      </c>
      <c r="J1285" t="s">
        <v>3854</v>
      </c>
      <c r="K1285" t="s">
        <v>14332</v>
      </c>
      <c r="L1285" s="222">
        <v>9783841421425</v>
      </c>
      <c r="M1285">
        <v>466</v>
      </c>
      <c r="O1285" t="s">
        <v>6595</v>
      </c>
      <c r="P1285">
        <v>686</v>
      </c>
      <c r="Q1285">
        <v>1.33</v>
      </c>
    </row>
    <row r="1286" spans="1:17" x14ac:dyDescent="0.25">
      <c r="A1286">
        <v>2514</v>
      </c>
      <c r="B1286" t="s">
        <v>7236</v>
      </c>
      <c r="C1286" t="s">
        <v>7962</v>
      </c>
      <c r="D1286" t="s">
        <v>2402</v>
      </c>
      <c r="F1286">
        <v>1974</v>
      </c>
      <c r="H1286" t="s">
        <v>2734</v>
      </c>
      <c r="I1286">
        <v>3</v>
      </c>
      <c r="K1286" t="s">
        <v>14332</v>
      </c>
      <c r="L1286" s="222">
        <v>9783505077678</v>
      </c>
      <c r="M1286">
        <v>126</v>
      </c>
      <c r="O1286" t="s">
        <v>6596</v>
      </c>
      <c r="P1286">
        <v>193</v>
      </c>
      <c r="Q1286">
        <v>0.65</v>
      </c>
    </row>
    <row r="1287" spans="1:17" x14ac:dyDescent="0.25">
      <c r="A1287">
        <v>607</v>
      </c>
      <c r="B1287" t="s">
        <v>7964</v>
      </c>
      <c r="C1287" t="s">
        <v>7965</v>
      </c>
      <c r="D1287" t="s">
        <v>6546</v>
      </c>
      <c r="F1287">
        <v>2016</v>
      </c>
      <c r="H1287" t="s">
        <v>1878</v>
      </c>
      <c r="I1287">
        <v>1</v>
      </c>
      <c r="K1287" t="s">
        <v>14332</v>
      </c>
      <c r="L1287" s="222">
        <v>9783782212519</v>
      </c>
      <c r="M1287">
        <v>194</v>
      </c>
      <c r="O1287" t="s">
        <v>6597</v>
      </c>
      <c r="P1287">
        <v>282</v>
      </c>
      <c r="Q1287">
        <v>1.87</v>
      </c>
    </row>
    <row r="1288" spans="1:17" x14ac:dyDescent="0.25">
      <c r="A1288">
        <v>2547</v>
      </c>
      <c r="B1288" t="s">
        <v>6028</v>
      </c>
      <c r="C1288" t="s">
        <v>7967</v>
      </c>
      <c r="D1288" t="s">
        <v>3077</v>
      </c>
      <c r="E1288" t="s">
        <v>1877</v>
      </c>
      <c r="F1288">
        <v>1993</v>
      </c>
      <c r="H1288" t="s">
        <v>2734</v>
      </c>
      <c r="I1288" s="305">
        <v>43892</v>
      </c>
      <c r="K1288" t="s">
        <v>14332</v>
      </c>
      <c r="L1288" s="222">
        <v>9783764510725</v>
      </c>
      <c r="M1288">
        <v>482</v>
      </c>
      <c r="O1288" t="s">
        <v>6598</v>
      </c>
      <c r="P1288">
        <v>522</v>
      </c>
      <c r="Q1288">
        <v>0.65</v>
      </c>
    </row>
    <row r="1289" spans="1:17" x14ac:dyDescent="0.25">
      <c r="A1289">
        <v>1327</v>
      </c>
      <c r="B1289" t="s">
        <v>7969</v>
      </c>
      <c r="C1289" t="s">
        <v>7970</v>
      </c>
      <c r="D1289" t="s">
        <v>2644</v>
      </c>
      <c r="F1289">
        <v>2009</v>
      </c>
      <c r="H1289" t="s">
        <v>1878</v>
      </c>
      <c r="I1289" s="305">
        <v>43892</v>
      </c>
      <c r="K1289" t="s">
        <v>14332</v>
      </c>
      <c r="L1289" s="222">
        <v>9783257240474</v>
      </c>
      <c r="M1289">
        <v>416</v>
      </c>
      <c r="O1289" t="s">
        <v>6599</v>
      </c>
      <c r="P1289">
        <v>316</v>
      </c>
      <c r="Q1289">
        <v>0.8</v>
      </c>
    </row>
    <row r="1290" spans="1:17" x14ac:dyDescent="0.25">
      <c r="A1290">
        <v>692</v>
      </c>
      <c r="B1290" t="s">
        <v>7972</v>
      </c>
      <c r="C1290" t="s">
        <v>7973</v>
      </c>
      <c r="D1290" t="s">
        <v>1988</v>
      </c>
      <c r="F1290">
        <v>1999</v>
      </c>
      <c r="H1290" t="s">
        <v>1878</v>
      </c>
      <c r="I1290">
        <v>2</v>
      </c>
      <c r="K1290" t="s">
        <v>14332</v>
      </c>
      <c r="L1290" s="222">
        <v>9783423084239</v>
      </c>
      <c r="M1290">
        <v>336</v>
      </c>
      <c r="O1290" t="s">
        <v>6600</v>
      </c>
      <c r="P1290">
        <v>296</v>
      </c>
      <c r="Q1290">
        <v>2.5099999999999998</v>
      </c>
    </row>
    <row r="1291" spans="1:17" x14ac:dyDescent="0.25">
      <c r="A1291">
        <v>796</v>
      </c>
      <c r="B1291" t="s">
        <v>7975</v>
      </c>
      <c r="C1291" t="s">
        <v>7976</v>
      </c>
      <c r="D1291" t="s">
        <v>3895</v>
      </c>
      <c r="F1291">
        <v>2013</v>
      </c>
      <c r="H1291" t="s">
        <v>1878</v>
      </c>
      <c r="I1291" s="305">
        <v>43862</v>
      </c>
      <c r="K1291" t="s">
        <v>14332</v>
      </c>
      <c r="L1291" s="222">
        <v>9783862789603</v>
      </c>
      <c r="M1291">
        <v>336</v>
      </c>
      <c r="O1291" t="s">
        <v>6601</v>
      </c>
      <c r="P1291">
        <v>340</v>
      </c>
      <c r="Q1291">
        <v>0.75</v>
      </c>
    </row>
    <row r="1292" spans="1:17" x14ac:dyDescent="0.25">
      <c r="A1292">
        <v>765</v>
      </c>
      <c r="C1292" t="s">
        <v>7981</v>
      </c>
      <c r="D1292" t="s">
        <v>7982</v>
      </c>
      <c r="F1292">
        <v>2018</v>
      </c>
      <c r="H1292" t="s">
        <v>1878</v>
      </c>
      <c r="I1292">
        <v>2</v>
      </c>
      <c r="K1292" t="s">
        <v>14332</v>
      </c>
      <c r="L1292" s="222">
        <v>9783866992931</v>
      </c>
      <c r="O1292" t="s">
        <v>6603</v>
      </c>
      <c r="P1292">
        <v>358</v>
      </c>
      <c r="Q1292">
        <v>2.74</v>
      </c>
    </row>
    <row r="1293" spans="1:17" x14ac:dyDescent="0.25">
      <c r="A1293">
        <v>632</v>
      </c>
      <c r="B1293" t="s">
        <v>7984</v>
      </c>
      <c r="C1293" t="s">
        <v>7985</v>
      </c>
      <c r="D1293" t="s">
        <v>2300</v>
      </c>
      <c r="E1293" t="s">
        <v>2335</v>
      </c>
      <c r="F1293">
        <v>2006</v>
      </c>
      <c r="H1293" t="s">
        <v>2734</v>
      </c>
      <c r="I1293">
        <v>2</v>
      </c>
      <c r="J1293" t="s">
        <v>3854</v>
      </c>
      <c r="K1293" t="s">
        <v>14332</v>
      </c>
      <c r="L1293" s="222">
        <v>9783499243806</v>
      </c>
      <c r="M1293">
        <v>354</v>
      </c>
      <c r="O1293" t="s">
        <v>6604</v>
      </c>
      <c r="P1293">
        <v>414</v>
      </c>
      <c r="Q1293">
        <v>2.39</v>
      </c>
    </row>
    <row r="1294" spans="1:17" x14ac:dyDescent="0.25">
      <c r="A1294">
        <v>1317</v>
      </c>
      <c r="B1294" t="s">
        <v>7987</v>
      </c>
      <c r="C1294" t="s">
        <v>7988</v>
      </c>
      <c r="D1294" t="s">
        <v>3524</v>
      </c>
      <c r="E1294" t="s">
        <v>1913</v>
      </c>
      <c r="F1294">
        <v>2000</v>
      </c>
      <c r="H1294" t="s">
        <v>2734</v>
      </c>
      <c r="I1294">
        <v>2</v>
      </c>
      <c r="K1294" t="s">
        <v>14332</v>
      </c>
      <c r="L1294" s="222">
        <v>9783785535387</v>
      </c>
      <c r="M1294">
        <v>130</v>
      </c>
      <c r="O1294" t="s">
        <v>6605</v>
      </c>
      <c r="P1294">
        <v>221</v>
      </c>
      <c r="Q1294">
        <v>0.65</v>
      </c>
    </row>
    <row r="1295" spans="1:17" x14ac:dyDescent="0.25">
      <c r="A1295">
        <v>937</v>
      </c>
      <c r="B1295" t="s">
        <v>7990</v>
      </c>
      <c r="C1295" t="s">
        <v>7991</v>
      </c>
      <c r="D1295" t="s">
        <v>7992</v>
      </c>
      <c r="E1295" t="s">
        <v>1913</v>
      </c>
      <c r="F1295">
        <v>1999</v>
      </c>
      <c r="H1295" t="s">
        <v>1878</v>
      </c>
      <c r="I1295">
        <v>2</v>
      </c>
      <c r="K1295" t="s">
        <v>14332</v>
      </c>
      <c r="L1295" s="222">
        <v>9783813805178</v>
      </c>
      <c r="M1295">
        <v>104</v>
      </c>
      <c r="O1295" t="s">
        <v>6606</v>
      </c>
      <c r="P1295">
        <v>113</v>
      </c>
      <c r="Q1295">
        <v>5.08</v>
      </c>
    </row>
    <row r="1296" spans="1:17" x14ac:dyDescent="0.25">
      <c r="A1296">
        <v>1324</v>
      </c>
      <c r="B1296" t="s">
        <v>7994</v>
      </c>
      <c r="C1296" t="s">
        <v>7995</v>
      </c>
      <c r="D1296" t="s">
        <v>4693</v>
      </c>
      <c r="E1296" t="s">
        <v>1913</v>
      </c>
      <c r="F1296">
        <v>1994</v>
      </c>
      <c r="H1296" t="s">
        <v>1878</v>
      </c>
      <c r="I1296">
        <v>3</v>
      </c>
      <c r="K1296" t="s">
        <v>14332</v>
      </c>
      <c r="L1296" s="222">
        <v>9783774221963</v>
      </c>
      <c r="M1296">
        <v>112</v>
      </c>
      <c r="O1296" t="s">
        <v>6607</v>
      </c>
      <c r="P1296">
        <v>278</v>
      </c>
      <c r="Q1296">
        <v>0.8</v>
      </c>
    </row>
    <row r="1297" spans="1:17" x14ac:dyDescent="0.25">
      <c r="A1297">
        <v>1324</v>
      </c>
      <c r="B1297" t="s">
        <v>7997</v>
      </c>
      <c r="C1297" t="s">
        <v>7998</v>
      </c>
      <c r="D1297" t="s">
        <v>4693</v>
      </c>
      <c r="E1297" t="s">
        <v>2175</v>
      </c>
      <c r="F1297">
        <v>2002</v>
      </c>
      <c r="H1297" t="s">
        <v>1878</v>
      </c>
      <c r="I1297">
        <v>2</v>
      </c>
      <c r="K1297" t="s">
        <v>14332</v>
      </c>
      <c r="L1297" s="222">
        <v>9783774233898</v>
      </c>
      <c r="M1297">
        <v>96</v>
      </c>
      <c r="O1297" t="s">
        <v>6608</v>
      </c>
      <c r="P1297">
        <v>248</v>
      </c>
      <c r="Q1297">
        <v>1.01</v>
      </c>
    </row>
    <row r="1298" spans="1:17" x14ac:dyDescent="0.25">
      <c r="A1298">
        <v>631</v>
      </c>
      <c r="B1298" t="s">
        <v>8003</v>
      </c>
      <c r="C1298" t="s">
        <v>8004</v>
      </c>
      <c r="D1298" t="s">
        <v>2835</v>
      </c>
      <c r="F1298">
        <v>1993</v>
      </c>
      <c r="H1298" t="s">
        <v>1878</v>
      </c>
      <c r="I1298">
        <v>2</v>
      </c>
      <c r="J1298" t="s">
        <v>3854</v>
      </c>
      <c r="K1298" t="s">
        <v>14332</v>
      </c>
      <c r="L1298" s="222">
        <v>9783518387009</v>
      </c>
      <c r="M1298">
        <v>212</v>
      </c>
      <c r="O1298" t="s">
        <v>6610</v>
      </c>
      <c r="P1298">
        <v>188</v>
      </c>
      <c r="Q1298">
        <v>0.99</v>
      </c>
    </row>
    <row r="1299" spans="1:17" x14ac:dyDescent="0.25">
      <c r="A1299">
        <v>1386</v>
      </c>
      <c r="B1299" t="s">
        <v>8006</v>
      </c>
      <c r="C1299" t="s">
        <v>8007</v>
      </c>
      <c r="D1299" t="s">
        <v>2835</v>
      </c>
      <c r="E1299" t="s">
        <v>1921</v>
      </c>
      <c r="F1299">
        <v>2008</v>
      </c>
      <c r="H1299" t="s">
        <v>1878</v>
      </c>
      <c r="I1299">
        <v>2</v>
      </c>
      <c r="J1299" t="s">
        <v>3854</v>
      </c>
      <c r="K1299" t="s">
        <v>14332</v>
      </c>
      <c r="L1299" s="222">
        <v>9783518459713</v>
      </c>
      <c r="M1299">
        <v>160</v>
      </c>
      <c r="O1299" t="s">
        <v>6611</v>
      </c>
      <c r="P1299">
        <v>107</v>
      </c>
      <c r="Q1299">
        <v>1.02</v>
      </c>
    </row>
    <row r="1300" spans="1:17" x14ac:dyDescent="0.25">
      <c r="A1300">
        <v>796</v>
      </c>
      <c r="B1300" t="s">
        <v>8009</v>
      </c>
      <c r="C1300" t="s">
        <v>8010</v>
      </c>
      <c r="D1300" t="s">
        <v>4131</v>
      </c>
      <c r="F1300">
        <v>2012</v>
      </c>
      <c r="H1300" t="s">
        <v>1878</v>
      </c>
      <c r="I1300">
        <v>1</v>
      </c>
      <c r="K1300" t="s">
        <v>14332</v>
      </c>
      <c r="L1300" s="222">
        <v>9783833308673</v>
      </c>
      <c r="M1300">
        <v>320</v>
      </c>
      <c r="O1300" t="s">
        <v>6612</v>
      </c>
      <c r="P1300">
        <v>266</v>
      </c>
      <c r="Q1300">
        <v>2.12</v>
      </c>
    </row>
    <row r="1301" spans="1:17" x14ac:dyDescent="0.25">
      <c r="A1301">
        <v>796</v>
      </c>
      <c r="B1301" t="s">
        <v>8012</v>
      </c>
      <c r="C1301" t="s">
        <v>8013</v>
      </c>
      <c r="D1301" t="s">
        <v>2835</v>
      </c>
      <c r="E1301" t="s">
        <v>1913</v>
      </c>
      <c r="F1301">
        <v>2011</v>
      </c>
      <c r="H1301" t="s">
        <v>1878</v>
      </c>
      <c r="I1301">
        <v>2</v>
      </c>
      <c r="J1301" t="s">
        <v>3854</v>
      </c>
      <c r="K1301" t="s">
        <v>14332</v>
      </c>
      <c r="L1301" s="222">
        <v>9783518462539</v>
      </c>
      <c r="M1301">
        <v>320</v>
      </c>
      <c r="O1301" t="s">
        <v>6613</v>
      </c>
      <c r="P1301">
        <v>200</v>
      </c>
      <c r="Q1301">
        <v>2.12</v>
      </c>
    </row>
    <row r="1302" spans="1:17" x14ac:dyDescent="0.25">
      <c r="A1302">
        <v>2522</v>
      </c>
      <c r="B1302" t="s">
        <v>8015</v>
      </c>
      <c r="C1302" t="s">
        <v>8016</v>
      </c>
      <c r="D1302" t="s">
        <v>2644</v>
      </c>
      <c r="F1302">
        <v>1988</v>
      </c>
      <c r="H1302" t="s">
        <v>1878</v>
      </c>
      <c r="I1302">
        <v>2</v>
      </c>
      <c r="K1302" t="s">
        <v>14332</v>
      </c>
      <c r="L1302" s="222">
        <v>9783257219111</v>
      </c>
      <c r="M1302">
        <v>272</v>
      </c>
      <c r="O1302" t="s">
        <v>6614</v>
      </c>
      <c r="P1302">
        <v>241</v>
      </c>
      <c r="Q1302">
        <v>1.68</v>
      </c>
    </row>
    <row r="1303" spans="1:17" x14ac:dyDescent="0.25">
      <c r="A1303">
        <v>1327</v>
      </c>
      <c r="B1303" t="s">
        <v>14485</v>
      </c>
      <c r="C1303" t="s">
        <v>8019</v>
      </c>
      <c r="D1303" t="s">
        <v>2835</v>
      </c>
      <c r="F1303">
        <v>2009</v>
      </c>
      <c r="H1303" t="s">
        <v>1878</v>
      </c>
      <c r="I1303">
        <v>2</v>
      </c>
      <c r="J1303" t="s">
        <v>3854</v>
      </c>
      <c r="K1303" t="s">
        <v>14332</v>
      </c>
      <c r="L1303" s="222">
        <v>9783518460986</v>
      </c>
      <c r="M1303">
        <v>240</v>
      </c>
      <c r="O1303" t="s">
        <v>6615</v>
      </c>
      <c r="P1303">
        <v>153</v>
      </c>
      <c r="Q1303">
        <v>1.26</v>
      </c>
    </row>
    <row r="1304" spans="1:17" x14ac:dyDescent="0.25">
      <c r="A1304">
        <v>2851</v>
      </c>
      <c r="B1304" t="s">
        <v>8021</v>
      </c>
      <c r="C1304" t="s">
        <v>8022</v>
      </c>
      <c r="D1304" t="s">
        <v>8023</v>
      </c>
      <c r="F1304">
        <v>1997</v>
      </c>
      <c r="H1304" t="s">
        <v>1878</v>
      </c>
      <c r="I1304">
        <v>2</v>
      </c>
      <c r="J1304" t="s">
        <v>3854</v>
      </c>
      <c r="K1304" t="s">
        <v>14332</v>
      </c>
      <c r="L1304" s="222">
        <v>9783458335962</v>
      </c>
      <c r="M1304">
        <v>316</v>
      </c>
      <c r="O1304" t="s">
        <v>6616</v>
      </c>
      <c r="P1304">
        <v>214</v>
      </c>
      <c r="Q1304">
        <v>1.1499999999999999</v>
      </c>
    </row>
    <row r="1305" spans="1:17" x14ac:dyDescent="0.25">
      <c r="A1305">
        <v>1327</v>
      </c>
      <c r="B1305" t="s">
        <v>8025</v>
      </c>
      <c r="C1305" t="s">
        <v>8026</v>
      </c>
      <c r="D1305" t="s">
        <v>2835</v>
      </c>
      <c r="F1305">
        <v>2000</v>
      </c>
      <c r="H1305" t="s">
        <v>1878</v>
      </c>
      <c r="I1305">
        <v>1</v>
      </c>
      <c r="K1305" t="s">
        <v>14332</v>
      </c>
      <c r="L1305" s="222">
        <v>9783518396070</v>
      </c>
      <c r="M1305">
        <v>176</v>
      </c>
      <c r="O1305" t="s">
        <v>6617</v>
      </c>
      <c r="P1305">
        <v>115</v>
      </c>
      <c r="Q1305">
        <v>1.02</v>
      </c>
    </row>
    <row r="1306" spans="1:17" x14ac:dyDescent="0.25">
      <c r="A1306">
        <v>1395</v>
      </c>
      <c r="B1306" t="s">
        <v>8028</v>
      </c>
      <c r="C1306" t="s">
        <v>8029</v>
      </c>
      <c r="D1306" t="s">
        <v>2309</v>
      </c>
      <c r="F1306">
        <v>2012</v>
      </c>
      <c r="H1306" t="s">
        <v>2734</v>
      </c>
      <c r="I1306">
        <v>1</v>
      </c>
      <c r="K1306" t="s">
        <v>14332</v>
      </c>
      <c r="L1306" s="222">
        <v>9783471350454</v>
      </c>
      <c r="M1306">
        <v>306</v>
      </c>
      <c r="O1306" t="s">
        <v>6618</v>
      </c>
      <c r="P1306">
        <v>375</v>
      </c>
      <c r="Q1306">
        <v>1.79</v>
      </c>
    </row>
    <row r="1307" spans="1:17" x14ac:dyDescent="0.25">
      <c r="A1307">
        <v>2522</v>
      </c>
      <c r="B1307" t="s">
        <v>2191</v>
      </c>
      <c r="C1307" t="s">
        <v>8031</v>
      </c>
      <c r="D1307" t="s">
        <v>1912</v>
      </c>
      <c r="E1307" t="s">
        <v>2335</v>
      </c>
      <c r="F1307">
        <v>1992</v>
      </c>
      <c r="H1307" t="s">
        <v>1878</v>
      </c>
      <c r="I1307">
        <v>2</v>
      </c>
      <c r="K1307" t="s">
        <v>14332</v>
      </c>
      <c r="L1307" s="222">
        <v>9783442453351</v>
      </c>
      <c r="M1307">
        <v>448</v>
      </c>
      <c r="O1307" t="s">
        <v>6619</v>
      </c>
      <c r="P1307">
        <v>392</v>
      </c>
      <c r="Q1307">
        <v>1.02</v>
      </c>
    </row>
    <row r="1308" spans="1:17" x14ac:dyDescent="0.25">
      <c r="A1308">
        <v>2522</v>
      </c>
      <c r="B1308" t="s">
        <v>2456</v>
      </c>
      <c r="C1308" t="s">
        <v>8033</v>
      </c>
      <c r="D1308" t="s">
        <v>3077</v>
      </c>
      <c r="E1308" t="s">
        <v>1877</v>
      </c>
      <c r="F1308">
        <v>2011</v>
      </c>
      <c r="H1308" t="s">
        <v>1878</v>
      </c>
      <c r="I1308">
        <v>2</v>
      </c>
      <c r="K1308" t="s">
        <v>14332</v>
      </c>
      <c r="L1308" s="222">
        <v>9783442376322</v>
      </c>
      <c r="M1308">
        <v>672</v>
      </c>
      <c r="O1308" t="s">
        <v>6620</v>
      </c>
      <c r="P1308">
        <v>529</v>
      </c>
      <c r="Q1308">
        <v>1.02</v>
      </c>
    </row>
    <row r="1309" spans="1:17" x14ac:dyDescent="0.25">
      <c r="A1309">
        <v>2576</v>
      </c>
      <c r="B1309" t="s">
        <v>8035</v>
      </c>
      <c r="C1309" t="s">
        <v>8036</v>
      </c>
      <c r="D1309" t="s">
        <v>807</v>
      </c>
      <c r="F1309">
        <v>2009</v>
      </c>
      <c r="H1309" t="s">
        <v>2734</v>
      </c>
      <c r="I1309" s="305">
        <v>43892</v>
      </c>
      <c r="K1309" t="s">
        <v>14332</v>
      </c>
      <c r="L1309" s="222">
        <v>9783551581990</v>
      </c>
      <c r="M1309">
        <v>800</v>
      </c>
      <c r="O1309" t="s">
        <v>6621</v>
      </c>
      <c r="P1309">
        <v>999</v>
      </c>
      <c r="Q1309">
        <v>1.02</v>
      </c>
    </row>
    <row r="1310" spans="1:17" x14ac:dyDescent="0.25">
      <c r="A1310">
        <v>2576</v>
      </c>
      <c r="B1310" t="s">
        <v>8035</v>
      </c>
      <c r="C1310" t="s">
        <v>8038</v>
      </c>
      <c r="D1310" t="s">
        <v>807</v>
      </c>
      <c r="F1310">
        <v>2009</v>
      </c>
      <c r="H1310" t="s">
        <v>2734</v>
      </c>
      <c r="I1310" s="305">
        <v>43862</v>
      </c>
      <c r="K1310" t="s">
        <v>14332</v>
      </c>
      <c r="L1310" s="222">
        <v>9783551581662</v>
      </c>
      <c r="M1310">
        <v>626</v>
      </c>
      <c r="O1310" t="s">
        <v>6622</v>
      </c>
      <c r="P1310">
        <v>905</v>
      </c>
      <c r="Q1310">
        <v>1.02</v>
      </c>
    </row>
    <row r="1311" spans="1:17" x14ac:dyDescent="0.25">
      <c r="A1311">
        <v>2576</v>
      </c>
      <c r="B1311" t="s">
        <v>8035</v>
      </c>
      <c r="C1311" t="s">
        <v>8040</v>
      </c>
      <c r="D1311" t="s">
        <v>807</v>
      </c>
      <c r="F1311">
        <v>2009</v>
      </c>
      <c r="H1311" t="s">
        <v>1878</v>
      </c>
      <c r="I1311">
        <v>2</v>
      </c>
      <c r="K1311" t="s">
        <v>14332</v>
      </c>
      <c r="L1311" s="222">
        <v>9783551357823</v>
      </c>
      <c r="M1311">
        <v>576</v>
      </c>
      <c r="O1311" t="s">
        <v>6623</v>
      </c>
      <c r="P1311">
        <v>537</v>
      </c>
      <c r="Q1311">
        <v>1.02</v>
      </c>
    </row>
    <row r="1312" spans="1:17" x14ac:dyDescent="0.25">
      <c r="A1312">
        <v>1809</v>
      </c>
      <c r="B1312" t="s">
        <v>8042</v>
      </c>
      <c r="C1312" t="s">
        <v>8043</v>
      </c>
      <c r="D1312" t="s">
        <v>2822</v>
      </c>
      <c r="F1312">
        <v>2007</v>
      </c>
      <c r="H1312" t="s">
        <v>1878</v>
      </c>
      <c r="I1312">
        <v>2</v>
      </c>
      <c r="K1312" t="s">
        <v>14332</v>
      </c>
      <c r="M1312">
        <v>272</v>
      </c>
      <c r="O1312" t="s">
        <v>6624</v>
      </c>
      <c r="P1312">
        <v>302</v>
      </c>
      <c r="Q1312">
        <v>1.02</v>
      </c>
    </row>
    <row r="1313" spans="1:17" x14ac:dyDescent="0.25">
      <c r="A1313">
        <v>1809</v>
      </c>
      <c r="B1313" t="s">
        <v>8044</v>
      </c>
      <c r="C1313" t="s">
        <v>8045</v>
      </c>
      <c r="D1313" t="s">
        <v>2822</v>
      </c>
      <c r="F1313">
        <v>2007</v>
      </c>
      <c r="H1313" t="s">
        <v>1878</v>
      </c>
      <c r="I1313">
        <v>3</v>
      </c>
      <c r="K1313" t="s">
        <v>14332</v>
      </c>
      <c r="M1313">
        <v>256</v>
      </c>
      <c r="O1313" t="s">
        <v>6625</v>
      </c>
      <c r="P1313">
        <v>286</v>
      </c>
      <c r="Q1313">
        <v>1.02</v>
      </c>
    </row>
    <row r="1314" spans="1:17" x14ac:dyDescent="0.25">
      <c r="A1314">
        <v>2522</v>
      </c>
      <c r="B1314" t="s">
        <v>8046</v>
      </c>
      <c r="C1314" t="s">
        <v>8047</v>
      </c>
      <c r="D1314" t="s">
        <v>1920</v>
      </c>
      <c r="F1314">
        <v>2005</v>
      </c>
      <c r="H1314" t="s">
        <v>1878</v>
      </c>
      <c r="I1314">
        <v>4</v>
      </c>
      <c r="K1314" t="s">
        <v>14332</v>
      </c>
      <c r="L1314" s="222">
        <v>9783404153787</v>
      </c>
      <c r="M1314">
        <v>352</v>
      </c>
      <c r="O1314" t="s">
        <v>6626</v>
      </c>
      <c r="P1314">
        <v>303</v>
      </c>
      <c r="Q1314">
        <v>1.02</v>
      </c>
    </row>
    <row r="1315" spans="1:17" x14ac:dyDescent="0.25">
      <c r="A1315">
        <v>2522</v>
      </c>
      <c r="B1315" t="s">
        <v>8049</v>
      </c>
      <c r="C1315" t="s">
        <v>8050</v>
      </c>
      <c r="D1315" t="s">
        <v>2054</v>
      </c>
      <c r="F1315">
        <v>2007</v>
      </c>
      <c r="H1315" t="s">
        <v>1878</v>
      </c>
      <c r="I1315" s="305">
        <v>43892</v>
      </c>
      <c r="K1315" t="s">
        <v>14332</v>
      </c>
      <c r="L1315" s="222">
        <v>4026411116259</v>
      </c>
      <c r="M1315">
        <v>544</v>
      </c>
      <c r="O1315" t="s">
        <v>6627</v>
      </c>
      <c r="P1315">
        <v>396</v>
      </c>
      <c r="Q1315">
        <v>1.02</v>
      </c>
    </row>
    <row r="1316" spans="1:17" x14ac:dyDescent="0.25">
      <c r="A1316">
        <v>2522</v>
      </c>
      <c r="B1316" t="s">
        <v>4135</v>
      </c>
      <c r="C1316" t="s">
        <v>8052</v>
      </c>
      <c r="D1316" t="s">
        <v>2054</v>
      </c>
      <c r="F1316">
        <v>2006</v>
      </c>
      <c r="H1316" t="s">
        <v>1878</v>
      </c>
      <c r="I1316" s="305">
        <v>43862</v>
      </c>
      <c r="K1316" t="s">
        <v>14332</v>
      </c>
      <c r="L1316" s="222">
        <v>4026411116228</v>
      </c>
      <c r="M1316">
        <v>624</v>
      </c>
      <c r="O1316" t="s">
        <v>6628</v>
      </c>
      <c r="P1316">
        <v>453</v>
      </c>
      <c r="Q1316">
        <v>1.1499999999999999</v>
      </c>
    </row>
    <row r="1317" spans="1:17" x14ac:dyDescent="0.25">
      <c r="A1317">
        <v>2522</v>
      </c>
      <c r="B1317" t="s">
        <v>8054</v>
      </c>
      <c r="C1317" t="s">
        <v>8055</v>
      </c>
      <c r="D1317" t="s">
        <v>1920</v>
      </c>
      <c r="F1317">
        <v>2015</v>
      </c>
      <c r="H1317" t="s">
        <v>1878</v>
      </c>
      <c r="I1317">
        <v>2</v>
      </c>
      <c r="J1317" t="s">
        <v>3854</v>
      </c>
      <c r="K1317" t="s">
        <v>14332</v>
      </c>
      <c r="L1317" s="222">
        <v>9783404172924</v>
      </c>
      <c r="M1317">
        <v>480</v>
      </c>
      <c r="O1317" t="s">
        <v>6629</v>
      </c>
      <c r="P1317">
        <v>479</v>
      </c>
      <c r="Q1317">
        <v>1.26</v>
      </c>
    </row>
    <row r="1318" spans="1:17" x14ac:dyDescent="0.25">
      <c r="A1318">
        <v>2022</v>
      </c>
      <c r="B1318" t="s">
        <v>8063</v>
      </c>
      <c r="C1318" t="s">
        <v>8064</v>
      </c>
      <c r="D1318" t="s">
        <v>8065</v>
      </c>
      <c r="E1318" t="s">
        <v>1913</v>
      </c>
      <c r="F1318">
        <v>2011</v>
      </c>
      <c r="H1318" t="s">
        <v>1878</v>
      </c>
      <c r="I1318">
        <v>1</v>
      </c>
      <c r="K1318" t="s">
        <v>14332</v>
      </c>
      <c r="L1318" s="222">
        <v>9783940274441</v>
      </c>
      <c r="M1318">
        <v>288</v>
      </c>
      <c r="O1318" t="s">
        <v>6632</v>
      </c>
      <c r="P1318">
        <v>328</v>
      </c>
      <c r="Q1318">
        <v>2.12</v>
      </c>
    </row>
    <row r="1319" spans="1:17" x14ac:dyDescent="0.25">
      <c r="A1319">
        <v>796</v>
      </c>
      <c r="B1319" t="s">
        <v>8074</v>
      </c>
      <c r="C1319" t="s">
        <v>8075</v>
      </c>
      <c r="D1319" t="s">
        <v>2835</v>
      </c>
      <c r="F1319">
        <v>2008</v>
      </c>
      <c r="H1319" t="s">
        <v>1878</v>
      </c>
      <c r="I1319">
        <v>2</v>
      </c>
      <c r="J1319" t="s">
        <v>3854</v>
      </c>
      <c r="K1319" t="s">
        <v>14332</v>
      </c>
      <c r="L1319" s="222">
        <v>9783518460115</v>
      </c>
      <c r="M1319">
        <v>496</v>
      </c>
      <c r="O1319" t="s">
        <v>6635</v>
      </c>
      <c r="P1319">
        <v>470</v>
      </c>
      <c r="Q1319">
        <v>2</v>
      </c>
    </row>
    <row r="1320" spans="1:17" x14ac:dyDescent="0.25">
      <c r="A1320">
        <v>1386</v>
      </c>
      <c r="B1320" t="s">
        <v>8077</v>
      </c>
      <c r="C1320" t="s">
        <v>8078</v>
      </c>
      <c r="D1320" t="s">
        <v>3864</v>
      </c>
      <c r="E1320" t="s">
        <v>1921</v>
      </c>
      <c r="F1320">
        <v>2012</v>
      </c>
      <c r="H1320" t="s">
        <v>1878</v>
      </c>
      <c r="I1320">
        <v>2</v>
      </c>
      <c r="K1320" t="s">
        <v>14332</v>
      </c>
      <c r="L1320" s="222">
        <v>9783832161798</v>
      </c>
      <c r="M1320">
        <v>352</v>
      </c>
      <c r="O1320" t="s">
        <v>6636</v>
      </c>
      <c r="P1320">
        <v>361</v>
      </c>
      <c r="Q1320">
        <v>1.02</v>
      </c>
    </row>
    <row r="1321" spans="1:17" x14ac:dyDescent="0.25">
      <c r="A1321">
        <v>1395</v>
      </c>
      <c r="B1321" t="s">
        <v>8080</v>
      </c>
      <c r="C1321" t="s">
        <v>8081</v>
      </c>
      <c r="D1321" t="s">
        <v>2250</v>
      </c>
      <c r="E1321" t="s">
        <v>1921</v>
      </c>
      <c r="F1321">
        <v>1999</v>
      </c>
      <c r="H1321" t="s">
        <v>1878</v>
      </c>
      <c r="I1321">
        <v>3</v>
      </c>
      <c r="K1321" t="s">
        <v>14332</v>
      </c>
      <c r="L1321" s="222">
        <v>9783886199396</v>
      </c>
      <c r="M1321">
        <v>256</v>
      </c>
      <c r="O1321" t="s">
        <v>6637</v>
      </c>
      <c r="P1321">
        <v>201</v>
      </c>
      <c r="Q1321">
        <v>1.02</v>
      </c>
    </row>
    <row r="1322" spans="1:17" x14ac:dyDescent="0.25">
      <c r="A1322">
        <v>796</v>
      </c>
      <c r="B1322" t="s">
        <v>8083</v>
      </c>
      <c r="C1322" t="s">
        <v>8084</v>
      </c>
      <c r="D1322" t="s">
        <v>2644</v>
      </c>
      <c r="F1322">
        <v>2010</v>
      </c>
      <c r="H1322" t="s">
        <v>1878</v>
      </c>
      <c r="I1322">
        <v>2</v>
      </c>
      <c r="K1322" t="s">
        <v>14332</v>
      </c>
      <c r="L1322" s="222">
        <v>9783257241532</v>
      </c>
      <c r="M1322">
        <v>208</v>
      </c>
      <c r="O1322" t="s">
        <v>6638</v>
      </c>
      <c r="P1322">
        <v>185</v>
      </c>
      <c r="Q1322">
        <v>2</v>
      </c>
    </row>
    <row r="1323" spans="1:17" x14ac:dyDescent="0.25">
      <c r="A1323">
        <v>2851</v>
      </c>
      <c r="B1323" t="s">
        <v>8086</v>
      </c>
      <c r="C1323" t="s">
        <v>8087</v>
      </c>
      <c r="D1323" t="s">
        <v>3864</v>
      </c>
      <c r="F1323">
        <v>2010</v>
      </c>
      <c r="H1323" t="s">
        <v>2734</v>
      </c>
      <c r="I1323">
        <v>2</v>
      </c>
      <c r="K1323" t="s">
        <v>14332</v>
      </c>
      <c r="L1323" s="222">
        <v>9783832195403</v>
      </c>
      <c r="M1323">
        <v>242</v>
      </c>
      <c r="O1323" t="s">
        <v>6639</v>
      </c>
      <c r="P1323">
        <v>420</v>
      </c>
      <c r="Q1323">
        <v>12.38</v>
      </c>
    </row>
    <row r="1324" spans="1:17" x14ac:dyDescent="0.25">
      <c r="A1324">
        <v>1940</v>
      </c>
      <c r="B1324" t="s">
        <v>8089</v>
      </c>
      <c r="C1324" t="s">
        <v>8090</v>
      </c>
      <c r="D1324" t="s">
        <v>8091</v>
      </c>
      <c r="E1324" t="s">
        <v>1913</v>
      </c>
      <c r="F1324">
        <v>2014</v>
      </c>
      <c r="H1324" t="s">
        <v>2734</v>
      </c>
      <c r="I1324">
        <v>1</v>
      </c>
      <c r="K1324" t="s">
        <v>14332</v>
      </c>
      <c r="L1324" s="222">
        <v>9783848920266</v>
      </c>
      <c r="M1324">
        <v>186</v>
      </c>
      <c r="O1324" t="s">
        <v>6640</v>
      </c>
      <c r="P1324">
        <v>365</v>
      </c>
      <c r="Q1324">
        <v>2.86</v>
      </c>
    </row>
    <row r="1325" spans="1:17" x14ac:dyDescent="0.25">
      <c r="A1325">
        <v>1395</v>
      </c>
      <c r="B1325" t="s">
        <v>8093</v>
      </c>
      <c r="C1325" t="s">
        <v>8094</v>
      </c>
      <c r="D1325" t="s">
        <v>2835</v>
      </c>
      <c r="E1325" t="s">
        <v>1913</v>
      </c>
      <c r="F1325">
        <v>2007</v>
      </c>
      <c r="H1325" t="s">
        <v>1878</v>
      </c>
      <c r="I1325">
        <v>2</v>
      </c>
      <c r="J1325" t="s">
        <v>3854</v>
      </c>
      <c r="K1325" t="s">
        <v>14332</v>
      </c>
      <c r="L1325" s="222">
        <v>9783518459317</v>
      </c>
      <c r="M1325">
        <v>288</v>
      </c>
      <c r="O1325" t="s">
        <v>6641</v>
      </c>
      <c r="P1325">
        <v>404</v>
      </c>
      <c r="Q1325">
        <v>1.26</v>
      </c>
    </row>
    <row r="1326" spans="1:17" x14ac:dyDescent="0.25">
      <c r="A1326">
        <v>692</v>
      </c>
      <c r="B1326" t="s">
        <v>8096</v>
      </c>
      <c r="C1326" t="s">
        <v>8097</v>
      </c>
      <c r="D1326" t="s">
        <v>8098</v>
      </c>
      <c r="F1326">
        <v>2012</v>
      </c>
      <c r="H1326" t="s">
        <v>1878</v>
      </c>
      <c r="I1326">
        <v>1</v>
      </c>
      <c r="K1326" t="s">
        <v>14332</v>
      </c>
      <c r="L1326" s="222">
        <v>9783866123328</v>
      </c>
      <c r="M1326">
        <v>288</v>
      </c>
      <c r="O1326" t="s">
        <v>6642</v>
      </c>
      <c r="P1326">
        <v>410</v>
      </c>
      <c r="Q1326">
        <v>1.47</v>
      </c>
    </row>
    <row r="1327" spans="1:17" x14ac:dyDescent="0.25">
      <c r="A1327">
        <v>1386</v>
      </c>
      <c r="B1327" t="s">
        <v>8100</v>
      </c>
      <c r="C1327" t="s">
        <v>8101</v>
      </c>
      <c r="D1327" t="s">
        <v>2835</v>
      </c>
      <c r="E1327" t="s">
        <v>1921</v>
      </c>
      <c r="F1327">
        <v>2010</v>
      </c>
      <c r="H1327" t="s">
        <v>1878</v>
      </c>
      <c r="I1327">
        <v>2</v>
      </c>
      <c r="J1327" t="s">
        <v>3854</v>
      </c>
      <c r="K1327" t="s">
        <v>14332</v>
      </c>
      <c r="L1327" s="222">
        <v>9783518461488</v>
      </c>
      <c r="M1327">
        <v>240</v>
      </c>
      <c r="O1327" t="s">
        <v>6643</v>
      </c>
      <c r="P1327">
        <v>326</v>
      </c>
      <c r="Q1327">
        <v>1.79</v>
      </c>
    </row>
    <row r="1328" spans="1:17" x14ac:dyDescent="0.25">
      <c r="A1328">
        <v>1395</v>
      </c>
      <c r="B1328" t="s">
        <v>8103</v>
      </c>
      <c r="C1328" t="s">
        <v>8104</v>
      </c>
      <c r="D1328" t="s">
        <v>2835</v>
      </c>
      <c r="E1328" t="s">
        <v>1913</v>
      </c>
      <c r="F1328">
        <v>2007</v>
      </c>
      <c r="H1328" t="s">
        <v>1878</v>
      </c>
      <c r="I1328">
        <v>2</v>
      </c>
      <c r="J1328" t="s">
        <v>3854</v>
      </c>
      <c r="K1328" t="s">
        <v>14332</v>
      </c>
      <c r="L1328" s="222">
        <v>9783518459003</v>
      </c>
      <c r="M1328">
        <v>224</v>
      </c>
      <c r="O1328" t="s">
        <v>6644</v>
      </c>
      <c r="P1328">
        <v>325</v>
      </c>
      <c r="Q1328">
        <v>2.12</v>
      </c>
    </row>
    <row r="1329" spans="1:17" x14ac:dyDescent="0.25">
      <c r="A1329">
        <v>796</v>
      </c>
      <c r="B1329" t="s">
        <v>8106</v>
      </c>
      <c r="C1329" t="s">
        <v>8107</v>
      </c>
      <c r="D1329" t="s">
        <v>1095</v>
      </c>
      <c r="E1329" t="s">
        <v>1877</v>
      </c>
      <c r="F1329">
        <v>2012</v>
      </c>
      <c r="H1329" t="s">
        <v>1878</v>
      </c>
      <c r="I1329">
        <v>2</v>
      </c>
      <c r="K1329" t="s">
        <v>14332</v>
      </c>
      <c r="L1329" s="222">
        <v>9783833308369</v>
      </c>
      <c r="M1329">
        <v>288</v>
      </c>
      <c r="O1329" t="s">
        <v>6645</v>
      </c>
      <c r="P1329">
        <v>242</v>
      </c>
      <c r="Q1329">
        <v>1.02</v>
      </c>
    </row>
    <row r="1330" spans="1:17" x14ac:dyDescent="0.25">
      <c r="A1330">
        <v>690</v>
      </c>
      <c r="B1330" t="s">
        <v>8109</v>
      </c>
      <c r="C1330" t="s">
        <v>8110</v>
      </c>
      <c r="D1330" t="s">
        <v>1920</v>
      </c>
      <c r="F1330">
        <v>2009</v>
      </c>
      <c r="H1330" t="s">
        <v>1878</v>
      </c>
      <c r="I1330">
        <v>1</v>
      </c>
      <c r="K1330" t="s">
        <v>14332</v>
      </c>
      <c r="L1330" s="222">
        <v>9783785760321</v>
      </c>
      <c r="M1330">
        <v>288</v>
      </c>
      <c r="O1330" t="s">
        <v>6646</v>
      </c>
      <c r="P1330">
        <v>426</v>
      </c>
      <c r="Q1330">
        <v>1.26</v>
      </c>
    </row>
    <row r="1331" spans="1:17" x14ac:dyDescent="0.25">
      <c r="A1331">
        <v>2518</v>
      </c>
      <c r="B1331" t="s">
        <v>8112</v>
      </c>
      <c r="C1331" t="s">
        <v>8113</v>
      </c>
      <c r="D1331" t="s">
        <v>2054</v>
      </c>
      <c r="F1331">
        <v>2007</v>
      </c>
      <c r="H1331" t="s">
        <v>2734</v>
      </c>
      <c r="I1331">
        <v>2</v>
      </c>
      <c r="K1331" t="s">
        <v>14332</v>
      </c>
      <c r="L1331" s="222">
        <v>9783828990555</v>
      </c>
      <c r="M1331">
        <v>162</v>
      </c>
      <c r="O1331" t="s">
        <v>6647</v>
      </c>
      <c r="P1331">
        <v>192</v>
      </c>
      <c r="Q1331">
        <v>1.02</v>
      </c>
    </row>
    <row r="1332" spans="1:17" x14ac:dyDescent="0.25">
      <c r="A1332">
        <v>689</v>
      </c>
      <c r="B1332" t="s">
        <v>8115</v>
      </c>
      <c r="C1332" t="s">
        <v>8116</v>
      </c>
      <c r="D1332" t="s">
        <v>1876</v>
      </c>
      <c r="F1332">
        <v>2008</v>
      </c>
      <c r="H1332" t="s">
        <v>1878</v>
      </c>
      <c r="I1332">
        <v>1</v>
      </c>
      <c r="K1332" t="s">
        <v>14332</v>
      </c>
      <c r="L1332" s="222">
        <v>9783492266390</v>
      </c>
      <c r="M1332">
        <v>496</v>
      </c>
      <c r="O1332" t="s">
        <v>6648</v>
      </c>
      <c r="P1332">
        <v>530</v>
      </c>
      <c r="Q1332">
        <v>1.26</v>
      </c>
    </row>
    <row r="1333" spans="1:17" x14ac:dyDescent="0.25">
      <c r="A1333">
        <v>2021</v>
      </c>
      <c r="C1333" t="s">
        <v>8118</v>
      </c>
      <c r="D1333" t="s">
        <v>8119</v>
      </c>
      <c r="E1333" t="s">
        <v>2032</v>
      </c>
      <c r="F1333">
        <v>2002</v>
      </c>
      <c r="H1333" t="s">
        <v>1878</v>
      </c>
      <c r="I1333">
        <v>2</v>
      </c>
      <c r="K1333" t="s">
        <v>14332</v>
      </c>
      <c r="L1333" s="222">
        <v>9783746213606</v>
      </c>
      <c r="M1333">
        <v>16</v>
      </c>
      <c r="O1333" t="s">
        <v>6649</v>
      </c>
      <c r="P1333">
        <v>261</v>
      </c>
      <c r="Q1333">
        <v>1.02</v>
      </c>
    </row>
    <row r="1334" spans="1:17" x14ac:dyDescent="0.25">
      <c r="A1334">
        <v>1984</v>
      </c>
      <c r="B1334" t="s">
        <v>8121</v>
      </c>
      <c r="C1334" t="s">
        <v>8122</v>
      </c>
      <c r="D1334" t="s">
        <v>3524</v>
      </c>
      <c r="E1334" t="s">
        <v>1899</v>
      </c>
      <c r="F1334">
        <v>2003</v>
      </c>
      <c r="H1334" t="s">
        <v>2734</v>
      </c>
      <c r="I1334">
        <v>1</v>
      </c>
      <c r="K1334" t="s">
        <v>14332</v>
      </c>
      <c r="L1334" s="222">
        <v>9783785534618</v>
      </c>
      <c r="M1334">
        <v>62</v>
      </c>
      <c r="O1334" t="s">
        <v>6650</v>
      </c>
      <c r="P1334">
        <v>285</v>
      </c>
      <c r="Q1334">
        <v>1.02</v>
      </c>
    </row>
    <row r="1335" spans="1:17" x14ac:dyDescent="0.25">
      <c r="A1335">
        <v>1984</v>
      </c>
      <c r="C1335" t="s">
        <v>8124</v>
      </c>
      <c r="D1335" t="s">
        <v>4930</v>
      </c>
      <c r="F1335">
        <v>2010</v>
      </c>
      <c r="H1335" t="s">
        <v>2734</v>
      </c>
      <c r="I1335">
        <v>1</v>
      </c>
      <c r="K1335" t="s">
        <v>14332</v>
      </c>
      <c r="M1335">
        <v>76</v>
      </c>
      <c r="O1335" t="s">
        <v>6651</v>
      </c>
      <c r="P1335">
        <v>258</v>
      </c>
      <c r="Q1335">
        <v>2.12</v>
      </c>
    </row>
    <row r="1336" spans="1:17" x14ac:dyDescent="0.25">
      <c r="A1336">
        <v>1904</v>
      </c>
      <c r="B1336" t="s">
        <v>8125</v>
      </c>
      <c r="C1336" t="s">
        <v>8126</v>
      </c>
      <c r="D1336" t="s">
        <v>5005</v>
      </c>
      <c r="F1336">
        <v>1993</v>
      </c>
      <c r="H1336" t="s">
        <v>2734</v>
      </c>
      <c r="I1336" s="305">
        <v>43892</v>
      </c>
      <c r="K1336" t="s">
        <v>14332</v>
      </c>
      <c r="M1336">
        <v>482</v>
      </c>
      <c r="O1336" t="s">
        <v>6652</v>
      </c>
      <c r="P1336">
        <v>641</v>
      </c>
      <c r="Q1336">
        <v>1.02</v>
      </c>
    </row>
    <row r="1337" spans="1:17" x14ac:dyDescent="0.25">
      <c r="A1337">
        <v>765</v>
      </c>
      <c r="B1337" t="s">
        <v>8127</v>
      </c>
      <c r="C1337" t="s">
        <v>8128</v>
      </c>
      <c r="D1337" t="s">
        <v>2244</v>
      </c>
      <c r="E1337" t="s">
        <v>2157</v>
      </c>
      <c r="F1337">
        <v>1998</v>
      </c>
      <c r="H1337" t="s">
        <v>1878</v>
      </c>
      <c r="I1337" s="305">
        <v>43892</v>
      </c>
      <c r="J1337" t="s">
        <v>3854</v>
      </c>
      <c r="K1337" t="s">
        <v>14332</v>
      </c>
      <c r="L1337" s="222">
        <v>9783810523273</v>
      </c>
      <c r="M1337">
        <v>256</v>
      </c>
      <c r="O1337" t="s">
        <v>6653</v>
      </c>
      <c r="P1337">
        <v>310</v>
      </c>
      <c r="Q1337">
        <v>1.02</v>
      </c>
    </row>
    <row r="1338" spans="1:17" x14ac:dyDescent="0.25">
      <c r="A1338">
        <v>796</v>
      </c>
      <c r="B1338" t="s">
        <v>8130</v>
      </c>
      <c r="C1338" t="s">
        <v>8131</v>
      </c>
      <c r="D1338" t="s">
        <v>2257</v>
      </c>
      <c r="F1338">
        <v>2006</v>
      </c>
      <c r="H1338" t="s">
        <v>1878</v>
      </c>
      <c r="I1338" s="305">
        <v>43924</v>
      </c>
      <c r="K1338" t="s">
        <v>14332</v>
      </c>
      <c r="L1338" s="222">
        <v>9783426629765</v>
      </c>
      <c r="M1338">
        <v>336</v>
      </c>
      <c r="O1338" t="s">
        <v>6654</v>
      </c>
      <c r="P1338">
        <v>256</v>
      </c>
      <c r="Q1338">
        <v>1.02</v>
      </c>
    </row>
    <row r="1339" spans="1:17" x14ac:dyDescent="0.25">
      <c r="A1339">
        <v>947</v>
      </c>
      <c r="B1339" t="s">
        <v>8134</v>
      </c>
      <c r="C1339" t="s">
        <v>8135</v>
      </c>
      <c r="D1339" t="s">
        <v>1920</v>
      </c>
      <c r="F1339">
        <v>2001</v>
      </c>
      <c r="H1339" t="s">
        <v>1878</v>
      </c>
      <c r="I1339">
        <v>3</v>
      </c>
      <c r="J1339" t="s">
        <v>3854</v>
      </c>
      <c r="K1339" t="s">
        <v>14332</v>
      </c>
      <c r="L1339" s="222">
        <v>9783404605224</v>
      </c>
      <c r="M1339">
        <v>226</v>
      </c>
      <c r="O1339" t="s">
        <v>6655</v>
      </c>
      <c r="P1339">
        <v>239</v>
      </c>
      <c r="Q1339">
        <v>1.02</v>
      </c>
    </row>
    <row r="1340" spans="1:17" x14ac:dyDescent="0.25">
      <c r="A1340">
        <v>965</v>
      </c>
      <c r="B1340" t="s">
        <v>8137</v>
      </c>
      <c r="C1340" t="s">
        <v>8138</v>
      </c>
      <c r="D1340" t="s">
        <v>2609</v>
      </c>
      <c r="F1340">
        <v>1981</v>
      </c>
      <c r="H1340" t="s">
        <v>1878</v>
      </c>
      <c r="I1340">
        <v>3</v>
      </c>
      <c r="K1340" t="s">
        <v>14332</v>
      </c>
      <c r="L1340" s="222">
        <v>9783596267286</v>
      </c>
      <c r="M1340">
        <v>208</v>
      </c>
      <c r="O1340" t="s">
        <v>6656</v>
      </c>
      <c r="P1340">
        <v>109</v>
      </c>
      <c r="Q1340">
        <v>1.02</v>
      </c>
    </row>
    <row r="1341" spans="1:17" x14ac:dyDescent="0.25">
      <c r="A1341">
        <v>765</v>
      </c>
      <c r="B1341" t="s">
        <v>8140</v>
      </c>
      <c r="C1341" t="s">
        <v>8141</v>
      </c>
      <c r="D1341" t="s">
        <v>5926</v>
      </c>
      <c r="F1341">
        <v>1990</v>
      </c>
      <c r="H1341" t="s">
        <v>1878</v>
      </c>
      <c r="I1341">
        <v>3</v>
      </c>
      <c r="K1341" t="s">
        <v>14332</v>
      </c>
      <c r="L1341" s="222">
        <v>9783570059838</v>
      </c>
      <c r="M1341">
        <v>192</v>
      </c>
      <c r="O1341" t="s">
        <v>6657</v>
      </c>
      <c r="P1341">
        <v>294</v>
      </c>
      <c r="Q1341">
        <v>1.26</v>
      </c>
    </row>
    <row r="1342" spans="1:17" x14ac:dyDescent="0.25">
      <c r="A1342">
        <v>704</v>
      </c>
      <c r="B1342" t="s">
        <v>3715</v>
      </c>
      <c r="C1342" t="s">
        <v>8143</v>
      </c>
      <c r="D1342" t="s">
        <v>2309</v>
      </c>
      <c r="E1342" t="s">
        <v>6097</v>
      </c>
      <c r="F1342">
        <v>2002</v>
      </c>
      <c r="H1342" t="s">
        <v>1878</v>
      </c>
      <c r="I1342">
        <v>2</v>
      </c>
      <c r="J1342" t="s">
        <v>3854</v>
      </c>
      <c r="K1342" t="s">
        <v>14332</v>
      </c>
      <c r="L1342" s="222">
        <v>9783548359694</v>
      </c>
      <c r="M1342">
        <v>400</v>
      </c>
      <c r="O1342" t="s">
        <v>6658</v>
      </c>
      <c r="P1342">
        <v>258</v>
      </c>
      <c r="Q1342">
        <v>1.02</v>
      </c>
    </row>
    <row r="1343" spans="1:17" x14ac:dyDescent="0.25">
      <c r="A1343">
        <v>692</v>
      </c>
      <c r="B1343" t="s">
        <v>8144</v>
      </c>
      <c r="C1343" t="s">
        <v>8145</v>
      </c>
      <c r="D1343" t="s">
        <v>2609</v>
      </c>
      <c r="E1343" t="s">
        <v>1899</v>
      </c>
      <c r="F1343">
        <v>1999</v>
      </c>
      <c r="H1343" t="s">
        <v>1878</v>
      </c>
      <c r="I1343">
        <v>3</v>
      </c>
      <c r="K1343" t="s">
        <v>14332</v>
      </c>
      <c r="L1343" s="222">
        <v>9783596138814</v>
      </c>
      <c r="M1343">
        <v>304</v>
      </c>
      <c r="O1343" t="s">
        <v>6659</v>
      </c>
      <c r="P1343">
        <v>224</v>
      </c>
      <c r="Q1343">
        <v>0.85</v>
      </c>
    </row>
    <row r="1344" spans="1:17" x14ac:dyDescent="0.25">
      <c r="A1344">
        <v>765</v>
      </c>
      <c r="C1344" t="s">
        <v>8147</v>
      </c>
      <c r="D1344" t="s">
        <v>8148</v>
      </c>
      <c r="E1344" t="s">
        <v>2032</v>
      </c>
      <c r="F1344">
        <v>1994</v>
      </c>
      <c r="H1344" t="s">
        <v>1878</v>
      </c>
      <c r="I1344">
        <v>3</v>
      </c>
      <c r="K1344" t="s">
        <v>14332</v>
      </c>
      <c r="L1344" s="222">
        <v>9783762604549</v>
      </c>
      <c r="M1344">
        <v>120</v>
      </c>
      <c r="O1344" t="s">
        <v>6660</v>
      </c>
      <c r="P1344">
        <v>144</v>
      </c>
      <c r="Q1344">
        <v>0.85</v>
      </c>
    </row>
    <row r="1345" spans="1:17" x14ac:dyDescent="0.25">
      <c r="A1345">
        <v>792</v>
      </c>
      <c r="B1345" t="s">
        <v>8150</v>
      </c>
      <c r="C1345" t="s">
        <v>8151</v>
      </c>
      <c r="D1345" t="s">
        <v>2609</v>
      </c>
      <c r="F1345">
        <v>1994</v>
      </c>
      <c r="H1345" t="s">
        <v>1878</v>
      </c>
      <c r="I1345">
        <v>3</v>
      </c>
      <c r="K1345" t="s">
        <v>14332</v>
      </c>
      <c r="L1345" s="222">
        <v>9783596122691</v>
      </c>
      <c r="M1345">
        <v>208</v>
      </c>
      <c r="O1345" t="s">
        <v>6661</v>
      </c>
      <c r="P1345">
        <v>189</v>
      </c>
      <c r="Q1345">
        <v>0.85</v>
      </c>
    </row>
    <row r="1346" spans="1:17" x14ac:dyDescent="0.25">
      <c r="A1346">
        <v>734</v>
      </c>
      <c r="B1346" t="s">
        <v>7392</v>
      </c>
      <c r="C1346" t="s">
        <v>8153</v>
      </c>
      <c r="D1346" t="s">
        <v>2209</v>
      </c>
      <c r="F1346">
        <v>1998</v>
      </c>
      <c r="H1346" t="s">
        <v>1878</v>
      </c>
      <c r="I1346">
        <v>3</v>
      </c>
      <c r="K1346" t="s">
        <v>14332</v>
      </c>
      <c r="L1346" s="222">
        <v>9783453129573</v>
      </c>
      <c r="M1346">
        <v>512</v>
      </c>
      <c r="O1346" t="s">
        <v>6662</v>
      </c>
      <c r="P1346">
        <v>353</v>
      </c>
      <c r="Q1346">
        <v>1.99</v>
      </c>
    </row>
    <row r="1347" spans="1:17" x14ac:dyDescent="0.25">
      <c r="A1347">
        <v>643</v>
      </c>
      <c r="B1347" t="s">
        <v>8155</v>
      </c>
      <c r="C1347" t="s">
        <v>8156</v>
      </c>
      <c r="D1347" t="s">
        <v>1912</v>
      </c>
      <c r="E1347" t="s">
        <v>1921</v>
      </c>
      <c r="F1347">
        <v>1998</v>
      </c>
      <c r="H1347" t="s">
        <v>1878</v>
      </c>
      <c r="I1347">
        <v>3</v>
      </c>
      <c r="K1347" t="s">
        <v>14332</v>
      </c>
      <c r="L1347" s="222">
        <v>9783442540211</v>
      </c>
      <c r="M1347">
        <v>320</v>
      </c>
      <c r="O1347" t="s">
        <v>6663</v>
      </c>
      <c r="P1347">
        <v>366</v>
      </c>
      <c r="Q1347">
        <v>0.85</v>
      </c>
    </row>
    <row r="1348" spans="1:17" x14ac:dyDescent="0.25">
      <c r="A1348">
        <v>1230</v>
      </c>
      <c r="C1348" t="s">
        <v>8158</v>
      </c>
      <c r="D1348" t="s">
        <v>1912</v>
      </c>
      <c r="E1348" t="s">
        <v>1877</v>
      </c>
      <c r="F1348">
        <v>1987</v>
      </c>
      <c r="H1348" t="s">
        <v>1878</v>
      </c>
      <c r="I1348">
        <v>3</v>
      </c>
      <c r="K1348" t="s">
        <v>14332</v>
      </c>
      <c r="L1348" s="222">
        <v>9783442026098</v>
      </c>
      <c r="M1348">
        <v>208</v>
      </c>
      <c r="O1348" t="s">
        <v>6664</v>
      </c>
      <c r="P1348">
        <v>168</v>
      </c>
      <c r="Q1348">
        <v>1.29</v>
      </c>
    </row>
    <row r="1349" spans="1:17" x14ac:dyDescent="0.25">
      <c r="A1349">
        <v>1396</v>
      </c>
      <c r="B1349" t="s">
        <v>8160</v>
      </c>
      <c r="C1349" t="s">
        <v>8161</v>
      </c>
      <c r="D1349" t="s">
        <v>1912</v>
      </c>
      <c r="E1349" t="s">
        <v>1921</v>
      </c>
      <c r="F1349">
        <v>1998</v>
      </c>
      <c r="H1349" t="s">
        <v>1878</v>
      </c>
      <c r="I1349">
        <v>3</v>
      </c>
      <c r="J1349" t="s">
        <v>3854</v>
      </c>
      <c r="K1349" t="s">
        <v>14332</v>
      </c>
      <c r="L1349" s="222">
        <v>9783442416295</v>
      </c>
      <c r="M1349">
        <v>400</v>
      </c>
      <c r="O1349" t="s">
        <v>6665</v>
      </c>
      <c r="P1349">
        <v>484</v>
      </c>
      <c r="Q1349">
        <v>1.44</v>
      </c>
    </row>
    <row r="1350" spans="1:17" x14ac:dyDescent="0.25">
      <c r="A1350">
        <v>763</v>
      </c>
      <c r="B1350" t="s">
        <v>8163</v>
      </c>
      <c r="C1350" t="s">
        <v>8164</v>
      </c>
      <c r="D1350" t="s">
        <v>1920</v>
      </c>
      <c r="F1350">
        <v>2000</v>
      </c>
      <c r="H1350" t="s">
        <v>1878</v>
      </c>
      <c r="I1350">
        <v>3</v>
      </c>
      <c r="J1350" t="s">
        <v>3854</v>
      </c>
      <c r="K1350" t="s">
        <v>14332</v>
      </c>
      <c r="L1350" s="222">
        <v>9783404605002</v>
      </c>
      <c r="M1350">
        <v>480</v>
      </c>
      <c r="O1350" t="s">
        <v>6666</v>
      </c>
      <c r="P1350">
        <v>407</v>
      </c>
      <c r="Q1350">
        <v>1.7</v>
      </c>
    </row>
    <row r="1351" spans="1:17" x14ac:dyDescent="0.25">
      <c r="A1351">
        <v>1927</v>
      </c>
      <c r="B1351" t="s">
        <v>8166</v>
      </c>
      <c r="C1351" t="s">
        <v>8167</v>
      </c>
      <c r="D1351" t="s">
        <v>2309</v>
      </c>
      <c r="F1351">
        <v>2001</v>
      </c>
      <c r="H1351" t="s">
        <v>1878</v>
      </c>
      <c r="I1351">
        <v>3</v>
      </c>
      <c r="J1351" t="s">
        <v>3854</v>
      </c>
      <c r="K1351" t="s">
        <v>14332</v>
      </c>
      <c r="L1351" s="222">
        <v>9783548362267</v>
      </c>
      <c r="M1351">
        <v>240</v>
      </c>
      <c r="O1351" t="s">
        <v>6667</v>
      </c>
      <c r="P1351">
        <v>162</v>
      </c>
      <c r="Q1351">
        <v>1.5</v>
      </c>
    </row>
    <row r="1352" spans="1:17" x14ac:dyDescent="0.25">
      <c r="A1352">
        <v>8</v>
      </c>
      <c r="B1352" t="s">
        <v>8169</v>
      </c>
      <c r="C1352" t="s">
        <v>8170</v>
      </c>
      <c r="D1352" t="s">
        <v>2609</v>
      </c>
      <c r="F1352">
        <v>1981</v>
      </c>
      <c r="H1352" t="s">
        <v>1878</v>
      </c>
      <c r="I1352">
        <v>3</v>
      </c>
      <c r="J1352" t="s">
        <v>3854</v>
      </c>
      <c r="K1352" t="s">
        <v>14332</v>
      </c>
      <c r="L1352" s="222">
        <v>9783596221127</v>
      </c>
      <c r="M1352">
        <v>224</v>
      </c>
      <c r="O1352" t="s">
        <v>6668</v>
      </c>
      <c r="P1352">
        <v>179</v>
      </c>
      <c r="Q1352">
        <v>1.6</v>
      </c>
    </row>
    <row r="1353" spans="1:17" x14ac:dyDescent="0.25">
      <c r="A1353">
        <v>765</v>
      </c>
      <c r="B1353" t="s">
        <v>8172</v>
      </c>
      <c r="C1353" t="s">
        <v>8173</v>
      </c>
      <c r="D1353" t="s">
        <v>1912</v>
      </c>
      <c r="F1353">
        <v>1991</v>
      </c>
      <c r="H1353" t="s">
        <v>1878</v>
      </c>
      <c r="I1353">
        <v>3</v>
      </c>
      <c r="K1353" t="s">
        <v>14332</v>
      </c>
      <c r="L1353" s="222">
        <v>9783442114962</v>
      </c>
      <c r="M1353">
        <v>224</v>
      </c>
      <c r="O1353" t="s">
        <v>6669</v>
      </c>
      <c r="P1353">
        <v>232</v>
      </c>
      <c r="Q1353">
        <v>2.4</v>
      </c>
    </row>
    <row r="1354" spans="1:17" x14ac:dyDescent="0.25">
      <c r="A1354">
        <v>2551</v>
      </c>
      <c r="B1354" t="s">
        <v>8175</v>
      </c>
      <c r="C1354" t="s">
        <v>8176</v>
      </c>
      <c r="D1354" t="s">
        <v>2209</v>
      </c>
      <c r="F1354">
        <v>2010</v>
      </c>
      <c r="H1354" t="s">
        <v>1878</v>
      </c>
      <c r="I1354" s="305">
        <v>43892</v>
      </c>
      <c r="K1354" t="s">
        <v>14332</v>
      </c>
      <c r="L1354" s="222">
        <v>9783869972398</v>
      </c>
      <c r="M1354">
        <v>304</v>
      </c>
      <c r="O1354" t="s">
        <v>6670</v>
      </c>
      <c r="P1354">
        <v>185</v>
      </c>
      <c r="Q1354">
        <v>0.85</v>
      </c>
    </row>
    <row r="1355" spans="1:17" x14ac:dyDescent="0.25">
      <c r="A1355">
        <v>2522</v>
      </c>
      <c r="B1355" t="s">
        <v>6431</v>
      </c>
      <c r="C1355" t="s">
        <v>8178</v>
      </c>
      <c r="D1355" t="s">
        <v>1912</v>
      </c>
      <c r="F1355">
        <v>2003</v>
      </c>
      <c r="H1355" t="s">
        <v>1878</v>
      </c>
      <c r="I1355">
        <v>2</v>
      </c>
      <c r="J1355" t="s">
        <v>3854</v>
      </c>
      <c r="K1355" t="s">
        <v>14332</v>
      </c>
      <c r="L1355" s="222">
        <v>9783442454259</v>
      </c>
      <c r="M1355">
        <v>416</v>
      </c>
      <c r="O1355" t="s">
        <v>6671</v>
      </c>
      <c r="P1355">
        <v>367</v>
      </c>
      <c r="Q1355">
        <v>0.85</v>
      </c>
    </row>
    <row r="1356" spans="1:17" x14ac:dyDescent="0.25">
      <c r="A1356">
        <v>944</v>
      </c>
      <c r="B1356" t="s">
        <v>8180</v>
      </c>
      <c r="C1356" t="s">
        <v>8181</v>
      </c>
      <c r="D1356" t="s">
        <v>2309</v>
      </c>
      <c r="E1356" t="s">
        <v>1921</v>
      </c>
      <c r="F1356">
        <v>1999</v>
      </c>
      <c r="H1356" t="s">
        <v>1878</v>
      </c>
      <c r="I1356">
        <v>2</v>
      </c>
      <c r="K1356" t="s">
        <v>14332</v>
      </c>
      <c r="L1356" s="222">
        <v>9783548359410</v>
      </c>
      <c r="M1356">
        <v>168</v>
      </c>
      <c r="O1356" t="s">
        <v>6672</v>
      </c>
      <c r="P1356">
        <v>190</v>
      </c>
      <c r="Q1356">
        <v>1.1200000000000001</v>
      </c>
    </row>
    <row r="1357" spans="1:17" x14ac:dyDescent="0.25">
      <c r="A1357">
        <v>914</v>
      </c>
      <c r="B1357" t="s">
        <v>8183</v>
      </c>
      <c r="C1357" t="s">
        <v>8184</v>
      </c>
      <c r="D1357" t="s">
        <v>1920</v>
      </c>
      <c r="E1357" t="s">
        <v>1921</v>
      </c>
      <c r="F1357">
        <v>2004</v>
      </c>
      <c r="H1357" t="s">
        <v>1878</v>
      </c>
      <c r="I1357">
        <v>2</v>
      </c>
      <c r="J1357" t="s">
        <v>3854</v>
      </c>
      <c r="K1357" t="s">
        <v>14332</v>
      </c>
      <c r="L1357" s="222">
        <v>9783404605347</v>
      </c>
      <c r="M1357">
        <v>256</v>
      </c>
      <c r="O1357" t="s">
        <v>6673</v>
      </c>
      <c r="P1357">
        <v>251</v>
      </c>
      <c r="Q1357">
        <v>1.44</v>
      </c>
    </row>
    <row r="1358" spans="1:17" x14ac:dyDescent="0.25">
      <c r="A1358">
        <v>796</v>
      </c>
      <c r="B1358" t="s">
        <v>8186</v>
      </c>
      <c r="C1358" t="s">
        <v>8187</v>
      </c>
      <c r="D1358" t="s">
        <v>3646</v>
      </c>
      <c r="E1358" t="s">
        <v>3141</v>
      </c>
      <c r="F1358">
        <v>2006</v>
      </c>
      <c r="H1358" t="s">
        <v>1878</v>
      </c>
      <c r="I1358">
        <v>2</v>
      </c>
      <c r="K1358" t="s">
        <v>14332</v>
      </c>
      <c r="L1358" s="222">
        <v>9783861900481</v>
      </c>
      <c r="M1358">
        <v>304</v>
      </c>
      <c r="O1358" t="s">
        <v>6674</v>
      </c>
      <c r="P1358">
        <v>276</v>
      </c>
      <c r="Q1358">
        <v>1.1200000000000001</v>
      </c>
    </row>
    <row r="1359" spans="1:17" x14ac:dyDescent="0.25">
      <c r="A1359">
        <v>692</v>
      </c>
      <c r="B1359" t="s">
        <v>7761</v>
      </c>
      <c r="C1359" t="s">
        <v>7762</v>
      </c>
      <c r="D1359" t="s">
        <v>2309</v>
      </c>
      <c r="E1359" t="s">
        <v>2157</v>
      </c>
      <c r="F1359">
        <v>2010</v>
      </c>
      <c r="H1359" t="s">
        <v>1878</v>
      </c>
      <c r="I1359">
        <v>3</v>
      </c>
      <c r="K1359" t="s">
        <v>14332</v>
      </c>
      <c r="L1359" s="222">
        <v>9783548280400</v>
      </c>
      <c r="M1359">
        <v>224</v>
      </c>
      <c r="O1359" t="s">
        <v>6675</v>
      </c>
      <c r="P1359">
        <v>243</v>
      </c>
      <c r="Q1359">
        <v>0.85</v>
      </c>
    </row>
    <row r="1360" spans="1:17" x14ac:dyDescent="0.25">
      <c r="A1360">
        <v>692</v>
      </c>
      <c r="B1360" t="s">
        <v>8189</v>
      </c>
      <c r="C1360" t="s">
        <v>8190</v>
      </c>
      <c r="D1360" t="s">
        <v>1912</v>
      </c>
      <c r="F1360">
        <v>2001</v>
      </c>
      <c r="H1360" t="s">
        <v>1878</v>
      </c>
      <c r="I1360">
        <v>2</v>
      </c>
      <c r="J1360" t="s">
        <v>3854</v>
      </c>
      <c r="K1360" t="s">
        <v>14332</v>
      </c>
      <c r="L1360" s="222">
        <v>9783442448470</v>
      </c>
      <c r="M1360">
        <v>640</v>
      </c>
      <c r="O1360" t="s">
        <v>6676</v>
      </c>
      <c r="P1360">
        <v>419</v>
      </c>
      <c r="Q1360">
        <v>0.85</v>
      </c>
    </row>
    <row r="1361" spans="1:17" x14ac:dyDescent="0.25">
      <c r="A1361">
        <v>613</v>
      </c>
      <c r="B1361" t="s">
        <v>8192</v>
      </c>
      <c r="C1361" t="s">
        <v>7338</v>
      </c>
      <c r="D1361" t="s">
        <v>2209</v>
      </c>
      <c r="F1361">
        <v>2003</v>
      </c>
      <c r="H1361" t="s">
        <v>1878</v>
      </c>
      <c r="I1361">
        <v>2</v>
      </c>
      <c r="K1361" t="s">
        <v>14332</v>
      </c>
      <c r="L1361" s="222">
        <v>9783453872592</v>
      </c>
      <c r="M1361">
        <v>336</v>
      </c>
      <c r="O1361" t="s">
        <v>6677</v>
      </c>
      <c r="P1361">
        <v>333</v>
      </c>
      <c r="Q1361">
        <v>0.85</v>
      </c>
    </row>
    <row r="1362" spans="1:17" x14ac:dyDescent="0.25">
      <c r="A1362">
        <v>2556</v>
      </c>
      <c r="B1362" t="s">
        <v>8194</v>
      </c>
      <c r="C1362" t="s">
        <v>8195</v>
      </c>
      <c r="D1362" t="s">
        <v>1912</v>
      </c>
      <c r="F1362">
        <v>2010</v>
      </c>
      <c r="H1362" t="s">
        <v>1878</v>
      </c>
      <c r="I1362">
        <v>3</v>
      </c>
      <c r="K1362" t="s">
        <v>14332</v>
      </c>
      <c r="L1362" s="222">
        <v>4016491018314</v>
      </c>
      <c r="M1362">
        <v>320</v>
      </c>
      <c r="O1362" t="s">
        <v>6678</v>
      </c>
      <c r="P1362">
        <v>191</v>
      </c>
      <c r="Q1362">
        <v>0.85</v>
      </c>
    </row>
    <row r="1363" spans="1:17" x14ac:dyDescent="0.25">
      <c r="A1363">
        <v>2547</v>
      </c>
      <c r="B1363" t="s">
        <v>8196</v>
      </c>
      <c r="C1363" t="s">
        <v>8197</v>
      </c>
      <c r="D1363" t="s">
        <v>2257</v>
      </c>
      <c r="F1363">
        <v>2002</v>
      </c>
      <c r="H1363" t="s">
        <v>1878</v>
      </c>
      <c r="I1363">
        <v>3</v>
      </c>
      <c r="J1363" t="s">
        <v>3854</v>
      </c>
      <c r="K1363" t="s">
        <v>14332</v>
      </c>
      <c r="L1363" s="222">
        <v>9783426609279</v>
      </c>
      <c r="M1363">
        <v>352</v>
      </c>
      <c r="O1363" t="s">
        <v>6679</v>
      </c>
      <c r="P1363">
        <v>193</v>
      </c>
      <c r="Q1363">
        <v>0.85</v>
      </c>
    </row>
    <row r="1364" spans="1:17" x14ac:dyDescent="0.25">
      <c r="A1364">
        <v>1325</v>
      </c>
      <c r="B1364" t="s">
        <v>8199</v>
      </c>
      <c r="C1364" t="s">
        <v>8200</v>
      </c>
      <c r="D1364" t="s">
        <v>2609</v>
      </c>
      <c r="E1364" t="s">
        <v>2175</v>
      </c>
      <c r="F1364">
        <v>2000</v>
      </c>
      <c r="H1364" t="s">
        <v>1878</v>
      </c>
      <c r="I1364">
        <v>3</v>
      </c>
      <c r="K1364" t="s">
        <v>14332</v>
      </c>
      <c r="L1364" s="222">
        <v>9783596138579</v>
      </c>
      <c r="M1364">
        <v>192</v>
      </c>
      <c r="O1364" t="s">
        <v>6680</v>
      </c>
      <c r="P1364">
        <v>122</v>
      </c>
      <c r="Q1364">
        <v>0.85</v>
      </c>
    </row>
    <row r="1365" spans="1:17" x14ac:dyDescent="0.25">
      <c r="A1365">
        <v>692</v>
      </c>
      <c r="B1365" t="s">
        <v>8202</v>
      </c>
      <c r="C1365" t="s">
        <v>8203</v>
      </c>
      <c r="D1365" t="s">
        <v>2257</v>
      </c>
      <c r="E1365" t="s">
        <v>1921</v>
      </c>
      <c r="F1365">
        <v>1999</v>
      </c>
      <c r="H1365" t="s">
        <v>1878</v>
      </c>
      <c r="I1365">
        <v>3</v>
      </c>
      <c r="K1365" t="s">
        <v>14332</v>
      </c>
      <c r="L1365" s="222">
        <v>9783426609248</v>
      </c>
      <c r="M1365">
        <v>416</v>
      </c>
      <c r="O1365" t="s">
        <v>6681</v>
      </c>
      <c r="P1365">
        <v>229</v>
      </c>
      <c r="Q1365">
        <v>0.85</v>
      </c>
    </row>
    <row r="1366" spans="1:17" x14ac:dyDescent="0.25">
      <c r="A1366">
        <v>1395</v>
      </c>
      <c r="B1366" t="s">
        <v>4802</v>
      </c>
      <c r="C1366" t="s">
        <v>8205</v>
      </c>
      <c r="D1366" t="s">
        <v>1920</v>
      </c>
      <c r="F1366">
        <v>2007</v>
      </c>
      <c r="H1366" t="s">
        <v>1878</v>
      </c>
      <c r="I1366">
        <v>2</v>
      </c>
      <c r="K1366" t="s">
        <v>14332</v>
      </c>
      <c r="L1366" s="222">
        <v>9783404156146</v>
      </c>
      <c r="M1366">
        <v>304</v>
      </c>
      <c r="O1366" t="s">
        <v>6682</v>
      </c>
      <c r="P1366">
        <v>270</v>
      </c>
      <c r="Q1366">
        <v>0.85</v>
      </c>
    </row>
    <row r="1367" spans="1:17" x14ac:dyDescent="0.25">
      <c r="A1367">
        <v>1231</v>
      </c>
      <c r="B1367" t="s">
        <v>8207</v>
      </c>
      <c r="C1367" t="s">
        <v>8208</v>
      </c>
      <c r="D1367" t="s">
        <v>2419</v>
      </c>
      <c r="F1367">
        <v>1998</v>
      </c>
      <c r="H1367" t="s">
        <v>2734</v>
      </c>
      <c r="I1367">
        <v>2</v>
      </c>
      <c r="J1367" t="s">
        <v>4291</v>
      </c>
      <c r="K1367" t="s">
        <v>14332</v>
      </c>
      <c r="M1367">
        <v>386</v>
      </c>
      <c r="O1367" t="s">
        <v>6683</v>
      </c>
      <c r="P1367">
        <v>624</v>
      </c>
      <c r="Q1367">
        <v>0.89</v>
      </c>
    </row>
    <row r="1368" spans="1:17" x14ac:dyDescent="0.25">
      <c r="A1368">
        <v>1395</v>
      </c>
      <c r="B1368" t="s">
        <v>8209</v>
      </c>
      <c r="C1368" t="s">
        <v>8210</v>
      </c>
      <c r="D1368" t="s">
        <v>1988</v>
      </c>
      <c r="F1368">
        <v>2013</v>
      </c>
      <c r="H1368" t="s">
        <v>1878</v>
      </c>
      <c r="I1368" s="305">
        <v>43892</v>
      </c>
      <c r="K1368" t="s">
        <v>14332</v>
      </c>
      <c r="L1368" s="222">
        <v>9783423214377</v>
      </c>
      <c r="M1368">
        <v>334</v>
      </c>
      <c r="O1368" t="s">
        <v>6684</v>
      </c>
      <c r="P1368">
        <v>250</v>
      </c>
      <c r="Q1368">
        <v>0.85</v>
      </c>
    </row>
    <row r="1369" spans="1:17" x14ac:dyDescent="0.25">
      <c r="A1369">
        <v>1396</v>
      </c>
      <c r="B1369" t="s">
        <v>8212</v>
      </c>
      <c r="C1369" t="s">
        <v>8213</v>
      </c>
      <c r="D1369" t="s">
        <v>1912</v>
      </c>
      <c r="E1369" t="s">
        <v>1921</v>
      </c>
      <c r="F1369">
        <v>2000</v>
      </c>
      <c r="H1369" t="s">
        <v>1878</v>
      </c>
      <c r="I1369" s="305">
        <v>43892</v>
      </c>
      <c r="J1369" t="s">
        <v>3854</v>
      </c>
      <c r="K1369" t="s">
        <v>14332</v>
      </c>
      <c r="L1369" s="222">
        <v>9783442541270</v>
      </c>
      <c r="M1369">
        <v>320</v>
      </c>
      <c r="O1369" t="s">
        <v>6685</v>
      </c>
      <c r="P1369">
        <v>360</v>
      </c>
      <c r="Q1369">
        <v>0.85</v>
      </c>
    </row>
    <row r="1370" spans="1:17" x14ac:dyDescent="0.25">
      <c r="A1370">
        <v>1352</v>
      </c>
      <c r="B1370" t="s">
        <v>7806</v>
      </c>
      <c r="C1370" t="s">
        <v>7807</v>
      </c>
      <c r="D1370" t="s">
        <v>5005</v>
      </c>
      <c r="F1370">
        <v>2001</v>
      </c>
      <c r="H1370" t="s">
        <v>1878</v>
      </c>
      <c r="I1370" s="305">
        <v>43892</v>
      </c>
      <c r="K1370" t="s">
        <v>14332</v>
      </c>
      <c r="M1370">
        <v>352</v>
      </c>
      <c r="O1370" t="s">
        <v>6686</v>
      </c>
      <c r="P1370">
        <v>254</v>
      </c>
      <c r="Q1370">
        <v>0.85</v>
      </c>
    </row>
    <row r="1371" spans="1:17" x14ac:dyDescent="0.25">
      <c r="A1371">
        <v>692</v>
      </c>
      <c r="B1371" t="s">
        <v>8215</v>
      </c>
      <c r="C1371" t="s">
        <v>8216</v>
      </c>
      <c r="D1371" t="s">
        <v>1920</v>
      </c>
      <c r="F1371">
        <v>2004</v>
      </c>
      <c r="H1371" t="s">
        <v>1878</v>
      </c>
      <c r="I1371" s="305">
        <v>43892</v>
      </c>
      <c r="J1371" t="s">
        <v>3854</v>
      </c>
      <c r="K1371" t="s">
        <v>14332</v>
      </c>
      <c r="L1371" s="222">
        <v>9783404162543</v>
      </c>
      <c r="M1371">
        <v>256</v>
      </c>
      <c r="O1371" t="s">
        <v>6687</v>
      </c>
      <c r="P1371">
        <v>249</v>
      </c>
      <c r="Q1371">
        <v>0.96</v>
      </c>
    </row>
    <row r="1372" spans="1:17" x14ac:dyDescent="0.25">
      <c r="A1372">
        <v>2551</v>
      </c>
      <c r="B1372" t="s">
        <v>8218</v>
      </c>
      <c r="C1372" t="s">
        <v>8219</v>
      </c>
      <c r="D1372" t="s">
        <v>2300</v>
      </c>
      <c r="E1372" t="s">
        <v>2157</v>
      </c>
      <c r="F1372">
        <v>2012</v>
      </c>
      <c r="H1372" t="s">
        <v>1878</v>
      </c>
      <c r="I1372">
        <v>2</v>
      </c>
      <c r="K1372" t="s">
        <v>14332</v>
      </c>
      <c r="L1372" s="222">
        <v>9783862520190</v>
      </c>
      <c r="M1372">
        <v>590</v>
      </c>
      <c r="O1372" t="s">
        <v>6688</v>
      </c>
      <c r="P1372">
        <v>718</v>
      </c>
      <c r="Q1372">
        <v>0.89</v>
      </c>
    </row>
    <row r="1373" spans="1:17" x14ac:dyDescent="0.25">
      <c r="A1373">
        <v>2522</v>
      </c>
      <c r="B1373" t="s">
        <v>8222</v>
      </c>
      <c r="C1373" t="s">
        <v>8223</v>
      </c>
      <c r="D1373" t="s">
        <v>1876</v>
      </c>
      <c r="F1373">
        <v>2011</v>
      </c>
      <c r="H1373" t="s">
        <v>1878</v>
      </c>
      <c r="I1373" s="305">
        <v>43862</v>
      </c>
      <c r="K1373" t="s">
        <v>14332</v>
      </c>
      <c r="L1373" s="222">
        <v>9783492258135</v>
      </c>
      <c r="M1373">
        <v>384</v>
      </c>
      <c r="O1373" t="s">
        <v>6690</v>
      </c>
      <c r="P1373">
        <v>324</v>
      </c>
      <c r="Q1373">
        <v>0.85</v>
      </c>
    </row>
    <row r="1374" spans="1:17" x14ac:dyDescent="0.25">
      <c r="A1374">
        <v>2943</v>
      </c>
      <c r="B1374" t="s">
        <v>8225</v>
      </c>
      <c r="C1374" t="s">
        <v>8226</v>
      </c>
      <c r="D1374" t="s">
        <v>8227</v>
      </c>
      <c r="E1374" t="s">
        <v>1899</v>
      </c>
      <c r="F1374">
        <v>1981</v>
      </c>
      <c r="H1374" t="s">
        <v>1878</v>
      </c>
      <c r="I1374" s="305">
        <v>43892</v>
      </c>
      <c r="K1374" t="s">
        <v>14332</v>
      </c>
      <c r="L1374" s="222">
        <v>9783726100018</v>
      </c>
      <c r="M1374">
        <v>162</v>
      </c>
      <c r="O1374" t="s">
        <v>6691</v>
      </c>
      <c r="P1374">
        <v>181</v>
      </c>
      <c r="Q1374">
        <v>3.35</v>
      </c>
    </row>
    <row r="1375" spans="1:17" x14ac:dyDescent="0.25">
      <c r="A1375">
        <v>1927</v>
      </c>
      <c r="B1375" t="s">
        <v>8229</v>
      </c>
      <c r="C1375" t="s">
        <v>8230</v>
      </c>
      <c r="D1375" t="s">
        <v>1912</v>
      </c>
      <c r="E1375" t="s">
        <v>1921</v>
      </c>
      <c r="F1375">
        <v>2006</v>
      </c>
      <c r="H1375" t="s">
        <v>1878</v>
      </c>
      <c r="I1375">
        <v>2</v>
      </c>
      <c r="J1375" t="s">
        <v>3854</v>
      </c>
      <c r="K1375" t="s">
        <v>14332</v>
      </c>
      <c r="L1375" s="222">
        <v>9783442166855</v>
      </c>
      <c r="M1375">
        <v>400</v>
      </c>
      <c r="O1375" t="s">
        <v>6692</v>
      </c>
      <c r="P1375">
        <v>382</v>
      </c>
      <c r="Q1375">
        <v>1.89</v>
      </c>
    </row>
    <row r="1376" spans="1:17" x14ac:dyDescent="0.25">
      <c r="A1376">
        <v>632</v>
      </c>
      <c r="B1376" t="s">
        <v>2252</v>
      </c>
      <c r="C1376" t="s">
        <v>2917</v>
      </c>
      <c r="D1376" t="s">
        <v>1912</v>
      </c>
      <c r="E1376" t="s">
        <v>2412</v>
      </c>
      <c r="F1376">
        <v>2003</v>
      </c>
      <c r="H1376" t="s">
        <v>1878</v>
      </c>
      <c r="I1376">
        <v>3</v>
      </c>
      <c r="J1376" t="s">
        <v>4314</v>
      </c>
      <c r="K1376" t="s">
        <v>14332</v>
      </c>
      <c r="L1376" s="222">
        <v>9783442455317</v>
      </c>
      <c r="M1376">
        <v>512</v>
      </c>
      <c r="O1376" t="s">
        <v>6694</v>
      </c>
      <c r="P1376">
        <v>394</v>
      </c>
      <c r="Q1376">
        <v>0.85</v>
      </c>
    </row>
    <row r="1377" spans="1:17" x14ac:dyDescent="0.25">
      <c r="A1377">
        <v>1395</v>
      </c>
      <c r="B1377" t="s">
        <v>8235</v>
      </c>
      <c r="C1377" t="s">
        <v>8236</v>
      </c>
      <c r="D1377" t="s">
        <v>4914</v>
      </c>
      <c r="F1377">
        <v>2002</v>
      </c>
      <c r="H1377" t="s">
        <v>2734</v>
      </c>
      <c r="I1377">
        <v>2</v>
      </c>
      <c r="K1377" t="s">
        <v>14332</v>
      </c>
      <c r="L1377" s="222">
        <v>9783406493133</v>
      </c>
      <c r="M1377">
        <v>178</v>
      </c>
      <c r="O1377" t="s">
        <v>6695</v>
      </c>
      <c r="P1377">
        <v>280</v>
      </c>
      <c r="Q1377">
        <v>0.85</v>
      </c>
    </row>
    <row r="1378" spans="1:17" x14ac:dyDescent="0.25">
      <c r="A1378">
        <v>692</v>
      </c>
      <c r="B1378" t="s">
        <v>8238</v>
      </c>
      <c r="C1378" t="s">
        <v>8239</v>
      </c>
      <c r="D1378" t="s">
        <v>2257</v>
      </c>
      <c r="E1378" t="s">
        <v>8240</v>
      </c>
      <c r="F1378">
        <v>1996</v>
      </c>
      <c r="H1378" t="s">
        <v>1878</v>
      </c>
      <c r="I1378">
        <v>3</v>
      </c>
      <c r="K1378" t="s">
        <v>14332</v>
      </c>
      <c r="L1378" s="222">
        <v>9783426650752</v>
      </c>
      <c r="M1378">
        <v>592</v>
      </c>
      <c r="O1378" t="s">
        <v>6696</v>
      </c>
      <c r="P1378">
        <v>323</v>
      </c>
      <c r="Q1378">
        <v>0.85</v>
      </c>
    </row>
    <row r="1379" spans="1:17" x14ac:dyDescent="0.25">
      <c r="A1379">
        <v>796</v>
      </c>
      <c r="B1379" t="s">
        <v>8242</v>
      </c>
      <c r="C1379" t="s">
        <v>8243</v>
      </c>
      <c r="D1379" t="s">
        <v>1988</v>
      </c>
      <c r="F1379">
        <v>1998</v>
      </c>
      <c r="H1379" t="s">
        <v>1878</v>
      </c>
      <c r="I1379">
        <v>2</v>
      </c>
      <c r="K1379" t="s">
        <v>14332</v>
      </c>
      <c r="L1379" s="222">
        <v>9783423084512</v>
      </c>
      <c r="M1379">
        <v>432</v>
      </c>
      <c r="O1379" t="s">
        <v>6697</v>
      </c>
      <c r="P1379">
        <v>256</v>
      </c>
      <c r="Q1379">
        <v>0.85</v>
      </c>
    </row>
    <row r="1380" spans="1:17" x14ac:dyDescent="0.25">
      <c r="A1380">
        <v>2522</v>
      </c>
      <c r="B1380" t="s">
        <v>8245</v>
      </c>
      <c r="C1380" t="s">
        <v>8246</v>
      </c>
      <c r="D1380" t="s">
        <v>1920</v>
      </c>
      <c r="F1380">
        <v>2003</v>
      </c>
      <c r="H1380" t="s">
        <v>1878</v>
      </c>
      <c r="I1380">
        <v>3</v>
      </c>
      <c r="K1380" t="s">
        <v>14332</v>
      </c>
      <c r="L1380" s="222">
        <v>9783404150557</v>
      </c>
      <c r="M1380">
        <v>640</v>
      </c>
      <c r="O1380" t="s">
        <v>6698</v>
      </c>
      <c r="P1380">
        <v>547</v>
      </c>
      <c r="Q1380">
        <v>0.89</v>
      </c>
    </row>
    <row r="1381" spans="1:17" x14ac:dyDescent="0.25">
      <c r="A1381">
        <v>1396</v>
      </c>
      <c r="B1381" t="s">
        <v>2456</v>
      </c>
      <c r="C1381" t="s">
        <v>8248</v>
      </c>
      <c r="D1381" t="s">
        <v>5005</v>
      </c>
      <c r="F1381">
        <v>1992</v>
      </c>
      <c r="H1381" t="s">
        <v>2734</v>
      </c>
      <c r="I1381">
        <v>2</v>
      </c>
      <c r="K1381" t="s">
        <v>14332</v>
      </c>
      <c r="M1381">
        <v>546</v>
      </c>
      <c r="O1381" t="s">
        <v>6699</v>
      </c>
      <c r="P1381">
        <v>677</v>
      </c>
      <c r="Q1381">
        <v>0.89</v>
      </c>
    </row>
    <row r="1382" spans="1:17" x14ac:dyDescent="0.25">
      <c r="A1382">
        <v>2952</v>
      </c>
      <c r="B1382" t="s">
        <v>2242</v>
      </c>
      <c r="C1382" t="s">
        <v>2243</v>
      </c>
      <c r="D1382" t="s">
        <v>2609</v>
      </c>
      <c r="F1382">
        <v>1997</v>
      </c>
      <c r="H1382" t="s">
        <v>1878</v>
      </c>
      <c r="I1382">
        <v>3</v>
      </c>
      <c r="K1382" t="s">
        <v>14332</v>
      </c>
      <c r="L1382" s="222">
        <v>9783596137510</v>
      </c>
      <c r="M1382">
        <v>640</v>
      </c>
      <c r="O1382" t="s">
        <v>6700</v>
      </c>
      <c r="P1382">
        <v>369</v>
      </c>
      <c r="Q1382">
        <v>0.85</v>
      </c>
    </row>
    <row r="1383" spans="1:17" x14ac:dyDescent="0.25">
      <c r="A1383">
        <v>1231</v>
      </c>
      <c r="B1383" t="s">
        <v>8250</v>
      </c>
      <c r="C1383" t="s">
        <v>8251</v>
      </c>
      <c r="D1383" t="s">
        <v>8252</v>
      </c>
      <c r="F1383">
        <v>1986</v>
      </c>
      <c r="H1383" t="s">
        <v>1878</v>
      </c>
      <c r="I1383">
        <v>3</v>
      </c>
      <c r="K1383" t="s">
        <v>14332</v>
      </c>
      <c r="L1383" s="222">
        <v>9783512007507</v>
      </c>
      <c r="M1383">
        <v>220</v>
      </c>
      <c r="O1383" t="s">
        <v>6701</v>
      </c>
      <c r="P1383">
        <v>270</v>
      </c>
      <c r="Q1383">
        <v>0.85</v>
      </c>
    </row>
    <row r="1384" spans="1:17" x14ac:dyDescent="0.25">
      <c r="A1384">
        <v>632</v>
      </c>
      <c r="B1384" t="s">
        <v>7306</v>
      </c>
      <c r="C1384" t="s">
        <v>7307</v>
      </c>
      <c r="D1384" t="s">
        <v>2901</v>
      </c>
      <c r="F1384">
        <v>1957</v>
      </c>
      <c r="H1384" t="s">
        <v>2734</v>
      </c>
      <c r="I1384" s="305">
        <v>43892</v>
      </c>
      <c r="K1384" t="s">
        <v>14332</v>
      </c>
      <c r="M1384">
        <v>526</v>
      </c>
      <c r="O1384" t="s">
        <v>6702</v>
      </c>
      <c r="P1384">
        <v>565</v>
      </c>
      <c r="Q1384">
        <v>0.89</v>
      </c>
    </row>
    <row r="1385" spans="1:17" x14ac:dyDescent="0.25">
      <c r="A1385">
        <v>697</v>
      </c>
      <c r="B1385" t="s">
        <v>8254</v>
      </c>
      <c r="C1385" t="s">
        <v>8255</v>
      </c>
      <c r="H1385" t="s">
        <v>2734</v>
      </c>
      <c r="I1385" s="305">
        <v>43862</v>
      </c>
      <c r="K1385" t="s">
        <v>14332</v>
      </c>
      <c r="M1385">
        <v>242</v>
      </c>
      <c r="O1385" t="s">
        <v>6703</v>
      </c>
      <c r="P1385">
        <v>473</v>
      </c>
      <c r="Q1385">
        <v>6.93</v>
      </c>
    </row>
    <row r="1386" spans="1:17" x14ac:dyDescent="0.25">
      <c r="A1386">
        <v>1327</v>
      </c>
      <c r="B1386" t="s">
        <v>8256</v>
      </c>
      <c r="C1386" t="s">
        <v>8257</v>
      </c>
      <c r="D1386" t="s">
        <v>8258</v>
      </c>
      <c r="F1386">
        <v>1998</v>
      </c>
      <c r="H1386" t="s">
        <v>2734</v>
      </c>
      <c r="I1386">
        <v>1</v>
      </c>
      <c r="K1386" t="s">
        <v>14332</v>
      </c>
      <c r="L1386" s="222">
        <v>9783704311917</v>
      </c>
      <c r="M1386">
        <v>266</v>
      </c>
      <c r="O1386" t="s">
        <v>6704</v>
      </c>
      <c r="P1386">
        <v>356</v>
      </c>
      <c r="Q1386">
        <v>3.1</v>
      </c>
    </row>
    <row r="1387" spans="1:17" x14ac:dyDescent="0.25">
      <c r="A1387">
        <v>273</v>
      </c>
      <c r="B1387" t="s">
        <v>8260</v>
      </c>
      <c r="C1387" t="s">
        <v>8261</v>
      </c>
      <c r="D1387" t="s">
        <v>3864</v>
      </c>
      <c r="F1387">
        <v>1977</v>
      </c>
      <c r="H1387" t="s">
        <v>1878</v>
      </c>
      <c r="I1387">
        <v>2</v>
      </c>
      <c r="K1387" t="s">
        <v>14332</v>
      </c>
      <c r="M1387">
        <v>312</v>
      </c>
      <c r="O1387" t="s">
        <v>6705</v>
      </c>
      <c r="P1387">
        <v>569</v>
      </c>
      <c r="Q1387">
        <v>1.49</v>
      </c>
    </row>
    <row r="1388" spans="1:17" x14ac:dyDescent="0.25">
      <c r="A1388">
        <v>721</v>
      </c>
      <c r="B1388" t="s">
        <v>8262</v>
      </c>
      <c r="C1388" t="s">
        <v>8263</v>
      </c>
      <c r="D1388" t="s">
        <v>3606</v>
      </c>
      <c r="F1388">
        <v>2002</v>
      </c>
      <c r="H1388" t="s">
        <v>1878</v>
      </c>
      <c r="I1388">
        <v>2</v>
      </c>
      <c r="K1388" t="s">
        <v>14332</v>
      </c>
      <c r="L1388" s="222">
        <v>9783405163204</v>
      </c>
      <c r="M1388">
        <v>64</v>
      </c>
      <c r="O1388" t="s">
        <v>6706</v>
      </c>
      <c r="P1388">
        <v>138</v>
      </c>
      <c r="Q1388">
        <v>3.6</v>
      </c>
    </row>
    <row r="1389" spans="1:17" x14ac:dyDescent="0.25">
      <c r="A1389">
        <v>765</v>
      </c>
      <c r="B1389" t="s">
        <v>8265</v>
      </c>
      <c r="C1389" t="s">
        <v>8266</v>
      </c>
      <c r="D1389" t="s">
        <v>4693</v>
      </c>
      <c r="E1389" t="s">
        <v>1913</v>
      </c>
      <c r="F1389">
        <v>2009</v>
      </c>
      <c r="H1389" t="s">
        <v>2734</v>
      </c>
      <c r="I1389">
        <v>2</v>
      </c>
      <c r="K1389" t="s">
        <v>14332</v>
      </c>
      <c r="L1389" s="222">
        <v>9783833815195</v>
      </c>
      <c r="M1389">
        <v>178</v>
      </c>
      <c r="O1389" t="s">
        <v>6707</v>
      </c>
      <c r="P1389">
        <v>349</v>
      </c>
      <c r="Q1389">
        <v>1.44</v>
      </c>
    </row>
    <row r="1390" spans="1:17" x14ac:dyDescent="0.25">
      <c r="A1390">
        <v>593</v>
      </c>
      <c r="C1390" t="s">
        <v>8268</v>
      </c>
      <c r="D1390" t="s">
        <v>1927</v>
      </c>
      <c r="H1390" t="s">
        <v>2734</v>
      </c>
      <c r="I1390">
        <v>1</v>
      </c>
      <c r="K1390" t="s">
        <v>14332</v>
      </c>
      <c r="M1390">
        <v>258</v>
      </c>
      <c r="O1390" t="s">
        <v>6708</v>
      </c>
      <c r="P1390">
        <v>816</v>
      </c>
      <c r="Q1390">
        <v>0.89</v>
      </c>
    </row>
    <row r="1391" spans="1:17" x14ac:dyDescent="0.25">
      <c r="A1391">
        <v>2522</v>
      </c>
      <c r="B1391" t="s">
        <v>2252</v>
      </c>
      <c r="C1391" t="s">
        <v>2253</v>
      </c>
      <c r="D1391" t="s">
        <v>5005</v>
      </c>
      <c r="F1391">
        <v>2005</v>
      </c>
      <c r="H1391" t="s">
        <v>4297</v>
      </c>
      <c r="I1391" s="305">
        <v>43892</v>
      </c>
      <c r="K1391" t="s">
        <v>14332</v>
      </c>
      <c r="M1391">
        <v>610</v>
      </c>
      <c r="O1391" t="s">
        <v>6709</v>
      </c>
      <c r="P1391">
        <v>515</v>
      </c>
      <c r="Q1391">
        <v>0.89</v>
      </c>
    </row>
    <row r="1392" spans="1:17" x14ac:dyDescent="0.25">
      <c r="A1392">
        <v>2522</v>
      </c>
      <c r="B1392" t="s">
        <v>8269</v>
      </c>
      <c r="C1392" t="s">
        <v>8270</v>
      </c>
      <c r="D1392" t="s">
        <v>2054</v>
      </c>
      <c r="F1392">
        <v>2018</v>
      </c>
      <c r="H1392" t="s">
        <v>1878</v>
      </c>
      <c r="I1392">
        <v>1</v>
      </c>
      <c r="K1392" t="s">
        <v>14332</v>
      </c>
      <c r="L1392" s="222">
        <v>9783959737067</v>
      </c>
      <c r="M1392">
        <v>464</v>
      </c>
      <c r="O1392" t="s">
        <v>6710</v>
      </c>
      <c r="P1392">
        <v>457</v>
      </c>
      <c r="Q1392">
        <v>2.1</v>
      </c>
    </row>
    <row r="1393" spans="1:17" x14ac:dyDescent="0.25">
      <c r="A1393">
        <v>2518</v>
      </c>
      <c r="B1393" t="s">
        <v>8272</v>
      </c>
      <c r="C1393" t="s">
        <v>8273</v>
      </c>
      <c r="D1393" t="s">
        <v>2209</v>
      </c>
      <c r="F1393">
        <v>2002</v>
      </c>
      <c r="H1393" t="s">
        <v>1878</v>
      </c>
      <c r="I1393" s="305">
        <v>43892</v>
      </c>
      <c r="K1393" t="s">
        <v>14332</v>
      </c>
      <c r="L1393" s="222">
        <v>9783453212008</v>
      </c>
      <c r="M1393">
        <v>272</v>
      </c>
      <c r="O1393" t="s">
        <v>6711</v>
      </c>
      <c r="P1393">
        <v>191</v>
      </c>
      <c r="Q1393">
        <v>0.93</v>
      </c>
    </row>
    <row r="1394" spans="1:17" x14ac:dyDescent="0.25">
      <c r="A1394">
        <v>2514</v>
      </c>
      <c r="B1394" t="s">
        <v>8275</v>
      </c>
      <c r="C1394" t="s">
        <v>8276</v>
      </c>
      <c r="D1394" t="s">
        <v>2402</v>
      </c>
      <c r="F1394">
        <v>2005</v>
      </c>
      <c r="H1394" t="s">
        <v>2734</v>
      </c>
      <c r="I1394">
        <v>2</v>
      </c>
      <c r="K1394" t="s">
        <v>14332</v>
      </c>
      <c r="L1394" s="222">
        <v>9783505121388</v>
      </c>
      <c r="M1394">
        <v>126</v>
      </c>
      <c r="O1394" t="s">
        <v>6712</v>
      </c>
      <c r="P1394">
        <v>185</v>
      </c>
      <c r="Q1394">
        <v>1.7</v>
      </c>
    </row>
    <row r="1395" spans="1:17" x14ac:dyDescent="0.25">
      <c r="A1395">
        <v>2522</v>
      </c>
      <c r="B1395" t="s">
        <v>8278</v>
      </c>
      <c r="C1395" t="s">
        <v>8279</v>
      </c>
      <c r="D1395" t="s">
        <v>2257</v>
      </c>
      <c r="E1395" t="s">
        <v>1921</v>
      </c>
      <c r="F1395">
        <v>2007</v>
      </c>
      <c r="H1395" t="s">
        <v>1878</v>
      </c>
      <c r="I1395" s="305">
        <v>43892</v>
      </c>
      <c r="J1395" t="s">
        <v>3854</v>
      </c>
      <c r="K1395" t="s">
        <v>14332</v>
      </c>
      <c r="L1395" s="222">
        <v>9783426631355</v>
      </c>
      <c r="M1395">
        <v>304</v>
      </c>
      <c r="O1395" t="s">
        <v>6713</v>
      </c>
      <c r="P1395">
        <v>273</v>
      </c>
      <c r="Q1395">
        <v>0.85</v>
      </c>
    </row>
    <row r="1396" spans="1:17" x14ac:dyDescent="0.25">
      <c r="A1396">
        <v>692</v>
      </c>
      <c r="B1396" t="s">
        <v>4031</v>
      </c>
      <c r="C1396" t="s">
        <v>8282</v>
      </c>
      <c r="D1396" t="s">
        <v>2609</v>
      </c>
      <c r="F1396">
        <v>1994</v>
      </c>
      <c r="H1396" t="s">
        <v>1878</v>
      </c>
      <c r="I1396">
        <v>2</v>
      </c>
      <c r="K1396" t="s">
        <v>14332</v>
      </c>
      <c r="L1396" s="222">
        <v>9783596122271</v>
      </c>
      <c r="M1396">
        <v>400</v>
      </c>
      <c r="O1396" t="s">
        <v>6714</v>
      </c>
      <c r="P1396">
        <v>335</v>
      </c>
      <c r="Q1396">
        <v>0.85</v>
      </c>
    </row>
    <row r="1397" spans="1:17" x14ac:dyDescent="0.25">
      <c r="A1397">
        <v>1315</v>
      </c>
      <c r="B1397" t="s">
        <v>8284</v>
      </c>
      <c r="C1397" t="s">
        <v>8285</v>
      </c>
      <c r="D1397" t="s">
        <v>2609</v>
      </c>
      <c r="E1397" t="s">
        <v>2032</v>
      </c>
      <c r="F1397">
        <v>1999</v>
      </c>
      <c r="H1397" t="s">
        <v>1878</v>
      </c>
      <c r="I1397">
        <v>2</v>
      </c>
      <c r="J1397" t="s">
        <v>14486</v>
      </c>
      <c r="K1397" t="s">
        <v>14332</v>
      </c>
      <c r="L1397" s="222">
        <v>9783596801701</v>
      </c>
      <c r="M1397">
        <v>256</v>
      </c>
      <c r="O1397" t="s">
        <v>6715</v>
      </c>
      <c r="P1397">
        <v>239</v>
      </c>
      <c r="Q1397">
        <v>1.7</v>
      </c>
    </row>
    <row r="1398" spans="1:17" x14ac:dyDescent="0.25">
      <c r="A1398">
        <v>2518</v>
      </c>
      <c r="B1398" t="s">
        <v>8288</v>
      </c>
      <c r="C1398" t="s">
        <v>8289</v>
      </c>
      <c r="D1398" t="s">
        <v>8290</v>
      </c>
      <c r="E1398" t="s">
        <v>1877</v>
      </c>
      <c r="F1398">
        <v>2007</v>
      </c>
      <c r="H1398" t="s">
        <v>2734</v>
      </c>
      <c r="I1398">
        <v>1</v>
      </c>
      <c r="K1398" t="s">
        <v>14332</v>
      </c>
      <c r="L1398" s="222">
        <v>9783937774947</v>
      </c>
      <c r="M1398">
        <v>242</v>
      </c>
      <c r="O1398" t="s">
        <v>6716</v>
      </c>
      <c r="P1398">
        <v>348</v>
      </c>
      <c r="Q1398">
        <v>0.85</v>
      </c>
    </row>
    <row r="1399" spans="1:17" x14ac:dyDescent="0.25">
      <c r="A1399">
        <v>632</v>
      </c>
      <c r="B1399" t="s">
        <v>7769</v>
      </c>
      <c r="C1399" t="s">
        <v>8295</v>
      </c>
      <c r="D1399" t="s">
        <v>1920</v>
      </c>
      <c r="E1399" t="s">
        <v>1913</v>
      </c>
      <c r="F1399">
        <v>2006</v>
      </c>
      <c r="H1399" t="s">
        <v>1878</v>
      </c>
      <c r="I1399">
        <v>3</v>
      </c>
      <c r="J1399" t="s">
        <v>8296</v>
      </c>
      <c r="K1399" t="s">
        <v>14332</v>
      </c>
      <c r="L1399" s="222">
        <v>9783404155804</v>
      </c>
      <c r="M1399">
        <v>448</v>
      </c>
      <c r="O1399" t="s">
        <v>6718</v>
      </c>
      <c r="P1399">
        <v>380</v>
      </c>
      <c r="Q1399">
        <v>0.85</v>
      </c>
    </row>
    <row r="1400" spans="1:17" x14ac:dyDescent="0.25">
      <c r="A1400">
        <v>1395</v>
      </c>
      <c r="B1400" t="s">
        <v>2596</v>
      </c>
      <c r="C1400" t="s">
        <v>8301</v>
      </c>
      <c r="D1400" t="s">
        <v>1912</v>
      </c>
      <c r="E1400" t="s">
        <v>1921</v>
      </c>
      <c r="F1400">
        <v>2002</v>
      </c>
      <c r="H1400" t="s">
        <v>1878</v>
      </c>
      <c r="I1400">
        <v>2</v>
      </c>
      <c r="K1400" t="s">
        <v>14332</v>
      </c>
      <c r="L1400" s="222">
        <v>9783442449033</v>
      </c>
      <c r="M1400">
        <v>416</v>
      </c>
      <c r="O1400" t="s">
        <v>6720</v>
      </c>
      <c r="P1400">
        <v>372</v>
      </c>
      <c r="Q1400">
        <v>1.6</v>
      </c>
    </row>
    <row r="1401" spans="1:17" x14ac:dyDescent="0.25">
      <c r="A1401">
        <v>765</v>
      </c>
      <c r="B1401" t="s">
        <v>8306</v>
      </c>
      <c r="C1401" t="s">
        <v>8307</v>
      </c>
      <c r="D1401" t="s">
        <v>8308</v>
      </c>
      <c r="E1401" t="s">
        <v>1913</v>
      </c>
      <c r="F1401">
        <v>2008</v>
      </c>
      <c r="H1401" t="s">
        <v>1878</v>
      </c>
      <c r="I1401">
        <v>1</v>
      </c>
      <c r="K1401" t="s">
        <v>14332</v>
      </c>
      <c r="L1401" s="222">
        <v>9783980988216</v>
      </c>
      <c r="M1401">
        <v>104</v>
      </c>
      <c r="O1401" t="s">
        <v>6722</v>
      </c>
      <c r="P1401">
        <v>120</v>
      </c>
      <c r="Q1401">
        <v>3.19</v>
      </c>
    </row>
    <row r="1402" spans="1:17" x14ac:dyDescent="0.25">
      <c r="A1402">
        <v>852</v>
      </c>
      <c r="B1402" t="s">
        <v>8310</v>
      </c>
      <c r="C1402" t="s">
        <v>8311</v>
      </c>
      <c r="D1402" t="s">
        <v>8312</v>
      </c>
      <c r="H1402" t="s">
        <v>2734</v>
      </c>
      <c r="I1402" s="305">
        <v>43892</v>
      </c>
      <c r="K1402" t="s">
        <v>14332</v>
      </c>
      <c r="M1402">
        <v>138</v>
      </c>
      <c r="O1402" t="s">
        <v>6723</v>
      </c>
      <c r="P1402">
        <v>308</v>
      </c>
      <c r="Q1402">
        <v>4.6500000000000004</v>
      </c>
    </row>
    <row r="1403" spans="1:17" x14ac:dyDescent="0.25">
      <c r="A1403">
        <v>1913</v>
      </c>
      <c r="B1403" t="s">
        <v>4879</v>
      </c>
      <c r="C1403" t="s">
        <v>8313</v>
      </c>
      <c r="D1403" t="s">
        <v>2209</v>
      </c>
      <c r="F1403">
        <v>1996</v>
      </c>
      <c r="H1403" t="s">
        <v>2734</v>
      </c>
      <c r="I1403">
        <v>3</v>
      </c>
      <c r="J1403" t="s">
        <v>8314</v>
      </c>
      <c r="K1403" t="s">
        <v>14332</v>
      </c>
      <c r="L1403" s="222">
        <v>9783453118775</v>
      </c>
      <c r="M1403">
        <v>594</v>
      </c>
      <c r="O1403" t="s">
        <v>6724</v>
      </c>
      <c r="P1403">
        <v>428</v>
      </c>
      <c r="Q1403">
        <v>1.7</v>
      </c>
    </row>
    <row r="1404" spans="1:17" x14ac:dyDescent="0.25">
      <c r="A1404">
        <v>1361</v>
      </c>
      <c r="C1404" t="s">
        <v>8316</v>
      </c>
      <c r="D1404" t="s">
        <v>8317</v>
      </c>
      <c r="E1404" t="s">
        <v>5035</v>
      </c>
      <c r="F1404">
        <v>1997</v>
      </c>
      <c r="H1404" t="s">
        <v>1878</v>
      </c>
      <c r="I1404">
        <v>1</v>
      </c>
      <c r="K1404" t="s">
        <v>14332</v>
      </c>
      <c r="L1404" s="222">
        <v>9783925311192</v>
      </c>
      <c r="M1404">
        <v>672</v>
      </c>
      <c r="O1404" t="s">
        <v>6725</v>
      </c>
      <c r="P1404">
        <v>686</v>
      </c>
      <c r="Q1404">
        <v>2.12</v>
      </c>
    </row>
    <row r="1405" spans="1:17" x14ac:dyDescent="0.25">
      <c r="A1405">
        <v>2522</v>
      </c>
      <c r="B1405" t="s">
        <v>8319</v>
      </c>
      <c r="C1405" t="s">
        <v>8320</v>
      </c>
      <c r="D1405" t="s">
        <v>3524</v>
      </c>
      <c r="E1405" t="s">
        <v>2922</v>
      </c>
      <c r="F1405">
        <v>2011</v>
      </c>
      <c r="H1405" t="s">
        <v>1878</v>
      </c>
      <c r="I1405">
        <v>2</v>
      </c>
      <c r="K1405" t="s">
        <v>14332</v>
      </c>
      <c r="L1405" s="222">
        <v>9783785569573</v>
      </c>
      <c r="M1405">
        <v>488</v>
      </c>
      <c r="O1405" t="s">
        <v>6726</v>
      </c>
      <c r="P1405">
        <v>684</v>
      </c>
      <c r="Q1405">
        <v>5.33</v>
      </c>
    </row>
    <row r="1406" spans="1:17" x14ac:dyDescent="0.25">
      <c r="A1406">
        <v>1386</v>
      </c>
      <c r="B1406" t="s">
        <v>7334</v>
      </c>
      <c r="C1406" t="s">
        <v>8640</v>
      </c>
      <c r="D1406" t="s">
        <v>5005</v>
      </c>
      <c r="F1406">
        <v>1992</v>
      </c>
      <c r="H1406" t="s">
        <v>2734</v>
      </c>
      <c r="I1406">
        <v>2</v>
      </c>
      <c r="K1406" t="s">
        <v>14332</v>
      </c>
      <c r="M1406">
        <v>242</v>
      </c>
      <c r="O1406" t="s">
        <v>6727</v>
      </c>
      <c r="P1406">
        <v>429</v>
      </c>
      <c r="Q1406">
        <v>0.85</v>
      </c>
    </row>
    <row r="1407" spans="1:17" x14ac:dyDescent="0.25">
      <c r="A1407">
        <v>1386</v>
      </c>
      <c r="B1407" t="s">
        <v>8160</v>
      </c>
      <c r="C1407" t="s">
        <v>8322</v>
      </c>
      <c r="D1407" t="s">
        <v>1912</v>
      </c>
      <c r="E1407" t="s">
        <v>1921</v>
      </c>
      <c r="F1407">
        <v>1998</v>
      </c>
      <c r="H1407" t="s">
        <v>1878</v>
      </c>
      <c r="I1407">
        <v>2</v>
      </c>
      <c r="K1407" t="s">
        <v>14332</v>
      </c>
      <c r="L1407" s="222">
        <v>9783442416356</v>
      </c>
      <c r="M1407">
        <v>480</v>
      </c>
      <c r="O1407" t="s">
        <v>6728</v>
      </c>
      <c r="P1407">
        <v>582</v>
      </c>
      <c r="Q1407">
        <v>0.94</v>
      </c>
    </row>
    <row r="1408" spans="1:17" x14ac:dyDescent="0.25">
      <c r="A1408">
        <v>720</v>
      </c>
      <c r="B1408" t="s">
        <v>8326</v>
      </c>
      <c r="C1408" t="s">
        <v>8324</v>
      </c>
      <c r="D1408" t="s">
        <v>8325</v>
      </c>
      <c r="E1408" t="s">
        <v>1877</v>
      </c>
      <c r="F1408">
        <v>1996</v>
      </c>
      <c r="H1408" t="s">
        <v>1878</v>
      </c>
      <c r="I1408">
        <v>2</v>
      </c>
      <c r="K1408" t="s">
        <v>14332</v>
      </c>
      <c r="L1408" s="222">
        <v>9783800173464</v>
      </c>
      <c r="M1408">
        <v>48</v>
      </c>
      <c r="O1408" t="s">
        <v>6729</v>
      </c>
      <c r="P1408">
        <v>166</v>
      </c>
      <c r="Q1408">
        <v>1.35</v>
      </c>
    </row>
    <row r="1409" spans="1:17" x14ac:dyDescent="0.25">
      <c r="A1409">
        <v>1810</v>
      </c>
      <c r="C1409" t="s">
        <v>8328</v>
      </c>
      <c r="D1409" t="s">
        <v>8329</v>
      </c>
      <c r="E1409" t="s">
        <v>1877</v>
      </c>
      <c r="F1409">
        <v>2002</v>
      </c>
      <c r="H1409" t="s">
        <v>1878</v>
      </c>
      <c r="I1409">
        <v>2</v>
      </c>
      <c r="K1409" t="s">
        <v>14332</v>
      </c>
      <c r="L1409" s="222">
        <v>9783933705143</v>
      </c>
      <c r="M1409">
        <v>160</v>
      </c>
      <c r="O1409" t="s">
        <v>6730</v>
      </c>
      <c r="P1409">
        <v>249</v>
      </c>
      <c r="Q1409">
        <v>1.01</v>
      </c>
    </row>
    <row r="1410" spans="1:17" x14ac:dyDescent="0.25">
      <c r="A1410">
        <v>1365</v>
      </c>
      <c r="B1410" t="s">
        <v>8331</v>
      </c>
      <c r="C1410" t="s">
        <v>8332</v>
      </c>
      <c r="D1410" t="s">
        <v>2209</v>
      </c>
      <c r="E1410" t="s">
        <v>1877</v>
      </c>
      <c r="F1410">
        <v>2004</v>
      </c>
      <c r="H1410" t="s">
        <v>1878</v>
      </c>
      <c r="I1410">
        <v>1</v>
      </c>
      <c r="K1410" t="s">
        <v>14332</v>
      </c>
      <c r="L1410" s="222">
        <v>9783453881549</v>
      </c>
      <c r="M1410">
        <v>256</v>
      </c>
      <c r="O1410" t="s">
        <v>6731</v>
      </c>
      <c r="P1410">
        <v>423</v>
      </c>
      <c r="Q1410">
        <v>0.85</v>
      </c>
    </row>
    <row r="1411" spans="1:17" x14ac:dyDescent="0.25">
      <c r="A1411">
        <v>1322</v>
      </c>
      <c r="B1411" t="s">
        <v>8334</v>
      </c>
      <c r="C1411" t="s">
        <v>8335</v>
      </c>
      <c r="D1411" t="s">
        <v>3448</v>
      </c>
      <c r="F1411">
        <v>2010</v>
      </c>
      <c r="H1411" t="s">
        <v>1878</v>
      </c>
      <c r="I1411">
        <v>2</v>
      </c>
      <c r="K1411" t="s">
        <v>14332</v>
      </c>
      <c r="L1411" s="222">
        <v>9783781716223</v>
      </c>
      <c r="M1411">
        <v>176</v>
      </c>
      <c r="O1411" t="s">
        <v>6732</v>
      </c>
      <c r="P1411">
        <v>450</v>
      </c>
      <c r="Q1411">
        <v>0.85</v>
      </c>
    </row>
    <row r="1412" spans="1:17" x14ac:dyDescent="0.25">
      <c r="A1412">
        <v>2649</v>
      </c>
      <c r="B1412" t="s">
        <v>8339</v>
      </c>
      <c r="C1412" t="s">
        <v>8340</v>
      </c>
      <c r="D1412" t="s">
        <v>2103</v>
      </c>
      <c r="F1412">
        <v>2010</v>
      </c>
      <c r="H1412" t="s">
        <v>1878</v>
      </c>
      <c r="I1412">
        <v>4</v>
      </c>
      <c r="J1412" t="s">
        <v>8341</v>
      </c>
      <c r="K1412" t="s">
        <v>14332</v>
      </c>
      <c r="L1412" s="222">
        <v>4198042703501</v>
      </c>
      <c r="M1412">
        <v>146</v>
      </c>
      <c r="O1412" t="s">
        <v>6734</v>
      </c>
      <c r="P1412">
        <v>95</v>
      </c>
      <c r="Q1412">
        <v>0.85</v>
      </c>
    </row>
    <row r="1413" spans="1:17" x14ac:dyDescent="0.25">
      <c r="A1413">
        <v>632</v>
      </c>
      <c r="B1413" t="s">
        <v>8343</v>
      </c>
      <c r="C1413" t="s">
        <v>8344</v>
      </c>
      <c r="D1413" t="s">
        <v>8345</v>
      </c>
      <c r="F1413">
        <v>2008</v>
      </c>
      <c r="H1413" t="s">
        <v>2734</v>
      </c>
      <c r="I1413">
        <v>3</v>
      </c>
      <c r="J1413" t="s">
        <v>4314</v>
      </c>
      <c r="K1413" t="s">
        <v>14332</v>
      </c>
      <c r="L1413" s="222">
        <v>9783940660008</v>
      </c>
      <c r="M1413">
        <v>224</v>
      </c>
      <c r="O1413" t="s">
        <v>6735</v>
      </c>
      <c r="P1413">
        <v>404</v>
      </c>
      <c r="Q1413">
        <v>2.64</v>
      </c>
    </row>
    <row r="1414" spans="1:17" x14ac:dyDescent="0.25">
      <c r="A1414">
        <v>1320</v>
      </c>
      <c r="C1414" t="s">
        <v>8347</v>
      </c>
      <c r="D1414" t="s">
        <v>8348</v>
      </c>
      <c r="H1414" t="s">
        <v>1878</v>
      </c>
      <c r="I1414">
        <v>1</v>
      </c>
      <c r="K1414" t="s">
        <v>14332</v>
      </c>
      <c r="L1414" s="222">
        <v>9783833198656</v>
      </c>
      <c r="M1414">
        <v>258</v>
      </c>
      <c r="O1414" t="s">
        <v>6736</v>
      </c>
      <c r="P1414">
        <v>333</v>
      </c>
      <c r="Q1414">
        <v>1.23</v>
      </c>
    </row>
    <row r="1415" spans="1:17" x14ac:dyDescent="0.25">
      <c r="A1415">
        <v>542</v>
      </c>
      <c r="B1415" t="s">
        <v>8350</v>
      </c>
      <c r="C1415" t="s">
        <v>8351</v>
      </c>
      <c r="D1415" t="s">
        <v>1988</v>
      </c>
      <c r="F1415">
        <v>1999</v>
      </c>
      <c r="H1415" t="s">
        <v>1878</v>
      </c>
      <c r="I1415">
        <v>1</v>
      </c>
      <c r="K1415" t="s">
        <v>14332</v>
      </c>
      <c r="L1415" s="222">
        <v>9783423241625</v>
      </c>
      <c r="M1415">
        <v>280</v>
      </c>
      <c r="O1415" t="s">
        <v>6737</v>
      </c>
      <c r="P1415">
        <v>418</v>
      </c>
      <c r="Q1415">
        <v>1.29</v>
      </c>
    </row>
    <row r="1416" spans="1:17" x14ac:dyDescent="0.25">
      <c r="A1416">
        <v>1809</v>
      </c>
      <c r="B1416" t="s">
        <v>8353</v>
      </c>
      <c r="C1416" t="s">
        <v>8354</v>
      </c>
      <c r="D1416" t="s">
        <v>3116</v>
      </c>
      <c r="E1416" t="s">
        <v>1913</v>
      </c>
      <c r="F1416">
        <v>2001</v>
      </c>
      <c r="H1416" t="s">
        <v>2734</v>
      </c>
      <c r="I1416">
        <v>1</v>
      </c>
      <c r="K1416" t="s">
        <v>14332</v>
      </c>
      <c r="L1416" s="222">
        <v>9783401051543</v>
      </c>
      <c r="M1416">
        <v>194</v>
      </c>
      <c r="O1416" t="s">
        <v>6738</v>
      </c>
      <c r="P1416">
        <v>337</v>
      </c>
      <c r="Q1416">
        <v>0.85</v>
      </c>
    </row>
    <row r="1417" spans="1:17" x14ac:dyDescent="0.25">
      <c r="A1417">
        <v>735</v>
      </c>
      <c r="B1417" t="s">
        <v>7741</v>
      </c>
      <c r="C1417" t="s">
        <v>8356</v>
      </c>
      <c r="D1417" t="s">
        <v>2897</v>
      </c>
      <c r="E1417" t="s">
        <v>1913</v>
      </c>
      <c r="F1417">
        <v>1997</v>
      </c>
      <c r="H1417" t="s">
        <v>2734</v>
      </c>
      <c r="I1417">
        <v>2</v>
      </c>
      <c r="K1417" t="s">
        <v>14332</v>
      </c>
      <c r="L1417" s="222">
        <v>9783896670045</v>
      </c>
      <c r="M1417">
        <v>450</v>
      </c>
      <c r="O1417" t="s">
        <v>6739</v>
      </c>
      <c r="P1417">
        <v>821</v>
      </c>
      <c r="Q1417">
        <v>0.89</v>
      </c>
    </row>
    <row r="1418" spans="1:17" x14ac:dyDescent="0.25">
      <c r="A1418">
        <v>2522</v>
      </c>
      <c r="B1418" t="s">
        <v>8358</v>
      </c>
      <c r="C1418" t="s">
        <v>8359</v>
      </c>
      <c r="D1418" t="s">
        <v>1912</v>
      </c>
      <c r="E1418" t="s">
        <v>1921</v>
      </c>
      <c r="F1418">
        <v>2012</v>
      </c>
      <c r="H1418" t="s">
        <v>1878</v>
      </c>
      <c r="I1418">
        <v>2</v>
      </c>
      <c r="K1418" t="s">
        <v>14332</v>
      </c>
      <c r="L1418" s="222">
        <v>9783442478231</v>
      </c>
      <c r="M1418">
        <v>448</v>
      </c>
      <c r="O1418" t="s">
        <v>6740</v>
      </c>
      <c r="P1418">
        <v>398</v>
      </c>
      <c r="Q1418">
        <v>0.85</v>
      </c>
    </row>
    <row r="1419" spans="1:17" x14ac:dyDescent="0.25">
      <c r="A1419">
        <v>796</v>
      </c>
      <c r="B1419" t="s">
        <v>3143</v>
      </c>
      <c r="C1419" t="s">
        <v>4614</v>
      </c>
      <c r="D1419" t="s">
        <v>2609</v>
      </c>
      <c r="F1419">
        <v>2009</v>
      </c>
      <c r="H1419" t="s">
        <v>1878</v>
      </c>
      <c r="I1419">
        <v>2</v>
      </c>
      <c r="K1419" t="s">
        <v>14332</v>
      </c>
      <c r="L1419" s="222">
        <v>9783596510924</v>
      </c>
      <c r="M1419">
        <v>448</v>
      </c>
      <c r="O1419" t="s">
        <v>6741</v>
      </c>
      <c r="P1419">
        <v>394</v>
      </c>
      <c r="Q1419">
        <v>0.85</v>
      </c>
    </row>
    <row r="1420" spans="1:17" x14ac:dyDescent="0.25">
      <c r="A1420">
        <v>632</v>
      </c>
      <c r="B1420" t="s">
        <v>8362</v>
      </c>
      <c r="C1420" t="s">
        <v>8639</v>
      </c>
      <c r="D1420" t="s">
        <v>2054</v>
      </c>
      <c r="F1420">
        <v>1984</v>
      </c>
      <c r="H1420" t="s">
        <v>2734</v>
      </c>
      <c r="I1420">
        <v>2</v>
      </c>
      <c r="K1420" t="s">
        <v>14332</v>
      </c>
      <c r="L1420" s="222">
        <v>4026411188553</v>
      </c>
      <c r="M1420">
        <v>378</v>
      </c>
      <c r="O1420" t="s">
        <v>6742</v>
      </c>
      <c r="P1420">
        <v>469</v>
      </c>
      <c r="Q1420">
        <v>1.82</v>
      </c>
    </row>
    <row r="1421" spans="1:17" x14ac:dyDescent="0.25">
      <c r="A1421">
        <v>689</v>
      </c>
      <c r="B1421" t="s">
        <v>2470</v>
      </c>
      <c r="C1421" t="s">
        <v>8364</v>
      </c>
      <c r="D1421" t="s">
        <v>3022</v>
      </c>
      <c r="F1421">
        <v>1998</v>
      </c>
      <c r="H1421" t="s">
        <v>2734</v>
      </c>
      <c r="I1421">
        <v>1</v>
      </c>
      <c r="K1421" t="s">
        <v>14332</v>
      </c>
      <c r="L1421" s="222">
        <v>9783800025374</v>
      </c>
      <c r="M1421">
        <v>338</v>
      </c>
      <c r="O1421" t="s">
        <v>6743</v>
      </c>
      <c r="P1421">
        <v>630</v>
      </c>
      <c r="Q1421">
        <v>1.22</v>
      </c>
    </row>
    <row r="1422" spans="1:17" x14ac:dyDescent="0.25">
      <c r="A1422">
        <v>853</v>
      </c>
      <c r="B1422" t="s">
        <v>8366</v>
      </c>
      <c r="C1422" t="s">
        <v>8367</v>
      </c>
      <c r="D1422" t="s">
        <v>8368</v>
      </c>
      <c r="F1422">
        <v>1986</v>
      </c>
      <c r="H1422" t="s">
        <v>2734</v>
      </c>
      <c r="I1422">
        <v>2</v>
      </c>
      <c r="K1422" t="s">
        <v>14332</v>
      </c>
      <c r="L1422" s="222">
        <v>9783485005258</v>
      </c>
      <c r="M1422">
        <v>162</v>
      </c>
      <c r="O1422" t="s">
        <v>6744</v>
      </c>
      <c r="P1422">
        <v>622</v>
      </c>
      <c r="Q1422">
        <v>2.12</v>
      </c>
    </row>
    <row r="1423" spans="1:17" x14ac:dyDescent="0.25">
      <c r="A1423">
        <v>1927</v>
      </c>
      <c r="B1423" t="s">
        <v>8372</v>
      </c>
      <c r="C1423" t="s">
        <v>8373</v>
      </c>
      <c r="D1423" t="s">
        <v>2609</v>
      </c>
      <c r="F1423">
        <v>2000</v>
      </c>
      <c r="H1423" t="s">
        <v>1878</v>
      </c>
      <c r="I1423">
        <v>3</v>
      </c>
      <c r="K1423" t="s">
        <v>14332</v>
      </c>
      <c r="L1423" s="222">
        <v>9783596146833</v>
      </c>
      <c r="M1423">
        <v>208</v>
      </c>
      <c r="O1423" t="s">
        <v>6746</v>
      </c>
      <c r="P1423">
        <v>190</v>
      </c>
      <c r="Q1423">
        <v>0.92</v>
      </c>
    </row>
    <row r="1424" spans="1:17" x14ac:dyDescent="0.25">
      <c r="A1424">
        <v>1904</v>
      </c>
      <c r="B1424" t="s">
        <v>8375</v>
      </c>
      <c r="C1424" t="s">
        <v>8376</v>
      </c>
      <c r="D1424" t="s">
        <v>2818</v>
      </c>
      <c r="F1424">
        <v>2003</v>
      </c>
      <c r="H1424" t="s">
        <v>2734</v>
      </c>
      <c r="I1424">
        <v>2</v>
      </c>
      <c r="K1424" t="s">
        <v>14332</v>
      </c>
      <c r="L1424" s="222">
        <v>9783765518447</v>
      </c>
      <c r="M1424">
        <v>354</v>
      </c>
      <c r="O1424" t="s">
        <v>6747</v>
      </c>
      <c r="P1424">
        <v>449</v>
      </c>
      <c r="Q1424">
        <v>1.19</v>
      </c>
    </row>
    <row r="1425" spans="1:17" x14ac:dyDescent="0.25">
      <c r="A1425">
        <v>1321</v>
      </c>
      <c r="C1425" t="s">
        <v>8378</v>
      </c>
      <c r="F1425">
        <v>2006</v>
      </c>
      <c r="H1425" t="s">
        <v>2734</v>
      </c>
      <c r="I1425">
        <v>1</v>
      </c>
      <c r="J1425" t="s">
        <v>8379</v>
      </c>
      <c r="K1425" t="s">
        <v>14332</v>
      </c>
      <c r="L1425" s="222">
        <v>4043002303874</v>
      </c>
      <c r="O1425" t="s">
        <v>6748</v>
      </c>
      <c r="P1425">
        <v>355</v>
      </c>
      <c r="Q1425">
        <v>2.58</v>
      </c>
    </row>
    <row r="1426" spans="1:17" x14ac:dyDescent="0.25">
      <c r="A1426">
        <v>2652</v>
      </c>
      <c r="B1426" t="s">
        <v>8381</v>
      </c>
      <c r="C1426" t="s">
        <v>8382</v>
      </c>
      <c r="D1426" t="s">
        <v>2041</v>
      </c>
      <c r="H1426" t="s">
        <v>2734</v>
      </c>
      <c r="I1426">
        <v>1</v>
      </c>
      <c r="K1426" t="s">
        <v>14332</v>
      </c>
      <c r="L1426" s="222">
        <v>9783898364263</v>
      </c>
      <c r="M1426">
        <v>130</v>
      </c>
      <c r="O1426" t="s">
        <v>6749</v>
      </c>
      <c r="P1426">
        <v>601</v>
      </c>
      <c r="Q1426">
        <v>2.6</v>
      </c>
    </row>
    <row r="1427" spans="1:17" x14ac:dyDescent="0.25">
      <c r="A1427">
        <v>914</v>
      </c>
      <c r="B1427" t="s">
        <v>8384</v>
      </c>
      <c r="C1427" t="s">
        <v>8385</v>
      </c>
      <c r="D1427" t="s">
        <v>2257</v>
      </c>
      <c r="E1427" t="s">
        <v>1899</v>
      </c>
      <c r="F1427">
        <v>1978</v>
      </c>
      <c r="H1427" t="s">
        <v>1878</v>
      </c>
      <c r="I1427">
        <v>3</v>
      </c>
      <c r="K1427" t="s">
        <v>14332</v>
      </c>
      <c r="L1427" s="222">
        <v>9783426036594</v>
      </c>
      <c r="M1427">
        <v>480</v>
      </c>
      <c r="O1427" t="s">
        <v>6750</v>
      </c>
      <c r="P1427">
        <v>360</v>
      </c>
      <c r="Q1427">
        <v>1.23</v>
      </c>
    </row>
    <row r="1428" spans="1:17" x14ac:dyDescent="0.25">
      <c r="A1428">
        <v>1395</v>
      </c>
      <c r="B1428" t="s">
        <v>8387</v>
      </c>
      <c r="C1428" t="s">
        <v>8388</v>
      </c>
      <c r="D1428" t="s">
        <v>2300</v>
      </c>
      <c r="F1428">
        <v>2007</v>
      </c>
      <c r="H1428" t="s">
        <v>1878</v>
      </c>
      <c r="I1428">
        <v>3</v>
      </c>
      <c r="K1428" t="s">
        <v>14332</v>
      </c>
      <c r="L1428" s="222">
        <v>9783499245794</v>
      </c>
      <c r="M1428">
        <v>384</v>
      </c>
      <c r="O1428" t="s">
        <v>6751</v>
      </c>
      <c r="P1428">
        <v>353</v>
      </c>
      <c r="Q1428">
        <v>0.85</v>
      </c>
    </row>
    <row r="1429" spans="1:17" x14ac:dyDescent="0.25">
      <c r="A1429">
        <v>1984</v>
      </c>
      <c r="C1429" t="s">
        <v>8390</v>
      </c>
      <c r="D1429" t="s">
        <v>3524</v>
      </c>
      <c r="E1429" t="s">
        <v>1913</v>
      </c>
      <c r="F1429">
        <v>2014</v>
      </c>
      <c r="H1429" t="s">
        <v>2734</v>
      </c>
      <c r="I1429">
        <v>2</v>
      </c>
      <c r="K1429" t="s">
        <v>14332</v>
      </c>
      <c r="L1429" s="222">
        <v>9783785580431</v>
      </c>
      <c r="M1429">
        <v>126</v>
      </c>
      <c r="O1429" t="s">
        <v>6752</v>
      </c>
      <c r="P1429">
        <v>544</v>
      </c>
      <c r="Q1429">
        <v>1.29</v>
      </c>
    </row>
    <row r="1430" spans="1:17" x14ac:dyDescent="0.25">
      <c r="A1430">
        <v>248</v>
      </c>
      <c r="B1430" t="s">
        <v>7690</v>
      </c>
      <c r="C1430" t="s">
        <v>8392</v>
      </c>
      <c r="D1430" t="s">
        <v>1912</v>
      </c>
      <c r="F1430">
        <v>1998</v>
      </c>
      <c r="H1430" t="s">
        <v>1878</v>
      </c>
      <c r="I1430">
        <v>2</v>
      </c>
      <c r="K1430" t="s">
        <v>14332</v>
      </c>
      <c r="L1430" s="222">
        <v>9783442162291</v>
      </c>
      <c r="M1430">
        <v>368</v>
      </c>
      <c r="O1430" t="s">
        <v>6753</v>
      </c>
      <c r="P1430">
        <v>349</v>
      </c>
      <c r="Q1430">
        <v>0.85</v>
      </c>
    </row>
    <row r="1431" spans="1:17" x14ac:dyDescent="0.25">
      <c r="A1431">
        <v>2522</v>
      </c>
      <c r="B1431" t="s">
        <v>6262</v>
      </c>
      <c r="C1431" t="s">
        <v>6263</v>
      </c>
      <c r="D1431" t="s">
        <v>2209</v>
      </c>
      <c r="E1431" t="s">
        <v>2518</v>
      </c>
      <c r="F1431">
        <v>2006</v>
      </c>
      <c r="H1431" t="s">
        <v>1878</v>
      </c>
      <c r="I1431">
        <v>2</v>
      </c>
      <c r="K1431" t="s">
        <v>14332</v>
      </c>
      <c r="L1431" s="222">
        <v>9783453024540</v>
      </c>
      <c r="M1431">
        <v>528</v>
      </c>
      <c r="O1431" t="s">
        <v>6754</v>
      </c>
      <c r="P1431">
        <v>428</v>
      </c>
      <c r="Q1431">
        <v>1.19</v>
      </c>
    </row>
    <row r="1432" spans="1:17" x14ac:dyDescent="0.25">
      <c r="A1432">
        <v>1321</v>
      </c>
      <c r="B1432" t="s">
        <v>8395</v>
      </c>
      <c r="C1432" t="s">
        <v>8396</v>
      </c>
      <c r="D1432" t="s">
        <v>4693</v>
      </c>
      <c r="F1432">
        <v>2004</v>
      </c>
      <c r="H1432" t="s">
        <v>1878</v>
      </c>
      <c r="I1432">
        <v>3</v>
      </c>
      <c r="K1432" t="s">
        <v>14332</v>
      </c>
      <c r="L1432" s="222">
        <v>9783774214705</v>
      </c>
      <c r="M1432">
        <v>272</v>
      </c>
      <c r="O1432" t="s">
        <v>6755</v>
      </c>
      <c r="P1432">
        <v>756</v>
      </c>
      <c r="Q1432">
        <v>0.89</v>
      </c>
    </row>
    <row r="1433" spans="1:17" x14ac:dyDescent="0.25">
      <c r="A1433">
        <v>1324</v>
      </c>
      <c r="C1433" t="s">
        <v>8398</v>
      </c>
      <c r="D1433" t="s">
        <v>8399</v>
      </c>
      <c r="F1433">
        <v>2006</v>
      </c>
      <c r="H1433" t="s">
        <v>1878</v>
      </c>
      <c r="I1433" s="305">
        <v>43892</v>
      </c>
      <c r="K1433" t="s">
        <v>14332</v>
      </c>
      <c r="L1433" s="222">
        <v>9783867080156</v>
      </c>
      <c r="M1433">
        <v>80</v>
      </c>
      <c r="O1433" t="s">
        <v>6756</v>
      </c>
      <c r="P1433">
        <v>139</v>
      </c>
      <c r="Q1433">
        <v>1.58</v>
      </c>
    </row>
    <row r="1434" spans="1:17" x14ac:dyDescent="0.25">
      <c r="A1434">
        <v>1231</v>
      </c>
      <c r="B1434" t="s">
        <v>8401</v>
      </c>
      <c r="C1434" t="s">
        <v>8402</v>
      </c>
      <c r="D1434" t="s">
        <v>8403</v>
      </c>
      <c r="E1434" t="s">
        <v>1921</v>
      </c>
      <c r="F1434">
        <v>2002</v>
      </c>
      <c r="H1434" t="s">
        <v>1878</v>
      </c>
      <c r="I1434">
        <v>2</v>
      </c>
      <c r="K1434" t="s">
        <v>14332</v>
      </c>
      <c r="L1434" s="222">
        <v>9783442760657</v>
      </c>
      <c r="M1434">
        <v>544</v>
      </c>
      <c r="O1434" t="s">
        <v>6757</v>
      </c>
      <c r="P1434">
        <v>489</v>
      </c>
      <c r="Q1434">
        <v>3.8</v>
      </c>
    </row>
    <row r="1435" spans="1:17" x14ac:dyDescent="0.25">
      <c r="A1435">
        <v>1325</v>
      </c>
      <c r="B1435" t="s">
        <v>8405</v>
      </c>
      <c r="C1435" t="s">
        <v>8406</v>
      </c>
      <c r="D1435" t="s">
        <v>2644</v>
      </c>
      <c r="F1435">
        <v>1989</v>
      </c>
      <c r="H1435" t="s">
        <v>1878</v>
      </c>
      <c r="I1435">
        <v>3</v>
      </c>
      <c r="K1435" t="s">
        <v>14332</v>
      </c>
      <c r="L1435" s="222">
        <v>9783257217964</v>
      </c>
      <c r="M1435">
        <v>176</v>
      </c>
      <c r="O1435" t="s">
        <v>6758</v>
      </c>
      <c r="P1435">
        <v>157</v>
      </c>
      <c r="Q1435">
        <v>0.85</v>
      </c>
    </row>
    <row r="1436" spans="1:17" x14ac:dyDescent="0.25">
      <c r="A1436">
        <v>721</v>
      </c>
      <c r="B1436" t="s">
        <v>8408</v>
      </c>
      <c r="C1436" t="s">
        <v>8409</v>
      </c>
      <c r="D1436" t="s">
        <v>2036</v>
      </c>
      <c r="F1436">
        <v>2002</v>
      </c>
      <c r="H1436" t="s">
        <v>4297</v>
      </c>
      <c r="I1436">
        <v>1</v>
      </c>
      <c r="K1436" t="s">
        <v>14332</v>
      </c>
      <c r="L1436" s="222">
        <v>9783828916432</v>
      </c>
      <c r="M1436">
        <v>262</v>
      </c>
      <c r="O1436" t="s">
        <v>6759</v>
      </c>
      <c r="P1436">
        <v>693</v>
      </c>
      <c r="Q1436">
        <v>1.32</v>
      </c>
    </row>
    <row r="1437" spans="1:17" x14ac:dyDescent="0.25">
      <c r="A1437">
        <v>796</v>
      </c>
      <c r="B1437" t="s">
        <v>7334</v>
      </c>
      <c r="C1437" t="s">
        <v>8414</v>
      </c>
      <c r="D1437" t="s">
        <v>2300</v>
      </c>
      <c r="E1437" t="s">
        <v>2335</v>
      </c>
      <c r="F1437">
        <v>2001</v>
      </c>
      <c r="H1437" t="s">
        <v>1878</v>
      </c>
      <c r="I1437">
        <v>2</v>
      </c>
      <c r="K1437" t="s">
        <v>14332</v>
      </c>
      <c r="L1437" s="222">
        <v>9783499230684</v>
      </c>
      <c r="M1437">
        <v>192</v>
      </c>
      <c r="O1437" t="s">
        <v>6761</v>
      </c>
      <c r="P1437">
        <v>184</v>
      </c>
      <c r="Q1437">
        <v>1.07</v>
      </c>
    </row>
    <row r="1438" spans="1:17" x14ac:dyDescent="0.25">
      <c r="A1438">
        <v>760</v>
      </c>
      <c r="C1438" t="s">
        <v>8416</v>
      </c>
      <c r="D1438" t="s">
        <v>8417</v>
      </c>
      <c r="E1438">
        <v>8</v>
      </c>
      <c r="F1438">
        <v>2006</v>
      </c>
      <c r="H1438" t="s">
        <v>1878</v>
      </c>
      <c r="I1438">
        <v>2</v>
      </c>
      <c r="K1438" t="s">
        <v>14332</v>
      </c>
      <c r="L1438" s="222">
        <v>9783808594582</v>
      </c>
      <c r="M1438">
        <v>472</v>
      </c>
      <c r="O1438" t="s">
        <v>6762</v>
      </c>
      <c r="P1438">
        <v>829</v>
      </c>
      <c r="Q1438">
        <v>11.3</v>
      </c>
    </row>
    <row r="1439" spans="1:17" x14ac:dyDescent="0.25">
      <c r="A1439">
        <v>2522</v>
      </c>
      <c r="B1439" t="s">
        <v>2021</v>
      </c>
      <c r="C1439" t="s">
        <v>8419</v>
      </c>
      <c r="D1439" t="s">
        <v>5005</v>
      </c>
      <c r="F1439">
        <v>2002</v>
      </c>
      <c r="H1439" t="s">
        <v>1878</v>
      </c>
      <c r="I1439">
        <v>2</v>
      </c>
      <c r="K1439" t="s">
        <v>14332</v>
      </c>
      <c r="M1439">
        <v>544</v>
      </c>
      <c r="O1439" t="s">
        <v>6763</v>
      </c>
      <c r="P1439">
        <v>388</v>
      </c>
      <c r="Q1439">
        <v>0.85</v>
      </c>
    </row>
    <row r="1440" spans="1:17" x14ac:dyDescent="0.25">
      <c r="A1440">
        <v>2668</v>
      </c>
      <c r="B1440" t="s">
        <v>8420</v>
      </c>
      <c r="C1440" t="s">
        <v>8421</v>
      </c>
      <c r="D1440" t="s">
        <v>1912</v>
      </c>
      <c r="E1440" t="s">
        <v>1921</v>
      </c>
      <c r="F1440">
        <v>2001</v>
      </c>
      <c r="H1440" t="s">
        <v>1878</v>
      </c>
      <c r="I1440">
        <v>3</v>
      </c>
      <c r="K1440" t="s">
        <v>14332</v>
      </c>
      <c r="L1440" s="222">
        <v>9783442540549</v>
      </c>
      <c r="M1440">
        <v>352</v>
      </c>
      <c r="O1440" t="s">
        <v>6764</v>
      </c>
      <c r="P1440">
        <v>324</v>
      </c>
      <c r="Q1440">
        <v>0.85</v>
      </c>
    </row>
    <row r="1441" spans="1:17" x14ac:dyDescent="0.25">
      <c r="A1441">
        <v>765</v>
      </c>
      <c r="B1441" t="s">
        <v>8423</v>
      </c>
      <c r="C1441" t="s">
        <v>8424</v>
      </c>
      <c r="D1441" t="s">
        <v>8425</v>
      </c>
      <c r="E1441" t="s">
        <v>4622</v>
      </c>
      <c r="F1441">
        <v>2005</v>
      </c>
      <c r="H1441" t="s">
        <v>1878</v>
      </c>
      <c r="I1441">
        <v>3</v>
      </c>
      <c r="K1441" t="s">
        <v>14332</v>
      </c>
      <c r="L1441" s="222">
        <v>9783922026358</v>
      </c>
      <c r="M1441">
        <v>224</v>
      </c>
      <c r="O1441" t="s">
        <v>6765</v>
      </c>
      <c r="P1441">
        <v>291</v>
      </c>
      <c r="Q1441">
        <v>1.01</v>
      </c>
    </row>
    <row r="1442" spans="1:17" x14ac:dyDescent="0.25">
      <c r="A1442">
        <v>689</v>
      </c>
      <c r="B1442" t="s">
        <v>8427</v>
      </c>
      <c r="C1442" t="s">
        <v>8428</v>
      </c>
      <c r="D1442" t="s">
        <v>3077</v>
      </c>
      <c r="F1442">
        <v>1999</v>
      </c>
      <c r="H1442" t="s">
        <v>1878</v>
      </c>
      <c r="I1442">
        <v>3</v>
      </c>
      <c r="K1442" t="s">
        <v>14332</v>
      </c>
      <c r="L1442" s="222">
        <v>9783442352487</v>
      </c>
      <c r="M1442">
        <v>256</v>
      </c>
      <c r="O1442" t="s">
        <v>6766</v>
      </c>
      <c r="P1442">
        <v>237</v>
      </c>
      <c r="Q1442">
        <v>0.85</v>
      </c>
    </row>
    <row r="1443" spans="1:17" x14ac:dyDescent="0.25">
      <c r="A1443">
        <v>734</v>
      </c>
      <c r="B1443" t="s">
        <v>8431</v>
      </c>
      <c r="C1443" t="s">
        <v>8432</v>
      </c>
      <c r="D1443" t="s">
        <v>2209</v>
      </c>
      <c r="E1443" t="s">
        <v>2922</v>
      </c>
      <c r="F1443">
        <v>1990</v>
      </c>
      <c r="H1443" t="s">
        <v>1878</v>
      </c>
      <c r="I1443" s="305">
        <v>43892</v>
      </c>
      <c r="K1443" t="s">
        <v>14332</v>
      </c>
      <c r="L1443" s="222">
        <v>9783453025233</v>
      </c>
      <c r="M1443">
        <v>720</v>
      </c>
      <c r="O1443" t="s">
        <v>6768</v>
      </c>
      <c r="P1443">
        <v>444</v>
      </c>
      <c r="Q1443">
        <v>0.85</v>
      </c>
    </row>
    <row r="1444" spans="1:17" x14ac:dyDescent="0.25">
      <c r="A1444">
        <v>1875</v>
      </c>
      <c r="C1444" t="s">
        <v>8434</v>
      </c>
      <c r="D1444" t="s">
        <v>8435</v>
      </c>
      <c r="F1444">
        <v>2013</v>
      </c>
      <c r="H1444" t="s">
        <v>1394</v>
      </c>
      <c r="I1444">
        <v>2</v>
      </c>
      <c r="K1444" t="s">
        <v>14332</v>
      </c>
      <c r="L1444" s="222">
        <v>9783840128929</v>
      </c>
      <c r="O1444" t="s">
        <v>6769</v>
      </c>
      <c r="P1444">
        <v>250</v>
      </c>
      <c r="Q1444">
        <v>6.25</v>
      </c>
    </row>
    <row r="1445" spans="1:17" x14ac:dyDescent="0.25">
      <c r="A1445">
        <v>601</v>
      </c>
      <c r="B1445" t="s">
        <v>8441</v>
      </c>
      <c r="C1445" t="s">
        <v>8442</v>
      </c>
      <c r="D1445" t="s">
        <v>8443</v>
      </c>
      <c r="F1445">
        <v>2014</v>
      </c>
      <c r="H1445" t="s">
        <v>1878</v>
      </c>
      <c r="I1445">
        <v>1</v>
      </c>
      <c r="K1445" t="s">
        <v>14339</v>
      </c>
      <c r="L1445" s="222">
        <v>9781909268357</v>
      </c>
      <c r="M1445">
        <v>120</v>
      </c>
      <c r="O1445" t="s">
        <v>6771</v>
      </c>
      <c r="P1445">
        <v>126</v>
      </c>
      <c r="Q1445">
        <v>1.65</v>
      </c>
    </row>
    <row r="1446" spans="1:17" x14ac:dyDescent="0.25">
      <c r="A1446">
        <v>2571</v>
      </c>
      <c r="B1446" t="s">
        <v>8445</v>
      </c>
      <c r="C1446" t="s">
        <v>8446</v>
      </c>
      <c r="D1446" t="s">
        <v>1912</v>
      </c>
      <c r="E1446" t="s">
        <v>1913</v>
      </c>
      <c r="F1446">
        <v>1978</v>
      </c>
      <c r="H1446" t="s">
        <v>1878</v>
      </c>
      <c r="I1446">
        <v>2</v>
      </c>
      <c r="K1446" t="s">
        <v>14332</v>
      </c>
      <c r="L1446" s="222">
        <v>9783442047437</v>
      </c>
      <c r="M1446">
        <v>160</v>
      </c>
      <c r="O1446" t="s">
        <v>6772</v>
      </c>
      <c r="P1446">
        <v>10</v>
      </c>
      <c r="Q1446">
        <v>1.71</v>
      </c>
    </row>
    <row r="1447" spans="1:17" x14ac:dyDescent="0.25">
      <c r="A1447">
        <v>2522</v>
      </c>
      <c r="B1447" t="s">
        <v>8448</v>
      </c>
      <c r="C1447" t="s">
        <v>8449</v>
      </c>
      <c r="D1447" t="s">
        <v>2054</v>
      </c>
      <c r="F1447">
        <v>2005</v>
      </c>
      <c r="H1447" t="s">
        <v>1878</v>
      </c>
      <c r="I1447">
        <v>2</v>
      </c>
      <c r="K1447" t="s">
        <v>14332</v>
      </c>
      <c r="L1447" s="222">
        <v>4026411114354</v>
      </c>
      <c r="M1447">
        <v>368</v>
      </c>
      <c r="O1447" t="s">
        <v>6773</v>
      </c>
      <c r="P1447">
        <v>360</v>
      </c>
      <c r="Q1447">
        <v>1.3</v>
      </c>
    </row>
    <row r="1448" spans="1:17" x14ac:dyDescent="0.25">
      <c r="A1448">
        <v>796</v>
      </c>
      <c r="B1448" t="s">
        <v>8451</v>
      </c>
      <c r="C1448" t="s">
        <v>8452</v>
      </c>
      <c r="D1448" t="s">
        <v>2300</v>
      </c>
      <c r="E1448" t="s">
        <v>1921</v>
      </c>
      <c r="F1448">
        <v>2010</v>
      </c>
      <c r="H1448" t="s">
        <v>1878</v>
      </c>
      <c r="I1448">
        <v>2</v>
      </c>
      <c r="K1448" t="s">
        <v>14332</v>
      </c>
      <c r="L1448" s="222">
        <v>9783499255182</v>
      </c>
      <c r="M1448">
        <v>352</v>
      </c>
      <c r="O1448" t="s">
        <v>6774</v>
      </c>
      <c r="P1448">
        <v>291</v>
      </c>
      <c r="Q1448">
        <v>0.85</v>
      </c>
    </row>
    <row r="1449" spans="1:17" x14ac:dyDescent="0.25">
      <c r="A1449">
        <v>692</v>
      </c>
      <c r="B1449" t="s">
        <v>8454</v>
      </c>
      <c r="C1449" t="s">
        <v>8455</v>
      </c>
      <c r="D1449" t="s">
        <v>2257</v>
      </c>
      <c r="F1449">
        <v>1996</v>
      </c>
      <c r="H1449" t="s">
        <v>1878</v>
      </c>
      <c r="I1449">
        <v>2</v>
      </c>
      <c r="K1449" t="s">
        <v>14332</v>
      </c>
      <c r="L1449" s="222">
        <v>9783426604977</v>
      </c>
      <c r="M1449">
        <v>416</v>
      </c>
      <c r="O1449" t="s">
        <v>6775</v>
      </c>
      <c r="P1449">
        <v>271</v>
      </c>
      <c r="Q1449">
        <v>0.85</v>
      </c>
    </row>
    <row r="1450" spans="1:17" x14ac:dyDescent="0.25">
      <c r="A1450">
        <v>481</v>
      </c>
      <c r="B1450" t="s">
        <v>8457</v>
      </c>
      <c r="C1450" t="s">
        <v>8458</v>
      </c>
      <c r="D1450" t="s">
        <v>2309</v>
      </c>
      <c r="E1450" t="s">
        <v>1913</v>
      </c>
      <c r="F1450">
        <v>2011</v>
      </c>
      <c r="H1450" t="s">
        <v>1878</v>
      </c>
      <c r="I1450">
        <v>2</v>
      </c>
      <c r="K1450" t="s">
        <v>14332</v>
      </c>
      <c r="L1450" s="222">
        <v>9783548373690</v>
      </c>
      <c r="M1450">
        <v>288</v>
      </c>
      <c r="O1450" t="s">
        <v>6776</v>
      </c>
      <c r="P1450">
        <v>282</v>
      </c>
      <c r="Q1450">
        <v>1.6</v>
      </c>
    </row>
    <row r="1451" spans="1:17" x14ac:dyDescent="0.25">
      <c r="A1451">
        <v>1984</v>
      </c>
      <c r="B1451" t="s">
        <v>8460</v>
      </c>
      <c r="C1451" t="s">
        <v>8461</v>
      </c>
      <c r="D1451" t="s">
        <v>2530</v>
      </c>
      <c r="F1451">
        <v>2013</v>
      </c>
      <c r="H1451" t="s">
        <v>1878</v>
      </c>
      <c r="I1451">
        <v>1</v>
      </c>
      <c r="K1451" t="s">
        <v>14332</v>
      </c>
      <c r="L1451" s="222">
        <v>9783789112423</v>
      </c>
      <c r="M1451">
        <v>62</v>
      </c>
      <c r="O1451" t="s">
        <v>6777</v>
      </c>
      <c r="P1451">
        <v>157</v>
      </c>
      <c r="Q1451">
        <v>1.07</v>
      </c>
    </row>
    <row r="1452" spans="1:17" x14ac:dyDescent="0.25">
      <c r="A1452">
        <v>1984</v>
      </c>
      <c r="B1452" t="s">
        <v>8463</v>
      </c>
      <c r="C1452" t="s">
        <v>8464</v>
      </c>
      <c r="D1452" t="s">
        <v>8465</v>
      </c>
      <c r="F1452">
        <v>1991</v>
      </c>
      <c r="H1452" t="s">
        <v>8439</v>
      </c>
      <c r="I1452">
        <v>3</v>
      </c>
      <c r="K1452" t="s">
        <v>14332</v>
      </c>
      <c r="L1452" s="222">
        <v>9783787693139</v>
      </c>
      <c r="O1452" t="s">
        <v>6778</v>
      </c>
      <c r="P1452">
        <v>88</v>
      </c>
      <c r="Q1452">
        <v>3.29</v>
      </c>
    </row>
    <row r="1453" spans="1:17" x14ac:dyDescent="0.25">
      <c r="A1453">
        <v>2010</v>
      </c>
      <c r="B1453" t="s">
        <v>8467</v>
      </c>
      <c r="C1453" t="s">
        <v>8468</v>
      </c>
      <c r="D1453" t="s">
        <v>8469</v>
      </c>
      <c r="F1453">
        <v>2012</v>
      </c>
      <c r="H1453" t="s">
        <v>1878</v>
      </c>
      <c r="I1453">
        <v>2</v>
      </c>
      <c r="J1453" t="s">
        <v>3854</v>
      </c>
      <c r="K1453" t="s">
        <v>14339</v>
      </c>
      <c r="L1453" s="222">
        <v>9780857076076</v>
      </c>
      <c r="M1453">
        <v>362</v>
      </c>
      <c r="O1453" t="s">
        <v>6779</v>
      </c>
      <c r="P1453">
        <v>260</v>
      </c>
      <c r="Q1453">
        <v>1.5</v>
      </c>
    </row>
    <row r="1454" spans="1:17" x14ac:dyDescent="0.25">
      <c r="A1454">
        <v>1386</v>
      </c>
      <c r="B1454" t="s">
        <v>8471</v>
      </c>
      <c r="C1454" t="s">
        <v>8472</v>
      </c>
      <c r="D1454" t="s">
        <v>1988</v>
      </c>
      <c r="E1454" t="s">
        <v>1921</v>
      </c>
      <c r="F1454">
        <v>2005</v>
      </c>
      <c r="H1454" t="s">
        <v>1878</v>
      </c>
      <c r="I1454">
        <v>2</v>
      </c>
      <c r="J1454" t="s">
        <v>8473</v>
      </c>
      <c r="K1454" t="s">
        <v>14332</v>
      </c>
      <c r="L1454" s="222">
        <v>9783423245579</v>
      </c>
      <c r="M1454">
        <v>360</v>
      </c>
      <c r="O1454" t="s">
        <v>6780</v>
      </c>
      <c r="P1454">
        <v>454</v>
      </c>
      <c r="Q1454">
        <v>0.85</v>
      </c>
    </row>
    <row r="1455" spans="1:17" x14ac:dyDescent="0.25">
      <c r="A1455">
        <v>1386</v>
      </c>
      <c r="B1455" t="s">
        <v>3684</v>
      </c>
      <c r="C1455" t="s">
        <v>8475</v>
      </c>
      <c r="D1455" t="s">
        <v>2054</v>
      </c>
      <c r="F1455">
        <v>2008</v>
      </c>
      <c r="H1455" t="s">
        <v>1878</v>
      </c>
      <c r="I1455">
        <v>2</v>
      </c>
      <c r="K1455" t="s">
        <v>14332</v>
      </c>
      <c r="L1455" s="222">
        <v>9783828993334</v>
      </c>
      <c r="M1455">
        <v>802</v>
      </c>
      <c r="O1455" t="s">
        <v>6781</v>
      </c>
      <c r="P1455">
        <v>749</v>
      </c>
      <c r="Q1455">
        <v>2.6</v>
      </c>
    </row>
    <row r="1456" spans="1:17" x14ac:dyDescent="0.25">
      <c r="A1456">
        <v>1367</v>
      </c>
      <c r="B1456" t="s">
        <v>8478</v>
      </c>
      <c r="C1456" t="s">
        <v>8477</v>
      </c>
      <c r="H1456" t="s">
        <v>2734</v>
      </c>
      <c r="I1456">
        <v>1</v>
      </c>
      <c r="K1456" t="s">
        <v>14332</v>
      </c>
      <c r="L1456" s="222">
        <v>9783817467587</v>
      </c>
      <c r="M1456">
        <v>322</v>
      </c>
      <c r="O1456" t="s">
        <v>6782</v>
      </c>
      <c r="P1456">
        <v>665</v>
      </c>
      <c r="Q1456">
        <v>3.4</v>
      </c>
    </row>
    <row r="1457" spans="1:17" x14ac:dyDescent="0.25">
      <c r="A1457">
        <v>2518</v>
      </c>
      <c r="B1457" t="s">
        <v>8480</v>
      </c>
      <c r="C1457" t="s">
        <v>8481</v>
      </c>
      <c r="D1457" t="s">
        <v>6393</v>
      </c>
      <c r="F1457">
        <v>2010</v>
      </c>
      <c r="H1457" t="s">
        <v>1878</v>
      </c>
      <c r="I1457">
        <v>1</v>
      </c>
      <c r="K1457" t="s">
        <v>14332</v>
      </c>
      <c r="L1457" s="222">
        <v>9783897057852</v>
      </c>
      <c r="M1457">
        <v>224</v>
      </c>
      <c r="O1457" t="s">
        <v>6783</v>
      </c>
      <c r="P1457">
        <v>272</v>
      </c>
      <c r="Q1457">
        <v>0.85</v>
      </c>
    </row>
    <row r="1458" spans="1:17" x14ac:dyDescent="0.25">
      <c r="A1458">
        <v>2851</v>
      </c>
      <c r="B1458" t="s">
        <v>2456</v>
      </c>
      <c r="C1458" t="s">
        <v>8483</v>
      </c>
      <c r="D1458" t="s">
        <v>5005</v>
      </c>
      <c r="F1458">
        <v>2000</v>
      </c>
      <c r="H1458" t="s">
        <v>1878</v>
      </c>
      <c r="I1458" s="305">
        <v>43892</v>
      </c>
      <c r="K1458" t="s">
        <v>14332</v>
      </c>
      <c r="M1458">
        <v>608</v>
      </c>
      <c r="O1458" t="s">
        <v>6784</v>
      </c>
      <c r="P1458">
        <v>446</v>
      </c>
      <c r="Q1458">
        <v>0.85</v>
      </c>
    </row>
    <row r="1459" spans="1:17" x14ac:dyDescent="0.25">
      <c r="A1459">
        <v>1386</v>
      </c>
      <c r="B1459" t="s">
        <v>8488</v>
      </c>
      <c r="C1459" t="s">
        <v>8489</v>
      </c>
      <c r="D1459" t="s">
        <v>2309</v>
      </c>
      <c r="E1459" t="s">
        <v>1913</v>
      </c>
      <c r="F1459">
        <v>2010</v>
      </c>
      <c r="H1459" t="s">
        <v>1878</v>
      </c>
      <c r="I1459">
        <v>2</v>
      </c>
      <c r="K1459" t="s">
        <v>14332</v>
      </c>
      <c r="L1459" s="222">
        <v>9783548281537</v>
      </c>
      <c r="M1459">
        <v>322</v>
      </c>
      <c r="O1459" t="s">
        <v>6786</v>
      </c>
      <c r="P1459">
        <v>350</v>
      </c>
      <c r="Q1459">
        <v>0.85</v>
      </c>
    </row>
    <row r="1460" spans="1:17" x14ac:dyDescent="0.25">
      <c r="A1460">
        <v>2522</v>
      </c>
      <c r="B1460" t="s">
        <v>3065</v>
      </c>
      <c r="C1460" t="s">
        <v>3066</v>
      </c>
      <c r="D1460" t="s">
        <v>2054</v>
      </c>
      <c r="F1460">
        <v>2008</v>
      </c>
      <c r="H1460" t="s">
        <v>2734</v>
      </c>
      <c r="I1460">
        <v>2</v>
      </c>
      <c r="K1460" t="s">
        <v>14332</v>
      </c>
      <c r="L1460" s="222">
        <v>9783828991088</v>
      </c>
      <c r="M1460">
        <v>690</v>
      </c>
      <c r="O1460" t="s">
        <v>6787</v>
      </c>
      <c r="P1460">
        <v>577</v>
      </c>
      <c r="Q1460">
        <v>7.47</v>
      </c>
    </row>
    <row r="1461" spans="1:17" x14ac:dyDescent="0.25">
      <c r="A1461">
        <v>2649</v>
      </c>
      <c r="C1461" t="s">
        <v>8492</v>
      </c>
      <c r="D1461" t="s">
        <v>2103</v>
      </c>
      <c r="F1461">
        <v>2006</v>
      </c>
      <c r="H1461" t="s">
        <v>1878</v>
      </c>
      <c r="I1461">
        <v>2</v>
      </c>
      <c r="K1461" t="s">
        <v>14332</v>
      </c>
      <c r="L1461" s="222">
        <v>9783899415926</v>
      </c>
      <c r="M1461">
        <v>336</v>
      </c>
      <c r="O1461" t="s">
        <v>6788</v>
      </c>
      <c r="P1461">
        <v>323</v>
      </c>
      <c r="Q1461">
        <v>0.91</v>
      </c>
    </row>
    <row r="1462" spans="1:17" x14ac:dyDescent="0.25">
      <c r="A1462">
        <v>2522</v>
      </c>
      <c r="B1462" t="s">
        <v>8494</v>
      </c>
      <c r="C1462" t="s">
        <v>8495</v>
      </c>
      <c r="D1462" t="s">
        <v>2257</v>
      </c>
      <c r="F1462">
        <v>2002</v>
      </c>
      <c r="H1462" t="s">
        <v>1878</v>
      </c>
      <c r="I1462">
        <v>2</v>
      </c>
      <c r="J1462" t="s">
        <v>3854</v>
      </c>
      <c r="K1462" t="s">
        <v>14332</v>
      </c>
      <c r="L1462" s="222">
        <v>9783426638491</v>
      </c>
      <c r="M1462">
        <v>640</v>
      </c>
      <c r="O1462" t="s">
        <v>6789</v>
      </c>
      <c r="P1462">
        <v>482</v>
      </c>
      <c r="Q1462">
        <v>1.62</v>
      </c>
    </row>
    <row r="1463" spans="1:17" x14ac:dyDescent="0.25">
      <c r="A1463">
        <v>2546</v>
      </c>
      <c r="B1463" t="s">
        <v>8497</v>
      </c>
      <c r="C1463" t="s">
        <v>8498</v>
      </c>
      <c r="D1463" t="s">
        <v>2424</v>
      </c>
      <c r="E1463" t="s">
        <v>1921</v>
      </c>
      <c r="F1463">
        <v>2007</v>
      </c>
      <c r="H1463" t="s">
        <v>1878</v>
      </c>
      <c r="I1463">
        <v>2</v>
      </c>
      <c r="K1463" t="s">
        <v>14332</v>
      </c>
      <c r="L1463" s="222">
        <v>9783453351745</v>
      </c>
      <c r="M1463">
        <v>352</v>
      </c>
      <c r="O1463" t="s">
        <v>6790</v>
      </c>
      <c r="P1463">
        <v>336</v>
      </c>
      <c r="Q1463">
        <v>0.91</v>
      </c>
    </row>
    <row r="1464" spans="1:17" x14ac:dyDescent="0.25">
      <c r="A1464">
        <v>1386</v>
      </c>
      <c r="B1464" t="s">
        <v>8500</v>
      </c>
      <c r="C1464" t="s">
        <v>8501</v>
      </c>
      <c r="D1464" t="s">
        <v>3077</v>
      </c>
      <c r="E1464" t="s">
        <v>1913</v>
      </c>
      <c r="F1464">
        <v>2009</v>
      </c>
      <c r="H1464" t="s">
        <v>1878</v>
      </c>
      <c r="I1464">
        <v>2</v>
      </c>
      <c r="J1464" t="s">
        <v>3854</v>
      </c>
      <c r="K1464" t="s">
        <v>14332</v>
      </c>
      <c r="L1464" s="222">
        <v>9783442370856</v>
      </c>
      <c r="M1464">
        <v>512</v>
      </c>
      <c r="O1464" t="s">
        <v>6791</v>
      </c>
      <c r="P1464">
        <v>397</v>
      </c>
      <c r="Q1464">
        <v>0.85</v>
      </c>
    </row>
    <row r="1465" spans="1:17" x14ac:dyDescent="0.25">
      <c r="A1465">
        <v>796</v>
      </c>
      <c r="B1465" t="s">
        <v>8503</v>
      </c>
      <c r="C1465" t="s">
        <v>8504</v>
      </c>
      <c r="D1465" t="s">
        <v>2054</v>
      </c>
      <c r="F1465">
        <v>2008</v>
      </c>
      <c r="H1465" t="s">
        <v>1878</v>
      </c>
      <c r="I1465">
        <v>2</v>
      </c>
      <c r="J1465" t="s">
        <v>3854</v>
      </c>
      <c r="K1465" t="s">
        <v>14332</v>
      </c>
      <c r="L1465" s="222">
        <v>9783828992962</v>
      </c>
      <c r="M1465">
        <v>146</v>
      </c>
      <c r="O1465" t="s">
        <v>6792</v>
      </c>
      <c r="P1465">
        <v>206</v>
      </c>
      <c r="Q1465">
        <v>2.2999999999999998</v>
      </c>
    </row>
    <row r="1466" spans="1:17" x14ac:dyDescent="0.25">
      <c r="A1466">
        <v>796</v>
      </c>
      <c r="B1466" t="s">
        <v>5856</v>
      </c>
      <c r="C1466" t="s">
        <v>8512</v>
      </c>
      <c r="D1466" t="s">
        <v>2257</v>
      </c>
      <c r="F1466">
        <v>2004</v>
      </c>
      <c r="H1466" t="s">
        <v>1878</v>
      </c>
      <c r="I1466">
        <v>2</v>
      </c>
      <c r="K1466" t="s">
        <v>14332</v>
      </c>
      <c r="L1466" s="222">
        <v>9783426626603</v>
      </c>
      <c r="M1466">
        <v>288</v>
      </c>
      <c r="O1466" t="s">
        <v>6795</v>
      </c>
      <c r="P1466">
        <v>293</v>
      </c>
      <c r="Q1466">
        <v>0.85</v>
      </c>
    </row>
    <row r="1467" spans="1:17" x14ac:dyDescent="0.25">
      <c r="A1467">
        <v>1315</v>
      </c>
      <c r="B1467" t="s">
        <v>8514</v>
      </c>
      <c r="C1467" t="s">
        <v>8515</v>
      </c>
      <c r="D1467" t="s">
        <v>3116</v>
      </c>
      <c r="E1467" t="s">
        <v>1913</v>
      </c>
      <c r="F1467">
        <v>2013</v>
      </c>
      <c r="H1467" t="s">
        <v>1878</v>
      </c>
      <c r="I1467">
        <v>2</v>
      </c>
      <c r="K1467" t="s">
        <v>14332</v>
      </c>
      <c r="L1467" s="222">
        <v>9783401068305</v>
      </c>
      <c r="M1467">
        <v>376</v>
      </c>
      <c r="O1467" t="s">
        <v>6796</v>
      </c>
      <c r="P1467">
        <v>586</v>
      </c>
      <c r="Q1467">
        <v>1.55</v>
      </c>
    </row>
    <row r="1468" spans="1:17" x14ac:dyDescent="0.25">
      <c r="A1468">
        <v>721</v>
      </c>
      <c r="C1468" t="s">
        <v>8517</v>
      </c>
      <c r="D1468" t="s">
        <v>8518</v>
      </c>
      <c r="H1468" t="s">
        <v>2734</v>
      </c>
      <c r="I1468">
        <v>2</v>
      </c>
      <c r="J1468" t="s">
        <v>3854</v>
      </c>
      <c r="K1468" t="s">
        <v>14332</v>
      </c>
      <c r="L1468" s="222">
        <v>9783829905749</v>
      </c>
      <c r="M1468">
        <v>290</v>
      </c>
      <c r="O1468" t="s">
        <v>6797</v>
      </c>
      <c r="P1468">
        <v>643</v>
      </c>
      <c r="Q1468">
        <v>2.6</v>
      </c>
    </row>
    <row r="1469" spans="1:17" x14ac:dyDescent="0.25">
      <c r="A1469">
        <v>1984</v>
      </c>
      <c r="B1469" t="s">
        <v>8520</v>
      </c>
      <c r="C1469" t="s">
        <v>7217</v>
      </c>
      <c r="D1469" t="s">
        <v>3524</v>
      </c>
      <c r="F1469">
        <v>2003</v>
      </c>
      <c r="H1469" t="s">
        <v>8439</v>
      </c>
      <c r="I1469">
        <v>2</v>
      </c>
      <c r="K1469" t="s">
        <v>14332</v>
      </c>
      <c r="L1469" s="222">
        <v>9783785545928</v>
      </c>
      <c r="M1469">
        <v>62</v>
      </c>
      <c r="O1469" t="s">
        <v>6798</v>
      </c>
      <c r="P1469">
        <v>123</v>
      </c>
      <c r="Q1469">
        <v>0.85</v>
      </c>
    </row>
    <row r="1470" spans="1:17" x14ac:dyDescent="0.25">
      <c r="A1470">
        <v>691</v>
      </c>
      <c r="C1470" t="s">
        <v>8522</v>
      </c>
      <c r="D1470" t="s">
        <v>8523</v>
      </c>
      <c r="F1470">
        <v>2011</v>
      </c>
      <c r="H1470" t="s">
        <v>2734</v>
      </c>
      <c r="I1470">
        <v>3</v>
      </c>
      <c r="J1470" t="s">
        <v>8524</v>
      </c>
      <c r="K1470" t="s">
        <v>14332</v>
      </c>
      <c r="L1470" s="222">
        <v>9783863183004</v>
      </c>
      <c r="M1470">
        <v>66</v>
      </c>
      <c r="O1470" t="s">
        <v>6799</v>
      </c>
      <c r="P1470">
        <v>485</v>
      </c>
      <c r="Q1470">
        <v>2.2000000000000002</v>
      </c>
    </row>
    <row r="1471" spans="1:17" x14ac:dyDescent="0.25">
      <c r="A1471">
        <v>691</v>
      </c>
      <c r="C1471" t="s">
        <v>8526</v>
      </c>
      <c r="D1471" t="s">
        <v>8527</v>
      </c>
      <c r="F1471">
        <v>2011</v>
      </c>
      <c r="H1471" t="s">
        <v>2734</v>
      </c>
      <c r="I1471">
        <v>3</v>
      </c>
      <c r="J1471" t="s">
        <v>8524</v>
      </c>
      <c r="K1471" t="s">
        <v>14332</v>
      </c>
      <c r="L1471" s="222">
        <v>9783863183004</v>
      </c>
      <c r="M1471">
        <v>66</v>
      </c>
      <c r="O1471" t="s">
        <v>6800</v>
      </c>
      <c r="P1471">
        <v>458</v>
      </c>
      <c r="Q1471">
        <v>2.2000000000000002</v>
      </c>
    </row>
    <row r="1472" spans="1:17" x14ac:dyDescent="0.25">
      <c r="A1472">
        <v>691</v>
      </c>
      <c r="C1472" t="s">
        <v>8528</v>
      </c>
      <c r="D1472" t="s">
        <v>8523</v>
      </c>
      <c r="F1472">
        <v>2012</v>
      </c>
      <c r="H1472" t="s">
        <v>2734</v>
      </c>
      <c r="I1472">
        <v>3</v>
      </c>
      <c r="J1472" t="s">
        <v>14487</v>
      </c>
      <c r="K1472" t="s">
        <v>14332</v>
      </c>
      <c r="L1472" s="222">
        <v>9783863183172</v>
      </c>
      <c r="M1472">
        <v>46</v>
      </c>
      <c r="O1472" t="s">
        <v>6801</v>
      </c>
      <c r="P1472">
        <v>373</v>
      </c>
      <c r="Q1472">
        <v>0.85</v>
      </c>
    </row>
    <row r="1473" spans="1:17" x14ac:dyDescent="0.25">
      <c r="A1473">
        <v>691</v>
      </c>
      <c r="C1473" t="s">
        <v>8531</v>
      </c>
      <c r="D1473" t="s">
        <v>8523</v>
      </c>
      <c r="F1473">
        <v>2011</v>
      </c>
      <c r="H1473" t="s">
        <v>2734</v>
      </c>
      <c r="I1473">
        <v>3</v>
      </c>
      <c r="J1473" t="s">
        <v>8524</v>
      </c>
      <c r="K1473" t="s">
        <v>14332</v>
      </c>
      <c r="L1473" s="222">
        <v>9783863183011</v>
      </c>
      <c r="M1473">
        <v>66</v>
      </c>
      <c r="O1473" t="s">
        <v>6802</v>
      </c>
      <c r="P1473">
        <v>489</v>
      </c>
      <c r="Q1473">
        <v>1.71</v>
      </c>
    </row>
    <row r="1474" spans="1:17" x14ac:dyDescent="0.25">
      <c r="A1474">
        <v>651</v>
      </c>
      <c r="B1474" t="s">
        <v>8533</v>
      </c>
      <c r="C1474" t="s">
        <v>8534</v>
      </c>
      <c r="D1474" t="s">
        <v>8535</v>
      </c>
      <c r="F1474">
        <v>2002</v>
      </c>
      <c r="H1474" t="s">
        <v>2734</v>
      </c>
      <c r="I1474">
        <v>2</v>
      </c>
      <c r="K1474" t="s">
        <v>14332</v>
      </c>
      <c r="L1474" s="222">
        <v>9783517092089</v>
      </c>
      <c r="M1474">
        <v>138</v>
      </c>
      <c r="O1474" t="s">
        <v>6803</v>
      </c>
      <c r="P1474">
        <v>734</v>
      </c>
      <c r="Q1474">
        <v>1.6</v>
      </c>
    </row>
    <row r="1475" spans="1:17" x14ac:dyDescent="0.25">
      <c r="A1475">
        <v>1340</v>
      </c>
      <c r="B1475" t="s">
        <v>8537</v>
      </c>
      <c r="C1475" t="s">
        <v>8538</v>
      </c>
      <c r="D1475" t="s">
        <v>3606</v>
      </c>
      <c r="F1475">
        <v>2010</v>
      </c>
      <c r="H1475" t="s">
        <v>1878</v>
      </c>
      <c r="I1475" s="305">
        <v>43862</v>
      </c>
      <c r="K1475" t="s">
        <v>14332</v>
      </c>
      <c r="L1475" s="222">
        <v>9783835405066</v>
      </c>
      <c r="M1475">
        <v>128</v>
      </c>
      <c r="O1475" t="s">
        <v>6804</v>
      </c>
      <c r="P1475">
        <v>389</v>
      </c>
      <c r="Q1475">
        <v>4.2</v>
      </c>
    </row>
    <row r="1476" spans="1:17" x14ac:dyDescent="0.25">
      <c r="A1476">
        <v>2943</v>
      </c>
      <c r="B1476" t="s">
        <v>8540</v>
      </c>
      <c r="C1476" t="s">
        <v>8541</v>
      </c>
      <c r="D1476" t="s">
        <v>4693</v>
      </c>
      <c r="E1476" t="s">
        <v>1913</v>
      </c>
      <c r="F1476">
        <v>1995</v>
      </c>
      <c r="H1476" t="s">
        <v>1878</v>
      </c>
      <c r="I1476">
        <v>2</v>
      </c>
      <c r="K1476" t="s">
        <v>14332</v>
      </c>
      <c r="L1476" s="222">
        <v>9783774225763</v>
      </c>
      <c r="M1476">
        <v>96</v>
      </c>
      <c r="O1476" t="s">
        <v>6805</v>
      </c>
      <c r="P1476">
        <v>255</v>
      </c>
      <c r="Q1476">
        <v>0.96</v>
      </c>
    </row>
    <row r="1477" spans="1:17" x14ac:dyDescent="0.25">
      <c r="A1477">
        <v>763</v>
      </c>
      <c r="B1477" t="s">
        <v>8543</v>
      </c>
      <c r="C1477" t="s">
        <v>8544</v>
      </c>
      <c r="D1477" t="s">
        <v>4693</v>
      </c>
      <c r="E1477" t="s">
        <v>2175</v>
      </c>
      <c r="F1477">
        <v>2008</v>
      </c>
      <c r="H1477" t="s">
        <v>1878</v>
      </c>
      <c r="I1477" s="305">
        <v>43862</v>
      </c>
      <c r="K1477" t="s">
        <v>14332</v>
      </c>
      <c r="L1477" s="222">
        <v>9783774260467</v>
      </c>
      <c r="M1477">
        <v>128</v>
      </c>
      <c r="O1477" t="s">
        <v>6806</v>
      </c>
      <c r="P1477">
        <v>313</v>
      </c>
      <c r="Q1477">
        <v>0.85</v>
      </c>
    </row>
    <row r="1478" spans="1:17" x14ac:dyDescent="0.25">
      <c r="A1478">
        <v>704</v>
      </c>
      <c r="B1478" t="s">
        <v>4649</v>
      </c>
      <c r="C1478" t="s">
        <v>8546</v>
      </c>
      <c r="D1478" t="s">
        <v>1998</v>
      </c>
      <c r="E1478" t="s">
        <v>1877</v>
      </c>
      <c r="F1478">
        <v>2008</v>
      </c>
      <c r="H1478" t="s">
        <v>1878</v>
      </c>
      <c r="I1478" s="305">
        <v>43862</v>
      </c>
      <c r="K1478" t="s">
        <v>14332</v>
      </c>
      <c r="L1478" s="222">
        <v>9783462040289</v>
      </c>
      <c r="M1478">
        <v>162</v>
      </c>
      <c r="O1478" t="s">
        <v>6807</v>
      </c>
      <c r="P1478">
        <v>238</v>
      </c>
      <c r="Q1478">
        <v>1.01</v>
      </c>
    </row>
    <row r="1479" spans="1:17" x14ac:dyDescent="0.25">
      <c r="A1479">
        <v>765</v>
      </c>
      <c r="C1479" t="s">
        <v>7981</v>
      </c>
      <c r="D1479" t="s">
        <v>8548</v>
      </c>
      <c r="F1479">
        <v>2017</v>
      </c>
      <c r="H1479" t="s">
        <v>2734</v>
      </c>
      <c r="I1479">
        <v>2</v>
      </c>
      <c r="J1479" t="s">
        <v>8549</v>
      </c>
      <c r="K1479" t="s">
        <v>14332</v>
      </c>
      <c r="L1479" s="222">
        <v>9783866993570</v>
      </c>
      <c r="O1479" t="s">
        <v>6808</v>
      </c>
      <c r="P1479">
        <v>430</v>
      </c>
      <c r="Q1479">
        <v>3.35</v>
      </c>
    </row>
    <row r="1480" spans="1:17" x14ac:dyDescent="0.25">
      <c r="A1480">
        <v>2522</v>
      </c>
      <c r="B1480" t="s">
        <v>3832</v>
      </c>
      <c r="C1480" t="s">
        <v>8554</v>
      </c>
      <c r="D1480" t="s">
        <v>2054</v>
      </c>
      <c r="F1480">
        <v>1997</v>
      </c>
      <c r="H1480" t="s">
        <v>2734</v>
      </c>
      <c r="I1480" s="305">
        <v>43892</v>
      </c>
      <c r="K1480" t="s">
        <v>14332</v>
      </c>
      <c r="L1480" s="222">
        <v>4026411112060</v>
      </c>
      <c r="M1480">
        <v>546</v>
      </c>
      <c r="O1480" t="s">
        <v>6810</v>
      </c>
      <c r="P1480">
        <v>459</v>
      </c>
      <c r="Q1480">
        <v>1.1200000000000001</v>
      </c>
    </row>
    <row r="1481" spans="1:17" x14ac:dyDescent="0.25">
      <c r="A1481">
        <v>2905</v>
      </c>
      <c r="B1481" t="s">
        <v>8556</v>
      </c>
      <c r="C1481" t="s">
        <v>8557</v>
      </c>
      <c r="D1481" t="s">
        <v>1912</v>
      </c>
      <c r="E1481" t="s">
        <v>1877</v>
      </c>
      <c r="F1481">
        <v>2015</v>
      </c>
      <c r="H1481" t="s">
        <v>1878</v>
      </c>
      <c r="I1481">
        <v>2</v>
      </c>
      <c r="K1481" t="s">
        <v>14332</v>
      </c>
      <c r="L1481" s="222">
        <v>9783442482177</v>
      </c>
      <c r="M1481">
        <v>544</v>
      </c>
      <c r="O1481" t="s">
        <v>6811</v>
      </c>
      <c r="P1481">
        <v>435</v>
      </c>
      <c r="Q1481">
        <v>1.6</v>
      </c>
    </row>
    <row r="1482" spans="1:17" x14ac:dyDescent="0.25">
      <c r="A1482">
        <v>2905</v>
      </c>
      <c r="B1482" t="s">
        <v>8559</v>
      </c>
      <c r="C1482" t="s">
        <v>8560</v>
      </c>
      <c r="D1482" t="s">
        <v>2453</v>
      </c>
      <c r="E1482" t="s">
        <v>2032</v>
      </c>
      <c r="F1482">
        <v>2006</v>
      </c>
      <c r="H1482" t="s">
        <v>1878</v>
      </c>
      <c r="I1482">
        <v>2</v>
      </c>
      <c r="K1482" t="s">
        <v>14332</v>
      </c>
      <c r="L1482" s="222">
        <v>9783570302767</v>
      </c>
      <c r="M1482">
        <v>384</v>
      </c>
      <c r="O1482" t="s">
        <v>6812</v>
      </c>
      <c r="P1482">
        <v>407</v>
      </c>
      <c r="Q1482">
        <v>0.85</v>
      </c>
    </row>
    <row r="1483" spans="1:17" x14ac:dyDescent="0.25">
      <c r="A1483">
        <v>774</v>
      </c>
      <c r="B1483" t="s">
        <v>8562</v>
      </c>
      <c r="C1483" t="s">
        <v>8563</v>
      </c>
      <c r="D1483" t="s">
        <v>8403</v>
      </c>
      <c r="F1483">
        <v>2010</v>
      </c>
      <c r="H1483" t="s">
        <v>1878</v>
      </c>
      <c r="I1483">
        <v>1</v>
      </c>
      <c r="K1483" t="s">
        <v>14332</v>
      </c>
      <c r="L1483" s="222">
        <v>9783833306877</v>
      </c>
      <c r="M1483">
        <v>496</v>
      </c>
      <c r="O1483" t="s">
        <v>6813</v>
      </c>
      <c r="P1483">
        <v>346</v>
      </c>
      <c r="Q1483">
        <v>0.85</v>
      </c>
    </row>
    <row r="1484" spans="1:17" x14ac:dyDescent="0.25">
      <c r="A1484">
        <v>1386</v>
      </c>
      <c r="B1484" t="s">
        <v>8500</v>
      </c>
      <c r="C1484" t="s">
        <v>8565</v>
      </c>
      <c r="D1484" t="s">
        <v>3077</v>
      </c>
      <c r="F1484">
        <v>2007</v>
      </c>
      <c r="H1484" t="s">
        <v>1878</v>
      </c>
      <c r="I1484">
        <v>1</v>
      </c>
      <c r="K1484" t="s">
        <v>14332</v>
      </c>
      <c r="L1484" s="222">
        <v>4043002857759</v>
      </c>
      <c r="M1484">
        <v>928</v>
      </c>
      <c r="O1484" t="s">
        <v>6814</v>
      </c>
      <c r="P1484">
        <v>604</v>
      </c>
      <c r="Q1484">
        <v>0.89</v>
      </c>
    </row>
    <row r="1485" spans="1:17" x14ac:dyDescent="0.25">
      <c r="A1485">
        <v>796</v>
      </c>
      <c r="B1485" t="s">
        <v>8567</v>
      </c>
      <c r="C1485" t="s">
        <v>8568</v>
      </c>
      <c r="D1485" t="s">
        <v>2300</v>
      </c>
      <c r="F1485">
        <v>2012</v>
      </c>
      <c r="H1485" t="s">
        <v>1878</v>
      </c>
      <c r="I1485">
        <v>1</v>
      </c>
      <c r="K1485" t="s">
        <v>14332</v>
      </c>
      <c r="L1485" s="222">
        <v>9783499258244</v>
      </c>
      <c r="M1485">
        <v>240</v>
      </c>
      <c r="O1485" t="s">
        <v>6815</v>
      </c>
      <c r="P1485">
        <v>200</v>
      </c>
      <c r="Q1485">
        <v>1.23</v>
      </c>
    </row>
    <row r="1486" spans="1:17" x14ac:dyDescent="0.25">
      <c r="A1486">
        <v>1358</v>
      </c>
      <c r="B1486" t="s">
        <v>8570</v>
      </c>
      <c r="C1486" t="s">
        <v>8571</v>
      </c>
      <c r="D1486" t="s">
        <v>2300</v>
      </c>
      <c r="F1486">
        <v>2011</v>
      </c>
      <c r="H1486" t="s">
        <v>1878</v>
      </c>
      <c r="I1486">
        <v>1</v>
      </c>
      <c r="K1486" t="s">
        <v>14332</v>
      </c>
      <c r="L1486" s="222">
        <v>9783499256370</v>
      </c>
      <c r="M1486">
        <v>368</v>
      </c>
      <c r="O1486" t="s">
        <v>6816</v>
      </c>
      <c r="P1486">
        <v>307</v>
      </c>
      <c r="Q1486">
        <v>0.85</v>
      </c>
    </row>
    <row r="1487" spans="1:17" x14ac:dyDescent="0.25">
      <c r="A1487">
        <v>1809</v>
      </c>
      <c r="B1487" t="s">
        <v>8573</v>
      </c>
      <c r="C1487" t="s">
        <v>8574</v>
      </c>
      <c r="D1487" t="s">
        <v>2822</v>
      </c>
      <c r="F1487">
        <v>2009</v>
      </c>
      <c r="H1487" t="s">
        <v>1878</v>
      </c>
      <c r="I1487">
        <v>2</v>
      </c>
      <c r="K1487" t="s">
        <v>14332</v>
      </c>
      <c r="L1487" s="222">
        <v>9783522500616</v>
      </c>
      <c r="M1487">
        <v>256</v>
      </c>
      <c r="O1487" t="s">
        <v>6817</v>
      </c>
      <c r="P1487">
        <v>368</v>
      </c>
      <c r="Q1487">
        <v>0.96</v>
      </c>
    </row>
    <row r="1488" spans="1:17" x14ac:dyDescent="0.25">
      <c r="A1488">
        <v>692</v>
      </c>
      <c r="B1488" t="s">
        <v>8130</v>
      </c>
      <c r="C1488" t="s">
        <v>8576</v>
      </c>
      <c r="D1488" t="s">
        <v>5005</v>
      </c>
      <c r="F1488">
        <v>2006</v>
      </c>
      <c r="H1488" t="s">
        <v>1878</v>
      </c>
      <c r="I1488">
        <v>2</v>
      </c>
      <c r="K1488" t="s">
        <v>14332</v>
      </c>
      <c r="M1488">
        <v>336</v>
      </c>
      <c r="O1488" t="s">
        <v>6818</v>
      </c>
      <c r="P1488">
        <v>248</v>
      </c>
      <c r="Q1488">
        <v>0.85</v>
      </c>
    </row>
    <row r="1489" spans="1:17" x14ac:dyDescent="0.25">
      <c r="A1489">
        <v>1386</v>
      </c>
      <c r="B1489" t="s">
        <v>8577</v>
      </c>
      <c r="C1489" t="s">
        <v>8578</v>
      </c>
      <c r="D1489" t="s">
        <v>2257</v>
      </c>
      <c r="E1489" t="s">
        <v>1921</v>
      </c>
      <c r="F1489">
        <v>2001</v>
      </c>
      <c r="H1489" t="s">
        <v>1878</v>
      </c>
      <c r="I1489">
        <v>3</v>
      </c>
      <c r="K1489" t="s">
        <v>14332</v>
      </c>
      <c r="L1489" s="222">
        <v>9783426618998</v>
      </c>
      <c r="M1489">
        <v>320</v>
      </c>
      <c r="O1489" t="s">
        <v>6819</v>
      </c>
      <c r="P1489">
        <v>213</v>
      </c>
      <c r="Q1489">
        <v>0.91</v>
      </c>
    </row>
    <row r="1490" spans="1:17" x14ac:dyDescent="0.25">
      <c r="A1490">
        <v>2591</v>
      </c>
      <c r="B1490" t="s">
        <v>8580</v>
      </c>
      <c r="C1490" t="s">
        <v>8581</v>
      </c>
      <c r="D1490" t="s">
        <v>8582</v>
      </c>
      <c r="F1490">
        <v>1993</v>
      </c>
      <c r="H1490" t="s">
        <v>1878</v>
      </c>
      <c r="I1490">
        <v>3</v>
      </c>
      <c r="K1490" t="s">
        <v>14332</v>
      </c>
      <c r="L1490" s="222">
        <v>9783821829807</v>
      </c>
      <c r="O1490" t="s">
        <v>6820</v>
      </c>
      <c r="P1490">
        <v>51</v>
      </c>
      <c r="Q1490">
        <v>1.2</v>
      </c>
    </row>
    <row r="1491" spans="1:17" x14ac:dyDescent="0.25">
      <c r="A1491">
        <v>2547</v>
      </c>
      <c r="B1491" t="s">
        <v>8584</v>
      </c>
      <c r="C1491" t="s">
        <v>8585</v>
      </c>
      <c r="D1491" t="s">
        <v>2309</v>
      </c>
      <c r="E1491" t="s">
        <v>1921</v>
      </c>
      <c r="F1491">
        <v>2001</v>
      </c>
      <c r="H1491" t="s">
        <v>1878</v>
      </c>
      <c r="I1491">
        <v>3</v>
      </c>
      <c r="K1491" t="s">
        <v>14332</v>
      </c>
      <c r="L1491" s="222">
        <v>9783548250236</v>
      </c>
      <c r="M1491">
        <v>384</v>
      </c>
      <c r="O1491" t="s">
        <v>6821</v>
      </c>
      <c r="P1491">
        <v>251</v>
      </c>
      <c r="Q1491">
        <v>1.1499999999999999</v>
      </c>
    </row>
    <row r="1492" spans="1:17" x14ac:dyDescent="0.25">
      <c r="A1492">
        <v>1315</v>
      </c>
      <c r="B1492" t="s">
        <v>4725</v>
      </c>
      <c r="C1492" t="s">
        <v>8587</v>
      </c>
      <c r="D1492" t="s">
        <v>2402</v>
      </c>
      <c r="F1492">
        <v>1988</v>
      </c>
      <c r="H1492" t="s">
        <v>2734</v>
      </c>
      <c r="I1492">
        <v>2</v>
      </c>
      <c r="K1492" t="s">
        <v>14332</v>
      </c>
      <c r="L1492" s="222">
        <v>9783505097218</v>
      </c>
      <c r="M1492">
        <v>130</v>
      </c>
      <c r="O1492" t="s">
        <v>6822</v>
      </c>
      <c r="P1492">
        <v>204</v>
      </c>
      <c r="Q1492">
        <v>1.1000000000000001</v>
      </c>
    </row>
    <row r="1493" spans="1:17" x14ac:dyDescent="0.25">
      <c r="A1493">
        <v>1332</v>
      </c>
      <c r="C1493" t="s">
        <v>8589</v>
      </c>
      <c r="D1493" t="s">
        <v>3332</v>
      </c>
      <c r="H1493" t="s">
        <v>2734</v>
      </c>
      <c r="I1493">
        <v>1</v>
      </c>
      <c r="K1493" t="s">
        <v>14332</v>
      </c>
      <c r="L1493" s="222">
        <v>4050847008130</v>
      </c>
      <c r="M1493">
        <v>242</v>
      </c>
      <c r="O1493" t="s">
        <v>6823</v>
      </c>
      <c r="P1493">
        <v>375</v>
      </c>
      <c r="Q1493">
        <v>1.83</v>
      </c>
    </row>
    <row r="1494" spans="1:17" x14ac:dyDescent="0.25">
      <c r="A1494">
        <v>2514</v>
      </c>
      <c r="B1494" t="s">
        <v>8591</v>
      </c>
      <c r="C1494" t="s">
        <v>4866</v>
      </c>
      <c r="D1494" t="s">
        <v>3116</v>
      </c>
      <c r="E1494" t="s">
        <v>2922</v>
      </c>
      <c r="F1494">
        <v>2008</v>
      </c>
      <c r="H1494" t="s">
        <v>2734</v>
      </c>
      <c r="I1494">
        <v>3</v>
      </c>
      <c r="K1494" t="s">
        <v>14332</v>
      </c>
      <c r="L1494" s="222">
        <v>9783401085067</v>
      </c>
      <c r="M1494">
        <v>68</v>
      </c>
      <c r="O1494" t="s">
        <v>6824</v>
      </c>
      <c r="P1494">
        <v>321</v>
      </c>
      <c r="Q1494">
        <v>1.01</v>
      </c>
    </row>
    <row r="1495" spans="1:17" x14ac:dyDescent="0.25">
      <c r="A1495">
        <v>782</v>
      </c>
      <c r="B1495" t="s">
        <v>8593</v>
      </c>
      <c r="C1495" t="s">
        <v>8594</v>
      </c>
      <c r="D1495" t="s">
        <v>8595</v>
      </c>
      <c r="H1495" t="s">
        <v>2734</v>
      </c>
      <c r="I1495">
        <v>3</v>
      </c>
      <c r="K1495" t="s">
        <v>14332</v>
      </c>
      <c r="L1495" s="222">
        <v>9783773549297</v>
      </c>
      <c r="M1495">
        <v>62</v>
      </c>
      <c r="O1495" t="s">
        <v>6825</v>
      </c>
      <c r="P1495">
        <v>230</v>
      </c>
      <c r="Q1495">
        <v>0.85</v>
      </c>
    </row>
    <row r="1496" spans="1:17" x14ac:dyDescent="0.25">
      <c r="A1496">
        <v>796</v>
      </c>
      <c r="B1496" t="s">
        <v>8597</v>
      </c>
      <c r="C1496" t="s">
        <v>8598</v>
      </c>
      <c r="D1496" t="s">
        <v>8599</v>
      </c>
      <c r="F1496">
        <v>2014</v>
      </c>
      <c r="H1496" t="s">
        <v>1878</v>
      </c>
      <c r="I1496">
        <v>2</v>
      </c>
      <c r="K1496" t="s">
        <v>14332</v>
      </c>
      <c r="L1496" s="222">
        <v>9783760795744</v>
      </c>
      <c r="M1496">
        <v>224</v>
      </c>
      <c r="O1496" t="s">
        <v>6826</v>
      </c>
      <c r="P1496">
        <v>402</v>
      </c>
      <c r="Q1496">
        <v>4.71</v>
      </c>
    </row>
    <row r="1497" spans="1:17" x14ac:dyDescent="0.25">
      <c r="A1497">
        <v>2522</v>
      </c>
      <c r="B1497" t="s">
        <v>8601</v>
      </c>
      <c r="C1497" t="s">
        <v>8602</v>
      </c>
      <c r="D1497" t="s">
        <v>8603</v>
      </c>
      <c r="E1497" t="s">
        <v>1913</v>
      </c>
      <c r="F1497">
        <v>2017</v>
      </c>
      <c r="H1497" t="s">
        <v>1878</v>
      </c>
      <c r="I1497">
        <v>1</v>
      </c>
      <c r="J1497" t="s">
        <v>8473</v>
      </c>
      <c r="K1497" t="s">
        <v>14332</v>
      </c>
      <c r="M1497">
        <v>384</v>
      </c>
      <c r="O1497" t="s">
        <v>6827</v>
      </c>
      <c r="P1497">
        <v>334</v>
      </c>
      <c r="Q1497">
        <v>1.69</v>
      </c>
    </row>
    <row r="1498" spans="1:17" x14ac:dyDescent="0.25">
      <c r="A1498">
        <v>1386</v>
      </c>
      <c r="B1498" t="s">
        <v>7937</v>
      </c>
      <c r="C1498" t="s">
        <v>8604</v>
      </c>
      <c r="D1498" t="s">
        <v>2054</v>
      </c>
      <c r="F1498">
        <v>2009</v>
      </c>
      <c r="H1498" t="s">
        <v>1878</v>
      </c>
      <c r="I1498">
        <v>2</v>
      </c>
      <c r="K1498" t="s">
        <v>14332</v>
      </c>
      <c r="L1498" s="222">
        <v>9783828993648</v>
      </c>
      <c r="M1498">
        <v>482</v>
      </c>
      <c r="O1498" t="s">
        <v>6828</v>
      </c>
      <c r="P1498">
        <v>542</v>
      </c>
      <c r="Q1498">
        <v>0.89</v>
      </c>
    </row>
    <row r="1499" spans="1:17" x14ac:dyDescent="0.25">
      <c r="A1499">
        <v>782</v>
      </c>
      <c r="B1499" t="s">
        <v>8593</v>
      </c>
      <c r="C1499" t="s">
        <v>8609</v>
      </c>
      <c r="D1499" t="s">
        <v>1927</v>
      </c>
      <c r="F1499">
        <v>2016</v>
      </c>
      <c r="H1499" t="s">
        <v>2734</v>
      </c>
      <c r="I1499">
        <v>2</v>
      </c>
      <c r="K1499" t="s">
        <v>14332</v>
      </c>
      <c r="L1499" s="222">
        <v>9781474860093</v>
      </c>
      <c r="M1499">
        <v>66</v>
      </c>
      <c r="O1499" t="s">
        <v>6829</v>
      </c>
      <c r="P1499">
        <v>471</v>
      </c>
      <c r="Q1499">
        <v>1.7</v>
      </c>
    </row>
    <row r="1500" spans="1:17" x14ac:dyDescent="0.25">
      <c r="A1500">
        <v>2524</v>
      </c>
      <c r="B1500" t="s">
        <v>8613</v>
      </c>
      <c r="C1500" t="s">
        <v>8614</v>
      </c>
      <c r="D1500" t="s">
        <v>8258</v>
      </c>
      <c r="F1500">
        <v>2000</v>
      </c>
      <c r="H1500" t="s">
        <v>2734</v>
      </c>
      <c r="I1500">
        <v>1</v>
      </c>
      <c r="K1500" t="s">
        <v>14332</v>
      </c>
      <c r="L1500" s="222">
        <v>9783704313324</v>
      </c>
      <c r="M1500">
        <v>186</v>
      </c>
      <c r="O1500" t="s">
        <v>6831</v>
      </c>
      <c r="P1500">
        <v>310</v>
      </c>
      <c r="Q1500">
        <v>1</v>
      </c>
    </row>
    <row r="1501" spans="1:17" x14ac:dyDescent="0.25">
      <c r="A1501">
        <v>667</v>
      </c>
      <c r="B1501" t="s">
        <v>8616</v>
      </c>
      <c r="C1501" t="s">
        <v>8617</v>
      </c>
      <c r="D1501" t="s">
        <v>8616</v>
      </c>
      <c r="F1501">
        <v>2011</v>
      </c>
      <c r="H1501" t="s">
        <v>1878</v>
      </c>
      <c r="I1501" s="305">
        <v>43892</v>
      </c>
      <c r="K1501" t="s">
        <v>14332</v>
      </c>
      <c r="L1501" s="222">
        <v>9783125617346</v>
      </c>
      <c r="M1501">
        <v>208</v>
      </c>
      <c r="O1501" t="s">
        <v>6832</v>
      </c>
      <c r="P1501">
        <v>463</v>
      </c>
      <c r="Q1501">
        <v>1.39</v>
      </c>
    </row>
    <row r="1502" spans="1:17" x14ac:dyDescent="0.25">
      <c r="A1502">
        <v>666</v>
      </c>
      <c r="B1502" t="s">
        <v>8616</v>
      </c>
      <c r="C1502" t="s">
        <v>8619</v>
      </c>
      <c r="D1502" t="s">
        <v>8616</v>
      </c>
      <c r="F1502">
        <v>2010</v>
      </c>
      <c r="H1502" t="s">
        <v>1878</v>
      </c>
      <c r="I1502">
        <v>3</v>
      </c>
      <c r="K1502" t="s">
        <v>14332</v>
      </c>
      <c r="L1502" s="222">
        <v>9783125617322</v>
      </c>
      <c r="M1502">
        <v>192</v>
      </c>
      <c r="O1502" t="s">
        <v>6833</v>
      </c>
      <c r="P1502">
        <v>447</v>
      </c>
      <c r="Q1502">
        <v>8.1999999999999993</v>
      </c>
    </row>
    <row r="1503" spans="1:17" x14ac:dyDescent="0.25">
      <c r="A1503">
        <v>2952</v>
      </c>
      <c r="B1503" t="s">
        <v>8621</v>
      </c>
      <c r="C1503" t="s">
        <v>8622</v>
      </c>
      <c r="D1503" t="s">
        <v>1912</v>
      </c>
      <c r="F1503">
        <v>2002</v>
      </c>
      <c r="H1503" t="s">
        <v>1878</v>
      </c>
      <c r="I1503">
        <v>3</v>
      </c>
      <c r="K1503" t="s">
        <v>14332</v>
      </c>
      <c r="L1503" s="222">
        <v>9783442451357</v>
      </c>
      <c r="M1503">
        <v>448</v>
      </c>
      <c r="O1503" t="s">
        <v>6834</v>
      </c>
      <c r="P1503">
        <v>414</v>
      </c>
      <c r="Q1503">
        <v>0.85</v>
      </c>
    </row>
    <row r="1504" spans="1:17" x14ac:dyDescent="0.25">
      <c r="A1504">
        <v>1386</v>
      </c>
      <c r="B1504" t="s">
        <v>8624</v>
      </c>
      <c r="C1504" t="s">
        <v>8625</v>
      </c>
      <c r="D1504" t="s">
        <v>2054</v>
      </c>
      <c r="F1504">
        <v>2011</v>
      </c>
      <c r="H1504" t="s">
        <v>2734</v>
      </c>
      <c r="I1504">
        <v>2</v>
      </c>
      <c r="K1504" t="s">
        <v>14332</v>
      </c>
      <c r="L1504" s="222">
        <v>9783868005462</v>
      </c>
      <c r="M1504">
        <v>386</v>
      </c>
      <c r="O1504" t="s">
        <v>6835</v>
      </c>
      <c r="P1504">
        <v>446</v>
      </c>
      <c r="Q1504">
        <v>0.85</v>
      </c>
    </row>
    <row r="1505" spans="1:17" x14ac:dyDescent="0.25">
      <c r="A1505">
        <v>2522</v>
      </c>
      <c r="B1505" t="s">
        <v>8627</v>
      </c>
      <c r="C1505" t="s">
        <v>8628</v>
      </c>
      <c r="D1505" t="s">
        <v>3895</v>
      </c>
      <c r="F1505">
        <v>2005</v>
      </c>
      <c r="H1505" t="s">
        <v>1878</v>
      </c>
      <c r="I1505">
        <v>2</v>
      </c>
      <c r="K1505" t="s">
        <v>14332</v>
      </c>
      <c r="L1505" s="222">
        <v>9783899414820</v>
      </c>
      <c r="M1505">
        <v>384</v>
      </c>
      <c r="O1505" t="s">
        <v>6836</v>
      </c>
      <c r="P1505">
        <v>331</v>
      </c>
      <c r="Q1505">
        <v>1.71</v>
      </c>
    </row>
    <row r="1506" spans="1:17" x14ac:dyDescent="0.25">
      <c r="A1506">
        <v>1395</v>
      </c>
      <c r="B1506" t="s">
        <v>8630</v>
      </c>
      <c r="C1506" t="s">
        <v>8631</v>
      </c>
      <c r="D1506" t="s">
        <v>1912</v>
      </c>
      <c r="E1506" t="s">
        <v>2032</v>
      </c>
      <c r="F1506">
        <v>2007</v>
      </c>
      <c r="H1506" t="s">
        <v>1878</v>
      </c>
      <c r="I1506">
        <v>3</v>
      </c>
      <c r="K1506" t="s">
        <v>14332</v>
      </c>
      <c r="L1506" s="222">
        <v>9783442464159</v>
      </c>
      <c r="M1506">
        <v>384</v>
      </c>
      <c r="O1506" t="s">
        <v>6837</v>
      </c>
      <c r="P1506">
        <v>319</v>
      </c>
      <c r="Q1506">
        <v>0.85</v>
      </c>
    </row>
    <row r="1507" spans="1:17" x14ac:dyDescent="0.25">
      <c r="A1507">
        <v>1231</v>
      </c>
      <c r="B1507" t="s">
        <v>8633</v>
      </c>
      <c r="C1507" t="s">
        <v>8634</v>
      </c>
      <c r="D1507" t="s">
        <v>1920</v>
      </c>
      <c r="F1507">
        <v>2004</v>
      </c>
      <c r="H1507" t="s">
        <v>1878</v>
      </c>
      <c r="I1507">
        <v>3</v>
      </c>
      <c r="K1507" t="s">
        <v>14332</v>
      </c>
      <c r="L1507" s="222">
        <v>9783404615919</v>
      </c>
      <c r="M1507">
        <v>416</v>
      </c>
      <c r="O1507" t="s">
        <v>6838</v>
      </c>
      <c r="P1507">
        <v>361</v>
      </c>
      <c r="Q1507">
        <v>0.85</v>
      </c>
    </row>
    <row r="1508" spans="1:17" x14ac:dyDescent="0.25">
      <c r="A1508">
        <v>1386</v>
      </c>
      <c r="B1508" t="s">
        <v>8636</v>
      </c>
      <c r="C1508" t="s">
        <v>8637</v>
      </c>
      <c r="D1508" t="s">
        <v>2209</v>
      </c>
      <c r="F1508">
        <v>2017</v>
      </c>
      <c r="H1508" t="s">
        <v>1878</v>
      </c>
      <c r="I1508">
        <v>2</v>
      </c>
      <c r="J1508" t="s">
        <v>3854</v>
      </c>
      <c r="K1508" t="s">
        <v>14332</v>
      </c>
      <c r="L1508" s="222">
        <v>9783453420298</v>
      </c>
      <c r="M1508">
        <v>560</v>
      </c>
      <c r="O1508" t="s">
        <v>6839</v>
      </c>
      <c r="P1508">
        <v>493</v>
      </c>
      <c r="Q1508">
        <v>1.01</v>
      </c>
    </row>
    <row r="1509" spans="1:17" x14ac:dyDescent="0.25">
      <c r="A1509">
        <v>1321</v>
      </c>
      <c r="C1509" t="s">
        <v>8642</v>
      </c>
      <c r="D1509" t="s">
        <v>2077</v>
      </c>
      <c r="E1509" t="s">
        <v>1913</v>
      </c>
      <c r="F1509">
        <v>2008</v>
      </c>
      <c r="H1509" t="s">
        <v>2734</v>
      </c>
      <c r="I1509">
        <v>2</v>
      </c>
      <c r="K1509" t="s">
        <v>14332</v>
      </c>
      <c r="L1509" s="222">
        <v>9783802517884</v>
      </c>
      <c r="M1509">
        <v>130</v>
      </c>
      <c r="O1509" t="s">
        <v>6840</v>
      </c>
      <c r="P1509">
        <v>626</v>
      </c>
      <c r="Q1509">
        <v>7.8</v>
      </c>
    </row>
    <row r="1510" spans="1:17" x14ac:dyDescent="0.25">
      <c r="A1510">
        <v>655</v>
      </c>
      <c r="B1510" t="s">
        <v>8644</v>
      </c>
      <c r="C1510" t="s">
        <v>8645</v>
      </c>
      <c r="D1510" t="s">
        <v>8646</v>
      </c>
      <c r="E1510" t="s">
        <v>2375</v>
      </c>
      <c r="F1510">
        <v>1968</v>
      </c>
      <c r="H1510" t="s">
        <v>2734</v>
      </c>
      <c r="I1510">
        <v>2</v>
      </c>
      <c r="K1510" t="s">
        <v>14332</v>
      </c>
      <c r="M1510">
        <v>434</v>
      </c>
      <c r="O1510" t="s">
        <v>6841</v>
      </c>
      <c r="P1510">
        <v>796</v>
      </c>
      <c r="Q1510">
        <v>3.23</v>
      </c>
    </row>
    <row r="1511" spans="1:17" x14ac:dyDescent="0.25">
      <c r="A1511">
        <v>587</v>
      </c>
      <c r="B1511" t="s">
        <v>8647</v>
      </c>
      <c r="C1511" t="s">
        <v>8648</v>
      </c>
      <c r="D1511" t="s">
        <v>2054</v>
      </c>
      <c r="F1511">
        <v>2001</v>
      </c>
      <c r="H1511" t="s">
        <v>2734</v>
      </c>
      <c r="I1511">
        <v>2</v>
      </c>
      <c r="K1511" t="s">
        <v>14332</v>
      </c>
      <c r="L1511" s="222">
        <v>9783310007617</v>
      </c>
      <c r="M1511">
        <v>82</v>
      </c>
      <c r="O1511" t="s">
        <v>6842</v>
      </c>
      <c r="P1511">
        <v>355</v>
      </c>
      <c r="Q1511">
        <v>2.91</v>
      </c>
    </row>
    <row r="1512" spans="1:17" x14ac:dyDescent="0.25">
      <c r="A1512">
        <v>1395</v>
      </c>
      <c r="B1512" t="s">
        <v>8650</v>
      </c>
      <c r="C1512" t="s">
        <v>8651</v>
      </c>
      <c r="D1512" t="s">
        <v>2054</v>
      </c>
      <c r="F1512">
        <v>1997</v>
      </c>
      <c r="H1512" t="s">
        <v>2734</v>
      </c>
      <c r="I1512">
        <v>2</v>
      </c>
      <c r="K1512" t="s">
        <v>14332</v>
      </c>
      <c r="L1512" s="222">
        <v>9783896042071</v>
      </c>
      <c r="M1512">
        <v>322</v>
      </c>
      <c r="O1512" t="s">
        <v>6843</v>
      </c>
      <c r="P1512">
        <v>418</v>
      </c>
      <c r="Q1512">
        <v>2.91</v>
      </c>
    </row>
    <row r="1513" spans="1:17" x14ac:dyDescent="0.25">
      <c r="A1513">
        <v>767</v>
      </c>
      <c r="B1513" t="s">
        <v>8653</v>
      </c>
      <c r="C1513" t="s">
        <v>8654</v>
      </c>
      <c r="D1513" t="s">
        <v>8655</v>
      </c>
      <c r="F1513">
        <v>1997</v>
      </c>
      <c r="H1513" t="s">
        <v>1878</v>
      </c>
      <c r="I1513">
        <v>2</v>
      </c>
      <c r="K1513" t="s">
        <v>14332</v>
      </c>
      <c r="L1513" s="222">
        <v>9783783115307</v>
      </c>
      <c r="M1513">
        <v>120</v>
      </c>
      <c r="O1513" t="s">
        <v>6844</v>
      </c>
      <c r="P1513">
        <v>140</v>
      </c>
      <c r="Q1513">
        <v>2.91</v>
      </c>
    </row>
    <row r="1514" spans="1:17" x14ac:dyDescent="0.25">
      <c r="A1514">
        <v>618</v>
      </c>
      <c r="B1514" t="s">
        <v>7378</v>
      </c>
      <c r="C1514" t="s">
        <v>8657</v>
      </c>
      <c r="D1514" t="s">
        <v>3077</v>
      </c>
      <c r="F1514">
        <v>1999</v>
      </c>
      <c r="H1514" t="s">
        <v>1878</v>
      </c>
      <c r="I1514" s="305">
        <v>43892</v>
      </c>
      <c r="K1514" t="s">
        <v>14332</v>
      </c>
      <c r="L1514" s="222">
        <v>9783442248780</v>
      </c>
      <c r="M1514">
        <v>160</v>
      </c>
      <c r="O1514" t="s">
        <v>6845</v>
      </c>
      <c r="P1514">
        <v>153</v>
      </c>
      <c r="Q1514">
        <v>2.91</v>
      </c>
    </row>
    <row r="1515" spans="1:17" x14ac:dyDescent="0.25">
      <c r="A1515">
        <v>766</v>
      </c>
      <c r="B1515" t="s">
        <v>8659</v>
      </c>
      <c r="C1515" t="s">
        <v>8660</v>
      </c>
      <c r="D1515" t="s">
        <v>2971</v>
      </c>
      <c r="E1515" t="s">
        <v>2922</v>
      </c>
      <c r="F1515">
        <v>2004</v>
      </c>
      <c r="H1515" t="s">
        <v>1878</v>
      </c>
      <c r="I1515">
        <v>2</v>
      </c>
      <c r="K1515" t="s">
        <v>14332</v>
      </c>
      <c r="L1515" s="222">
        <v>9783821839721</v>
      </c>
      <c r="M1515">
        <v>160</v>
      </c>
      <c r="O1515" t="s">
        <v>6846</v>
      </c>
      <c r="P1515">
        <v>259</v>
      </c>
      <c r="Q1515">
        <v>2.91</v>
      </c>
    </row>
    <row r="1516" spans="1:17" x14ac:dyDescent="0.25">
      <c r="A1516">
        <v>726</v>
      </c>
      <c r="B1516" t="s">
        <v>8662</v>
      </c>
      <c r="C1516" t="s">
        <v>8663</v>
      </c>
      <c r="D1516" t="s">
        <v>2054</v>
      </c>
      <c r="F1516">
        <v>2006</v>
      </c>
      <c r="H1516" t="s">
        <v>1878</v>
      </c>
      <c r="I1516" s="305">
        <v>43892</v>
      </c>
      <c r="K1516" t="s">
        <v>14332</v>
      </c>
      <c r="L1516" s="222">
        <v>9783828949331</v>
      </c>
      <c r="M1516">
        <v>480</v>
      </c>
      <c r="O1516" t="s">
        <v>6847</v>
      </c>
      <c r="P1516">
        <v>467</v>
      </c>
      <c r="Q1516">
        <v>2.91</v>
      </c>
    </row>
    <row r="1517" spans="1:17" x14ac:dyDescent="0.25">
      <c r="A1517">
        <v>2522</v>
      </c>
      <c r="B1517" t="s">
        <v>8665</v>
      </c>
      <c r="C1517" t="s">
        <v>8666</v>
      </c>
      <c r="D1517" t="s">
        <v>2300</v>
      </c>
      <c r="E1517" t="s">
        <v>1921</v>
      </c>
      <c r="F1517">
        <v>2014</v>
      </c>
      <c r="H1517" t="s">
        <v>1878</v>
      </c>
      <c r="I1517">
        <v>2</v>
      </c>
      <c r="J1517" t="s">
        <v>3854</v>
      </c>
      <c r="K1517" t="s">
        <v>14332</v>
      </c>
      <c r="L1517" s="222">
        <v>9783499268830</v>
      </c>
      <c r="M1517">
        <v>368</v>
      </c>
      <c r="O1517" t="s">
        <v>6848</v>
      </c>
      <c r="P1517">
        <v>372</v>
      </c>
      <c r="Q1517">
        <v>2.91</v>
      </c>
    </row>
    <row r="1518" spans="1:17" x14ac:dyDescent="0.25">
      <c r="A1518">
        <v>632</v>
      </c>
      <c r="B1518" t="s">
        <v>2467</v>
      </c>
      <c r="C1518" t="s">
        <v>8668</v>
      </c>
      <c r="D1518" t="s">
        <v>2054</v>
      </c>
      <c r="F1518">
        <v>2005</v>
      </c>
      <c r="H1518" t="s">
        <v>1878</v>
      </c>
      <c r="I1518">
        <v>3</v>
      </c>
      <c r="K1518" t="s">
        <v>14332</v>
      </c>
      <c r="L1518" s="222">
        <v>9783828976610</v>
      </c>
      <c r="M1518">
        <v>1248</v>
      </c>
      <c r="O1518" t="s">
        <v>6849</v>
      </c>
      <c r="P1518">
        <v>747</v>
      </c>
      <c r="Q1518">
        <v>3.23</v>
      </c>
    </row>
    <row r="1519" spans="1:17" x14ac:dyDescent="0.25">
      <c r="A1519">
        <v>1396</v>
      </c>
      <c r="B1519" t="s">
        <v>8670</v>
      </c>
      <c r="C1519" t="s">
        <v>8671</v>
      </c>
      <c r="D1519" t="s">
        <v>2386</v>
      </c>
      <c r="F1519">
        <v>1987</v>
      </c>
      <c r="H1519" t="s">
        <v>2734</v>
      </c>
      <c r="I1519">
        <v>2</v>
      </c>
      <c r="K1519" t="s">
        <v>14332</v>
      </c>
      <c r="M1519">
        <v>482</v>
      </c>
      <c r="O1519" t="s">
        <v>6850</v>
      </c>
      <c r="P1519">
        <v>601</v>
      </c>
      <c r="Q1519">
        <v>3.23</v>
      </c>
    </row>
    <row r="1520" spans="1:17" x14ac:dyDescent="0.25">
      <c r="A1520">
        <v>792</v>
      </c>
      <c r="B1520" t="s">
        <v>8672</v>
      </c>
      <c r="C1520" t="s">
        <v>8674</v>
      </c>
      <c r="D1520" t="s">
        <v>2007</v>
      </c>
      <c r="F1520">
        <v>2017</v>
      </c>
      <c r="H1520" t="s">
        <v>1878</v>
      </c>
      <c r="I1520">
        <v>1</v>
      </c>
      <c r="K1520" t="s">
        <v>14332</v>
      </c>
      <c r="L1520" s="222">
        <v>9783150111413</v>
      </c>
      <c r="M1520">
        <v>146</v>
      </c>
      <c r="O1520" t="s">
        <v>6851</v>
      </c>
      <c r="P1520">
        <v>211</v>
      </c>
      <c r="Q1520">
        <v>2.91</v>
      </c>
    </row>
    <row r="1521" spans="1:17" x14ac:dyDescent="0.25">
      <c r="A1521">
        <v>2910</v>
      </c>
      <c r="B1521" t="s">
        <v>6544</v>
      </c>
      <c r="C1521" t="s">
        <v>8675</v>
      </c>
      <c r="D1521" t="s">
        <v>6546</v>
      </c>
      <c r="F1521">
        <v>2011</v>
      </c>
      <c r="H1521" t="s">
        <v>1878</v>
      </c>
      <c r="I1521">
        <v>2</v>
      </c>
      <c r="K1521" t="s">
        <v>14332</v>
      </c>
      <c r="L1521" s="222">
        <v>9783782210287</v>
      </c>
      <c r="M1521">
        <v>104</v>
      </c>
      <c r="O1521" t="s">
        <v>6852</v>
      </c>
      <c r="P1521">
        <v>313</v>
      </c>
      <c r="Q1521">
        <v>4.7</v>
      </c>
    </row>
    <row r="1522" spans="1:17" x14ac:dyDescent="0.25">
      <c r="A1522">
        <v>612</v>
      </c>
      <c r="B1522" t="s">
        <v>8677</v>
      </c>
      <c r="C1522" t="s">
        <v>8678</v>
      </c>
      <c r="D1522" t="s">
        <v>8679</v>
      </c>
      <c r="F1522">
        <v>2016</v>
      </c>
      <c r="H1522" t="s">
        <v>2734</v>
      </c>
      <c r="I1522">
        <v>1</v>
      </c>
      <c r="K1522" t="s">
        <v>14332</v>
      </c>
      <c r="L1522" s="222">
        <v>9783864973468</v>
      </c>
      <c r="M1522">
        <v>418</v>
      </c>
      <c r="O1522" t="s">
        <v>6853</v>
      </c>
      <c r="P1522">
        <v>1207</v>
      </c>
      <c r="Q1522">
        <v>8.7799999999999994</v>
      </c>
    </row>
    <row r="1523" spans="1:17" x14ac:dyDescent="0.25">
      <c r="A1523">
        <v>1327</v>
      </c>
      <c r="B1523" t="s">
        <v>8681</v>
      </c>
      <c r="C1523" t="s">
        <v>8682</v>
      </c>
      <c r="D1523" t="s">
        <v>2394</v>
      </c>
      <c r="E1523" t="s">
        <v>1913</v>
      </c>
      <c r="F1523">
        <v>2014</v>
      </c>
      <c r="H1523" t="s">
        <v>2734</v>
      </c>
      <c r="I1523">
        <v>1</v>
      </c>
      <c r="K1523" t="s">
        <v>14332</v>
      </c>
      <c r="L1523" s="222">
        <v>9783421045645</v>
      </c>
      <c r="M1523">
        <v>450</v>
      </c>
      <c r="O1523" t="s">
        <v>6854</v>
      </c>
      <c r="P1523">
        <v>645</v>
      </c>
      <c r="Q1523">
        <v>3.23</v>
      </c>
    </row>
    <row r="1524" spans="1:17" x14ac:dyDescent="0.25">
      <c r="A1524">
        <v>1327</v>
      </c>
      <c r="B1524" t="s">
        <v>8684</v>
      </c>
      <c r="C1524" t="s">
        <v>8685</v>
      </c>
      <c r="D1524" t="s">
        <v>7445</v>
      </c>
      <c r="E1524" t="s">
        <v>1913</v>
      </c>
      <c r="F1524">
        <v>2016</v>
      </c>
      <c r="H1524" t="s">
        <v>2734</v>
      </c>
      <c r="I1524">
        <v>2</v>
      </c>
      <c r="J1524" t="s">
        <v>3854</v>
      </c>
      <c r="K1524" t="s">
        <v>14332</v>
      </c>
      <c r="L1524" s="222">
        <v>9783836954587</v>
      </c>
      <c r="M1524">
        <v>322</v>
      </c>
      <c r="O1524" t="s">
        <v>6855</v>
      </c>
      <c r="P1524">
        <v>546</v>
      </c>
      <c r="Q1524">
        <v>3.23</v>
      </c>
    </row>
    <row r="1525" spans="1:17" x14ac:dyDescent="0.25">
      <c r="A1525">
        <v>1231</v>
      </c>
      <c r="B1525" t="s">
        <v>8687</v>
      </c>
      <c r="C1525" t="s">
        <v>8688</v>
      </c>
      <c r="D1525" t="s">
        <v>1920</v>
      </c>
      <c r="F1525">
        <v>2015</v>
      </c>
      <c r="H1525" t="s">
        <v>2734</v>
      </c>
      <c r="I1525">
        <v>2</v>
      </c>
      <c r="J1525" t="e" cm="1">
        <f t="array" ref="J1525">-MÄNGELEXEMPLAR- Der Schutzumschlag wurde beim Auspacken beschädigt und weist einen Riss auf</f>
        <v>#NAME?</v>
      </c>
      <c r="K1525" t="s">
        <v>14332</v>
      </c>
      <c r="L1525" s="222">
        <v>9783431039436</v>
      </c>
      <c r="M1525">
        <v>258</v>
      </c>
      <c r="O1525" t="s">
        <v>6856</v>
      </c>
      <c r="P1525">
        <v>438</v>
      </c>
      <c r="Q1525">
        <v>2.91</v>
      </c>
    </row>
    <row r="1526" spans="1:17" x14ac:dyDescent="0.25">
      <c r="A1526">
        <v>704</v>
      </c>
      <c r="B1526" t="s">
        <v>8691</v>
      </c>
      <c r="C1526" t="s">
        <v>14488</v>
      </c>
      <c r="D1526" t="s">
        <v>8693</v>
      </c>
      <c r="F1526">
        <v>2012</v>
      </c>
      <c r="H1526" t="s">
        <v>2734</v>
      </c>
      <c r="I1526">
        <v>1</v>
      </c>
      <c r="K1526" t="s">
        <v>14332</v>
      </c>
      <c r="L1526" s="222">
        <v>9783709303702</v>
      </c>
      <c r="M1526">
        <v>266</v>
      </c>
      <c r="O1526" t="s">
        <v>6857</v>
      </c>
      <c r="P1526">
        <v>479</v>
      </c>
      <c r="Q1526">
        <v>4.08</v>
      </c>
    </row>
    <row r="1527" spans="1:17" x14ac:dyDescent="0.25">
      <c r="A1527">
        <v>704</v>
      </c>
      <c r="B1527" t="s">
        <v>8695</v>
      </c>
      <c r="C1527" t="s">
        <v>8696</v>
      </c>
      <c r="D1527" t="s">
        <v>8697</v>
      </c>
      <c r="E1527" t="s">
        <v>1913</v>
      </c>
      <c r="F1527">
        <v>2009</v>
      </c>
      <c r="H1527" t="s">
        <v>2734</v>
      </c>
      <c r="I1527">
        <v>1</v>
      </c>
      <c r="K1527" t="s">
        <v>14332</v>
      </c>
      <c r="L1527" s="222">
        <v>9783895614958</v>
      </c>
      <c r="M1527">
        <v>296</v>
      </c>
      <c r="O1527" t="s">
        <v>6858</v>
      </c>
      <c r="P1527">
        <v>445</v>
      </c>
      <c r="Q1527">
        <v>4.25</v>
      </c>
    </row>
    <row r="1528" spans="1:17" x14ac:dyDescent="0.25">
      <c r="A1528">
        <v>481</v>
      </c>
      <c r="C1528" t="s">
        <v>8699</v>
      </c>
      <c r="D1528" t="s">
        <v>2007</v>
      </c>
      <c r="F1528">
        <v>2016</v>
      </c>
      <c r="H1528" t="s">
        <v>1878</v>
      </c>
      <c r="I1528">
        <v>1</v>
      </c>
      <c r="K1528" t="s">
        <v>14332</v>
      </c>
      <c r="L1528" s="222">
        <v>9783150110843</v>
      </c>
      <c r="M1528">
        <v>224</v>
      </c>
      <c r="O1528" t="s">
        <v>6859</v>
      </c>
      <c r="P1528">
        <v>278</v>
      </c>
      <c r="Q1528">
        <v>2.91</v>
      </c>
    </row>
    <row r="1529" spans="1:17" x14ac:dyDescent="0.25">
      <c r="A1529">
        <v>1335</v>
      </c>
      <c r="B1529" t="s">
        <v>8701</v>
      </c>
      <c r="C1529" t="s">
        <v>8702</v>
      </c>
      <c r="D1529" t="s">
        <v>7445</v>
      </c>
      <c r="E1529" t="s">
        <v>1913</v>
      </c>
      <c r="F1529">
        <v>2016</v>
      </c>
      <c r="H1529" t="s">
        <v>1878</v>
      </c>
      <c r="I1529">
        <v>2</v>
      </c>
      <c r="J1529" t="s">
        <v>3854</v>
      </c>
      <c r="K1529" t="s">
        <v>14332</v>
      </c>
      <c r="L1529" s="222">
        <v>9783836921183</v>
      </c>
      <c r="M1529">
        <v>64</v>
      </c>
      <c r="O1529" t="s">
        <v>6860</v>
      </c>
      <c r="P1529">
        <v>105</v>
      </c>
      <c r="Q1529">
        <v>2.91</v>
      </c>
    </row>
    <row r="1530" spans="1:17" x14ac:dyDescent="0.25">
      <c r="A1530">
        <v>2518</v>
      </c>
      <c r="B1530" t="s">
        <v>8704</v>
      </c>
      <c r="C1530" t="s">
        <v>8705</v>
      </c>
      <c r="D1530" t="s">
        <v>2933</v>
      </c>
      <c r="E1530" t="s">
        <v>1913</v>
      </c>
      <c r="F1530">
        <v>2014</v>
      </c>
      <c r="H1530" t="s">
        <v>1878</v>
      </c>
      <c r="I1530">
        <v>2</v>
      </c>
      <c r="J1530" t="s">
        <v>3854</v>
      </c>
      <c r="K1530" t="s">
        <v>14332</v>
      </c>
      <c r="L1530" s="222">
        <v>9783839215296</v>
      </c>
      <c r="M1530">
        <v>382</v>
      </c>
      <c r="O1530" t="s">
        <v>6861</v>
      </c>
      <c r="P1530">
        <v>381</v>
      </c>
      <c r="Q1530">
        <v>2.91</v>
      </c>
    </row>
    <row r="1531" spans="1:17" x14ac:dyDescent="0.25">
      <c r="A1531">
        <v>1327</v>
      </c>
      <c r="B1531" t="s">
        <v>8707</v>
      </c>
      <c r="C1531" t="s">
        <v>8708</v>
      </c>
      <c r="D1531" t="s">
        <v>2300</v>
      </c>
      <c r="E1531" t="s">
        <v>2014</v>
      </c>
      <c r="F1531">
        <v>1987</v>
      </c>
      <c r="H1531" t="s">
        <v>1878</v>
      </c>
      <c r="I1531">
        <v>2</v>
      </c>
      <c r="K1531" t="s">
        <v>14332</v>
      </c>
      <c r="M1531">
        <v>106</v>
      </c>
      <c r="O1531" t="s">
        <v>6862</v>
      </c>
      <c r="P1531">
        <v>124</v>
      </c>
      <c r="Q1531">
        <v>2.91</v>
      </c>
    </row>
    <row r="1532" spans="1:17" x14ac:dyDescent="0.25">
      <c r="A1532">
        <v>1327</v>
      </c>
      <c r="B1532" t="s">
        <v>8709</v>
      </c>
      <c r="C1532" t="s">
        <v>8710</v>
      </c>
      <c r="D1532" t="s">
        <v>2300</v>
      </c>
      <c r="E1532" t="s">
        <v>2014</v>
      </c>
      <c r="F1532">
        <v>1987</v>
      </c>
      <c r="H1532" t="s">
        <v>1878</v>
      </c>
      <c r="I1532">
        <v>2</v>
      </c>
      <c r="K1532" t="s">
        <v>14332</v>
      </c>
      <c r="M1532">
        <v>270</v>
      </c>
      <c r="O1532" t="s">
        <v>6863</v>
      </c>
      <c r="P1532">
        <v>159</v>
      </c>
      <c r="Q1532">
        <v>2.91</v>
      </c>
    </row>
    <row r="1533" spans="1:17" x14ac:dyDescent="0.25">
      <c r="A1533">
        <v>1386</v>
      </c>
      <c r="B1533" t="s">
        <v>8711</v>
      </c>
      <c r="C1533" t="s">
        <v>8712</v>
      </c>
      <c r="D1533" t="s">
        <v>2007</v>
      </c>
      <c r="F1533">
        <v>2018</v>
      </c>
      <c r="H1533" t="s">
        <v>2734</v>
      </c>
      <c r="I1533">
        <v>1</v>
      </c>
      <c r="K1533" t="s">
        <v>14332</v>
      </c>
      <c r="L1533" s="222">
        <v>9783150111765</v>
      </c>
      <c r="M1533">
        <v>66</v>
      </c>
      <c r="O1533" t="s">
        <v>6864</v>
      </c>
      <c r="P1533">
        <v>89</v>
      </c>
      <c r="Q1533">
        <v>3.83</v>
      </c>
    </row>
    <row r="1534" spans="1:17" x14ac:dyDescent="0.25">
      <c r="A1534">
        <v>2644</v>
      </c>
      <c r="C1534" t="s">
        <v>8714</v>
      </c>
      <c r="D1534" t="s">
        <v>8715</v>
      </c>
      <c r="E1534" t="s">
        <v>1913</v>
      </c>
      <c r="F1534">
        <v>2017</v>
      </c>
      <c r="H1534" t="s">
        <v>1878</v>
      </c>
      <c r="I1534">
        <v>1</v>
      </c>
      <c r="J1534" t="s">
        <v>43</v>
      </c>
      <c r="K1534" t="s">
        <v>14332</v>
      </c>
      <c r="L1534" s="222">
        <v>9783275021109</v>
      </c>
      <c r="O1534" t="s">
        <v>6865</v>
      </c>
      <c r="P1534">
        <v>193</v>
      </c>
      <c r="Q1534">
        <v>3.83</v>
      </c>
    </row>
    <row r="1535" spans="1:17" x14ac:dyDescent="0.25">
      <c r="A1535">
        <v>1327</v>
      </c>
      <c r="B1535" t="s">
        <v>8717</v>
      </c>
      <c r="C1535" t="s">
        <v>8718</v>
      </c>
      <c r="D1535" t="s">
        <v>2300</v>
      </c>
      <c r="E1535" t="s">
        <v>2014</v>
      </c>
      <c r="F1535">
        <v>1987</v>
      </c>
      <c r="H1535" t="s">
        <v>1878</v>
      </c>
      <c r="I1535">
        <v>2</v>
      </c>
      <c r="K1535" t="s">
        <v>14332</v>
      </c>
      <c r="M1535">
        <v>126</v>
      </c>
      <c r="O1535" t="s">
        <v>6866</v>
      </c>
      <c r="P1535">
        <v>80</v>
      </c>
      <c r="Q1535">
        <v>2.91</v>
      </c>
    </row>
    <row r="1536" spans="1:17" x14ac:dyDescent="0.25">
      <c r="A1536">
        <v>1327</v>
      </c>
      <c r="B1536" t="s">
        <v>8719</v>
      </c>
      <c r="C1536" t="s">
        <v>8720</v>
      </c>
      <c r="D1536" t="s">
        <v>2300</v>
      </c>
      <c r="E1536" t="s">
        <v>2014</v>
      </c>
      <c r="F1536">
        <v>1987</v>
      </c>
      <c r="H1536" t="s">
        <v>1878</v>
      </c>
      <c r="I1536">
        <v>2</v>
      </c>
      <c r="K1536" t="s">
        <v>14332</v>
      </c>
      <c r="M1536">
        <v>254</v>
      </c>
      <c r="O1536" t="s">
        <v>6867</v>
      </c>
      <c r="P1536">
        <v>150</v>
      </c>
      <c r="Q1536">
        <v>2.91</v>
      </c>
    </row>
    <row r="1537" spans="1:17" x14ac:dyDescent="0.25">
      <c r="A1537">
        <v>2437</v>
      </c>
      <c r="B1537" t="s">
        <v>8721</v>
      </c>
      <c r="C1537" t="s">
        <v>8722</v>
      </c>
      <c r="D1537" t="s">
        <v>8723</v>
      </c>
      <c r="E1537" t="s">
        <v>2358</v>
      </c>
      <c r="F1537">
        <v>1992</v>
      </c>
      <c r="H1537" t="s">
        <v>1878</v>
      </c>
      <c r="I1537">
        <v>2</v>
      </c>
      <c r="K1537" t="s">
        <v>14332</v>
      </c>
      <c r="L1537" s="222">
        <v>9783883794280</v>
      </c>
      <c r="M1537">
        <v>208</v>
      </c>
      <c r="O1537" t="s">
        <v>6868</v>
      </c>
      <c r="P1537">
        <v>304</v>
      </c>
      <c r="Q1537">
        <v>2.91</v>
      </c>
    </row>
    <row r="1538" spans="1:17" x14ac:dyDescent="0.25">
      <c r="A1538">
        <v>1327</v>
      </c>
      <c r="B1538" t="s">
        <v>8725</v>
      </c>
      <c r="C1538" t="s">
        <v>8726</v>
      </c>
      <c r="D1538" t="s">
        <v>2300</v>
      </c>
      <c r="E1538" t="s">
        <v>2014</v>
      </c>
      <c r="F1538">
        <v>1987</v>
      </c>
      <c r="H1538" t="s">
        <v>1878</v>
      </c>
      <c r="I1538">
        <v>2</v>
      </c>
      <c r="K1538" t="s">
        <v>14332</v>
      </c>
      <c r="M1538">
        <v>160</v>
      </c>
      <c r="O1538" t="s">
        <v>6869</v>
      </c>
      <c r="P1538">
        <v>97</v>
      </c>
      <c r="Q1538">
        <v>4.3499999999999996</v>
      </c>
    </row>
    <row r="1539" spans="1:17" x14ac:dyDescent="0.25">
      <c r="A1539">
        <v>606</v>
      </c>
      <c r="B1539" t="s">
        <v>8727</v>
      </c>
      <c r="C1539" t="s">
        <v>8728</v>
      </c>
      <c r="D1539" t="s">
        <v>8729</v>
      </c>
      <c r="F1539">
        <v>2016</v>
      </c>
      <c r="H1539" t="s">
        <v>2734</v>
      </c>
      <c r="I1539">
        <v>1</v>
      </c>
      <c r="K1539" t="s">
        <v>14332</v>
      </c>
      <c r="L1539" s="222">
        <v>9783990500453</v>
      </c>
      <c r="M1539">
        <v>272</v>
      </c>
      <c r="O1539" t="s">
        <v>6870</v>
      </c>
      <c r="P1539">
        <v>708</v>
      </c>
      <c r="Q1539">
        <v>10</v>
      </c>
    </row>
    <row r="1540" spans="1:17" x14ac:dyDescent="0.25">
      <c r="A1540">
        <v>1030</v>
      </c>
      <c r="B1540" t="s">
        <v>8731</v>
      </c>
      <c r="C1540" t="s">
        <v>8732</v>
      </c>
      <c r="D1540" t="s">
        <v>8733</v>
      </c>
      <c r="F1540">
        <v>1988</v>
      </c>
      <c r="H1540" t="s">
        <v>1878</v>
      </c>
      <c r="I1540">
        <v>2</v>
      </c>
      <c r="K1540" t="s">
        <v>14332</v>
      </c>
      <c r="L1540" s="222">
        <v>9783885712060</v>
      </c>
      <c r="M1540">
        <v>148</v>
      </c>
      <c r="O1540" t="s">
        <v>6871</v>
      </c>
      <c r="P1540">
        <v>163</v>
      </c>
      <c r="Q1540">
        <v>2.91</v>
      </c>
    </row>
    <row r="1541" spans="1:17" x14ac:dyDescent="0.25">
      <c r="A1541">
        <v>767</v>
      </c>
      <c r="B1541" t="s">
        <v>8735</v>
      </c>
      <c r="C1541" t="s">
        <v>8736</v>
      </c>
      <c r="D1541" t="s">
        <v>5005</v>
      </c>
      <c r="E1541" t="s">
        <v>1921</v>
      </c>
      <c r="F1541">
        <v>2007</v>
      </c>
      <c r="H1541" t="s">
        <v>2734</v>
      </c>
      <c r="I1541">
        <v>2</v>
      </c>
      <c r="K1541" t="s">
        <v>14332</v>
      </c>
      <c r="M1541">
        <v>306</v>
      </c>
      <c r="O1541" t="s">
        <v>6872</v>
      </c>
      <c r="P1541">
        <v>485</v>
      </c>
      <c r="Q1541">
        <v>7.3</v>
      </c>
    </row>
    <row r="1542" spans="1:17" x14ac:dyDescent="0.25">
      <c r="A1542">
        <v>796</v>
      </c>
      <c r="B1542" t="s">
        <v>8737</v>
      </c>
      <c r="C1542" t="s">
        <v>8738</v>
      </c>
      <c r="D1542" t="s">
        <v>2054</v>
      </c>
      <c r="F1542">
        <v>2006</v>
      </c>
      <c r="H1542" t="s">
        <v>1878</v>
      </c>
      <c r="I1542">
        <v>2</v>
      </c>
      <c r="K1542" t="s">
        <v>14332</v>
      </c>
      <c r="L1542" s="222">
        <v>9783898975964</v>
      </c>
      <c r="M1542">
        <v>448</v>
      </c>
      <c r="O1542" t="s">
        <v>6873</v>
      </c>
      <c r="P1542">
        <v>332</v>
      </c>
      <c r="Q1542">
        <v>2.91</v>
      </c>
    </row>
    <row r="1543" spans="1:17" x14ac:dyDescent="0.25">
      <c r="A1543">
        <v>2522</v>
      </c>
      <c r="B1543" t="s">
        <v>8245</v>
      </c>
      <c r="C1543" t="s">
        <v>8740</v>
      </c>
      <c r="D1543" t="s">
        <v>2054</v>
      </c>
      <c r="F1543">
        <v>2006</v>
      </c>
      <c r="H1543" t="s">
        <v>4297</v>
      </c>
      <c r="I1543">
        <v>2</v>
      </c>
      <c r="K1543" t="s">
        <v>14332</v>
      </c>
      <c r="L1543" s="222">
        <v>9783828979239</v>
      </c>
      <c r="M1543">
        <v>530</v>
      </c>
      <c r="O1543" t="s">
        <v>6874</v>
      </c>
      <c r="P1543">
        <v>577</v>
      </c>
      <c r="Q1543">
        <v>3.23</v>
      </c>
    </row>
    <row r="1544" spans="1:17" x14ac:dyDescent="0.25">
      <c r="A1544">
        <v>692</v>
      </c>
      <c r="B1544" t="s">
        <v>8742</v>
      </c>
      <c r="C1544" t="s">
        <v>8743</v>
      </c>
      <c r="D1544" t="s">
        <v>5005</v>
      </c>
      <c r="F1544">
        <v>2008</v>
      </c>
      <c r="H1544" t="s">
        <v>1878</v>
      </c>
      <c r="I1544">
        <v>2</v>
      </c>
      <c r="K1544" t="s">
        <v>14332</v>
      </c>
      <c r="M1544">
        <v>448</v>
      </c>
      <c r="O1544" t="s">
        <v>6875</v>
      </c>
      <c r="P1544">
        <v>328</v>
      </c>
      <c r="Q1544">
        <v>2.91</v>
      </c>
    </row>
    <row r="1545" spans="1:17" x14ac:dyDescent="0.25">
      <c r="A1545">
        <v>1809</v>
      </c>
      <c r="B1545" t="s">
        <v>8744</v>
      </c>
      <c r="C1545" t="s">
        <v>8745</v>
      </c>
      <c r="D1545" t="s">
        <v>2822</v>
      </c>
      <c r="E1545" t="s">
        <v>2175</v>
      </c>
      <c r="F1545">
        <v>2011</v>
      </c>
      <c r="H1545" t="s">
        <v>1878</v>
      </c>
      <c r="I1545">
        <v>2</v>
      </c>
      <c r="K1545" t="s">
        <v>14332</v>
      </c>
      <c r="L1545" s="222">
        <v>9783522180085</v>
      </c>
      <c r="M1545">
        <v>416</v>
      </c>
      <c r="O1545" t="s">
        <v>6876</v>
      </c>
      <c r="P1545">
        <v>508</v>
      </c>
      <c r="Q1545">
        <v>3.23</v>
      </c>
    </row>
    <row r="1546" spans="1:17" x14ac:dyDescent="0.25">
      <c r="A1546">
        <v>692</v>
      </c>
      <c r="B1546" t="s">
        <v>6447</v>
      </c>
      <c r="C1546" t="s">
        <v>6448</v>
      </c>
      <c r="D1546" t="s">
        <v>2424</v>
      </c>
      <c r="E1546" t="s">
        <v>1877</v>
      </c>
      <c r="F1546">
        <v>2014</v>
      </c>
      <c r="H1546" t="s">
        <v>1878</v>
      </c>
      <c r="I1546">
        <v>2</v>
      </c>
      <c r="K1546" t="s">
        <v>14332</v>
      </c>
      <c r="L1546" s="222">
        <v>9783453291645</v>
      </c>
      <c r="M1546">
        <v>368</v>
      </c>
      <c r="O1546" t="s">
        <v>6877</v>
      </c>
      <c r="P1546">
        <v>465</v>
      </c>
      <c r="Q1546">
        <v>2.91</v>
      </c>
    </row>
    <row r="1547" spans="1:17" x14ac:dyDescent="0.25">
      <c r="A1547">
        <v>1386</v>
      </c>
      <c r="B1547" t="s">
        <v>8747</v>
      </c>
      <c r="C1547" t="s">
        <v>8748</v>
      </c>
      <c r="D1547" t="s">
        <v>2257</v>
      </c>
      <c r="F1547">
        <v>2011</v>
      </c>
      <c r="H1547" t="s">
        <v>1878</v>
      </c>
      <c r="I1547">
        <v>2</v>
      </c>
      <c r="K1547" t="s">
        <v>14332</v>
      </c>
      <c r="L1547" s="222">
        <v>9783426510766</v>
      </c>
      <c r="M1547">
        <v>864</v>
      </c>
      <c r="O1547" t="s">
        <v>6878</v>
      </c>
      <c r="P1547">
        <v>543</v>
      </c>
      <c r="Q1547">
        <v>3.23</v>
      </c>
    </row>
    <row r="1548" spans="1:17" x14ac:dyDescent="0.25">
      <c r="A1548">
        <v>1395</v>
      </c>
      <c r="B1548" t="s">
        <v>8570</v>
      </c>
      <c r="C1548" t="s">
        <v>8750</v>
      </c>
      <c r="D1548" t="s">
        <v>2300</v>
      </c>
      <c r="F1548">
        <v>2012</v>
      </c>
      <c r="H1548" t="s">
        <v>1878</v>
      </c>
      <c r="I1548">
        <v>2</v>
      </c>
      <c r="K1548" t="s">
        <v>14332</v>
      </c>
      <c r="L1548" s="222">
        <v>9783499259234</v>
      </c>
      <c r="M1548">
        <v>352</v>
      </c>
      <c r="O1548" t="s">
        <v>6879</v>
      </c>
      <c r="P1548">
        <v>364</v>
      </c>
      <c r="Q1548">
        <v>2.91</v>
      </c>
    </row>
    <row r="1549" spans="1:17" x14ac:dyDescent="0.25">
      <c r="A1549">
        <v>1395</v>
      </c>
      <c r="B1549" t="s">
        <v>2935</v>
      </c>
      <c r="C1549" t="s">
        <v>8752</v>
      </c>
      <c r="D1549" t="s">
        <v>2609</v>
      </c>
      <c r="E1549" t="s">
        <v>1877</v>
      </c>
      <c r="F1549">
        <v>2011</v>
      </c>
      <c r="H1549" t="s">
        <v>1878</v>
      </c>
      <c r="I1549">
        <v>2</v>
      </c>
      <c r="K1549" t="s">
        <v>14332</v>
      </c>
      <c r="L1549" s="222">
        <v>9783596174935</v>
      </c>
      <c r="M1549">
        <v>288</v>
      </c>
      <c r="O1549" t="s">
        <v>6880</v>
      </c>
      <c r="P1549">
        <v>260</v>
      </c>
      <c r="Q1549">
        <v>2.91</v>
      </c>
    </row>
    <row r="1550" spans="1:17" x14ac:dyDescent="0.25">
      <c r="A1550">
        <v>1809</v>
      </c>
      <c r="B1550" t="s">
        <v>8754</v>
      </c>
      <c r="C1550" t="s">
        <v>8755</v>
      </c>
      <c r="D1550" t="s">
        <v>2822</v>
      </c>
      <c r="F1550">
        <v>2008</v>
      </c>
      <c r="H1550" t="s">
        <v>1878</v>
      </c>
      <c r="I1550">
        <v>2</v>
      </c>
      <c r="K1550" t="s">
        <v>14332</v>
      </c>
      <c r="L1550" s="222">
        <v>9783522180481</v>
      </c>
      <c r="M1550">
        <v>192</v>
      </c>
      <c r="O1550" t="s">
        <v>6881</v>
      </c>
      <c r="P1550">
        <v>289</v>
      </c>
      <c r="Q1550">
        <v>2.91</v>
      </c>
    </row>
    <row r="1551" spans="1:17" x14ac:dyDescent="0.25">
      <c r="A1551">
        <v>1809</v>
      </c>
      <c r="B1551" t="s">
        <v>8044</v>
      </c>
      <c r="C1551" t="s">
        <v>8757</v>
      </c>
      <c r="D1551" t="s">
        <v>2822</v>
      </c>
      <c r="F1551">
        <v>2009</v>
      </c>
      <c r="H1551" t="s">
        <v>1878</v>
      </c>
      <c r="I1551">
        <v>2</v>
      </c>
      <c r="K1551" t="s">
        <v>14332</v>
      </c>
      <c r="L1551" s="222">
        <v>9783522500890</v>
      </c>
      <c r="M1551">
        <v>240</v>
      </c>
      <c r="O1551" t="s">
        <v>6882</v>
      </c>
      <c r="P1551">
        <v>345</v>
      </c>
      <c r="Q1551">
        <v>2.91</v>
      </c>
    </row>
    <row r="1552" spans="1:17" x14ac:dyDescent="0.25">
      <c r="A1552">
        <v>1809</v>
      </c>
      <c r="B1552" t="s">
        <v>8759</v>
      </c>
      <c r="C1552" t="s">
        <v>8760</v>
      </c>
      <c r="D1552" t="s">
        <v>2822</v>
      </c>
      <c r="F1552">
        <v>2008</v>
      </c>
      <c r="H1552" t="s">
        <v>1878</v>
      </c>
      <c r="I1552">
        <v>2</v>
      </c>
      <c r="K1552" t="s">
        <v>14332</v>
      </c>
      <c r="L1552" s="222">
        <v>9783522181174</v>
      </c>
      <c r="M1552">
        <v>176</v>
      </c>
      <c r="O1552" t="s">
        <v>6883</v>
      </c>
      <c r="P1552">
        <v>267</v>
      </c>
      <c r="Q1552">
        <v>2.91</v>
      </c>
    </row>
    <row r="1553" spans="1:17" x14ac:dyDescent="0.25">
      <c r="A1553">
        <v>692</v>
      </c>
      <c r="B1553" t="s">
        <v>8762</v>
      </c>
      <c r="C1553" t="s">
        <v>8763</v>
      </c>
      <c r="D1553" t="s">
        <v>5005</v>
      </c>
      <c r="F1553">
        <v>2008</v>
      </c>
      <c r="H1553" t="s">
        <v>1878</v>
      </c>
      <c r="I1553">
        <v>2</v>
      </c>
      <c r="K1553" t="s">
        <v>14332</v>
      </c>
      <c r="M1553">
        <v>368</v>
      </c>
      <c r="O1553" t="s">
        <v>6884</v>
      </c>
      <c r="P1553">
        <v>270</v>
      </c>
      <c r="Q1553">
        <v>2.91</v>
      </c>
    </row>
    <row r="1554" spans="1:17" x14ac:dyDescent="0.25">
      <c r="A1554">
        <v>692</v>
      </c>
      <c r="B1554" t="s">
        <v>3856</v>
      </c>
      <c r="C1554" t="s">
        <v>3857</v>
      </c>
      <c r="D1554" t="s">
        <v>5005</v>
      </c>
      <c r="F1554">
        <v>2008</v>
      </c>
      <c r="H1554" t="s">
        <v>1878</v>
      </c>
      <c r="I1554">
        <v>2</v>
      </c>
      <c r="K1554" t="s">
        <v>14332</v>
      </c>
      <c r="M1554">
        <v>384</v>
      </c>
      <c r="O1554" t="s">
        <v>6885</v>
      </c>
      <c r="P1554">
        <v>274</v>
      </c>
      <c r="Q1554">
        <v>2.91</v>
      </c>
    </row>
    <row r="1555" spans="1:17" x14ac:dyDescent="0.25">
      <c r="A1555">
        <v>1395</v>
      </c>
      <c r="B1555" t="s">
        <v>8762</v>
      </c>
      <c r="C1555" t="s">
        <v>8764</v>
      </c>
      <c r="D1555" t="s">
        <v>5005</v>
      </c>
      <c r="F1555">
        <v>2008</v>
      </c>
      <c r="H1555" t="s">
        <v>1878</v>
      </c>
      <c r="I1555">
        <v>2</v>
      </c>
      <c r="K1555" t="s">
        <v>14332</v>
      </c>
      <c r="M1555">
        <v>352</v>
      </c>
      <c r="O1555" t="s">
        <v>6886</v>
      </c>
      <c r="P1555">
        <v>257</v>
      </c>
      <c r="Q1555">
        <v>2.91</v>
      </c>
    </row>
    <row r="1556" spans="1:17" x14ac:dyDescent="0.25">
      <c r="A1556">
        <v>631</v>
      </c>
      <c r="B1556" t="s">
        <v>8765</v>
      </c>
      <c r="C1556" t="s">
        <v>8766</v>
      </c>
      <c r="D1556" t="s">
        <v>1912</v>
      </c>
      <c r="E1556" t="s">
        <v>1921</v>
      </c>
      <c r="F1556">
        <v>2012</v>
      </c>
      <c r="H1556" t="s">
        <v>1878</v>
      </c>
      <c r="I1556">
        <v>2</v>
      </c>
      <c r="K1556" t="s">
        <v>14332</v>
      </c>
      <c r="L1556" s="222">
        <v>9783442478972</v>
      </c>
      <c r="M1556">
        <v>672</v>
      </c>
      <c r="O1556" t="s">
        <v>6887</v>
      </c>
      <c r="P1556">
        <v>682</v>
      </c>
      <c r="Q1556">
        <v>3.23</v>
      </c>
    </row>
    <row r="1557" spans="1:17" x14ac:dyDescent="0.25">
      <c r="A1557">
        <v>631</v>
      </c>
      <c r="B1557" t="s">
        <v>8765</v>
      </c>
      <c r="C1557" t="s">
        <v>8768</v>
      </c>
      <c r="D1557" t="s">
        <v>1912</v>
      </c>
      <c r="E1557" t="s">
        <v>1921</v>
      </c>
      <c r="F1557">
        <v>2012</v>
      </c>
      <c r="H1557" t="s">
        <v>1878</v>
      </c>
      <c r="I1557">
        <v>2</v>
      </c>
      <c r="K1557" t="s">
        <v>14332</v>
      </c>
      <c r="L1557" s="222">
        <v>9783442478958</v>
      </c>
      <c r="M1557">
        <v>608</v>
      </c>
      <c r="O1557" t="s">
        <v>6888</v>
      </c>
      <c r="P1557">
        <v>622</v>
      </c>
      <c r="Q1557">
        <v>3.23</v>
      </c>
    </row>
    <row r="1558" spans="1:17" x14ac:dyDescent="0.25">
      <c r="A1558">
        <v>392</v>
      </c>
      <c r="B1558" t="s">
        <v>8130</v>
      </c>
      <c r="C1558" t="s">
        <v>8770</v>
      </c>
      <c r="D1558" t="s">
        <v>5005</v>
      </c>
      <c r="F1558">
        <v>2008</v>
      </c>
      <c r="H1558" t="s">
        <v>1878</v>
      </c>
      <c r="I1558" s="305">
        <v>43892</v>
      </c>
      <c r="K1558" t="s">
        <v>14332</v>
      </c>
      <c r="M1558">
        <v>480</v>
      </c>
      <c r="O1558" t="s">
        <v>6889</v>
      </c>
      <c r="P1558">
        <v>349</v>
      </c>
      <c r="Q1558">
        <v>2.91</v>
      </c>
    </row>
    <row r="1559" spans="1:17" x14ac:dyDescent="0.25">
      <c r="A1559">
        <v>796</v>
      </c>
      <c r="B1559" t="s">
        <v>3143</v>
      </c>
      <c r="C1559" t="s">
        <v>3144</v>
      </c>
      <c r="D1559" t="s">
        <v>2609</v>
      </c>
      <c r="F1559">
        <v>2004</v>
      </c>
      <c r="H1559" t="s">
        <v>1878</v>
      </c>
      <c r="I1559" s="305">
        <v>43892</v>
      </c>
      <c r="K1559" t="s">
        <v>14332</v>
      </c>
      <c r="L1559" s="222">
        <v>9783596509348</v>
      </c>
      <c r="M1559">
        <v>416</v>
      </c>
      <c r="O1559" t="s">
        <v>6890</v>
      </c>
      <c r="P1559">
        <v>362</v>
      </c>
      <c r="Q1559">
        <v>2.91</v>
      </c>
    </row>
    <row r="1560" spans="1:17" x14ac:dyDescent="0.25">
      <c r="A1560">
        <v>2521</v>
      </c>
      <c r="B1560" t="s">
        <v>8772</v>
      </c>
      <c r="C1560" t="s">
        <v>8773</v>
      </c>
      <c r="D1560" t="s">
        <v>1998</v>
      </c>
      <c r="F1560">
        <v>1983</v>
      </c>
      <c r="H1560" t="s">
        <v>2734</v>
      </c>
      <c r="I1560" s="305">
        <v>43892</v>
      </c>
      <c r="K1560" t="s">
        <v>14332</v>
      </c>
      <c r="M1560">
        <v>640</v>
      </c>
      <c r="O1560" t="s">
        <v>6891</v>
      </c>
      <c r="P1560">
        <v>885</v>
      </c>
      <c r="Q1560">
        <v>3.23</v>
      </c>
    </row>
    <row r="1561" spans="1:17" x14ac:dyDescent="0.25">
      <c r="A1561">
        <v>2521</v>
      </c>
      <c r="B1561" t="s">
        <v>8774</v>
      </c>
      <c r="C1561" t="s">
        <v>8775</v>
      </c>
      <c r="D1561" t="s">
        <v>1876</v>
      </c>
      <c r="F1561">
        <v>1989</v>
      </c>
      <c r="H1561" t="s">
        <v>2734</v>
      </c>
      <c r="I1561">
        <v>2</v>
      </c>
      <c r="K1561" t="s">
        <v>14332</v>
      </c>
      <c r="M1561">
        <v>530</v>
      </c>
      <c r="O1561" t="s">
        <v>6892</v>
      </c>
      <c r="P1561">
        <v>702</v>
      </c>
      <c r="Q1561">
        <v>3.23</v>
      </c>
    </row>
    <row r="1562" spans="1:17" x14ac:dyDescent="0.25">
      <c r="A1562">
        <v>633</v>
      </c>
      <c r="B1562" t="s">
        <v>8776</v>
      </c>
      <c r="C1562" t="s">
        <v>8777</v>
      </c>
      <c r="D1562" t="s">
        <v>2257</v>
      </c>
      <c r="F1562">
        <v>1971</v>
      </c>
      <c r="H1562" t="s">
        <v>2734</v>
      </c>
      <c r="I1562">
        <v>2</v>
      </c>
      <c r="J1562" t="s">
        <v>2505</v>
      </c>
      <c r="K1562" t="s">
        <v>14332</v>
      </c>
      <c r="M1562">
        <v>614</v>
      </c>
      <c r="O1562" t="s">
        <v>6893</v>
      </c>
      <c r="P1562">
        <v>847</v>
      </c>
      <c r="Q1562">
        <v>3.23</v>
      </c>
    </row>
    <row r="1563" spans="1:17" x14ac:dyDescent="0.25">
      <c r="A1563">
        <v>613</v>
      </c>
      <c r="B1563" t="s">
        <v>9030</v>
      </c>
      <c r="C1563" t="s">
        <v>9031</v>
      </c>
      <c r="D1563" t="s">
        <v>9032</v>
      </c>
      <c r="F1563">
        <v>1972</v>
      </c>
      <c r="H1563" t="s">
        <v>1878</v>
      </c>
      <c r="I1563">
        <v>3</v>
      </c>
      <c r="K1563" t="s">
        <v>14332</v>
      </c>
      <c r="L1563" s="222">
        <v>9783499501852</v>
      </c>
      <c r="M1563">
        <v>160</v>
      </c>
      <c r="O1563" t="s">
        <v>6896</v>
      </c>
      <c r="P1563">
        <v>120</v>
      </c>
      <c r="Q1563">
        <v>1.85</v>
      </c>
    </row>
    <row r="1564" spans="1:17" x14ac:dyDescent="0.25">
      <c r="A1564">
        <v>785</v>
      </c>
      <c r="B1564" t="s">
        <v>9034</v>
      </c>
      <c r="C1564" t="s">
        <v>9035</v>
      </c>
      <c r="D1564" t="s">
        <v>9036</v>
      </c>
      <c r="E1564">
        <v>1</v>
      </c>
      <c r="F1564">
        <v>2006</v>
      </c>
      <c r="H1564" t="s">
        <v>1878</v>
      </c>
      <c r="I1564">
        <v>1</v>
      </c>
      <c r="K1564" t="s">
        <v>14332</v>
      </c>
      <c r="L1564" s="222">
        <v>9783842023208</v>
      </c>
      <c r="O1564" t="s">
        <v>6897</v>
      </c>
      <c r="P1564">
        <v>177</v>
      </c>
      <c r="Q1564">
        <v>4.8600000000000003</v>
      </c>
    </row>
    <row r="1565" spans="1:17" x14ac:dyDescent="0.25">
      <c r="A1565">
        <v>796</v>
      </c>
      <c r="B1565" t="s">
        <v>9041</v>
      </c>
      <c r="C1565" t="s">
        <v>9042</v>
      </c>
      <c r="D1565" t="s">
        <v>2644</v>
      </c>
      <c r="F1565">
        <v>2000</v>
      </c>
      <c r="H1565" t="s">
        <v>1878</v>
      </c>
      <c r="I1565" s="305">
        <v>43892</v>
      </c>
      <c r="K1565" t="s">
        <v>14332</v>
      </c>
      <c r="M1565">
        <v>307</v>
      </c>
      <c r="O1565" t="s">
        <v>6899</v>
      </c>
      <c r="P1565">
        <v>268</v>
      </c>
      <c r="Q1565">
        <v>1.85</v>
      </c>
    </row>
    <row r="1566" spans="1:17" x14ac:dyDescent="0.25">
      <c r="A1566">
        <v>735</v>
      </c>
      <c r="B1566" t="s">
        <v>9044</v>
      </c>
      <c r="C1566" t="s">
        <v>9045</v>
      </c>
      <c r="D1566" t="s">
        <v>2209</v>
      </c>
      <c r="F1566">
        <v>1983</v>
      </c>
      <c r="H1566" t="s">
        <v>1878</v>
      </c>
      <c r="I1566" s="305">
        <v>43892</v>
      </c>
      <c r="K1566" t="s">
        <v>14332</v>
      </c>
      <c r="L1566" s="222">
        <v>9783453017726</v>
      </c>
      <c r="M1566">
        <v>287</v>
      </c>
      <c r="O1566" t="s">
        <v>6900</v>
      </c>
      <c r="P1566">
        <v>203</v>
      </c>
      <c r="Q1566">
        <v>1.85</v>
      </c>
    </row>
    <row r="1567" spans="1:17" x14ac:dyDescent="0.25">
      <c r="A1567">
        <v>632</v>
      </c>
      <c r="B1567" t="s">
        <v>9047</v>
      </c>
      <c r="C1567" t="s">
        <v>9048</v>
      </c>
      <c r="D1567" t="s">
        <v>2036</v>
      </c>
      <c r="F1567">
        <v>1993</v>
      </c>
      <c r="H1567" t="s">
        <v>2734</v>
      </c>
      <c r="I1567">
        <v>2</v>
      </c>
      <c r="K1567" t="s">
        <v>14332</v>
      </c>
      <c r="L1567" s="222">
        <v>9783828967762</v>
      </c>
      <c r="M1567">
        <v>287</v>
      </c>
      <c r="O1567" t="s">
        <v>6901</v>
      </c>
      <c r="P1567">
        <v>458</v>
      </c>
      <c r="Q1567">
        <v>1.85</v>
      </c>
    </row>
    <row r="1568" spans="1:17" x14ac:dyDescent="0.25">
      <c r="A1568">
        <v>8</v>
      </c>
      <c r="B1568" t="s">
        <v>9050</v>
      </c>
      <c r="C1568" t="s">
        <v>9051</v>
      </c>
      <c r="D1568" t="s">
        <v>2257</v>
      </c>
      <c r="F1568">
        <v>1920</v>
      </c>
      <c r="H1568" t="s">
        <v>2734</v>
      </c>
      <c r="I1568">
        <v>3</v>
      </c>
      <c r="J1568" t="s">
        <v>9052</v>
      </c>
      <c r="K1568" t="s">
        <v>14332</v>
      </c>
      <c r="M1568">
        <v>239</v>
      </c>
      <c r="O1568" t="s">
        <v>6902</v>
      </c>
      <c r="P1568">
        <v>318</v>
      </c>
      <c r="Q1568">
        <v>1.85</v>
      </c>
    </row>
    <row r="1569" spans="1:17" x14ac:dyDescent="0.25">
      <c r="A1569">
        <v>1386</v>
      </c>
      <c r="B1569" t="s">
        <v>9053</v>
      </c>
      <c r="C1569" t="s">
        <v>9054</v>
      </c>
      <c r="F1569">
        <v>1994</v>
      </c>
      <c r="H1569" t="s">
        <v>1878</v>
      </c>
      <c r="I1569" s="305">
        <v>43892</v>
      </c>
      <c r="K1569" t="s">
        <v>14332</v>
      </c>
      <c r="L1569" s="222">
        <v>9783404124152</v>
      </c>
      <c r="M1569">
        <v>425</v>
      </c>
      <c r="O1569" t="s">
        <v>6903</v>
      </c>
      <c r="P1569">
        <v>390</v>
      </c>
      <c r="Q1569">
        <v>1.85</v>
      </c>
    </row>
    <row r="1570" spans="1:17" x14ac:dyDescent="0.25">
      <c r="A1570">
        <v>1231</v>
      </c>
      <c r="B1570" t="s">
        <v>9056</v>
      </c>
      <c r="C1570" t="s">
        <v>9057</v>
      </c>
      <c r="D1570" t="s">
        <v>8119</v>
      </c>
      <c r="F1570">
        <v>2005</v>
      </c>
      <c r="H1570" t="s">
        <v>2734</v>
      </c>
      <c r="I1570">
        <v>2</v>
      </c>
      <c r="K1570" t="s">
        <v>14332</v>
      </c>
      <c r="L1570" s="222">
        <v>9783746218625</v>
      </c>
      <c r="M1570">
        <v>107</v>
      </c>
      <c r="O1570" t="s">
        <v>6904</v>
      </c>
      <c r="P1570">
        <v>562</v>
      </c>
      <c r="Q1570">
        <v>1.65</v>
      </c>
    </row>
    <row r="1571" spans="1:17" x14ac:dyDescent="0.25">
      <c r="A1571">
        <v>763</v>
      </c>
      <c r="B1571" t="s">
        <v>9060</v>
      </c>
      <c r="C1571" t="s">
        <v>9061</v>
      </c>
      <c r="D1571" t="s">
        <v>4825</v>
      </c>
      <c r="F1571">
        <v>1997</v>
      </c>
      <c r="H1571" t="s">
        <v>1878</v>
      </c>
      <c r="I1571" s="305">
        <v>43892</v>
      </c>
      <c r="K1571" t="s">
        <v>14332</v>
      </c>
      <c r="L1571" s="222">
        <v>9783310002827</v>
      </c>
      <c r="M1571">
        <v>128</v>
      </c>
      <c r="O1571" t="s">
        <v>6905</v>
      </c>
      <c r="P1571">
        <v>347</v>
      </c>
      <c r="Q1571">
        <v>1.85</v>
      </c>
    </row>
    <row r="1572" spans="1:17" x14ac:dyDescent="0.25">
      <c r="A1572">
        <v>548</v>
      </c>
      <c r="B1572" t="s">
        <v>9063</v>
      </c>
      <c r="C1572" t="s">
        <v>9064</v>
      </c>
      <c r="D1572" t="s">
        <v>9065</v>
      </c>
      <c r="F1572">
        <v>1997</v>
      </c>
      <c r="H1572" t="s">
        <v>2734</v>
      </c>
      <c r="I1572">
        <v>1</v>
      </c>
      <c r="K1572" t="s">
        <v>14332</v>
      </c>
      <c r="L1572" s="222">
        <v>9783791817187</v>
      </c>
      <c r="M1572">
        <v>179</v>
      </c>
      <c r="O1572" t="s">
        <v>6906</v>
      </c>
      <c r="P1572">
        <v>339</v>
      </c>
      <c r="Q1572">
        <v>1.85</v>
      </c>
    </row>
    <row r="1573" spans="1:17" x14ac:dyDescent="0.25">
      <c r="A1573">
        <v>632</v>
      </c>
      <c r="B1573" t="s">
        <v>6256</v>
      </c>
      <c r="C1573" t="s">
        <v>9067</v>
      </c>
      <c r="D1573" t="s">
        <v>1920</v>
      </c>
      <c r="F1573">
        <v>2003</v>
      </c>
      <c r="H1573" t="s">
        <v>1878</v>
      </c>
      <c r="I1573">
        <v>3</v>
      </c>
      <c r="K1573" t="s">
        <v>14332</v>
      </c>
      <c r="L1573" s="222">
        <v>9783404150571</v>
      </c>
      <c r="M1573">
        <v>603</v>
      </c>
      <c r="O1573" t="s">
        <v>6907</v>
      </c>
      <c r="P1573">
        <v>507</v>
      </c>
      <c r="Q1573">
        <v>1.65</v>
      </c>
    </row>
    <row r="1574" spans="1:17" x14ac:dyDescent="0.25">
      <c r="A1574">
        <v>632</v>
      </c>
      <c r="B1574" t="s">
        <v>7258</v>
      </c>
      <c r="C1574" t="s">
        <v>9069</v>
      </c>
      <c r="D1574" t="s">
        <v>2257</v>
      </c>
      <c r="F1574">
        <v>1990</v>
      </c>
      <c r="H1574" t="s">
        <v>1878</v>
      </c>
      <c r="I1574" s="305">
        <v>43892</v>
      </c>
      <c r="K1574" t="s">
        <v>14332</v>
      </c>
      <c r="L1574" s="222">
        <v>9783426029558</v>
      </c>
      <c r="M1574">
        <v>636</v>
      </c>
      <c r="O1574" t="s">
        <v>6908</v>
      </c>
      <c r="P1574">
        <v>358</v>
      </c>
      <c r="Q1574">
        <v>1.85</v>
      </c>
    </row>
    <row r="1575" spans="1:17" x14ac:dyDescent="0.25">
      <c r="A1575">
        <v>692</v>
      </c>
      <c r="B1575" t="s">
        <v>9071</v>
      </c>
      <c r="C1575" t="s">
        <v>9072</v>
      </c>
      <c r="D1575" t="s">
        <v>2054</v>
      </c>
      <c r="F1575">
        <v>2014</v>
      </c>
      <c r="H1575" t="s">
        <v>1878</v>
      </c>
      <c r="I1575">
        <v>1</v>
      </c>
      <c r="K1575" t="s">
        <v>14332</v>
      </c>
      <c r="L1575" s="222">
        <v>9783868004830</v>
      </c>
      <c r="M1575">
        <v>288</v>
      </c>
      <c r="O1575" t="s">
        <v>6909</v>
      </c>
      <c r="P1575">
        <v>282</v>
      </c>
      <c r="Q1575">
        <v>1.85</v>
      </c>
    </row>
    <row r="1576" spans="1:17" x14ac:dyDescent="0.25">
      <c r="A1576">
        <v>692</v>
      </c>
      <c r="B1576" t="s">
        <v>4802</v>
      </c>
      <c r="C1576" t="s">
        <v>9074</v>
      </c>
      <c r="D1576" t="s">
        <v>1920</v>
      </c>
      <c r="F1576">
        <v>2011</v>
      </c>
      <c r="H1576" t="s">
        <v>1878</v>
      </c>
      <c r="I1576">
        <v>1</v>
      </c>
      <c r="K1576" t="s">
        <v>14332</v>
      </c>
      <c r="M1576">
        <v>301</v>
      </c>
      <c r="O1576" t="s">
        <v>6910</v>
      </c>
      <c r="P1576">
        <v>229</v>
      </c>
      <c r="Q1576">
        <v>1.85</v>
      </c>
    </row>
    <row r="1577" spans="1:17" x14ac:dyDescent="0.25">
      <c r="A1577">
        <v>692</v>
      </c>
      <c r="B1577" t="s">
        <v>9075</v>
      </c>
      <c r="C1577" t="s">
        <v>9076</v>
      </c>
      <c r="D1577" t="s">
        <v>2054</v>
      </c>
      <c r="F1577">
        <v>2014</v>
      </c>
      <c r="H1577" t="s">
        <v>1878</v>
      </c>
      <c r="I1577">
        <v>1</v>
      </c>
      <c r="K1577" t="s">
        <v>14332</v>
      </c>
      <c r="L1577" s="222">
        <v>9783868006421</v>
      </c>
      <c r="M1577">
        <v>383</v>
      </c>
      <c r="O1577" t="s">
        <v>6911</v>
      </c>
      <c r="P1577">
        <v>375</v>
      </c>
      <c r="Q1577">
        <v>1.85</v>
      </c>
    </row>
    <row r="1578" spans="1:17" x14ac:dyDescent="0.25">
      <c r="A1578">
        <v>692</v>
      </c>
      <c r="B1578" t="s">
        <v>9078</v>
      </c>
      <c r="C1578" t="s">
        <v>9079</v>
      </c>
      <c r="D1578" t="s">
        <v>1912</v>
      </c>
      <c r="F1578">
        <v>2008</v>
      </c>
      <c r="H1578" t="s">
        <v>9080</v>
      </c>
      <c r="I1578" s="305">
        <v>43862</v>
      </c>
      <c r="K1578" t="s">
        <v>14332</v>
      </c>
      <c r="L1578" s="222">
        <v>9783442154647</v>
      </c>
      <c r="M1578">
        <v>251</v>
      </c>
      <c r="O1578" t="s">
        <v>6912</v>
      </c>
      <c r="P1578">
        <v>248</v>
      </c>
      <c r="Q1578">
        <v>1.85</v>
      </c>
    </row>
    <row r="1579" spans="1:17" x14ac:dyDescent="0.25">
      <c r="A1579">
        <v>2522</v>
      </c>
      <c r="B1579" t="s">
        <v>2101</v>
      </c>
      <c r="C1579" t="s">
        <v>9086</v>
      </c>
      <c r="D1579" t="s">
        <v>3524</v>
      </c>
      <c r="E1579" t="s">
        <v>1913</v>
      </c>
      <c r="F1579">
        <v>2010</v>
      </c>
      <c r="H1579" t="s">
        <v>1878</v>
      </c>
      <c r="I1579" s="305">
        <v>43862</v>
      </c>
      <c r="K1579" t="s">
        <v>14332</v>
      </c>
      <c r="L1579" s="222">
        <v>9783785567609</v>
      </c>
      <c r="M1579">
        <v>300</v>
      </c>
      <c r="O1579" t="s">
        <v>6914</v>
      </c>
      <c r="P1579">
        <v>312</v>
      </c>
      <c r="Q1579">
        <v>1.85</v>
      </c>
    </row>
    <row r="1580" spans="1:17" x14ac:dyDescent="0.25">
      <c r="A1580">
        <v>1913</v>
      </c>
      <c r="B1580" t="s">
        <v>8774</v>
      </c>
      <c r="C1580" t="s">
        <v>9088</v>
      </c>
      <c r="D1580" t="s">
        <v>1912</v>
      </c>
      <c r="F1580">
        <v>1998</v>
      </c>
      <c r="H1580" t="s">
        <v>1878</v>
      </c>
      <c r="I1580" s="305">
        <v>43892</v>
      </c>
      <c r="K1580" t="s">
        <v>14332</v>
      </c>
      <c r="L1580" s="222">
        <v>9783442440801</v>
      </c>
      <c r="M1580">
        <v>572</v>
      </c>
      <c r="O1580" t="s">
        <v>6915</v>
      </c>
      <c r="P1580">
        <v>391</v>
      </c>
      <c r="Q1580">
        <v>1.85</v>
      </c>
    </row>
    <row r="1581" spans="1:17" x14ac:dyDescent="0.25">
      <c r="A1581">
        <v>631</v>
      </c>
      <c r="B1581" t="s">
        <v>9090</v>
      </c>
      <c r="C1581" t="s">
        <v>9091</v>
      </c>
      <c r="D1581" t="s">
        <v>2926</v>
      </c>
      <c r="F1581">
        <v>2001</v>
      </c>
      <c r="H1581" t="s">
        <v>1878</v>
      </c>
      <c r="I1581">
        <v>2</v>
      </c>
      <c r="J1581" t="s">
        <v>9092</v>
      </c>
      <c r="K1581" t="s">
        <v>14332</v>
      </c>
      <c r="L1581" s="222">
        <v>9783502519409</v>
      </c>
      <c r="M1581">
        <v>219</v>
      </c>
      <c r="O1581" t="s">
        <v>6916</v>
      </c>
      <c r="P1581">
        <v>206</v>
      </c>
      <c r="Q1581">
        <v>1.85</v>
      </c>
    </row>
    <row r="1582" spans="1:17" x14ac:dyDescent="0.25">
      <c r="A1582">
        <v>689</v>
      </c>
      <c r="B1582" t="s">
        <v>2242</v>
      </c>
      <c r="C1582" t="s">
        <v>7437</v>
      </c>
      <c r="D1582" t="s">
        <v>9094</v>
      </c>
      <c r="F1582">
        <v>2001</v>
      </c>
      <c r="H1582" t="s">
        <v>2734</v>
      </c>
      <c r="I1582">
        <v>2</v>
      </c>
      <c r="K1582" t="s">
        <v>14332</v>
      </c>
      <c r="M1582">
        <v>494</v>
      </c>
      <c r="O1582" t="s">
        <v>6917</v>
      </c>
      <c r="P1582">
        <v>600</v>
      </c>
      <c r="Q1582">
        <v>1.65</v>
      </c>
    </row>
    <row r="1583" spans="1:17" x14ac:dyDescent="0.25">
      <c r="A1583">
        <v>701</v>
      </c>
      <c r="B1583" t="s">
        <v>9095</v>
      </c>
      <c r="C1583" t="s">
        <v>9096</v>
      </c>
      <c r="D1583" t="s">
        <v>2609</v>
      </c>
      <c r="F1583">
        <v>2011</v>
      </c>
      <c r="H1583" t="s">
        <v>1878</v>
      </c>
      <c r="I1583" s="305">
        <v>43892</v>
      </c>
      <c r="J1583" t="s">
        <v>9092</v>
      </c>
      <c r="K1583" t="s">
        <v>14332</v>
      </c>
      <c r="L1583" s="222">
        <v>9783596190324</v>
      </c>
      <c r="M1583">
        <v>301</v>
      </c>
      <c r="O1583" t="s">
        <v>6918</v>
      </c>
      <c r="P1583">
        <v>276</v>
      </c>
      <c r="Q1583">
        <v>1.85</v>
      </c>
    </row>
    <row r="1584" spans="1:17" x14ac:dyDescent="0.25">
      <c r="A1584">
        <v>2553</v>
      </c>
      <c r="B1584" t="s">
        <v>9098</v>
      </c>
      <c r="C1584" t="s">
        <v>9099</v>
      </c>
      <c r="D1584" t="s">
        <v>2054</v>
      </c>
      <c r="F1584">
        <v>2003</v>
      </c>
      <c r="H1584" t="s">
        <v>1878</v>
      </c>
      <c r="I1584" s="305">
        <v>43892</v>
      </c>
      <c r="K1584" t="s">
        <v>14332</v>
      </c>
      <c r="L1584" s="222">
        <v>9783898977944</v>
      </c>
      <c r="M1584">
        <v>446</v>
      </c>
      <c r="O1584" t="s">
        <v>6919</v>
      </c>
      <c r="P1584">
        <v>323</v>
      </c>
      <c r="Q1584">
        <v>1.85</v>
      </c>
    </row>
    <row r="1585" spans="1:17" x14ac:dyDescent="0.25">
      <c r="A1585">
        <v>1327</v>
      </c>
      <c r="B1585" t="s">
        <v>9101</v>
      </c>
      <c r="C1585" t="s">
        <v>9102</v>
      </c>
      <c r="D1585" t="s">
        <v>1876</v>
      </c>
      <c r="F1585">
        <v>1996</v>
      </c>
      <c r="H1585" t="s">
        <v>1878</v>
      </c>
      <c r="I1585" s="305">
        <v>43892</v>
      </c>
      <c r="K1585" t="s">
        <v>14332</v>
      </c>
      <c r="L1585" s="222">
        <v>9783492222792</v>
      </c>
      <c r="M1585">
        <v>122</v>
      </c>
      <c r="O1585" t="s">
        <v>6920</v>
      </c>
      <c r="P1585">
        <v>158</v>
      </c>
      <c r="Q1585">
        <v>1.85</v>
      </c>
    </row>
    <row r="1586" spans="1:17" x14ac:dyDescent="0.25">
      <c r="A1586">
        <v>632</v>
      </c>
      <c r="B1586" t="s">
        <v>3832</v>
      </c>
      <c r="C1586" t="s">
        <v>9104</v>
      </c>
      <c r="D1586" t="s">
        <v>2054</v>
      </c>
      <c r="F1586">
        <v>2012</v>
      </c>
      <c r="H1586" t="s">
        <v>1878</v>
      </c>
      <c r="I1586">
        <v>2</v>
      </c>
      <c r="K1586" t="s">
        <v>14332</v>
      </c>
      <c r="L1586" s="222">
        <v>9783828989351</v>
      </c>
      <c r="M1586">
        <v>1214</v>
      </c>
      <c r="O1586" t="s">
        <v>6921</v>
      </c>
      <c r="P1586">
        <v>1156</v>
      </c>
      <c r="Q1586">
        <v>2.42</v>
      </c>
    </row>
    <row r="1587" spans="1:17" x14ac:dyDescent="0.25">
      <c r="A1587">
        <v>1904</v>
      </c>
      <c r="B1587" t="s">
        <v>7541</v>
      </c>
      <c r="C1587" t="s">
        <v>9106</v>
      </c>
      <c r="D1587" t="s">
        <v>2209</v>
      </c>
      <c r="F1587">
        <v>2011</v>
      </c>
      <c r="H1587" t="s">
        <v>1878</v>
      </c>
      <c r="I1587" s="305">
        <v>43892</v>
      </c>
      <c r="K1587" t="s">
        <v>14332</v>
      </c>
      <c r="L1587" s="222">
        <v>9783453435377</v>
      </c>
      <c r="M1587">
        <v>447</v>
      </c>
      <c r="O1587" t="s">
        <v>6922</v>
      </c>
      <c r="P1587">
        <v>386</v>
      </c>
      <c r="Q1587">
        <v>1.85</v>
      </c>
    </row>
    <row r="1588" spans="1:17" x14ac:dyDescent="0.25">
      <c r="A1588">
        <v>1386</v>
      </c>
      <c r="B1588" t="s">
        <v>9108</v>
      </c>
      <c r="C1588" t="s">
        <v>14489</v>
      </c>
      <c r="D1588" t="s">
        <v>2818</v>
      </c>
      <c r="E1588" t="s">
        <v>2157</v>
      </c>
      <c r="F1588">
        <v>1998</v>
      </c>
      <c r="H1588" t="s">
        <v>1878</v>
      </c>
      <c r="I1588" s="305">
        <v>43892</v>
      </c>
      <c r="K1588" t="s">
        <v>14332</v>
      </c>
      <c r="L1588" s="222">
        <v>9783765539442</v>
      </c>
      <c r="M1588">
        <v>206</v>
      </c>
      <c r="O1588" t="s">
        <v>6923</v>
      </c>
      <c r="P1588">
        <v>179</v>
      </c>
      <c r="Q1588">
        <v>1.85</v>
      </c>
    </row>
    <row r="1589" spans="1:17" x14ac:dyDescent="0.25">
      <c r="A1589">
        <v>632</v>
      </c>
      <c r="B1589" t="s">
        <v>9111</v>
      </c>
      <c r="C1589" t="s">
        <v>9112</v>
      </c>
      <c r="D1589" t="s">
        <v>2368</v>
      </c>
      <c r="F1589">
        <v>2017</v>
      </c>
      <c r="H1589" t="s">
        <v>2734</v>
      </c>
      <c r="I1589" s="305">
        <v>43862</v>
      </c>
      <c r="K1589" t="s">
        <v>14332</v>
      </c>
      <c r="L1589" s="222">
        <v>9783431039771</v>
      </c>
      <c r="M1589">
        <v>762</v>
      </c>
      <c r="O1589" t="s">
        <v>6924</v>
      </c>
      <c r="P1589">
        <v>866</v>
      </c>
      <c r="Q1589">
        <v>8.3699999999999992</v>
      </c>
    </row>
    <row r="1590" spans="1:17" x14ac:dyDescent="0.25">
      <c r="A1590">
        <v>632</v>
      </c>
      <c r="B1590" t="s">
        <v>3059</v>
      </c>
      <c r="C1590" t="s">
        <v>9114</v>
      </c>
      <c r="D1590" t="s">
        <v>2822</v>
      </c>
      <c r="H1590" t="s">
        <v>2734</v>
      </c>
      <c r="I1590" s="305">
        <v>43862</v>
      </c>
      <c r="K1590" t="s">
        <v>14332</v>
      </c>
      <c r="L1590" s="222">
        <v>9783522175944</v>
      </c>
      <c r="M1590">
        <v>796</v>
      </c>
      <c r="O1590" t="s">
        <v>6925</v>
      </c>
      <c r="P1590">
        <v>937</v>
      </c>
      <c r="Q1590">
        <v>3.13</v>
      </c>
    </row>
    <row r="1591" spans="1:17" x14ac:dyDescent="0.25">
      <c r="A1591">
        <v>2522</v>
      </c>
      <c r="B1591" t="s">
        <v>2191</v>
      </c>
      <c r="C1591" t="s">
        <v>9116</v>
      </c>
      <c r="D1591" t="s">
        <v>1912</v>
      </c>
      <c r="E1591" t="s">
        <v>1877</v>
      </c>
      <c r="F1591">
        <v>2010</v>
      </c>
      <c r="H1591" t="s">
        <v>2734</v>
      </c>
      <c r="I1591">
        <v>1</v>
      </c>
      <c r="K1591" t="s">
        <v>14332</v>
      </c>
      <c r="L1591" s="222">
        <v>9783442312054</v>
      </c>
      <c r="M1591">
        <v>413</v>
      </c>
      <c r="O1591" t="s">
        <v>6926</v>
      </c>
      <c r="P1591">
        <v>599</v>
      </c>
      <c r="Q1591">
        <v>1.65</v>
      </c>
    </row>
    <row r="1592" spans="1:17" x14ac:dyDescent="0.25">
      <c r="A1592">
        <v>1386</v>
      </c>
      <c r="B1592" t="s">
        <v>3901</v>
      </c>
      <c r="C1592" t="s">
        <v>9118</v>
      </c>
      <c r="D1592" t="s">
        <v>9119</v>
      </c>
      <c r="E1592" t="s">
        <v>2412</v>
      </c>
      <c r="F1592">
        <v>2012</v>
      </c>
      <c r="H1592" t="s">
        <v>1878</v>
      </c>
      <c r="I1592">
        <v>2</v>
      </c>
      <c r="K1592" t="s">
        <v>14332</v>
      </c>
      <c r="L1592" s="222">
        <v>9783462046038</v>
      </c>
      <c r="M1592">
        <v>490</v>
      </c>
      <c r="O1592" t="s">
        <v>6927</v>
      </c>
      <c r="P1592">
        <v>382</v>
      </c>
      <c r="Q1592">
        <v>1.85</v>
      </c>
    </row>
    <row r="1593" spans="1:17" x14ac:dyDescent="0.25">
      <c r="A1593">
        <v>1386</v>
      </c>
      <c r="B1593" t="s">
        <v>9120</v>
      </c>
      <c r="C1593" t="s">
        <v>9121</v>
      </c>
      <c r="D1593" t="s">
        <v>3077</v>
      </c>
      <c r="E1593" t="s">
        <v>1877</v>
      </c>
      <c r="F1593">
        <v>2009</v>
      </c>
      <c r="H1593" t="s">
        <v>1878</v>
      </c>
      <c r="I1593">
        <v>1</v>
      </c>
      <c r="K1593" t="s">
        <v>14332</v>
      </c>
      <c r="L1593" s="222">
        <v>9783442371075</v>
      </c>
      <c r="M1593">
        <v>509</v>
      </c>
      <c r="O1593" t="s">
        <v>6928</v>
      </c>
      <c r="P1593">
        <v>389</v>
      </c>
      <c r="Q1593">
        <v>1.85</v>
      </c>
    </row>
    <row r="1594" spans="1:17" x14ac:dyDescent="0.25">
      <c r="A1594">
        <v>689</v>
      </c>
      <c r="B1594" t="s">
        <v>2470</v>
      </c>
      <c r="C1594" t="s">
        <v>9123</v>
      </c>
      <c r="D1594" t="s">
        <v>2309</v>
      </c>
      <c r="E1594" t="s">
        <v>1913</v>
      </c>
      <c r="F1594">
        <v>2009</v>
      </c>
      <c r="H1594" t="s">
        <v>1878</v>
      </c>
      <c r="I1594">
        <v>2</v>
      </c>
      <c r="K1594" t="s">
        <v>14332</v>
      </c>
      <c r="L1594" s="222">
        <v>9783548266190</v>
      </c>
      <c r="M1594">
        <v>703</v>
      </c>
      <c r="O1594" t="s">
        <v>6929</v>
      </c>
      <c r="P1594">
        <v>496</v>
      </c>
      <c r="Q1594">
        <v>1.85</v>
      </c>
    </row>
    <row r="1595" spans="1:17" x14ac:dyDescent="0.25">
      <c r="A1595">
        <v>1385</v>
      </c>
      <c r="C1595" t="s">
        <v>9125</v>
      </c>
      <c r="D1595" t="s">
        <v>5930</v>
      </c>
      <c r="F1595">
        <v>2004</v>
      </c>
      <c r="H1595" t="s">
        <v>2734</v>
      </c>
      <c r="I1595" s="305">
        <v>43862</v>
      </c>
      <c r="K1595" t="s">
        <v>14332</v>
      </c>
      <c r="L1595" s="222">
        <v>9783811222663</v>
      </c>
      <c r="M1595">
        <v>160</v>
      </c>
      <c r="O1595" t="s">
        <v>6930</v>
      </c>
      <c r="P1595">
        <v>388</v>
      </c>
      <c r="Q1595">
        <v>2.27</v>
      </c>
    </row>
    <row r="1596" spans="1:17" x14ac:dyDescent="0.25">
      <c r="A1596">
        <v>689</v>
      </c>
      <c r="B1596" t="s">
        <v>9130</v>
      </c>
      <c r="C1596" t="s">
        <v>9131</v>
      </c>
      <c r="D1596" t="s">
        <v>807</v>
      </c>
      <c r="F1596">
        <v>2012</v>
      </c>
      <c r="H1596" t="s">
        <v>1878</v>
      </c>
      <c r="I1596">
        <v>1</v>
      </c>
      <c r="K1596" t="s">
        <v>14332</v>
      </c>
      <c r="L1596" s="222">
        <v>9783551311474</v>
      </c>
      <c r="M1596">
        <v>444</v>
      </c>
      <c r="O1596" t="s">
        <v>6932</v>
      </c>
      <c r="P1596">
        <v>428</v>
      </c>
      <c r="Q1596">
        <v>2.38</v>
      </c>
    </row>
    <row r="1597" spans="1:17" x14ac:dyDescent="0.25">
      <c r="A1597">
        <v>1385</v>
      </c>
      <c r="B1597" t="s">
        <v>9133</v>
      </c>
      <c r="C1597" t="s">
        <v>9134</v>
      </c>
      <c r="D1597" t="s">
        <v>5926</v>
      </c>
      <c r="F1597">
        <v>2001</v>
      </c>
      <c r="H1597" t="s">
        <v>1878</v>
      </c>
      <c r="I1597" s="305">
        <v>43862</v>
      </c>
      <c r="K1597" t="s">
        <v>14332</v>
      </c>
      <c r="L1597" s="222">
        <v>9783442108725</v>
      </c>
      <c r="M1597">
        <v>223</v>
      </c>
      <c r="O1597" t="s">
        <v>6933</v>
      </c>
      <c r="P1597">
        <v>221</v>
      </c>
      <c r="Q1597">
        <v>1.85</v>
      </c>
    </row>
    <row r="1598" spans="1:17" x14ac:dyDescent="0.25">
      <c r="A1598">
        <v>689</v>
      </c>
      <c r="B1598" t="s">
        <v>9136</v>
      </c>
      <c r="C1598" t="s">
        <v>9137</v>
      </c>
      <c r="D1598" t="s">
        <v>9138</v>
      </c>
      <c r="F1598">
        <v>2007</v>
      </c>
      <c r="H1598" t="s">
        <v>2734</v>
      </c>
      <c r="I1598">
        <v>1</v>
      </c>
      <c r="K1598" t="s">
        <v>14332</v>
      </c>
      <c r="L1598" s="222">
        <v>9783596860036</v>
      </c>
      <c r="M1598">
        <v>462</v>
      </c>
      <c r="O1598" t="s">
        <v>6934</v>
      </c>
      <c r="P1598">
        <v>626</v>
      </c>
      <c r="Q1598">
        <v>1.53</v>
      </c>
    </row>
    <row r="1599" spans="1:17" x14ac:dyDescent="0.25">
      <c r="A1599">
        <v>689</v>
      </c>
      <c r="B1599" t="s">
        <v>9136</v>
      </c>
      <c r="C1599" t="s">
        <v>9140</v>
      </c>
      <c r="D1599" t="s">
        <v>9138</v>
      </c>
      <c r="E1599" t="s">
        <v>1877</v>
      </c>
      <c r="F1599">
        <v>2011</v>
      </c>
      <c r="H1599" t="s">
        <v>2734</v>
      </c>
      <c r="I1599" s="305">
        <v>43862</v>
      </c>
      <c r="K1599" t="s">
        <v>14332</v>
      </c>
      <c r="L1599" s="222">
        <v>9783841420022</v>
      </c>
      <c r="M1599">
        <v>508</v>
      </c>
      <c r="O1599" t="s">
        <v>6935</v>
      </c>
      <c r="P1599">
        <v>688</v>
      </c>
      <c r="Q1599">
        <v>1.53</v>
      </c>
    </row>
    <row r="1600" spans="1:17" x14ac:dyDescent="0.25">
      <c r="A1600">
        <v>689</v>
      </c>
      <c r="B1600" t="s">
        <v>9136</v>
      </c>
      <c r="C1600" t="s">
        <v>9142</v>
      </c>
      <c r="D1600" t="s">
        <v>9138</v>
      </c>
      <c r="F1600">
        <v>2008</v>
      </c>
      <c r="H1600" t="s">
        <v>2734</v>
      </c>
      <c r="I1600">
        <v>1</v>
      </c>
      <c r="K1600" t="s">
        <v>14332</v>
      </c>
      <c r="L1600" s="222">
        <v>9783841420039</v>
      </c>
      <c r="M1600">
        <v>442</v>
      </c>
      <c r="O1600" t="s">
        <v>6936</v>
      </c>
      <c r="P1600">
        <v>616</v>
      </c>
      <c r="Q1600">
        <v>1.53</v>
      </c>
    </row>
    <row r="1601" spans="1:17" x14ac:dyDescent="0.25">
      <c r="A1601">
        <v>689</v>
      </c>
      <c r="B1601" t="s">
        <v>9136</v>
      </c>
      <c r="C1601" t="s">
        <v>9146</v>
      </c>
      <c r="D1601" t="s">
        <v>9138</v>
      </c>
      <c r="F1601">
        <v>2009</v>
      </c>
      <c r="H1601" t="s">
        <v>2734</v>
      </c>
      <c r="I1601">
        <v>1</v>
      </c>
      <c r="K1601" t="s">
        <v>14332</v>
      </c>
      <c r="L1601" s="222">
        <v>9783841420053</v>
      </c>
      <c r="M1601">
        <v>574</v>
      </c>
      <c r="O1601" t="s">
        <v>6938</v>
      </c>
      <c r="P1601">
        <v>767</v>
      </c>
      <c r="Q1601">
        <v>1.53</v>
      </c>
    </row>
    <row r="1602" spans="1:17" x14ac:dyDescent="0.25">
      <c r="A1602">
        <v>689</v>
      </c>
      <c r="B1602" t="s">
        <v>9136</v>
      </c>
      <c r="C1602" t="s">
        <v>9148</v>
      </c>
      <c r="D1602" t="s">
        <v>9138</v>
      </c>
      <c r="F1602">
        <v>2009</v>
      </c>
      <c r="H1602" t="s">
        <v>2734</v>
      </c>
      <c r="I1602">
        <v>1</v>
      </c>
      <c r="K1602" t="s">
        <v>14332</v>
      </c>
      <c r="L1602" s="222">
        <v>9783841420060</v>
      </c>
      <c r="M1602">
        <v>597</v>
      </c>
      <c r="O1602" t="s">
        <v>6939</v>
      </c>
      <c r="P1602">
        <v>796</v>
      </c>
      <c r="Q1602">
        <v>1.53</v>
      </c>
    </row>
    <row r="1603" spans="1:17" x14ac:dyDescent="0.25">
      <c r="A1603">
        <v>689</v>
      </c>
      <c r="B1603" t="s">
        <v>9136</v>
      </c>
      <c r="C1603" t="s">
        <v>9150</v>
      </c>
      <c r="D1603" t="s">
        <v>9138</v>
      </c>
      <c r="F1603">
        <v>2010</v>
      </c>
      <c r="H1603" t="s">
        <v>2734</v>
      </c>
      <c r="I1603">
        <v>1</v>
      </c>
      <c r="K1603" t="s">
        <v>14332</v>
      </c>
      <c r="L1603" s="222">
        <v>9783841420077</v>
      </c>
      <c r="M1603">
        <v>593</v>
      </c>
      <c r="O1603" t="s">
        <v>6940</v>
      </c>
      <c r="P1603">
        <v>726</v>
      </c>
      <c r="Q1603">
        <v>1.53</v>
      </c>
    </row>
    <row r="1604" spans="1:17" x14ac:dyDescent="0.25">
      <c r="A1604">
        <v>2515</v>
      </c>
      <c r="B1604" t="s">
        <v>9154</v>
      </c>
      <c r="C1604" t="s">
        <v>9155</v>
      </c>
      <c r="D1604" t="s">
        <v>9156</v>
      </c>
      <c r="H1604" t="s">
        <v>2734</v>
      </c>
      <c r="I1604">
        <v>1</v>
      </c>
      <c r="K1604" t="s">
        <v>14332</v>
      </c>
      <c r="L1604" s="222">
        <v>9783888512070</v>
      </c>
      <c r="M1604">
        <v>640</v>
      </c>
      <c r="O1604" t="s">
        <v>6942</v>
      </c>
      <c r="P1604">
        <v>1152</v>
      </c>
      <c r="Q1604">
        <v>2.31</v>
      </c>
    </row>
    <row r="1605" spans="1:17" x14ac:dyDescent="0.25">
      <c r="A1605">
        <v>302</v>
      </c>
      <c r="B1605" t="s">
        <v>9158</v>
      </c>
      <c r="C1605" t="s">
        <v>9159</v>
      </c>
      <c r="D1605" t="s">
        <v>9160</v>
      </c>
      <c r="F1605">
        <v>1978</v>
      </c>
      <c r="H1605" t="s">
        <v>1878</v>
      </c>
      <c r="I1605">
        <v>2</v>
      </c>
      <c r="K1605" t="s">
        <v>14332</v>
      </c>
      <c r="L1605" s="222">
        <v>9783880543096</v>
      </c>
      <c r="M1605">
        <v>660</v>
      </c>
      <c r="O1605" t="s">
        <v>6943</v>
      </c>
      <c r="P1605">
        <v>488</v>
      </c>
      <c r="Q1605">
        <v>4.74</v>
      </c>
    </row>
    <row r="1606" spans="1:17" x14ac:dyDescent="0.25">
      <c r="A1606">
        <v>2518</v>
      </c>
      <c r="B1606" t="s">
        <v>9162</v>
      </c>
      <c r="C1606" t="s">
        <v>9163</v>
      </c>
      <c r="D1606" t="s">
        <v>2644</v>
      </c>
      <c r="F1606">
        <v>1987</v>
      </c>
      <c r="H1606" t="s">
        <v>1878</v>
      </c>
      <c r="I1606">
        <v>2</v>
      </c>
      <c r="K1606" t="s">
        <v>14332</v>
      </c>
      <c r="L1606" s="222">
        <v>9783257215434</v>
      </c>
      <c r="M1606">
        <v>346</v>
      </c>
      <c r="O1606" t="s">
        <v>6944</v>
      </c>
      <c r="P1606">
        <v>259</v>
      </c>
      <c r="Q1606">
        <v>1.71</v>
      </c>
    </row>
    <row r="1607" spans="1:17" x14ac:dyDescent="0.25">
      <c r="A1607">
        <v>785</v>
      </c>
      <c r="B1607" t="s">
        <v>9165</v>
      </c>
      <c r="C1607" t="s">
        <v>9166</v>
      </c>
      <c r="D1607" t="s">
        <v>9167</v>
      </c>
      <c r="H1607" t="s">
        <v>2734</v>
      </c>
      <c r="I1607">
        <v>1</v>
      </c>
      <c r="K1607" t="s">
        <v>14332</v>
      </c>
      <c r="L1607" s="222">
        <v>9783833193743</v>
      </c>
      <c r="M1607">
        <v>176</v>
      </c>
      <c r="O1607" t="s">
        <v>6945</v>
      </c>
      <c r="P1607">
        <v>664</v>
      </c>
      <c r="Q1607">
        <v>1.53</v>
      </c>
    </row>
    <row r="1608" spans="1:17" x14ac:dyDescent="0.25">
      <c r="A1608">
        <v>689</v>
      </c>
      <c r="B1608" t="s">
        <v>3808</v>
      </c>
      <c r="C1608" t="s">
        <v>9171</v>
      </c>
      <c r="D1608" t="s">
        <v>807</v>
      </c>
      <c r="F1608">
        <v>2014</v>
      </c>
      <c r="H1608" t="s">
        <v>1878</v>
      </c>
      <c r="I1608" s="305">
        <v>43862</v>
      </c>
      <c r="J1608" t="s">
        <v>9052</v>
      </c>
      <c r="K1608" t="s">
        <v>14332</v>
      </c>
      <c r="L1608" s="222">
        <v>9783551356901</v>
      </c>
      <c r="O1608" t="s">
        <v>6947</v>
      </c>
      <c r="P1608">
        <v>511</v>
      </c>
      <c r="Q1608">
        <v>1.53</v>
      </c>
    </row>
    <row r="1609" spans="1:17" x14ac:dyDescent="0.25">
      <c r="A1609">
        <v>1386</v>
      </c>
      <c r="B1609" t="s">
        <v>4175</v>
      </c>
      <c r="C1609" t="s">
        <v>9173</v>
      </c>
      <c r="D1609" t="s">
        <v>4177</v>
      </c>
      <c r="H1609" t="s">
        <v>2734</v>
      </c>
      <c r="I1609">
        <v>1</v>
      </c>
      <c r="K1609" t="s">
        <v>14332</v>
      </c>
      <c r="L1609" s="222">
        <v>9783887472214</v>
      </c>
      <c r="M1609">
        <v>125</v>
      </c>
      <c r="O1609" t="s">
        <v>9175</v>
      </c>
      <c r="P1609">
        <v>236</v>
      </c>
      <c r="Q1609">
        <v>1.71</v>
      </c>
    </row>
    <row r="1610" spans="1:17" x14ac:dyDescent="0.25">
      <c r="A1610">
        <v>692</v>
      </c>
      <c r="B1610" t="s">
        <v>9176</v>
      </c>
      <c r="C1610" t="s">
        <v>9177</v>
      </c>
      <c r="D1610" t="s">
        <v>1920</v>
      </c>
      <c r="F1610">
        <v>2005</v>
      </c>
      <c r="H1610" t="s">
        <v>1878</v>
      </c>
      <c r="I1610" s="305">
        <v>43862</v>
      </c>
      <c r="K1610" t="s">
        <v>14332</v>
      </c>
      <c r="L1610" s="222">
        <v>9783404616046</v>
      </c>
      <c r="M1610">
        <v>348</v>
      </c>
      <c r="O1610" t="s">
        <v>9179</v>
      </c>
      <c r="P1610">
        <v>405</v>
      </c>
      <c r="Q1610">
        <v>1.84</v>
      </c>
    </row>
    <row r="1611" spans="1:17" x14ac:dyDescent="0.25">
      <c r="A1611">
        <v>2549</v>
      </c>
      <c r="B1611" t="s">
        <v>9180</v>
      </c>
      <c r="C1611" t="s">
        <v>9181</v>
      </c>
      <c r="D1611" t="s">
        <v>1912</v>
      </c>
      <c r="E1611" t="s">
        <v>1899</v>
      </c>
      <c r="F1611">
        <v>1997</v>
      </c>
      <c r="H1611" t="s">
        <v>1878</v>
      </c>
      <c r="I1611">
        <v>2</v>
      </c>
      <c r="J1611" t="s">
        <v>9182</v>
      </c>
      <c r="K1611" t="s">
        <v>14332</v>
      </c>
      <c r="L1611" s="222">
        <v>9783442436002</v>
      </c>
      <c r="M1611">
        <v>472</v>
      </c>
      <c r="O1611" t="s">
        <v>9184</v>
      </c>
      <c r="P1611">
        <v>324</v>
      </c>
      <c r="Q1611">
        <v>1.71</v>
      </c>
    </row>
    <row r="1612" spans="1:17" x14ac:dyDescent="0.25">
      <c r="A1612">
        <v>689</v>
      </c>
      <c r="B1612" t="s">
        <v>2242</v>
      </c>
      <c r="C1612" t="s">
        <v>7437</v>
      </c>
      <c r="D1612" t="s">
        <v>2609</v>
      </c>
      <c r="F1612">
        <v>2002</v>
      </c>
      <c r="H1612" t="s">
        <v>1878</v>
      </c>
      <c r="I1612">
        <v>2</v>
      </c>
      <c r="K1612" t="s">
        <v>14332</v>
      </c>
      <c r="L1612" s="222">
        <v>9783596156160</v>
      </c>
      <c r="M1612">
        <v>494</v>
      </c>
      <c r="O1612" t="s">
        <v>9186</v>
      </c>
      <c r="P1612">
        <v>431</v>
      </c>
      <c r="Q1612">
        <v>1.71</v>
      </c>
    </row>
    <row r="1613" spans="1:17" x14ac:dyDescent="0.25">
      <c r="A1613">
        <v>689</v>
      </c>
      <c r="B1613" t="s">
        <v>9187</v>
      </c>
      <c r="C1613" t="s">
        <v>9188</v>
      </c>
      <c r="D1613" t="s">
        <v>1920</v>
      </c>
      <c r="E1613" t="s">
        <v>1913</v>
      </c>
      <c r="F1613">
        <v>2000</v>
      </c>
      <c r="H1613" t="s">
        <v>1878</v>
      </c>
      <c r="I1613">
        <v>2</v>
      </c>
      <c r="K1613" t="s">
        <v>14332</v>
      </c>
      <c r="L1613" s="222">
        <v>9783404203901</v>
      </c>
      <c r="M1613">
        <v>491</v>
      </c>
      <c r="O1613" t="s">
        <v>6948</v>
      </c>
      <c r="P1613">
        <v>332</v>
      </c>
      <c r="Q1613">
        <v>1.71</v>
      </c>
    </row>
    <row r="1614" spans="1:17" x14ac:dyDescent="0.25">
      <c r="A1614">
        <v>1374</v>
      </c>
      <c r="B1614" t="s">
        <v>9190</v>
      </c>
      <c r="C1614" t="s">
        <v>9191</v>
      </c>
      <c r="D1614" t="s">
        <v>9192</v>
      </c>
      <c r="E1614" t="s">
        <v>2032</v>
      </c>
      <c r="F1614">
        <v>2009</v>
      </c>
      <c r="H1614" t="s">
        <v>1878</v>
      </c>
      <c r="I1614">
        <v>1</v>
      </c>
      <c r="K1614" t="s">
        <v>14332</v>
      </c>
      <c r="L1614" s="222">
        <v>9783548609218</v>
      </c>
      <c r="M1614">
        <v>203</v>
      </c>
      <c r="O1614" t="s">
        <v>6949</v>
      </c>
      <c r="P1614">
        <v>236</v>
      </c>
      <c r="Q1614">
        <v>1.71</v>
      </c>
    </row>
    <row r="1615" spans="1:17" x14ac:dyDescent="0.25">
      <c r="A1615">
        <v>701</v>
      </c>
      <c r="B1615" t="s">
        <v>9194</v>
      </c>
      <c r="C1615" t="s">
        <v>9195</v>
      </c>
      <c r="D1615" t="s">
        <v>1912</v>
      </c>
      <c r="E1615" t="s">
        <v>1913</v>
      </c>
      <c r="F1615">
        <v>2011</v>
      </c>
      <c r="H1615" t="s">
        <v>1878</v>
      </c>
      <c r="I1615">
        <v>2</v>
      </c>
      <c r="J1615" t="s">
        <v>9196</v>
      </c>
      <c r="K1615" t="s">
        <v>14332</v>
      </c>
      <c r="L1615" s="222">
        <v>9783442472338</v>
      </c>
      <c r="M1615">
        <v>379</v>
      </c>
      <c r="O1615" t="s">
        <v>6950</v>
      </c>
      <c r="P1615">
        <v>312</v>
      </c>
      <c r="Q1615">
        <v>1.71</v>
      </c>
    </row>
    <row r="1616" spans="1:17" x14ac:dyDescent="0.25">
      <c r="A1616">
        <v>796</v>
      </c>
      <c r="B1616" t="s">
        <v>9198</v>
      </c>
      <c r="C1616" t="s">
        <v>9199</v>
      </c>
      <c r="D1616" t="s">
        <v>9200</v>
      </c>
      <c r="F1616">
        <v>1994</v>
      </c>
      <c r="H1616" t="s">
        <v>2734</v>
      </c>
      <c r="I1616">
        <v>2</v>
      </c>
      <c r="J1616" t="s">
        <v>9196</v>
      </c>
      <c r="K1616" t="s">
        <v>14332</v>
      </c>
      <c r="L1616" s="222">
        <v>9783407796585</v>
      </c>
      <c r="M1616">
        <v>542</v>
      </c>
      <c r="O1616" t="s">
        <v>6951</v>
      </c>
      <c r="P1616">
        <v>667</v>
      </c>
      <c r="Q1616">
        <v>1.53</v>
      </c>
    </row>
    <row r="1617" spans="1:17" x14ac:dyDescent="0.25">
      <c r="A1617">
        <v>692</v>
      </c>
      <c r="B1617" t="s">
        <v>2456</v>
      </c>
      <c r="C1617" t="s">
        <v>9202</v>
      </c>
      <c r="D1617" t="s">
        <v>9203</v>
      </c>
      <c r="F1617">
        <v>1998</v>
      </c>
      <c r="H1617" t="s">
        <v>1878</v>
      </c>
      <c r="I1617" s="305">
        <v>43892</v>
      </c>
      <c r="K1617" t="s">
        <v>14332</v>
      </c>
      <c r="M1617">
        <v>530</v>
      </c>
      <c r="O1617" t="s">
        <v>6952</v>
      </c>
      <c r="P1617">
        <v>390</v>
      </c>
      <c r="Q1617">
        <v>1.71</v>
      </c>
    </row>
    <row r="1618" spans="1:17" x14ac:dyDescent="0.25">
      <c r="A1618">
        <v>692</v>
      </c>
      <c r="B1618" t="s">
        <v>9204</v>
      </c>
      <c r="C1618" t="s">
        <v>9205</v>
      </c>
      <c r="D1618" t="s">
        <v>9032</v>
      </c>
      <c r="E1618" t="s">
        <v>1913</v>
      </c>
      <c r="F1618">
        <v>1997</v>
      </c>
      <c r="H1618" t="s">
        <v>1878</v>
      </c>
      <c r="I1618" s="305">
        <v>43892</v>
      </c>
      <c r="K1618" t="s">
        <v>14332</v>
      </c>
      <c r="L1618" s="222">
        <v>9783499223242</v>
      </c>
      <c r="M1618">
        <v>442</v>
      </c>
      <c r="O1618" t="s">
        <v>6953</v>
      </c>
      <c r="P1618">
        <v>367</v>
      </c>
      <c r="Q1618">
        <v>1.71</v>
      </c>
    </row>
    <row r="1619" spans="1:17" x14ac:dyDescent="0.25">
      <c r="A1619">
        <v>692</v>
      </c>
      <c r="B1619" t="s">
        <v>7478</v>
      </c>
      <c r="C1619" t="s">
        <v>9207</v>
      </c>
      <c r="D1619" t="s">
        <v>1912</v>
      </c>
      <c r="F1619">
        <v>2007</v>
      </c>
      <c r="H1619" t="s">
        <v>1878</v>
      </c>
      <c r="I1619" s="305">
        <v>43892</v>
      </c>
      <c r="J1619" t="s">
        <v>9208</v>
      </c>
      <c r="K1619" t="s">
        <v>14332</v>
      </c>
      <c r="L1619" s="222">
        <v>9783442463695</v>
      </c>
      <c r="M1619">
        <v>350</v>
      </c>
      <c r="O1619" t="s">
        <v>6954</v>
      </c>
      <c r="P1619">
        <v>292</v>
      </c>
      <c r="Q1619">
        <v>1.71</v>
      </c>
    </row>
    <row r="1620" spans="1:17" x14ac:dyDescent="0.25">
      <c r="A1620">
        <v>692</v>
      </c>
      <c r="B1620" t="s">
        <v>9210</v>
      </c>
      <c r="C1620" t="s">
        <v>9211</v>
      </c>
      <c r="D1620" t="s">
        <v>9032</v>
      </c>
      <c r="F1620">
        <v>2006</v>
      </c>
      <c r="H1620" t="s">
        <v>1878</v>
      </c>
      <c r="I1620">
        <v>3</v>
      </c>
      <c r="J1620" t="s">
        <v>9196</v>
      </c>
      <c r="K1620" t="s">
        <v>14332</v>
      </c>
      <c r="L1620" s="222">
        <v>9783499243240</v>
      </c>
      <c r="M1620">
        <v>306</v>
      </c>
      <c r="O1620" t="s">
        <v>6955</v>
      </c>
      <c r="P1620">
        <v>296</v>
      </c>
      <c r="Q1620">
        <v>1.71</v>
      </c>
    </row>
    <row r="1621" spans="1:17" x14ac:dyDescent="0.25">
      <c r="A1621">
        <v>643</v>
      </c>
      <c r="B1621" t="s">
        <v>9213</v>
      </c>
      <c r="C1621" t="s">
        <v>9214</v>
      </c>
      <c r="D1621" t="s">
        <v>9215</v>
      </c>
      <c r="F1621">
        <v>2008</v>
      </c>
      <c r="H1621" t="s">
        <v>1878</v>
      </c>
      <c r="I1621">
        <v>1</v>
      </c>
      <c r="K1621" t="s">
        <v>14332</v>
      </c>
      <c r="L1621" s="222">
        <v>9783894366728</v>
      </c>
      <c r="O1621" t="s">
        <v>6956</v>
      </c>
      <c r="P1621">
        <v>74</v>
      </c>
      <c r="Q1621">
        <v>1.71</v>
      </c>
    </row>
    <row r="1622" spans="1:17" x14ac:dyDescent="0.25">
      <c r="A1622">
        <v>632</v>
      </c>
      <c r="B1622" t="s">
        <v>1904</v>
      </c>
      <c r="C1622" t="s">
        <v>1905</v>
      </c>
      <c r="D1622" t="s">
        <v>4517</v>
      </c>
      <c r="E1622" t="s">
        <v>1913</v>
      </c>
      <c r="F1622">
        <v>2009</v>
      </c>
      <c r="H1622" t="s">
        <v>1878</v>
      </c>
      <c r="I1622">
        <v>2</v>
      </c>
      <c r="K1622" t="s">
        <v>14332</v>
      </c>
      <c r="L1622" s="222">
        <v>9783746625454</v>
      </c>
      <c r="M1622">
        <v>585</v>
      </c>
      <c r="O1622" t="s">
        <v>6957</v>
      </c>
      <c r="P1622">
        <v>433</v>
      </c>
      <c r="Q1622">
        <v>1.71</v>
      </c>
    </row>
    <row r="1623" spans="1:17" x14ac:dyDescent="0.25">
      <c r="A1623">
        <v>692</v>
      </c>
      <c r="B1623" t="s">
        <v>2935</v>
      </c>
      <c r="C1623" t="s">
        <v>9218</v>
      </c>
      <c r="D1623" t="s">
        <v>2609</v>
      </c>
      <c r="F1623">
        <v>2005</v>
      </c>
      <c r="H1623" t="s">
        <v>2734</v>
      </c>
      <c r="I1623" s="305">
        <v>43862</v>
      </c>
      <c r="K1623" t="s">
        <v>14332</v>
      </c>
      <c r="M1623">
        <v>250</v>
      </c>
      <c r="O1623" t="s">
        <v>6958</v>
      </c>
      <c r="P1623">
        <v>348</v>
      </c>
      <c r="Q1623">
        <v>1.71</v>
      </c>
    </row>
    <row r="1624" spans="1:17" x14ac:dyDescent="0.25">
      <c r="A1624">
        <v>632</v>
      </c>
      <c r="B1624" t="s">
        <v>1904</v>
      </c>
      <c r="C1624" t="s">
        <v>1905</v>
      </c>
      <c r="D1624" t="s">
        <v>4517</v>
      </c>
      <c r="E1624" t="s">
        <v>9223</v>
      </c>
      <c r="F1624">
        <v>2000</v>
      </c>
      <c r="H1624" t="s">
        <v>1878</v>
      </c>
      <c r="I1624">
        <v>2</v>
      </c>
      <c r="K1624" t="s">
        <v>14332</v>
      </c>
      <c r="L1624" s="222">
        <v>9783746614007</v>
      </c>
      <c r="M1624">
        <v>576</v>
      </c>
      <c r="O1624" t="s">
        <v>6960</v>
      </c>
      <c r="P1624">
        <v>588</v>
      </c>
      <c r="Q1624">
        <v>1.53</v>
      </c>
    </row>
    <row r="1625" spans="1:17" x14ac:dyDescent="0.25">
      <c r="A1625">
        <v>1972</v>
      </c>
      <c r="B1625" t="s">
        <v>9224</v>
      </c>
      <c r="C1625" t="s">
        <v>9225</v>
      </c>
      <c r="D1625" t="s">
        <v>1998</v>
      </c>
      <c r="E1625" t="s">
        <v>1913</v>
      </c>
      <c r="F1625">
        <v>2005</v>
      </c>
      <c r="H1625" t="s">
        <v>1878</v>
      </c>
      <c r="I1625">
        <v>2</v>
      </c>
      <c r="K1625" t="s">
        <v>14332</v>
      </c>
      <c r="L1625" s="222">
        <v>9783462036398</v>
      </c>
      <c r="M1625">
        <v>240</v>
      </c>
      <c r="O1625" t="s">
        <v>6961</v>
      </c>
      <c r="P1625">
        <v>192</v>
      </c>
      <c r="Q1625">
        <v>1.71</v>
      </c>
    </row>
    <row r="1626" spans="1:17" x14ac:dyDescent="0.25">
      <c r="A1626">
        <v>632</v>
      </c>
      <c r="B1626" t="s">
        <v>9227</v>
      </c>
      <c r="C1626" t="s">
        <v>9228</v>
      </c>
      <c r="D1626" t="s">
        <v>9229</v>
      </c>
      <c r="F1626">
        <v>2019</v>
      </c>
      <c r="H1626" t="s">
        <v>1878</v>
      </c>
      <c r="I1626" s="305">
        <v>43862</v>
      </c>
      <c r="K1626" t="s">
        <v>14332</v>
      </c>
      <c r="L1626" s="222">
        <v>4061458105958</v>
      </c>
      <c r="O1626" t="s">
        <v>6962</v>
      </c>
      <c r="P1626">
        <v>256</v>
      </c>
      <c r="Q1626">
        <v>3.9</v>
      </c>
    </row>
    <row r="1627" spans="1:17" x14ac:dyDescent="0.25">
      <c r="A1627">
        <v>2514</v>
      </c>
      <c r="B1627" t="s">
        <v>4628</v>
      </c>
      <c r="C1627" t="s">
        <v>9231</v>
      </c>
      <c r="D1627" t="s">
        <v>2402</v>
      </c>
      <c r="F1627">
        <v>2001</v>
      </c>
      <c r="H1627" t="s">
        <v>2734</v>
      </c>
      <c r="I1627" s="305">
        <v>43862</v>
      </c>
      <c r="K1627" t="s">
        <v>14332</v>
      </c>
      <c r="L1627" s="222">
        <v>9783505116469</v>
      </c>
      <c r="M1627">
        <v>126</v>
      </c>
      <c r="O1627" t="s">
        <v>6963</v>
      </c>
      <c r="P1627">
        <v>180</v>
      </c>
      <c r="Q1627">
        <v>1.71</v>
      </c>
    </row>
    <row r="1628" spans="1:17" x14ac:dyDescent="0.25">
      <c r="A1628">
        <v>1913</v>
      </c>
      <c r="B1628" t="s">
        <v>7541</v>
      </c>
      <c r="C1628" t="s">
        <v>9233</v>
      </c>
      <c r="D1628" t="s">
        <v>2209</v>
      </c>
      <c r="F1628">
        <v>2005</v>
      </c>
      <c r="H1628" t="s">
        <v>1878</v>
      </c>
      <c r="I1628">
        <v>2</v>
      </c>
      <c r="K1628" t="s">
        <v>14332</v>
      </c>
      <c r="L1628" s="222">
        <v>9783453430983</v>
      </c>
      <c r="M1628">
        <v>480</v>
      </c>
      <c r="O1628" t="s">
        <v>6964</v>
      </c>
      <c r="P1628">
        <v>454</v>
      </c>
      <c r="Q1628">
        <v>1.71</v>
      </c>
    </row>
    <row r="1629" spans="1:17" x14ac:dyDescent="0.25">
      <c r="A1629">
        <v>2514</v>
      </c>
      <c r="B1629" t="s">
        <v>9235</v>
      </c>
      <c r="C1629" t="s">
        <v>9236</v>
      </c>
      <c r="D1629" t="s">
        <v>1920</v>
      </c>
      <c r="F1629">
        <v>2000</v>
      </c>
      <c r="H1629" t="s">
        <v>2734</v>
      </c>
      <c r="I1629">
        <v>3</v>
      </c>
      <c r="K1629" t="s">
        <v>14332</v>
      </c>
      <c r="L1629" s="222">
        <v>9783785709917</v>
      </c>
      <c r="M1629">
        <v>322</v>
      </c>
      <c r="O1629" t="s">
        <v>6965</v>
      </c>
      <c r="P1629">
        <v>530</v>
      </c>
      <c r="Q1629">
        <v>1.95</v>
      </c>
    </row>
    <row r="1630" spans="1:17" x14ac:dyDescent="0.25">
      <c r="A1630">
        <v>690</v>
      </c>
      <c r="B1630" t="s">
        <v>9238</v>
      </c>
      <c r="C1630" t="s">
        <v>9239</v>
      </c>
      <c r="D1630" t="s">
        <v>9240</v>
      </c>
      <c r="F1630">
        <v>1984</v>
      </c>
      <c r="H1630" t="s">
        <v>2734</v>
      </c>
      <c r="I1630" s="305">
        <v>43892</v>
      </c>
      <c r="K1630" t="s">
        <v>14332</v>
      </c>
      <c r="L1630" s="222">
        <v>9783789115554</v>
      </c>
      <c r="M1630">
        <v>258</v>
      </c>
      <c r="O1630" t="s">
        <v>6966</v>
      </c>
      <c r="P1630">
        <v>325</v>
      </c>
      <c r="Q1630">
        <v>1.71</v>
      </c>
    </row>
    <row r="1631" spans="1:17" x14ac:dyDescent="0.25">
      <c r="A1631">
        <v>734</v>
      </c>
      <c r="B1631" t="s">
        <v>7392</v>
      </c>
      <c r="C1631" t="s">
        <v>9242</v>
      </c>
      <c r="D1631" t="s">
        <v>2209</v>
      </c>
      <c r="E1631" t="s">
        <v>2918</v>
      </c>
      <c r="F1631">
        <v>1994</v>
      </c>
      <c r="H1631" t="s">
        <v>1878</v>
      </c>
      <c r="I1631">
        <v>3</v>
      </c>
      <c r="K1631" t="s">
        <v>14332</v>
      </c>
      <c r="L1631" s="222">
        <v>9783453007048</v>
      </c>
      <c r="M1631">
        <v>560</v>
      </c>
      <c r="O1631" t="s">
        <v>6967</v>
      </c>
      <c r="P1631">
        <v>361</v>
      </c>
      <c r="Q1631">
        <v>1.71</v>
      </c>
    </row>
    <row r="1632" spans="1:17" x14ac:dyDescent="0.25">
      <c r="A1632">
        <v>1315</v>
      </c>
      <c r="B1632" t="s">
        <v>4725</v>
      </c>
      <c r="C1632" t="s">
        <v>14490</v>
      </c>
      <c r="D1632" t="s">
        <v>2402</v>
      </c>
      <c r="F1632">
        <v>1982</v>
      </c>
      <c r="H1632" t="s">
        <v>2734</v>
      </c>
      <c r="I1632">
        <v>1</v>
      </c>
      <c r="J1632" t="s">
        <v>9245</v>
      </c>
      <c r="K1632" t="s">
        <v>14332</v>
      </c>
      <c r="L1632" s="222">
        <v>9783505082337</v>
      </c>
      <c r="M1632">
        <v>130</v>
      </c>
      <c r="O1632" t="s">
        <v>6968</v>
      </c>
      <c r="P1632">
        <v>203</v>
      </c>
      <c r="Q1632">
        <v>1.71</v>
      </c>
    </row>
    <row r="1633" spans="1:17" x14ac:dyDescent="0.25">
      <c r="A1633">
        <v>1386</v>
      </c>
      <c r="B1633" t="s">
        <v>9247</v>
      </c>
      <c r="C1633" t="s">
        <v>9248</v>
      </c>
      <c r="D1633" t="s">
        <v>2309</v>
      </c>
      <c r="E1633" t="s">
        <v>1913</v>
      </c>
      <c r="F1633">
        <v>2010</v>
      </c>
      <c r="H1633" t="s">
        <v>1878</v>
      </c>
      <c r="I1633">
        <v>2</v>
      </c>
      <c r="K1633" t="s">
        <v>14332</v>
      </c>
      <c r="L1633" s="222">
        <v>9783548282114</v>
      </c>
      <c r="M1633">
        <v>320</v>
      </c>
      <c r="O1633" t="s">
        <v>6969</v>
      </c>
      <c r="P1633">
        <v>268</v>
      </c>
      <c r="Q1633">
        <v>1.71</v>
      </c>
    </row>
    <row r="1634" spans="1:17" x14ac:dyDescent="0.25">
      <c r="A1634">
        <v>2522</v>
      </c>
      <c r="B1634" t="s">
        <v>9250</v>
      </c>
      <c r="C1634" t="s">
        <v>9251</v>
      </c>
      <c r="D1634" t="s">
        <v>2054</v>
      </c>
      <c r="F1634">
        <v>2011</v>
      </c>
      <c r="H1634" t="s">
        <v>1878</v>
      </c>
      <c r="I1634">
        <v>2</v>
      </c>
      <c r="K1634" t="s">
        <v>14332</v>
      </c>
      <c r="L1634" s="222">
        <v>9783868005691</v>
      </c>
      <c r="M1634">
        <v>416</v>
      </c>
      <c r="O1634" t="s">
        <v>6970</v>
      </c>
      <c r="P1634">
        <v>415</v>
      </c>
      <c r="Q1634">
        <v>1.71</v>
      </c>
    </row>
    <row r="1635" spans="1:17" x14ac:dyDescent="0.25">
      <c r="A1635">
        <v>632</v>
      </c>
      <c r="B1635" t="s">
        <v>9253</v>
      </c>
      <c r="C1635" t="s">
        <v>9254</v>
      </c>
      <c r="D1635" t="s">
        <v>2257</v>
      </c>
      <c r="F1635">
        <v>2007</v>
      </c>
      <c r="H1635" t="s">
        <v>1878</v>
      </c>
      <c r="I1635">
        <v>2</v>
      </c>
      <c r="K1635" t="s">
        <v>14332</v>
      </c>
      <c r="L1635" s="222">
        <v>9783426635094</v>
      </c>
      <c r="M1635">
        <v>656</v>
      </c>
      <c r="O1635" t="s">
        <v>6971</v>
      </c>
      <c r="P1635">
        <v>482</v>
      </c>
      <c r="Q1635">
        <v>1.71</v>
      </c>
    </row>
    <row r="1636" spans="1:17" x14ac:dyDescent="0.25">
      <c r="A1636">
        <v>613</v>
      </c>
      <c r="B1636" t="s">
        <v>9256</v>
      </c>
      <c r="C1636" t="s">
        <v>9257</v>
      </c>
      <c r="D1636" t="s">
        <v>1920</v>
      </c>
      <c r="F1636">
        <v>2015</v>
      </c>
      <c r="H1636" t="s">
        <v>2734</v>
      </c>
      <c r="I1636">
        <v>2</v>
      </c>
      <c r="K1636" t="s">
        <v>14332</v>
      </c>
      <c r="L1636" s="222">
        <v>9783785725320</v>
      </c>
      <c r="M1636">
        <v>306</v>
      </c>
      <c r="O1636" t="s">
        <v>6972</v>
      </c>
      <c r="P1636">
        <v>553</v>
      </c>
      <c r="Q1636">
        <v>1.65</v>
      </c>
    </row>
    <row r="1637" spans="1:17" x14ac:dyDescent="0.25">
      <c r="A1637">
        <v>692</v>
      </c>
      <c r="B1637" t="s">
        <v>9259</v>
      </c>
      <c r="C1637" t="s">
        <v>9260</v>
      </c>
      <c r="D1637" t="s">
        <v>2309</v>
      </c>
      <c r="E1637" t="s">
        <v>1913</v>
      </c>
      <c r="F1637">
        <v>2019</v>
      </c>
      <c r="H1637" t="s">
        <v>1878</v>
      </c>
      <c r="I1637">
        <v>2</v>
      </c>
      <c r="K1637" t="s">
        <v>14332</v>
      </c>
      <c r="L1637" s="222">
        <v>9783548291437</v>
      </c>
      <c r="M1637">
        <v>320</v>
      </c>
      <c r="O1637" t="s">
        <v>6973</v>
      </c>
      <c r="P1637">
        <v>322</v>
      </c>
      <c r="Q1637">
        <v>4.2</v>
      </c>
    </row>
    <row r="1638" spans="1:17" x14ac:dyDescent="0.25">
      <c r="A1638">
        <v>632</v>
      </c>
      <c r="B1638" t="s">
        <v>9262</v>
      </c>
      <c r="C1638" t="s">
        <v>9263</v>
      </c>
      <c r="D1638" t="s">
        <v>2309</v>
      </c>
      <c r="E1638" t="s">
        <v>2922</v>
      </c>
      <c r="F1638">
        <v>2019</v>
      </c>
      <c r="H1638" t="s">
        <v>1878</v>
      </c>
      <c r="I1638">
        <v>1</v>
      </c>
      <c r="K1638" t="s">
        <v>14332</v>
      </c>
      <c r="L1638" s="222">
        <v>9783548289823</v>
      </c>
      <c r="M1638">
        <v>450</v>
      </c>
      <c r="O1638" t="s">
        <v>6974</v>
      </c>
      <c r="P1638">
        <v>326</v>
      </c>
      <c r="Q1638">
        <v>1.71</v>
      </c>
    </row>
    <row r="1639" spans="1:17" x14ac:dyDescent="0.25">
      <c r="A1639">
        <v>844</v>
      </c>
      <c r="B1639" t="s">
        <v>9265</v>
      </c>
      <c r="C1639" t="s">
        <v>9266</v>
      </c>
      <c r="D1639" t="s">
        <v>1979</v>
      </c>
      <c r="F1639">
        <v>1972</v>
      </c>
      <c r="H1639" t="s">
        <v>2734</v>
      </c>
      <c r="I1639">
        <v>3</v>
      </c>
      <c r="K1639" t="s">
        <v>14332</v>
      </c>
      <c r="L1639" s="222">
        <v>9783473301751</v>
      </c>
      <c r="O1639" t="s">
        <v>6975</v>
      </c>
      <c r="P1639">
        <v>398</v>
      </c>
      <c r="Q1639">
        <v>4.74</v>
      </c>
    </row>
    <row r="1640" spans="1:17" x14ac:dyDescent="0.25">
      <c r="A1640">
        <v>691</v>
      </c>
      <c r="B1640" t="s">
        <v>9268</v>
      </c>
      <c r="C1640" t="s">
        <v>9269</v>
      </c>
      <c r="D1640" t="s">
        <v>9270</v>
      </c>
      <c r="F1640">
        <v>1999</v>
      </c>
      <c r="H1640" t="s">
        <v>2734</v>
      </c>
      <c r="I1640">
        <v>2</v>
      </c>
      <c r="K1640" t="s">
        <v>14332</v>
      </c>
      <c r="L1640" s="222">
        <v>9783815718155</v>
      </c>
      <c r="O1640" t="s">
        <v>6976</v>
      </c>
      <c r="P1640">
        <v>373</v>
      </c>
      <c r="Q1640">
        <v>2.1</v>
      </c>
    </row>
    <row r="1641" spans="1:17" x14ac:dyDescent="0.25">
      <c r="A1641">
        <v>691</v>
      </c>
      <c r="B1641" t="s">
        <v>9272</v>
      </c>
      <c r="C1641" t="s">
        <v>9273</v>
      </c>
      <c r="D1641" t="s">
        <v>1927</v>
      </c>
      <c r="H1641" t="s">
        <v>4297</v>
      </c>
      <c r="I1641">
        <v>2</v>
      </c>
      <c r="J1641" t="s">
        <v>9274</v>
      </c>
      <c r="K1641" t="s">
        <v>14332</v>
      </c>
      <c r="L1641" s="222">
        <v>9781445498881</v>
      </c>
      <c r="O1641" t="s">
        <v>6977</v>
      </c>
      <c r="P1641">
        <v>282</v>
      </c>
      <c r="Q1641">
        <v>2.59</v>
      </c>
    </row>
    <row r="1642" spans="1:17" x14ac:dyDescent="0.25">
      <c r="A1642">
        <v>691</v>
      </c>
      <c r="B1642" t="s">
        <v>9276</v>
      </c>
      <c r="C1642" t="s">
        <v>9277</v>
      </c>
      <c r="D1642" t="s">
        <v>4841</v>
      </c>
      <c r="F1642">
        <v>2009</v>
      </c>
      <c r="H1642" t="s">
        <v>2734</v>
      </c>
      <c r="I1642">
        <v>2</v>
      </c>
      <c r="K1642" t="s">
        <v>14332</v>
      </c>
      <c r="L1642" s="222">
        <v>9783451709203</v>
      </c>
      <c r="O1642" t="s">
        <v>6978</v>
      </c>
      <c r="P1642">
        <v>378</v>
      </c>
      <c r="Q1642">
        <v>3.65</v>
      </c>
    </row>
    <row r="1643" spans="1:17" x14ac:dyDescent="0.25">
      <c r="A1643">
        <v>691</v>
      </c>
      <c r="B1643" t="s">
        <v>9279</v>
      </c>
      <c r="C1643" t="s">
        <v>9280</v>
      </c>
      <c r="D1643" t="s">
        <v>1927</v>
      </c>
      <c r="H1643" t="s">
        <v>2734</v>
      </c>
      <c r="I1643">
        <v>3</v>
      </c>
      <c r="K1643" t="s">
        <v>14332</v>
      </c>
      <c r="L1643" s="222">
        <v>9781405454377</v>
      </c>
      <c r="O1643" t="s">
        <v>6979</v>
      </c>
      <c r="P1643">
        <v>321</v>
      </c>
      <c r="Q1643">
        <v>1.71</v>
      </c>
    </row>
    <row r="1644" spans="1:17" x14ac:dyDescent="0.25">
      <c r="A1644">
        <v>1393</v>
      </c>
      <c r="B1644" t="s">
        <v>9282</v>
      </c>
      <c r="C1644" t="s">
        <v>9283</v>
      </c>
      <c r="D1644" t="s">
        <v>9284</v>
      </c>
      <c r="F1644">
        <v>2002</v>
      </c>
      <c r="H1644" t="s">
        <v>2734</v>
      </c>
      <c r="I1644">
        <v>2</v>
      </c>
      <c r="K1644" t="s">
        <v>14332</v>
      </c>
      <c r="L1644" s="222">
        <v>9783614486026</v>
      </c>
      <c r="M1644">
        <v>30</v>
      </c>
      <c r="O1644" t="s">
        <v>6980</v>
      </c>
      <c r="P1644">
        <v>277</v>
      </c>
      <c r="Q1644">
        <v>1.71</v>
      </c>
    </row>
    <row r="1645" spans="1:17" x14ac:dyDescent="0.25">
      <c r="A1645">
        <v>1313</v>
      </c>
      <c r="C1645" t="s">
        <v>9286</v>
      </c>
      <c r="D1645" t="s">
        <v>4334</v>
      </c>
      <c r="H1645" t="s">
        <v>2734</v>
      </c>
      <c r="I1645">
        <v>2</v>
      </c>
      <c r="K1645" t="s">
        <v>14332</v>
      </c>
      <c r="L1645" s="222">
        <v>9783896000101</v>
      </c>
      <c r="M1645">
        <v>126</v>
      </c>
      <c r="O1645" t="s">
        <v>6981</v>
      </c>
      <c r="P1645">
        <v>583</v>
      </c>
      <c r="Q1645">
        <v>1.51</v>
      </c>
    </row>
    <row r="1646" spans="1:17" x14ac:dyDescent="0.25">
      <c r="A1646">
        <v>2548</v>
      </c>
      <c r="B1646" t="s">
        <v>9288</v>
      </c>
      <c r="C1646" t="s">
        <v>9289</v>
      </c>
      <c r="D1646" t="s">
        <v>3010</v>
      </c>
      <c r="F1646">
        <v>1996</v>
      </c>
      <c r="H1646" t="s">
        <v>1878</v>
      </c>
      <c r="I1646">
        <v>2</v>
      </c>
      <c r="K1646" t="s">
        <v>14332</v>
      </c>
      <c r="L1646" s="222">
        <v>9783404920655</v>
      </c>
      <c r="M1646">
        <v>352</v>
      </c>
      <c r="O1646" t="s">
        <v>6982</v>
      </c>
      <c r="P1646">
        <v>382</v>
      </c>
      <c r="Q1646">
        <v>1.73</v>
      </c>
    </row>
    <row r="1647" spans="1:17" x14ac:dyDescent="0.25">
      <c r="A1647">
        <v>796</v>
      </c>
      <c r="B1647" t="s">
        <v>9291</v>
      </c>
      <c r="C1647" t="s">
        <v>9292</v>
      </c>
      <c r="D1647" t="s">
        <v>2209</v>
      </c>
      <c r="F1647">
        <v>2003</v>
      </c>
      <c r="H1647" t="s">
        <v>1878</v>
      </c>
      <c r="I1647">
        <v>3</v>
      </c>
      <c r="K1647" t="s">
        <v>14332</v>
      </c>
      <c r="L1647" s="222">
        <v>9783453870109</v>
      </c>
      <c r="M1647">
        <v>384</v>
      </c>
      <c r="O1647" t="s">
        <v>6983</v>
      </c>
      <c r="P1647">
        <v>372</v>
      </c>
      <c r="Q1647">
        <v>1.71</v>
      </c>
    </row>
    <row r="1648" spans="1:17" x14ac:dyDescent="0.25">
      <c r="A1648">
        <v>649</v>
      </c>
      <c r="C1648" t="s">
        <v>9294</v>
      </c>
      <c r="D1648" t="s">
        <v>9295</v>
      </c>
      <c r="H1648" t="s">
        <v>2734</v>
      </c>
      <c r="I1648">
        <v>2</v>
      </c>
      <c r="K1648" t="s">
        <v>14332</v>
      </c>
      <c r="L1648" s="222">
        <v>9783861461845</v>
      </c>
      <c r="M1648">
        <v>66</v>
      </c>
      <c r="O1648" t="s">
        <v>6984</v>
      </c>
      <c r="P1648">
        <v>504</v>
      </c>
      <c r="Q1648">
        <v>1.51</v>
      </c>
    </row>
    <row r="1649" spans="1:17" x14ac:dyDescent="0.25">
      <c r="A1649">
        <v>1312</v>
      </c>
      <c r="C1649" t="s">
        <v>9297</v>
      </c>
      <c r="D1649" t="s">
        <v>9298</v>
      </c>
      <c r="F1649">
        <v>2000</v>
      </c>
      <c r="H1649" t="s">
        <v>2734</v>
      </c>
      <c r="I1649">
        <v>2</v>
      </c>
      <c r="K1649" t="s">
        <v>14332</v>
      </c>
      <c r="O1649" t="s">
        <v>6985</v>
      </c>
      <c r="P1649">
        <v>216</v>
      </c>
      <c r="Q1649">
        <v>1.73</v>
      </c>
    </row>
    <row r="1650" spans="1:17" x14ac:dyDescent="0.25">
      <c r="A1650">
        <v>691</v>
      </c>
      <c r="B1650" t="s">
        <v>9299</v>
      </c>
      <c r="C1650" t="s">
        <v>9300</v>
      </c>
      <c r="D1650" t="s">
        <v>9301</v>
      </c>
      <c r="H1650" t="s">
        <v>2734</v>
      </c>
      <c r="I1650">
        <v>2</v>
      </c>
      <c r="K1650" t="s">
        <v>14332</v>
      </c>
      <c r="L1650" s="222">
        <v>9783822770818</v>
      </c>
      <c r="O1650" t="s">
        <v>6986</v>
      </c>
      <c r="P1650">
        <v>231</v>
      </c>
      <c r="Q1650">
        <v>3.05</v>
      </c>
    </row>
    <row r="1651" spans="1:17" x14ac:dyDescent="0.25">
      <c r="A1651">
        <v>2521</v>
      </c>
      <c r="B1651" t="s">
        <v>8774</v>
      </c>
      <c r="C1651" t="s">
        <v>9088</v>
      </c>
      <c r="D1651" t="s">
        <v>5005</v>
      </c>
      <c r="E1651" t="s">
        <v>1899</v>
      </c>
      <c r="F1651">
        <v>1996</v>
      </c>
      <c r="H1651" t="s">
        <v>2734</v>
      </c>
      <c r="I1651">
        <v>3</v>
      </c>
      <c r="K1651" t="s">
        <v>14332</v>
      </c>
      <c r="L1651" s="222">
        <v>9783570024256</v>
      </c>
      <c r="M1651">
        <v>578</v>
      </c>
      <c r="O1651" t="s">
        <v>6987</v>
      </c>
      <c r="P1651">
        <v>818</v>
      </c>
      <c r="Q1651">
        <v>1.51</v>
      </c>
    </row>
    <row r="1652" spans="1:17" x14ac:dyDescent="0.25">
      <c r="A1652">
        <v>2521</v>
      </c>
      <c r="B1652" t="s">
        <v>8245</v>
      </c>
      <c r="C1652" t="s">
        <v>9304</v>
      </c>
      <c r="D1652" t="s">
        <v>2386</v>
      </c>
      <c r="F1652">
        <v>2004</v>
      </c>
      <c r="H1652" t="s">
        <v>2734</v>
      </c>
      <c r="I1652">
        <v>2</v>
      </c>
      <c r="K1652" t="s">
        <v>14332</v>
      </c>
      <c r="L1652" s="222">
        <v>9783785721520</v>
      </c>
      <c r="M1652">
        <v>610</v>
      </c>
      <c r="O1652" t="s">
        <v>6988</v>
      </c>
      <c r="P1652">
        <v>757</v>
      </c>
      <c r="Q1652">
        <v>1.53</v>
      </c>
    </row>
    <row r="1653" spans="1:17" x14ac:dyDescent="0.25">
      <c r="A1653">
        <v>2522</v>
      </c>
      <c r="B1653" t="s">
        <v>6445</v>
      </c>
      <c r="C1653" t="s">
        <v>9306</v>
      </c>
      <c r="D1653" t="s">
        <v>9307</v>
      </c>
      <c r="E1653" t="s">
        <v>1913</v>
      </c>
      <c r="F1653">
        <v>2006</v>
      </c>
      <c r="H1653" t="s">
        <v>2734</v>
      </c>
      <c r="I1653">
        <v>2</v>
      </c>
      <c r="K1653" t="s">
        <v>14332</v>
      </c>
      <c r="L1653" s="222">
        <v>9783455400502</v>
      </c>
      <c r="M1653">
        <v>354</v>
      </c>
      <c r="O1653" t="s">
        <v>6989</v>
      </c>
      <c r="P1653">
        <v>573</v>
      </c>
      <c r="Q1653">
        <v>1.53</v>
      </c>
    </row>
    <row r="1654" spans="1:17" x14ac:dyDescent="0.25">
      <c r="A1654">
        <v>796</v>
      </c>
      <c r="B1654" t="s">
        <v>3143</v>
      </c>
      <c r="C1654" t="s">
        <v>3144</v>
      </c>
      <c r="D1654" t="s">
        <v>9309</v>
      </c>
      <c r="F1654">
        <v>2004</v>
      </c>
      <c r="H1654" t="s">
        <v>2734</v>
      </c>
      <c r="I1654">
        <v>2</v>
      </c>
      <c r="K1654" t="s">
        <v>14332</v>
      </c>
      <c r="M1654">
        <v>418</v>
      </c>
      <c r="O1654" t="s">
        <v>6990</v>
      </c>
      <c r="P1654">
        <v>582</v>
      </c>
      <c r="Q1654">
        <v>1.53</v>
      </c>
    </row>
    <row r="1655" spans="1:17" x14ac:dyDescent="0.25">
      <c r="A1655">
        <v>852</v>
      </c>
      <c r="B1655" t="s">
        <v>9310</v>
      </c>
      <c r="C1655" t="s">
        <v>9311</v>
      </c>
      <c r="D1655" t="s">
        <v>2901</v>
      </c>
      <c r="F1655">
        <v>1982</v>
      </c>
      <c r="H1655" t="s">
        <v>2734</v>
      </c>
      <c r="I1655">
        <v>2</v>
      </c>
      <c r="K1655" t="s">
        <v>14332</v>
      </c>
      <c r="L1655" s="222">
        <v>9783763227013</v>
      </c>
      <c r="M1655">
        <v>418</v>
      </c>
      <c r="O1655" t="s">
        <v>6991</v>
      </c>
      <c r="P1655">
        <v>458</v>
      </c>
      <c r="Q1655">
        <v>1.73</v>
      </c>
    </row>
    <row r="1656" spans="1:17" x14ac:dyDescent="0.25">
      <c r="A1656">
        <v>1904</v>
      </c>
      <c r="B1656" t="s">
        <v>7541</v>
      </c>
      <c r="C1656" t="s">
        <v>9313</v>
      </c>
      <c r="D1656" t="s">
        <v>2209</v>
      </c>
      <c r="E1656" t="s">
        <v>2175</v>
      </c>
      <c r="F1656">
        <v>1992</v>
      </c>
      <c r="H1656" t="s">
        <v>1878</v>
      </c>
      <c r="I1656">
        <v>3</v>
      </c>
      <c r="K1656" t="s">
        <v>14332</v>
      </c>
      <c r="L1656" s="222">
        <v>9783453071179</v>
      </c>
      <c r="M1656">
        <v>560</v>
      </c>
      <c r="O1656" t="s">
        <v>6992</v>
      </c>
      <c r="P1656">
        <v>424</v>
      </c>
      <c r="Q1656">
        <v>1.71</v>
      </c>
    </row>
    <row r="1657" spans="1:17" x14ac:dyDescent="0.25">
      <c r="A1657">
        <v>1232</v>
      </c>
      <c r="B1657" t="s">
        <v>9315</v>
      </c>
      <c r="C1657" t="s">
        <v>9316</v>
      </c>
      <c r="D1657" t="s">
        <v>9317</v>
      </c>
      <c r="F1657">
        <v>1978</v>
      </c>
      <c r="H1657" t="s">
        <v>2734</v>
      </c>
      <c r="I1657">
        <v>2</v>
      </c>
      <c r="K1657" t="s">
        <v>14332</v>
      </c>
      <c r="L1657" s="222">
        <v>9783492023719</v>
      </c>
      <c r="M1657">
        <v>274</v>
      </c>
      <c r="O1657" t="s">
        <v>6993</v>
      </c>
      <c r="P1657">
        <v>411</v>
      </c>
      <c r="Q1657">
        <v>1.71</v>
      </c>
    </row>
    <row r="1658" spans="1:17" x14ac:dyDescent="0.25">
      <c r="A1658">
        <v>632</v>
      </c>
      <c r="B1658" t="s">
        <v>9319</v>
      </c>
      <c r="C1658" t="s">
        <v>9320</v>
      </c>
      <c r="D1658" t="s">
        <v>1920</v>
      </c>
      <c r="F1658">
        <v>2001</v>
      </c>
      <c r="H1658" t="s">
        <v>1878</v>
      </c>
      <c r="I1658">
        <v>3</v>
      </c>
      <c r="J1658" t="s">
        <v>9321</v>
      </c>
      <c r="K1658" t="s">
        <v>14332</v>
      </c>
      <c r="L1658" s="222">
        <v>9783404149025</v>
      </c>
      <c r="M1658">
        <v>384</v>
      </c>
      <c r="O1658" t="s">
        <v>6994</v>
      </c>
      <c r="P1658">
        <v>328</v>
      </c>
      <c r="Q1658">
        <v>1.71</v>
      </c>
    </row>
    <row r="1659" spans="1:17" x14ac:dyDescent="0.25">
      <c r="A1659">
        <v>0</v>
      </c>
      <c r="B1659" t="s">
        <v>9327</v>
      </c>
      <c r="C1659" t="s">
        <v>9328</v>
      </c>
      <c r="D1659" t="s">
        <v>9329</v>
      </c>
      <c r="F1659">
        <v>2001</v>
      </c>
      <c r="H1659" t="s">
        <v>2734</v>
      </c>
      <c r="I1659">
        <v>2</v>
      </c>
      <c r="K1659" t="s">
        <v>14332</v>
      </c>
      <c r="L1659" s="222">
        <v>9783930206599</v>
      </c>
      <c r="M1659">
        <v>100</v>
      </c>
      <c r="O1659" t="s">
        <v>6996</v>
      </c>
      <c r="P1659">
        <v>291</v>
      </c>
      <c r="Q1659">
        <v>3</v>
      </c>
    </row>
    <row r="1660" spans="1:17" x14ac:dyDescent="0.25">
      <c r="A1660">
        <v>1332</v>
      </c>
      <c r="B1660" t="s">
        <v>9331</v>
      </c>
      <c r="C1660" t="s">
        <v>9332</v>
      </c>
      <c r="D1660" t="s">
        <v>2050</v>
      </c>
      <c r="F1660">
        <v>1997</v>
      </c>
      <c r="H1660" t="s">
        <v>2734</v>
      </c>
      <c r="I1660">
        <v>2</v>
      </c>
      <c r="K1660" t="s">
        <v>14332</v>
      </c>
      <c r="L1660" s="222">
        <v>9783809404347</v>
      </c>
      <c r="M1660">
        <v>142</v>
      </c>
      <c r="O1660" t="s">
        <v>6997</v>
      </c>
      <c r="P1660">
        <v>522</v>
      </c>
      <c r="Q1660">
        <v>1.51</v>
      </c>
    </row>
    <row r="1661" spans="1:17" x14ac:dyDescent="0.25">
      <c r="A1661">
        <v>632</v>
      </c>
      <c r="B1661" t="s">
        <v>9334</v>
      </c>
      <c r="C1661" t="s">
        <v>9335</v>
      </c>
      <c r="D1661" t="s">
        <v>1920</v>
      </c>
      <c r="F1661">
        <v>2005</v>
      </c>
      <c r="H1661" t="s">
        <v>1878</v>
      </c>
      <c r="I1661">
        <v>2</v>
      </c>
      <c r="K1661" t="s">
        <v>14332</v>
      </c>
      <c r="L1661" s="222">
        <v>9783404153077</v>
      </c>
      <c r="M1661">
        <v>624</v>
      </c>
      <c r="O1661" t="s">
        <v>6998</v>
      </c>
      <c r="P1661">
        <v>533</v>
      </c>
      <c r="Q1661">
        <v>1.53</v>
      </c>
    </row>
    <row r="1662" spans="1:17" x14ac:dyDescent="0.25">
      <c r="A1662">
        <v>1279</v>
      </c>
      <c r="C1662" t="s">
        <v>9340</v>
      </c>
      <c r="D1662" t="s">
        <v>6049</v>
      </c>
      <c r="F1662">
        <v>1989</v>
      </c>
      <c r="H1662" t="s">
        <v>4297</v>
      </c>
      <c r="I1662">
        <v>2</v>
      </c>
      <c r="K1662" t="s">
        <v>14332</v>
      </c>
      <c r="L1662" s="222">
        <v>9783923453283</v>
      </c>
      <c r="M1662">
        <v>176</v>
      </c>
      <c r="O1662" t="s">
        <v>7000</v>
      </c>
      <c r="P1662">
        <v>430</v>
      </c>
      <c r="Q1662">
        <v>2.52</v>
      </c>
    </row>
    <row r="1663" spans="1:17" x14ac:dyDescent="0.25">
      <c r="A1663">
        <v>692</v>
      </c>
      <c r="B1663" t="s">
        <v>2870</v>
      </c>
      <c r="C1663" t="s">
        <v>9342</v>
      </c>
      <c r="D1663" t="s">
        <v>2054</v>
      </c>
      <c r="H1663" t="s">
        <v>2734</v>
      </c>
      <c r="I1663">
        <v>2</v>
      </c>
      <c r="K1663" t="s">
        <v>14332</v>
      </c>
      <c r="L1663" s="222">
        <v>4026411105147</v>
      </c>
      <c r="M1663">
        <v>322</v>
      </c>
      <c r="O1663" t="s">
        <v>7001</v>
      </c>
      <c r="P1663">
        <v>385</v>
      </c>
      <c r="Q1663">
        <v>1.71</v>
      </c>
    </row>
    <row r="1664" spans="1:17" x14ac:dyDescent="0.25">
      <c r="A1664">
        <v>692</v>
      </c>
      <c r="B1664" t="s">
        <v>2870</v>
      </c>
      <c r="C1664" t="s">
        <v>9344</v>
      </c>
      <c r="D1664" t="s">
        <v>2054</v>
      </c>
      <c r="H1664" t="s">
        <v>2734</v>
      </c>
      <c r="I1664">
        <v>2</v>
      </c>
      <c r="K1664" t="s">
        <v>14332</v>
      </c>
      <c r="L1664" s="222">
        <v>4026411104928</v>
      </c>
      <c r="M1664">
        <v>290</v>
      </c>
      <c r="O1664" t="s">
        <v>7002</v>
      </c>
      <c r="P1664">
        <v>352</v>
      </c>
      <c r="Q1664">
        <v>2.2000000000000002</v>
      </c>
    </row>
    <row r="1665" spans="1:17" x14ac:dyDescent="0.25">
      <c r="A1665">
        <v>2522</v>
      </c>
      <c r="B1665" t="s">
        <v>9346</v>
      </c>
      <c r="C1665" t="s">
        <v>9347</v>
      </c>
      <c r="D1665" t="s">
        <v>1920</v>
      </c>
      <c r="F1665">
        <v>2006</v>
      </c>
      <c r="H1665" t="s">
        <v>1878</v>
      </c>
      <c r="I1665">
        <v>2</v>
      </c>
      <c r="K1665" t="s">
        <v>14332</v>
      </c>
      <c r="L1665" s="222">
        <v>9783404155545</v>
      </c>
      <c r="M1665">
        <v>528</v>
      </c>
      <c r="O1665" t="s">
        <v>7003</v>
      </c>
      <c r="P1665">
        <v>450</v>
      </c>
      <c r="Q1665">
        <v>1.71</v>
      </c>
    </row>
    <row r="1666" spans="1:17" x14ac:dyDescent="0.25">
      <c r="A1666">
        <v>701</v>
      </c>
      <c r="B1666" t="s">
        <v>9349</v>
      </c>
      <c r="C1666" t="s">
        <v>9350</v>
      </c>
      <c r="D1666" t="s">
        <v>1876</v>
      </c>
      <c r="F1666">
        <v>2009</v>
      </c>
      <c r="H1666" t="s">
        <v>2734</v>
      </c>
      <c r="I1666">
        <v>1</v>
      </c>
      <c r="K1666" t="s">
        <v>14332</v>
      </c>
      <c r="L1666" s="222">
        <v>9783492240673</v>
      </c>
      <c r="M1666">
        <v>178</v>
      </c>
      <c r="O1666" t="s">
        <v>7004</v>
      </c>
      <c r="P1666">
        <v>241</v>
      </c>
      <c r="Q1666">
        <v>1.79</v>
      </c>
    </row>
    <row r="1667" spans="1:17" x14ac:dyDescent="0.25">
      <c r="A1667">
        <v>481</v>
      </c>
      <c r="C1667" t="s">
        <v>9352</v>
      </c>
      <c r="D1667" t="s">
        <v>2050</v>
      </c>
      <c r="F1667">
        <v>1994</v>
      </c>
      <c r="H1667" t="s">
        <v>2734</v>
      </c>
      <c r="I1667">
        <v>2</v>
      </c>
      <c r="K1667" t="s">
        <v>14332</v>
      </c>
      <c r="L1667" s="222">
        <v>9783809401803</v>
      </c>
      <c r="M1667">
        <v>162</v>
      </c>
      <c r="O1667" t="s">
        <v>7005</v>
      </c>
      <c r="P1667">
        <v>911</v>
      </c>
      <c r="Q1667">
        <v>1.51</v>
      </c>
    </row>
    <row r="1668" spans="1:17" x14ac:dyDescent="0.25">
      <c r="A1668">
        <v>1271</v>
      </c>
      <c r="B1668" t="s">
        <v>9354</v>
      </c>
      <c r="C1668" t="s">
        <v>9355</v>
      </c>
      <c r="D1668" t="s">
        <v>2054</v>
      </c>
      <c r="E1668" t="s">
        <v>2175</v>
      </c>
      <c r="F1668">
        <v>1986</v>
      </c>
      <c r="H1668" t="s">
        <v>2734</v>
      </c>
      <c r="I1668">
        <v>2</v>
      </c>
      <c r="K1668" t="s">
        <v>14332</v>
      </c>
      <c r="L1668" s="222">
        <v>9783891640586</v>
      </c>
      <c r="M1668">
        <v>206</v>
      </c>
      <c r="O1668" t="s">
        <v>7006</v>
      </c>
      <c r="P1668">
        <v>1251</v>
      </c>
      <c r="Q1668">
        <v>4.21</v>
      </c>
    </row>
    <row r="1669" spans="1:17" x14ac:dyDescent="0.25">
      <c r="A1669">
        <v>2522</v>
      </c>
      <c r="B1669" t="s">
        <v>9357</v>
      </c>
      <c r="C1669" t="s">
        <v>9358</v>
      </c>
      <c r="D1669" t="s">
        <v>3116</v>
      </c>
      <c r="E1669" t="s">
        <v>2032</v>
      </c>
      <c r="F1669">
        <v>2010</v>
      </c>
      <c r="H1669" t="s">
        <v>1878</v>
      </c>
      <c r="I1669">
        <v>2</v>
      </c>
      <c r="K1669" t="s">
        <v>14332</v>
      </c>
      <c r="L1669" s="222">
        <v>9783401063874</v>
      </c>
      <c r="M1669">
        <v>104</v>
      </c>
      <c r="O1669" t="s">
        <v>7007</v>
      </c>
      <c r="P1669">
        <v>95</v>
      </c>
      <c r="Q1669">
        <v>1.73</v>
      </c>
    </row>
    <row r="1670" spans="1:17" x14ac:dyDescent="0.25">
      <c r="A1670">
        <v>1231</v>
      </c>
      <c r="B1670" t="s">
        <v>2199</v>
      </c>
      <c r="C1670" t="s">
        <v>2200</v>
      </c>
      <c r="D1670" t="s">
        <v>2257</v>
      </c>
      <c r="F1670">
        <v>2007</v>
      </c>
      <c r="H1670" t="s">
        <v>1878</v>
      </c>
      <c r="I1670">
        <v>2</v>
      </c>
      <c r="J1670" t="s">
        <v>9321</v>
      </c>
      <c r="K1670" t="s">
        <v>14332</v>
      </c>
      <c r="L1670" s="222">
        <v>9783426778937</v>
      </c>
      <c r="M1670">
        <v>272</v>
      </c>
      <c r="O1670" t="s">
        <v>7008</v>
      </c>
      <c r="P1670">
        <v>282</v>
      </c>
      <c r="Q1670">
        <v>1.71</v>
      </c>
    </row>
    <row r="1671" spans="1:17" x14ac:dyDescent="0.25">
      <c r="A1671">
        <v>2548</v>
      </c>
      <c r="B1671" t="s">
        <v>3956</v>
      </c>
      <c r="C1671" t="s">
        <v>9360</v>
      </c>
      <c r="D1671" t="s">
        <v>2644</v>
      </c>
      <c r="F1671">
        <v>1995</v>
      </c>
      <c r="H1671" t="s">
        <v>1878</v>
      </c>
      <c r="I1671">
        <v>2</v>
      </c>
      <c r="K1671" t="s">
        <v>14332</v>
      </c>
      <c r="L1671" s="222">
        <v>9783257227802</v>
      </c>
      <c r="M1671">
        <v>352</v>
      </c>
      <c r="O1671" t="s">
        <v>7009</v>
      </c>
      <c r="P1671">
        <v>278</v>
      </c>
      <c r="Q1671">
        <v>1.71</v>
      </c>
    </row>
    <row r="1672" spans="1:17" x14ac:dyDescent="0.25">
      <c r="A1672">
        <v>634</v>
      </c>
      <c r="B1672" t="s">
        <v>9362</v>
      </c>
      <c r="C1672" t="s">
        <v>9363</v>
      </c>
      <c r="D1672" t="s">
        <v>5708</v>
      </c>
      <c r="F1672">
        <v>1985</v>
      </c>
      <c r="H1672" t="s">
        <v>2734</v>
      </c>
      <c r="I1672">
        <v>2</v>
      </c>
      <c r="K1672" t="s">
        <v>14332</v>
      </c>
      <c r="L1672" s="222">
        <v>9783870702526</v>
      </c>
      <c r="M1672">
        <v>354</v>
      </c>
      <c r="O1672" t="s">
        <v>7010</v>
      </c>
      <c r="P1672">
        <v>399</v>
      </c>
      <c r="Q1672">
        <v>1.71</v>
      </c>
    </row>
    <row r="1673" spans="1:17" x14ac:dyDescent="0.25">
      <c r="A1673">
        <v>1324</v>
      </c>
      <c r="B1673" t="s">
        <v>7994</v>
      </c>
      <c r="C1673" t="s">
        <v>9365</v>
      </c>
      <c r="D1673" t="s">
        <v>4693</v>
      </c>
      <c r="E1673" t="s">
        <v>2375</v>
      </c>
      <c r="F1673">
        <v>2004</v>
      </c>
      <c r="H1673" t="s">
        <v>1878</v>
      </c>
      <c r="I1673" s="305">
        <v>43892</v>
      </c>
      <c r="K1673" t="s">
        <v>14332</v>
      </c>
      <c r="L1673" s="222">
        <v>9783774214620</v>
      </c>
      <c r="M1673">
        <v>112</v>
      </c>
      <c r="O1673" t="s">
        <v>7011</v>
      </c>
      <c r="P1673">
        <v>277</v>
      </c>
      <c r="Q1673">
        <v>1.8</v>
      </c>
    </row>
    <row r="1674" spans="1:17" x14ac:dyDescent="0.25">
      <c r="A1674">
        <v>765</v>
      </c>
      <c r="B1674" t="s">
        <v>9367</v>
      </c>
      <c r="C1674" t="s">
        <v>9368</v>
      </c>
      <c r="D1674" t="s">
        <v>4841</v>
      </c>
      <c r="E1674" t="s">
        <v>1899</v>
      </c>
      <c r="F1674">
        <v>2000</v>
      </c>
      <c r="H1674" t="s">
        <v>1878</v>
      </c>
      <c r="I1674">
        <v>2</v>
      </c>
      <c r="K1674" t="s">
        <v>14332</v>
      </c>
      <c r="L1674" s="222">
        <v>9783451049118</v>
      </c>
      <c r="M1674">
        <v>144</v>
      </c>
      <c r="O1674" t="s">
        <v>7012</v>
      </c>
      <c r="P1674">
        <v>132</v>
      </c>
      <c r="Q1674">
        <v>2.92</v>
      </c>
    </row>
    <row r="1675" spans="1:17" x14ac:dyDescent="0.25">
      <c r="A1675">
        <v>1395</v>
      </c>
      <c r="B1675" t="s">
        <v>8551</v>
      </c>
      <c r="C1675" t="s">
        <v>9370</v>
      </c>
      <c r="D1675" t="s">
        <v>2609</v>
      </c>
      <c r="F1675">
        <v>2015</v>
      </c>
      <c r="H1675" t="s">
        <v>1878</v>
      </c>
      <c r="I1675">
        <v>2</v>
      </c>
      <c r="J1675" t="s">
        <v>9321</v>
      </c>
      <c r="K1675" t="s">
        <v>14332</v>
      </c>
      <c r="L1675" s="222">
        <v>9783596030699</v>
      </c>
      <c r="M1675">
        <v>400</v>
      </c>
      <c r="O1675" t="s">
        <v>7013</v>
      </c>
      <c r="P1675">
        <v>361</v>
      </c>
      <c r="Q1675">
        <v>1.71</v>
      </c>
    </row>
    <row r="1676" spans="1:17" x14ac:dyDescent="0.25">
      <c r="A1676">
        <v>692</v>
      </c>
      <c r="B1676" t="s">
        <v>7563</v>
      </c>
      <c r="C1676" t="s">
        <v>9372</v>
      </c>
      <c r="D1676" t="s">
        <v>1876</v>
      </c>
      <c r="E1676" t="s">
        <v>1877</v>
      </c>
      <c r="F1676">
        <v>2010</v>
      </c>
      <c r="H1676" t="s">
        <v>1878</v>
      </c>
      <c r="I1676">
        <v>2</v>
      </c>
      <c r="K1676" t="s">
        <v>14332</v>
      </c>
      <c r="L1676" s="222">
        <v>9783492258715</v>
      </c>
      <c r="M1676">
        <v>512</v>
      </c>
      <c r="O1676" t="s">
        <v>7014</v>
      </c>
      <c r="P1676">
        <v>432</v>
      </c>
      <c r="Q1676">
        <v>1.71</v>
      </c>
    </row>
    <row r="1677" spans="1:17" x14ac:dyDescent="0.25">
      <c r="A1677">
        <v>735</v>
      </c>
      <c r="B1677" t="s">
        <v>9374</v>
      </c>
      <c r="C1677" t="s">
        <v>9375</v>
      </c>
      <c r="D1677" t="s">
        <v>9376</v>
      </c>
      <c r="F1677">
        <v>1990</v>
      </c>
      <c r="H1677" t="s">
        <v>2734</v>
      </c>
      <c r="I1677">
        <v>2</v>
      </c>
      <c r="J1677" t="s">
        <v>9025</v>
      </c>
      <c r="K1677" t="s">
        <v>14332</v>
      </c>
      <c r="L1677" s="222">
        <v>9783777004211</v>
      </c>
      <c r="M1677">
        <v>402</v>
      </c>
      <c r="O1677" t="s">
        <v>7015</v>
      </c>
      <c r="P1677">
        <v>516</v>
      </c>
      <c r="Q1677">
        <v>2.2999999999999998</v>
      </c>
    </row>
    <row r="1678" spans="1:17" x14ac:dyDescent="0.25">
      <c r="A1678">
        <v>1315</v>
      </c>
      <c r="B1678" t="s">
        <v>9378</v>
      </c>
      <c r="C1678" t="s">
        <v>9379</v>
      </c>
      <c r="D1678" t="s">
        <v>9380</v>
      </c>
      <c r="F1678">
        <v>1995</v>
      </c>
      <c r="H1678" t="s">
        <v>2008</v>
      </c>
      <c r="I1678">
        <v>2</v>
      </c>
      <c r="K1678" t="s">
        <v>14332</v>
      </c>
      <c r="L1678" s="222">
        <v>9783789375484</v>
      </c>
      <c r="M1678">
        <v>128</v>
      </c>
      <c r="O1678" t="s">
        <v>7016</v>
      </c>
      <c r="P1678">
        <v>100</v>
      </c>
      <c r="Q1678">
        <v>1.73</v>
      </c>
    </row>
    <row r="1679" spans="1:17" x14ac:dyDescent="0.25">
      <c r="A1679">
        <v>0</v>
      </c>
      <c r="B1679" t="s">
        <v>9382</v>
      </c>
      <c r="C1679" t="s">
        <v>9383</v>
      </c>
      <c r="D1679" t="s">
        <v>2054</v>
      </c>
      <c r="F1679">
        <v>1993</v>
      </c>
      <c r="H1679" t="s">
        <v>2734</v>
      </c>
      <c r="I1679">
        <v>4</v>
      </c>
      <c r="K1679" t="s">
        <v>14332</v>
      </c>
      <c r="L1679" s="222">
        <v>9783893505319</v>
      </c>
      <c r="M1679">
        <v>322</v>
      </c>
      <c r="O1679" t="s">
        <v>7017</v>
      </c>
      <c r="P1679">
        <v>528</v>
      </c>
      <c r="Q1679">
        <v>1.51</v>
      </c>
    </row>
    <row r="1680" spans="1:17" x14ac:dyDescent="0.25">
      <c r="A1680">
        <v>1809</v>
      </c>
      <c r="B1680" t="s">
        <v>9385</v>
      </c>
      <c r="C1680" t="s">
        <v>9386</v>
      </c>
      <c r="D1680" t="s">
        <v>1979</v>
      </c>
      <c r="F1680">
        <v>2014</v>
      </c>
      <c r="H1680" t="s">
        <v>2734</v>
      </c>
      <c r="I1680" s="305">
        <v>43862</v>
      </c>
      <c r="K1680" t="s">
        <v>14332</v>
      </c>
      <c r="L1680" s="222">
        <v>9783473401048</v>
      </c>
      <c r="M1680">
        <v>354</v>
      </c>
      <c r="O1680" t="s">
        <v>7018</v>
      </c>
      <c r="P1680">
        <v>529</v>
      </c>
      <c r="Q1680">
        <v>1.53</v>
      </c>
    </row>
    <row r="1681" spans="1:17" x14ac:dyDescent="0.25">
      <c r="A1681">
        <v>2681</v>
      </c>
      <c r="B1681" t="s">
        <v>9388</v>
      </c>
      <c r="C1681" t="s">
        <v>9389</v>
      </c>
      <c r="D1681" t="s">
        <v>9390</v>
      </c>
      <c r="F1681">
        <v>2008</v>
      </c>
      <c r="H1681" t="s">
        <v>2734</v>
      </c>
      <c r="I1681">
        <v>1</v>
      </c>
      <c r="K1681" t="s">
        <v>14332</v>
      </c>
      <c r="L1681" s="222">
        <v>9783941087408</v>
      </c>
      <c r="M1681">
        <v>130</v>
      </c>
      <c r="O1681" t="s">
        <v>7019</v>
      </c>
      <c r="P1681">
        <v>580</v>
      </c>
      <c r="Q1681">
        <v>1.6</v>
      </c>
    </row>
    <row r="1682" spans="1:17" x14ac:dyDescent="0.25">
      <c r="A1682">
        <v>634</v>
      </c>
      <c r="B1682" t="s">
        <v>9392</v>
      </c>
      <c r="C1682" t="s">
        <v>9393</v>
      </c>
      <c r="D1682" t="s">
        <v>4669</v>
      </c>
      <c r="F1682">
        <v>1981</v>
      </c>
      <c r="H1682" t="s">
        <v>2734</v>
      </c>
      <c r="I1682">
        <v>2</v>
      </c>
      <c r="K1682" t="s">
        <v>14332</v>
      </c>
      <c r="M1682">
        <v>170</v>
      </c>
      <c r="O1682" t="s">
        <v>7020</v>
      </c>
      <c r="P1682">
        <v>402</v>
      </c>
      <c r="Q1682">
        <v>1.73</v>
      </c>
    </row>
    <row r="1683" spans="1:17" x14ac:dyDescent="0.25">
      <c r="A1683">
        <v>844</v>
      </c>
      <c r="C1683" t="s">
        <v>9394</v>
      </c>
      <c r="D1683" t="s">
        <v>2209</v>
      </c>
      <c r="F1683">
        <v>2002</v>
      </c>
      <c r="H1683" t="s">
        <v>1878</v>
      </c>
      <c r="I1683">
        <v>2</v>
      </c>
      <c r="K1683" t="s">
        <v>14332</v>
      </c>
      <c r="L1683" s="222">
        <v>9783453197121</v>
      </c>
      <c r="M1683">
        <v>832</v>
      </c>
      <c r="O1683" t="s">
        <v>7021</v>
      </c>
      <c r="P1683">
        <v>1003</v>
      </c>
      <c r="Q1683">
        <v>3.6</v>
      </c>
    </row>
    <row r="1684" spans="1:17" x14ac:dyDescent="0.25">
      <c r="A1684">
        <v>1327</v>
      </c>
      <c r="B1684" t="s">
        <v>9396</v>
      </c>
      <c r="C1684" t="s">
        <v>9397</v>
      </c>
      <c r="D1684" t="s">
        <v>2901</v>
      </c>
      <c r="F1684">
        <v>2007</v>
      </c>
      <c r="H1684" t="s">
        <v>2734</v>
      </c>
      <c r="I1684">
        <v>2</v>
      </c>
      <c r="K1684" t="s">
        <v>14332</v>
      </c>
      <c r="L1684" s="222">
        <v>9783763257980</v>
      </c>
      <c r="M1684">
        <v>226</v>
      </c>
      <c r="O1684" t="s">
        <v>7022</v>
      </c>
      <c r="P1684">
        <v>363</v>
      </c>
      <c r="Q1684">
        <v>1.73</v>
      </c>
    </row>
    <row r="1685" spans="1:17" x14ac:dyDescent="0.25">
      <c r="A1685">
        <v>796</v>
      </c>
      <c r="B1685" t="s">
        <v>9399</v>
      </c>
      <c r="C1685" t="s">
        <v>9400</v>
      </c>
      <c r="D1685" t="s">
        <v>9401</v>
      </c>
      <c r="E1685" t="s">
        <v>1913</v>
      </c>
      <c r="F1685">
        <v>2002</v>
      </c>
      <c r="H1685" t="s">
        <v>2734</v>
      </c>
      <c r="I1685">
        <v>2</v>
      </c>
      <c r="K1685" t="s">
        <v>14332</v>
      </c>
      <c r="L1685" s="222">
        <v>9783442545247</v>
      </c>
      <c r="M1685">
        <v>124</v>
      </c>
      <c r="O1685" t="s">
        <v>7023</v>
      </c>
      <c r="P1685">
        <v>269</v>
      </c>
      <c r="Q1685">
        <v>1.71</v>
      </c>
    </row>
    <row r="1686" spans="1:17" x14ac:dyDescent="0.25">
      <c r="A1686">
        <v>1367</v>
      </c>
      <c r="C1686" t="s">
        <v>9406</v>
      </c>
      <c r="D1686" t="s">
        <v>2257</v>
      </c>
      <c r="F1686">
        <v>2001</v>
      </c>
      <c r="H1686" t="s">
        <v>2734</v>
      </c>
      <c r="I1686">
        <v>1</v>
      </c>
      <c r="K1686" t="s">
        <v>14332</v>
      </c>
      <c r="L1686" s="222">
        <v>9783426664339</v>
      </c>
      <c r="M1686">
        <v>386</v>
      </c>
      <c r="O1686" t="s">
        <v>7025</v>
      </c>
      <c r="P1686">
        <v>522</v>
      </c>
      <c r="Q1686">
        <v>1.51</v>
      </c>
    </row>
    <row r="1687" spans="1:17" x14ac:dyDescent="0.25">
      <c r="A1687">
        <v>692</v>
      </c>
      <c r="B1687" t="s">
        <v>8613</v>
      </c>
      <c r="C1687" t="s">
        <v>9411</v>
      </c>
      <c r="D1687" t="s">
        <v>8258</v>
      </c>
      <c r="F1687">
        <v>1977</v>
      </c>
      <c r="H1687" t="s">
        <v>2734</v>
      </c>
      <c r="I1687">
        <v>2</v>
      </c>
      <c r="K1687" t="s">
        <v>14332</v>
      </c>
      <c r="L1687" s="222">
        <v>9783704312235</v>
      </c>
      <c r="M1687">
        <v>192</v>
      </c>
      <c r="O1687" t="s">
        <v>7027</v>
      </c>
      <c r="P1687">
        <v>414</v>
      </c>
      <c r="Q1687">
        <v>1.73</v>
      </c>
    </row>
    <row r="1688" spans="1:17" x14ac:dyDescent="0.25">
      <c r="A1688">
        <v>0</v>
      </c>
      <c r="B1688" t="s">
        <v>9413</v>
      </c>
      <c r="C1688" t="s">
        <v>9414</v>
      </c>
      <c r="D1688" t="s">
        <v>9415</v>
      </c>
      <c r="F1688">
        <v>1985</v>
      </c>
      <c r="H1688" t="s">
        <v>2734</v>
      </c>
      <c r="I1688">
        <v>2</v>
      </c>
      <c r="K1688" t="s">
        <v>14332</v>
      </c>
      <c r="L1688" s="222">
        <v>9783880592254</v>
      </c>
      <c r="M1688">
        <v>864</v>
      </c>
      <c r="O1688" t="s">
        <v>7028</v>
      </c>
      <c r="P1688">
        <v>913</v>
      </c>
      <c r="Q1688">
        <v>2.2999999999999998</v>
      </c>
    </row>
    <row r="1689" spans="1:17" x14ac:dyDescent="0.25">
      <c r="A1689">
        <v>591</v>
      </c>
      <c r="B1689" t="s">
        <v>9417</v>
      </c>
      <c r="C1689" t="s">
        <v>9418</v>
      </c>
      <c r="D1689" t="s">
        <v>9419</v>
      </c>
      <c r="E1689" t="s">
        <v>1913</v>
      </c>
      <c r="F1689">
        <v>1989</v>
      </c>
      <c r="H1689" t="s">
        <v>2734</v>
      </c>
      <c r="I1689">
        <v>2</v>
      </c>
      <c r="K1689" t="s">
        <v>14332</v>
      </c>
      <c r="L1689" s="222">
        <v>9783491777774</v>
      </c>
      <c r="M1689">
        <v>158</v>
      </c>
      <c r="O1689" t="s">
        <v>7029</v>
      </c>
      <c r="P1689">
        <v>282</v>
      </c>
      <c r="Q1689">
        <v>1.73</v>
      </c>
    </row>
    <row r="1690" spans="1:17" x14ac:dyDescent="0.25">
      <c r="A1690">
        <v>704</v>
      </c>
      <c r="B1690" t="s">
        <v>9421</v>
      </c>
      <c r="C1690" t="s">
        <v>9422</v>
      </c>
      <c r="D1690" t="s">
        <v>9423</v>
      </c>
      <c r="F1690">
        <v>1995</v>
      </c>
      <c r="H1690" t="s">
        <v>1878</v>
      </c>
      <c r="I1690">
        <v>2</v>
      </c>
      <c r="K1690" t="s">
        <v>14332</v>
      </c>
      <c r="L1690" s="222">
        <v>9783525018064</v>
      </c>
      <c r="M1690">
        <v>124</v>
      </c>
      <c r="O1690" t="s">
        <v>7030</v>
      </c>
      <c r="P1690">
        <v>122</v>
      </c>
      <c r="Q1690">
        <v>1.71</v>
      </c>
    </row>
    <row r="1691" spans="1:17" x14ac:dyDescent="0.25">
      <c r="A1691">
        <v>2551</v>
      </c>
      <c r="B1691" t="s">
        <v>9425</v>
      </c>
      <c r="C1691" t="s">
        <v>9426</v>
      </c>
      <c r="D1691" t="s">
        <v>5005</v>
      </c>
      <c r="F1691">
        <v>2005</v>
      </c>
      <c r="H1691" t="s">
        <v>1878</v>
      </c>
      <c r="I1691">
        <v>2</v>
      </c>
      <c r="K1691" t="s">
        <v>14332</v>
      </c>
      <c r="M1691">
        <v>368</v>
      </c>
      <c r="O1691" t="s">
        <v>7031</v>
      </c>
      <c r="P1691">
        <v>264</v>
      </c>
      <c r="Q1691">
        <v>1.71</v>
      </c>
    </row>
    <row r="1692" spans="1:17" x14ac:dyDescent="0.25">
      <c r="A1692">
        <v>2522</v>
      </c>
      <c r="B1692" t="s">
        <v>9427</v>
      </c>
      <c r="C1692" t="s">
        <v>9428</v>
      </c>
      <c r="D1692" t="s">
        <v>2609</v>
      </c>
      <c r="F1692">
        <v>2010</v>
      </c>
      <c r="H1692" t="s">
        <v>1878</v>
      </c>
      <c r="I1692">
        <v>2</v>
      </c>
      <c r="J1692" t="s">
        <v>9321</v>
      </c>
      <c r="K1692" t="s">
        <v>14332</v>
      </c>
      <c r="L1692" s="222">
        <v>9783596183418</v>
      </c>
      <c r="M1692">
        <v>352</v>
      </c>
      <c r="O1692" t="s">
        <v>7032</v>
      </c>
      <c r="P1692">
        <v>311</v>
      </c>
      <c r="Q1692">
        <v>1.71</v>
      </c>
    </row>
    <row r="1693" spans="1:17" x14ac:dyDescent="0.25">
      <c r="A1693">
        <v>381</v>
      </c>
      <c r="B1693" t="s">
        <v>9430</v>
      </c>
      <c r="C1693" t="s">
        <v>9431</v>
      </c>
      <c r="D1693" t="s">
        <v>9432</v>
      </c>
      <c r="F1693">
        <v>1984</v>
      </c>
      <c r="H1693" t="s">
        <v>1878</v>
      </c>
      <c r="I1693">
        <v>2</v>
      </c>
      <c r="K1693" t="s">
        <v>14332</v>
      </c>
      <c r="L1693" s="222">
        <v>9783922238355</v>
      </c>
      <c r="M1693">
        <v>116</v>
      </c>
      <c r="O1693" t="s">
        <v>7033</v>
      </c>
      <c r="P1693">
        <v>201</v>
      </c>
      <c r="Q1693">
        <v>1.71</v>
      </c>
    </row>
    <row r="1694" spans="1:17" x14ac:dyDescent="0.25">
      <c r="A1694">
        <v>2551</v>
      </c>
      <c r="B1694" t="s">
        <v>9425</v>
      </c>
      <c r="C1694" t="s">
        <v>9434</v>
      </c>
      <c r="D1694" t="s">
        <v>5005</v>
      </c>
      <c r="F1694">
        <v>2005</v>
      </c>
      <c r="H1694" t="s">
        <v>1878</v>
      </c>
      <c r="I1694">
        <v>2</v>
      </c>
      <c r="K1694" t="s">
        <v>14332</v>
      </c>
      <c r="M1694">
        <v>368</v>
      </c>
      <c r="O1694" t="s">
        <v>7034</v>
      </c>
      <c r="P1694">
        <v>268</v>
      </c>
      <c r="Q1694">
        <v>1.71</v>
      </c>
    </row>
    <row r="1695" spans="1:17" x14ac:dyDescent="0.25">
      <c r="A1695">
        <v>719</v>
      </c>
      <c r="C1695" t="s">
        <v>9435</v>
      </c>
      <c r="D1695" t="s">
        <v>8697</v>
      </c>
      <c r="F1695">
        <v>2004</v>
      </c>
      <c r="H1695" t="s">
        <v>2734</v>
      </c>
      <c r="I1695">
        <v>2</v>
      </c>
      <c r="K1695" t="s">
        <v>14332</v>
      </c>
      <c r="L1695" s="222">
        <v>9783895619526</v>
      </c>
      <c r="O1695" t="s">
        <v>7035</v>
      </c>
      <c r="P1695">
        <v>622</v>
      </c>
      <c r="Q1695">
        <v>1.51</v>
      </c>
    </row>
    <row r="1696" spans="1:17" x14ac:dyDescent="0.25">
      <c r="A1696">
        <v>2522</v>
      </c>
      <c r="B1696" t="s">
        <v>2456</v>
      </c>
      <c r="C1696" t="s">
        <v>9437</v>
      </c>
      <c r="D1696" t="s">
        <v>3077</v>
      </c>
      <c r="F1696">
        <v>2012</v>
      </c>
      <c r="H1696" t="s">
        <v>1878</v>
      </c>
      <c r="I1696">
        <v>2</v>
      </c>
      <c r="K1696" t="s">
        <v>14332</v>
      </c>
      <c r="M1696">
        <v>512</v>
      </c>
      <c r="O1696" t="s">
        <v>7036</v>
      </c>
      <c r="P1696">
        <v>370</v>
      </c>
      <c r="Q1696">
        <v>1.73</v>
      </c>
    </row>
    <row r="1697" spans="1:17" x14ac:dyDescent="0.25">
      <c r="A1697">
        <v>1355</v>
      </c>
      <c r="B1697" t="s">
        <v>9438</v>
      </c>
      <c r="C1697" t="s">
        <v>9439</v>
      </c>
      <c r="D1697" t="s">
        <v>1988</v>
      </c>
      <c r="E1697" t="s">
        <v>1913</v>
      </c>
      <c r="F1697">
        <v>1989</v>
      </c>
      <c r="H1697" t="s">
        <v>1878</v>
      </c>
      <c r="I1697">
        <v>2</v>
      </c>
      <c r="K1697" t="s">
        <v>14332</v>
      </c>
      <c r="L1697" s="222">
        <v>9783922670070</v>
      </c>
      <c r="O1697" t="s">
        <v>7037</v>
      </c>
      <c r="P1697">
        <v>154</v>
      </c>
      <c r="Q1697">
        <v>1.71</v>
      </c>
    </row>
    <row r="1698" spans="1:17" x14ac:dyDescent="0.25">
      <c r="A1698">
        <v>655</v>
      </c>
      <c r="B1698" t="s">
        <v>9441</v>
      </c>
      <c r="C1698" t="s">
        <v>9442</v>
      </c>
      <c r="D1698" t="s">
        <v>1876</v>
      </c>
      <c r="E1698" t="s">
        <v>2375</v>
      </c>
      <c r="F1698">
        <v>1994</v>
      </c>
      <c r="H1698" t="s">
        <v>1878</v>
      </c>
      <c r="I1698">
        <v>3</v>
      </c>
      <c r="K1698" t="s">
        <v>14332</v>
      </c>
      <c r="L1698" s="222">
        <v>9783492103732</v>
      </c>
      <c r="M1698">
        <v>336</v>
      </c>
      <c r="O1698" t="s">
        <v>7038</v>
      </c>
      <c r="P1698">
        <v>285</v>
      </c>
      <c r="Q1698">
        <v>2.5299999999999998</v>
      </c>
    </row>
    <row r="1699" spans="1:17" x14ac:dyDescent="0.25">
      <c r="A1699">
        <v>792</v>
      </c>
      <c r="C1699" t="s">
        <v>9444</v>
      </c>
      <c r="D1699" t="s">
        <v>1998</v>
      </c>
      <c r="E1699" t="s">
        <v>1877</v>
      </c>
      <c r="F1699">
        <v>1997</v>
      </c>
      <c r="H1699" t="s">
        <v>1878</v>
      </c>
      <c r="I1699">
        <v>3</v>
      </c>
      <c r="K1699" t="s">
        <v>14332</v>
      </c>
      <c r="L1699" s="222">
        <v>9783462026597</v>
      </c>
      <c r="M1699">
        <v>144</v>
      </c>
      <c r="O1699" t="s">
        <v>7039</v>
      </c>
      <c r="P1699">
        <v>132</v>
      </c>
      <c r="Q1699">
        <v>1.71</v>
      </c>
    </row>
    <row r="1700" spans="1:17" x14ac:dyDescent="0.25">
      <c r="A1700">
        <v>792</v>
      </c>
      <c r="C1700" t="s">
        <v>9446</v>
      </c>
      <c r="D1700" t="s">
        <v>2209</v>
      </c>
      <c r="F1700">
        <v>1983</v>
      </c>
      <c r="H1700" t="s">
        <v>2008</v>
      </c>
      <c r="I1700">
        <v>2</v>
      </c>
      <c r="K1700" t="s">
        <v>14332</v>
      </c>
      <c r="L1700" s="222">
        <v>9783453421172</v>
      </c>
      <c r="M1700">
        <v>128</v>
      </c>
      <c r="O1700" t="s">
        <v>7040</v>
      </c>
      <c r="P1700">
        <v>114</v>
      </c>
      <c r="Q1700">
        <v>1.74</v>
      </c>
    </row>
    <row r="1701" spans="1:17" x14ac:dyDescent="0.25">
      <c r="A1701">
        <v>1327</v>
      </c>
      <c r="B1701" t="s">
        <v>9448</v>
      </c>
      <c r="C1701" t="s">
        <v>9449</v>
      </c>
      <c r="D1701" t="s">
        <v>2609</v>
      </c>
      <c r="F1701">
        <v>1982</v>
      </c>
      <c r="H1701" t="s">
        <v>2008</v>
      </c>
      <c r="I1701">
        <v>3</v>
      </c>
      <c r="K1701" t="s">
        <v>14332</v>
      </c>
      <c r="L1701" s="222">
        <v>9783596228423</v>
      </c>
      <c r="M1701">
        <v>144</v>
      </c>
      <c r="O1701" t="s">
        <v>7041</v>
      </c>
      <c r="P1701">
        <v>75</v>
      </c>
      <c r="Q1701">
        <v>2.5</v>
      </c>
    </row>
    <row r="1702" spans="1:17" x14ac:dyDescent="0.25">
      <c r="A1702">
        <v>1355</v>
      </c>
      <c r="B1702" t="s">
        <v>9451</v>
      </c>
      <c r="C1702" t="s">
        <v>9452</v>
      </c>
      <c r="D1702" t="s">
        <v>2609</v>
      </c>
      <c r="F1702">
        <v>1986</v>
      </c>
      <c r="H1702" t="s">
        <v>1878</v>
      </c>
      <c r="I1702">
        <v>3</v>
      </c>
      <c r="K1702" t="s">
        <v>14332</v>
      </c>
      <c r="L1702" s="222">
        <v>9783596282197</v>
      </c>
      <c r="O1702" t="s">
        <v>7042</v>
      </c>
      <c r="P1702">
        <v>149</v>
      </c>
      <c r="Q1702">
        <v>1.71</v>
      </c>
    </row>
    <row r="1703" spans="1:17" x14ac:dyDescent="0.25">
      <c r="A1703">
        <v>2673</v>
      </c>
      <c r="C1703" t="s">
        <v>9454</v>
      </c>
      <c r="D1703" t="s">
        <v>5930</v>
      </c>
      <c r="F1703">
        <v>1995</v>
      </c>
      <c r="H1703" t="s">
        <v>2734</v>
      </c>
      <c r="I1703">
        <v>2</v>
      </c>
      <c r="K1703" t="s">
        <v>14332</v>
      </c>
      <c r="L1703" s="222">
        <v>9783811211261</v>
      </c>
      <c r="M1703">
        <v>194</v>
      </c>
      <c r="O1703" t="s">
        <v>7043</v>
      </c>
      <c r="P1703">
        <v>391</v>
      </c>
      <c r="Q1703">
        <v>1.71</v>
      </c>
    </row>
    <row r="1704" spans="1:17" x14ac:dyDescent="0.25">
      <c r="A1704">
        <v>2530</v>
      </c>
      <c r="B1704" t="s">
        <v>9456</v>
      </c>
      <c r="C1704" t="s">
        <v>9457</v>
      </c>
      <c r="D1704" t="s">
        <v>2926</v>
      </c>
      <c r="F1704">
        <v>2002</v>
      </c>
      <c r="H1704" t="s">
        <v>2734</v>
      </c>
      <c r="I1704">
        <v>2</v>
      </c>
      <c r="K1704" t="s">
        <v>14332</v>
      </c>
      <c r="L1704" s="222">
        <v>9783502192879</v>
      </c>
      <c r="M1704">
        <v>322</v>
      </c>
      <c r="O1704" t="s">
        <v>7044</v>
      </c>
      <c r="P1704">
        <v>535</v>
      </c>
      <c r="Q1704">
        <v>2.27</v>
      </c>
    </row>
    <row r="1705" spans="1:17" x14ac:dyDescent="0.25">
      <c r="A1705">
        <v>1386</v>
      </c>
      <c r="B1705" t="s">
        <v>9459</v>
      </c>
      <c r="C1705" t="s">
        <v>9460</v>
      </c>
      <c r="D1705" t="s">
        <v>2835</v>
      </c>
      <c r="E1705" t="s">
        <v>1913</v>
      </c>
      <c r="F1705">
        <v>2006</v>
      </c>
      <c r="H1705" t="s">
        <v>2734</v>
      </c>
      <c r="I1705">
        <v>2</v>
      </c>
      <c r="K1705" t="s">
        <v>14332</v>
      </c>
      <c r="L1705" s="222">
        <v>9783518417393</v>
      </c>
      <c r="M1705">
        <v>322</v>
      </c>
      <c r="O1705" t="s">
        <v>7045</v>
      </c>
      <c r="P1705">
        <v>417</v>
      </c>
      <c r="Q1705">
        <v>1.73</v>
      </c>
    </row>
    <row r="1706" spans="1:17" x14ac:dyDescent="0.25">
      <c r="A1706">
        <v>2522</v>
      </c>
      <c r="B1706" t="s">
        <v>9462</v>
      </c>
      <c r="C1706" t="s">
        <v>9463</v>
      </c>
      <c r="D1706" t="s">
        <v>9464</v>
      </c>
      <c r="F1706">
        <v>1991</v>
      </c>
      <c r="H1706" t="s">
        <v>2734</v>
      </c>
      <c r="I1706">
        <v>2</v>
      </c>
      <c r="K1706" t="s">
        <v>14332</v>
      </c>
      <c r="L1706" s="222">
        <v>9783431031409</v>
      </c>
      <c r="M1706">
        <v>234</v>
      </c>
      <c r="O1706" t="s">
        <v>7046</v>
      </c>
      <c r="P1706">
        <v>344</v>
      </c>
      <c r="Q1706">
        <v>3.7</v>
      </c>
    </row>
    <row r="1707" spans="1:17" x14ac:dyDescent="0.25">
      <c r="A1707">
        <v>0</v>
      </c>
      <c r="B1707" t="s">
        <v>3121</v>
      </c>
      <c r="C1707" t="s">
        <v>9466</v>
      </c>
      <c r="D1707" t="s">
        <v>3332</v>
      </c>
      <c r="F1707">
        <v>1990</v>
      </c>
      <c r="H1707" t="s">
        <v>2734</v>
      </c>
      <c r="I1707">
        <v>2</v>
      </c>
      <c r="J1707" t="s">
        <v>2505</v>
      </c>
      <c r="K1707" t="s">
        <v>14332</v>
      </c>
      <c r="L1707" s="222">
        <v>9783625203773</v>
      </c>
      <c r="M1707">
        <v>482</v>
      </c>
      <c r="O1707" t="s">
        <v>7047</v>
      </c>
      <c r="P1707">
        <v>506</v>
      </c>
      <c r="Q1707">
        <v>1.51</v>
      </c>
    </row>
    <row r="1708" spans="1:17" x14ac:dyDescent="0.25">
      <c r="A1708">
        <v>1327</v>
      </c>
      <c r="B1708" t="s">
        <v>9468</v>
      </c>
      <c r="C1708" t="s">
        <v>9469</v>
      </c>
      <c r="D1708" t="s">
        <v>2609</v>
      </c>
      <c r="F1708">
        <v>1978</v>
      </c>
      <c r="H1708" t="s">
        <v>2008</v>
      </c>
      <c r="I1708">
        <v>3</v>
      </c>
      <c r="K1708" t="s">
        <v>14332</v>
      </c>
      <c r="L1708" s="222">
        <v>9783596220243</v>
      </c>
      <c r="M1708">
        <v>142</v>
      </c>
      <c r="O1708" t="s">
        <v>7048</v>
      </c>
      <c r="P1708">
        <v>76</v>
      </c>
      <c r="Q1708">
        <v>1.73</v>
      </c>
    </row>
    <row r="1709" spans="1:17" x14ac:dyDescent="0.25">
      <c r="A1709">
        <v>1327</v>
      </c>
      <c r="B1709" t="s">
        <v>9471</v>
      </c>
      <c r="C1709" t="s">
        <v>9472</v>
      </c>
      <c r="D1709" t="s">
        <v>2309</v>
      </c>
      <c r="E1709" t="s">
        <v>2032</v>
      </c>
      <c r="F1709">
        <v>1991</v>
      </c>
      <c r="H1709" t="s">
        <v>1878</v>
      </c>
      <c r="I1709">
        <v>2</v>
      </c>
      <c r="J1709" t="s">
        <v>9473</v>
      </c>
      <c r="K1709" t="s">
        <v>14332</v>
      </c>
      <c r="L1709" s="222">
        <v>9783548208978</v>
      </c>
      <c r="M1709">
        <v>80</v>
      </c>
      <c r="O1709" t="s">
        <v>7049</v>
      </c>
      <c r="P1709">
        <v>127</v>
      </c>
      <c r="Q1709">
        <v>1.71</v>
      </c>
    </row>
    <row r="1710" spans="1:17" x14ac:dyDescent="0.25">
      <c r="A1710">
        <v>774</v>
      </c>
      <c r="B1710" t="s">
        <v>9475</v>
      </c>
      <c r="C1710" t="s">
        <v>9476</v>
      </c>
      <c r="D1710" t="s">
        <v>2209</v>
      </c>
      <c r="E1710" t="s">
        <v>1877</v>
      </c>
      <c r="F1710">
        <v>1982</v>
      </c>
      <c r="H1710" t="s">
        <v>1878</v>
      </c>
      <c r="I1710">
        <v>3</v>
      </c>
      <c r="K1710" t="s">
        <v>14332</v>
      </c>
      <c r="L1710" s="222">
        <v>9783453011854</v>
      </c>
      <c r="M1710">
        <v>416</v>
      </c>
      <c r="O1710" t="s">
        <v>7050</v>
      </c>
      <c r="P1710">
        <v>277</v>
      </c>
      <c r="Q1710">
        <v>1.71</v>
      </c>
    </row>
    <row r="1711" spans="1:17" x14ac:dyDescent="0.25">
      <c r="A1711">
        <v>1324</v>
      </c>
      <c r="B1711" t="s">
        <v>9478</v>
      </c>
      <c r="C1711" t="s">
        <v>9479</v>
      </c>
      <c r="D1711" t="s">
        <v>2257</v>
      </c>
      <c r="F1711">
        <v>2001</v>
      </c>
      <c r="H1711" t="s">
        <v>1878</v>
      </c>
      <c r="I1711">
        <v>2</v>
      </c>
      <c r="K1711" t="s">
        <v>14332</v>
      </c>
      <c r="L1711" s="222">
        <v>9783426870655</v>
      </c>
      <c r="M1711">
        <v>144</v>
      </c>
      <c r="O1711" t="s">
        <v>7051</v>
      </c>
      <c r="P1711">
        <v>132</v>
      </c>
      <c r="Q1711">
        <v>1.71</v>
      </c>
    </row>
    <row r="1712" spans="1:17" x14ac:dyDescent="0.25">
      <c r="A1712">
        <v>692</v>
      </c>
      <c r="B1712" t="s">
        <v>9481</v>
      </c>
      <c r="C1712" t="s">
        <v>9482</v>
      </c>
      <c r="D1712" t="s">
        <v>1912</v>
      </c>
      <c r="E1712" t="s">
        <v>1899</v>
      </c>
      <c r="F1712">
        <v>1993</v>
      </c>
      <c r="H1712" t="s">
        <v>1878</v>
      </c>
      <c r="I1712">
        <v>3</v>
      </c>
      <c r="K1712" t="s">
        <v>14332</v>
      </c>
      <c r="L1712" s="222">
        <v>9783442413096</v>
      </c>
      <c r="M1712">
        <v>146</v>
      </c>
      <c r="O1712" t="s">
        <v>7052</v>
      </c>
      <c r="P1712">
        <v>128</v>
      </c>
      <c r="Q1712">
        <v>1.71</v>
      </c>
    </row>
    <row r="1713" spans="1:17" x14ac:dyDescent="0.25">
      <c r="A1713">
        <v>692</v>
      </c>
      <c r="B1713" t="s">
        <v>9484</v>
      </c>
      <c r="C1713" t="s">
        <v>9485</v>
      </c>
      <c r="D1713" t="s">
        <v>2609</v>
      </c>
      <c r="F1713">
        <v>1990</v>
      </c>
      <c r="H1713" t="s">
        <v>1878</v>
      </c>
      <c r="I1713">
        <v>2</v>
      </c>
      <c r="K1713" t="s">
        <v>14332</v>
      </c>
      <c r="L1713" s="222">
        <v>9783596247189</v>
      </c>
      <c r="M1713">
        <v>128</v>
      </c>
      <c r="O1713" t="s">
        <v>7053</v>
      </c>
      <c r="P1713">
        <v>93</v>
      </c>
      <c r="Q1713">
        <v>1.71</v>
      </c>
    </row>
    <row r="1714" spans="1:17" x14ac:dyDescent="0.25">
      <c r="A1714">
        <v>284</v>
      </c>
      <c r="C1714" t="s">
        <v>9487</v>
      </c>
      <c r="H1714" t="s">
        <v>1878</v>
      </c>
      <c r="I1714">
        <v>2</v>
      </c>
      <c r="K1714" t="s">
        <v>14332</v>
      </c>
      <c r="L1714" s="222">
        <v>9783817467624</v>
      </c>
      <c r="M1714">
        <v>484</v>
      </c>
      <c r="O1714" t="s">
        <v>7054</v>
      </c>
      <c r="P1714">
        <v>250</v>
      </c>
      <c r="Q1714">
        <v>2.2000000000000002</v>
      </c>
    </row>
    <row r="1715" spans="1:17" x14ac:dyDescent="0.25">
      <c r="A1715">
        <v>796</v>
      </c>
      <c r="B1715" t="s">
        <v>7334</v>
      </c>
      <c r="C1715" t="s">
        <v>9489</v>
      </c>
      <c r="D1715" t="s">
        <v>9490</v>
      </c>
      <c r="F1715">
        <v>1992</v>
      </c>
      <c r="H1715" t="s">
        <v>2734</v>
      </c>
      <c r="I1715">
        <v>2</v>
      </c>
      <c r="K1715" t="s">
        <v>14332</v>
      </c>
      <c r="M1715">
        <v>319</v>
      </c>
      <c r="O1715" t="s">
        <v>7055</v>
      </c>
      <c r="P1715">
        <v>504</v>
      </c>
      <c r="Q1715">
        <v>1.51</v>
      </c>
    </row>
    <row r="1716" spans="1:17" x14ac:dyDescent="0.25">
      <c r="A1716">
        <v>796</v>
      </c>
      <c r="B1716" t="s">
        <v>9291</v>
      </c>
      <c r="C1716" t="s">
        <v>9491</v>
      </c>
      <c r="D1716" t="s">
        <v>2257</v>
      </c>
      <c r="F1716">
        <v>2008</v>
      </c>
      <c r="H1716" t="s">
        <v>1878</v>
      </c>
      <c r="I1716" s="305">
        <v>43892</v>
      </c>
      <c r="J1716" t="s">
        <v>9492</v>
      </c>
      <c r="K1716" t="s">
        <v>14332</v>
      </c>
      <c r="L1716" s="222">
        <v>9783426639146</v>
      </c>
      <c r="M1716">
        <v>331</v>
      </c>
      <c r="O1716" t="s">
        <v>7056</v>
      </c>
      <c r="P1716">
        <v>296</v>
      </c>
      <c r="Q1716">
        <v>1.73</v>
      </c>
    </row>
    <row r="1717" spans="1:17" x14ac:dyDescent="0.25">
      <c r="A1717">
        <v>689</v>
      </c>
      <c r="B1717" t="s">
        <v>2242</v>
      </c>
      <c r="C1717" t="s">
        <v>9494</v>
      </c>
      <c r="D1717" t="s">
        <v>2054</v>
      </c>
      <c r="F1717">
        <v>2008</v>
      </c>
      <c r="H1717" t="s">
        <v>2734</v>
      </c>
      <c r="I1717">
        <v>2</v>
      </c>
      <c r="J1717" t="s">
        <v>9495</v>
      </c>
      <c r="K1717" t="s">
        <v>14332</v>
      </c>
      <c r="L1717" s="222">
        <v>9783828974319</v>
      </c>
      <c r="M1717">
        <v>493</v>
      </c>
      <c r="O1717" t="s">
        <v>7057</v>
      </c>
      <c r="P1717">
        <v>560</v>
      </c>
      <c r="Q1717">
        <v>1.51</v>
      </c>
    </row>
    <row r="1718" spans="1:17" x14ac:dyDescent="0.25">
      <c r="A1718">
        <v>609</v>
      </c>
      <c r="B1718" t="s">
        <v>9497</v>
      </c>
      <c r="C1718" t="s">
        <v>9498</v>
      </c>
      <c r="D1718" t="s">
        <v>3212</v>
      </c>
      <c r="F1718">
        <v>1998</v>
      </c>
      <c r="H1718" t="s">
        <v>2734</v>
      </c>
      <c r="I1718">
        <v>2</v>
      </c>
      <c r="K1718" t="s">
        <v>14332</v>
      </c>
      <c r="L1718" s="222">
        <v>9783629008275</v>
      </c>
      <c r="M1718">
        <v>303</v>
      </c>
      <c r="O1718" t="s">
        <v>7058</v>
      </c>
      <c r="P1718">
        <v>676</v>
      </c>
      <c r="Q1718">
        <v>1.53</v>
      </c>
    </row>
    <row r="1719" spans="1:17" x14ac:dyDescent="0.25">
      <c r="A1719">
        <v>689</v>
      </c>
      <c r="B1719" t="s">
        <v>9500</v>
      </c>
      <c r="C1719" t="s">
        <v>9501</v>
      </c>
      <c r="D1719" t="s">
        <v>3116</v>
      </c>
      <c r="E1719" t="s">
        <v>1877</v>
      </c>
      <c r="F1719">
        <v>2008</v>
      </c>
      <c r="H1719" t="s">
        <v>2734</v>
      </c>
      <c r="I1719" s="305">
        <v>43892</v>
      </c>
      <c r="K1719" t="s">
        <v>14332</v>
      </c>
      <c r="L1719" s="222">
        <v>9783401062747</v>
      </c>
      <c r="M1719">
        <v>503</v>
      </c>
      <c r="O1719" t="s">
        <v>7059</v>
      </c>
      <c r="P1719">
        <v>826</v>
      </c>
      <c r="Q1719">
        <v>1.53</v>
      </c>
    </row>
    <row r="1720" spans="1:17" x14ac:dyDescent="0.25">
      <c r="A1720">
        <v>2547</v>
      </c>
      <c r="B1720" t="s">
        <v>9503</v>
      </c>
      <c r="C1720" t="s">
        <v>9504</v>
      </c>
      <c r="D1720" t="s">
        <v>1920</v>
      </c>
      <c r="F1720">
        <v>2002</v>
      </c>
      <c r="H1720" t="s">
        <v>1878</v>
      </c>
      <c r="I1720">
        <v>3</v>
      </c>
      <c r="J1720" t="s">
        <v>9196</v>
      </c>
      <c r="K1720" t="s">
        <v>14332</v>
      </c>
      <c r="L1720" s="222">
        <v>9783404167180</v>
      </c>
      <c r="M1720">
        <v>348</v>
      </c>
      <c r="O1720" t="s">
        <v>7060</v>
      </c>
      <c r="P1720">
        <v>382</v>
      </c>
      <c r="Q1720">
        <v>1.73</v>
      </c>
    </row>
    <row r="1721" spans="1:17" x14ac:dyDescent="0.25">
      <c r="A1721">
        <v>1386</v>
      </c>
      <c r="B1721" t="s">
        <v>9506</v>
      </c>
      <c r="C1721" t="s">
        <v>9507</v>
      </c>
      <c r="D1721" t="s">
        <v>1920</v>
      </c>
      <c r="F1721">
        <v>2018</v>
      </c>
      <c r="H1721" t="s">
        <v>1878</v>
      </c>
      <c r="I1721" s="305">
        <v>43924</v>
      </c>
      <c r="J1721" t="s">
        <v>9196</v>
      </c>
      <c r="K1721" t="s">
        <v>14332</v>
      </c>
      <c r="L1721" s="222">
        <v>9783404177158</v>
      </c>
      <c r="M1721">
        <v>589</v>
      </c>
      <c r="O1721" t="s">
        <v>7061</v>
      </c>
      <c r="P1721">
        <v>392</v>
      </c>
      <c r="Q1721">
        <v>2.2000000000000002</v>
      </c>
    </row>
    <row r="1722" spans="1:17" x14ac:dyDescent="0.25">
      <c r="A1722">
        <v>1386</v>
      </c>
      <c r="B1722" t="s">
        <v>9509</v>
      </c>
      <c r="C1722" t="s">
        <v>9510</v>
      </c>
      <c r="D1722" t="s">
        <v>9511</v>
      </c>
      <c r="F1722">
        <v>2003</v>
      </c>
      <c r="H1722" t="s">
        <v>2734</v>
      </c>
      <c r="I1722">
        <v>2</v>
      </c>
      <c r="K1722" t="s">
        <v>14332</v>
      </c>
      <c r="L1722" s="222">
        <v>9783800050277</v>
      </c>
      <c r="M1722">
        <v>359</v>
      </c>
      <c r="O1722" t="s">
        <v>7062</v>
      </c>
      <c r="P1722">
        <v>783</v>
      </c>
      <c r="Q1722">
        <v>1.51</v>
      </c>
    </row>
    <row r="1723" spans="1:17" x14ac:dyDescent="0.25">
      <c r="A1723">
        <v>2553</v>
      </c>
      <c r="B1723" t="s">
        <v>9513</v>
      </c>
      <c r="C1723" t="s">
        <v>9514</v>
      </c>
      <c r="D1723" t="s">
        <v>9515</v>
      </c>
      <c r="F1723">
        <v>2016</v>
      </c>
      <c r="H1723" t="s">
        <v>1878</v>
      </c>
      <c r="I1723">
        <v>2</v>
      </c>
      <c r="J1723" t="s">
        <v>9495</v>
      </c>
      <c r="K1723" t="s">
        <v>14332</v>
      </c>
      <c r="L1723" s="222">
        <v>9783423217095</v>
      </c>
      <c r="M1723">
        <v>380</v>
      </c>
      <c r="O1723" t="s">
        <v>7063</v>
      </c>
      <c r="P1723">
        <v>325</v>
      </c>
      <c r="Q1723">
        <v>1.9</v>
      </c>
    </row>
    <row r="1724" spans="1:17" x14ac:dyDescent="0.25">
      <c r="A1724">
        <v>2522</v>
      </c>
      <c r="B1724" t="s">
        <v>9517</v>
      </c>
      <c r="C1724" t="s">
        <v>9518</v>
      </c>
      <c r="D1724" t="s">
        <v>1979</v>
      </c>
      <c r="F1724">
        <v>2011</v>
      </c>
      <c r="H1724" t="s">
        <v>1878</v>
      </c>
      <c r="I1724">
        <v>2</v>
      </c>
      <c r="K1724" t="s">
        <v>14332</v>
      </c>
      <c r="L1724" s="222">
        <v>9783473583713</v>
      </c>
      <c r="M1724">
        <v>469</v>
      </c>
      <c r="O1724" t="s">
        <v>7064</v>
      </c>
      <c r="P1724">
        <v>530</v>
      </c>
      <c r="Q1724">
        <v>1.51</v>
      </c>
    </row>
    <row r="1725" spans="1:17" x14ac:dyDescent="0.25">
      <c r="A1725">
        <v>548</v>
      </c>
      <c r="B1725" t="s">
        <v>9520</v>
      </c>
      <c r="C1725" t="s">
        <v>9521</v>
      </c>
      <c r="D1725" t="s">
        <v>9032</v>
      </c>
      <c r="E1725" t="s">
        <v>1913</v>
      </c>
      <c r="F1725">
        <v>1999</v>
      </c>
      <c r="H1725" t="s">
        <v>1878</v>
      </c>
      <c r="I1725">
        <v>2</v>
      </c>
      <c r="K1725" t="s">
        <v>14332</v>
      </c>
      <c r="L1725" s="222">
        <v>9783499506307</v>
      </c>
      <c r="M1725">
        <v>186</v>
      </c>
      <c r="O1725" t="s">
        <v>7065</v>
      </c>
      <c r="P1725">
        <v>201</v>
      </c>
      <c r="Q1725">
        <v>1.73</v>
      </c>
    </row>
    <row r="1726" spans="1:17" x14ac:dyDescent="0.25">
      <c r="A1726">
        <v>692</v>
      </c>
      <c r="B1726" t="s">
        <v>7654</v>
      </c>
      <c r="C1726" t="s">
        <v>9523</v>
      </c>
      <c r="H1726" t="s">
        <v>1878</v>
      </c>
      <c r="I1726">
        <v>2</v>
      </c>
      <c r="J1726" t="s">
        <v>9196</v>
      </c>
      <c r="K1726" t="s">
        <v>14332</v>
      </c>
      <c r="M1726">
        <v>382</v>
      </c>
      <c r="O1726" t="s">
        <v>7066</v>
      </c>
      <c r="P1726">
        <v>347</v>
      </c>
      <c r="Q1726">
        <v>1.71</v>
      </c>
    </row>
    <row r="1727" spans="1:17" x14ac:dyDescent="0.25">
      <c r="A1727">
        <v>692</v>
      </c>
      <c r="B1727" t="s">
        <v>9530</v>
      </c>
      <c r="C1727" t="s">
        <v>9531</v>
      </c>
      <c r="D1727" t="s">
        <v>2054</v>
      </c>
      <c r="H1727" t="s">
        <v>1878</v>
      </c>
      <c r="I1727">
        <v>2</v>
      </c>
      <c r="K1727" t="s">
        <v>14332</v>
      </c>
      <c r="L1727" s="222">
        <v>9783898975827</v>
      </c>
      <c r="M1727">
        <v>366</v>
      </c>
      <c r="O1727" t="s">
        <v>7069</v>
      </c>
      <c r="P1727">
        <v>265</v>
      </c>
      <c r="Q1727">
        <v>1.71</v>
      </c>
    </row>
    <row r="1728" spans="1:17" x14ac:dyDescent="0.25">
      <c r="A1728">
        <v>1386</v>
      </c>
      <c r="B1728" t="s">
        <v>9533</v>
      </c>
      <c r="C1728" t="s">
        <v>9534</v>
      </c>
      <c r="D1728" t="s">
        <v>4930</v>
      </c>
      <c r="F1728">
        <v>2007</v>
      </c>
      <c r="H1728" t="s">
        <v>2734</v>
      </c>
      <c r="I1728">
        <v>2</v>
      </c>
      <c r="K1728" t="s">
        <v>14332</v>
      </c>
      <c r="M1728">
        <v>466</v>
      </c>
      <c r="O1728" t="s">
        <v>7070</v>
      </c>
      <c r="P1728">
        <v>538</v>
      </c>
      <c r="Q1728">
        <v>1.51</v>
      </c>
    </row>
    <row r="1729" spans="1:17" x14ac:dyDescent="0.25">
      <c r="A1729">
        <v>796</v>
      </c>
      <c r="B1729" t="s">
        <v>9539</v>
      </c>
      <c r="C1729" t="s">
        <v>9540</v>
      </c>
      <c r="D1729" t="s">
        <v>2424</v>
      </c>
      <c r="F1729">
        <v>2008</v>
      </c>
      <c r="H1729" t="s">
        <v>1878</v>
      </c>
      <c r="I1729">
        <v>2</v>
      </c>
      <c r="K1729" t="s">
        <v>14332</v>
      </c>
      <c r="L1729" s="222">
        <v>9783453352629</v>
      </c>
      <c r="M1729">
        <v>384</v>
      </c>
      <c r="O1729" t="s">
        <v>7072</v>
      </c>
      <c r="P1729">
        <v>321</v>
      </c>
      <c r="Q1729">
        <v>1.71</v>
      </c>
    </row>
    <row r="1730" spans="1:17" x14ac:dyDescent="0.25">
      <c r="A1730">
        <v>2518</v>
      </c>
      <c r="B1730" t="s">
        <v>4519</v>
      </c>
      <c r="C1730" t="s">
        <v>9545</v>
      </c>
      <c r="D1730" t="s">
        <v>9546</v>
      </c>
      <c r="F1730">
        <v>2011</v>
      </c>
      <c r="H1730" t="s">
        <v>1878</v>
      </c>
      <c r="I1730">
        <v>2</v>
      </c>
      <c r="K1730" t="s">
        <v>14332</v>
      </c>
      <c r="L1730" s="222">
        <v>9783894250485</v>
      </c>
      <c r="M1730">
        <v>256</v>
      </c>
      <c r="O1730" t="s">
        <v>7074</v>
      </c>
      <c r="P1730">
        <v>207</v>
      </c>
      <c r="Q1730">
        <v>1.73</v>
      </c>
    </row>
    <row r="1731" spans="1:17" x14ac:dyDescent="0.25">
      <c r="A1731">
        <v>692</v>
      </c>
      <c r="B1731" t="s">
        <v>9548</v>
      </c>
      <c r="C1731" t="s">
        <v>9549</v>
      </c>
      <c r="D1731" t="s">
        <v>1920</v>
      </c>
      <c r="F1731">
        <v>1993</v>
      </c>
      <c r="H1731" t="s">
        <v>1878</v>
      </c>
      <c r="I1731">
        <v>3</v>
      </c>
      <c r="K1731" t="s">
        <v>14332</v>
      </c>
      <c r="L1731" s="222">
        <v>9783404161089</v>
      </c>
      <c r="M1731">
        <v>384</v>
      </c>
      <c r="O1731" t="s">
        <v>7075</v>
      </c>
      <c r="P1731">
        <v>217</v>
      </c>
      <c r="Q1731">
        <v>1.71</v>
      </c>
    </row>
    <row r="1732" spans="1:17" x14ac:dyDescent="0.25">
      <c r="A1732">
        <v>1395</v>
      </c>
      <c r="B1732" t="s">
        <v>9551</v>
      </c>
      <c r="C1732" t="s">
        <v>9552</v>
      </c>
      <c r="D1732" t="s">
        <v>2257</v>
      </c>
      <c r="F1732">
        <v>2004</v>
      </c>
      <c r="H1732" t="s">
        <v>1878</v>
      </c>
      <c r="I1732">
        <v>2</v>
      </c>
      <c r="K1732" t="s">
        <v>14332</v>
      </c>
      <c r="L1732" s="222">
        <v>9783426625965</v>
      </c>
      <c r="M1732">
        <v>240</v>
      </c>
      <c r="O1732" t="s">
        <v>7076</v>
      </c>
      <c r="P1732">
        <v>166</v>
      </c>
      <c r="Q1732">
        <v>1.71</v>
      </c>
    </row>
    <row r="1733" spans="1:17" x14ac:dyDescent="0.25">
      <c r="A1733">
        <v>2548</v>
      </c>
      <c r="B1733" t="s">
        <v>7984</v>
      </c>
      <c r="C1733" t="s">
        <v>9554</v>
      </c>
      <c r="D1733" t="s">
        <v>2300</v>
      </c>
      <c r="F1733">
        <v>2005</v>
      </c>
      <c r="H1733" t="s">
        <v>1878</v>
      </c>
      <c r="I1733">
        <v>2</v>
      </c>
      <c r="K1733" t="s">
        <v>14332</v>
      </c>
      <c r="L1733" s="222">
        <v>9783499239298</v>
      </c>
      <c r="M1733">
        <v>382</v>
      </c>
      <c r="O1733" t="s">
        <v>7077</v>
      </c>
      <c r="P1733">
        <v>345</v>
      </c>
      <c r="Q1733">
        <v>1.71</v>
      </c>
    </row>
    <row r="1734" spans="1:17" x14ac:dyDescent="0.25">
      <c r="A1734">
        <v>796</v>
      </c>
      <c r="B1734" t="s">
        <v>9556</v>
      </c>
      <c r="C1734" t="s">
        <v>9557</v>
      </c>
      <c r="D1734" t="s">
        <v>1876</v>
      </c>
      <c r="E1734" t="s">
        <v>2032</v>
      </c>
      <c r="F1734">
        <v>2017</v>
      </c>
      <c r="H1734" t="s">
        <v>1878</v>
      </c>
      <c r="I1734">
        <v>2</v>
      </c>
      <c r="K1734" t="s">
        <v>14332</v>
      </c>
      <c r="L1734" s="222">
        <v>9783492305877</v>
      </c>
      <c r="M1734">
        <v>320</v>
      </c>
      <c r="O1734" t="s">
        <v>7078</v>
      </c>
      <c r="P1734">
        <v>314</v>
      </c>
      <c r="Q1734">
        <v>1.71</v>
      </c>
    </row>
    <row r="1735" spans="1:17" x14ac:dyDescent="0.25">
      <c r="A1735">
        <v>2522</v>
      </c>
      <c r="B1735" t="s">
        <v>9559</v>
      </c>
      <c r="C1735" t="s">
        <v>9560</v>
      </c>
      <c r="D1735" t="s">
        <v>1920</v>
      </c>
      <c r="F1735">
        <v>2008</v>
      </c>
      <c r="H1735" t="s">
        <v>1878</v>
      </c>
      <c r="I1735">
        <v>3</v>
      </c>
      <c r="K1735" t="s">
        <v>14332</v>
      </c>
      <c r="L1735" s="222">
        <v>9783404159130</v>
      </c>
      <c r="M1735">
        <v>448</v>
      </c>
      <c r="O1735" t="s">
        <v>7079</v>
      </c>
      <c r="P1735">
        <v>340</v>
      </c>
      <c r="Q1735">
        <v>1.71</v>
      </c>
    </row>
    <row r="1736" spans="1:17" x14ac:dyDescent="0.25">
      <c r="A1736">
        <v>0</v>
      </c>
      <c r="B1736" t="s">
        <v>9562</v>
      </c>
      <c r="C1736" t="s">
        <v>9563</v>
      </c>
      <c r="D1736" t="s">
        <v>4930</v>
      </c>
      <c r="H1736" t="s">
        <v>2734</v>
      </c>
      <c r="I1736">
        <v>3</v>
      </c>
      <c r="K1736" t="s">
        <v>14332</v>
      </c>
      <c r="M1736">
        <v>438</v>
      </c>
      <c r="O1736" t="s">
        <v>7080</v>
      </c>
      <c r="P1736">
        <v>530</v>
      </c>
      <c r="Q1736">
        <v>1.51</v>
      </c>
    </row>
    <row r="1737" spans="1:17" x14ac:dyDescent="0.25">
      <c r="A1737">
        <v>2518</v>
      </c>
      <c r="B1737" t="s">
        <v>9564</v>
      </c>
      <c r="C1737" t="s">
        <v>9565</v>
      </c>
      <c r="D1737" t="s">
        <v>1876</v>
      </c>
      <c r="F1737">
        <v>2009</v>
      </c>
      <c r="H1737" t="s">
        <v>1878</v>
      </c>
      <c r="I1737">
        <v>2</v>
      </c>
      <c r="J1737" t="s">
        <v>9196</v>
      </c>
      <c r="K1737" t="s">
        <v>14332</v>
      </c>
      <c r="L1737" s="222">
        <v>9783492252478</v>
      </c>
      <c r="M1737">
        <v>288</v>
      </c>
      <c r="O1737" t="s">
        <v>7081</v>
      </c>
      <c r="P1737">
        <v>314</v>
      </c>
      <c r="Q1737">
        <v>1.73</v>
      </c>
    </row>
    <row r="1738" spans="1:17" x14ac:dyDescent="0.25">
      <c r="A1738">
        <v>1913</v>
      </c>
      <c r="B1738" t="s">
        <v>9567</v>
      </c>
      <c r="C1738" t="s">
        <v>9568</v>
      </c>
      <c r="D1738" t="s">
        <v>2209</v>
      </c>
      <c r="F1738">
        <v>2005</v>
      </c>
      <c r="H1738" t="s">
        <v>2734</v>
      </c>
      <c r="I1738">
        <v>2</v>
      </c>
      <c r="K1738" t="s">
        <v>14332</v>
      </c>
      <c r="L1738" s="222">
        <v>9783453012080</v>
      </c>
      <c r="M1738">
        <v>354</v>
      </c>
      <c r="O1738" t="s">
        <v>7082</v>
      </c>
      <c r="P1738">
        <v>586</v>
      </c>
      <c r="Q1738">
        <v>1.51</v>
      </c>
    </row>
    <row r="1739" spans="1:17" x14ac:dyDescent="0.25">
      <c r="A1739">
        <v>2576</v>
      </c>
      <c r="B1739" t="s">
        <v>9570</v>
      </c>
      <c r="C1739" t="s">
        <v>9571</v>
      </c>
      <c r="D1739" t="s">
        <v>1920</v>
      </c>
      <c r="F1739">
        <v>2012</v>
      </c>
      <c r="H1739" t="s">
        <v>1878</v>
      </c>
      <c r="I1739">
        <v>2</v>
      </c>
      <c r="K1739" t="s">
        <v>14332</v>
      </c>
      <c r="L1739" s="222">
        <v>9783404206414</v>
      </c>
      <c r="M1739">
        <v>480</v>
      </c>
      <c r="O1739" t="s">
        <v>7083</v>
      </c>
      <c r="P1739">
        <v>419</v>
      </c>
      <c r="Q1739">
        <v>1.75</v>
      </c>
    </row>
    <row r="1740" spans="1:17" x14ac:dyDescent="0.25">
      <c r="A1740">
        <v>1327</v>
      </c>
      <c r="B1740" t="s">
        <v>9573</v>
      </c>
      <c r="C1740" t="s">
        <v>9574</v>
      </c>
      <c r="D1740" t="s">
        <v>2257</v>
      </c>
      <c r="F1740">
        <v>1998</v>
      </c>
      <c r="H1740" t="s">
        <v>1878</v>
      </c>
      <c r="I1740">
        <v>2</v>
      </c>
      <c r="K1740" t="s">
        <v>14332</v>
      </c>
      <c r="L1740" s="222">
        <v>9783426608579</v>
      </c>
      <c r="M1740">
        <v>528</v>
      </c>
      <c r="O1740" t="s">
        <v>7084</v>
      </c>
      <c r="P1740">
        <v>339</v>
      </c>
      <c r="Q1740">
        <v>1.71</v>
      </c>
    </row>
    <row r="1741" spans="1:17" x14ac:dyDescent="0.25">
      <c r="A1741">
        <v>2515</v>
      </c>
      <c r="B1741" t="s">
        <v>9684</v>
      </c>
      <c r="C1741" t="s">
        <v>9685</v>
      </c>
      <c r="D1741" t="s">
        <v>7982</v>
      </c>
      <c r="E1741" t="s">
        <v>2157</v>
      </c>
      <c r="F1741">
        <v>2004</v>
      </c>
      <c r="H1741" t="s">
        <v>2734</v>
      </c>
      <c r="I1741">
        <v>2</v>
      </c>
      <c r="J1741" t="s">
        <v>9495</v>
      </c>
      <c r="K1741" t="s">
        <v>14332</v>
      </c>
      <c r="L1741" s="222">
        <v>9783893973057</v>
      </c>
      <c r="M1741">
        <v>382</v>
      </c>
      <c r="O1741" t="s">
        <v>9687</v>
      </c>
      <c r="P1741">
        <v>545</v>
      </c>
      <c r="Q1741">
        <v>3.2</v>
      </c>
    </row>
    <row r="1742" spans="1:17" x14ac:dyDescent="0.25">
      <c r="A1742">
        <v>2515</v>
      </c>
      <c r="B1742" t="s">
        <v>9688</v>
      </c>
      <c r="C1742" t="s">
        <v>9689</v>
      </c>
      <c r="D1742" t="s">
        <v>9690</v>
      </c>
      <c r="E1742" t="s">
        <v>2922</v>
      </c>
      <c r="F1742">
        <v>2013</v>
      </c>
      <c r="H1742" t="s">
        <v>1878</v>
      </c>
      <c r="I1742">
        <v>2</v>
      </c>
      <c r="K1742" t="s">
        <v>14332</v>
      </c>
      <c r="L1742" s="222">
        <v>9783894379957</v>
      </c>
      <c r="M1742">
        <v>253</v>
      </c>
      <c r="O1742" t="s">
        <v>9692</v>
      </c>
      <c r="P1742">
        <v>196</v>
      </c>
      <c r="Q1742">
        <v>2.74</v>
      </c>
    </row>
    <row r="1743" spans="1:17" x14ac:dyDescent="0.25">
      <c r="A1743">
        <v>2515</v>
      </c>
      <c r="B1743" t="s">
        <v>9693</v>
      </c>
      <c r="C1743" t="s">
        <v>9694</v>
      </c>
      <c r="D1743" t="s">
        <v>9695</v>
      </c>
      <c r="F1743">
        <v>2008</v>
      </c>
      <c r="H1743" t="s">
        <v>1878</v>
      </c>
      <c r="I1743">
        <v>2</v>
      </c>
      <c r="J1743" t="s">
        <v>9495</v>
      </c>
      <c r="K1743" t="s">
        <v>14332</v>
      </c>
      <c r="L1743" s="222">
        <v>9783501055458</v>
      </c>
      <c r="M1743">
        <v>87</v>
      </c>
      <c r="O1743" t="s">
        <v>9697</v>
      </c>
      <c r="P1743">
        <v>100</v>
      </c>
      <c r="Q1743">
        <v>3.6</v>
      </c>
    </row>
    <row r="1744" spans="1:17" x14ac:dyDescent="0.25">
      <c r="A1744">
        <v>2515</v>
      </c>
      <c r="B1744" t="s">
        <v>9698</v>
      </c>
      <c r="C1744" t="s">
        <v>9699</v>
      </c>
      <c r="D1744" t="s">
        <v>9700</v>
      </c>
      <c r="E1744" t="s">
        <v>1913</v>
      </c>
      <c r="F1744">
        <v>2009</v>
      </c>
      <c r="H1744" t="s">
        <v>2734</v>
      </c>
      <c r="I1744">
        <v>1</v>
      </c>
      <c r="K1744" t="s">
        <v>14332</v>
      </c>
      <c r="L1744" s="222">
        <v>9783938677285</v>
      </c>
      <c r="M1744">
        <v>111</v>
      </c>
      <c r="O1744" t="s">
        <v>9702</v>
      </c>
      <c r="P1744">
        <v>149</v>
      </c>
      <c r="Q1744">
        <v>3</v>
      </c>
    </row>
    <row r="1745" spans="1:17" x14ac:dyDescent="0.25">
      <c r="A1745">
        <v>2515</v>
      </c>
      <c r="B1745" t="s">
        <v>9703</v>
      </c>
      <c r="C1745" t="s">
        <v>9704</v>
      </c>
      <c r="D1745" t="s">
        <v>9705</v>
      </c>
      <c r="H1745" t="s">
        <v>2734</v>
      </c>
      <c r="I1745">
        <v>1</v>
      </c>
      <c r="J1745" t="s">
        <v>9706</v>
      </c>
      <c r="K1745" t="s">
        <v>14332</v>
      </c>
      <c r="L1745" s="222">
        <v>9783936850864</v>
      </c>
      <c r="O1745" t="s">
        <v>9708</v>
      </c>
      <c r="P1745">
        <v>364</v>
      </c>
      <c r="Q1745">
        <v>3.7</v>
      </c>
    </row>
    <row r="1746" spans="1:17" x14ac:dyDescent="0.25">
      <c r="A1746">
        <v>2515</v>
      </c>
      <c r="B1746" t="s">
        <v>9709</v>
      </c>
      <c r="C1746" t="s">
        <v>9710</v>
      </c>
      <c r="D1746" t="s">
        <v>9711</v>
      </c>
      <c r="F1746">
        <v>2003</v>
      </c>
      <c r="H1746" t="s">
        <v>1878</v>
      </c>
      <c r="I1746">
        <v>2</v>
      </c>
      <c r="K1746" t="s">
        <v>14332</v>
      </c>
      <c r="L1746" s="222">
        <v>9783417113044</v>
      </c>
      <c r="M1746">
        <v>184</v>
      </c>
      <c r="O1746" t="s">
        <v>9713</v>
      </c>
      <c r="P1746">
        <v>249</v>
      </c>
      <c r="Q1746">
        <v>2.74</v>
      </c>
    </row>
    <row r="1747" spans="1:17" x14ac:dyDescent="0.25">
      <c r="A1747">
        <v>766</v>
      </c>
      <c r="C1747" t="s">
        <v>9719</v>
      </c>
      <c r="D1747" t="s">
        <v>1979</v>
      </c>
      <c r="F1747">
        <v>2004</v>
      </c>
      <c r="H1747" t="s">
        <v>2734</v>
      </c>
      <c r="I1747">
        <v>2</v>
      </c>
      <c r="K1747" t="s">
        <v>14332</v>
      </c>
      <c r="L1747" s="222">
        <v>4043002188105</v>
      </c>
      <c r="M1747">
        <v>120</v>
      </c>
      <c r="O1747" t="s">
        <v>9721</v>
      </c>
      <c r="P1747">
        <v>501</v>
      </c>
      <c r="Q1747">
        <v>2.2400000000000002</v>
      </c>
    </row>
    <row r="1748" spans="1:17" x14ac:dyDescent="0.25">
      <c r="A1748">
        <v>701</v>
      </c>
      <c r="B1748" t="s">
        <v>2097</v>
      </c>
      <c r="C1748" t="s">
        <v>9722</v>
      </c>
      <c r="D1748" t="s">
        <v>1920</v>
      </c>
      <c r="F1748">
        <v>2015</v>
      </c>
      <c r="H1748" t="s">
        <v>1878</v>
      </c>
      <c r="I1748">
        <v>2</v>
      </c>
      <c r="J1748" t="s">
        <v>9196</v>
      </c>
      <c r="K1748" t="s">
        <v>14332</v>
      </c>
      <c r="L1748" s="222">
        <v>9783404608836</v>
      </c>
      <c r="M1748">
        <v>307</v>
      </c>
      <c r="O1748" t="s">
        <v>9724</v>
      </c>
      <c r="P1748">
        <v>418</v>
      </c>
      <c r="Q1748">
        <v>2.74</v>
      </c>
    </row>
    <row r="1749" spans="1:17" x14ac:dyDescent="0.25">
      <c r="A1749">
        <v>1324</v>
      </c>
      <c r="B1749" t="s">
        <v>9725</v>
      </c>
      <c r="C1749" t="s">
        <v>9726</v>
      </c>
      <c r="D1749" t="s">
        <v>2054</v>
      </c>
      <c r="F1749">
        <v>2006</v>
      </c>
      <c r="H1749" t="s">
        <v>1878</v>
      </c>
      <c r="I1749">
        <v>3</v>
      </c>
      <c r="K1749" t="s">
        <v>14332</v>
      </c>
      <c r="L1749" s="222">
        <v>9783828919785</v>
      </c>
      <c r="M1749">
        <v>302</v>
      </c>
      <c r="O1749" t="s">
        <v>9728</v>
      </c>
      <c r="P1749">
        <v>385</v>
      </c>
      <c r="Q1749">
        <v>2.74</v>
      </c>
    </row>
    <row r="1750" spans="1:17" x14ac:dyDescent="0.25">
      <c r="A1750">
        <v>2515</v>
      </c>
      <c r="B1750" t="s">
        <v>9729</v>
      </c>
      <c r="C1750" t="s">
        <v>9730</v>
      </c>
      <c r="D1750" t="s">
        <v>9731</v>
      </c>
      <c r="E1750" t="s">
        <v>1913</v>
      </c>
      <c r="F1750">
        <v>2013</v>
      </c>
      <c r="H1750" t="s">
        <v>2734</v>
      </c>
      <c r="I1750">
        <v>2</v>
      </c>
      <c r="J1750" t="s">
        <v>9732</v>
      </c>
      <c r="K1750" t="s">
        <v>14332</v>
      </c>
      <c r="L1750" s="222">
        <v>9783891320259</v>
      </c>
      <c r="M1750">
        <v>96</v>
      </c>
      <c r="O1750" t="s">
        <v>9734</v>
      </c>
      <c r="P1750">
        <v>329</v>
      </c>
      <c r="Q1750">
        <v>2.74</v>
      </c>
    </row>
    <row r="1751" spans="1:17" x14ac:dyDescent="0.25">
      <c r="A1751">
        <v>2515</v>
      </c>
      <c r="B1751" t="s">
        <v>9735</v>
      </c>
      <c r="C1751" t="s">
        <v>9736</v>
      </c>
      <c r="D1751" t="s">
        <v>7982</v>
      </c>
      <c r="E1751" t="s">
        <v>1877</v>
      </c>
      <c r="F1751">
        <v>2003</v>
      </c>
      <c r="H1751" t="s">
        <v>2734</v>
      </c>
      <c r="I1751">
        <v>2</v>
      </c>
      <c r="J1751" t="s">
        <v>9495</v>
      </c>
      <c r="K1751" t="s">
        <v>14332</v>
      </c>
      <c r="L1751" s="222">
        <v>9783893973552</v>
      </c>
      <c r="M1751">
        <v>239</v>
      </c>
      <c r="O1751" t="s">
        <v>9738</v>
      </c>
      <c r="P1751">
        <v>402</v>
      </c>
      <c r="Q1751">
        <v>6.4</v>
      </c>
    </row>
    <row r="1752" spans="1:17" x14ac:dyDescent="0.25">
      <c r="A1752">
        <v>692</v>
      </c>
      <c r="B1752" t="s">
        <v>4031</v>
      </c>
      <c r="C1752" t="s">
        <v>9739</v>
      </c>
      <c r="D1752" t="s">
        <v>2609</v>
      </c>
      <c r="F1752">
        <v>1995</v>
      </c>
      <c r="H1752" t="s">
        <v>2734</v>
      </c>
      <c r="I1752">
        <v>2</v>
      </c>
      <c r="K1752" t="s">
        <v>14332</v>
      </c>
      <c r="L1752" s="222">
        <v>9783625209171</v>
      </c>
      <c r="M1752">
        <v>522</v>
      </c>
      <c r="O1752" t="s">
        <v>9741</v>
      </c>
      <c r="P1752">
        <v>541</v>
      </c>
      <c r="Q1752">
        <v>2.2400000000000002</v>
      </c>
    </row>
    <row r="1753" spans="1:17" x14ac:dyDescent="0.25">
      <c r="A1753">
        <v>1386</v>
      </c>
      <c r="B1753" t="s">
        <v>9742</v>
      </c>
      <c r="C1753" t="s">
        <v>9743</v>
      </c>
      <c r="D1753" t="s">
        <v>9094</v>
      </c>
      <c r="F1753">
        <v>2004</v>
      </c>
      <c r="H1753" t="s">
        <v>2734</v>
      </c>
      <c r="I1753">
        <v>2</v>
      </c>
      <c r="J1753" t="s">
        <v>9744</v>
      </c>
      <c r="K1753" t="s">
        <v>14332</v>
      </c>
      <c r="M1753">
        <v>574</v>
      </c>
      <c r="O1753" t="s">
        <v>9745</v>
      </c>
      <c r="P1753">
        <v>683</v>
      </c>
      <c r="Q1753">
        <v>2.2400000000000002</v>
      </c>
    </row>
    <row r="1754" spans="1:17" x14ac:dyDescent="0.25">
      <c r="A1754">
        <v>796</v>
      </c>
      <c r="B1754" t="s">
        <v>6186</v>
      </c>
      <c r="C1754" t="s">
        <v>9746</v>
      </c>
      <c r="D1754" t="s">
        <v>2309</v>
      </c>
      <c r="E1754" t="s">
        <v>1913</v>
      </c>
      <c r="F1754">
        <v>2008</v>
      </c>
      <c r="H1754" t="s">
        <v>1878</v>
      </c>
      <c r="I1754" s="305">
        <v>43892</v>
      </c>
      <c r="K1754" t="s">
        <v>14332</v>
      </c>
      <c r="L1754" s="222">
        <v>9783548266831</v>
      </c>
      <c r="M1754">
        <v>212</v>
      </c>
      <c r="O1754" t="s">
        <v>9748</v>
      </c>
      <c r="P1754">
        <v>213</v>
      </c>
      <c r="Q1754">
        <v>2.74</v>
      </c>
    </row>
    <row r="1755" spans="1:17" x14ac:dyDescent="0.25">
      <c r="A1755">
        <v>692</v>
      </c>
      <c r="B1755" t="s">
        <v>9749</v>
      </c>
      <c r="C1755" t="s">
        <v>9750</v>
      </c>
      <c r="D1755" t="s">
        <v>9751</v>
      </c>
      <c r="E1755" t="s">
        <v>1913</v>
      </c>
      <c r="F1755">
        <v>2002</v>
      </c>
      <c r="H1755" t="s">
        <v>1878</v>
      </c>
      <c r="I1755">
        <v>3</v>
      </c>
      <c r="K1755" t="s">
        <v>14332</v>
      </c>
      <c r="L1755" s="222">
        <v>9783442541775</v>
      </c>
      <c r="M1755">
        <v>382</v>
      </c>
      <c r="O1755" t="s">
        <v>9753</v>
      </c>
      <c r="P1755">
        <v>339</v>
      </c>
      <c r="Q1755">
        <v>2.74</v>
      </c>
    </row>
    <row r="1756" spans="1:17" x14ac:dyDescent="0.25">
      <c r="A1756">
        <v>8</v>
      </c>
      <c r="B1756" t="s">
        <v>3369</v>
      </c>
      <c r="C1756" t="s">
        <v>9754</v>
      </c>
      <c r="D1756" t="s">
        <v>2209</v>
      </c>
      <c r="E1756" t="s">
        <v>2412</v>
      </c>
      <c r="F1756">
        <v>2004</v>
      </c>
      <c r="H1756" t="s">
        <v>1878</v>
      </c>
      <c r="I1756">
        <v>3</v>
      </c>
      <c r="K1756" t="s">
        <v>14332</v>
      </c>
      <c r="L1756" s="222">
        <v>9783453879713</v>
      </c>
      <c r="M1756">
        <v>796</v>
      </c>
      <c r="O1756" t="s">
        <v>9756</v>
      </c>
      <c r="P1756">
        <v>548</v>
      </c>
      <c r="Q1756">
        <v>2.2400000000000002</v>
      </c>
    </row>
    <row r="1757" spans="1:17" x14ac:dyDescent="0.25">
      <c r="A1757">
        <v>649</v>
      </c>
      <c r="B1757" t="s">
        <v>9757</v>
      </c>
      <c r="C1757" t="s">
        <v>9758</v>
      </c>
      <c r="D1757" t="s">
        <v>3057</v>
      </c>
      <c r="E1757" t="s">
        <v>1877</v>
      </c>
      <c r="F1757">
        <v>2001</v>
      </c>
      <c r="H1757" t="s">
        <v>2734</v>
      </c>
      <c r="I1757">
        <v>2</v>
      </c>
      <c r="K1757" t="s">
        <v>14332</v>
      </c>
      <c r="L1757" s="222">
        <v>9783440088210</v>
      </c>
      <c r="M1757">
        <v>155</v>
      </c>
      <c r="O1757" t="s">
        <v>9760</v>
      </c>
      <c r="P1757">
        <v>485</v>
      </c>
      <c r="Q1757">
        <v>2.74</v>
      </c>
    </row>
    <row r="1758" spans="1:17" x14ac:dyDescent="0.25">
      <c r="A1758">
        <v>1386</v>
      </c>
      <c r="B1758" t="s">
        <v>9761</v>
      </c>
      <c r="C1758" t="s">
        <v>9762</v>
      </c>
      <c r="D1758" t="s">
        <v>9763</v>
      </c>
      <c r="F1758">
        <v>2011</v>
      </c>
      <c r="H1758" t="s">
        <v>1878</v>
      </c>
      <c r="I1758" s="305">
        <v>43892</v>
      </c>
      <c r="K1758" t="s">
        <v>14332</v>
      </c>
      <c r="L1758" s="222">
        <v>9783453355033</v>
      </c>
      <c r="M1758">
        <v>399</v>
      </c>
      <c r="O1758" t="s">
        <v>9765</v>
      </c>
      <c r="P1758">
        <v>326</v>
      </c>
      <c r="Q1758">
        <v>2.74</v>
      </c>
    </row>
    <row r="1759" spans="1:17" x14ac:dyDescent="0.25">
      <c r="A1759">
        <v>2851</v>
      </c>
      <c r="B1759" t="s">
        <v>2629</v>
      </c>
      <c r="C1759" t="s">
        <v>9766</v>
      </c>
      <c r="D1759" t="s">
        <v>1876</v>
      </c>
      <c r="E1759" t="s">
        <v>2175</v>
      </c>
      <c r="F1759">
        <v>2003</v>
      </c>
      <c r="H1759" t="s">
        <v>1878</v>
      </c>
      <c r="I1759" s="305">
        <v>43892</v>
      </c>
      <c r="K1759" t="s">
        <v>14332</v>
      </c>
      <c r="L1759" s="222">
        <v>9783492270434</v>
      </c>
      <c r="M1759">
        <v>678</v>
      </c>
      <c r="O1759" t="s">
        <v>9768</v>
      </c>
      <c r="P1759">
        <v>518</v>
      </c>
      <c r="Q1759">
        <v>2.2400000000000002</v>
      </c>
    </row>
    <row r="1760" spans="1:17" x14ac:dyDescent="0.25">
      <c r="A1760">
        <v>692</v>
      </c>
      <c r="B1760" t="s">
        <v>9769</v>
      </c>
      <c r="C1760" t="s">
        <v>9770</v>
      </c>
      <c r="D1760" t="s">
        <v>2257</v>
      </c>
      <c r="E1760" t="s">
        <v>1913</v>
      </c>
      <c r="F1760">
        <v>2001</v>
      </c>
      <c r="H1760" t="s">
        <v>1878</v>
      </c>
      <c r="I1760" s="305">
        <v>43892</v>
      </c>
      <c r="K1760" t="s">
        <v>14332</v>
      </c>
      <c r="L1760" s="222">
        <v>9783426616789</v>
      </c>
      <c r="M1760">
        <v>394</v>
      </c>
      <c r="O1760" t="s">
        <v>9772</v>
      </c>
      <c r="P1760">
        <v>213</v>
      </c>
      <c r="Q1760">
        <v>2.74</v>
      </c>
    </row>
    <row r="1761" spans="1:17" x14ac:dyDescent="0.25">
      <c r="A1761">
        <v>692</v>
      </c>
      <c r="B1761" t="s">
        <v>9773</v>
      </c>
      <c r="C1761" t="s">
        <v>9774</v>
      </c>
      <c r="D1761" t="s">
        <v>2257</v>
      </c>
      <c r="F1761">
        <v>2005</v>
      </c>
      <c r="H1761" t="s">
        <v>1878</v>
      </c>
      <c r="I1761">
        <v>2</v>
      </c>
      <c r="K1761" t="s">
        <v>14332</v>
      </c>
      <c r="L1761" s="222">
        <v>9783426778357</v>
      </c>
      <c r="M1761">
        <v>359</v>
      </c>
      <c r="O1761" t="s">
        <v>9776</v>
      </c>
      <c r="P1761">
        <v>358</v>
      </c>
      <c r="Q1761">
        <v>2.74</v>
      </c>
    </row>
    <row r="1762" spans="1:17" x14ac:dyDescent="0.25">
      <c r="A1762">
        <v>2551</v>
      </c>
      <c r="B1762" t="s">
        <v>6327</v>
      </c>
      <c r="C1762" t="s">
        <v>9779</v>
      </c>
      <c r="D1762" t="s">
        <v>2054</v>
      </c>
      <c r="F1762">
        <v>2007</v>
      </c>
      <c r="H1762" t="s">
        <v>2734</v>
      </c>
      <c r="I1762">
        <v>1</v>
      </c>
      <c r="K1762" t="s">
        <v>14332</v>
      </c>
      <c r="L1762" s="222">
        <v>4026411397801</v>
      </c>
      <c r="M1762">
        <v>352</v>
      </c>
      <c r="O1762" t="s">
        <v>9781</v>
      </c>
      <c r="P1762">
        <v>419</v>
      </c>
      <c r="Q1762">
        <v>2.74</v>
      </c>
    </row>
    <row r="1763" spans="1:17" x14ac:dyDescent="0.25">
      <c r="A1763">
        <v>4</v>
      </c>
      <c r="B1763" t="s">
        <v>9782</v>
      </c>
      <c r="C1763" t="s">
        <v>9783</v>
      </c>
      <c r="D1763" t="s">
        <v>9784</v>
      </c>
      <c r="E1763" t="s">
        <v>1877</v>
      </c>
      <c r="F1763">
        <v>2008</v>
      </c>
      <c r="H1763" t="s">
        <v>1878</v>
      </c>
      <c r="I1763">
        <v>2</v>
      </c>
      <c r="K1763" t="s">
        <v>14332</v>
      </c>
      <c r="L1763" s="222">
        <v>9783518260029</v>
      </c>
      <c r="M1763">
        <v>159</v>
      </c>
      <c r="O1763" t="s">
        <v>9786</v>
      </c>
      <c r="P1763">
        <v>103</v>
      </c>
      <c r="Q1763">
        <v>5.19</v>
      </c>
    </row>
    <row r="1764" spans="1:17" x14ac:dyDescent="0.25">
      <c r="A1764">
        <v>692</v>
      </c>
      <c r="B1764" t="s">
        <v>9787</v>
      </c>
      <c r="C1764" t="s">
        <v>9788</v>
      </c>
      <c r="D1764" t="s">
        <v>1920</v>
      </c>
      <c r="E1764" t="s">
        <v>1899</v>
      </c>
      <c r="F1764">
        <v>2009</v>
      </c>
      <c r="H1764" t="s">
        <v>1878</v>
      </c>
      <c r="I1764">
        <v>2</v>
      </c>
      <c r="K1764" t="s">
        <v>14332</v>
      </c>
      <c r="L1764" s="222">
        <v>9783404159567</v>
      </c>
      <c r="M1764">
        <v>572</v>
      </c>
      <c r="O1764" t="s">
        <v>9790</v>
      </c>
      <c r="P1764">
        <v>351</v>
      </c>
      <c r="Q1764">
        <v>2.74</v>
      </c>
    </row>
    <row r="1765" spans="1:17" x14ac:dyDescent="0.25">
      <c r="A1765">
        <v>735</v>
      </c>
      <c r="B1765" t="s">
        <v>9791</v>
      </c>
      <c r="C1765" t="s">
        <v>9792</v>
      </c>
      <c r="D1765" t="s">
        <v>9793</v>
      </c>
      <c r="F1765">
        <v>2000</v>
      </c>
      <c r="H1765" t="s">
        <v>2734</v>
      </c>
      <c r="I1765">
        <v>3</v>
      </c>
      <c r="K1765" t="s">
        <v>14332</v>
      </c>
      <c r="L1765" s="222">
        <v>4028021803710</v>
      </c>
      <c r="M1765">
        <v>378</v>
      </c>
      <c r="O1765" t="s">
        <v>9795</v>
      </c>
      <c r="P1765">
        <v>463</v>
      </c>
      <c r="Q1765">
        <v>2.74</v>
      </c>
    </row>
    <row r="1766" spans="1:17" x14ac:dyDescent="0.25">
      <c r="A1766">
        <v>692</v>
      </c>
      <c r="B1766" t="s">
        <v>4816</v>
      </c>
      <c r="C1766" t="s">
        <v>9796</v>
      </c>
      <c r="D1766" t="s">
        <v>2257</v>
      </c>
      <c r="F1766">
        <v>2003</v>
      </c>
      <c r="H1766" t="s">
        <v>1878</v>
      </c>
      <c r="I1766" s="305">
        <v>43892</v>
      </c>
      <c r="K1766" t="s">
        <v>14332</v>
      </c>
      <c r="L1766" s="222">
        <v>9783426616888</v>
      </c>
      <c r="M1766">
        <v>669</v>
      </c>
      <c r="O1766" t="s">
        <v>9798</v>
      </c>
      <c r="P1766">
        <v>419</v>
      </c>
      <c r="Q1766">
        <v>2.74</v>
      </c>
    </row>
    <row r="1767" spans="1:17" x14ac:dyDescent="0.25">
      <c r="A1767">
        <v>735</v>
      </c>
      <c r="B1767" t="s">
        <v>9799</v>
      </c>
      <c r="C1767" t="s">
        <v>9800</v>
      </c>
      <c r="D1767" t="s">
        <v>1912</v>
      </c>
      <c r="E1767" t="s">
        <v>1913</v>
      </c>
      <c r="F1767">
        <v>2015</v>
      </c>
      <c r="H1767" t="s">
        <v>1878</v>
      </c>
      <c r="I1767">
        <v>2</v>
      </c>
      <c r="K1767" t="s">
        <v>14332</v>
      </c>
      <c r="L1767" s="222">
        <v>9783442158591</v>
      </c>
      <c r="M1767">
        <v>444</v>
      </c>
      <c r="O1767" t="s">
        <v>9802</v>
      </c>
      <c r="P1767">
        <v>384</v>
      </c>
      <c r="Q1767">
        <v>2.74</v>
      </c>
    </row>
    <row r="1768" spans="1:17" x14ac:dyDescent="0.25">
      <c r="A1768">
        <v>632</v>
      </c>
      <c r="B1768" t="s">
        <v>9803</v>
      </c>
      <c r="C1768" t="s">
        <v>9804</v>
      </c>
      <c r="D1768" t="s">
        <v>1920</v>
      </c>
      <c r="E1768" t="s">
        <v>1913</v>
      </c>
      <c r="F1768">
        <v>2008</v>
      </c>
      <c r="H1768" t="s">
        <v>1878</v>
      </c>
      <c r="I1768">
        <v>2</v>
      </c>
      <c r="J1768" t="s">
        <v>9805</v>
      </c>
      <c r="K1768" t="s">
        <v>14332</v>
      </c>
      <c r="L1768" s="222">
        <v>9783404158478</v>
      </c>
      <c r="M1768">
        <v>543</v>
      </c>
      <c r="O1768" t="s">
        <v>9807</v>
      </c>
      <c r="P1768">
        <v>450</v>
      </c>
      <c r="Q1768">
        <v>2.74</v>
      </c>
    </row>
    <row r="1769" spans="1:17" x14ac:dyDescent="0.25">
      <c r="A1769">
        <v>442</v>
      </c>
      <c r="B1769" t="s">
        <v>9808</v>
      </c>
      <c r="C1769" t="s">
        <v>9809</v>
      </c>
      <c r="D1769" t="s">
        <v>9810</v>
      </c>
      <c r="E1769" t="s">
        <v>1913</v>
      </c>
      <c r="F1769">
        <v>1997</v>
      </c>
      <c r="H1769" t="s">
        <v>1878</v>
      </c>
      <c r="I1769" s="305">
        <v>43862</v>
      </c>
      <c r="K1769" t="s">
        <v>14332</v>
      </c>
      <c r="L1769" s="222">
        <v>9783931104818</v>
      </c>
      <c r="M1769">
        <v>221</v>
      </c>
      <c r="O1769" t="s">
        <v>9812</v>
      </c>
      <c r="P1769">
        <v>340</v>
      </c>
      <c r="Q1769">
        <v>2.74</v>
      </c>
    </row>
    <row r="1770" spans="1:17" x14ac:dyDescent="0.25">
      <c r="A1770">
        <v>1386</v>
      </c>
      <c r="B1770" t="s">
        <v>9813</v>
      </c>
      <c r="C1770" t="s">
        <v>9814</v>
      </c>
      <c r="D1770" t="s">
        <v>9815</v>
      </c>
      <c r="F1770">
        <v>1999</v>
      </c>
      <c r="H1770" t="s">
        <v>1878</v>
      </c>
      <c r="I1770">
        <v>3</v>
      </c>
      <c r="K1770" t="s">
        <v>14332</v>
      </c>
      <c r="M1770">
        <v>188</v>
      </c>
      <c r="O1770" t="s">
        <v>9816</v>
      </c>
      <c r="P1770">
        <v>280</v>
      </c>
      <c r="Q1770">
        <v>2.74</v>
      </c>
    </row>
    <row r="1771" spans="1:17" x14ac:dyDescent="0.25">
      <c r="A1771">
        <v>649</v>
      </c>
      <c r="B1771" t="s">
        <v>9817</v>
      </c>
      <c r="C1771" t="s">
        <v>9818</v>
      </c>
      <c r="D1771" t="s">
        <v>3606</v>
      </c>
      <c r="H1771" t="s">
        <v>1878</v>
      </c>
      <c r="I1771">
        <v>2</v>
      </c>
      <c r="K1771" t="s">
        <v>14332</v>
      </c>
      <c r="L1771" s="222">
        <v>9783405157555</v>
      </c>
      <c r="M1771">
        <v>95</v>
      </c>
      <c r="O1771" t="s">
        <v>9820</v>
      </c>
      <c r="P1771">
        <v>244</v>
      </c>
      <c r="Q1771">
        <v>2.74</v>
      </c>
    </row>
    <row r="1772" spans="1:17" x14ac:dyDescent="0.25">
      <c r="A1772">
        <v>1386</v>
      </c>
      <c r="B1772" t="s">
        <v>9821</v>
      </c>
      <c r="C1772" t="s">
        <v>9822</v>
      </c>
      <c r="D1772" t="s">
        <v>2176</v>
      </c>
      <c r="F1772">
        <v>2009</v>
      </c>
      <c r="H1772" t="s">
        <v>2734</v>
      </c>
      <c r="I1772" s="305">
        <v>43892</v>
      </c>
      <c r="K1772" t="s">
        <v>14332</v>
      </c>
      <c r="L1772" s="222">
        <v>9783100278197</v>
      </c>
      <c r="M1772">
        <v>253</v>
      </c>
      <c r="O1772" t="s">
        <v>9824</v>
      </c>
      <c r="P1772">
        <v>416</v>
      </c>
      <c r="Q1772">
        <v>2.74</v>
      </c>
    </row>
    <row r="1773" spans="1:17" x14ac:dyDescent="0.25">
      <c r="A1773">
        <v>701</v>
      </c>
      <c r="B1773" t="s">
        <v>4638</v>
      </c>
      <c r="C1773" t="s">
        <v>9825</v>
      </c>
      <c r="D1773" t="s">
        <v>2926</v>
      </c>
      <c r="E1773" t="s">
        <v>2922</v>
      </c>
      <c r="F1773">
        <v>2010</v>
      </c>
      <c r="H1773" t="s">
        <v>1878</v>
      </c>
      <c r="I1773">
        <v>2</v>
      </c>
      <c r="K1773" t="s">
        <v>14332</v>
      </c>
      <c r="L1773" s="222">
        <v>9783502110378</v>
      </c>
      <c r="M1773">
        <v>303</v>
      </c>
      <c r="O1773" t="s">
        <v>9826</v>
      </c>
      <c r="P1773">
        <v>450</v>
      </c>
      <c r="Q1773">
        <v>2.74</v>
      </c>
    </row>
    <row r="1774" spans="1:17" x14ac:dyDescent="0.25">
      <c r="A1774">
        <v>632</v>
      </c>
      <c r="B1774" t="s">
        <v>3154</v>
      </c>
      <c r="C1774" t="s">
        <v>9827</v>
      </c>
      <c r="D1774" t="s">
        <v>2209</v>
      </c>
      <c r="F1774">
        <v>2001</v>
      </c>
      <c r="H1774" t="s">
        <v>1878</v>
      </c>
      <c r="I1774">
        <v>3</v>
      </c>
      <c r="J1774" t="s">
        <v>9196</v>
      </c>
      <c r="K1774" t="s">
        <v>14332</v>
      </c>
      <c r="L1774" s="222">
        <v>9783453184831</v>
      </c>
      <c r="M1774">
        <v>378</v>
      </c>
      <c r="O1774" t="s">
        <v>9829</v>
      </c>
      <c r="P1774">
        <v>278</v>
      </c>
      <c r="Q1774">
        <v>2.74</v>
      </c>
    </row>
    <row r="1775" spans="1:17" x14ac:dyDescent="0.25">
      <c r="A1775">
        <v>844</v>
      </c>
      <c r="B1775" t="s">
        <v>9830</v>
      </c>
      <c r="C1775" t="s">
        <v>9831</v>
      </c>
      <c r="D1775" t="s">
        <v>1979</v>
      </c>
      <c r="H1775" t="s">
        <v>2734</v>
      </c>
      <c r="K1775" t="s">
        <v>14332</v>
      </c>
      <c r="L1775" s="222">
        <v>4005556006205</v>
      </c>
      <c r="O1775" t="s">
        <v>9833</v>
      </c>
      <c r="P1775">
        <v>255</v>
      </c>
      <c r="Q1775">
        <v>12</v>
      </c>
    </row>
    <row r="1776" spans="1:17" x14ac:dyDescent="0.25">
      <c r="A1776">
        <v>2547</v>
      </c>
      <c r="B1776" t="s">
        <v>9834</v>
      </c>
      <c r="C1776" t="s">
        <v>9835</v>
      </c>
      <c r="D1776" t="s">
        <v>2054</v>
      </c>
      <c r="F1776">
        <v>2000</v>
      </c>
      <c r="H1776" t="s">
        <v>1878</v>
      </c>
      <c r="I1776" s="305">
        <v>43892</v>
      </c>
      <c r="K1776" t="s">
        <v>14332</v>
      </c>
      <c r="L1776" s="222">
        <v>9783898974073</v>
      </c>
      <c r="M1776">
        <v>318</v>
      </c>
      <c r="O1776" t="s">
        <v>9837</v>
      </c>
      <c r="P1776">
        <v>309</v>
      </c>
      <c r="Q1776">
        <v>2.74</v>
      </c>
    </row>
    <row r="1777" spans="1:17" x14ac:dyDescent="0.25">
      <c r="A1777">
        <v>2553</v>
      </c>
      <c r="B1777" t="s">
        <v>2191</v>
      </c>
      <c r="C1777" t="s">
        <v>9838</v>
      </c>
      <c r="D1777" t="s">
        <v>1912</v>
      </c>
      <c r="E1777" t="s">
        <v>1899</v>
      </c>
      <c r="F1777">
        <v>2017</v>
      </c>
      <c r="H1777" t="s">
        <v>1878</v>
      </c>
      <c r="I1777">
        <v>2</v>
      </c>
      <c r="K1777" t="s">
        <v>14332</v>
      </c>
      <c r="L1777" s="222">
        <v>9783442477272</v>
      </c>
      <c r="M1777">
        <v>444</v>
      </c>
      <c r="O1777" t="s">
        <v>9840</v>
      </c>
      <c r="P1777">
        <v>403</v>
      </c>
      <c r="Q1777">
        <v>2.74</v>
      </c>
    </row>
    <row r="1778" spans="1:17" x14ac:dyDescent="0.25">
      <c r="A1778">
        <v>2551</v>
      </c>
      <c r="B1778" t="s">
        <v>9841</v>
      </c>
      <c r="C1778" t="s">
        <v>9842</v>
      </c>
      <c r="D1778" t="s">
        <v>1876</v>
      </c>
      <c r="E1778" t="s">
        <v>2412</v>
      </c>
      <c r="F1778">
        <v>2017</v>
      </c>
      <c r="H1778" t="s">
        <v>1878</v>
      </c>
      <c r="I1778">
        <v>1</v>
      </c>
      <c r="K1778" t="s">
        <v>14332</v>
      </c>
      <c r="L1778" s="222">
        <v>9783492057707</v>
      </c>
      <c r="M1778">
        <v>413</v>
      </c>
      <c r="O1778" t="s">
        <v>9844</v>
      </c>
      <c r="P1778">
        <v>503</v>
      </c>
      <c r="Q1778">
        <v>2.2400000000000002</v>
      </c>
    </row>
    <row r="1779" spans="1:17" x14ac:dyDescent="0.25">
      <c r="A1779">
        <v>612</v>
      </c>
      <c r="B1779" t="s">
        <v>9845</v>
      </c>
      <c r="C1779" t="s">
        <v>9846</v>
      </c>
      <c r="D1779" t="s">
        <v>2209</v>
      </c>
      <c r="F1779">
        <v>1993</v>
      </c>
      <c r="H1779" t="s">
        <v>1878</v>
      </c>
      <c r="I1779">
        <v>3</v>
      </c>
      <c r="K1779" t="s">
        <v>14332</v>
      </c>
      <c r="L1779" s="222">
        <v>9783453067066</v>
      </c>
      <c r="M1779">
        <v>198</v>
      </c>
      <c r="O1779" t="s">
        <v>9848</v>
      </c>
      <c r="P1779">
        <v>212</v>
      </c>
      <c r="Q1779">
        <v>2.74</v>
      </c>
    </row>
    <row r="1780" spans="1:17" x14ac:dyDescent="0.25">
      <c r="A1780">
        <v>2576</v>
      </c>
      <c r="B1780" t="s">
        <v>3808</v>
      </c>
      <c r="C1780" t="s">
        <v>9171</v>
      </c>
      <c r="D1780" t="s">
        <v>807</v>
      </c>
      <c r="F1780">
        <v>2005</v>
      </c>
      <c r="H1780" t="s">
        <v>1878</v>
      </c>
      <c r="I1780" s="305">
        <v>43892</v>
      </c>
      <c r="K1780" t="s">
        <v>14332</v>
      </c>
      <c r="L1780" s="222">
        <v>9783551356901</v>
      </c>
      <c r="O1780" t="s">
        <v>9849</v>
      </c>
      <c r="P1780">
        <v>499</v>
      </c>
      <c r="Q1780">
        <v>2.74</v>
      </c>
    </row>
    <row r="1781" spans="1:17" x14ac:dyDescent="0.25">
      <c r="A1781">
        <v>631</v>
      </c>
      <c r="B1781" t="s">
        <v>9850</v>
      </c>
      <c r="C1781" t="s">
        <v>9851</v>
      </c>
      <c r="D1781" t="s">
        <v>2209</v>
      </c>
      <c r="F1781">
        <v>2004</v>
      </c>
      <c r="H1781" t="s">
        <v>1878</v>
      </c>
      <c r="I1781">
        <v>2</v>
      </c>
      <c r="K1781" t="s">
        <v>14332</v>
      </c>
      <c r="L1781" s="222">
        <v>9783453879324</v>
      </c>
      <c r="M1781">
        <v>288</v>
      </c>
      <c r="O1781" t="s">
        <v>9853</v>
      </c>
      <c r="P1781">
        <v>274</v>
      </c>
      <c r="Q1781">
        <v>2.74</v>
      </c>
    </row>
    <row r="1782" spans="1:17" x14ac:dyDescent="0.25">
      <c r="A1782">
        <v>1386</v>
      </c>
      <c r="B1782" t="s">
        <v>9858</v>
      </c>
      <c r="C1782" t="s">
        <v>9859</v>
      </c>
      <c r="D1782" t="s">
        <v>3077</v>
      </c>
      <c r="E1782" t="s">
        <v>1877</v>
      </c>
      <c r="F1782">
        <v>2013</v>
      </c>
      <c r="H1782" t="s">
        <v>1878</v>
      </c>
      <c r="I1782">
        <v>2</v>
      </c>
      <c r="J1782" t="s">
        <v>9196</v>
      </c>
      <c r="K1782" t="s">
        <v>14332</v>
      </c>
      <c r="L1782" s="222">
        <v>9783442381326</v>
      </c>
      <c r="M1782">
        <v>414</v>
      </c>
      <c r="O1782" t="s">
        <v>9861</v>
      </c>
      <c r="P1782">
        <v>359</v>
      </c>
      <c r="Q1782">
        <v>2.74</v>
      </c>
    </row>
    <row r="1783" spans="1:17" x14ac:dyDescent="0.25">
      <c r="A1783">
        <v>692</v>
      </c>
      <c r="B1783" t="s">
        <v>9862</v>
      </c>
      <c r="C1783" t="s">
        <v>9863</v>
      </c>
      <c r="D1783" t="s">
        <v>2609</v>
      </c>
      <c r="F1783">
        <v>2016</v>
      </c>
      <c r="H1783" t="s">
        <v>1878</v>
      </c>
      <c r="I1783">
        <v>3</v>
      </c>
      <c r="K1783" t="s">
        <v>14332</v>
      </c>
      <c r="L1783" s="222">
        <v>9783596033690</v>
      </c>
      <c r="M1783">
        <v>286</v>
      </c>
      <c r="O1783" t="s">
        <v>9865</v>
      </c>
      <c r="P1783">
        <v>255</v>
      </c>
      <c r="Q1783">
        <v>2.74</v>
      </c>
    </row>
    <row r="1784" spans="1:17" x14ac:dyDescent="0.25">
      <c r="A1784">
        <v>2547</v>
      </c>
      <c r="B1784" t="s">
        <v>9866</v>
      </c>
      <c r="C1784" t="s">
        <v>14491</v>
      </c>
      <c r="D1784" t="s">
        <v>5005</v>
      </c>
      <c r="F1784">
        <v>2007</v>
      </c>
      <c r="H1784" t="s">
        <v>2734</v>
      </c>
      <c r="I1784">
        <v>2</v>
      </c>
      <c r="K1784" t="s">
        <v>14332</v>
      </c>
      <c r="M1784">
        <v>383</v>
      </c>
      <c r="O1784" t="s">
        <v>9868</v>
      </c>
      <c r="P1784">
        <v>485</v>
      </c>
      <c r="Q1784">
        <v>2.74</v>
      </c>
    </row>
    <row r="1785" spans="1:17" x14ac:dyDescent="0.25">
      <c r="A1785">
        <v>691</v>
      </c>
      <c r="B1785" t="s">
        <v>4725</v>
      </c>
      <c r="C1785" t="s">
        <v>9869</v>
      </c>
      <c r="D1785" t="s">
        <v>9870</v>
      </c>
      <c r="H1785" t="s">
        <v>2734</v>
      </c>
      <c r="I1785">
        <v>2</v>
      </c>
      <c r="K1785" t="s">
        <v>14332</v>
      </c>
      <c r="L1785" s="222">
        <v>9783505087936</v>
      </c>
      <c r="M1785">
        <v>121</v>
      </c>
      <c r="O1785" t="s">
        <v>9872</v>
      </c>
      <c r="P1785">
        <v>200</v>
      </c>
      <c r="Q1785">
        <v>2.74</v>
      </c>
    </row>
    <row r="1786" spans="1:17" x14ac:dyDescent="0.25">
      <c r="A1786">
        <v>1315</v>
      </c>
      <c r="B1786" t="s">
        <v>7746</v>
      </c>
      <c r="C1786" t="s">
        <v>9873</v>
      </c>
      <c r="D1786" t="s">
        <v>9874</v>
      </c>
      <c r="F1786">
        <v>2014</v>
      </c>
      <c r="H1786" t="s">
        <v>2734</v>
      </c>
      <c r="I1786">
        <v>2</v>
      </c>
      <c r="K1786" t="s">
        <v>14332</v>
      </c>
      <c r="M1786">
        <v>256</v>
      </c>
      <c r="O1786" t="s">
        <v>9876</v>
      </c>
      <c r="P1786">
        <v>250</v>
      </c>
      <c r="Q1786">
        <v>2.74</v>
      </c>
    </row>
    <row r="1787" spans="1:17" x14ac:dyDescent="0.25">
      <c r="A1787">
        <v>1315</v>
      </c>
      <c r="B1787" t="s">
        <v>7746</v>
      </c>
      <c r="C1787" t="s">
        <v>9877</v>
      </c>
      <c r="D1787" t="s">
        <v>9874</v>
      </c>
      <c r="F1787">
        <v>2014</v>
      </c>
      <c r="H1787" t="s">
        <v>2734</v>
      </c>
      <c r="I1787">
        <v>2</v>
      </c>
      <c r="K1787" t="s">
        <v>14332</v>
      </c>
      <c r="M1787">
        <v>255</v>
      </c>
      <c r="O1787" t="s">
        <v>9878</v>
      </c>
      <c r="P1787">
        <v>249</v>
      </c>
      <c r="Q1787">
        <v>2.74</v>
      </c>
    </row>
    <row r="1788" spans="1:17" x14ac:dyDescent="0.25">
      <c r="A1788">
        <v>1984</v>
      </c>
      <c r="B1788" t="s">
        <v>9879</v>
      </c>
      <c r="C1788" t="s">
        <v>9831</v>
      </c>
      <c r="D1788" t="s">
        <v>1979</v>
      </c>
      <c r="H1788" t="s">
        <v>2734</v>
      </c>
      <c r="I1788">
        <v>2</v>
      </c>
      <c r="K1788" t="s">
        <v>14332</v>
      </c>
      <c r="L1788" s="222">
        <v>4005556006205</v>
      </c>
      <c r="O1788" t="s">
        <v>9880</v>
      </c>
      <c r="P1788">
        <v>513</v>
      </c>
      <c r="Q1788">
        <v>11.5</v>
      </c>
    </row>
    <row r="1789" spans="1:17" x14ac:dyDescent="0.25">
      <c r="A1789">
        <v>796</v>
      </c>
      <c r="B1789" t="s">
        <v>6242</v>
      </c>
      <c r="C1789" t="s">
        <v>9885</v>
      </c>
      <c r="D1789" t="s">
        <v>1912</v>
      </c>
      <c r="E1789" t="s">
        <v>1913</v>
      </c>
      <c r="F1789">
        <v>2008</v>
      </c>
      <c r="H1789" t="s">
        <v>1878</v>
      </c>
      <c r="I1789">
        <v>2</v>
      </c>
      <c r="K1789" t="s">
        <v>14332</v>
      </c>
      <c r="L1789" s="222">
        <v>9783442465033</v>
      </c>
      <c r="M1789">
        <v>410</v>
      </c>
      <c r="O1789" t="s">
        <v>9887</v>
      </c>
      <c r="P1789">
        <v>341</v>
      </c>
      <c r="Q1789">
        <v>2.74</v>
      </c>
    </row>
    <row r="1790" spans="1:17" x14ac:dyDescent="0.25">
      <c r="A1790">
        <v>735</v>
      </c>
      <c r="B1790" t="s">
        <v>9881</v>
      </c>
      <c r="C1790" t="s">
        <v>9888</v>
      </c>
      <c r="D1790" t="s">
        <v>3077</v>
      </c>
      <c r="E1790" t="s">
        <v>1913</v>
      </c>
      <c r="F1790">
        <v>2015</v>
      </c>
      <c r="H1790" t="s">
        <v>1878</v>
      </c>
      <c r="I1790">
        <v>1</v>
      </c>
      <c r="K1790" t="s">
        <v>14332</v>
      </c>
      <c r="L1790" s="222">
        <v>9783734103636</v>
      </c>
      <c r="M1790">
        <v>541</v>
      </c>
      <c r="O1790" t="s">
        <v>9890</v>
      </c>
      <c r="P1790">
        <v>443</v>
      </c>
      <c r="Q1790">
        <v>2.74</v>
      </c>
    </row>
    <row r="1791" spans="1:17" x14ac:dyDescent="0.25">
      <c r="A1791">
        <v>2547</v>
      </c>
      <c r="B1791" t="s">
        <v>9891</v>
      </c>
      <c r="C1791" t="s">
        <v>9892</v>
      </c>
      <c r="D1791" t="s">
        <v>9893</v>
      </c>
      <c r="E1791" t="s">
        <v>2175</v>
      </c>
      <c r="F1791">
        <v>2008</v>
      </c>
      <c r="H1791" t="s">
        <v>1878</v>
      </c>
      <c r="I1791">
        <v>2</v>
      </c>
      <c r="K1791" t="s">
        <v>14332</v>
      </c>
      <c r="L1791" s="222">
        <v>9783499241956</v>
      </c>
      <c r="M1791">
        <v>430</v>
      </c>
      <c r="O1791" t="s">
        <v>9895</v>
      </c>
      <c r="P1791">
        <v>300</v>
      </c>
      <c r="Q1791">
        <v>2.74</v>
      </c>
    </row>
    <row r="1792" spans="1:17" x14ac:dyDescent="0.25">
      <c r="A1792">
        <v>1339</v>
      </c>
      <c r="B1792" t="s">
        <v>9896</v>
      </c>
      <c r="C1792" t="s">
        <v>9897</v>
      </c>
      <c r="D1792" t="s">
        <v>9898</v>
      </c>
      <c r="F1792">
        <v>2011</v>
      </c>
      <c r="H1792" t="s">
        <v>2734</v>
      </c>
      <c r="I1792">
        <v>1</v>
      </c>
      <c r="K1792" t="s">
        <v>14332</v>
      </c>
      <c r="L1792" s="222">
        <v>9783767007734</v>
      </c>
      <c r="M1792">
        <v>285</v>
      </c>
      <c r="O1792" t="s">
        <v>9900</v>
      </c>
      <c r="P1792">
        <v>827</v>
      </c>
      <c r="Q1792">
        <v>3.3</v>
      </c>
    </row>
    <row r="1793" spans="1:17" x14ac:dyDescent="0.25">
      <c r="A1793">
        <v>1339</v>
      </c>
      <c r="B1793" t="s">
        <v>9901</v>
      </c>
      <c r="C1793" t="s">
        <v>9902</v>
      </c>
      <c r="D1793" t="s">
        <v>9763</v>
      </c>
      <c r="F1793">
        <v>2010</v>
      </c>
      <c r="H1793" t="s">
        <v>1878</v>
      </c>
      <c r="I1793">
        <v>1</v>
      </c>
      <c r="K1793" t="s">
        <v>14332</v>
      </c>
      <c r="L1793" s="222">
        <v>9783453285262</v>
      </c>
      <c r="M1793">
        <v>192</v>
      </c>
      <c r="O1793" t="s">
        <v>9904</v>
      </c>
      <c r="P1793">
        <v>626</v>
      </c>
      <c r="Q1793">
        <v>2.2400000000000002</v>
      </c>
    </row>
    <row r="1794" spans="1:17" x14ac:dyDescent="0.25">
      <c r="A1794">
        <v>548</v>
      </c>
      <c r="B1794" t="s">
        <v>9905</v>
      </c>
      <c r="C1794" t="s">
        <v>9906</v>
      </c>
      <c r="D1794" t="s">
        <v>9511</v>
      </c>
      <c r="F1794">
        <v>2010</v>
      </c>
      <c r="H1794" t="s">
        <v>2734</v>
      </c>
      <c r="I1794">
        <v>2</v>
      </c>
      <c r="K1794" t="s">
        <v>14332</v>
      </c>
      <c r="L1794" s="222">
        <v>9783800074778</v>
      </c>
      <c r="M1794">
        <v>191</v>
      </c>
      <c r="O1794" t="s">
        <v>9908</v>
      </c>
      <c r="P1794">
        <v>490</v>
      </c>
      <c r="Q1794">
        <v>2.74</v>
      </c>
    </row>
    <row r="1795" spans="1:17" x14ac:dyDescent="0.25">
      <c r="A1795">
        <v>796</v>
      </c>
      <c r="B1795" t="s">
        <v>9913</v>
      </c>
      <c r="C1795" t="s">
        <v>9914</v>
      </c>
      <c r="D1795" t="s">
        <v>3895</v>
      </c>
      <c r="E1795" t="s">
        <v>1913</v>
      </c>
      <c r="F1795">
        <v>2010</v>
      </c>
      <c r="H1795" t="s">
        <v>1878</v>
      </c>
      <c r="I1795">
        <v>1</v>
      </c>
      <c r="K1795" t="s">
        <v>14332</v>
      </c>
      <c r="L1795" s="222">
        <v>9783899417425</v>
      </c>
      <c r="M1795">
        <v>416</v>
      </c>
      <c r="O1795" t="s">
        <v>9916</v>
      </c>
      <c r="P1795">
        <v>353</v>
      </c>
      <c r="Q1795">
        <v>4.6500000000000004</v>
      </c>
    </row>
    <row r="1796" spans="1:17" x14ac:dyDescent="0.25">
      <c r="A1796">
        <v>2518</v>
      </c>
      <c r="B1796" t="s">
        <v>9917</v>
      </c>
      <c r="C1796" t="s">
        <v>9918</v>
      </c>
      <c r="D1796" t="s">
        <v>9919</v>
      </c>
      <c r="E1796" t="s">
        <v>1913</v>
      </c>
      <c r="F1796">
        <v>2013</v>
      </c>
      <c r="H1796" t="s">
        <v>1878</v>
      </c>
      <c r="I1796">
        <v>2</v>
      </c>
      <c r="J1796" t="s">
        <v>9196</v>
      </c>
      <c r="K1796" t="s">
        <v>14332</v>
      </c>
      <c r="L1796" s="222">
        <v>9783802589812</v>
      </c>
      <c r="M1796">
        <v>345</v>
      </c>
      <c r="O1796" t="s">
        <v>9921</v>
      </c>
      <c r="P1796">
        <v>301</v>
      </c>
      <c r="Q1796">
        <v>2.74</v>
      </c>
    </row>
    <row r="1797" spans="1:17" x14ac:dyDescent="0.25">
      <c r="A1797">
        <v>2551</v>
      </c>
      <c r="B1797" t="s">
        <v>9922</v>
      </c>
      <c r="C1797" t="s">
        <v>9923</v>
      </c>
      <c r="D1797" t="s">
        <v>1876</v>
      </c>
      <c r="F1797">
        <v>2011</v>
      </c>
      <c r="H1797" t="s">
        <v>2734</v>
      </c>
      <c r="I1797">
        <v>2</v>
      </c>
      <c r="K1797" t="s">
        <v>14332</v>
      </c>
      <c r="L1797" s="222">
        <v>9783492055512</v>
      </c>
      <c r="M1797">
        <v>471</v>
      </c>
      <c r="O1797" t="s">
        <v>9925</v>
      </c>
      <c r="P1797">
        <v>741</v>
      </c>
      <c r="Q1797">
        <v>2.2400000000000002</v>
      </c>
    </row>
    <row r="1798" spans="1:17" x14ac:dyDescent="0.25">
      <c r="A1798">
        <v>689</v>
      </c>
      <c r="B1798" t="s">
        <v>2920</v>
      </c>
      <c r="C1798" t="s">
        <v>9926</v>
      </c>
      <c r="D1798" t="s">
        <v>9927</v>
      </c>
      <c r="E1798" t="s">
        <v>1913</v>
      </c>
      <c r="F1798">
        <v>2012</v>
      </c>
      <c r="H1798" t="s">
        <v>2734</v>
      </c>
      <c r="I1798">
        <v>2</v>
      </c>
      <c r="J1798" t="s">
        <v>9196</v>
      </c>
      <c r="K1798" t="s">
        <v>14332</v>
      </c>
      <c r="L1798" s="222">
        <v>9783442204069</v>
      </c>
      <c r="M1798">
        <v>443</v>
      </c>
      <c r="O1798" t="s">
        <v>9929</v>
      </c>
      <c r="P1798">
        <v>737</v>
      </c>
      <c r="Q1798">
        <v>2.2599999999999998</v>
      </c>
    </row>
    <row r="1799" spans="1:17" x14ac:dyDescent="0.25">
      <c r="A1799">
        <v>1374</v>
      </c>
      <c r="B1799" t="s">
        <v>4365</v>
      </c>
      <c r="C1799" t="s">
        <v>9933</v>
      </c>
      <c r="D1799" t="s">
        <v>1920</v>
      </c>
      <c r="F1799">
        <v>2014</v>
      </c>
      <c r="H1799" t="s">
        <v>1878</v>
      </c>
      <c r="I1799">
        <v>1</v>
      </c>
      <c r="K1799" t="s">
        <v>14332</v>
      </c>
      <c r="L1799" s="222">
        <v>9783404608027</v>
      </c>
      <c r="M1799">
        <v>237</v>
      </c>
      <c r="O1799" t="s">
        <v>9934</v>
      </c>
      <c r="P1799">
        <v>264</v>
      </c>
      <c r="Q1799">
        <v>2.74</v>
      </c>
    </row>
    <row r="1800" spans="1:17" x14ac:dyDescent="0.25">
      <c r="A1800">
        <v>2518</v>
      </c>
      <c r="B1800" t="s">
        <v>9935</v>
      </c>
      <c r="C1800" t="s">
        <v>9936</v>
      </c>
      <c r="D1800" t="s">
        <v>9138</v>
      </c>
      <c r="E1800" t="s">
        <v>1877</v>
      </c>
      <c r="F1800">
        <v>2015</v>
      </c>
      <c r="H1800" t="s">
        <v>1878</v>
      </c>
      <c r="I1800">
        <v>1</v>
      </c>
      <c r="K1800" t="s">
        <v>14332</v>
      </c>
      <c r="L1800" s="222">
        <v>9783596192205</v>
      </c>
      <c r="M1800">
        <v>374</v>
      </c>
      <c r="O1800" t="s">
        <v>9938</v>
      </c>
      <c r="P1800">
        <v>339</v>
      </c>
      <c r="Q1800">
        <v>4.2</v>
      </c>
    </row>
    <row r="1801" spans="1:17" x14ac:dyDescent="0.25">
      <c r="A1801">
        <v>689</v>
      </c>
      <c r="B1801" t="s">
        <v>7852</v>
      </c>
      <c r="C1801" t="s">
        <v>9939</v>
      </c>
      <c r="D1801" t="s">
        <v>2054</v>
      </c>
      <c r="F1801">
        <v>2009</v>
      </c>
      <c r="H1801" t="s">
        <v>2734</v>
      </c>
      <c r="I1801">
        <v>1</v>
      </c>
      <c r="K1801" t="s">
        <v>14332</v>
      </c>
      <c r="L1801" s="222">
        <v>9783828979703</v>
      </c>
      <c r="M1801">
        <v>505</v>
      </c>
      <c r="O1801" t="s">
        <v>9941</v>
      </c>
      <c r="P1801">
        <v>454</v>
      </c>
      <c r="Q1801">
        <v>2.74</v>
      </c>
    </row>
    <row r="1802" spans="1:17" x14ac:dyDescent="0.25">
      <c r="A1802">
        <v>2514</v>
      </c>
      <c r="B1802" t="s">
        <v>9945</v>
      </c>
      <c r="C1802" t="s">
        <v>9946</v>
      </c>
      <c r="D1802" t="s">
        <v>9947</v>
      </c>
      <c r="H1802" t="s">
        <v>2734</v>
      </c>
      <c r="I1802">
        <v>2</v>
      </c>
      <c r="K1802" t="s">
        <v>14332</v>
      </c>
      <c r="L1802" s="222">
        <v>9783941329096</v>
      </c>
      <c r="M1802">
        <v>143</v>
      </c>
      <c r="O1802" t="s">
        <v>9949</v>
      </c>
      <c r="P1802">
        <v>241</v>
      </c>
      <c r="Q1802">
        <v>2.74</v>
      </c>
    </row>
    <row r="1803" spans="1:17" x14ac:dyDescent="0.25">
      <c r="A1803">
        <v>973</v>
      </c>
      <c r="B1803" t="s">
        <v>9950</v>
      </c>
      <c r="C1803" t="s">
        <v>9951</v>
      </c>
      <c r="D1803" t="s">
        <v>9952</v>
      </c>
      <c r="F1803">
        <v>1995</v>
      </c>
      <c r="H1803" t="s">
        <v>2734</v>
      </c>
      <c r="I1803">
        <v>1</v>
      </c>
      <c r="K1803" t="s">
        <v>14339</v>
      </c>
      <c r="L1803" s="222">
        <v>9780195103793</v>
      </c>
      <c r="M1803">
        <v>438</v>
      </c>
      <c r="O1803" t="s">
        <v>9954</v>
      </c>
      <c r="P1803">
        <v>808</v>
      </c>
      <c r="Q1803">
        <v>2.76</v>
      </c>
    </row>
    <row r="1804" spans="1:17" x14ac:dyDescent="0.25">
      <c r="A1804">
        <v>692</v>
      </c>
      <c r="B1804" t="s">
        <v>9955</v>
      </c>
      <c r="C1804" t="s">
        <v>9956</v>
      </c>
      <c r="D1804" t="s">
        <v>2257</v>
      </c>
      <c r="F1804">
        <v>1994</v>
      </c>
      <c r="H1804" t="s">
        <v>1878</v>
      </c>
      <c r="I1804" s="305">
        <v>43892</v>
      </c>
      <c r="K1804" t="s">
        <v>14332</v>
      </c>
      <c r="L1804" s="222">
        <v>9783426609958</v>
      </c>
      <c r="M1804">
        <v>425</v>
      </c>
      <c r="O1804" t="s">
        <v>9958</v>
      </c>
      <c r="P1804">
        <v>460</v>
      </c>
      <c r="Q1804">
        <v>2.74</v>
      </c>
    </row>
    <row r="1805" spans="1:17" x14ac:dyDescent="0.25">
      <c r="A1805">
        <v>1365</v>
      </c>
      <c r="B1805" t="s">
        <v>9959</v>
      </c>
      <c r="C1805" t="s">
        <v>9960</v>
      </c>
      <c r="D1805" t="s">
        <v>9961</v>
      </c>
      <c r="F1805">
        <v>1989</v>
      </c>
      <c r="H1805" t="s">
        <v>2734</v>
      </c>
      <c r="I1805">
        <v>1</v>
      </c>
      <c r="K1805" t="s">
        <v>14332</v>
      </c>
      <c r="M1805">
        <v>310</v>
      </c>
      <c r="O1805" t="s">
        <v>9962</v>
      </c>
      <c r="P1805">
        <v>836</v>
      </c>
      <c r="Q1805">
        <v>2.2400000000000002</v>
      </c>
    </row>
    <row r="1806" spans="1:17" x14ac:dyDescent="0.25">
      <c r="A1806">
        <v>826</v>
      </c>
      <c r="B1806" t="s">
        <v>9963</v>
      </c>
      <c r="C1806" t="s">
        <v>9964</v>
      </c>
      <c r="D1806" t="s">
        <v>9032</v>
      </c>
      <c r="E1806" t="s">
        <v>1877</v>
      </c>
      <c r="F1806">
        <v>2006</v>
      </c>
      <c r="H1806" t="s">
        <v>1878</v>
      </c>
      <c r="I1806">
        <v>1</v>
      </c>
      <c r="K1806" t="s">
        <v>14332</v>
      </c>
      <c r="L1806" s="222">
        <v>9783499616563</v>
      </c>
      <c r="M1806">
        <v>389</v>
      </c>
      <c r="O1806" t="s">
        <v>9966</v>
      </c>
      <c r="P1806">
        <v>389</v>
      </c>
      <c r="Q1806">
        <v>2.74</v>
      </c>
    </row>
    <row r="1807" spans="1:17" x14ac:dyDescent="0.25">
      <c r="A1807">
        <v>796</v>
      </c>
      <c r="B1807" t="s">
        <v>9967</v>
      </c>
      <c r="C1807" t="s">
        <v>8563</v>
      </c>
      <c r="F1807">
        <v>2010</v>
      </c>
      <c r="H1807" t="s">
        <v>1878</v>
      </c>
      <c r="I1807">
        <v>2</v>
      </c>
      <c r="K1807" t="s">
        <v>14332</v>
      </c>
      <c r="L1807" s="222">
        <v>9783833306877</v>
      </c>
      <c r="M1807">
        <v>479</v>
      </c>
      <c r="O1807" t="s">
        <v>9968</v>
      </c>
      <c r="P1807">
        <v>349</v>
      </c>
      <c r="Q1807">
        <v>2.74</v>
      </c>
    </row>
    <row r="1808" spans="1:17" x14ac:dyDescent="0.25">
      <c r="A1808">
        <v>2553</v>
      </c>
      <c r="B1808" t="s">
        <v>9969</v>
      </c>
      <c r="C1808" t="s">
        <v>9970</v>
      </c>
      <c r="D1808" t="s">
        <v>3077</v>
      </c>
      <c r="E1808" t="s">
        <v>1913</v>
      </c>
      <c r="F1808">
        <v>2012</v>
      </c>
      <c r="H1808" t="s">
        <v>1878</v>
      </c>
      <c r="I1808" s="305">
        <v>43862</v>
      </c>
      <c r="K1808" t="s">
        <v>14332</v>
      </c>
      <c r="L1808" s="222">
        <v>9783442377206</v>
      </c>
      <c r="M1808">
        <v>509</v>
      </c>
      <c r="O1808" t="s">
        <v>9972</v>
      </c>
      <c r="P1808">
        <v>456</v>
      </c>
      <c r="Q1808">
        <v>2.99</v>
      </c>
    </row>
    <row r="1809" spans="1:17" x14ac:dyDescent="0.25">
      <c r="A1809">
        <v>2553</v>
      </c>
      <c r="B1809" t="s">
        <v>3637</v>
      </c>
      <c r="C1809" t="s">
        <v>9973</v>
      </c>
      <c r="D1809" t="s">
        <v>9974</v>
      </c>
      <c r="F1809">
        <v>1990</v>
      </c>
      <c r="H1809" t="s">
        <v>2734</v>
      </c>
      <c r="I1809">
        <v>2</v>
      </c>
      <c r="K1809" t="s">
        <v>14332</v>
      </c>
      <c r="M1809">
        <v>448</v>
      </c>
      <c r="O1809" t="s">
        <v>9975</v>
      </c>
      <c r="P1809">
        <v>533</v>
      </c>
      <c r="Q1809">
        <v>2.2400000000000002</v>
      </c>
    </row>
    <row r="1810" spans="1:17" x14ac:dyDescent="0.25">
      <c r="A1810">
        <v>8</v>
      </c>
      <c r="B1810" t="s">
        <v>9980</v>
      </c>
      <c r="C1810" t="s">
        <v>9981</v>
      </c>
      <c r="D1810" t="s">
        <v>1988</v>
      </c>
      <c r="E1810" t="s">
        <v>1877</v>
      </c>
      <c r="F1810">
        <v>1998</v>
      </c>
      <c r="H1810" t="s">
        <v>1878</v>
      </c>
      <c r="I1810">
        <v>1</v>
      </c>
      <c r="K1810" t="s">
        <v>14332</v>
      </c>
      <c r="L1810" s="222">
        <v>9783423125000</v>
      </c>
      <c r="M1810">
        <v>338</v>
      </c>
      <c r="O1810" t="s">
        <v>9983</v>
      </c>
      <c r="P1810">
        <v>303</v>
      </c>
      <c r="Q1810">
        <v>3.02</v>
      </c>
    </row>
    <row r="1811" spans="1:17" x14ac:dyDescent="0.25">
      <c r="A1811">
        <v>2546</v>
      </c>
      <c r="B1811" t="s">
        <v>9984</v>
      </c>
      <c r="C1811" t="s">
        <v>9985</v>
      </c>
      <c r="D1811" t="s">
        <v>2232</v>
      </c>
      <c r="E1811" t="s">
        <v>1913</v>
      </c>
      <c r="F1811">
        <v>2001</v>
      </c>
      <c r="H1811" t="s">
        <v>1878</v>
      </c>
      <c r="I1811">
        <v>1</v>
      </c>
      <c r="K1811" t="s">
        <v>14332</v>
      </c>
      <c r="L1811" s="222">
        <v>9783442729241</v>
      </c>
      <c r="M1811">
        <v>220</v>
      </c>
      <c r="O1811" t="s">
        <v>9987</v>
      </c>
      <c r="P1811">
        <v>223</v>
      </c>
      <c r="Q1811">
        <v>3</v>
      </c>
    </row>
    <row r="1812" spans="1:17" x14ac:dyDescent="0.25">
      <c r="A1812">
        <v>1395</v>
      </c>
      <c r="B1812" t="s">
        <v>9988</v>
      </c>
      <c r="C1812" t="s">
        <v>9989</v>
      </c>
      <c r="D1812" t="s">
        <v>1920</v>
      </c>
      <c r="E1812" t="s">
        <v>3998</v>
      </c>
      <c r="F1812">
        <v>2009</v>
      </c>
      <c r="H1812" t="s">
        <v>1878</v>
      </c>
      <c r="I1812">
        <v>2</v>
      </c>
      <c r="K1812" t="s">
        <v>14332</v>
      </c>
      <c r="L1812" s="222">
        <v>9783404600397</v>
      </c>
      <c r="M1812">
        <v>111</v>
      </c>
      <c r="O1812" t="s">
        <v>9991</v>
      </c>
      <c r="P1812">
        <v>114</v>
      </c>
      <c r="Q1812">
        <v>2.74</v>
      </c>
    </row>
    <row r="1813" spans="1:17" x14ac:dyDescent="0.25">
      <c r="A1813">
        <v>692</v>
      </c>
      <c r="B1813" t="s">
        <v>9996</v>
      </c>
      <c r="C1813" t="s">
        <v>9997</v>
      </c>
      <c r="D1813" t="s">
        <v>1876</v>
      </c>
      <c r="F1813">
        <v>2018</v>
      </c>
      <c r="H1813" t="s">
        <v>1878</v>
      </c>
      <c r="I1813">
        <v>1</v>
      </c>
      <c r="K1813" t="s">
        <v>14332</v>
      </c>
      <c r="L1813" s="222">
        <v>9783492313643</v>
      </c>
      <c r="M1813">
        <v>276</v>
      </c>
      <c r="O1813" t="s">
        <v>9999</v>
      </c>
      <c r="P1813">
        <v>275</v>
      </c>
      <c r="Q1813">
        <v>2.74</v>
      </c>
    </row>
    <row r="1814" spans="1:17" x14ac:dyDescent="0.25">
      <c r="A1814">
        <v>765</v>
      </c>
      <c r="B1814" t="s">
        <v>10000</v>
      </c>
      <c r="C1814" t="s">
        <v>10001</v>
      </c>
      <c r="D1814" t="s">
        <v>2309</v>
      </c>
      <c r="E1814" t="s">
        <v>1913</v>
      </c>
      <c r="F1814">
        <v>2009</v>
      </c>
      <c r="H1814" t="s">
        <v>1878</v>
      </c>
      <c r="I1814">
        <v>2</v>
      </c>
      <c r="K1814" t="s">
        <v>14332</v>
      </c>
      <c r="L1814" s="222">
        <v>9783548373201</v>
      </c>
      <c r="M1814">
        <v>318</v>
      </c>
      <c r="O1814" t="s">
        <v>10003</v>
      </c>
      <c r="P1814">
        <v>307</v>
      </c>
      <c r="Q1814">
        <v>2.93</v>
      </c>
    </row>
    <row r="1815" spans="1:17" x14ac:dyDescent="0.25">
      <c r="A1815">
        <v>1374</v>
      </c>
      <c r="B1815" t="s">
        <v>10004</v>
      </c>
      <c r="C1815" t="s">
        <v>10005</v>
      </c>
      <c r="D1815" t="s">
        <v>1876</v>
      </c>
      <c r="E1815" t="s">
        <v>1877</v>
      </c>
      <c r="F1815">
        <v>2012</v>
      </c>
      <c r="H1815" t="s">
        <v>1878</v>
      </c>
      <c r="I1815">
        <v>1</v>
      </c>
      <c r="K1815" t="s">
        <v>14332</v>
      </c>
      <c r="L1815" s="222">
        <v>9783492263559</v>
      </c>
      <c r="O1815" t="s">
        <v>10007</v>
      </c>
      <c r="P1815">
        <v>166</v>
      </c>
      <c r="Q1815">
        <v>3.03</v>
      </c>
    </row>
    <row r="1816" spans="1:17" x14ac:dyDescent="0.25">
      <c r="A1816">
        <v>2547</v>
      </c>
      <c r="B1816" t="s">
        <v>2456</v>
      </c>
      <c r="C1816" t="s">
        <v>7822</v>
      </c>
      <c r="D1816" t="s">
        <v>3077</v>
      </c>
      <c r="E1816" t="s">
        <v>1913</v>
      </c>
      <c r="F1816">
        <v>2003</v>
      </c>
      <c r="H1816" t="s">
        <v>2734</v>
      </c>
      <c r="I1816">
        <v>2</v>
      </c>
      <c r="K1816" t="s">
        <v>14332</v>
      </c>
      <c r="L1816" s="222">
        <v>9783764501785</v>
      </c>
      <c r="M1816">
        <v>602</v>
      </c>
      <c r="O1816" t="s">
        <v>10009</v>
      </c>
      <c r="P1816">
        <v>817</v>
      </c>
      <c r="Q1816">
        <v>2.2400000000000002</v>
      </c>
    </row>
    <row r="1817" spans="1:17" x14ac:dyDescent="0.25">
      <c r="A1817">
        <v>2522</v>
      </c>
      <c r="B1817" t="s">
        <v>9866</v>
      </c>
      <c r="C1817" t="s">
        <v>10010</v>
      </c>
      <c r="D1817" t="s">
        <v>1912</v>
      </c>
      <c r="E1817" t="s">
        <v>1913</v>
      </c>
      <c r="F1817">
        <v>2010</v>
      </c>
      <c r="H1817" t="s">
        <v>1878</v>
      </c>
      <c r="I1817">
        <v>2</v>
      </c>
      <c r="K1817" t="s">
        <v>14332</v>
      </c>
      <c r="L1817" s="222">
        <v>9783442472857</v>
      </c>
      <c r="M1817">
        <v>413</v>
      </c>
      <c r="O1817" t="s">
        <v>10012</v>
      </c>
      <c r="P1817">
        <v>375</v>
      </c>
      <c r="Q1817">
        <v>3.13</v>
      </c>
    </row>
    <row r="1818" spans="1:17" x14ac:dyDescent="0.25">
      <c r="A1818">
        <v>2518</v>
      </c>
      <c r="B1818" t="s">
        <v>10013</v>
      </c>
      <c r="C1818" t="s">
        <v>10014</v>
      </c>
      <c r="D1818" t="s">
        <v>9192</v>
      </c>
      <c r="E1818" t="s">
        <v>1913</v>
      </c>
      <c r="F1818">
        <v>2016</v>
      </c>
      <c r="H1818" t="s">
        <v>1878</v>
      </c>
      <c r="I1818">
        <v>2</v>
      </c>
      <c r="K1818" t="s">
        <v>14332</v>
      </c>
      <c r="L1818" s="222">
        <v>9783548612805</v>
      </c>
      <c r="M1818">
        <v>206</v>
      </c>
      <c r="O1818" t="s">
        <v>10016</v>
      </c>
      <c r="P1818">
        <v>226</v>
      </c>
      <c r="Q1818">
        <v>3.01</v>
      </c>
    </row>
    <row r="1819" spans="1:17" x14ac:dyDescent="0.25">
      <c r="A1819">
        <v>689</v>
      </c>
      <c r="B1819" t="s">
        <v>10017</v>
      </c>
      <c r="C1819" t="s">
        <v>10018</v>
      </c>
      <c r="D1819" t="s">
        <v>10019</v>
      </c>
      <c r="E1819" t="s">
        <v>1913</v>
      </c>
      <c r="F1819">
        <v>2008</v>
      </c>
      <c r="H1819" t="s">
        <v>1878</v>
      </c>
      <c r="I1819" s="305">
        <v>43892</v>
      </c>
      <c r="J1819" t="s">
        <v>9196</v>
      </c>
      <c r="K1819" t="s">
        <v>14332</v>
      </c>
      <c r="L1819" s="222">
        <v>9783442465880</v>
      </c>
      <c r="M1819">
        <v>284</v>
      </c>
      <c r="O1819" t="s">
        <v>10021</v>
      </c>
      <c r="P1819">
        <v>383</v>
      </c>
      <c r="Q1819">
        <v>2.74</v>
      </c>
    </row>
    <row r="1820" spans="1:17" x14ac:dyDescent="0.25">
      <c r="A1820">
        <v>2598</v>
      </c>
      <c r="B1820" t="s">
        <v>10022</v>
      </c>
      <c r="C1820" t="s">
        <v>10023</v>
      </c>
      <c r="D1820" t="s">
        <v>2257</v>
      </c>
      <c r="F1820">
        <v>2014</v>
      </c>
      <c r="H1820" t="s">
        <v>1878</v>
      </c>
      <c r="I1820">
        <v>3</v>
      </c>
      <c r="J1820" t="s">
        <v>9196</v>
      </c>
      <c r="K1820" t="s">
        <v>14332</v>
      </c>
      <c r="L1820" s="222">
        <v>9783426786109</v>
      </c>
      <c r="M1820">
        <v>288</v>
      </c>
      <c r="O1820" t="s">
        <v>10025</v>
      </c>
      <c r="P1820">
        <v>315</v>
      </c>
      <c r="Q1820">
        <v>2.74</v>
      </c>
    </row>
    <row r="1821" spans="1:17" x14ac:dyDescent="0.25">
      <c r="A1821">
        <v>690</v>
      </c>
      <c r="B1821" t="s">
        <v>10026</v>
      </c>
      <c r="C1821" t="s">
        <v>10027</v>
      </c>
      <c r="D1821" t="s">
        <v>10028</v>
      </c>
      <c r="F1821">
        <v>1998</v>
      </c>
      <c r="H1821" t="s">
        <v>2734</v>
      </c>
      <c r="I1821">
        <v>1</v>
      </c>
      <c r="K1821" t="s">
        <v>14332</v>
      </c>
      <c r="L1821" s="222">
        <v>9783596850419</v>
      </c>
      <c r="M1821">
        <v>191</v>
      </c>
      <c r="O1821" t="s">
        <v>10030</v>
      </c>
      <c r="P1821">
        <v>352</v>
      </c>
      <c r="Q1821">
        <v>2.74</v>
      </c>
    </row>
    <row r="1822" spans="1:17" x14ac:dyDescent="0.25">
      <c r="A1822">
        <v>701</v>
      </c>
      <c r="B1822" t="s">
        <v>10031</v>
      </c>
      <c r="C1822" t="s">
        <v>10032</v>
      </c>
      <c r="D1822" t="s">
        <v>8098</v>
      </c>
      <c r="F1822">
        <v>2012</v>
      </c>
      <c r="H1822" t="s">
        <v>1878</v>
      </c>
      <c r="I1822">
        <v>2</v>
      </c>
      <c r="K1822" t="s">
        <v>14332</v>
      </c>
      <c r="L1822" s="222">
        <v>9783866123113</v>
      </c>
      <c r="M1822">
        <v>284</v>
      </c>
      <c r="O1822" t="s">
        <v>10034</v>
      </c>
      <c r="P1822">
        <v>362</v>
      </c>
      <c r="Q1822">
        <v>3.13</v>
      </c>
    </row>
    <row r="1823" spans="1:17" x14ac:dyDescent="0.25">
      <c r="A1823">
        <v>2547</v>
      </c>
      <c r="B1823" t="s">
        <v>3941</v>
      </c>
      <c r="C1823" t="s">
        <v>10035</v>
      </c>
      <c r="D1823" t="s">
        <v>1912</v>
      </c>
      <c r="F1823">
        <v>2005</v>
      </c>
      <c r="H1823" t="s">
        <v>1878</v>
      </c>
      <c r="I1823">
        <v>3</v>
      </c>
      <c r="J1823" t="s">
        <v>9196</v>
      </c>
      <c r="K1823" t="s">
        <v>14332</v>
      </c>
      <c r="L1823" s="222">
        <v>9783442459797</v>
      </c>
      <c r="M1823">
        <v>348</v>
      </c>
      <c r="O1823" t="s">
        <v>10037</v>
      </c>
      <c r="P1823">
        <v>274</v>
      </c>
      <c r="Q1823">
        <v>2.74</v>
      </c>
    </row>
    <row r="1824" spans="1:17" x14ac:dyDescent="0.25">
      <c r="A1824">
        <v>1386</v>
      </c>
      <c r="B1824" t="s">
        <v>10038</v>
      </c>
      <c r="C1824" t="s">
        <v>10039</v>
      </c>
      <c r="D1824" t="s">
        <v>2054</v>
      </c>
      <c r="F1824">
        <v>2010</v>
      </c>
      <c r="H1824" t="s">
        <v>2734</v>
      </c>
      <c r="I1824">
        <v>1</v>
      </c>
      <c r="K1824" t="s">
        <v>14332</v>
      </c>
      <c r="L1824" s="222">
        <v>4026411395418</v>
      </c>
      <c r="M1824">
        <v>462</v>
      </c>
      <c r="O1824" t="s">
        <v>10041</v>
      </c>
      <c r="P1824">
        <v>402</v>
      </c>
      <c r="Q1824">
        <v>2.74</v>
      </c>
    </row>
    <row r="1825" spans="1:17" x14ac:dyDescent="0.25">
      <c r="A1825">
        <v>1386</v>
      </c>
      <c r="B1825" t="s">
        <v>10042</v>
      </c>
      <c r="C1825" t="s">
        <v>10043</v>
      </c>
      <c r="D1825" t="s">
        <v>10044</v>
      </c>
      <c r="E1825" t="s">
        <v>1913</v>
      </c>
      <c r="F1825">
        <v>2010</v>
      </c>
      <c r="H1825" t="s">
        <v>2734</v>
      </c>
      <c r="I1825">
        <v>1</v>
      </c>
      <c r="K1825" t="s">
        <v>14332</v>
      </c>
      <c r="L1825" s="222">
        <v>9783462041435</v>
      </c>
      <c r="M1825">
        <v>308</v>
      </c>
      <c r="O1825" t="s">
        <v>10046</v>
      </c>
      <c r="P1825">
        <v>456</v>
      </c>
      <c r="Q1825">
        <v>2.85</v>
      </c>
    </row>
    <row r="1826" spans="1:17" x14ac:dyDescent="0.25">
      <c r="A1826">
        <v>632</v>
      </c>
      <c r="B1826" t="s">
        <v>10047</v>
      </c>
      <c r="C1826" t="s">
        <v>10048</v>
      </c>
      <c r="D1826" t="s">
        <v>10049</v>
      </c>
      <c r="F1826">
        <v>2005</v>
      </c>
      <c r="H1826" t="s">
        <v>2734</v>
      </c>
      <c r="I1826">
        <v>2</v>
      </c>
      <c r="K1826" t="s">
        <v>14332</v>
      </c>
      <c r="L1826" s="222">
        <v>9783293003491</v>
      </c>
      <c r="M1826">
        <v>267</v>
      </c>
      <c r="O1826" t="s">
        <v>10051</v>
      </c>
      <c r="P1826">
        <v>313</v>
      </c>
      <c r="Q1826">
        <v>4.54</v>
      </c>
    </row>
    <row r="1827" spans="1:17" x14ac:dyDescent="0.25">
      <c r="A1827">
        <v>632</v>
      </c>
      <c r="B1827" t="s">
        <v>7321</v>
      </c>
      <c r="C1827" t="s">
        <v>10052</v>
      </c>
      <c r="D1827" t="s">
        <v>2209</v>
      </c>
      <c r="E1827" t="s">
        <v>1899</v>
      </c>
      <c r="F1827">
        <v>2014</v>
      </c>
      <c r="H1827" t="s">
        <v>1878</v>
      </c>
      <c r="I1827">
        <v>2</v>
      </c>
      <c r="J1827" t="s">
        <v>9196</v>
      </c>
      <c r="K1827" t="s">
        <v>14332</v>
      </c>
      <c r="L1827" s="222">
        <v>4026725901015</v>
      </c>
      <c r="M1827">
        <v>539</v>
      </c>
      <c r="O1827" t="s">
        <v>10054</v>
      </c>
      <c r="P1827">
        <v>476</v>
      </c>
      <c r="Q1827">
        <v>3.03</v>
      </c>
    </row>
    <row r="1828" spans="1:17" x14ac:dyDescent="0.25">
      <c r="A1828">
        <v>796</v>
      </c>
      <c r="B1828" t="s">
        <v>10055</v>
      </c>
      <c r="C1828" t="s">
        <v>10056</v>
      </c>
      <c r="D1828" t="s">
        <v>9919</v>
      </c>
      <c r="E1828" t="s">
        <v>1913</v>
      </c>
      <c r="F1828">
        <v>2016</v>
      </c>
      <c r="H1828" t="s">
        <v>1878</v>
      </c>
      <c r="I1828">
        <v>1</v>
      </c>
      <c r="K1828" t="s">
        <v>14332</v>
      </c>
      <c r="L1828" s="222">
        <v>9783802599187</v>
      </c>
      <c r="M1828">
        <v>373</v>
      </c>
      <c r="O1828" t="s">
        <v>10058</v>
      </c>
      <c r="P1828">
        <v>329</v>
      </c>
      <c r="Q1828">
        <v>7.84</v>
      </c>
    </row>
    <row r="1829" spans="1:17" x14ac:dyDescent="0.25">
      <c r="A1829">
        <v>2530</v>
      </c>
      <c r="C1829" t="s">
        <v>10059</v>
      </c>
      <c r="E1829" t="s">
        <v>2518</v>
      </c>
      <c r="F1829">
        <v>1994</v>
      </c>
      <c r="H1829" t="s">
        <v>2734</v>
      </c>
      <c r="I1829">
        <v>3</v>
      </c>
      <c r="K1829" t="s">
        <v>14332</v>
      </c>
      <c r="L1829" s="222">
        <v>9783502651338</v>
      </c>
      <c r="M1829">
        <v>215</v>
      </c>
      <c r="O1829" t="s">
        <v>10061</v>
      </c>
      <c r="P1829">
        <v>351</v>
      </c>
      <c r="Q1829">
        <v>5.29</v>
      </c>
    </row>
    <row r="1830" spans="1:17" x14ac:dyDescent="0.25">
      <c r="A1830">
        <v>1386</v>
      </c>
      <c r="B1830" t="s">
        <v>10062</v>
      </c>
      <c r="C1830" t="s">
        <v>10063</v>
      </c>
      <c r="D1830" t="s">
        <v>9119</v>
      </c>
      <c r="H1830" t="s">
        <v>2734</v>
      </c>
      <c r="I1830">
        <v>2</v>
      </c>
      <c r="K1830" t="s">
        <v>14332</v>
      </c>
      <c r="L1830" s="222">
        <v>9783462052336</v>
      </c>
      <c r="M1830">
        <v>312</v>
      </c>
      <c r="O1830" t="s">
        <v>10065</v>
      </c>
      <c r="P1830">
        <v>391</v>
      </c>
      <c r="Q1830">
        <v>8.89</v>
      </c>
    </row>
    <row r="1831" spans="1:17" x14ac:dyDescent="0.25">
      <c r="A1831">
        <v>692</v>
      </c>
      <c r="B1831" t="s">
        <v>10066</v>
      </c>
      <c r="C1831" t="s">
        <v>10067</v>
      </c>
      <c r="D1831" t="s">
        <v>1920</v>
      </c>
      <c r="E1831" t="s">
        <v>1913</v>
      </c>
      <c r="F1831">
        <v>2008</v>
      </c>
      <c r="H1831" t="s">
        <v>1878</v>
      </c>
      <c r="I1831">
        <v>2</v>
      </c>
      <c r="K1831" t="s">
        <v>14332</v>
      </c>
      <c r="L1831" s="222">
        <v>9783404616541</v>
      </c>
      <c r="M1831">
        <v>349</v>
      </c>
      <c r="O1831" t="s">
        <v>10069</v>
      </c>
      <c r="P1831">
        <v>357</v>
      </c>
      <c r="Q1831">
        <v>3.2</v>
      </c>
    </row>
    <row r="1832" spans="1:17" x14ac:dyDescent="0.25">
      <c r="A1832">
        <v>796</v>
      </c>
      <c r="B1832" t="s">
        <v>10070</v>
      </c>
      <c r="C1832" t="s">
        <v>10071</v>
      </c>
      <c r="D1832" t="s">
        <v>9893</v>
      </c>
      <c r="E1832" t="s">
        <v>2175</v>
      </c>
      <c r="F1832">
        <v>2013</v>
      </c>
      <c r="H1832" t="s">
        <v>1878</v>
      </c>
      <c r="I1832">
        <v>2</v>
      </c>
      <c r="K1832" t="s">
        <v>14332</v>
      </c>
      <c r="L1832" s="222">
        <v>9783499227912</v>
      </c>
      <c r="M1832">
        <v>462</v>
      </c>
      <c r="O1832" t="s">
        <v>10073</v>
      </c>
      <c r="P1832">
        <v>469</v>
      </c>
      <c r="Q1832">
        <v>3</v>
      </c>
    </row>
    <row r="1833" spans="1:17" x14ac:dyDescent="0.25">
      <c r="A1833">
        <v>2551</v>
      </c>
      <c r="B1833" t="s">
        <v>8057</v>
      </c>
      <c r="C1833" t="s">
        <v>10078</v>
      </c>
      <c r="D1833" t="s">
        <v>2309</v>
      </c>
      <c r="E1833" t="s">
        <v>1913</v>
      </c>
      <c r="F1833">
        <v>2012</v>
      </c>
      <c r="H1833" t="s">
        <v>1878</v>
      </c>
      <c r="I1833">
        <v>1</v>
      </c>
      <c r="K1833" t="s">
        <v>14332</v>
      </c>
      <c r="L1833" s="222">
        <v>9783548284934</v>
      </c>
      <c r="M1833">
        <v>549</v>
      </c>
      <c r="O1833" t="s">
        <v>10080</v>
      </c>
      <c r="P1833">
        <v>416</v>
      </c>
      <c r="Q1833">
        <v>3.39</v>
      </c>
    </row>
    <row r="1834" spans="1:17" x14ac:dyDescent="0.25">
      <c r="A1834">
        <v>692</v>
      </c>
      <c r="B1834" t="s">
        <v>10084</v>
      </c>
      <c r="C1834" t="s">
        <v>10085</v>
      </c>
      <c r="D1834" t="s">
        <v>9763</v>
      </c>
      <c r="F1834">
        <v>2006</v>
      </c>
      <c r="H1834" t="s">
        <v>1878</v>
      </c>
      <c r="I1834">
        <v>2</v>
      </c>
      <c r="J1834" t="s">
        <v>9196</v>
      </c>
      <c r="K1834" t="s">
        <v>14332</v>
      </c>
      <c r="L1834" s="222">
        <v>9783453351141</v>
      </c>
      <c r="M1834">
        <v>495</v>
      </c>
      <c r="O1834" t="s">
        <v>10087</v>
      </c>
      <c r="P1834">
        <v>413</v>
      </c>
      <c r="Q1834">
        <v>2.74</v>
      </c>
    </row>
    <row r="1835" spans="1:17" x14ac:dyDescent="0.25">
      <c r="A1835">
        <v>2553</v>
      </c>
      <c r="B1835" t="s">
        <v>10088</v>
      </c>
      <c r="C1835" t="s">
        <v>10089</v>
      </c>
      <c r="D1835" t="s">
        <v>1912</v>
      </c>
      <c r="F1835">
        <v>1995</v>
      </c>
      <c r="H1835" t="s">
        <v>1878</v>
      </c>
      <c r="I1835" s="305">
        <v>43892</v>
      </c>
      <c r="J1835" t="s">
        <v>9196</v>
      </c>
      <c r="K1835" t="s">
        <v>14332</v>
      </c>
      <c r="L1835" s="222">
        <v>9783442437399</v>
      </c>
      <c r="M1835">
        <v>380</v>
      </c>
      <c r="O1835" t="s">
        <v>10091</v>
      </c>
      <c r="P1835">
        <v>359</v>
      </c>
      <c r="Q1835">
        <v>2.74</v>
      </c>
    </row>
    <row r="1836" spans="1:17" x14ac:dyDescent="0.25">
      <c r="A1836">
        <v>2518</v>
      </c>
      <c r="B1836" t="s">
        <v>8303</v>
      </c>
      <c r="C1836" t="s">
        <v>10092</v>
      </c>
      <c r="D1836" t="s">
        <v>10093</v>
      </c>
      <c r="H1836" t="s">
        <v>1878</v>
      </c>
      <c r="I1836">
        <v>3</v>
      </c>
      <c r="K1836" t="s">
        <v>14332</v>
      </c>
      <c r="L1836" s="222">
        <v>9783897054387</v>
      </c>
      <c r="M1836">
        <v>222</v>
      </c>
      <c r="O1836" t="s">
        <v>10095</v>
      </c>
      <c r="P1836">
        <v>263</v>
      </c>
      <c r="Q1836">
        <v>2.79</v>
      </c>
    </row>
    <row r="1837" spans="1:17" x14ac:dyDescent="0.25">
      <c r="A1837">
        <v>2518</v>
      </c>
      <c r="B1837" t="s">
        <v>10096</v>
      </c>
      <c r="C1837" t="s">
        <v>10097</v>
      </c>
      <c r="D1837" t="s">
        <v>1988</v>
      </c>
      <c r="E1837" t="s">
        <v>1913</v>
      </c>
      <c r="F1837">
        <v>2008</v>
      </c>
      <c r="H1837" t="s">
        <v>1878</v>
      </c>
      <c r="I1837">
        <v>3</v>
      </c>
      <c r="K1837" t="s">
        <v>14332</v>
      </c>
      <c r="L1837" s="222">
        <v>9783423210546</v>
      </c>
      <c r="M1837">
        <v>237</v>
      </c>
      <c r="O1837" t="s">
        <v>10099</v>
      </c>
      <c r="P1837">
        <v>232</v>
      </c>
      <c r="Q1837">
        <v>2.74</v>
      </c>
    </row>
    <row r="1838" spans="1:17" x14ac:dyDescent="0.25">
      <c r="A1838">
        <v>2518</v>
      </c>
      <c r="B1838" t="s">
        <v>10100</v>
      </c>
      <c r="C1838" t="s">
        <v>10101</v>
      </c>
      <c r="D1838" t="s">
        <v>10102</v>
      </c>
      <c r="F1838">
        <v>1996</v>
      </c>
      <c r="H1838" t="s">
        <v>1878</v>
      </c>
      <c r="I1838" t="s">
        <v>1899</v>
      </c>
      <c r="K1838" t="s">
        <v>14332</v>
      </c>
      <c r="L1838" s="222">
        <v>9783502515739</v>
      </c>
      <c r="M1838">
        <v>195</v>
      </c>
      <c r="O1838" t="s">
        <v>10104</v>
      </c>
      <c r="P1838">
        <v>178</v>
      </c>
      <c r="Q1838">
        <v>2.74</v>
      </c>
    </row>
    <row r="1839" spans="1:17" x14ac:dyDescent="0.25">
      <c r="A1839">
        <v>1913</v>
      </c>
      <c r="B1839" t="s">
        <v>2877</v>
      </c>
      <c r="C1839" t="s">
        <v>10105</v>
      </c>
      <c r="D1839" t="s">
        <v>1988</v>
      </c>
      <c r="E1839" t="s">
        <v>1913</v>
      </c>
      <c r="F1839">
        <v>2007</v>
      </c>
      <c r="H1839" t="s">
        <v>1878</v>
      </c>
      <c r="I1839">
        <v>2</v>
      </c>
      <c r="J1839" t="s">
        <v>9196</v>
      </c>
      <c r="K1839" t="s">
        <v>14332</v>
      </c>
      <c r="L1839" s="222">
        <v>9783423246026</v>
      </c>
      <c r="M1839">
        <v>376</v>
      </c>
      <c r="O1839" t="s">
        <v>10107</v>
      </c>
      <c r="P1839">
        <v>462</v>
      </c>
      <c r="Q1839">
        <v>2.74</v>
      </c>
    </row>
    <row r="1840" spans="1:17" x14ac:dyDescent="0.25">
      <c r="A1840">
        <v>796</v>
      </c>
      <c r="B1840" t="s">
        <v>4888</v>
      </c>
      <c r="C1840" t="s">
        <v>10108</v>
      </c>
      <c r="D1840" t="s">
        <v>1912</v>
      </c>
      <c r="E1840" t="s">
        <v>2937</v>
      </c>
      <c r="F1840">
        <v>2002</v>
      </c>
      <c r="H1840" t="s">
        <v>1878</v>
      </c>
      <c r="I1840">
        <v>2</v>
      </c>
      <c r="K1840" t="s">
        <v>14332</v>
      </c>
      <c r="L1840" s="222">
        <v>9783442452644</v>
      </c>
      <c r="M1840">
        <v>443</v>
      </c>
      <c r="O1840" t="s">
        <v>10110</v>
      </c>
      <c r="P1840">
        <v>366</v>
      </c>
      <c r="Q1840">
        <v>2.74</v>
      </c>
    </row>
    <row r="1841" spans="1:17" x14ac:dyDescent="0.25">
      <c r="A1841">
        <v>2548</v>
      </c>
      <c r="B1841" t="s">
        <v>10111</v>
      </c>
      <c r="C1841" t="s">
        <v>10112</v>
      </c>
      <c r="D1841" t="s">
        <v>1920</v>
      </c>
      <c r="E1841" t="s">
        <v>1913</v>
      </c>
      <c r="F1841">
        <v>2001</v>
      </c>
      <c r="H1841" t="s">
        <v>1878</v>
      </c>
      <c r="I1841">
        <v>2</v>
      </c>
      <c r="K1841" t="s">
        <v>14332</v>
      </c>
      <c r="L1841" s="222">
        <v>9783404145881</v>
      </c>
      <c r="M1841">
        <v>347</v>
      </c>
      <c r="O1841" t="s">
        <v>10114</v>
      </c>
      <c r="P1841">
        <v>307</v>
      </c>
      <c r="Q1841">
        <v>2.74</v>
      </c>
    </row>
    <row r="1842" spans="1:17" x14ac:dyDescent="0.25">
      <c r="A1842">
        <v>692</v>
      </c>
      <c r="B1842" t="s">
        <v>10115</v>
      </c>
      <c r="C1842" t="s">
        <v>10116</v>
      </c>
      <c r="D1842" t="s">
        <v>2609</v>
      </c>
      <c r="E1842" t="s">
        <v>1877</v>
      </c>
      <c r="F1842">
        <v>1999</v>
      </c>
      <c r="H1842" t="s">
        <v>1878</v>
      </c>
      <c r="I1842" s="305">
        <v>43892</v>
      </c>
      <c r="K1842" t="s">
        <v>14332</v>
      </c>
      <c r="L1842" s="222">
        <v>9783596144860</v>
      </c>
      <c r="M1842">
        <v>380</v>
      </c>
      <c r="O1842" t="s">
        <v>10118</v>
      </c>
      <c r="P1842">
        <v>413</v>
      </c>
      <c r="Q1842">
        <v>2.74</v>
      </c>
    </row>
    <row r="1843" spans="1:17" x14ac:dyDescent="0.25">
      <c r="A1843">
        <v>2547</v>
      </c>
      <c r="B1843" t="s">
        <v>10119</v>
      </c>
      <c r="C1843" t="s">
        <v>10120</v>
      </c>
      <c r="D1843" t="s">
        <v>10121</v>
      </c>
      <c r="H1843" t="s">
        <v>1878</v>
      </c>
      <c r="I1843" s="305">
        <v>43892</v>
      </c>
      <c r="K1843" t="s">
        <v>14332</v>
      </c>
      <c r="M1843">
        <v>654</v>
      </c>
      <c r="O1843" t="s">
        <v>10122</v>
      </c>
      <c r="P1843">
        <v>468</v>
      </c>
      <c r="Q1843">
        <v>3.1</v>
      </c>
    </row>
    <row r="1844" spans="1:17" x14ac:dyDescent="0.25">
      <c r="A1844">
        <v>2547</v>
      </c>
      <c r="B1844" t="s">
        <v>10123</v>
      </c>
      <c r="C1844" t="s">
        <v>10124</v>
      </c>
      <c r="D1844" t="s">
        <v>2054</v>
      </c>
      <c r="F1844">
        <v>2011</v>
      </c>
      <c r="H1844" t="s">
        <v>1878</v>
      </c>
      <c r="I1844">
        <v>2</v>
      </c>
      <c r="K1844" t="s">
        <v>14332</v>
      </c>
      <c r="L1844" s="222">
        <v>9783863650728</v>
      </c>
      <c r="M1844">
        <v>398</v>
      </c>
      <c r="O1844" t="s">
        <v>10126</v>
      </c>
      <c r="P1844">
        <v>383</v>
      </c>
      <c r="Q1844">
        <v>2.79</v>
      </c>
    </row>
    <row r="1845" spans="1:17" x14ac:dyDescent="0.25">
      <c r="A1845">
        <v>692</v>
      </c>
      <c r="B1845" t="s">
        <v>10127</v>
      </c>
      <c r="C1845" t="s">
        <v>10128</v>
      </c>
      <c r="D1845" t="s">
        <v>3077</v>
      </c>
      <c r="E1845" t="s">
        <v>1913</v>
      </c>
      <c r="F1845">
        <v>2014</v>
      </c>
      <c r="H1845" t="s">
        <v>1878</v>
      </c>
      <c r="I1845">
        <v>2</v>
      </c>
      <c r="J1845" t="s">
        <v>9196</v>
      </c>
      <c r="K1845" t="s">
        <v>14332</v>
      </c>
      <c r="L1845" s="222">
        <v>9783442378005</v>
      </c>
      <c r="M1845">
        <v>573</v>
      </c>
      <c r="O1845" t="s">
        <v>10130</v>
      </c>
      <c r="P1845">
        <v>470</v>
      </c>
      <c r="Q1845">
        <v>2.77</v>
      </c>
    </row>
    <row r="1846" spans="1:17" x14ac:dyDescent="0.25">
      <c r="A1846">
        <v>692</v>
      </c>
      <c r="B1846" t="s">
        <v>2870</v>
      </c>
      <c r="C1846" t="s">
        <v>10131</v>
      </c>
      <c r="D1846" t="s">
        <v>2054</v>
      </c>
      <c r="H1846" t="s">
        <v>2734</v>
      </c>
      <c r="I1846">
        <v>1</v>
      </c>
      <c r="K1846" t="s">
        <v>14332</v>
      </c>
      <c r="L1846" s="222">
        <v>4026411105130</v>
      </c>
      <c r="M1846">
        <v>487</v>
      </c>
      <c r="O1846" t="s">
        <v>10133</v>
      </c>
      <c r="P1846">
        <v>558</v>
      </c>
      <c r="Q1846">
        <v>3.79</v>
      </c>
    </row>
    <row r="1847" spans="1:17" x14ac:dyDescent="0.25">
      <c r="A1847">
        <v>2518</v>
      </c>
      <c r="B1847" t="s">
        <v>7746</v>
      </c>
      <c r="C1847" t="s">
        <v>10134</v>
      </c>
      <c r="D1847" t="s">
        <v>2257</v>
      </c>
      <c r="F1847">
        <v>2002</v>
      </c>
      <c r="H1847" t="s">
        <v>1878</v>
      </c>
      <c r="I1847">
        <v>3</v>
      </c>
      <c r="K1847" t="s">
        <v>14332</v>
      </c>
      <c r="L1847" s="222">
        <v>9783426619049</v>
      </c>
      <c r="M1847">
        <v>635</v>
      </c>
      <c r="O1847" t="s">
        <v>10136</v>
      </c>
      <c r="P1847">
        <v>335</v>
      </c>
      <c r="Q1847">
        <v>3.56</v>
      </c>
    </row>
    <row r="1848" spans="1:17" x14ac:dyDescent="0.25">
      <c r="A1848">
        <v>2547</v>
      </c>
      <c r="B1848" t="s">
        <v>10141</v>
      </c>
      <c r="C1848" t="s">
        <v>10142</v>
      </c>
      <c r="D1848" t="s">
        <v>10143</v>
      </c>
      <c r="E1848" t="s">
        <v>1913</v>
      </c>
      <c r="F1848">
        <v>2017</v>
      </c>
      <c r="H1848" t="s">
        <v>1878</v>
      </c>
      <c r="I1848">
        <v>2</v>
      </c>
      <c r="K1848" t="s">
        <v>14332</v>
      </c>
      <c r="L1848" s="222">
        <v>9783328101109</v>
      </c>
      <c r="M1848">
        <v>296</v>
      </c>
      <c r="O1848" t="s">
        <v>10145</v>
      </c>
      <c r="P1848">
        <v>289</v>
      </c>
      <c r="Q1848">
        <v>2.9</v>
      </c>
    </row>
    <row r="1849" spans="1:17" x14ac:dyDescent="0.25">
      <c r="A1849">
        <v>2547</v>
      </c>
      <c r="B1849" t="s">
        <v>4071</v>
      </c>
      <c r="C1849" t="s">
        <v>10150</v>
      </c>
      <c r="D1849" t="s">
        <v>1912</v>
      </c>
      <c r="F1849">
        <v>1994</v>
      </c>
      <c r="H1849" t="s">
        <v>1878</v>
      </c>
      <c r="I1849">
        <v>2</v>
      </c>
      <c r="K1849" t="s">
        <v>14332</v>
      </c>
      <c r="L1849" s="222">
        <v>9783442437719</v>
      </c>
      <c r="M1849">
        <v>757</v>
      </c>
      <c r="O1849" t="s">
        <v>10152</v>
      </c>
      <c r="P1849">
        <v>500</v>
      </c>
      <c r="Q1849">
        <v>2.2000000000000002</v>
      </c>
    </row>
    <row r="1850" spans="1:17" x14ac:dyDescent="0.25">
      <c r="A1850">
        <v>1343</v>
      </c>
      <c r="B1850" t="s">
        <v>10153</v>
      </c>
      <c r="C1850" t="s">
        <v>10154</v>
      </c>
      <c r="D1850" t="s">
        <v>10155</v>
      </c>
      <c r="E1850" t="s">
        <v>1877</v>
      </c>
      <c r="H1850" t="s">
        <v>2734</v>
      </c>
      <c r="I1850">
        <v>1</v>
      </c>
      <c r="K1850" t="s">
        <v>14332</v>
      </c>
      <c r="L1850" s="222">
        <v>9783937774923</v>
      </c>
      <c r="M1850">
        <v>144</v>
      </c>
      <c r="O1850" t="s">
        <v>10157</v>
      </c>
      <c r="P1850">
        <v>246</v>
      </c>
      <c r="Q1850">
        <v>3.7</v>
      </c>
    </row>
    <row r="1851" spans="1:17" x14ac:dyDescent="0.25">
      <c r="A1851">
        <v>2551</v>
      </c>
      <c r="B1851" t="s">
        <v>5033</v>
      </c>
      <c r="C1851" t="s">
        <v>10158</v>
      </c>
      <c r="D1851" t="s">
        <v>1988</v>
      </c>
      <c r="E1851" t="s">
        <v>2412</v>
      </c>
      <c r="F1851">
        <v>1999</v>
      </c>
      <c r="H1851" t="s">
        <v>1878</v>
      </c>
      <c r="I1851">
        <v>2</v>
      </c>
      <c r="K1851" t="s">
        <v>14332</v>
      </c>
      <c r="L1851" s="222">
        <v>9783423201506</v>
      </c>
      <c r="M1851">
        <v>538</v>
      </c>
      <c r="O1851" t="s">
        <v>10160</v>
      </c>
      <c r="P1851">
        <v>392</v>
      </c>
      <c r="Q1851">
        <v>2.1800000000000002</v>
      </c>
    </row>
    <row r="1852" spans="1:17" x14ac:dyDescent="0.25">
      <c r="A1852">
        <v>1386</v>
      </c>
      <c r="B1852" t="s">
        <v>10161</v>
      </c>
      <c r="C1852" t="s">
        <v>10162</v>
      </c>
      <c r="D1852" t="s">
        <v>9119</v>
      </c>
      <c r="E1852" t="s">
        <v>10163</v>
      </c>
      <c r="F1852">
        <v>2017</v>
      </c>
      <c r="H1852" t="s">
        <v>1878</v>
      </c>
      <c r="I1852">
        <v>2</v>
      </c>
      <c r="K1852" t="s">
        <v>14332</v>
      </c>
      <c r="L1852" s="222">
        <v>9783462041491</v>
      </c>
      <c r="M1852">
        <v>254</v>
      </c>
      <c r="O1852" t="s">
        <v>10165</v>
      </c>
      <c r="P1852">
        <v>212</v>
      </c>
      <c r="Q1852">
        <v>2.66</v>
      </c>
    </row>
    <row r="1853" spans="1:17" x14ac:dyDescent="0.25">
      <c r="A1853">
        <v>692</v>
      </c>
      <c r="B1853" t="s">
        <v>8747</v>
      </c>
      <c r="C1853" t="s">
        <v>10166</v>
      </c>
      <c r="D1853" t="s">
        <v>2257</v>
      </c>
      <c r="F1853">
        <v>2007</v>
      </c>
      <c r="H1853" t="s">
        <v>1878</v>
      </c>
      <c r="I1853">
        <v>2</v>
      </c>
      <c r="K1853" t="s">
        <v>14332</v>
      </c>
      <c r="L1853" s="222">
        <v>9783426636077</v>
      </c>
      <c r="M1853">
        <v>396</v>
      </c>
      <c r="O1853" t="s">
        <v>10168</v>
      </c>
      <c r="P1853">
        <v>266</v>
      </c>
      <c r="Q1853">
        <v>1.79</v>
      </c>
    </row>
    <row r="1854" spans="1:17" x14ac:dyDescent="0.25">
      <c r="A1854">
        <v>1386</v>
      </c>
      <c r="B1854" t="s">
        <v>10169</v>
      </c>
      <c r="C1854" t="s">
        <v>10170</v>
      </c>
      <c r="D1854" t="s">
        <v>9763</v>
      </c>
      <c r="E1854" t="s">
        <v>2412</v>
      </c>
      <c r="F1854">
        <v>1999</v>
      </c>
      <c r="H1854" t="s">
        <v>1878</v>
      </c>
      <c r="I1854">
        <v>2</v>
      </c>
      <c r="K1854" t="s">
        <v>14332</v>
      </c>
      <c r="L1854" s="222">
        <v>9783453150225</v>
      </c>
      <c r="M1854">
        <v>365</v>
      </c>
      <c r="O1854" t="s">
        <v>10172</v>
      </c>
      <c r="P1854">
        <v>380</v>
      </c>
      <c r="Q1854">
        <v>2.2000000000000002</v>
      </c>
    </row>
    <row r="1855" spans="1:17" x14ac:dyDescent="0.25">
      <c r="A1855">
        <v>796</v>
      </c>
      <c r="B1855" t="s">
        <v>10173</v>
      </c>
      <c r="C1855" t="s">
        <v>10174</v>
      </c>
      <c r="D1855" t="s">
        <v>1920</v>
      </c>
      <c r="F1855">
        <v>1999</v>
      </c>
      <c r="H1855" t="s">
        <v>1878</v>
      </c>
      <c r="I1855" s="305">
        <v>43892</v>
      </c>
      <c r="K1855" t="s">
        <v>14332</v>
      </c>
      <c r="L1855" s="222">
        <v>9783404181964</v>
      </c>
      <c r="M1855">
        <v>403</v>
      </c>
      <c r="O1855" t="s">
        <v>10176</v>
      </c>
      <c r="P1855">
        <v>273</v>
      </c>
      <c r="Q1855">
        <v>4.46</v>
      </c>
    </row>
    <row r="1856" spans="1:17" x14ac:dyDescent="0.25">
      <c r="A1856">
        <v>632</v>
      </c>
      <c r="B1856" t="s">
        <v>10177</v>
      </c>
      <c r="C1856" t="s">
        <v>10178</v>
      </c>
      <c r="D1856" t="s">
        <v>10179</v>
      </c>
      <c r="F1856">
        <v>1987</v>
      </c>
      <c r="H1856" t="s">
        <v>2734</v>
      </c>
      <c r="I1856">
        <v>2</v>
      </c>
      <c r="K1856" t="s">
        <v>14332</v>
      </c>
      <c r="L1856" s="222">
        <v>9783795108922</v>
      </c>
      <c r="M1856">
        <v>407</v>
      </c>
      <c r="O1856" t="s">
        <v>10181</v>
      </c>
      <c r="P1856">
        <v>545</v>
      </c>
      <c r="Q1856">
        <v>2.2000000000000002</v>
      </c>
    </row>
    <row r="1857" spans="1:17" x14ac:dyDescent="0.25">
      <c r="A1857">
        <v>1327</v>
      </c>
      <c r="B1857" t="s">
        <v>10182</v>
      </c>
      <c r="C1857" t="s">
        <v>10183</v>
      </c>
      <c r="D1857" t="s">
        <v>1912</v>
      </c>
      <c r="E1857" t="s">
        <v>1913</v>
      </c>
      <c r="F1857">
        <v>1996</v>
      </c>
      <c r="H1857" t="s">
        <v>2734</v>
      </c>
      <c r="I1857">
        <v>1</v>
      </c>
      <c r="J1857" t="s">
        <v>10184</v>
      </c>
      <c r="K1857" t="s">
        <v>14332</v>
      </c>
      <c r="L1857" s="222">
        <v>9783442306343</v>
      </c>
      <c r="M1857">
        <v>220</v>
      </c>
      <c r="O1857" t="s">
        <v>10186</v>
      </c>
      <c r="P1857">
        <v>309</v>
      </c>
      <c r="Q1857">
        <v>1.1200000000000001</v>
      </c>
    </row>
    <row r="1858" spans="1:17" x14ac:dyDescent="0.25">
      <c r="A1858">
        <v>636</v>
      </c>
      <c r="B1858" t="s">
        <v>1979</v>
      </c>
      <c r="C1858" t="s">
        <v>10187</v>
      </c>
      <c r="D1858" t="s">
        <v>1979</v>
      </c>
      <c r="H1858" t="s">
        <v>2734</v>
      </c>
      <c r="I1858">
        <v>1</v>
      </c>
      <c r="K1858" t="s">
        <v>14332</v>
      </c>
      <c r="L1858" s="222">
        <v>9783473553686</v>
      </c>
      <c r="M1858">
        <v>137</v>
      </c>
      <c r="O1858" t="s">
        <v>10189</v>
      </c>
      <c r="P1858">
        <v>830</v>
      </c>
      <c r="Q1858">
        <v>2.74</v>
      </c>
    </row>
    <row r="1859" spans="1:17" x14ac:dyDescent="0.25">
      <c r="A1859">
        <v>839</v>
      </c>
      <c r="B1859" t="s">
        <v>10190</v>
      </c>
      <c r="C1859" t="s">
        <v>10191</v>
      </c>
      <c r="D1859" t="s">
        <v>10192</v>
      </c>
      <c r="F1859">
        <v>1988</v>
      </c>
      <c r="H1859" t="s">
        <v>2734</v>
      </c>
      <c r="I1859">
        <v>1</v>
      </c>
      <c r="K1859" t="s">
        <v>14332</v>
      </c>
      <c r="M1859">
        <v>143</v>
      </c>
      <c r="O1859" t="s">
        <v>10193</v>
      </c>
      <c r="P1859">
        <v>546</v>
      </c>
      <c r="Q1859">
        <v>3.52</v>
      </c>
    </row>
    <row r="1860" spans="1:17" x14ac:dyDescent="0.25">
      <c r="A1860">
        <v>691</v>
      </c>
      <c r="B1860" t="s">
        <v>10194</v>
      </c>
      <c r="C1860" t="s">
        <v>10195</v>
      </c>
      <c r="D1860" t="s">
        <v>6132</v>
      </c>
      <c r="F1860">
        <v>2018</v>
      </c>
      <c r="H1860" t="s">
        <v>2734</v>
      </c>
      <c r="I1860">
        <v>1</v>
      </c>
      <c r="K1860" t="s">
        <v>14332</v>
      </c>
      <c r="L1860" s="222">
        <v>9783825151775</v>
      </c>
      <c r="O1860" t="s">
        <v>10197</v>
      </c>
      <c r="P1860">
        <v>292</v>
      </c>
      <c r="Q1860">
        <v>12.3</v>
      </c>
    </row>
    <row r="1861" spans="1:17" x14ac:dyDescent="0.25">
      <c r="A1861">
        <v>622</v>
      </c>
      <c r="B1861" t="s">
        <v>10198</v>
      </c>
      <c r="C1861" t="s">
        <v>10199</v>
      </c>
      <c r="D1861" t="s">
        <v>5762</v>
      </c>
      <c r="H1861" t="s">
        <v>2734</v>
      </c>
      <c r="I1861">
        <v>1</v>
      </c>
      <c r="K1861" t="s">
        <v>14332</v>
      </c>
      <c r="L1861" s="222">
        <v>9783897368002</v>
      </c>
      <c r="M1861">
        <v>100</v>
      </c>
      <c r="O1861" t="s">
        <v>10201</v>
      </c>
      <c r="P1861">
        <v>368</v>
      </c>
      <c r="Q1861">
        <v>1.89</v>
      </c>
    </row>
    <row r="1862" spans="1:17" x14ac:dyDescent="0.25">
      <c r="A1862">
        <v>1396</v>
      </c>
      <c r="B1862" t="s">
        <v>10202</v>
      </c>
      <c r="C1862" t="s">
        <v>10203</v>
      </c>
      <c r="D1862" t="s">
        <v>2477</v>
      </c>
      <c r="F1862">
        <v>2014</v>
      </c>
      <c r="H1862" t="s">
        <v>2734</v>
      </c>
      <c r="I1862">
        <v>1</v>
      </c>
      <c r="K1862" t="s">
        <v>14332</v>
      </c>
      <c r="L1862" s="222">
        <v>9783809026334</v>
      </c>
      <c r="M1862">
        <v>477</v>
      </c>
      <c r="O1862" t="s">
        <v>10205</v>
      </c>
      <c r="P1862">
        <v>665</v>
      </c>
      <c r="Q1862">
        <v>3.93</v>
      </c>
    </row>
    <row r="1863" spans="1:17" x14ac:dyDescent="0.25">
      <c r="A1863">
        <v>1386</v>
      </c>
      <c r="B1863" t="s">
        <v>10206</v>
      </c>
      <c r="C1863" t="s">
        <v>10207</v>
      </c>
      <c r="D1863" t="s">
        <v>2054</v>
      </c>
      <c r="E1863" t="s">
        <v>1877</v>
      </c>
      <c r="F1863">
        <v>2006</v>
      </c>
      <c r="H1863" t="s">
        <v>2734</v>
      </c>
      <c r="I1863">
        <v>1</v>
      </c>
      <c r="K1863" t="s">
        <v>14332</v>
      </c>
      <c r="L1863" s="222">
        <v>9783898972703</v>
      </c>
      <c r="M1863">
        <v>382</v>
      </c>
      <c r="O1863" t="s">
        <v>10209</v>
      </c>
      <c r="P1863">
        <v>622</v>
      </c>
      <c r="Q1863">
        <v>2.68</v>
      </c>
    </row>
    <row r="1864" spans="1:17" x14ac:dyDescent="0.25">
      <c r="A1864">
        <v>839</v>
      </c>
      <c r="B1864" t="s">
        <v>10190</v>
      </c>
      <c r="C1864" t="s">
        <v>10210</v>
      </c>
      <c r="D1864" t="s">
        <v>10211</v>
      </c>
      <c r="F1864">
        <v>1986</v>
      </c>
      <c r="H1864" t="s">
        <v>2734</v>
      </c>
      <c r="I1864">
        <v>1</v>
      </c>
      <c r="K1864" t="s">
        <v>14332</v>
      </c>
      <c r="M1864">
        <v>143</v>
      </c>
      <c r="O1864" t="s">
        <v>10212</v>
      </c>
      <c r="P1864">
        <v>534</v>
      </c>
      <c r="Q1864">
        <v>13.75</v>
      </c>
    </row>
    <row r="1865" spans="1:17" x14ac:dyDescent="0.25">
      <c r="A1865">
        <v>632</v>
      </c>
      <c r="B1865" t="s">
        <v>10213</v>
      </c>
      <c r="C1865" t="s">
        <v>10214</v>
      </c>
      <c r="D1865" t="s">
        <v>9893</v>
      </c>
      <c r="F1865">
        <v>2009</v>
      </c>
      <c r="H1865" t="s">
        <v>1878</v>
      </c>
      <c r="I1865">
        <v>2</v>
      </c>
      <c r="K1865" t="s">
        <v>14332</v>
      </c>
      <c r="L1865" s="222">
        <v>9783499248061</v>
      </c>
      <c r="M1865">
        <v>494</v>
      </c>
      <c r="O1865" t="s">
        <v>10216</v>
      </c>
      <c r="P1865">
        <v>454</v>
      </c>
      <c r="Q1865">
        <v>2.85</v>
      </c>
    </row>
    <row r="1866" spans="1:17" x14ac:dyDescent="0.25">
      <c r="A1866">
        <v>632</v>
      </c>
      <c r="B1866" t="s">
        <v>10217</v>
      </c>
      <c r="C1866" t="s">
        <v>10218</v>
      </c>
      <c r="D1866" t="s">
        <v>2244</v>
      </c>
      <c r="F1866">
        <v>2000</v>
      </c>
      <c r="H1866" t="s">
        <v>2734</v>
      </c>
      <c r="I1866">
        <v>1</v>
      </c>
      <c r="K1866" t="s">
        <v>14332</v>
      </c>
      <c r="L1866" s="222">
        <v>9783810512659</v>
      </c>
      <c r="M1866">
        <v>373</v>
      </c>
      <c r="O1866" t="s">
        <v>10220</v>
      </c>
      <c r="P1866">
        <v>649</v>
      </c>
      <c r="Q1866">
        <v>2.0099999999999998</v>
      </c>
    </row>
    <row r="1867" spans="1:17" x14ac:dyDescent="0.25">
      <c r="A1867">
        <v>2553</v>
      </c>
      <c r="B1867" t="s">
        <v>3941</v>
      </c>
      <c r="C1867" t="s">
        <v>3942</v>
      </c>
      <c r="D1867" t="s">
        <v>1912</v>
      </c>
      <c r="F1867">
        <v>1997</v>
      </c>
      <c r="H1867" t="s">
        <v>1878</v>
      </c>
      <c r="I1867">
        <v>3</v>
      </c>
      <c r="K1867" t="s">
        <v>14332</v>
      </c>
      <c r="L1867" s="222">
        <v>9783442424627</v>
      </c>
      <c r="M1867">
        <v>409</v>
      </c>
      <c r="O1867" t="s">
        <v>10221</v>
      </c>
      <c r="P1867">
        <v>286</v>
      </c>
      <c r="Q1867">
        <v>2.29</v>
      </c>
    </row>
    <row r="1868" spans="1:17" x14ac:dyDescent="0.25">
      <c r="A1868">
        <v>1364</v>
      </c>
      <c r="B1868" t="s">
        <v>10222</v>
      </c>
      <c r="C1868" t="s">
        <v>10223</v>
      </c>
      <c r="D1868" t="s">
        <v>10224</v>
      </c>
      <c r="H1868" t="s">
        <v>1878</v>
      </c>
      <c r="I1868">
        <v>2</v>
      </c>
      <c r="K1868" t="s">
        <v>14332</v>
      </c>
      <c r="M1868">
        <v>536</v>
      </c>
      <c r="O1868" t="s">
        <v>10225</v>
      </c>
      <c r="P1868">
        <v>1020</v>
      </c>
      <c r="Q1868">
        <v>4.9800000000000004</v>
      </c>
    </row>
    <row r="1869" spans="1:17" x14ac:dyDescent="0.25">
      <c r="A1869">
        <v>1327</v>
      </c>
      <c r="B1869" t="s">
        <v>10226</v>
      </c>
      <c r="C1869" t="s">
        <v>10227</v>
      </c>
      <c r="D1869" t="s">
        <v>2901</v>
      </c>
      <c r="F1869">
        <v>1979</v>
      </c>
      <c r="H1869" t="s">
        <v>2734</v>
      </c>
      <c r="I1869">
        <v>2</v>
      </c>
      <c r="K1869" t="s">
        <v>14332</v>
      </c>
      <c r="L1869" s="222">
        <v>9783763204861</v>
      </c>
      <c r="M1869">
        <v>449</v>
      </c>
      <c r="O1869" t="s">
        <v>10229</v>
      </c>
      <c r="P1869">
        <v>492</v>
      </c>
      <c r="Q1869">
        <v>2.88</v>
      </c>
    </row>
    <row r="1870" spans="1:17" x14ac:dyDescent="0.25">
      <c r="A1870">
        <v>796</v>
      </c>
      <c r="B1870" t="s">
        <v>5057</v>
      </c>
      <c r="C1870" t="s">
        <v>10230</v>
      </c>
      <c r="D1870" t="s">
        <v>5005</v>
      </c>
      <c r="E1870" t="s">
        <v>1913</v>
      </c>
      <c r="F1870">
        <v>2002</v>
      </c>
      <c r="H1870" t="s">
        <v>2734</v>
      </c>
      <c r="I1870">
        <v>2</v>
      </c>
      <c r="K1870" t="s">
        <v>14332</v>
      </c>
      <c r="L1870" s="222">
        <v>9783570124833</v>
      </c>
      <c r="M1870">
        <v>250</v>
      </c>
      <c r="O1870" t="s">
        <v>10232</v>
      </c>
      <c r="P1870">
        <v>437</v>
      </c>
      <c r="Q1870">
        <v>2.17</v>
      </c>
    </row>
    <row r="1871" spans="1:17" x14ac:dyDescent="0.25">
      <c r="A1871">
        <v>1386</v>
      </c>
      <c r="B1871" t="s">
        <v>10233</v>
      </c>
      <c r="C1871" t="s">
        <v>10234</v>
      </c>
      <c r="D1871" t="s">
        <v>2209</v>
      </c>
      <c r="F1871">
        <v>1995</v>
      </c>
      <c r="H1871" t="s">
        <v>1878</v>
      </c>
      <c r="I1871">
        <v>2</v>
      </c>
      <c r="K1871" t="s">
        <v>14332</v>
      </c>
      <c r="L1871" s="222">
        <v>9783453185654</v>
      </c>
      <c r="M1871">
        <v>364</v>
      </c>
      <c r="O1871" t="s">
        <v>10236</v>
      </c>
      <c r="P1871">
        <v>266</v>
      </c>
      <c r="Q1871">
        <v>1.91</v>
      </c>
    </row>
    <row r="1872" spans="1:17" x14ac:dyDescent="0.25">
      <c r="A1872">
        <v>593</v>
      </c>
      <c r="B1872" t="s">
        <v>10237</v>
      </c>
      <c r="C1872" t="s">
        <v>10238</v>
      </c>
      <c r="D1872" t="s">
        <v>2971</v>
      </c>
      <c r="F1872">
        <v>1999</v>
      </c>
      <c r="H1872" t="s">
        <v>2734</v>
      </c>
      <c r="I1872">
        <v>2</v>
      </c>
      <c r="K1872" t="s">
        <v>14332</v>
      </c>
      <c r="L1872" s="222">
        <v>9783821834979</v>
      </c>
      <c r="M1872">
        <v>118</v>
      </c>
      <c r="O1872" t="s">
        <v>10240</v>
      </c>
      <c r="P1872">
        <v>214</v>
      </c>
      <c r="Q1872">
        <v>3.03</v>
      </c>
    </row>
    <row r="1873" spans="1:17" x14ac:dyDescent="0.25">
      <c r="A1873">
        <v>684</v>
      </c>
      <c r="B1873" t="s">
        <v>10241</v>
      </c>
      <c r="C1873" t="s">
        <v>10242</v>
      </c>
      <c r="D1873" t="s">
        <v>10243</v>
      </c>
      <c r="F1873">
        <v>2012</v>
      </c>
      <c r="H1873" t="s">
        <v>2734</v>
      </c>
      <c r="I1873">
        <v>2</v>
      </c>
      <c r="K1873" t="s">
        <v>14332</v>
      </c>
      <c r="L1873" s="222">
        <v>9783549074312</v>
      </c>
      <c r="M1873">
        <v>388</v>
      </c>
      <c r="O1873" t="s">
        <v>10245</v>
      </c>
      <c r="P1873">
        <v>637</v>
      </c>
      <c r="Q1873">
        <v>2.79</v>
      </c>
    </row>
    <row r="1874" spans="1:17" x14ac:dyDescent="0.25">
      <c r="A1874">
        <v>2518</v>
      </c>
      <c r="B1874" t="s">
        <v>10251</v>
      </c>
      <c r="C1874" t="s">
        <v>10252</v>
      </c>
      <c r="D1874" t="s">
        <v>9119</v>
      </c>
      <c r="E1874" t="s">
        <v>10253</v>
      </c>
      <c r="F1874">
        <v>2014</v>
      </c>
      <c r="H1874" t="s">
        <v>1878</v>
      </c>
      <c r="I1874">
        <v>2</v>
      </c>
      <c r="K1874" t="s">
        <v>14332</v>
      </c>
      <c r="L1874" s="222">
        <v>9783462040227</v>
      </c>
      <c r="M1874">
        <v>542</v>
      </c>
      <c r="O1874" t="s">
        <v>10255</v>
      </c>
      <c r="P1874">
        <v>425</v>
      </c>
      <c r="Q1874">
        <v>3.16</v>
      </c>
    </row>
    <row r="1875" spans="1:17" x14ac:dyDescent="0.25">
      <c r="A1875">
        <v>692</v>
      </c>
      <c r="B1875" t="s">
        <v>9542</v>
      </c>
      <c r="C1875" t="s">
        <v>10261</v>
      </c>
      <c r="D1875" t="s">
        <v>1920</v>
      </c>
      <c r="F1875">
        <v>2013</v>
      </c>
      <c r="H1875" t="s">
        <v>1878</v>
      </c>
      <c r="I1875">
        <v>2</v>
      </c>
      <c r="K1875" t="s">
        <v>14332</v>
      </c>
      <c r="L1875" s="222">
        <v>9783404167777</v>
      </c>
      <c r="M1875">
        <v>972</v>
      </c>
      <c r="O1875" t="s">
        <v>10263</v>
      </c>
      <c r="P1875">
        <v>633</v>
      </c>
      <c r="Q1875">
        <v>3.04</v>
      </c>
    </row>
    <row r="1876" spans="1:17" x14ac:dyDescent="0.25">
      <c r="A1876">
        <v>692</v>
      </c>
      <c r="B1876" t="s">
        <v>10264</v>
      </c>
      <c r="C1876" t="s">
        <v>10265</v>
      </c>
      <c r="D1876" t="s">
        <v>3077</v>
      </c>
      <c r="E1876" t="s">
        <v>1913</v>
      </c>
      <c r="F1876">
        <v>2015</v>
      </c>
      <c r="H1876" t="s">
        <v>1878</v>
      </c>
      <c r="I1876">
        <v>2</v>
      </c>
      <c r="K1876" t="s">
        <v>14332</v>
      </c>
      <c r="L1876" s="222">
        <v>9783442383337</v>
      </c>
      <c r="M1876">
        <v>447</v>
      </c>
      <c r="O1876" t="s">
        <v>10267</v>
      </c>
      <c r="P1876">
        <v>404</v>
      </c>
      <c r="Q1876">
        <v>2.92</v>
      </c>
    </row>
    <row r="1877" spans="1:17" x14ac:dyDescent="0.25">
      <c r="A1877">
        <v>1386</v>
      </c>
      <c r="B1877" t="s">
        <v>9506</v>
      </c>
      <c r="C1877" t="s">
        <v>10268</v>
      </c>
      <c r="D1877" t="s">
        <v>2368</v>
      </c>
      <c r="F1877">
        <v>2014</v>
      </c>
      <c r="H1877" t="s">
        <v>2734</v>
      </c>
      <c r="I1877">
        <v>1</v>
      </c>
      <c r="K1877" t="s">
        <v>14332</v>
      </c>
      <c r="L1877" s="222">
        <v>9783785724972</v>
      </c>
      <c r="M1877">
        <v>911</v>
      </c>
      <c r="O1877" t="s">
        <v>10270</v>
      </c>
      <c r="P1877">
        <v>1051</v>
      </c>
      <c r="Q1877">
        <v>3.13</v>
      </c>
    </row>
    <row r="1878" spans="1:17" x14ac:dyDescent="0.25">
      <c r="A1878">
        <v>692</v>
      </c>
      <c r="B1878" t="s">
        <v>9204</v>
      </c>
      <c r="C1878" t="s">
        <v>10274</v>
      </c>
      <c r="D1878" t="s">
        <v>9893</v>
      </c>
      <c r="F1878">
        <v>1997</v>
      </c>
      <c r="H1878" t="s">
        <v>1878</v>
      </c>
      <c r="I1878" s="305">
        <v>43892</v>
      </c>
      <c r="J1878" t="s">
        <v>9196</v>
      </c>
      <c r="K1878" t="s">
        <v>14332</v>
      </c>
      <c r="L1878" s="222">
        <v>9783499223242</v>
      </c>
      <c r="M1878">
        <v>442</v>
      </c>
      <c r="O1878" t="s">
        <v>10275</v>
      </c>
      <c r="P1878">
        <v>368</v>
      </c>
      <c r="Q1878">
        <v>3.1</v>
      </c>
    </row>
    <row r="1879" spans="1:17" x14ac:dyDescent="0.25">
      <c r="A1879">
        <v>689</v>
      </c>
      <c r="B1879" t="s">
        <v>10276</v>
      </c>
      <c r="C1879" t="s">
        <v>10277</v>
      </c>
      <c r="D1879" t="s">
        <v>2209</v>
      </c>
      <c r="E1879" t="s">
        <v>2175</v>
      </c>
      <c r="F1879">
        <v>2007</v>
      </c>
      <c r="H1879" t="s">
        <v>1878</v>
      </c>
      <c r="I1879" s="305">
        <v>43892</v>
      </c>
      <c r="K1879" t="s">
        <v>14332</v>
      </c>
      <c r="L1879" s="222">
        <v>9783453531987</v>
      </c>
      <c r="M1879">
        <v>478</v>
      </c>
      <c r="O1879" t="s">
        <v>10279</v>
      </c>
      <c r="P1879">
        <v>496</v>
      </c>
      <c r="Q1879">
        <v>3.01</v>
      </c>
    </row>
    <row r="1880" spans="1:17" x14ac:dyDescent="0.25">
      <c r="A1880">
        <v>689</v>
      </c>
      <c r="B1880" t="s">
        <v>10276</v>
      </c>
      <c r="C1880" t="s">
        <v>10280</v>
      </c>
      <c r="D1880" t="s">
        <v>2209</v>
      </c>
      <c r="E1880" t="s">
        <v>1899</v>
      </c>
      <c r="F1880">
        <v>2007</v>
      </c>
      <c r="H1880" t="s">
        <v>1878</v>
      </c>
      <c r="I1880" s="305">
        <v>43892</v>
      </c>
      <c r="K1880" t="s">
        <v>14332</v>
      </c>
      <c r="L1880" s="222">
        <v>9783453522558</v>
      </c>
      <c r="M1880">
        <v>446</v>
      </c>
      <c r="O1880" t="s">
        <v>10282</v>
      </c>
      <c r="P1880">
        <v>524</v>
      </c>
      <c r="Q1880">
        <v>3.13</v>
      </c>
    </row>
    <row r="1881" spans="1:17" x14ac:dyDescent="0.25">
      <c r="A1881">
        <v>689</v>
      </c>
      <c r="B1881" t="s">
        <v>10276</v>
      </c>
      <c r="C1881" t="s">
        <v>10283</v>
      </c>
      <c r="D1881" t="s">
        <v>2209</v>
      </c>
      <c r="E1881" t="s">
        <v>2922</v>
      </c>
      <c r="F1881">
        <v>2007</v>
      </c>
      <c r="H1881" t="s">
        <v>1878</v>
      </c>
      <c r="I1881" s="305">
        <v>43892</v>
      </c>
      <c r="K1881" t="s">
        <v>14332</v>
      </c>
      <c r="L1881" s="222">
        <v>9783453532007</v>
      </c>
      <c r="M1881">
        <v>525</v>
      </c>
      <c r="O1881" t="s">
        <v>10285</v>
      </c>
      <c r="P1881">
        <v>537</v>
      </c>
      <c r="Q1881">
        <v>2.5</v>
      </c>
    </row>
    <row r="1882" spans="1:17" x14ac:dyDescent="0.25">
      <c r="A1882">
        <v>2551</v>
      </c>
      <c r="B1882" t="s">
        <v>5033</v>
      </c>
      <c r="C1882" t="s">
        <v>10286</v>
      </c>
      <c r="D1882" t="s">
        <v>10287</v>
      </c>
      <c r="F1882">
        <v>2009</v>
      </c>
      <c r="H1882" t="s">
        <v>2734</v>
      </c>
      <c r="I1882" s="305">
        <v>43862</v>
      </c>
      <c r="K1882" t="s">
        <v>14332</v>
      </c>
      <c r="L1882" s="222">
        <v>9783552054967</v>
      </c>
      <c r="M1882">
        <v>589</v>
      </c>
      <c r="O1882" t="s">
        <v>10289</v>
      </c>
      <c r="P1882">
        <v>754</v>
      </c>
      <c r="Q1882">
        <v>3.1</v>
      </c>
    </row>
    <row r="1883" spans="1:17" x14ac:dyDescent="0.25">
      <c r="A1883">
        <v>1386</v>
      </c>
      <c r="B1883" t="s">
        <v>10290</v>
      </c>
      <c r="C1883" t="s">
        <v>10291</v>
      </c>
      <c r="D1883" t="s">
        <v>2054</v>
      </c>
      <c r="F1883">
        <v>2004</v>
      </c>
      <c r="H1883" t="s">
        <v>2734</v>
      </c>
      <c r="I1883">
        <v>2</v>
      </c>
      <c r="K1883" t="s">
        <v>14332</v>
      </c>
      <c r="L1883" s="222">
        <v>9783828969407</v>
      </c>
      <c r="M1883">
        <v>479</v>
      </c>
      <c r="O1883" t="s">
        <v>10293</v>
      </c>
      <c r="P1883">
        <v>667</v>
      </c>
      <c r="Q1883">
        <v>2.62</v>
      </c>
    </row>
    <row r="1884" spans="1:17" x14ac:dyDescent="0.25">
      <c r="A1884">
        <v>2518</v>
      </c>
      <c r="B1884" t="s">
        <v>10294</v>
      </c>
      <c r="C1884" t="s">
        <v>10295</v>
      </c>
      <c r="D1884" t="s">
        <v>1912</v>
      </c>
      <c r="E1884" t="s">
        <v>1913</v>
      </c>
      <c r="F1884">
        <v>2017</v>
      </c>
      <c r="H1884" t="s">
        <v>1878</v>
      </c>
      <c r="I1884">
        <v>2</v>
      </c>
      <c r="J1884" t="s">
        <v>9196</v>
      </c>
      <c r="K1884" t="s">
        <v>14332</v>
      </c>
      <c r="L1884" s="222">
        <v>9783442485567</v>
      </c>
      <c r="M1884">
        <v>315</v>
      </c>
      <c r="O1884" t="s">
        <v>10297</v>
      </c>
      <c r="P1884">
        <v>293</v>
      </c>
      <c r="Q1884">
        <v>4.07</v>
      </c>
    </row>
    <row r="1885" spans="1:17" x14ac:dyDescent="0.25">
      <c r="A1885">
        <v>692</v>
      </c>
      <c r="B1885" t="s">
        <v>10302</v>
      </c>
      <c r="C1885" t="s">
        <v>10303</v>
      </c>
      <c r="D1885" t="s">
        <v>2309</v>
      </c>
      <c r="E1885" t="s">
        <v>1913</v>
      </c>
      <c r="F1885">
        <v>2006</v>
      </c>
      <c r="H1885" t="s">
        <v>1878</v>
      </c>
      <c r="I1885">
        <v>2</v>
      </c>
      <c r="K1885" t="s">
        <v>14332</v>
      </c>
      <c r="L1885" s="222">
        <v>9783548266039</v>
      </c>
      <c r="M1885">
        <v>267</v>
      </c>
      <c r="O1885" t="s">
        <v>10305</v>
      </c>
      <c r="P1885">
        <v>245</v>
      </c>
      <c r="Q1885">
        <v>3.5</v>
      </c>
    </row>
    <row r="1886" spans="1:17" x14ac:dyDescent="0.25">
      <c r="A1886">
        <v>2463</v>
      </c>
      <c r="B1886" t="s">
        <v>10306</v>
      </c>
      <c r="C1886" t="s">
        <v>10307</v>
      </c>
      <c r="D1886" t="s">
        <v>10308</v>
      </c>
      <c r="H1886" t="s">
        <v>1878</v>
      </c>
      <c r="I1886" s="305">
        <v>43862</v>
      </c>
      <c r="K1886" t="s">
        <v>14332</v>
      </c>
      <c r="L1886" s="222">
        <v>9783899059779</v>
      </c>
      <c r="M1886">
        <v>141</v>
      </c>
      <c r="O1886" t="s">
        <v>10310</v>
      </c>
      <c r="P1886">
        <v>231</v>
      </c>
      <c r="Q1886">
        <v>5</v>
      </c>
    </row>
    <row r="1887" spans="1:17" x14ac:dyDescent="0.25">
      <c r="A1887">
        <v>2553</v>
      </c>
      <c r="B1887" t="s">
        <v>9082</v>
      </c>
      <c r="C1887" t="s">
        <v>10311</v>
      </c>
      <c r="D1887" t="s">
        <v>9032</v>
      </c>
      <c r="F1887">
        <v>2007</v>
      </c>
      <c r="H1887" t="s">
        <v>1878</v>
      </c>
      <c r="I1887" s="305">
        <v>43892</v>
      </c>
      <c r="K1887" t="s">
        <v>14332</v>
      </c>
      <c r="L1887" s="222">
        <v>9783499244568</v>
      </c>
      <c r="M1887">
        <v>571</v>
      </c>
      <c r="O1887" t="s">
        <v>10313</v>
      </c>
      <c r="P1887">
        <v>431</v>
      </c>
      <c r="Q1887">
        <v>3.14</v>
      </c>
    </row>
    <row r="1888" spans="1:17" x14ac:dyDescent="0.25">
      <c r="A1888">
        <v>1386</v>
      </c>
      <c r="B1888" t="s">
        <v>10314</v>
      </c>
      <c r="C1888" t="s">
        <v>10315</v>
      </c>
      <c r="D1888" t="s">
        <v>9192</v>
      </c>
      <c r="E1888" t="s">
        <v>1913</v>
      </c>
      <c r="F1888">
        <v>2016</v>
      </c>
      <c r="H1888" t="s">
        <v>1878</v>
      </c>
      <c r="I1888">
        <v>3</v>
      </c>
      <c r="K1888" t="s">
        <v>14332</v>
      </c>
      <c r="L1888" s="222">
        <v>9783548612577</v>
      </c>
      <c r="M1888">
        <v>348</v>
      </c>
      <c r="O1888" t="s">
        <v>10317</v>
      </c>
      <c r="P1888">
        <v>255</v>
      </c>
      <c r="Q1888">
        <v>3.46</v>
      </c>
    </row>
    <row r="1889" spans="1:17" x14ac:dyDescent="0.25">
      <c r="A1889">
        <v>632</v>
      </c>
      <c r="B1889" t="s">
        <v>10318</v>
      </c>
      <c r="C1889" t="s">
        <v>10319</v>
      </c>
      <c r="D1889" t="s">
        <v>1912</v>
      </c>
      <c r="E1889" t="s">
        <v>1877</v>
      </c>
      <c r="F1889">
        <v>2017</v>
      </c>
      <c r="H1889" t="s">
        <v>1878</v>
      </c>
      <c r="I1889">
        <v>3</v>
      </c>
      <c r="K1889" t="s">
        <v>14332</v>
      </c>
      <c r="L1889" s="222">
        <v>9783442484096</v>
      </c>
      <c r="M1889">
        <v>573</v>
      </c>
      <c r="O1889" t="s">
        <v>10321</v>
      </c>
      <c r="P1889">
        <v>481</v>
      </c>
      <c r="Q1889">
        <v>3.46</v>
      </c>
    </row>
    <row r="1890" spans="1:17" x14ac:dyDescent="0.25">
      <c r="A1890">
        <v>701</v>
      </c>
      <c r="B1890" t="s">
        <v>10322</v>
      </c>
      <c r="C1890" t="s">
        <v>10323</v>
      </c>
      <c r="D1890" t="s">
        <v>1912</v>
      </c>
      <c r="E1890" t="s">
        <v>1913</v>
      </c>
      <c r="F1890">
        <v>2008</v>
      </c>
      <c r="H1890" t="s">
        <v>1878</v>
      </c>
      <c r="I1890">
        <v>2</v>
      </c>
      <c r="J1890" t="s">
        <v>9196</v>
      </c>
      <c r="K1890" t="s">
        <v>14332</v>
      </c>
      <c r="L1890" s="222">
        <v>9783442468317</v>
      </c>
      <c r="M1890">
        <v>252</v>
      </c>
      <c r="O1890" t="s">
        <v>10325</v>
      </c>
      <c r="P1890">
        <v>214</v>
      </c>
      <c r="Q1890">
        <v>2.5099999999999998</v>
      </c>
    </row>
    <row r="1891" spans="1:17" x14ac:dyDescent="0.25">
      <c r="A1891">
        <v>692</v>
      </c>
      <c r="B1891" t="s">
        <v>4802</v>
      </c>
      <c r="C1891" t="s">
        <v>10326</v>
      </c>
      <c r="D1891" t="s">
        <v>1920</v>
      </c>
      <c r="E1891" t="s">
        <v>2358</v>
      </c>
      <c r="F1891">
        <v>2010</v>
      </c>
      <c r="H1891" t="s">
        <v>1878</v>
      </c>
      <c r="I1891">
        <v>2</v>
      </c>
      <c r="K1891" t="s">
        <v>14332</v>
      </c>
      <c r="L1891" s="222">
        <v>9783404154623</v>
      </c>
      <c r="M1891">
        <v>315</v>
      </c>
      <c r="O1891" t="s">
        <v>10328</v>
      </c>
      <c r="P1891">
        <v>313</v>
      </c>
      <c r="Q1891">
        <v>2.42</v>
      </c>
    </row>
    <row r="1892" spans="1:17" x14ac:dyDescent="0.25">
      <c r="A1892">
        <v>796</v>
      </c>
      <c r="B1892" t="s">
        <v>10333</v>
      </c>
      <c r="C1892" t="s">
        <v>10334</v>
      </c>
      <c r="D1892" t="s">
        <v>2309</v>
      </c>
      <c r="E1892" t="s">
        <v>1913</v>
      </c>
      <c r="F1892">
        <v>2019</v>
      </c>
      <c r="H1892" t="s">
        <v>1878</v>
      </c>
      <c r="I1892" s="305">
        <v>43862</v>
      </c>
      <c r="K1892" t="s">
        <v>14332</v>
      </c>
      <c r="L1892" s="222">
        <v>9783548289991</v>
      </c>
      <c r="M1892">
        <v>681</v>
      </c>
      <c r="O1892" t="s">
        <v>10336</v>
      </c>
      <c r="P1892">
        <v>463</v>
      </c>
      <c r="Q1892">
        <v>4.24</v>
      </c>
    </row>
    <row r="1893" spans="1:17" x14ac:dyDescent="0.25">
      <c r="A1893">
        <v>795</v>
      </c>
      <c r="B1893" t="s">
        <v>10337</v>
      </c>
      <c r="C1893" t="s">
        <v>10338</v>
      </c>
      <c r="D1893" t="s">
        <v>1988</v>
      </c>
      <c r="E1893" t="s">
        <v>3731</v>
      </c>
      <c r="F1893">
        <v>2004</v>
      </c>
      <c r="H1893" t="s">
        <v>1878</v>
      </c>
      <c r="I1893">
        <v>1</v>
      </c>
      <c r="K1893" t="s">
        <v>14332</v>
      </c>
      <c r="L1893" s="222">
        <v>9783423110556</v>
      </c>
      <c r="M1893">
        <v>340</v>
      </c>
      <c r="O1893" t="s">
        <v>10340</v>
      </c>
      <c r="P1893">
        <v>298</v>
      </c>
      <c r="Q1893">
        <v>4.72</v>
      </c>
    </row>
    <row r="1894" spans="1:17" x14ac:dyDescent="0.25">
      <c r="A1894">
        <v>18</v>
      </c>
      <c r="B1894" t="s">
        <v>10346</v>
      </c>
      <c r="C1894" t="s">
        <v>10347</v>
      </c>
      <c r="D1894" t="s">
        <v>10348</v>
      </c>
      <c r="F1894">
        <v>2016</v>
      </c>
      <c r="H1894" t="s">
        <v>1878</v>
      </c>
      <c r="I1894">
        <v>2</v>
      </c>
      <c r="K1894" t="s">
        <v>14332</v>
      </c>
      <c r="L1894" s="222">
        <v>9783945127100</v>
      </c>
      <c r="M1894">
        <v>253</v>
      </c>
      <c r="O1894" t="s">
        <v>10350</v>
      </c>
      <c r="P1894">
        <v>385</v>
      </c>
      <c r="Q1894">
        <v>11.3</v>
      </c>
    </row>
    <row r="1895" spans="1:17" x14ac:dyDescent="0.25">
      <c r="A1895">
        <v>2576</v>
      </c>
      <c r="B1895" t="s">
        <v>3808</v>
      </c>
      <c r="C1895" t="s">
        <v>8040</v>
      </c>
      <c r="D1895" t="s">
        <v>807</v>
      </c>
      <c r="F1895">
        <v>2009</v>
      </c>
      <c r="H1895" t="s">
        <v>1878</v>
      </c>
      <c r="I1895">
        <v>2</v>
      </c>
      <c r="K1895" t="s">
        <v>14332</v>
      </c>
      <c r="L1895" s="222">
        <v>4026725909950</v>
      </c>
      <c r="O1895" t="s">
        <v>10352</v>
      </c>
      <c r="P1895">
        <v>533</v>
      </c>
      <c r="Q1895">
        <v>3.79</v>
      </c>
    </row>
    <row r="1896" spans="1:17" x14ac:dyDescent="0.25">
      <c r="A1896">
        <v>2576</v>
      </c>
      <c r="B1896" t="s">
        <v>3808</v>
      </c>
      <c r="C1896" t="s">
        <v>9171</v>
      </c>
      <c r="D1896" t="s">
        <v>807</v>
      </c>
      <c r="F1896">
        <v>2008</v>
      </c>
      <c r="H1896" t="s">
        <v>1878</v>
      </c>
      <c r="I1896" s="305">
        <v>43892</v>
      </c>
      <c r="K1896" t="s">
        <v>14332</v>
      </c>
      <c r="L1896" s="222">
        <v>9783551356901</v>
      </c>
      <c r="O1896" t="s">
        <v>10353</v>
      </c>
      <c r="P1896">
        <v>494</v>
      </c>
      <c r="Q1896">
        <v>2.2000000000000002</v>
      </c>
    </row>
    <row r="1897" spans="1:17" x14ac:dyDescent="0.25">
      <c r="A1897">
        <v>692</v>
      </c>
      <c r="B1897" t="s">
        <v>4031</v>
      </c>
      <c r="C1897" t="s">
        <v>10354</v>
      </c>
      <c r="D1897" t="s">
        <v>2609</v>
      </c>
      <c r="F1897">
        <v>1999</v>
      </c>
      <c r="H1897" t="s">
        <v>1878</v>
      </c>
      <c r="I1897">
        <v>3</v>
      </c>
      <c r="J1897" t="s">
        <v>9495</v>
      </c>
      <c r="K1897" t="s">
        <v>14332</v>
      </c>
      <c r="L1897" s="222">
        <v>9783596144433</v>
      </c>
      <c r="M1897">
        <v>441</v>
      </c>
      <c r="O1897" t="s">
        <v>10356</v>
      </c>
      <c r="P1897">
        <v>324</v>
      </c>
      <c r="Q1897">
        <v>1.44</v>
      </c>
    </row>
    <row r="1898" spans="1:17" x14ac:dyDescent="0.25">
      <c r="A1898">
        <v>1386</v>
      </c>
      <c r="B1898" t="s">
        <v>3143</v>
      </c>
      <c r="C1898" t="s">
        <v>10357</v>
      </c>
      <c r="D1898" t="s">
        <v>2609</v>
      </c>
      <c r="F1898">
        <v>2016</v>
      </c>
      <c r="H1898" t="s">
        <v>1878</v>
      </c>
      <c r="I1898">
        <v>2</v>
      </c>
      <c r="K1898" t="s">
        <v>14332</v>
      </c>
      <c r="L1898" s="222">
        <v>9783596193356</v>
      </c>
      <c r="M1898">
        <v>345</v>
      </c>
      <c r="O1898" t="s">
        <v>10359</v>
      </c>
      <c r="P1898">
        <v>305</v>
      </c>
      <c r="Q1898">
        <v>2.9</v>
      </c>
    </row>
    <row r="1899" spans="1:17" x14ac:dyDescent="0.25">
      <c r="A1899">
        <v>2547</v>
      </c>
      <c r="B1899" t="s">
        <v>3941</v>
      </c>
      <c r="C1899" t="s">
        <v>10360</v>
      </c>
      <c r="D1899" t="s">
        <v>10361</v>
      </c>
      <c r="H1899" t="s">
        <v>1878</v>
      </c>
      <c r="I1899">
        <v>3</v>
      </c>
      <c r="J1899" t="s">
        <v>9495</v>
      </c>
      <c r="K1899" t="s">
        <v>14332</v>
      </c>
      <c r="L1899" s="222">
        <v>9783442301331</v>
      </c>
      <c r="M1899">
        <v>413</v>
      </c>
      <c r="O1899" t="s">
        <v>10363</v>
      </c>
      <c r="P1899">
        <v>276</v>
      </c>
      <c r="Q1899">
        <v>2.5</v>
      </c>
    </row>
    <row r="1900" spans="1:17" x14ac:dyDescent="0.25">
      <c r="A1900">
        <v>548</v>
      </c>
      <c r="B1900" t="s">
        <v>10364</v>
      </c>
      <c r="C1900" t="s">
        <v>10365</v>
      </c>
      <c r="D1900" t="s">
        <v>9893</v>
      </c>
      <c r="F1900">
        <v>1969</v>
      </c>
      <c r="H1900" t="s">
        <v>1878</v>
      </c>
      <c r="I1900">
        <v>2</v>
      </c>
      <c r="K1900" t="s">
        <v>14332</v>
      </c>
      <c r="M1900">
        <v>157</v>
      </c>
      <c r="O1900" t="s">
        <v>10366</v>
      </c>
      <c r="P1900">
        <v>120</v>
      </c>
      <c r="Q1900">
        <v>3.12</v>
      </c>
    </row>
    <row r="1901" spans="1:17" x14ac:dyDescent="0.25">
      <c r="A1901">
        <v>632</v>
      </c>
      <c r="B1901" t="s">
        <v>3233</v>
      </c>
      <c r="C1901" t="s">
        <v>10367</v>
      </c>
      <c r="D1901" t="s">
        <v>2054</v>
      </c>
      <c r="E1901" t="s">
        <v>2032</v>
      </c>
      <c r="F1901">
        <v>2010</v>
      </c>
      <c r="H1901" t="s">
        <v>1878</v>
      </c>
      <c r="I1901" s="305">
        <v>43862</v>
      </c>
      <c r="K1901" t="s">
        <v>14332</v>
      </c>
      <c r="L1901" s="222">
        <v>9783828980020</v>
      </c>
      <c r="M1901">
        <v>701</v>
      </c>
      <c r="O1901" t="s">
        <v>10369</v>
      </c>
      <c r="P1901">
        <v>639</v>
      </c>
      <c r="Q1901">
        <v>2.1</v>
      </c>
    </row>
    <row r="1902" spans="1:17" x14ac:dyDescent="0.25">
      <c r="A1902">
        <v>706</v>
      </c>
      <c r="B1902" t="s">
        <v>10370</v>
      </c>
      <c r="C1902" t="s">
        <v>10371</v>
      </c>
      <c r="D1902" t="s">
        <v>10372</v>
      </c>
      <c r="F1902">
        <v>1941</v>
      </c>
      <c r="H1902" t="s">
        <v>2734</v>
      </c>
      <c r="I1902">
        <v>2</v>
      </c>
      <c r="K1902" t="s">
        <v>14332</v>
      </c>
      <c r="M1902">
        <v>156</v>
      </c>
      <c r="O1902" t="s">
        <v>10373</v>
      </c>
      <c r="P1902">
        <v>268</v>
      </c>
      <c r="Q1902">
        <v>4.4000000000000004</v>
      </c>
    </row>
    <row r="1903" spans="1:17" x14ac:dyDescent="0.25">
      <c r="A1903">
        <v>689</v>
      </c>
      <c r="B1903" t="s">
        <v>2470</v>
      </c>
      <c r="C1903" t="s">
        <v>10374</v>
      </c>
      <c r="D1903" t="s">
        <v>2309</v>
      </c>
      <c r="E1903" t="s">
        <v>1913</v>
      </c>
      <c r="F1903">
        <v>2008</v>
      </c>
      <c r="H1903" t="s">
        <v>1878</v>
      </c>
      <c r="I1903">
        <v>2</v>
      </c>
      <c r="K1903" t="s">
        <v>14332</v>
      </c>
      <c r="L1903" s="222">
        <v>9783548266664</v>
      </c>
      <c r="M1903">
        <v>370</v>
      </c>
      <c r="O1903" t="s">
        <v>10376</v>
      </c>
      <c r="P1903">
        <v>268</v>
      </c>
      <c r="Q1903">
        <v>2.2000000000000002</v>
      </c>
    </row>
    <row r="1904" spans="1:17" x14ac:dyDescent="0.25">
      <c r="A1904">
        <v>2548</v>
      </c>
      <c r="B1904" t="s">
        <v>10377</v>
      </c>
      <c r="C1904" t="s">
        <v>10378</v>
      </c>
      <c r="D1904" t="s">
        <v>1988</v>
      </c>
      <c r="E1904" t="s">
        <v>2518</v>
      </c>
      <c r="F1904">
        <v>2004</v>
      </c>
      <c r="H1904" t="s">
        <v>1878</v>
      </c>
      <c r="I1904">
        <v>2</v>
      </c>
      <c r="K1904" t="s">
        <v>14332</v>
      </c>
      <c r="L1904" s="222">
        <v>9783423205160</v>
      </c>
      <c r="M1904">
        <v>329</v>
      </c>
      <c r="O1904" t="s">
        <v>10380</v>
      </c>
      <c r="P1904">
        <v>238</v>
      </c>
      <c r="Q1904">
        <v>2.62</v>
      </c>
    </row>
    <row r="1905" spans="1:17" x14ac:dyDescent="0.25">
      <c r="A1905">
        <v>689</v>
      </c>
      <c r="B1905" t="s">
        <v>10381</v>
      </c>
      <c r="C1905" t="s">
        <v>10382</v>
      </c>
      <c r="D1905" t="s">
        <v>10383</v>
      </c>
      <c r="E1905" t="s">
        <v>1913</v>
      </c>
      <c r="F1905">
        <v>2011</v>
      </c>
      <c r="H1905" t="s">
        <v>2734</v>
      </c>
      <c r="I1905">
        <v>2</v>
      </c>
      <c r="K1905" t="s">
        <v>14332</v>
      </c>
      <c r="L1905" s="222">
        <v>9783764530938</v>
      </c>
      <c r="M1905">
        <v>346</v>
      </c>
      <c r="O1905" t="s">
        <v>10385</v>
      </c>
      <c r="P1905">
        <v>520</v>
      </c>
      <c r="Q1905">
        <v>2.78</v>
      </c>
    </row>
    <row r="1906" spans="1:17" x14ac:dyDescent="0.25">
      <c r="A1906">
        <v>765</v>
      </c>
      <c r="B1906" t="s">
        <v>10386</v>
      </c>
      <c r="C1906" t="s">
        <v>10387</v>
      </c>
      <c r="D1906" t="s">
        <v>2054</v>
      </c>
      <c r="E1906" t="s">
        <v>1899</v>
      </c>
      <c r="F1906">
        <v>2013</v>
      </c>
      <c r="H1906" t="s">
        <v>1878</v>
      </c>
      <c r="I1906" s="305">
        <v>43862</v>
      </c>
      <c r="K1906" t="s">
        <v>14332</v>
      </c>
      <c r="L1906" s="222">
        <v>9783828941700</v>
      </c>
      <c r="M1906">
        <v>255</v>
      </c>
      <c r="O1906" t="s">
        <v>10389</v>
      </c>
      <c r="P1906">
        <v>283</v>
      </c>
      <c r="Q1906">
        <v>2.4</v>
      </c>
    </row>
    <row r="1907" spans="1:17" x14ac:dyDescent="0.25">
      <c r="A1907">
        <v>633</v>
      </c>
      <c r="B1907" t="s">
        <v>10390</v>
      </c>
      <c r="C1907" t="s">
        <v>10391</v>
      </c>
      <c r="D1907" t="s">
        <v>10392</v>
      </c>
      <c r="E1907" t="s">
        <v>2175</v>
      </c>
      <c r="F1907">
        <v>2009</v>
      </c>
      <c r="H1907" t="s">
        <v>1878</v>
      </c>
      <c r="I1907">
        <v>2</v>
      </c>
      <c r="J1907" t="s">
        <v>9196</v>
      </c>
      <c r="K1907" t="s">
        <v>14332</v>
      </c>
      <c r="L1907" s="222">
        <v>9783746625058</v>
      </c>
      <c r="M1907">
        <v>473</v>
      </c>
      <c r="O1907" t="s">
        <v>10394</v>
      </c>
      <c r="P1907">
        <v>559</v>
      </c>
      <c r="Q1907">
        <v>2.9</v>
      </c>
    </row>
    <row r="1908" spans="1:17" x14ac:dyDescent="0.25">
      <c r="A1908">
        <v>1927</v>
      </c>
      <c r="B1908" t="s">
        <v>10395</v>
      </c>
      <c r="C1908" t="s">
        <v>10396</v>
      </c>
      <c r="D1908" t="s">
        <v>10397</v>
      </c>
      <c r="E1908" t="s">
        <v>2032</v>
      </c>
      <c r="F1908">
        <v>2012</v>
      </c>
      <c r="H1908" t="s">
        <v>1878</v>
      </c>
      <c r="I1908" s="305">
        <v>43862</v>
      </c>
      <c r="K1908" t="s">
        <v>14332</v>
      </c>
      <c r="L1908" s="222">
        <v>9783869107714</v>
      </c>
      <c r="M1908">
        <v>270</v>
      </c>
      <c r="O1908" t="s">
        <v>10399</v>
      </c>
      <c r="P1908">
        <v>423</v>
      </c>
      <c r="Q1908">
        <v>4.99</v>
      </c>
    </row>
    <row r="1909" spans="1:17" x14ac:dyDescent="0.25">
      <c r="A1909">
        <v>701</v>
      </c>
      <c r="B1909" t="s">
        <v>10400</v>
      </c>
      <c r="C1909" t="s">
        <v>10401</v>
      </c>
      <c r="D1909" t="s">
        <v>2054</v>
      </c>
      <c r="E1909" t="s">
        <v>2032</v>
      </c>
      <c r="F1909">
        <v>2015</v>
      </c>
      <c r="H1909" t="s">
        <v>1878</v>
      </c>
      <c r="I1909">
        <v>1</v>
      </c>
      <c r="K1909" t="s">
        <v>14332</v>
      </c>
      <c r="L1909" s="222">
        <v>9783863651473</v>
      </c>
      <c r="M1909">
        <v>361</v>
      </c>
      <c r="O1909" t="s">
        <v>10403</v>
      </c>
      <c r="P1909">
        <v>352</v>
      </c>
      <c r="Q1909">
        <v>2.66</v>
      </c>
    </row>
    <row r="1910" spans="1:17" x14ac:dyDescent="0.25">
      <c r="A1910">
        <v>796</v>
      </c>
      <c r="B1910" t="s">
        <v>3080</v>
      </c>
      <c r="C1910" t="s">
        <v>10404</v>
      </c>
      <c r="D1910" t="s">
        <v>2209</v>
      </c>
      <c r="F1910">
        <v>2017</v>
      </c>
      <c r="H1910" t="s">
        <v>1878</v>
      </c>
      <c r="I1910">
        <v>2</v>
      </c>
      <c r="K1910" t="s">
        <v>14332</v>
      </c>
      <c r="L1910" s="222">
        <v>9783453421936</v>
      </c>
      <c r="M1910">
        <v>591</v>
      </c>
      <c r="O1910" t="s">
        <v>10406</v>
      </c>
      <c r="P1910">
        <v>487</v>
      </c>
      <c r="Q1910">
        <v>2.83</v>
      </c>
    </row>
    <row r="1911" spans="1:17" x14ac:dyDescent="0.25">
      <c r="A1911">
        <v>1941</v>
      </c>
      <c r="B1911" t="s">
        <v>10407</v>
      </c>
      <c r="C1911" t="s">
        <v>10408</v>
      </c>
      <c r="D1911" t="s">
        <v>10409</v>
      </c>
      <c r="H1911" t="s">
        <v>1878</v>
      </c>
      <c r="I1911">
        <v>1</v>
      </c>
      <c r="K1911" t="s">
        <v>14332</v>
      </c>
      <c r="L1911" s="222">
        <v>9783833804960</v>
      </c>
      <c r="M1911">
        <v>127</v>
      </c>
      <c r="O1911" t="s">
        <v>10411</v>
      </c>
      <c r="P1911">
        <v>336</v>
      </c>
      <c r="Q1911">
        <v>2.71</v>
      </c>
    </row>
    <row r="1912" spans="1:17" x14ac:dyDescent="0.25">
      <c r="A1912">
        <v>763</v>
      </c>
      <c r="B1912" t="s">
        <v>10412</v>
      </c>
      <c r="C1912" t="s">
        <v>10413</v>
      </c>
      <c r="D1912" t="s">
        <v>1912</v>
      </c>
      <c r="E1912" t="s">
        <v>1899</v>
      </c>
      <c r="F1912">
        <v>2013</v>
      </c>
      <c r="H1912" t="s">
        <v>1878</v>
      </c>
      <c r="I1912" s="305">
        <v>43862</v>
      </c>
      <c r="K1912" t="s">
        <v>14332</v>
      </c>
      <c r="L1912" s="222">
        <v>9783442220328</v>
      </c>
      <c r="M1912">
        <v>191</v>
      </c>
      <c r="O1912" t="s">
        <v>10415</v>
      </c>
      <c r="P1912">
        <v>170</v>
      </c>
      <c r="Q1912">
        <v>6.79</v>
      </c>
    </row>
    <row r="1913" spans="1:17" x14ac:dyDescent="0.25">
      <c r="A1913">
        <v>701</v>
      </c>
      <c r="B1913" t="s">
        <v>10416</v>
      </c>
      <c r="C1913" t="s">
        <v>10417</v>
      </c>
      <c r="D1913" t="s">
        <v>9490</v>
      </c>
      <c r="H1913" t="s">
        <v>2734</v>
      </c>
      <c r="I1913">
        <v>2</v>
      </c>
      <c r="K1913" t="s">
        <v>14332</v>
      </c>
      <c r="M1913">
        <v>158</v>
      </c>
      <c r="O1913" t="s">
        <v>10418</v>
      </c>
      <c r="P1913">
        <v>255</v>
      </c>
      <c r="Q1913">
        <v>2.87</v>
      </c>
    </row>
    <row r="1914" spans="1:17" x14ac:dyDescent="0.25">
      <c r="A1914">
        <v>633</v>
      </c>
      <c r="B1914" t="s">
        <v>10419</v>
      </c>
      <c r="C1914" t="s">
        <v>10420</v>
      </c>
      <c r="D1914" t="s">
        <v>10421</v>
      </c>
      <c r="H1914" t="s">
        <v>1878</v>
      </c>
      <c r="I1914">
        <v>2</v>
      </c>
      <c r="K1914" t="s">
        <v>14332</v>
      </c>
      <c r="M1914">
        <v>383</v>
      </c>
      <c r="O1914" t="s">
        <v>10422</v>
      </c>
      <c r="P1914">
        <v>279</v>
      </c>
      <c r="Q1914">
        <v>2.96</v>
      </c>
    </row>
    <row r="1915" spans="1:17" x14ac:dyDescent="0.25">
      <c r="A1915">
        <v>8</v>
      </c>
      <c r="B1915" t="s">
        <v>10423</v>
      </c>
      <c r="C1915" t="s">
        <v>10424</v>
      </c>
      <c r="D1915" t="s">
        <v>2309</v>
      </c>
      <c r="E1915" t="s">
        <v>1913</v>
      </c>
      <c r="F1915">
        <v>2018</v>
      </c>
      <c r="H1915" t="s">
        <v>1878</v>
      </c>
      <c r="I1915">
        <v>3</v>
      </c>
      <c r="K1915" t="s">
        <v>14332</v>
      </c>
      <c r="L1915" s="222">
        <v>9783548290508</v>
      </c>
      <c r="M1915">
        <v>267</v>
      </c>
      <c r="O1915" t="s">
        <v>10426</v>
      </c>
      <c r="P1915">
        <v>276</v>
      </c>
      <c r="Q1915">
        <v>2.66</v>
      </c>
    </row>
    <row r="1916" spans="1:17" x14ac:dyDescent="0.25">
      <c r="A1916">
        <v>2972</v>
      </c>
      <c r="C1916" t="s">
        <v>10427</v>
      </c>
      <c r="D1916" t="s">
        <v>10428</v>
      </c>
      <c r="F1916">
        <v>2011</v>
      </c>
      <c r="H1916" t="s">
        <v>1878</v>
      </c>
      <c r="I1916">
        <v>1</v>
      </c>
      <c r="K1916" t="s">
        <v>14332</v>
      </c>
      <c r="L1916" s="222">
        <v>9783817465781</v>
      </c>
      <c r="M1916">
        <v>96</v>
      </c>
      <c r="O1916" t="s">
        <v>10430</v>
      </c>
      <c r="P1916">
        <v>165</v>
      </c>
      <c r="Q1916">
        <v>4.2</v>
      </c>
    </row>
    <row r="1917" spans="1:17" x14ac:dyDescent="0.25">
      <c r="A1917">
        <v>2553</v>
      </c>
      <c r="B1917" t="s">
        <v>10431</v>
      </c>
      <c r="C1917" t="s">
        <v>10432</v>
      </c>
      <c r="E1917" t="s">
        <v>1913</v>
      </c>
      <c r="F1917">
        <v>2017</v>
      </c>
      <c r="H1917" t="s">
        <v>1878</v>
      </c>
      <c r="I1917" s="305">
        <v>43892</v>
      </c>
      <c r="J1917" t="s">
        <v>9196</v>
      </c>
      <c r="K1917" t="s">
        <v>14332</v>
      </c>
      <c r="L1917" s="222">
        <v>9783442484614</v>
      </c>
      <c r="M1917">
        <v>377</v>
      </c>
      <c r="O1917" t="s">
        <v>10434</v>
      </c>
      <c r="P1917">
        <v>339</v>
      </c>
      <c r="Q1917">
        <v>4.79</v>
      </c>
    </row>
    <row r="1918" spans="1:17" x14ac:dyDescent="0.25">
      <c r="A1918">
        <v>1327</v>
      </c>
      <c r="B1918" t="s">
        <v>10435</v>
      </c>
      <c r="C1918" t="s">
        <v>10436</v>
      </c>
      <c r="D1918" t="s">
        <v>10437</v>
      </c>
      <c r="F1918">
        <v>2011</v>
      </c>
      <c r="H1918" t="s">
        <v>2734</v>
      </c>
      <c r="I1918">
        <v>1</v>
      </c>
      <c r="K1918" t="s">
        <v>14332</v>
      </c>
      <c r="L1918" s="222">
        <v>9783940086709</v>
      </c>
      <c r="M1918">
        <v>224</v>
      </c>
      <c r="O1918" t="s">
        <v>10439</v>
      </c>
      <c r="P1918">
        <v>299</v>
      </c>
      <c r="Q1918">
        <v>3.42</v>
      </c>
    </row>
    <row r="1919" spans="1:17" x14ac:dyDescent="0.25">
      <c r="A1919">
        <v>1386</v>
      </c>
      <c r="B1919" t="s">
        <v>2242</v>
      </c>
      <c r="C1919" t="s">
        <v>3359</v>
      </c>
      <c r="D1919" t="s">
        <v>2609</v>
      </c>
      <c r="F1919">
        <v>1993</v>
      </c>
      <c r="H1919" t="s">
        <v>1878</v>
      </c>
      <c r="I1919">
        <v>2</v>
      </c>
      <c r="K1919" t="s">
        <v>14332</v>
      </c>
      <c r="L1919" s="222">
        <v>9783596108978</v>
      </c>
      <c r="M1919">
        <v>762</v>
      </c>
      <c r="O1919" t="s">
        <v>10440</v>
      </c>
      <c r="P1919">
        <v>476</v>
      </c>
      <c r="Q1919">
        <v>1.7</v>
      </c>
    </row>
    <row r="1920" spans="1:17" x14ac:dyDescent="0.25">
      <c r="A1920">
        <v>1386</v>
      </c>
      <c r="B1920" t="s">
        <v>2242</v>
      </c>
      <c r="C1920" t="s">
        <v>10441</v>
      </c>
      <c r="D1920" t="s">
        <v>9490</v>
      </c>
      <c r="F1920">
        <v>1978</v>
      </c>
      <c r="H1920" t="s">
        <v>2734</v>
      </c>
      <c r="I1920">
        <v>1</v>
      </c>
      <c r="K1920" t="s">
        <v>14332</v>
      </c>
      <c r="M1920">
        <v>254</v>
      </c>
      <c r="O1920" t="s">
        <v>10442</v>
      </c>
      <c r="P1920">
        <v>445</v>
      </c>
      <c r="Q1920">
        <v>2.2000000000000002</v>
      </c>
    </row>
    <row r="1921" spans="1:17" x14ac:dyDescent="0.25">
      <c r="A1921">
        <v>2947</v>
      </c>
      <c r="B1921" t="s">
        <v>10443</v>
      </c>
      <c r="C1921" t="s">
        <v>10444</v>
      </c>
      <c r="D1921" t="s">
        <v>10445</v>
      </c>
      <c r="E1921" t="s">
        <v>1913</v>
      </c>
      <c r="F1921">
        <v>1984</v>
      </c>
      <c r="H1921" t="s">
        <v>1878</v>
      </c>
      <c r="I1921">
        <v>1</v>
      </c>
      <c r="K1921" t="s">
        <v>14332</v>
      </c>
      <c r="L1921" s="222">
        <v>9783922221128</v>
      </c>
      <c r="M1921">
        <v>192</v>
      </c>
      <c r="O1921" t="s">
        <v>10447</v>
      </c>
      <c r="P1921">
        <v>244</v>
      </c>
      <c r="Q1921">
        <v>2.79</v>
      </c>
    </row>
    <row r="1922" spans="1:17" x14ac:dyDescent="0.25">
      <c r="A1922">
        <v>689</v>
      </c>
      <c r="B1922" t="s">
        <v>10448</v>
      </c>
      <c r="C1922" t="s">
        <v>10449</v>
      </c>
      <c r="D1922" t="s">
        <v>5766</v>
      </c>
      <c r="E1922" t="s">
        <v>1913</v>
      </c>
      <c r="F1922">
        <v>1996</v>
      </c>
      <c r="H1922" t="s">
        <v>1878</v>
      </c>
      <c r="I1922">
        <v>1</v>
      </c>
      <c r="K1922" t="s">
        <v>14332</v>
      </c>
      <c r="L1922" s="222">
        <v>9783608875131</v>
      </c>
      <c r="M1922">
        <v>470</v>
      </c>
      <c r="O1922" t="s">
        <v>10451</v>
      </c>
      <c r="P1922">
        <v>462</v>
      </c>
      <c r="Q1922">
        <v>3.8</v>
      </c>
    </row>
    <row r="1923" spans="1:17" x14ac:dyDescent="0.25">
      <c r="A1923">
        <v>1386</v>
      </c>
      <c r="B1923" t="s">
        <v>4695</v>
      </c>
      <c r="C1923" t="s">
        <v>10452</v>
      </c>
      <c r="D1923" t="s">
        <v>9893</v>
      </c>
      <c r="F1923">
        <v>2011</v>
      </c>
      <c r="H1923" t="s">
        <v>1878</v>
      </c>
      <c r="I1923">
        <v>1</v>
      </c>
      <c r="K1923" t="s">
        <v>14332</v>
      </c>
      <c r="L1923" s="222">
        <v>9783499254017</v>
      </c>
      <c r="M1923">
        <v>215</v>
      </c>
      <c r="O1923" t="s">
        <v>10454</v>
      </c>
      <c r="P1923">
        <v>328</v>
      </c>
      <c r="Q1923">
        <v>2.94</v>
      </c>
    </row>
    <row r="1924" spans="1:17" x14ac:dyDescent="0.25">
      <c r="A1924">
        <v>795</v>
      </c>
      <c r="B1924" t="s">
        <v>10455</v>
      </c>
      <c r="C1924" t="s">
        <v>10456</v>
      </c>
      <c r="D1924" t="s">
        <v>2644</v>
      </c>
      <c r="F1924">
        <v>1985</v>
      </c>
      <c r="H1924" t="s">
        <v>1878</v>
      </c>
      <c r="I1924">
        <v>2</v>
      </c>
      <c r="K1924" t="s">
        <v>14332</v>
      </c>
      <c r="L1924" s="222">
        <v>9783257225358</v>
      </c>
      <c r="M1924">
        <v>181</v>
      </c>
      <c r="O1924" t="s">
        <v>10458</v>
      </c>
      <c r="P1924">
        <v>164</v>
      </c>
      <c r="Q1924">
        <v>2.74</v>
      </c>
    </row>
    <row r="1925" spans="1:17" x14ac:dyDescent="0.25">
      <c r="A1925">
        <v>701</v>
      </c>
      <c r="B1925" t="s">
        <v>10459</v>
      </c>
      <c r="C1925" t="s">
        <v>10460</v>
      </c>
      <c r="D1925" t="s">
        <v>7487</v>
      </c>
      <c r="F1925">
        <v>2018</v>
      </c>
      <c r="H1925" t="s">
        <v>1878</v>
      </c>
      <c r="I1925">
        <v>1</v>
      </c>
      <c r="K1925" t="s">
        <v>14332</v>
      </c>
      <c r="L1925" s="222">
        <v>9783411711079</v>
      </c>
      <c r="M1925">
        <v>144</v>
      </c>
      <c r="O1925" t="s">
        <v>10462</v>
      </c>
      <c r="P1925">
        <v>217</v>
      </c>
      <c r="Q1925">
        <v>8.7899999999999991</v>
      </c>
    </row>
    <row r="1926" spans="1:17" x14ac:dyDescent="0.25">
      <c r="A1926">
        <v>632</v>
      </c>
      <c r="B1926" t="s">
        <v>10463</v>
      </c>
      <c r="C1926" t="s">
        <v>10464</v>
      </c>
      <c r="D1926" t="s">
        <v>3524</v>
      </c>
      <c r="E1926" t="s">
        <v>1913</v>
      </c>
      <c r="F1926">
        <v>2002</v>
      </c>
      <c r="H1926" t="s">
        <v>2734</v>
      </c>
      <c r="I1926">
        <v>1</v>
      </c>
      <c r="K1926" t="s">
        <v>14332</v>
      </c>
      <c r="L1926" s="222">
        <v>9783785542323</v>
      </c>
      <c r="M1926">
        <v>122</v>
      </c>
      <c r="O1926" t="s">
        <v>10466</v>
      </c>
      <c r="P1926">
        <v>227</v>
      </c>
      <c r="Q1926">
        <v>2.97</v>
      </c>
    </row>
    <row r="1927" spans="1:17" x14ac:dyDescent="0.25">
      <c r="A1927">
        <v>2551</v>
      </c>
      <c r="B1927" t="s">
        <v>4238</v>
      </c>
      <c r="C1927" t="s">
        <v>10467</v>
      </c>
      <c r="D1927" t="s">
        <v>2232</v>
      </c>
      <c r="E1927" t="s">
        <v>1899</v>
      </c>
      <c r="F1927">
        <v>2015</v>
      </c>
      <c r="H1927" t="s">
        <v>1878</v>
      </c>
      <c r="I1927">
        <v>1</v>
      </c>
      <c r="K1927" t="s">
        <v>14332</v>
      </c>
      <c r="L1927" s="222">
        <v>9783442749478</v>
      </c>
      <c r="M1927">
        <v>380</v>
      </c>
      <c r="O1927" t="s">
        <v>10469</v>
      </c>
      <c r="P1927">
        <v>316</v>
      </c>
      <c r="Q1927">
        <v>5.79</v>
      </c>
    </row>
    <row r="1928" spans="1:17" x14ac:dyDescent="0.25">
      <c r="A1928">
        <v>633</v>
      </c>
      <c r="B1928" t="s">
        <v>10470</v>
      </c>
      <c r="C1928" t="s">
        <v>10471</v>
      </c>
      <c r="D1928" t="s">
        <v>2054</v>
      </c>
      <c r="E1928" t="s">
        <v>2032</v>
      </c>
      <c r="F1928">
        <v>1999</v>
      </c>
      <c r="H1928" t="s">
        <v>2734</v>
      </c>
      <c r="I1928">
        <v>1</v>
      </c>
      <c r="K1928" t="s">
        <v>14332</v>
      </c>
      <c r="L1928" s="222">
        <v>9783828971639</v>
      </c>
      <c r="M1928">
        <v>460</v>
      </c>
      <c r="O1928" t="s">
        <v>10473</v>
      </c>
      <c r="P1928">
        <v>547</v>
      </c>
      <c r="Q1928">
        <v>1.3</v>
      </c>
    </row>
    <row r="1929" spans="1:17" x14ac:dyDescent="0.25">
      <c r="A1929">
        <v>1386</v>
      </c>
      <c r="B1929" t="s">
        <v>10474</v>
      </c>
      <c r="C1929" t="s">
        <v>10475</v>
      </c>
      <c r="D1929" t="s">
        <v>2054</v>
      </c>
      <c r="E1929" t="s">
        <v>2032</v>
      </c>
      <c r="F1929">
        <v>2014</v>
      </c>
      <c r="H1929" t="s">
        <v>1878</v>
      </c>
      <c r="I1929">
        <v>1</v>
      </c>
      <c r="K1929" t="s">
        <v>14332</v>
      </c>
      <c r="L1929" s="222">
        <v>9783955690069</v>
      </c>
      <c r="M1929">
        <v>239</v>
      </c>
      <c r="O1929" t="s">
        <v>10477</v>
      </c>
      <c r="P1929">
        <v>239</v>
      </c>
      <c r="Q1929">
        <v>1.8</v>
      </c>
    </row>
    <row r="1930" spans="1:17" x14ac:dyDescent="0.25">
      <c r="A1930">
        <v>2551</v>
      </c>
      <c r="B1930" t="s">
        <v>10478</v>
      </c>
      <c r="C1930" t="s">
        <v>10479</v>
      </c>
      <c r="D1930" t="s">
        <v>9893</v>
      </c>
      <c r="F1930">
        <v>1996</v>
      </c>
      <c r="H1930" t="s">
        <v>1878</v>
      </c>
      <c r="I1930" s="305">
        <v>43892</v>
      </c>
      <c r="K1930" t="s">
        <v>14332</v>
      </c>
      <c r="L1930" s="222">
        <v>9783499135996</v>
      </c>
      <c r="M1930">
        <v>513</v>
      </c>
      <c r="O1930" t="s">
        <v>10481</v>
      </c>
      <c r="P1930">
        <v>400</v>
      </c>
      <c r="Q1930">
        <v>1.52</v>
      </c>
    </row>
    <row r="1931" spans="1:17" x14ac:dyDescent="0.25">
      <c r="A1931">
        <v>2547</v>
      </c>
      <c r="B1931" t="s">
        <v>3637</v>
      </c>
      <c r="C1931" t="s">
        <v>10482</v>
      </c>
      <c r="D1931" t="s">
        <v>3077</v>
      </c>
      <c r="E1931" t="s">
        <v>1913</v>
      </c>
      <c r="F1931">
        <v>2016</v>
      </c>
      <c r="H1931" t="s">
        <v>1878</v>
      </c>
      <c r="I1931">
        <v>1</v>
      </c>
      <c r="K1931" t="s">
        <v>14332</v>
      </c>
      <c r="L1931" s="222">
        <v>9783734105289</v>
      </c>
      <c r="M1931">
        <v>607</v>
      </c>
      <c r="O1931" t="s">
        <v>10484</v>
      </c>
      <c r="P1931">
        <v>498</v>
      </c>
      <c r="Q1931">
        <v>3.38</v>
      </c>
    </row>
    <row r="1932" spans="1:17" x14ac:dyDescent="0.25">
      <c r="A1932">
        <v>1315</v>
      </c>
      <c r="B1932" t="s">
        <v>4725</v>
      </c>
      <c r="C1932" t="s">
        <v>10485</v>
      </c>
      <c r="H1932" t="s">
        <v>2734</v>
      </c>
      <c r="I1932">
        <v>1</v>
      </c>
      <c r="K1932" t="s">
        <v>14332</v>
      </c>
      <c r="L1932" s="222">
        <v>9783505112317</v>
      </c>
      <c r="M1932">
        <v>361</v>
      </c>
      <c r="O1932" t="s">
        <v>10487</v>
      </c>
      <c r="P1932">
        <v>469</v>
      </c>
      <c r="Q1932">
        <v>4.79</v>
      </c>
    </row>
    <row r="1933" spans="1:17" x14ac:dyDescent="0.25">
      <c r="A1933">
        <v>632</v>
      </c>
      <c r="B1933" t="s">
        <v>10488</v>
      </c>
      <c r="C1933" t="s">
        <v>10489</v>
      </c>
      <c r="D1933" t="s">
        <v>9192</v>
      </c>
      <c r="F1933">
        <v>1993</v>
      </c>
      <c r="H1933" t="s">
        <v>2734</v>
      </c>
      <c r="I1933">
        <v>1</v>
      </c>
      <c r="J1933" t="s">
        <v>10490</v>
      </c>
      <c r="K1933" t="s">
        <v>14332</v>
      </c>
      <c r="L1933" s="222">
        <v>9783471776728</v>
      </c>
      <c r="M1933">
        <v>511</v>
      </c>
      <c r="O1933" t="s">
        <v>10492</v>
      </c>
      <c r="P1933">
        <v>653</v>
      </c>
      <c r="Q1933">
        <v>5.3</v>
      </c>
    </row>
    <row r="1934" spans="1:17" x14ac:dyDescent="0.25">
      <c r="A1934">
        <v>633</v>
      </c>
      <c r="B1934" t="s">
        <v>10493</v>
      </c>
      <c r="C1934" t="s">
        <v>10494</v>
      </c>
      <c r="D1934" t="s">
        <v>1920</v>
      </c>
      <c r="F1934">
        <v>2007</v>
      </c>
      <c r="H1934" t="s">
        <v>1878</v>
      </c>
      <c r="I1934">
        <v>2</v>
      </c>
      <c r="J1934" t="s">
        <v>9196</v>
      </c>
      <c r="K1934" t="s">
        <v>14332</v>
      </c>
      <c r="L1934" s="222">
        <v>9783404155880</v>
      </c>
      <c r="M1934">
        <v>668</v>
      </c>
      <c r="O1934" t="s">
        <v>10496</v>
      </c>
      <c r="P1934">
        <v>407</v>
      </c>
      <c r="Q1934">
        <v>1.57</v>
      </c>
    </row>
    <row r="1935" spans="1:17" x14ac:dyDescent="0.25">
      <c r="A1935">
        <v>2553</v>
      </c>
      <c r="B1935" t="s">
        <v>10497</v>
      </c>
      <c r="C1935" t="s">
        <v>10498</v>
      </c>
      <c r="D1935" t="s">
        <v>1912</v>
      </c>
      <c r="E1935" t="s">
        <v>1913</v>
      </c>
      <c r="F1935">
        <v>2015</v>
      </c>
      <c r="H1935" t="s">
        <v>1878</v>
      </c>
      <c r="I1935">
        <v>2</v>
      </c>
      <c r="J1935" t="s">
        <v>9196</v>
      </c>
      <c r="K1935" t="s">
        <v>14332</v>
      </c>
      <c r="L1935" s="222">
        <v>9783442482115</v>
      </c>
      <c r="M1935">
        <v>310</v>
      </c>
      <c r="O1935" t="s">
        <v>10500</v>
      </c>
      <c r="P1935">
        <v>266</v>
      </c>
      <c r="Q1935">
        <v>2.02</v>
      </c>
    </row>
    <row r="1936" spans="1:17" x14ac:dyDescent="0.25">
      <c r="A1936">
        <v>2553</v>
      </c>
      <c r="B1936" t="s">
        <v>10501</v>
      </c>
      <c r="C1936" t="s">
        <v>10502</v>
      </c>
      <c r="D1936" t="s">
        <v>2054</v>
      </c>
      <c r="F1936">
        <v>2019</v>
      </c>
      <c r="H1936" t="s">
        <v>1878</v>
      </c>
      <c r="I1936">
        <v>1</v>
      </c>
      <c r="K1936" t="s">
        <v>14332</v>
      </c>
      <c r="L1936" s="222">
        <v>9783959731607</v>
      </c>
      <c r="M1936">
        <v>367</v>
      </c>
      <c r="O1936" t="s">
        <v>10504</v>
      </c>
      <c r="P1936">
        <v>365</v>
      </c>
      <c r="Q1936">
        <v>2</v>
      </c>
    </row>
    <row r="1937" spans="1:17" x14ac:dyDescent="0.25">
      <c r="A1937">
        <v>689</v>
      </c>
      <c r="B1937" t="s">
        <v>10505</v>
      </c>
      <c r="C1937" t="s">
        <v>10506</v>
      </c>
      <c r="D1937" t="s">
        <v>10421</v>
      </c>
      <c r="F1937">
        <v>2007</v>
      </c>
      <c r="H1937" t="s">
        <v>1878</v>
      </c>
      <c r="I1937">
        <v>3</v>
      </c>
      <c r="K1937" t="s">
        <v>14332</v>
      </c>
      <c r="M1937">
        <v>458</v>
      </c>
      <c r="O1937" t="s">
        <v>10507</v>
      </c>
      <c r="P1937">
        <v>340</v>
      </c>
      <c r="Q1937">
        <v>2.9</v>
      </c>
    </row>
    <row r="1938" spans="1:17" x14ac:dyDescent="0.25">
      <c r="A1938">
        <v>2553</v>
      </c>
      <c r="B1938" t="s">
        <v>10508</v>
      </c>
      <c r="C1938" t="s">
        <v>10509</v>
      </c>
      <c r="D1938" t="s">
        <v>2257</v>
      </c>
      <c r="E1938" t="s">
        <v>1913</v>
      </c>
      <c r="F1938">
        <v>1998</v>
      </c>
      <c r="H1938" t="s">
        <v>1878</v>
      </c>
      <c r="I1938">
        <v>3</v>
      </c>
      <c r="K1938" t="s">
        <v>14332</v>
      </c>
      <c r="L1938" s="222">
        <v>9783426671276</v>
      </c>
      <c r="M1938">
        <v>345</v>
      </c>
      <c r="O1938" t="s">
        <v>10511</v>
      </c>
      <c r="P1938">
        <v>198</v>
      </c>
      <c r="Q1938">
        <v>1.45</v>
      </c>
    </row>
    <row r="1939" spans="1:17" x14ac:dyDescent="0.25">
      <c r="A1939">
        <v>796</v>
      </c>
      <c r="B1939" t="s">
        <v>3637</v>
      </c>
      <c r="C1939" t="s">
        <v>10512</v>
      </c>
      <c r="D1939" t="s">
        <v>2209</v>
      </c>
      <c r="F1939">
        <v>2006</v>
      </c>
      <c r="H1939" t="s">
        <v>1878</v>
      </c>
      <c r="I1939">
        <v>2</v>
      </c>
      <c r="K1939" t="s">
        <v>14332</v>
      </c>
      <c r="L1939" s="222">
        <v>9783453490604</v>
      </c>
      <c r="M1939">
        <v>240</v>
      </c>
      <c r="O1939" t="s">
        <v>10514</v>
      </c>
      <c r="P1939">
        <v>231</v>
      </c>
      <c r="Q1939">
        <v>2.9</v>
      </c>
    </row>
    <row r="1940" spans="1:17" x14ac:dyDescent="0.25">
      <c r="A1940">
        <v>2518</v>
      </c>
      <c r="B1940" t="s">
        <v>10515</v>
      </c>
      <c r="C1940" t="s">
        <v>10516</v>
      </c>
      <c r="D1940" t="s">
        <v>10143</v>
      </c>
      <c r="E1940" t="s">
        <v>1913</v>
      </c>
      <c r="F1940">
        <v>2017</v>
      </c>
      <c r="H1940" t="s">
        <v>1878</v>
      </c>
      <c r="I1940">
        <v>2</v>
      </c>
      <c r="J1940" t="s">
        <v>9196</v>
      </c>
      <c r="K1940" t="s">
        <v>14332</v>
      </c>
      <c r="L1940" s="222">
        <v>9783328101222</v>
      </c>
      <c r="M1940">
        <v>351</v>
      </c>
      <c r="O1940" t="s">
        <v>10518</v>
      </c>
      <c r="P1940">
        <v>342</v>
      </c>
      <c r="Q1940">
        <v>3.32</v>
      </c>
    </row>
    <row r="1941" spans="1:17" x14ac:dyDescent="0.25">
      <c r="A1941">
        <v>692</v>
      </c>
      <c r="B1941" t="s">
        <v>10519</v>
      </c>
      <c r="C1941" t="s">
        <v>10520</v>
      </c>
      <c r="D1941" t="s">
        <v>9961</v>
      </c>
      <c r="H1941" t="s">
        <v>2734</v>
      </c>
      <c r="I1941">
        <v>1</v>
      </c>
      <c r="K1941" t="s">
        <v>14332</v>
      </c>
      <c r="M1941">
        <v>254</v>
      </c>
      <c r="O1941" t="s">
        <v>10521</v>
      </c>
      <c r="P1941">
        <v>452</v>
      </c>
      <c r="Q1941">
        <v>2.4</v>
      </c>
    </row>
    <row r="1942" spans="1:17" x14ac:dyDescent="0.25">
      <c r="A1942">
        <v>2547</v>
      </c>
      <c r="B1942" t="s">
        <v>10522</v>
      </c>
      <c r="C1942" t="s">
        <v>10523</v>
      </c>
      <c r="D1942" t="s">
        <v>2054</v>
      </c>
      <c r="F1942">
        <v>2005</v>
      </c>
      <c r="H1942" t="s">
        <v>2734</v>
      </c>
      <c r="I1942">
        <v>1</v>
      </c>
      <c r="K1942" t="s">
        <v>14332</v>
      </c>
      <c r="L1942" s="222">
        <v>9783898972024</v>
      </c>
      <c r="M1942">
        <v>207</v>
      </c>
      <c r="O1942" t="s">
        <v>10525</v>
      </c>
      <c r="P1942">
        <v>397</v>
      </c>
      <c r="Q1942">
        <v>2.21</v>
      </c>
    </row>
    <row r="1943" spans="1:17" x14ac:dyDescent="0.25">
      <c r="A1943">
        <v>1386</v>
      </c>
      <c r="B1943" t="s">
        <v>10526</v>
      </c>
      <c r="C1943" t="s">
        <v>10527</v>
      </c>
      <c r="D1943" t="s">
        <v>9119</v>
      </c>
      <c r="E1943" t="s">
        <v>2032</v>
      </c>
      <c r="F1943">
        <v>2012</v>
      </c>
      <c r="H1943" t="s">
        <v>1878</v>
      </c>
      <c r="I1943">
        <v>2</v>
      </c>
      <c r="K1943" t="s">
        <v>14332</v>
      </c>
      <c r="L1943" s="222">
        <v>9783462044454</v>
      </c>
      <c r="M1943">
        <v>431</v>
      </c>
      <c r="O1943" t="s">
        <v>10529</v>
      </c>
      <c r="P1943">
        <v>346</v>
      </c>
      <c r="Q1943">
        <v>3.02</v>
      </c>
    </row>
    <row r="1944" spans="1:17" x14ac:dyDescent="0.25">
      <c r="A1944">
        <v>701</v>
      </c>
      <c r="B1944" t="s">
        <v>3035</v>
      </c>
      <c r="C1944" t="s">
        <v>7557</v>
      </c>
      <c r="D1944" t="s">
        <v>9893</v>
      </c>
      <c r="F1944">
        <v>2008</v>
      </c>
      <c r="H1944" t="s">
        <v>1878</v>
      </c>
      <c r="I1944">
        <v>1</v>
      </c>
      <c r="K1944" t="s">
        <v>14332</v>
      </c>
      <c r="M1944">
        <v>221</v>
      </c>
      <c r="O1944" t="s">
        <v>10530</v>
      </c>
      <c r="P1944">
        <v>279</v>
      </c>
      <c r="Q1944">
        <v>2.66</v>
      </c>
    </row>
    <row r="1945" spans="1:17" x14ac:dyDescent="0.25">
      <c r="A1945">
        <v>2553</v>
      </c>
      <c r="B1945" t="s">
        <v>3121</v>
      </c>
      <c r="C1945" t="s">
        <v>10531</v>
      </c>
      <c r="D1945" t="s">
        <v>2309</v>
      </c>
      <c r="H1945" t="s">
        <v>1878</v>
      </c>
      <c r="I1945">
        <v>2</v>
      </c>
      <c r="K1945" t="s">
        <v>14332</v>
      </c>
      <c r="L1945" s="222">
        <v>9783548251073</v>
      </c>
      <c r="M1945">
        <v>474</v>
      </c>
      <c r="O1945" t="s">
        <v>10533</v>
      </c>
      <c r="P1945">
        <v>315</v>
      </c>
      <c r="Q1945">
        <v>3.01</v>
      </c>
    </row>
    <row r="1946" spans="1:17" x14ac:dyDescent="0.25">
      <c r="A1946">
        <v>1386</v>
      </c>
      <c r="B1946" t="s">
        <v>2456</v>
      </c>
      <c r="C1946" t="s">
        <v>8483</v>
      </c>
      <c r="D1946" t="s">
        <v>1912</v>
      </c>
      <c r="F1946">
        <v>1999</v>
      </c>
      <c r="H1946" t="s">
        <v>1878</v>
      </c>
      <c r="I1946" s="305">
        <v>43892</v>
      </c>
      <c r="K1946" t="s">
        <v>14332</v>
      </c>
      <c r="L1946" s="222">
        <v>9783442444366</v>
      </c>
      <c r="M1946">
        <v>597</v>
      </c>
      <c r="O1946" t="s">
        <v>10535</v>
      </c>
      <c r="P1946">
        <v>404</v>
      </c>
      <c r="Q1946">
        <v>2.19</v>
      </c>
    </row>
    <row r="1947" spans="1:17" x14ac:dyDescent="0.25">
      <c r="A1947">
        <v>632</v>
      </c>
      <c r="B1947" t="s">
        <v>7258</v>
      </c>
      <c r="C1947" t="s">
        <v>10536</v>
      </c>
      <c r="D1947" t="s">
        <v>2257</v>
      </c>
      <c r="F1947">
        <v>1997</v>
      </c>
      <c r="H1947" t="s">
        <v>1878</v>
      </c>
      <c r="I1947">
        <v>2</v>
      </c>
      <c r="J1947" t="s">
        <v>9495</v>
      </c>
      <c r="K1947" t="s">
        <v>14332</v>
      </c>
      <c r="L1947" s="222">
        <v>9783426607008</v>
      </c>
      <c r="M1947">
        <v>409</v>
      </c>
      <c r="O1947" t="s">
        <v>10538</v>
      </c>
      <c r="P1947">
        <v>393</v>
      </c>
      <c r="Q1947">
        <v>2.19</v>
      </c>
    </row>
    <row r="1948" spans="1:17" x14ac:dyDescent="0.25">
      <c r="A1948">
        <v>692</v>
      </c>
      <c r="B1948" t="s">
        <v>10539</v>
      </c>
      <c r="C1948" t="s">
        <v>10540</v>
      </c>
      <c r="D1948" t="s">
        <v>2257</v>
      </c>
      <c r="F1948">
        <v>2007</v>
      </c>
      <c r="H1948" t="s">
        <v>1878</v>
      </c>
      <c r="I1948">
        <v>1</v>
      </c>
      <c r="K1948" t="s">
        <v>14332</v>
      </c>
      <c r="L1948" s="222">
        <v>9783426779729</v>
      </c>
      <c r="M1948">
        <v>371</v>
      </c>
      <c r="O1948" t="s">
        <v>10542</v>
      </c>
      <c r="P1948">
        <v>423</v>
      </c>
      <c r="Q1948">
        <v>3.01</v>
      </c>
    </row>
    <row r="1949" spans="1:17" x14ac:dyDescent="0.25">
      <c r="A1949">
        <v>11</v>
      </c>
      <c r="B1949" t="s">
        <v>10543</v>
      </c>
      <c r="C1949" t="s">
        <v>10544</v>
      </c>
      <c r="D1949" t="s">
        <v>10543</v>
      </c>
      <c r="E1949" t="s">
        <v>1913</v>
      </c>
      <c r="F1949">
        <v>2001</v>
      </c>
      <c r="H1949" t="s">
        <v>1878</v>
      </c>
      <c r="I1949">
        <v>1</v>
      </c>
      <c r="K1949" t="s">
        <v>14332</v>
      </c>
      <c r="L1949" s="222">
        <v>9783125182882</v>
      </c>
      <c r="M1949">
        <v>256</v>
      </c>
      <c r="O1949" t="s">
        <v>10546</v>
      </c>
      <c r="P1949">
        <v>131</v>
      </c>
      <c r="Q1949">
        <v>1.7</v>
      </c>
    </row>
    <row r="1950" spans="1:17" x14ac:dyDescent="0.25">
      <c r="A1950">
        <v>607</v>
      </c>
      <c r="B1950" t="s">
        <v>10547</v>
      </c>
      <c r="C1950" t="s">
        <v>10548</v>
      </c>
      <c r="D1950" t="s">
        <v>10549</v>
      </c>
      <c r="E1950" t="s">
        <v>1913</v>
      </c>
      <c r="F1950">
        <v>2004</v>
      </c>
      <c r="H1950" t="s">
        <v>1878</v>
      </c>
      <c r="I1950">
        <v>1</v>
      </c>
      <c r="K1950" t="s">
        <v>14332</v>
      </c>
      <c r="L1950" s="222">
        <v>9783932927201</v>
      </c>
      <c r="O1950" t="s">
        <v>10551</v>
      </c>
      <c r="P1950">
        <v>117</v>
      </c>
      <c r="Q1950">
        <v>4.79</v>
      </c>
    </row>
    <row r="1951" spans="1:17" x14ac:dyDescent="0.25">
      <c r="A1951">
        <v>11</v>
      </c>
      <c r="B1951" t="s">
        <v>10552</v>
      </c>
      <c r="C1951" t="s">
        <v>10553</v>
      </c>
      <c r="D1951" t="s">
        <v>10554</v>
      </c>
      <c r="H1951" t="s">
        <v>1878</v>
      </c>
      <c r="I1951">
        <v>1</v>
      </c>
      <c r="K1951" t="s">
        <v>14332</v>
      </c>
      <c r="L1951" s="222">
        <v>9783771807870</v>
      </c>
      <c r="M1951">
        <v>128</v>
      </c>
      <c r="O1951" t="s">
        <v>10556</v>
      </c>
      <c r="P1951">
        <v>136</v>
      </c>
      <c r="Q1951">
        <v>1.3</v>
      </c>
    </row>
    <row r="1952" spans="1:17" x14ac:dyDescent="0.25">
      <c r="A1952">
        <v>692</v>
      </c>
      <c r="B1952" t="s">
        <v>2935</v>
      </c>
      <c r="C1952" t="s">
        <v>10557</v>
      </c>
      <c r="D1952" t="s">
        <v>2244</v>
      </c>
      <c r="E1952" t="s">
        <v>2518</v>
      </c>
      <c r="F1952">
        <v>2004</v>
      </c>
      <c r="H1952" t="s">
        <v>1878</v>
      </c>
      <c r="I1952">
        <v>1</v>
      </c>
      <c r="K1952" t="s">
        <v>14332</v>
      </c>
      <c r="L1952" s="222">
        <v>9783810506665</v>
      </c>
      <c r="M1952">
        <v>267</v>
      </c>
      <c r="O1952" t="s">
        <v>10559</v>
      </c>
      <c r="P1952">
        <v>361</v>
      </c>
      <c r="Q1952">
        <v>1.3</v>
      </c>
    </row>
    <row r="1953" spans="1:17" x14ac:dyDescent="0.25">
      <c r="A1953">
        <v>940</v>
      </c>
      <c r="B1953" t="s">
        <v>10560</v>
      </c>
      <c r="C1953" t="s">
        <v>10561</v>
      </c>
      <c r="D1953" t="s">
        <v>2036</v>
      </c>
      <c r="E1953" t="s">
        <v>2032</v>
      </c>
      <c r="F1953">
        <v>2005</v>
      </c>
      <c r="H1953" t="s">
        <v>2734</v>
      </c>
      <c r="I1953">
        <v>1</v>
      </c>
      <c r="K1953" t="s">
        <v>14332</v>
      </c>
      <c r="L1953" s="222">
        <v>9783828934191</v>
      </c>
      <c r="M1953">
        <v>203</v>
      </c>
      <c r="O1953" t="s">
        <v>10563</v>
      </c>
      <c r="P1953">
        <v>283</v>
      </c>
      <c r="Q1953">
        <v>1.79</v>
      </c>
    </row>
    <row r="1954" spans="1:17" x14ac:dyDescent="0.25">
      <c r="A1954">
        <v>692</v>
      </c>
      <c r="B1954" t="s">
        <v>10567</v>
      </c>
      <c r="C1954" t="s">
        <v>10568</v>
      </c>
      <c r="D1954" t="s">
        <v>1920</v>
      </c>
      <c r="F1954">
        <v>2004</v>
      </c>
      <c r="H1954" t="s">
        <v>10569</v>
      </c>
      <c r="I1954">
        <v>1</v>
      </c>
      <c r="K1954" t="s">
        <v>14332</v>
      </c>
      <c r="L1954" s="222">
        <v>9783404154425</v>
      </c>
      <c r="M1954">
        <v>732</v>
      </c>
      <c r="O1954" t="s">
        <v>10571</v>
      </c>
      <c r="P1954">
        <v>533</v>
      </c>
      <c r="Q1954">
        <v>2.5499999999999998</v>
      </c>
    </row>
    <row r="1955" spans="1:17" x14ac:dyDescent="0.25">
      <c r="A1955">
        <v>633</v>
      </c>
      <c r="B1955" t="s">
        <v>2252</v>
      </c>
      <c r="C1955" t="s">
        <v>10572</v>
      </c>
      <c r="D1955" t="s">
        <v>2609</v>
      </c>
      <c r="E1955" t="s">
        <v>2518</v>
      </c>
      <c r="F1955">
        <v>2006</v>
      </c>
      <c r="H1955" t="s">
        <v>1878</v>
      </c>
      <c r="I1955" s="305">
        <v>43892</v>
      </c>
      <c r="K1955" t="s">
        <v>14332</v>
      </c>
      <c r="L1955" s="222">
        <v>9783596164530</v>
      </c>
      <c r="M1955">
        <v>987</v>
      </c>
      <c r="O1955" t="s">
        <v>10574</v>
      </c>
      <c r="P1955">
        <v>612</v>
      </c>
      <c r="Q1955">
        <v>1.79</v>
      </c>
    </row>
    <row r="1956" spans="1:17" x14ac:dyDescent="0.25">
      <c r="A1956">
        <v>2548</v>
      </c>
      <c r="B1956" t="s">
        <v>6262</v>
      </c>
      <c r="C1956" t="s">
        <v>6263</v>
      </c>
      <c r="D1956" t="s">
        <v>2209</v>
      </c>
      <c r="E1956" t="s">
        <v>2412</v>
      </c>
      <c r="F1956">
        <v>2006</v>
      </c>
      <c r="H1956" t="s">
        <v>1878</v>
      </c>
      <c r="I1956">
        <v>2</v>
      </c>
      <c r="K1956" t="s">
        <v>14332</v>
      </c>
      <c r="L1956" s="222">
        <v>9783453024540</v>
      </c>
      <c r="M1956">
        <v>526</v>
      </c>
      <c r="O1956" t="s">
        <v>10579</v>
      </c>
      <c r="P1956">
        <v>445</v>
      </c>
      <c r="Q1956">
        <v>1.79</v>
      </c>
    </row>
    <row r="1957" spans="1:17" x14ac:dyDescent="0.25">
      <c r="A1957">
        <v>692</v>
      </c>
      <c r="B1957" t="s">
        <v>10580</v>
      </c>
      <c r="C1957" t="s">
        <v>10581</v>
      </c>
      <c r="D1957" t="s">
        <v>2232</v>
      </c>
      <c r="E1957" t="s">
        <v>2412</v>
      </c>
      <c r="F1957">
        <v>2000</v>
      </c>
      <c r="H1957" t="s">
        <v>1878</v>
      </c>
      <c r="I1957">
        <v>2</v>
      </c>
      <c r="J1957" t="s">
        <v>9495</v>
      </c>
      <c r="K1957" t="s">
        <v>14332</v>
      </c>
      <c r="L1957" s="222">
        <v>9783442726325</v>
      </c>
      <c r="M1957">
        <v>572</v>
      </c>
      <c r="O1957" t="s">
        <v>10583</v>
      </c>
      <c r="P1957">
        <v>479</v>
      </c>
      <c r="Q1957">
        <v>1.3</v>
      </c>
    </row>
    <row r="1958" spans="1:17" x14ac:dyDescent="0.25">
      <c r="A1958">
        <v>1008</v>
      </c>
      <c r="B1958" t="s">
        <v>10584</v>
      </c>
      <c r="C1958" t="s">
        <v>10584</v>
      </c>
      <c r="D1958" t="s">
        <v>10585</v>
      </c>
      <c r="F1958">
        <v>2009</v>
      </c>
      <c r="H1958" t="s">
        <v>1878</v>
      </c>
      <c r="I1958">
        <v>2</v>
      </c>
      <c r="K1958" t="s">
        <v>14332</v>
      </c>
      <c r="M1958">
        <v>1233</v>
      </c>
      <c r="O1958" t="s">
        <v>10586</v>
      </c>
      <c r="P1958">
        <v>567</v>
      </c>
      <c r="Q1958">
        <v>1.3</v>
      </c>
    </row>
    <row r="1959" spans="1:17" x14ac:dyDescent="0.25">
      <c r="A1959">
        <v>1327</v>
      </c>
      <c r="B1959" t="s">
        <v>7625</v>
      </c>
      <c r="C1959" t="s">
        <v>10587</v>
      </c>
      <c r="D1959" t="s">
        <v>9893</v>
      </c>
      <c r="E1959" t="s">
        <v>1877</v>
      </c>
      <c r="F1959">
        <v>2000</v>
      </c>
      <c r="H1959" t="s">
        <v>1878</v>
      </c>
      <c r="I1959">
        <v>1</v>
      </c>
      <c r="K1959" t="s">
        <v>14332</v>
      </c>
      <c r="L1959" s="222">
        <v>9783499331190</v>
      </c>
      <c r="M1959">
        <v>284</v>
      </c>
      <c r="O1959" t="s">
        <v>10589</v>
      </c>
      <c r="P1959">
        <v>188</v>
      </c>
      <c r="Q1959">
        <v>1.1200000000000001</v>
      </c>
    </row>
    <row r="1960" spans="1:17" x14ac:dyDescent="0.25">
      <c r="A1960">
        <v>2518</v>
      </c>
      <c r="B1960" t="s">
        <v>10595</v>
      </c>
      <c r="C1960" t="s">
        <v>10596</v>
      </c>
      <c r="D1960" t="s">
        <v>2232</v>
      </c>
      <c r="F1960">
        <v>2009</v>
      </c>
      <c r="H1960" t="s">
        <v>1878</v>
      </c>
      <c r="I1960">
        <v>1</v>
      </c>
      <c r="K1960" t="s">
        <v>14332</v>
      </c>
      <c r="L1960" s="222">
        <v>9783442739547</v>
      </c>
      <c r="M1960">
        <v>281</v>
      </c>
      <c r="O1960" t="s">
        <v>10598</v>
      </c>
      <c r="P1960">
        <v>278</v>
      </c>
      <c r="Q1960">
        <v>0.79</v>
      </c>
    </row>
    <row r="1961" spans="1:17" x14ac:dyDescent="0.25">
      <c r="A1961">
        <v>692</v>
      </c>
      <c r="B1961" t="s">
        <v>5996</v>
      </c>
      <c r="C1961" t="s">
        <v>5997</v>
      </c>
      <c r="D1961" t="s">
        <v>2609</v>
      </c>
      <c r="E1961" t="s">
        <v>1877</v>
      </c>
      <c r="F1961">
        <v>2006</v>
      </c>
      <c r="H1961" t="s">
        <v>1878</v>
      </c>
      <c r="I1961" s="305">
        <v>43862</v>
      </c>
      <c r="K1961" t="s">
        <v>14332</v>
      </c>
      <c r="L1961" s="222">
        <v>9783596167012</v>
      </c>
      <c r="M1961">
        <v>311</v>
      </c>
      <c r="O1961" t="s">
        <v>10599</v>
      </c>
      <c r="P1961">
        <v>291</v>
      </c>
      <c r="Q1961">
        <v>2.75</v>
      </c>
    </row>
    <row r="1962" spans="1:17" x14ac:dyDescent="0.25">
      <c r="A1962">
        <v>795</v>
      </c>
      <c r="B1962" t="s">
        <v>3517</v>
      </c>
      <c r="C1962" t="s">
        <v>10600</v>
      </c>
      <c r="D1962" t="s">
        <v>2644</v>
      </c>
      <c r="F1962">
        <v>1998</v>
      </c>
      <c r="H1962" t="s">
        <v>1878</v>
      </c>
      <c r="I1962">
        <v>1</v>
      </c>
      <c r="K1962" t="s">
        <v>14332</v>
      </c>
      <c r="L1962" s="222">
        <v>9783257230239</v>
      </c>
      <c r="M1962">
        <v>245</v>
      </c>
      <c r="O1962" t="s">
        <v>10602</v>
      </c>
      <c r="P1962">
        <v>230</v>
      </c>
      <c r="Q1962">
        <v>1.79</v>
      </c>
    </row>
    <row r="1963" spans="1:17" x14ac:dyDescent="0.25">
      <c r="A1963">
        <v>2553</v>
      </c>
      <c r="B1963" t="s">
        <v>4599</v>
      </c>
      <c r="C1963" t="s">
        <v>10603</v>
      </c>
      <c r="D1963" t="s">
        <v>2257</v>
      </c>
      <c r="F1963">
        <v>2008</v>
      </c>
      <c r="H1963" t="s">
        <v>1878</v>
      </c>
      <c r="I1963" s="305">
        <v>43892</v>
      </c>
      <c r="J1963" t="s">
        <v>9495</v>
      </c>
      <c r="K1963" t="s">
        <v>14332</v>
      </c>
      <c r="L1963" s="222">
        <v>9783426500729</v>
      </c>
      <c r="M1963">
        <v>534</v>
      </c>
      <c r="O1963" t="s">
        <v>10605</v>
      </c>
      <c r="P1963">
        <v>407</v>
      </c>
      <c r="Q1963">
        <v>2.99</v>
      </c>
    </row>
    <row r="1964" spans="1:17" x14ac:dyDescent="0.25">
      <c r="A1964">
        <v>692</v>
      </c>
      <c r="B1964" t="s">
        <v>10606</v>
      </c>
      <c r="C1964" t="s">
        <v>10607</v>
      </c>
      <c r="D1964" t="s">
        <v>1876</v>
      </c>
      <c r="E1964" t="s">
        <v>9325</v>
      </c>
      <c r="F1964">
        <v>2012</v>
      </c>
      <c r="H1964" t="s">
        <v>1878</v>
      </c>
      <c r="I1964">
        <v>2</v>
      </c>
      <c r="K1964" t="s">
        <v>14332</v>
      </c>
      <c r="L1964" s="222">
        <v>9783492272858</v>
      </c>
      <c r="M1964">
        <v>333</v>
      </c>
      <c r="O1964" t="s">
        <v>10609</v>
      </c>
      <c r="P1964">
        <v>288</v>
      </c>
      <c r="Q1964">
        <v>2.4</v>
      </c>
    </row>
    <row r="1965" spans="1:17" x14ac:dyDescent="0.25">
      <c r="A1965">
        <v>632</v>
      </c>
      <c r="B1965" t="s">
        <v>3832</v>
      </c>
      <c r="C1965" t="s">
        <v>10614</v>
      </c>
      <c r="D1965" t="s">
        <v>2054</v>
      </c>
      <c r="F1965">
        <v>2005</v>
      </c>
      <c r="H1965" t="s">
        <v>1878</v>
      </c>
      <c r="I1965" s="305">
        <v>43862</v>
      </c>
      <c r="K1965" t="s">
        <v>14332</v>
      </c>
      <c r="L1965" s="222">
        <v>9783828906327</v>
      </c>
      <c r="M1965">
        <v>1151</v>
      </c>
      <c r="O1965" t="s">
        <v>10616</v>
      </c>
      <c r="P1965">
        <v>887</v>
      </c>
      <c r="Q1965">
        <v>4.79</v>
      </c>
    </row>
    <row r="1966" spans="1:17" x14ac:dyDescent="0.25">
      <c r="A1966">
        <v>1023</v>
      </c>
      <c r="C1966" t="s">
        <v>10584</v>
      </c>
      <c r="D1966" t="s">
        <v>8548</v>
      </c>
      <c r="E1966" t="s">
        <v>2032</v>
      </c>
      <c r="F1966">
        <v>2011</v>
      </c>
      <c r="H1966" t="s">
        <v>2734</v>
      </c>
      <c r="I1966">
        <v>1</v>
      </c>
      <c r="K1966" t="s">
        <v>14332</v>
      </c>
      <c r="L1966" s="222">
        <v>9782608222114</v>
      </c>
      <c r="M1966">
        <v>1458</v>
      </c>
      <c r="O1966" t="s">
        <v>10618</v>
      </c>
      <c r="P1966">
        <v>814</v>
      </c>
      <c r="Q1966">
        <v>4.8</v>
      </c>
    </row>
    <row r="1967" spans="1:17" x14ac:dyDescent="0.25">
      <c r="A1967">
        <v>1327</v>
      </c>
      <c r="B1967" t="s">
        <v>10619</v>
      </c>
      <c r="C1967" t="s">
        <v>10620</v>
      </c>
      <c r="D1967" t="s">
        <v>1988</v>
      </c>
      <c r="F1967">
        <v>2018</v>
      </c>
      <c r="H1967" t="s">
        <v>2734</v>
      </c>
      <c r="I1967">
        <v>1</v>
      </c>
      <c r="K1967" t="s">
        <v>14332</v>
      </c>
      <c r="L1967" s="222">
        <v>9783423640381</v>
      </c>
      <c r="M1967">
        <v>133</v>
      </c>
      <c r="O1967" t="s">
        <v>10622</v>
      </c>
      <c r="P1967">
        <v>322</v>
      </c>
      <c r="Q1967">
        <v>2.8</v>
      </c>
    </row>
    <row r="1968" spans="1:17" x14ac:dyDescent="0.25">
      <c r="A1968">
        <v>1927</v>
      </c>
      <c r="B1968" t="s">
        <v>10623</v>
      </c>
      <c r="C1968" t="s">
        <v>10624</v>
      </c>
      <c r="D1968" t="s">
        <v>4841</v>
      </c>
      <c r="F1968">
        <v>2008</v>
      </c>
      <c r="H1968" t="s">
        <v>1878</v>
      </c>
      <c r="J1968" t="s">
        <v>10625</v>
      </c>
      <c r="K1968" t="s">
        <v>14332</v>
      </c>
      <c r="L1968" s="222">
        <v>9783451067358</v>
      </c>
      <c r="M1968">
        <v>245</v>
      </c>
      <c r="O1968" t="s">
        <v>10627</v>
      </c>
      <c r="P1968">
        <v>224</v>
      </c>
      <c r="Q1968">
        <v>5.79</v>
      </c>
    </row>
    <row r="1969" spans="1:17" x14ac:dyDescent="0.25">
      <c r="A1969">
        <v>951</v>
      </c>
      <c r="B1969" t="s">
        <v>10628</v>
      </c>
      <c r="C1969" t="s">
        <v>10629</v>
      </c>
      <c r="D1969" t="s">
        <v>7358</v>
      </c>
      <c r="E1969" t="s">
        <v>2175</v>
      </c>
      <c r="F1969">
        <v>1988</v>
      </c>
      <c r="H1969" t="s">
        <v>1878</v>
      </c>
      <c r="I1969">
        <v>2</v>
      </c>
      <c r="K1969" t="s">
        <v>14332</v>
      </c>
      <c r="L1969" s="222">
        <v>9783424009422</v>
      </c>
      <c r="M1969">
        <v>221</v>
      </c>
      <c r="O1969" t="s">
        <v>10631</v>
      </c>
      <c r="P1969">
        <v>303</v>
      </c>
      <c r="Q1969">
        <v>4.79</v>
      </c>
    </row>
    <row r="1970" spans="1:17" x14ac:dyDescent="0.25">
      <c r="A1970">
        <v>647</v>
      </c>
      <c r="B1970" t="s">
        <v>10632</v>
      </c>
      <c r="C1970" t="s">
        <v>10633</v>
      </c>
      <c r="D1970" t="s">
        <v>1912</v>
      </c>
      <c r="E1970" t="s">
        <v>2175</v>
      </c>
      <c r="F1970">
        <v>2007</v>
      </c>
      <c r="H1970" t="s">
        <v>10634</v>
      </c>
      <c r="I1970">
        <v>2</v>
      </c>
      <c r="K1970" t="s">
        <v>14332</v>
      </c>
      <c r="L1970" s="222">
        <v>9783442154517</v>
      </c>
      <c r="M1970">
        <v>409</v>
      </c>
      <c r="O1970" t="s">
        <v>10636</v>
      </c>
      <c r="P1970">
        <v>352</v>
      </c>
      <c r="Q1970">
        <v>4.3</v>
      </c>
    </row>
    <row r="1971" spans="1:17" x14ac:dyDescent="0.25">
      <c r="A1971">
        <v>796</v>
      </c>
      <c r="B1971" t="s">
        <v>10637</v>
      </c>
      <c r="C1971" t="s">
        <v>10638</v>
      </c>
      <c r="D1971" t="s">
        <v>4930</v>
      </c>
      <c r="F1971">
        <v>2014</v>
      </c>
      <c r="H1971" t="s">
        <v>2734</v>
      </c>
      <c r="I1971">
        <v>2</v>
      </c>
      <c r="J1971" t="s">
        <v>9495</v>
      </c>
      <c r="K1971" t="s">
        <v>14332</v>
      </c>
      <c r="M1971">
        <v>348</v>
      </c>
      <c r="O1971" t="s">
        <v>10639</v>
      </c>
      <c r="P1971">
        <v>382</v>
      </c>
      <c r="Q1971">
        <v>4.29</v>
      </c>
    </row>
    <row r="1972" spans="1:17" x14ac:dyDescent="0.25">
      <c r="A1972">
        <v>796</v>
      </c>
      <c r="B1972" t="s">
        <v>10640</v>
      </c>
      <c r="C1972" t="s">
        <v>10641</v>
      </c>
      <c r="D1972" t="s">
        <v>9893</v>
      </c>
      <c r="F1972">
        <v>1998</v>
      </c>
      <c r="H1972" t="s">
        <v>1878</v>
      </c>
      <c r="I1972">
        <v>2</v>
      </c>
      <c r="K1972" t="s">
        <v>14332</v>
      </c>
      <c r="L1972" s="222">
        <v>9783499224904</v>
      </c>
      <c r="M1972">
        <v>283</v>
      </c>
      <c r="O1972" t="s">
        <v>10643</v>
      </c>
      <c r="P1972">
        <v>246</v>
      </c>
      <c r="Q1972">
        <v>1.3</v>
      </c>
    </row>
    <row r="1973" spans="1:17" x14ac:dyDescent="0.25">
      <c r="A1973">
        <v>692</v>
      </c>
      <c r="B1973" t="s">
        <v>10644</v>
      </c>
      <c r="C1973" t="s">
        <v>10645</v>
      </c>
      <c r="D1973" t="s">
        <v>2054</v>
      </c>
      <c r="E1973" t="s">
        <v>2032</v>
      </c>
      <c r="F1973">
        <v>2010</v>
      </c>
      <c r="H1973" t="s">
        <v>2734</v>
      </c>
      <c r="I1973">
        <v>1</v>
      </c>
      <c r="K1973" t="s">
        <v>14332</v>
      </c>
      <c r="L1973" s="222">
        <v>9783828988316</v>
      </c>
      <c r="M1973">
        <v>301</v>
      </c>
      <c r="O1973" t="s">
        <v>10647</v>
      </c>
      <c r="P1973">
        <v>303</v>
      </c>
      <c r="Q1973">
        <v>3.79</v>
      </c>
    </row>
    <row r="1974" spans="1:17" x14ac:dyDescent="0.25">
      <c r="A1974">
        <v>692</v>
      </c>
      <c r="B1974" t="s">
        <v>10302</v>
      </c>
      <c r="C1974" t="s">
        <v>10648</v>
      </c>
      <c r="D1974" t="s">
        <v>2054</v>
      </c>
      <c r="E1974" t="s">
        <v>2032</v>
      </c>
      <c r="F1974">
        <v>2009</v>
      </c>
      <c r="H1974" t="s">
        <v>2734</v>
      </c>
      <c r="I1974">
        <v>1</v>
      </c>
      <c r="K1974" t="s">
        <v>14332</v>
      </c>
      <c r="L1974" s="222">
        <v>9783828979727</v>
      </c>
      <c r="M1974">
        <v>335</v>
      </c>
      <c r="O1974" t="s">
        <v>10650</v>
      </c>
      <c r="P1974">
        <v>414</v>
      </c>
      <c r="Q1974">
        <v>3.59</v>
      </c>
    </row>
    <row r="1975" spans="1:17" x14ac:dyDescent="0.25">
      <c r="A1975">
        <v>692</v>
      </c>
      <c r="B1975" t="s">
        <v>10651</v>
      </c>
      <c r="C1975" t="s">
        <v>10652</v>
      </c>
      <c r="D1975" t="s">
        <v>10653</v>
      </c>
      <c r="E1975" t="s">
        <v>6097</v>
      </c>
      <c r="F1975">
        <v>2014</v>
      </c>
      <c r="H1975" t="s">
        <v>1878</v>
      </c>
      <c r="I1975">
        <v>2</v>
      </c>
      <c r="K1975" t="s">
        <v>14332</v>
      </c>
      <c r="L1975" s="222">
        <v>9783499267031</v>
      </c>
      <c r="M1975">
        <v>542</v>
      </c>
      <c r="O1975" t="s">
        <v>10655</v>
      </c>
      <c r="P1975">
        <v>653</v>
      </c>
      <c r="Q1975">
        <v>2.6</v>
      </c>
    </row>
    <row r="1976" spans="1:17" x14ac:dyDescent="0.25">
      <c r="A1976">
        <v>2553</v>
      </c>
      <c r="B1976" t="s">
        <v>4599</v>
      </c>
      <c r="C1976" t="s">
        <v>10656</v>
      </c>
      <c r="D1976" t="s">
        <v>2054</v>
      </c>
      <c r="F1976">
        <v>2010</v>
      </c>
      <c r="H1976" t="s">
        <v>1878</v>
      </c>
      <c r="I1976">
        <v>3</v>
      </c>
      <c r="K1976" t="s">
        <v>14332</v>
      </c>
      <c r="L1976" s="222">
        <v>9783828986701</v>
      </c>
      <c r="M1976">
        <v>1065</v>
      </c>
      <c r="O1976" t="s">
        <v>10658</v>
      </c>
      <c r="P1976">
        <v>672</v>
      </c>
      <c r="Q1976">
        <v>1.79</v>
      </c>
    </row>
    <row r="1977" spans="1:17" x14ac:dyDescent="0.25">
      <c r="A1977">
        <v>2551</v>
      </c>
      <c r="B1977" t="s">
        <v>5033</v>
      </c>
      <c r="C1977" t="s">
        <v>7247</v>
      </c>
      <c r="D1977" t="s">
        <v>1988</v>
      </c>
      <c r="E1977" t="s">
        <v>1877</v>
      </c>
      <c r="F1977">
        <v>2000</v>
      </c>
      <c r="H1977" t="s">
        <v>1878</v>
      </c>
      <c r="I1977">
        <v>2</v>
      </c>
      <c r="K1977" t="s">
        <v>14332</v>
      </c>
      <c r="L1977" s="222">
        <v>9783423202947</v>
      </c>
      <c r="M1977">
        <v>350</v>
      </c>
      <c r="O1977" t="s">
        <v>10659</v>
      </c>
      <c r="P1977">
        <v>262</v>
      </c>
      <c r="Q1977">
        <v>2.1800000000000002</v>
      </c>
    </row>
    <row r="1978" spans="1:17" x14ac:dyDescent="0.25">
      <c r="A1978">
        <v>632</v>
      </c>
      <c r="B1978" t="s">
        <v>2467</v>
      </c>
      <c r="C1978" t="s">
        <v>3231</v>
      </c>
      <c r="D1978" t="s">
        <v>2257</v>
      </c>
      <c r="F1978">
        <v>2003</v>
      </c>
      <c r="H1978" t="s">
        <v>1878</v>
      </c>
      <c r="I1978">
        <v>2</v>
      </c>
      <c r="K1978" t="s">
        <v>14332</v>
      </c>
      <c r="L1978" s="222">
        <v>9783426625330</v>
      </c>
      <c r="M1978">
        <v>413</v>
      </c>
      <c r="O1978" t="s">
        <v>10661</v>
      </c>
      <c r="P1978">
        <v>447</v>
      </c>
      <c r="Q1978">
        <v>2.66</v>
      </c>
    </row>
    <row r="1979" spans="1:17" x14ac:dyDescent="0.25">
      <c r="A1979">
        <v>607</v>
      </c>
      <c r="B1979" t="s">
        <v>10662</v>
      </c>
      <c r="C1979" t="s">
        <v>10663</v>
      </c>
      <c r="D1979" t="s">
        <v>10664</v>
      </c>
      <c r="E1979" t="s">
        <v>1913</v>
      </c>
      <c r="F1979">
        <v>1986</v>
      </c>
      <c r="H1979" t="s">
        <v>1878</v>
      </c>
      <c r="I1979">
        <v>2</v>
      </c>
      <c r="J1979" t="s">
        <v>9732</v>
      </c>
      <c r="K1979" t="s">
        <v>14332</v>
      </c>
      <c r="L1979" s="222">
        <v>9783879361649</v>
      </c>
      <c r="M1979">
        <v>190</v>
      </c>
      <c r="O1979" t="s">
        <v>10666</v>
      </c>
      <c r="P1979">
        <v>269</v>
      </c>
      <c r="Q1979">
        <v>5.2</v>
      </c>
    </row>
    <row r="1980" spans="1:17" x14ac:dyDescent="0.25">
      <c r="A1980">
        <v>692</v>
      </c>
      <c r="B1980" t="s">
        <v>9334</v>
      </c>
      <c r="C1980" t="s">
        <v>10667</v>
      </c>
      <c r="D1980" t="s">
        <v>1920</v>
      </c>
      <c r="F1980">
        <v>2003</v>
      </c>
      <c r="H1980" t="s">
        <v>1878</v>
      </c>
      <c r="I1980" s="305">
        <v>43892</v>
      </c>
      <c r="J1980" t="s">
        <v>9196</v>
      </c>
      <c r="K1980" t="s">
        <v>14332</v>
      </c>
      <c r="L1980" s="222">
        <v>9783404151592</v>
      </c>
      <c r="M1980">
        <v>604</v>
      </c>
      <c r="O1980" t="s">
        <v>10669</v>
      </c>
      <c r="P1980">
        <v>498</v>
      </c>
      <c r="Q1980">
        <v>3.03</v>
      </c>
    </row>
    <row r="1981" spans="1:17" x14ac:dyDescent="0.25">
      <c r="A1981">
        <v>8</v>
      </c>
      <c r="B1981" t="s">
        <v>10670</v>
      </c>
      <c r="C1981" t="s">
        <v>10671</v>
      </c>
      <c r="D1981" t="s">
        <v>2257</v>
      </c>
      <c r="F1981">
        <v>1993</v>
      </c>
      <c r="H1981" t="s">
        <v>1878</v>
      </c>
      <c r="I1981">
        <v>3</v>
      </c>
      <c r="K1981" t="s">
        <v>14332</v>
      </c>
      <c r="L1981" s="222">
        <v>9783426600924</v>
      </c>
      <c r="M1981">
        <v>254</v>
      </c>
      <c r="O1981" t="s">
        <v>10673</v>
      </c>
      <c r="P1981">
        <v>145</v>
      </c>
      <c r="Q1981">
        <v>2.4700000000000002</v>
      </c>
    </row>
    <row r="1982" spans="1:17" x14ac:dyDescent="0.25">
      <c r="A1982">
        <v>689</v>
      </c>
      <c r="B1982" t="s">
        <v>10674</v>
      </c>
      <c r="C1982" t="s">
        <v>10675</v>
      </c>
      <c r="D1982" t="s">
        <v>1876</v>
      </c>
      <c r="F1982">
        <v>2014</v>
      </c>
      <c r="H1982" t="s">
        <v>1878</v>
      </c>
      <c r="I1982" s="305">
        <v>43892</v>
      </c>
      <c r="J1982" t="s">
        <v>9092</v>
      </c>
      <c r="K1982" t="s">
        <v>14332</v>
      </c>
      <c r="L1982" s="222">
        <v>9783492285001</v>
      </c>
      <c r="M1982">
        <v>1072</v>
      </c>
      <c r="O1982" t="s">
        <v>10677</v>
      </c>
      <c r="P1982">
        <v>862</v>
      </c>
      <c r="Q1982">
        <v>8.8000000000000007</v>
      </c>
    </row>
    <row r="1983" spans="1:17" x14ac:dyDescent="0.25">
      <c r="A1983">
        <v>1394</v>
      </c>
      <c r="B1983" t="s">
        <v>10678</v>
      </c>
      <c r="C1983" t="s">
        <v>10679</v>
      </c>
      <c r="D1983" t="s">
        <v>10680</v>
      </c>
      <c r="E1983" t="s">
        <v>1913</v>
      </c>
      <c r="F1983">
        <v>2005</v>
      </c>
      <c r="H1983" t="s">
        <v>1878</v>
      </c>
      <c r="I1983" s="305">
        <v>43892</v>
      </c>
      <c r="K1983" t="s">
        <v>14332</v>
      </c>
      <c r="L1983" s="222">
        <v>9783937366067</v>
      </c>
      <c r="M1983">
        <v>94</v>
      </c>
      <c r="O1983" t="s">
        <v>10682</v>
      </c>
      <c r="P1983">
        <v>259</v>
      </c>
      <c r="Q1983">
        <v>3.04</v>
      </c>
    </row>
    <row r="1984" spans="1:17" x14ac:dyDescent="0.25">
      <c r="A1984">
        <v>689</v>
      </c>
      <c r="B1984" t="s">
        <v>10687</v>
      </c>
      <c r="C1984" t="s">
        <v>10688</v>
      </c>
      <c r="D1984" t="s">
        <v>1876</v>
      </c>
      <c r="E1984" t="s">
        <v>3053</v>
      </c>
      <c r="F1984">
        <v>2008</v>
      </c>
      <c r="H1984" t="s">
        <v>1878</v>
      </c>
      <c r="I1984">
        <v>2</v>
      </c>
      <c r="K1984" t="s">
        <v>14332</v>
      </c>
      <c r="L1984" s="222">
        <v>9783492700764</v>
      </c>
      <c r="M1984">
        <v>640</v>
      </c>
      <c r="O1984" t="s">
        <v>10690</v>
      </c>
      <c r="P1984">
        <v>860</v>
      </c>
      <c r="Q1984">
        <v>2.92</v>
      </c>
    </row>
    <row r="1985" spans="1:17" x14ac:dyDescent="0.25">
      <c r="A1985">
        <v>1386</v>
      </c>
      <c r="B1985" t="s">
        <v>10691</v>
      </c>
      <c r="C1985" t="s">
        <v>10692</v>
      </c>
      <c r="D1985" t="s">
        <v>2209</v>
      </c>
      <c r="F1985">
        <v>2017</v>
      </c>
      <c r="H1985" t="s">
        <v>1878</v>
      </c>
      <c r="I1985">
        <v>2</v>
      </c>
      <c r="J1985" t="s">
        <v>9092</v>
      </c>
      <c r="K1985" t="s">
        <v>14332</v>
      </c>
      <c r="L1985" s="222">
        <v>9783453419971</v>
      </c>
      <c r="M1985">
        <v>272</v>
      </c>
      <c r="O1985" t="s">
        <v>10694</v>
      </c>
      <c r="P1985">
        <v>266</v>
      </c>
      <c r="Q1985">
        <v>5.71</v>
      </c>
    </row>
    <row r="1986" spans="1:17" x14ac:dyDescent="0.25">
      <c r="A1986">
        <v>2002</v>
      </c>
      <c r="B1986" t="s">
        <v>3024</v>
      </c>
      <c r="C1986" t="s">
        <v>10695</v>
      </c>
      <c r="D1986" t="s">
        <v>10044</v>
      </c>
      <c r="E1986" t="s">
        <v>1877</v>
      </c>
      <c r="F1986">
        <v>2009</v>
      </c>
      <c r="H1986" t="s">
        <v>1878</v>
      </c>
      <c r="I1986">
        <v>3</v>
      </c>
      <c r="K1986" t="s">
        <v>14332</v>
      </c>
      <c r="L1986" s="222">
        <v>9783462040494</v>
      </c>
      <c r="M1986">
        <v>336</v>
      </c>
      <c r="O1986" t="s">
        <v>10696</v>
      </c>
      <c r="P1986">
        <v>381</v>
      </c>
      <c r="Q1986">
        <v>2.2000000000000002</v>
      </c>
    </row>
    <row r="1987" spans="1:17" x14ac:dyDescent="0.25">
      <c r="A1987">
        <v>2514</v>
      </c>
      <c r="C1987" t="s">
        <v>10697</v>
      </c>
      <c r="D1987" t="s">
        <v>10698</v>
      </c>
      <c r="F1987">
        <v>2008</v>
      </c>
      <c r="H1987" t="s">
        <v>1878</v>
      </c>
      <c r="I1987">
        <v>2</v>
      </c>
      <c r="K1987" t="s">
        <v>14332</v>
      </c>
      <c r="M1987">
        <v>120</v>
      </c>
      <c r="O1987" t="s">
        <v>10699</v>
      </c>
      <c r="P1987">
        <v>114</v>
      </c>
      <c r="Q1987">
        <v>2.61</v>
      </c>
    </row>
    <row r="1988" spans="1:17" x14ac:dyDescent="0.25">
      <c r="A1988">
        <v>632</v>
      </c>
      <c r="B1988" t="s">
        <v>7529</v>
      </c>
      <c r="C1988" t="s">
        <v>10703</v>
      </c>
      <c r="D1988" t="s">
        <v>3077</v>
      </c>
      <c r="F1988">
        <v>1995</v>
      </c>
      <c r="H1988" t="s">
        <v>2734</v>
      </c>
      <c r="I1988">
        <v>3</v>
      </c>
      <c r="K1988" t="s">
        <v>14332</v>
      </c>
      <c r="M1988">
        <v>802</v>
      </c>
      <c r="O1988" t="s">
        <v>10704</v>
      </c>
      <c r="P1988">
        <v>927</v>
      </c>
      <c r="Q1988">
        <v>2.7</v>
      </c>
    </row>
    <row r="1989" spans="1:17" x14ac:dyDescent="0.25">
      <c r="A1989">
        <v>1927</v>
      </c>
      <c r="B1989" t="s">
        <v>10705</v>
      </c>
      <c r="C1989" t="s">
        <v>10706</v>
      </c>
      <c r="D1989" t="s">
        <v>10707</v>
      </c>
      <c r="E1989" t="s">
        <v>2922</v>
      </c>
      <c r="F1989">
        <v>2009</v>
      </c>
      <c r="H1989" t="s">
        <v>1878</v>
      </c>
      <c r="I1989">
        <v>2</v>
      </c>
      <c r="K1989" t="s">
        <v>14332</v>
      </c>
      <c r="L1989" s="222">
        <v>9783932017278</v>
      </c>
      <c r="M1989">
        <v>162</v>
      </c>
      <c r="O1989" t="s">
        <v>10709</v>
      </c>
      <c r="P1989">
        <v>318</v>
      </c>
      <c r="Q1989">
        <v>3.68</v>
      </c>
    </row>
    <row r="1990" spans="1:17" x14ac:dyDescent="0.25">
      <c r="A1990">
        <v>624</v>
      </c>
      <c r="B1990" t="s">
        <v>10710</v>
      </c>
      <c r="C1990" t="s">
        <v>10711</v>
      </c>
      <c r="D1990" t="s">
        <v>2609</v>
      </c>
      <c r="F1990">
        <v>1996</v>
      </c>
      <c r="H1990" t="s">
        <v>1878</v>
      </c>
      <c r="I1990">
        <v>3</v>
      </c>
      <c r="J1990" t="s">
        <v>10712</v>
      </c>
      <c r="K1990" t="s">
        <v>14332</v>
      </c>
      <c r="L1990" s="222">
        <v>9783895013775</v>
      </c>
      <c r="M1990">
        <v>190</v>
      </c>
      <c r="O1990" t="s">
        <v>10714</v>
      </c>
      <c r="P1990">
        <v>272</v>
      </c>
      <c r="Q1990">
        <v>4.49</v>
      </c>
    </row>
    <row r="1991" spans="1:17" x14ac:dyDescent="0.25">
      <c r="A1991">
        <v>16</v>
      </c>
      <c r="B1991" t="s">
        <v>10715</v>
      </c>
      <c r="C1991" t="s">
        <v>10716</v>
      </c>
      <c r="D1991" t="s">
        <v>2530</v>
      </c>
      <c r="E1991" t="s">
        <v>1899</v>
      </c>
      <c r="F1991">
        <v>2017</v>
      </c>
      <c r="H1991" t="s">
        <v>1878</v>
      </c>
      <c r="I1991">
        <v>1</v>
      </c>
      <c r="K1991" t="s">
        <v>14332</v>
      </c>
      <c r="L1991" s="222">
        <v>9783841501189</v>
      </c>
      <c r="M1991">
        <v>64</v>
      </c>
      <c r="O1991" t="s">
        <v>10718</v>
      </c>
      <c r="P1991">
        <v>102</v>
      </c>
      <c r="Q1991">
        <v>5.4</v>
      </c>
    </row>
    <row r="1992" spans="1:17" x14ac:dyDescent="0.25">
      <c r="A1992">
        <v>796</v>
      </c>
      <c r="B1992" t="s">
        <v>10719</v>
      </c>
      <c r="C1992" t="s">
        <v>10720</v>
      </c>
      <c r="D1992" t="s">
        <v>2209</v>
      </c>
      <c r="E1992" t="s">
        <v>1921</v>
      </c>
      <c r="F1992">
        <v>2005</v>
      </c>
      <c r="H1992" t="s">
        <v>1878</v>
      </c>
      <c r="I1992">
        <v>2</v>
      </c>
      <c r="K1992" t="s">
        <v>14332</v>
      </c>
      <c r="L1992" s="222">
        <v>9783453490208</v>
      </c>
      <c r="M1992">
        <v>528</v>
      </c>
      <c r="O1992" t="s">
        <v>10722</v>
      </c>
      <c r="P1992">
        <v>428</v>
      </c>
      <c r="Q1992">
        <v>2.73</v>
      </c>
    </row>
    <row r="1993" spans="1:17" x14ac:dyDescent="0.25">
      <c r="A1993">
        <v>765</v>
      </c>
      <c r="B1993" t="s">
        <v>10723</v>
      </c>
      <c r="C1993" t="s">
        <v>10724</v>
      </c>
      <c r="D1993" t="s">
        <v>2309</v>
      </c>
      <c r="E1993" t="s">
        <v>1913</v>
      </c>
      <c r="F1993">
        <v>2006</v>
      </c>
      <c r="H1993" t="s">
        <v>1878</v>
      </c>
      <c r="I1993">
        <v>2</v>
      </c>
      <c r="J1993" t="s">
        <v>9092</v>
      </c>
      <c r="K1993" t="s">
        <v>14332</v>
      </c>
      <c r="L1993" s="222">
        <v>9783548743394</v>
      </c>
      <c r="M1993">
        <v>208</v>
      </c>
      <c r="O1993" t="s">
        <v>10726</v>
      </c>
      <c r="P1993">
        <v>186</v>
      </c>
      <c r="Q1993">
        <v>3.13</v>
      </c>
    </row>
    <row r="1994" spans="1:17" x14ac:dyDescent="0.25">
      <c r="A1994">
        <v>2522</v>
      </c>
      <c r="B1994" t="s">
        <v>10727</v>
      </c>
      <c r="C1994" t="s">
        <v>10728</v>
      </c>
      <c r="D1994" t="s">
        <v>1920</v>
      </c>
      <c r="F1994">
        <v>2002</v>
      </c>
      <c r="H1994" t="s">
        <v>1878</v>
      </c>
      <c r="I1994">
        <v>2</v>
      </c>
      <c r="K1994" t="s">
        <v>14332</v>
      </c>
      <c r="L1994" s="222">
        <v>9783404151349</v>
      </c>
      <c r="M1994">
        <v>576</v>
      </c>
      <c r="O1994" t="s">
        <v>10730</v>
      </c>
      <c r="P1994">
        <v>475</v>
      </c>
      <c r="Q1994">
        <v>1.81</v>
      </c>
    </row>
    <row r="1995" spans="1:17" x14ac:dyDescent="0.25">
      <c r="A1995">
        <v>692</v>
      </c>
      <c r="B1995" t="s">
        <v>2242</v>
      </c>
      <c r="C1995" t="s">
        <v>10731</v>
      </c>
      <c r="D1995" t="s">
        <v>2609</v>
      </c>
      <c r="F1995">
        <v>2003</v>
      </c>
      <c r="H1995" t="s">
        <v>1878</v>
      </c>
      <c r="I1995">
        <v>2</v>
      </c>
      <c r="J1995" t="s">
        <v>10732</v>
      </c>
      <c r="K1995" t="s">
        <v>14332</v>
      </c>
      <c r="L1995" s="222">
        <v>9783596506118</v>
      </c>
      <c r="M1995">
        <v>336</v>
      </c>
      <c r="O1995" t="s">
        <v>10734</v>
      </c>
      <c r="P1995">
        <v>293</v>
      </c>
      <c r="Q1995">
        <v>1.58</v>
      </c>
    </row>
    <row r="1996" spans="1:17" x14ac:dyDescent="0.25">
      <c r="A1996">
        <v>692</v>
      </c>
      <c r="B1996" t="s">
        <v>7258</v>
      </c>
      <c r="C1996" t="s">
        <v>10536</v>
      </c>
      <c r="D1996" t="s">
        <v>2257</v>
      </c>
      <c r="F1996">
        <v>1997</v>
      </c>
      <c r="H1996" t="s">
        <v>1878</v>
      </c>
      <c r="I1996">
        <v>3</v>
      </c>
      <c r="K1996" t="s">
        <v>14332</v>
      </c>
      <c r="L1996" s="222">
        <v>9783426607008</v>
      </c>
      <c r="M1996">
        <v>416</v>
      </c>
      <c r="O1996" t="s">
        <v>10735</v>
      </c>
      <c r="P1996">
        <v>392</v>
      </c>
      <c r="Q1996">
        <v>2.5099999999999998</v>
      </c>
    </row>
    <row r="1997" spans="1:17" x14ac:dyDescent="0.25">
      <c r="A1997">
        <v>796</v>
      </c>
      <c r="B1997" t="s">
        <v>10736</v>
      </c>
      <c r="C1997" t="s">
        <v>10737</v>
      </c>
      <c r="D1997" t="s">
        <v>4357</v>
      </c>
      <c r="E1997" t="s">
        <v>1921</v>
      </c>
      <c r="F1997">
        <v>2015</v>
      </c>
      <c r="H1997" t="s">
        <v>1878</v>
      </c>
      <c r="I1997">
        <v>2</v>
      </c>
      <c r="K1997" t="s">
        <v>14332</v>
      </c>
      <c r="L1997" s="222">
        <v>9783802596513</v>
      </c>
      <c r="M1997">
        <v>384</v>
      </c>
      <c r="O1997" t="s">
        <v>10740</v>
      </c>
      <c r="P1997">
        <v>328</v>
      </c>
      <c r="Q1997">
        <v>3.79</v>
      </c>
    </row>
    <row r="1998" spans="1:17" x14ac:dyDescent="0.25">
      <c r="A1998">
        <v>796</v>
      </c>
      <c r="B1998" t="s">
        <v>10741</v>
      </c>
      <c r="C1998" t="s">
        <v>10742</v>
      </c>
      <c r="D1998" t="s">
        <v>2232</v>
      </c>
      <c r="F1998">
        <v>2008</v>
      </c>
      <c r="H1998" t="s">
        <v>1878</v>
      </c>
      <c r="I1998" s="305">
        <v>43892</v>
      </c>
      <c r="K1998" t="s">
        <v>14332</v>
      </c>
      <c r="L1998" s="222">
        <v>9783442740789</v>
      </c>
      <c r="M1998">
        <v>448</v>
      </c>
      <c r="O1998" t="s">
        <v>10744</v>
      </c>
      <c r="P1998">
        <v>359</v>
      </c>
      <c r="Q1998">
        <v>2.79</v>
      </c>
    </row>
    <row r="1999" spans="1:17" x14ac:dyDescent="0.25">
      <c r="A1999">
        <v>2522</v>
      </c>
      <c r="B1999" t="s">
        <v>10419</v>
      </c>
      <c r="C1999" t="s">
        <v>10748</v>
      </c>
      <c r="D1999" t="s">
        <v>10749</v>
      </c>
      <c r="F1999">
        <v>2015</v>
      </c>
      <c r="H1999" t="s">
        <v>1878</v>
      </c>
      <c r="I1999" s="305">
        <v>43892</v>
      </c>
      <c r="J1999" t="s">
        <v>9092</v>
      </c>
      <c r="K1999" t="s">
        <v>14332</v>
      </c>
      <c r="L1999" s="222">
        <v>9783956491979</v>
      </c>
      <c r="M1999">
        <v>304</v>
      </c>
      <c r="O1999" t="s">
        <v>10751</v>
      </c>
      <c r="P1999">
        <v>390</v>
      </c>
      <c r="Q1999">
        <v>3.71</v>
      </c>
    </row>
    <row r="2000" spans="1:17" x14ac:dyDescent="0.25">
      <c r="A2000">
        <v>2691</v>
      </c>
      <c r="B2000" t="s">
        <v>10752</v>
      </c>
      <c r="C2000" t="s">
        <v>10753</v>
      </c>
      <c r="D2000" t="s">
        <v>2156</v>
      </c>
      <c r="E2000" t="s">
        <v>2175</v>
      </c>
      <c r="F2000">
        <v>2006</v>
      </c>
      <c r="H2000" t="s">
        <v>1878</v>
      </c>
      <c r="I2000">
        <v>2</v>
      </c>
      <c r="K2000" t="s">
        <v>14332</v>
      </c>
      <c r="L2000" s="222">
        <v>9783423708920</v>
      </c>
      <c r="M2000">
        <v>168</v>
      </c>
      <c r="O2000" t="s">
        <v>10755</v>
      </c>
      <c r="P2000">
        <v>186</v>
      </c>
      <c r="Q2000">
        <v>2.2000000000000002</v>
      </c>
    </row>
    <row r="2001" spans="1:17" x14ac:dyDescent="0.25">
      <c r="A2001">
        <v>632</v>
      </c>
      <c r="B2001" t="s">
        <v>7529</v>
      </c>
      <c r="C2001" t="s">
        <v>10756</v>
      </c>
      <c r="D2001" t="s">
        <v>1993</v>
      </c>
      <c r="E2001" t="s">
        <v>1877</v>
      </c>
      <c r="F2001">
        <v>2005</v>
      </c>
      <c r="H2001" t="s">
        <v>2734</v>
      </c>
      <c r="I2001">
        <v>2</v>
      </c>
      <c r="K2001" t="s">
        <v>14332</v>
      </c>
      <c r="L2001" s="222">
        <v>9783764500573</v>
      </c>
      <c r="M2001">
        <v>1314</v>
      </c>
      <c r="O2001" t="s">
        <v>10758</v>
      </c>
      <c r="P2001">
        <v>1489</v>
      </c>
      <c r="Q2001">
        <v>3.34</v>
      </c>
    </row>
    <row r="2002" spans="1:17" x14ac:dyDescent="0.25">
      <c r="A2002">
        <v>701</v>
      </c>
      <c r="B2002" t="s">
        <v>10759</v>
      </c>
      <c r="C2002" t="s">
        <v>10760</v>
      </c>
      <c r="D2002" t="s">
        <v>10761</v>
      </c>
      <c r="E2002" t="s">
        <v>1877</v>
      </c>
      <c r="F2002">
        <v>2011</v>
      </c>
      <c r="H2002" t="s">
        <v>1878</v>
      </c>
      <c r="I2002">
        <v>2</v>
      </c>
      <c r="K2002" t="s">
        <v>14332</v>
      </c>
      <c r="L2002" s="222">
        <v>9783868520576</v>
      </c>
      <c r="M2002">
        <v>112</v>
      </c>
      <c r="O2002" t="s">
        <v>10763</v>
      </c>
      <c r="P2002">
        <v>316</v>
      </c>
      <c r="Q2002">
        <v>2.66</v>
      </c>
    </row>
    <row r="2003" spans="1:17" x14ac:dyDescent="0.25">
      <c r="A2003">
        <v>1327</v>
      </c>
      <c r="B2003" t="s">
        <v>10764</v>
      </c>
      <c r="C2003" t="s">
        <v>10765</v>
      </c>
      <c r="D2003" t="s">
        <v>1988</v>
      </c>
      <c r="F2003">
        <v>2006</v>
      </c>
      <c r="H2003" t="s">
        <v>1878</v>
      </c>
      <c r="I2003">
        <v>2</v>
      </c>
      <c r="J2003" t="s">
        <v>9473</v>
      </c>
      <c r="K2003" t="s">
        <v>14332</v>
      </c>
      <c r="L2003" s="222">
        <v>9783423622561</v>
      </c>
      <c r="M2003">
        <v>336</v>
      </c>
      <c r="O2003" t="s">
        <v>10767</v>
      </c>
      <c r="P2003">
        <v>324</v>
      </c>
      <c r="Q2003">
        <v>2.5499999999999998</v>
      </c>
    </row>
    <row r="2004" spans="1:17" x14ac:dyDescent="0.25">
      <c r="A2004">
        <v>1315</v>
      </c>
      <c r="C2004" t="s">
        <v>10768</v>
      </c>
      <c r="D2004" t="s">
        <v>4435</v>
      </c>
      <c r="F2004">
        <v>2009</v>
      </c>
      <c r="H2004" t="s">
        <v>1878</v>
      </c>
      <c r="I2004">
        <v>2</v>
      </c>
      <c r="K2004" t="s">
        <v>14332</v>
      </c>
      <c r="L2004" s="222">
        <v>9783811232075</v>
      </c>
      <c r="M2004">
        <v>192</v>
      </c>
      <c r="O2004" t="s">
        <v>10770</v>
      </c>
      <c r="P2004">
        <v>364</v>
      </c>
      <c r="Q2004">
        <v>3.13</v>
      </c>
    </row>
    <row r="2005" spans="1:17" x14ac:dyDescent="0.25">
      <c r="A2005">
        <v>1984</v>
      </c>
      <c r="B2005" t="s">
        <v>10771</v>
      </c>
      <c r="C2005" t="s">
        <v>10772</v>
      </c>
      <c r="D2005" t="s">
        <v>3524</v>
      </c>
      <c r="E2005" t="s">
        <v>1913</v>
      </c>
      <c r="F2005">
        <v>2004</v>
      </c>
      <c r="H2005" t="s">
        <v>1878</v>
      </c>
      <c r="I2005">
        <v>3</v>
      </c>
      <c r="K2005" t="s">
        <v>14332</v>
      </c>
      <c r="L2005" s="222">
        <v>9783785549209</v>
      </c>
      <c r="M2005">
        <v>80</v>
      </c>
      <c r="O2005" t="s">
        <v>10774</v>
      </c>
      <c r="P2005">
        <v>169</v>
      </c>
      <c r="Q2005">
        <v>2.91</v>
      </c>
    </row>
    <row r="2006" spans="1:17" x14ac:dyDescent="0.25">
      <c r="A2006">
        <v>2522</v>
      </c>
      <c r="B2006" t="s">
        <v>10775</v>
      </c>
      <c r="C2006" t="s">
        <v>10776</v>
      </c>
      <c r="D2006" t="s">
        <v>2209</v>
      </c>
      <c r="E2006" t="s">
        <v>1899</v>
      </c>
      <c r="F2006">
        <v>2005</v>
      </c>
      <c r="H2006" t="s">
        <v>1878</v>
      </c>
      <c r="I2006">
        <v>2</v>
      </c>
      <c r="J2006" t="s">
        <v>9092</v>
      </c>
      <c r="K2006" t="s">
        <v>14332</v>
      </c>
      <c r="L2006" s="222">
        <v>9783453431027</v>
      </c>
      <c r="M2006">
        <v>384</v>
      </c>
      <c r="O2006" t="s">
        <v>10778</v>
      </c>
      <c r="P2006">
        <v>363</v>
      </c>
      <c r="Q2006">
        <v>2.35</v>
      </c>
    </row>
    <row r="2007" spans="1:17" x14ac:dyDescent="0.25">
      <c r="A2007">
        <v>2522</v>
      </c>
      <c r="B2007" t="s">
        <v>8194</v>
      </c>
      <c r="C2007" t="s">
        <v>10779</v>
      </c>
      <c r="D2007" t="s">
        <v>3149</v>
      </c>
      <c r="F2007">
        <v>2003</v>
      </c>
      <c r="H2007" t="s">
        <v>1878</v>
      </c>
      <c r="I2007" s="305">
        <v>43892</v>
      </c>
      <c r="K2007" t="s">
        <v>14332</v>
      </c>
      <c r="L2007" s="222">
        <v>4016491015314</v>
      </c>
      <c r="M2007">
        <v>320</v>
      </c>
      <c r="O2007" t="s">
        <v>10781</v>
      </c>
      <c r="P2007">
        <v>189</v>
      </c>
      <c r="Q2007">
        <v>3.94</v>
      </c>
    </row>
    <row r="2008" spans="1:17" x14ac:dyDescent="0.25">
      <c r="A2008">
        <v>1339</v>
      </c>
      <c r="B2008" t="s">
        <v>10787</v>
      </c>
      <c r="C2008" t="s">
        <v>10788</v>
      </c>
      <c r="F2008">
        <v>2018</v>
      </c>
      <c r="H2008" t="s">
        <v>1878</v>
      </c>
      <c r="I2008">
        <v>2</v>
      </c>
      <c r="K2008" t="s">
        <v>14332</v>
      </c>
      <c r="M2008">
        <v>151</v>
      </c>
      <c r="O2008" t="s">
        <v>10789</v>
      </c>
      <c r="P2008">
        <v>267</v>
      </c>
      <c r="Q2008">
        <v>7.45</v>
      </c>
    </row>
    <row r="2009" spans="1:17" x14ac:dyDescent="0.25">
      <c r="A2009">
        <v>1315</v>
      </c>
      <c r="B2009" t="s">
        <v>10790</v>
      </c>
      <c r="C2009" t="s">
        <v>10791</v>
      </c>
      <c r="D2009" t="s">
        <v>2453</v>
      </c>
      <c r="E2009" t="s">
        <v>3053</v>
      </c>
      <c r="F2009">
        <v>2005</v>
      </c>
      <c r="H2009" t="s">
        <v>1878</v>
      </c>
      <c r="I2009" s="305">
        <v>43892</v>
      </c>
      <c r="K2009" t="s">
        <v>14332</v>
      </c>
      <c r="L2009" s="222">
        <v>9783570301845</v>
      </c>
      <c r="M2009">
        <v>384</v>
      </c>
      <c r="O2009" t="s">
        <v>10793</v>
      </c>
      <c r="P2009">
        <v>409</v>
      </c>
      <c r="Q2009">
        <v>2.79</v>
      </c>
    </row>
    <row r="2010" spans="1:17" x14ac:dyDescent="0.25">
      <c r="A2010">
        <v>1315</v>
      </c>
      <c r="B2010" t="s">
        <v>10794</v>
      </c>
      <c r="C2010" t="s">
        <v>10795</v>
      </c>
      <c r="D2010" t="s">
        <v>3312</v>
      </c>
      <c r="F2010">
        <v>2004</v>
      </c>
      <c r="H2010" t="s">
        <v>1878</v>
      </c>
      <c r="I2010">
        <v>2</v>
      </c>
      <c r="K2010" t="s">
        <v>14332</v>
      </c>
      <c r="L2010" s="222">
        <v>9783791519548</v>
      </c>
      <c r="M2010">
        <v>226</v>
      </c>
      <c r="O2010" t="s">
        <v>10797</v>
      </c>
      <c r="P2010">
        <v>362</v>
      </c>
      <c r="Q2010">
        <v>2.19</v>
      </c>
    </row>
    <row r="2011" spans="1:17" x14ac:dyDescent="0.25">
      <c r="A2011">
        <v>2691</v>
      </c>
      <c r="B2011" t="s">
        <v>10752</v>
      </c>
      <c r="C2011" t="s">
        <v>10798</v>
      </c>
      <c r="D2011" t="s">
        <v>2156</v>
      </c>
      <c r="F2011">
        <v>2005</v>
      </c>
      <c r="H2011" t="s">
        <v>1878</v>
      </c>
      <c r="I2011">
        <v>2</v>
      </c>
      <c r="K2011" t="s">
        <v>14332</v>
      </c>
      <c r="L2011" s="222">
        <v>9783423709156</v>
      </c>
      <c r="M2011">
        <v>176</v>
      </c>
      <c r="O2011" t="s">
        <v>10800</v>
      </c>
      <c r="P2011">
        <v>198</v>
      </c>
      <c r="Q2011">
        <v>2.2000000000000002</v>
      </c>
    </row>
    <row r="2012" spans="1:17" x14ac:dyDescent="0.25">
      <c r="A2012">
        <v>629</v>
      </c>
      <c r="B2012" t="s">
        <v>10801</v>
      </c>
      <c r="C2012" t="s">
        <v>10802</v>
      </c>
      <c r="D2012" t="s">
        <v>9711</v>
      </c>
      <c r="F2012">
        <v>2012</v>
      </c>
      <c r="H2012" t="s">
        <v>1878</v>
      </c>
      <c r="I2012">
        <v>2</v>
      </c>
      <c r="K2012" t="s">
        <v>14332</v>
      </c>
      <c r="L2012" s="222">
        <v>9783577148849</v>
      </c>
      <c r="M2012">
        <v>128</v>
      </c>
      <c r="O2012" t="s">
        <v>10804</v>
      </c>
      <c r="P2012">
        <v>241</v>
      </c>
      <c r="Q2012">
        <v>2.11</v>
      </c>
    </row>
    <row r="2013" spans="1:17" x14ac:dyDescent="0.25">
      <c r="A2013">
        <v>1984</v>
      </c>
      <c r="B2013" t="s">
        <v>10805</v>
      </c>
      <c r="C2013" t="s">
        <v>10806</v>
      </c>
      <c r="D2013" t="s">
        <v>3524</v>
      </c>
      <c r="E2013" t="s">
        <v>1913</v>
      </c>
      <c r="F2013">
        <v>1999</v>
      </c>
      <c r="H2013" t="s">
        <v>2734</v>
      </c>
      <c r="I2013">
        <v>2</v>
      </c>
      <c r="K2013" t="s">
        <v>14332</v>
      </c>
      <c r="L2013" s="222">
        <v>9783785534397</v>
      </c>
      <c r="M2013">
        <v>62</v>
      </c>
      <c r="O2013" t="s">
        <v>10808</v>
      </c>
      <c r="P2013">
        <v>276</v>
      </c>
      <c r="Q2013">
        <v>3.01</v>
      </c>
    </row>
    <row r="2014" spans="1:17" x14ac:dyDescent="0.25">
      <c r="A2014">
        <v>1984</v>
      </c>
      <c r="B2014" t="s">
        <v>10809</v>
      </c>
      <c r="C2014" t="s">
        <v>10810</v>
      </c>
      <c r="D2014" t="s">
        <v>2402</v>
      </c>
      <c r="F2014">
        <v>1997</v>
      </c>
      <c r="H2014" t="s">
        <v>2734</v>
      </c>
      <c r="I2014">
        <v>2</v>
      </c>
      <c r="K2014" t="s">
        <v>14332</v>
      </c>
      <c r="M2014">
        <v>46</v>
      </c>
      <c r="O2014" t="s">
        <v>10811</v>
      </c>
      <c r="P2014">
        <v>170</v>
      </c>
      <c r="Q2014">
        <v>1.69</v>
      </c>
    </row>
    <row r="2015" spans="1:17" x14ac:dyDescent="0.25">
      <c r="A2015">
        <v>1339</v>
      </c>
      <c r="B2015" t="s">
        <v>10812</v>
      </c>
      <c r="C2015" t="s">
        <v>10813</v>
      </c>
      <c r="D2015" t="s">
        <v>10814</v>
      </c>
      <c r="F2015">
        <v>2018</v>
      </c>
      <c r="H2015" t="s">
        <v>1878</v>
      </c>
      <c r="I2015">
        <v>2</v>
      </c>
      <c r="J2015" t="s">
        <v>10815</v>
      </c>
      <c r="K2015" t="s">
        <v>14332</v>
      </c>
      <c r="M2015">
        <v>348</v>
      </c>
      <c r="O2015" t="s">
        <v>10816</v>
      </c>
      <c r="P2015">
        <v>370</v>
      </c>
      <c r="Q2015">
        <v>11.79</v>
      </c>
    </row>
    <row r="2016" spans="1:17" x14ac:dyDescent="0.25">
      <c r="A2016">
        <v>701</v>
      </c>
      <c r="B2016" t="s">
        <v>10817</v>
      </c>
      <c r="C2016" t="s">
        <v>14492</v>
      </c>
      <c r="D2016" t="s">
        <v>1876</v>
      </c>
      <c r="F2016">
        <v>2009</v>
      </c>
      <c r="H2016" t="s">
        <v>4297</v>
      </c>
      <c r="I2016">
        <v>2</v>
      </c>
      <c r="K2016" t="s">
        <v>14332</v>
      </c>
      <c r="M2016">
        <v>210</v>
      </c>
      <c r="O2016" t="s">
        <v>10819</v>
      </c>
      <c r="P2016">
        <v>264</v>
      </c>
      <c r="Q2016">
        <v>2.84</v>
      </c>
    </row>
    <row r="2017" spans="1:17" x14ac:dyDescent="0.25">
      <c r="A2017">
        <v>2522</v>
      </c>
      <c r="B2017" t="s">
        <v>10820</v>
      </c>
      <c r="C2017" t="s">
        <v>10821</v>
      </c>
      <c r="D2017" t="s">
        <v>2609</v>
      </c>
      <c r="E2017" t="s">
        <v>1899</v>
      </c>
      <c r="F2017">
        <v>2016</v>
      </c>
      <c r="H2017" t="s">
        <v>1878</v>
      </c>
      <c r="I2017">
        <v>2</v>
      </c>
      <c r="K2017" t="s">
        <v>14332</v>
      </c>
      <c r="M2017">
        <v>416</v>
      </c>
      <c r="O2017" t="s">
        <v>10822</v>
      </c>
      <c r="P2017">
        <v>367</v>
      </c>
      <c r="Q2017">
        <v>4.5199999999999996</v>
      </c>
    </row>
    <row r="2018" spans="1:17" x14ac:dyDescent="0.25">
      <c r="A2018">
        <v>701</v>
      </c>
      <c r="B2018" t="s">
        <v>10823</v>
      </c>
      <c r="C2018" t="s">
        <v>10824</v>
      </c>
      <c r="D2018" t="s">
        <v>10825</v>
      </c>
      <c r="E2018" t="s">
        <v>1899</v>
      </c>
      <c r="F2018">
        <v>2003</v>
      </c>
      <c r="H2018" t="s">
        <v>1878</v>
      </c>
      <c r="I2018">
        <v>2</v>
      </c>
      <c r="K2018" t="s">
        <v>14332</v>
      </c>
      <c r="M2018">
        <v>160</v>
      </c>
      <c r="O2018" t="s">
        <v>10826</v>
      </c>
      <c r="P2018">
        <v>145</v>
      </c>
      <c r="Q2018">
        <v>3.88</v>
      </c>
    </row>
    <row r="2019" spans="1:17" x14ac:dyDescent="0.25">
      <c r="A2019">
        <v>2522</v>
      </c>
      <c r="B2019" t="s">
        <v>10827</v>
      </c>
      <c r="C2019" t="s">
        <v>10828</v>
      </c>
      <c r="D2019" t="s">
        <v>2257</v>
      </c>
      <c r="E2019" t="s">
        <v>1921</v>
      </c>
      <c r="F2019">
        <v>2009</v>
      </c>
      <c r="H2019" t="s">
        <v>1878</v>
      </c>
      <c r="I2019">
        <v>2</v>
      </c>
      <c r="K2019" t="s">
        <v>14332</v>
      </c>
      <c r="M2019">
        <v>464</v>
      </c>
      <c r="O2019" t="s">
        <v>10829</v>
      </c>
      <c r="P2019">
        <v>343</v>
      </c>
      <c r="Q2019">
        <v>1.69</v>
      </c>
    </row>
    <row r="2020" spans="1:17" x14ac:dyDescent="0.25">
      <c r="A2020">
        <v>1327</v>
      </c>
      <c r="B2020" t="s">
        <v>10830</v>
      </c>
      <c r="C2020" t="s">
        <v>10831</v>
      </c>
      <c r="D2020" t="s">
        <v>2300</v>
      </c>
      <c r="E2020" t="s">
        <v>2032</v>
      </c>
      <c r="F2020">
        <v>2003</v>
      </c>
      <c r="H2020" t="s">
        <v>1878</v>
      </c>
      <c r="I2020">
        <v>3</v>
      </c>
      <c r="K2020" t="s">
        <v>14332</v>
      </c>
      <c r="M2020">
        <v>736</v>
      </c>
      <c r="O2020" t="s">
        <v>10832</v>
      </c>
      <c r="P2020">
        <v>397</v>
      </c>
      <c r="Q2020">
        <v>2.91</v>
      </c>
    </row>
    <row r="2021" spans="1:17" x14ac:dyDescent="0.25">
      <c r="A2021">
        <v>1327</v>
      </c>
      <c r="B2021" t="s">
        <v>10833</v>
      </c>
      <c r="C2021" t="s">
        <v>10834</v>
      </c>
      <c r="D2021" t="s">
        <v>2309</v>
      </c>
      <c r="F2021">
        <v>1989</v>
      </c>
      <c r="H2021" t="s">
        <v>1878</v>
      </c>
      <c r="I2021" s="305">
        <v>43892</v>
      </c>
      <c r="K2021" t="s">
        <v>14332</v>
      </c>
      <c r="M2021">
        <v>214</v>
      </c>
      <c r="O2021" t="s">
        <v>10835</v>
      </c>
      <c r="P2021">
        <v>412</v>
      </c>
      <c r="Q2021">
        <v>3.98</v>
      </c>
    </row>
    <row r="2022" spans="1:17" x14ac:dyDescent="0.25">
      <c r="A2022">
        <v>1365</v>
      </c>
      <c r="B2022" t="s">
        <v>10836</v>
      </c>
      <c r="C2022" t="s">
        <v>10837</v>
      </c>
      <c r="D2022" t="s">
        <v>10838</v>
      </c>
      <c r="E2022" t="s">
        <v>2375</v>
      </c>
      <c r="F2022">
        <v>1999</v>
      </c>
      <c r="H2022" t="s">
        <v>1878</v>
      </c>
      <c r="I2022" s="305">
        <v>43892</v>
      </c>
      <c r="K2022" t="s">
        <v>14332</v>
      </c>
      <c r="M2022">
        <v>224</v>
      </c>
      <c r="O2022" t="s">
        <v>10839</v>
      </c>
      <c r="P2022">
        <v>253</v>
      </c>
      <c r="Q2022">
        <v>2.97</v>
      </c>
    </row>
    <row r="2023" spans="1:17" x14ac:dyDescent="0.25">
      <c r="A2023">
        <v>692</v>
      </c>
      <c r="B2023" t="s">
        <v>10840</v>
      </c>
      <c r="C2023" t="s">
        <v>10841</v>
      </c>
      <c r="D2023" t="s">
        <v>2257</v>
      </c>
      <c r="F2023">
        <v>2002</v>
      </c>
      <c r="H2023" t="s">
        <v>1878</v>
      </c>
      <c r="I2023" s="305">
        <v>43892</v>
      </c>
      <c r="J2023" t="s">
        <v>9092</v>
      </c>
      <c r="K2023" t="s">
        <v>14332</v>
      </c>
      <c r="M2023">
        <v>336</v>
      </c>
      <c r="O2023" t="s">
        <v>10842</v>
      </c>
      <c r="P2023">
        <v>218</v>
      </c>
      <c r="Q2023">
        <v>1.69</v>
      </c>
    </row>
    <row r="2024" spans="1:17" x14ac:dyDescent="0.25">
      <c r="A2024">
        <v>692</v>
      </c>
      <c r="B2024" t="s">
        <v>10843</v>
      </c>
      <c r="C2024" t="s">
        <v>10844</v>
      </c>
      <c r="D2024" t="s">
        <v>5941</v>
      </c>
      <c r="F2024">
        <v>1996</v>
      </c>
      <c r="H2024" t="s">
        <v>2734</v>
      </c>
      <c r="I2024">
        <v>2</v>
      </c>
      <c r="K2024" t="s">
        <v>14332</v>
      </c>
      <c r="L2024" s="222">
        <v>9783446185432</v>
      </c>
      <c r="M2024">
        <v>290</v>
      </c>
      <c r="O2024" t="s">
        <v>10845</v>
      </c>
      <c r="P2024">
        <v>420</v>
      </c>
      <c r="Q2024">
        <v>2.2000000000000002</v>
      </c>
    </row>
    <row r="2025" spans="1:17" x14ac:dyDescent="0.25">
      <c r="A2025">
        <v>2522</v>
      </c>
      <c r="B2025" t="s">
        <v>10846</v>
      </c>
      <c r="C2025" t="s">
        <v>10847</v>
      </c>
      <c r="D2025" t="s">
        <v>2424</v>
      </c>
      <c r="E2025" t="s">
        <v>1921</v>
      </c>
      <c r="F2025">
        <v>2012</v>
      </c>
      <c r="H2025" t="s">
        <v>1878</v>
      </c>
      <c r="I2025">
        <v>2</v>
      </c>
      <c r="K2025" t="s">
        <v>14332</v>
      </c>
      <c r="M2025">
        <v>480</v>
      </c>
      <c r="O2025" t="s">
        <v>10848</v>
      </c>
      <c r="P2025">
        <v>387</v>
      </c>
      <c r="Q2025">
        <v>2.85</v>
      </c>
    </row>
    <row r="2026" spans="1:17" x14ac:dyDescent="0.25">
      <c r="A2026">
        <v>632</v>
      </c>
      <c r="B2026" t="s">
        <v>3233</v>
      </c>
      <c r="C2026" t="s">
        <v>3908</v>
      </c>
      <c r="D2026" t="s">
        <v>2257</v>
      </c>
      <c r="F2026">
        <v>2005</v>
      </c>
      <c r="H2026" t="s">
        <v>1878</v>
      </c>
      <c r="I2026">
        <v>3</v>
      </c>
      <c r="J2026" t="s">
        <v>9092</v>
      </c>
      <c r="K2026" t="s">
        <v>14332</v>
      </c>
      <c r="M2026">
        <v>624</v>
      </c>
      <c r="O2026" t="s">
        <v>10849</v>
      </c>
      <c r="P2026">
        <v>457</v>
      </c>
      <c r="Q2026">
        <v>2.82</v>
      </c>
    </row>
    <row r="2027" spans="1:17" x14ac:dyDescent="0.25">
      <c r="A2027">
        <v>2522</v>
      </c>
      <c r="B2027" t="s">
        <v>6262</v>
      </c>
      <c r="C2027" t="s">
        <v>6263</v>
      </c>
      <c r="D2027" t="s">
        <v>2209</v>
      </c>
      <c r="E2027" t="s">
        <v>8240</v>
      </c>
      <c r="F2027">
        <v>2009</v>
      </c>
      <c r="H2027" t="s">
        <v>1878</v>
      </c>
      <c r="I2027" s="305">
        <v>43892</v>
      </c>
      <c r="K2027" t="s">
        <v>14332</v>
      </c>
      <c r="M2027">
        <v>544</v>
      </c>
      <c r="O2027" t="s">
        <v>10850</v>
      </c>
      <c r="P2027">
        <v>436</v>
      </c>
      <c r="Q2027">
        <v>2.96</v>
      </c>
    </row>
    <row r="2028" spans="1:17" x14ac:dyDescent="0.25">
      <c r="A2028">
        <v>1327</v>
      </c>
      <c r="B2028" t="s">
        <v>10851</v>
      </c>
      <c r="C2028" t="s">
        <v>10852</v>
      </c>
      <c r="D2028" t="s">
        <v>2054</v>
      </c>
      <c r="F2028">
        <v>2013</v>
      </c>
      <c r="H2028" t="s">
        <v>1878</v>
      </c>
      <c r="I2028">
        <v>2</v>
      </c>
      <c r="K2028" t="s">
        <v>14332</v>
      </c>
      <c r="M2028">
        <v>240</v>
      </c>
      <c r="O2028" t="s">
        <v>10853</v>
      </c>
      <c r="P2028">
        <v>238</v>
      </c>
      <c r="Q2028">
        <v>6.8</v>
      </c>
    </row>
    <row r="2029" spans="1:17" x14ac:dyDescent="0.25">
      <c r="A2029">
        <v>1327</v>
      </c>
      <c r="B2029" t="s">
        <v>10854</v>
      </c>
      <c r="C2029" t="s">
        <v>10855</v>
      </c>
      <c r="D2029" t="s">
        <v>2901</v>
      </c>
      <c r="F2029">
        <v>2008</v>
      </c>
      <c r="H2029" t="s">
        <v>2734</v>
      </c>
      <c r="I2029">
        <v>2</v>
      </c>
      <c r="J2029" t="s">
        <v>2505</v>
      </c>
      <c r="K2029" t="s">
        <v>14332</v>
      </c>
      <c r="M2029">
        <v>370</v>
      </c>
      <c r="O2029" t="s">
        <v>10856</v>
      </c>
      <c r="P2029">
        <v>523</v>
      </c>
      <c r="Q2029">
        <v>2.72</v>
      </c>
    </row>
    <row r="2030" spans="1:17" x14ac:dyDescent="0.25">
      <c r="A2030">
        <v>0</v>
      </c>
      <c r="B2030" t="s">
        <v>10857</v>
      </c>
      <c r="C2030" t="s">
        <v>14493</v>
      </c>
      <c r="D2030" t="s">
        <v>10859</v>
      </c>
      <c r="E2030" t="s">
        <v>1913</v>
      </c>
      <c r="F2030">
        <v>1999</v>
      </c>
      <c r="H2030" t="s">
        <v>2734</v>
      </c>
      <c r="I2030">
        <v>2</v>
      </c>
      <c r="K2030" t="s">
        <v>14332</v>
      </c>
      <c r="L2030" s="222">
        <v>9783870222604</v>
      </c>
      <c r="M2030">
        <v>202</v>
      </c>
      <c r="O2030" t="s">
        <v>10860</v>
      </c>
      <c r="P2030">
        <v>496</v>
      </c>
      <c r="Q2030">
        <v>3.33</v>
      </c>
    </row>
    <row r="2031" spans="1:17" x14ac:dyDescent="0.25">
      <c r="A2031">
        <v>701</v>
      </c>
      <c r="B2031" t="s">
        <v>10861</v>
      </c>
      <c r="C2031" t="s">
        <v>10862</v>
      </c>
      <c r="D2031" t="s">
        <v>2309</v>
      </c>
      <c r="E2031" t="s">
        <v>1913</v>
      </c>
      <c r="F2031">
        <v>2008</v>
      </c>
      <c r="H2031" t="s">
        <v>1878</v>
      </c>
      <c r="I2031" s="305">
        <v>43892</v>
      </c>
      <c r="K2031" t="s">
        <v>14332</v>
      </c>
      <c r="M2031">
        <v>194</v>
      </c>
      <c r="O2031" t="s">
        <v>10863</v>
      </c>
      <c r="P2031">
        <v>220</v>
      </c>
      <c r="Q2031">
        <v>2.85</v>
      </c>
    </row>
    <row r="2032" spans="1:17" x14ac:dyDescent="0.25">
      <c r="A2032">
        <v>2551</v>
      </c>
      <c r="B2032" t="s">
        <v>9425</v>
      </c>
      <c r="C2032" t="s">
        <v>9426</v>
      </c>
      <c r="D2032" t="s">
        <v>1920</v>
      </c>
      <c r="F2032">
        <v>2004</v>
      </c>
      <c r="H2032" t="s">
        <v>1878</v>
      </c>
      <c r="I2032" s="305">
        <v>43892</v>
      </c>
      <c r="K2032" t="s">
        <v>14332</v>
      </c>
      <c r="M2032">
        <v>368</v>
      </c>
      <c r="O2032" t="s">
        <v>10864</v>
      </c>
      <c r="P2032">
        <v>398</v>
      </c>
      <c r="Q2032">
        <v>3.03</v>
      </c>
    </row>
    <row r="2033" spans="1:17" x14ac:dyDescent="0.25">
      <c r="A2033">
        <v>701</v>
      </c>
      <c r="B2033" t="s">
        <v>10865</v>
      </c>
      <c r="C2033" t="s">
        <v>10866</v>
      </c>
      <c r="D2033" t="s">
        <v>2309</v>
      </c>
      <c r="E2033" t="s">
        <v>1913</v>
      </c>
      <c r="F2033">
        <v>2013</v>
      </c>
      <c r="H2033" t="s">
        <v>1878</v>
      </c>
      <c r="I2033">
        <v>2</v>
      </c>
      <c r="K2033" t="s">
        <v>14332</v>
      </c>
      <c r="M2033">
        <v>176</v>
      </c>
      <c r="O2033" t="s">
        <v>10867</v>
      </c>
      <c r="P2033">
        <v>285</v>
      </c>
      <c r="Q2033">
        <v>2.9</v>
      </c>
    </row>
    <row r="2034" spans="1:17" x14ac:dyDescent="0.25">
      <c r="A2034">
        <v>2851</v>
      </c>
      <c r="B2034" t="s">
        <v>10868</v>
      </c>
      <c r="C2034" t="s">
        <v>10869</v>
      </c>
      <c r="D2034" t="s">
        <v>1988</v>
      </c>
      <c r="E2034" t="s">
        <v>1877</v>
      </c>
      <c r="F2034">
        <v>2013</v>
      </c>
      <c r="H2034" t="s">
        <v>1878</v>
      </c>
      <c r="I2034">
        <v>2</v>
      </c>
      <c r="K2034" t="s">
        <v>14332</v>
      </c>
      <c r="M2034">
        <v>544</v>
      </c>
      <c r="O2034" t="s">
        <v>10870</v>
      </c>
      <c r="P2034">
        <v>393</v>
      </c>
      <c r="Q2034">
        <v>4.7300000000000004</v>
      </c>
    </row>
    <row r="2035" spans="1:17" x14ac:dyDescent="0.25">
      <c r="A2035">
        <v>964</v>
      </c>
      <c r="B2035" t="s">
        <v>10875</v>
      </c>
      <c r="C2035" t="s">
        <v>10876</v>
      </c>
      <c r="D2035" t="s">
        <v>2300</v>
      </c>
      <c r="F2035">
        <v>1988</v>
      </c>
      <c r="H2035" t="s">
        <v>1878</v>
      </c>
      <c r="I2035">
        <v>2</v>
      </c>
      <c r="J2035" t="s">
        <v>10877</v>
      </c>
      <c r="K2035" t="s">
        <v>14332</v>
      </c>
      <c r="L2035" s="222">
        <v>9783498028862</v>
      </c>
      <c r="M2035">
        <v>272</v>
      </c>
      <c r="O2035" t="s">
        <v>10878</v>
      </c>
      <c r="P2035">
        <v>325</v>
      </c>
      <c r="Q2035">
        <v>2.2999999999999998</v>
      </c>
    </row>
    <row r="2036" spans="1:17" x14ac:dyDescent="0.25">
      <c r="A2036">
        <v>2576</v>
      </c>
      <c r="B2036" t="s">
        <v>8035</v>
      </c>
      <c r="C2036" t="s">
        <v>9171</v>
      </c>
      <c r="D2036" t="s">
        <v>807</v>
      </c>
      <c r="E2036" t="s">
        <v>2157</v>
      </c>
      <c r="F2036">
        <v>2008</v>
      </c>
      <c r="H2036" t="s">
        <v>1878</v>
      </c>
      <c r="I2036" s="305">
        <v>43892</v>
      </c>
      <c r="K2036" t="s">
        <v>14332</v>
      </c>
      <c r="M2036">
        <v>528</v>
      </c>
      <c r="O2036" t="s">
        <v>10879</v>
      </c>
      <c r="P2036">
        <v>483</v>
      </c>
      <c r="Q2036">
        <v>2.52</v>
      </c>
    </row>
    <row r="2037" spans="1:17" x14ac:dyDescent="0.25">
      <c r="A2037">
        <v>691</v>
      </c>
      <c r="C2037" t="s">
        <v>10880</v>
      </c>
      <c r="D2037" t="s">
        <v>1927</v>
      </c>
      <c r="H2037" t="s">
        <v>2734</v>
      </c>
      <c r="I2037">
        <v>2</v>
      </c>
      <c r="J2037" t="s">
        <v>10732</v>
      </c>
      <c r="K2037" t="s">
        <v>14332</v>
      </c>
      <c r="M2037">
        <v>130</v>
      </c>
      <c r="O2037" t="s">
        <v>10881</v>
      </c>
      <c r="P2037">
        <v>633</v>
      </c>
      <c r="Q2037">
        <v>3.27</v>
      </c>
    </row>
    <row r="2038" spans="1:17" x14ac:dyDescent="0.25">
      <c r="A2038">
        <v>1313</v>
      </c>
      <c r="B2038" t="s">
        <v>10882</v>
      </c>
      <c r="C2038" t="s">
        <v>10883</v>
      </c>
      <c r="D2038" t="s">
        <v>3524</v>
      </c>
      <c r="E2038" t="s">
        <v>1913</v>
      </c>
      <c r="F2038">
        <v>2001</v>
      </c>
      <c r="H2038" t="s">
        <v>4297</v>
      </c>
      <c r="I2038">
        <v>2</v>
      </c>
      <c r="K2038" t="s">
        <v>14332</v>
      </c>
      <c r="M2038">
        <v>38</v>
      </c>
      <c r="O2038" t="s">
        <v>10884</v>
      </c>
      <c r="P2038">
        <v>277</v>
      </c>
      <c r="Q2038">
        <v>2.52</v>
      </c>
    </row>
    <row r="2039" spans="1:17" x14ac:dyDescent="0.25">
      <c r="A2039">
        <v>1309</v>
      </c>
      <c r="C2039" t="s">
        <v>10885</v>
      </c>
      <c r="D2039" t="s">
        <v>10886</v>
      </c>
      <c r="F2039">
        <v>1993</v>
      </c>
      <c r="H2039" t="s">
        <v>2734</v>
      </c>
      <c r="I2039">
        <v>2</v>
      </c>
      <c r="K2039" t="s">
        <v>14332</v>
      </c>
      <c r="O2039" t="s">
        <v>10887</v>
      </c>
      <c r="P2039">
        <v>216</v>
      </c>
      <c r="Q2039">
        <v>4.8</v>
      </c>
    </row>
    <row r="2040" spans="1:17" x14ac:dyDescent="0.25">
      <c r="A2040">
        <v>1309</v>
      </c>
      <c r="C2040" t="s">
        <v>10888</v>
      </c>
      <c r="D2040" t="s">
        <v>10886</v>
      </c>
      <c r="F2040">
        <v>1992</v>
      </c>
      <c r="H2040" t="s">
        <v>2734</v>
      </c>
      <c r="I2040">
        <v>2</v>
      </c>
      <c r="K2040" t="s">
        <v>14332</v>
      </c>
      <c r="O2040" t="s">
        <v>10889</v>
      </c>
      <c r="P2040">
        <v>209</v>
      </c>
      <c r="Q2040">
        <v>2.7</v>
      </c>
    </row>
    <row r="2041" spans="1:17" x14ac:dyDescent="0.25">
      <c r="A2041">
        <v>16</v>
      </c>
      <c r="B2041" t="s">
        <v>4433</v>
      </c>
      <c r="C2041" t="s">
        <v>10890</v>
      </c>
      <c r="D2041" t="s">
        <v>4435</v>
      </c>
      <c r="F2041">
        <v>2005</v>
      </c>
      <c r="H2041" t="s">
        <v>2734</v>
      </c>
      <c r="I2041" s="305">
        <v>43862</v>
      </c>
      <c r="K2041" t="s">
        <v>14332</v>
      </c>
      <c r="M2041">
        <v>190</v>
      </c>
      <c r="O2041" t="s">
        <v>10891</v>
      </c>
      <c r="P2041">
        <v>309</v>
      </c>
      <c r="Q2041">
        <v>2.2599999999999998</v>
      </c>
    </row>
    <row r="2042" spans="1:17" x14ac:dyDescent="0.25">
      <c r="A2042">
        <v>1984</v>
      </c>
      <c r="B2042" t="s">
        <v>10892</v>
      </c>
      <c r="C2042" t="s">
        <v>10893</v>
      </c>
      <c r="D2042" t="s">
        <v>2054</v>
      </c>
      <c r="F2042">
        <v>2005</v>
      </c>
      <c r="H2042" t="s">
        <v>2734</v>
      </c>
      <c r="I2042" s="305">
        <v>43862</v>
      </c>
      <c r="K2042" t="s">
        <v>14332</v>
      </c>
      <c r="M2042">
        <v>44</v>
      </c>
      <c r="O2042" t="s">
        <v>10894</v>
      </c>
      <c r="P2042">
        <v>178</v>
      </c>
      <c r="Q2042">
        <v>1.98</v>
      </c>
    </row>
    <row r="2043" spans="1:17" x14ac:dyDescent="0.25">
      <c r="A2043">
        <v>1984</v>
      </c>
      <c r="B2043" t="s">
        <v>10895</v>
      </c>
      <c r="C2043" t="s">
        <v>10896</v>
      </c>
      <c r="D2043" t="s">
        <v>10897</v>
      </c>
      <c r="H2043" t="s">
        <v>1878</v>
      </c>
      <c r="I2043" s="305">
        <v>43862</v>
      </c>
      <c r="K2043" t="s">
        <v>14332</v>
      </c>
      <c r="M2043">
        <v>48</v>
      </c>
      <c r="O2043" t="s">
        <v>10898</v>
      </c>
      <c r="P2043">
        <v>102</v>
      </c>
      <c r="Q2043">
        <v>1.88</v>
      </c>
    </row>
    <row r="2044" spans="1:17" x14ac:dyDescent="0.25">
      <c r="A2044">
        <v>735</v>
      </c>
      <c r="B2044" t="s">
        <v>2242</v>
      </c>
      <c r="C2044" t="s">
        <v>10899</v>
      </c>
      <c r="D2044" t="s">
        <v>2054</v>
      </c>
      <c r="F2044">
        <v>1995</v>
      </c>
      <c r="H2044" t="s">
        <v>2734</v>
      </c>
      <c r="I2044">
        <v>2</v>
      </c>
      <c r="K2044" t="s">
        <v>14332</v>
      </c>
      <c r="M2044">
        <v>354</v>
      </c>
      <c r="O2044" t="s">
        <v>10900</v>
      </c>
      <c r="P2044">
        <v>516</v>
      </c>
      <c r="Q2044">
        <v>2.7</v>
      </c>
    </row>
    <row r="2045" spans="1:17" x14ac:dyDescent="0.25">
      <c r="A2045">
        <v>1326</v>
      </c>
      <c r="B2045" t="s">
        <v>10901</v>
      </c>
      <c r="C2045" t="s">
        <v>10902</v>
      </c>
      <c r="D2045" t="s">
        <v>10903</v>
      </c>
      <c r="F2045">
        <v>1990</v>
      </c>
      <c r="H2045" t="s">
        <v>1878</v>
      </c>
      <c r="I2045">
        <v>3</v>
      </c>
      <c r="K2045" t="s">
        <v>14332</v>
      </c>
      <c r="M2045">
        <v>192</v>
      </c>
      <c r="O2045" t="s">
        <v>10904</v>
      </c>
      <c r="P2045">
        <v>168</v>
      </c>
      <c r="Q2045">
        <v>2.29</v>
      </c>
    </row>
    <row r="2046" spans="1:17" x14ac:dyDescent="0.25">
      <c r="A2046">
        <v>2522</v>
      </c>
      <c r="B2046" t="s">
        <v>10905</v>
      </c>
      <c r="C2046" t="s">
        <v>10906</v>
      </c>
      <c r="D2046" t="s">
        <v>2309</v>
      </c>
      <c r="F2046">
        <v>1999</v>
      </c>
      <c r="H2046" t="s">
        <v>1878</v>
      </c>
      <c r="I2046">
        <v>3</v>
      </c>
      <c r="K2046" t="s">
        <v>14332</v>
      </c>
      <c r="M2046">
        <v>512</v>
      </c>
      <c r="O2046" t="s">
        <v>10907</v>
      </c>
      <c r="P2046">
        <v>298</v>
      </c>
      <c r="Q2046">
        <v>1.69</v>
      </c>
    </row>
    <row r="2047" spans="1:17" x14ac:dyDescent="0.25">
      <c r="A2047">
        <v>704</v>
      </c>
      <c r="B2047" t="s">
        <v>10908</v>
      </c>
      <c r="C2047" t="s">
        <v>10909</v>
      </c>
      <c r="D2047" t="s">
        <v>3030</v>
      </c>
      <c r="F2047">
        <v>1984</v>
      </c>
      <c r="H2047" t="s">
        <v>2734</v>
      </c>
      <c r="I2047">
        <v>2</v>
      </c>
      <c r="K2047" t="s">
        <v>14332</v>
      </c>
      <c r="L2047" s="222">
        <v>9783720512831</v>
      </c>
      <c r="M2047">
        <v>206</v>
      </c>
      <c r="O2047" t="s">
        <v>10910</v>
      </c>
      <c r="P2047">
        <v>418</v>
      </c>
      <c r="Q2047">
        <v>1.69</v>
      </c>
    </row>
    <row r="2048" spans="1:17" x14ac:dyDescent="0.25">
      <c r="A2048">
        <v>704</v>
      </c>
      <c r="B2048" t="s">
        <v>10911</v>
      </c>
      <c r="C2048" t="s">
        <v>10912</v>
      </c>
      <c r="D2048" t="s">
        <v>10913</v>
      </c>
      <c r="F2048">
        <v>1963</v>
      </c>
      <c r="H2048" t="s">
        <v>2734</v>
      </c>
      <c r="I2048" s="305">
        <v>43892</v>
      </c>
      <c r="J2048" t="s">
        <v>10914</v>
      </c>
      <c r="K2048" t="s">
        <v>14332</v>
      </c>
      <c r="M2048">
        <v>154</v>
      </c>
      <c r="O2048" t="s">
        <v>10915</v>
      </c>
      <c r="P2048">
        <v>209</v>
      </c>
      <c r="Q2048">
        <v>1.8</v>
      </c>
    </row>
    <row r="2049" spans="1:17" x14ac:dyDescent="0.25">
      <c r="A2049">
        <v>704</v>
      </c>
      <c r="B2049" t="s">
        <v>10916</v>
      </c>
      <c r="C2049" t="s">
        <v>10917</v>
      </c>
      <c r="D2049" t="s">
        <v>2300</v>
      </c>
      <c r="F2049">
        <v>1989</v>
      </c>
      <c r="H2049" t="s">
        <v>1878</v>
      </c>
      <c r="I2049">
        <v>3</v>
      </c>
      <c r="K2049" t="s">
        <v>14332</v>
      </c>
      <c r="M2049">
        <v>126</v>
      </c>
      <c r="O2049" t="s">
        <v>10918</v>
      </c>
      <c r="P2049">
        <v>85</v>
      </c>
      <c r="Q2049">
        <v>2.4</v>
      </c>
    </row>
    <row r="2050" spans="1:17" x14ac:dyDescent="0.25">
      <c r="A2050">
        <v>1339</v>
      </c>
      <c r="B2050" t="s">
        <v>10919</v>
      </c>
      <c r="C2050" t="s">
        <v>10920</v>
      </c>
      <c r="D2050" t="s">
        <v>4825</v>
      </c>
      <c r="F2050">
        <v>2000</v>
      </c>
      <c r="H2050" t="s">
        <v>1878</v>
      </c>
      <c r="I2050" s="305">
        <v>43892</v>
      </c>
      <c r="K2050" t="s">
        <v>14332</v>
      </c>
      <c r="M2050">
        <v>136</v>
      </c>
      <c r="O2050" t="s">
        <v>10921</v>
      </c>
      <c r="P2050">
        <v>348</v>
      </c>
      <c r="Q2050">
        <v>1.69</v>
      </c>
    </row>
    <row r="2051" spans="1:17" x14ac:dyDescent="0.25">
      <c r="A2051">
        <v>106</v>
      </c>
      <c r="B2051" t="s">
        <v>9896</v>
      </c>
      <c r="C2051" t="s">
        <v>10922</v>
      </c>
      <c r="D2051" t="s">
        <v>2151</v>
      </c>
      <c r="F2051">
        <v>1989</v>
      </c>
      <c r="H2051" t="s">
        <v>1878</v>
      </c>
      <c r="I2051">
        <v>3</v>
      </c>
      <c r="K2051" t="s">
        <v>14332</v>
      </c>
      <c r="M2051">
        <v>144</v>
      </c>
      <c r="O2051" t="s">
        <v>10923</v>
      </c>
      <c r="P2051">
        <v>109</v>
      </c>
      <c r="Q2051">
        <v>1.71</v>
      </c>
    </row>
    <row r="2052" spans="1:17" x14ac:dyDescent="0.25">
      <c r="A2052">
        <v>548</v>
      </c>
      <c r="B2052" t="s">
        <v>10924</v>
      </c>
      <c r="C2052" t="s">
        <v>10925</v>
      </c>
      <c r="D2052" t="s">
        <v>10926</v>
      </c>
      <c r="F2052">
        <v>1943</v>
      </c>
      <c r="H2052" t="s">
        <v>2734</v>
      </c>
      <c r="I2052" s="305">
        <v>43924</v>
      </c>
      <c r="J2052" t="s">
        <v>10914</v>
      </c>
      <c r="K2052" t="s">
        <v>14332</v>
      </c>
      <c r="M2052">
        <v>418</v>
      </c>
      <c r="O2052" t="s">
        <v>10927</v>
      </c>
      <c r="P2052">
        <v>615</v>
      </c>
      <c r="Q2052">
        <v>5.5</v>
      </c>
    </row>
    <row r="2053" spans="1:17" x14ac:dyDescent="0.25">
      <c r="A2053">
        <v>704</v>
      </c>
      <c r="B2053" t="s">
        <v>10928</v>
      </c>
      <c r="C2053" t="s">
        <v>10929</v>
      </c>
      <c r="D2053" t="s">
        <v>10930</v>
      </c>
      <c r="F2053">
        <v>1959</v>
      </c>
      <c r="H2053" t="s">
        <v>2734</v>
      </c>
      <c r="I2053" s="305">
        <v>43924</v>
      </c>
      <c r="J2053" t="s">
        <v>10914</v>
      </c>
      <c r="K2053" t="s">
        <v>14332</v>
      </c>
      <c r="M2053">
        <v>198</v>
      </c>
      <c r="O2053" t="s">
        <v>10931</v>
      </c>
      <c r="P2053">
        <v>239</v>
      </c>
      <c r="Q2053">
        <v>3.1</v>
      </c>
    </row>
    <row r="2054" spans="1:17" x14ac:dyDescent="0.25">
      <c r="A2054">
        <v>769</v>
      </c>
      <c r="C2054" t="s">
        <v>10932</v>
      </c>
      <c r="H2054" t="s">
        <v>2734</v>
      </c>
      <c r="I2054" s="305">
        <v>43924</v>
      </c>
      <c r="O2054" t="s">
        <v>10934</v>
      </c>
      <c r="P2054">
        <v>1340</v>
      </c>
      <c r="Q2054">
        <v>4.29</v>
      </c>
    </row>
    <row r="2055" spans="1:17" x14ac:dyDescent="0.25">
      <c r="A2055">
        <v>1365</v>
      </c>
      <c r="B2055" t="s">
        <v>10935</v>
      </c>
      <c r="C2055" t="s">
        <v>10936</v>
      </c>
      <c r="D2055" t="s">
        <v>2156</v>
      </c>
      <c r="F2055">
        <v>1979</v>
      </c>
      <c r="H2055" t="s">
        <v>1878</v>
      </c>
      <c r="I2055">
        <v>3</v>
      </c>
      <c r="J2055" t="s">
        <v>10732</v>
      </c>
      <c r="K2055" t="s">
        <v>14332</v>
      </c>
      <c r="M2055">
        <v>180</v>
      </c>
      <c r="O2055" t="s">
        <v>10937</v>
      </c>
      <c r="P2055">
        <v>150</v>
      </c>
      <c r="Q2055">
        <v>2.29</v>
      </c>
    </row>
    <row r="2056" spans="1:17" x14ac:dyDescent="0.25">
      <c r="A2056">
        <v>593</v>
      </c>
      <c r="C2056" t="s">
        <v>10938</v>
      </c>
      <c r="D2056" t="s">
        <v>2679</v>
      </c>
      <c r="H2056" t="s">
        <v>1878</v>
      </c>
      <c r="I2056" s="305">
        <v>43892</v>
      </c>
      <c r="K2056" t="s">
        <v>14332</v>
      </c>
      <c r="M2056">
        <v>192</v>
      </c>
      <c r="O2056" t="s">
        <v>10939</v>
      </c>
      <c r="P2056">
        <v>251</v>
      </c>
      <c r="Q2056">
        <v>2.5</v>
      </c>
    </row>
    <row r="2057" spans="1:17" x14ac:dyDescent="0.25">
      <c r="A2057">
        <v>704</v>
      </c>
      <c r="C2057" t="s">
        <v>10940</v>
      </c>
      <c r="D2057" t="s">
        <v>10941</v>
      </c>
      <c r="F2057">
        <v>1960</v>
      </c>
      <c r="H2057" t="s">
        <v>2734</v>
      </c>
      <c r="I2057" s="305">
        <v>43924</v>
      </c>
      <c r="K2057" t="s">
        <v>14332</v>
      </c>
      <c r="M2057">
        <v>130</v>
      </c>
      <c r="O2057" t="s">
        <v>10942</v>
      </c>
      <c r="P2057">
        <v>145</v>
      </c>
      <c r="Q2057">
        <v>7.1</v>
      </c>
    </row>
    <row r="2058" spans="1:17" x14ac:dyDescent="0.25">
      <c r="A2058">
        <v>704</v>
      </c>
      <c r="B2058" t="s">
        <v>10943</v>
      </c>
      <c r="C2058" t="s">
        <v>10944</v>
      </c>
      <c r="D2058" t="s">
        <v>2309</v>
      </c>
      <c r="E2058" t="s">
        <v>1913</v>
      </c>
      <c r="F2058">
        <v>2001</v>
      </c>
      <c r="H2058" t="s">
        <v>1878</v>
      </c>
      <c r="I2058">
        <v>3</v>
      </c>
      <c r="K2058" t="s">
        <v>14332</v>
      </c>
      <c r="M2058">
        <v>240</v>
      </c>
      <c r="O2058" t="s">
        <v>10945</v>
      </c>
      <c r="P2058">
        <v>162</v>
      </c>
      <c r="Q2058">
        <v>3.03</v>
      </c>
    </row>
    <row r="2059" spans="1:17" x14ac:dyDescent="0.25">
      <c r="A2059">
        <v>632</v>
      </c>
      <c r="B2059" t="s">
        <v>10946</v>
      </c>
      <c r="C2059" t="s">
        <v>10947</v>
      </c>
      <c r="D2059" t="s">
        <v>10948</v>
      </c>
      <c r="F2059">
        <v>1959</v>
      </c>
      <c r="H2059" t="s">
        <v>2734</v>
      </c>
      <c r="I2059" s="305">
        <v>43924</v>
      </c>
      <c r="K2059" t="s">
        <v>14332</v>
      </c>
      <c r="M2059">
        <v>326</v>
      </c>
      <c r="O2059" t="s">
        <v>10949</v>
      </c>
      <c r="P2059">
        <v>404</v>
      </c>
      <c r="Q2059">
        <v>8.4</v>
      </c>
    </row>
    <row r="2060" spans="1:17" x14ac:dyDescent="0.25">
      <c r="A2060">
        <v>8</v>
      </c>
      <c r="B2060" t="s">
        <v>10950</v>
      </c>
      <c r="C2060" t="s">
        <v>10951</v>
      </c>
      <c r="D2060" t="s">
        <v>10952</v>
      </c>
      <c r="F2060">
        <v>1987</v>
      </c>
      <c r="H2060" t="s">
        <v>2734</v>
      </c>
      <c r="I2060" s="305">
        <v>43892</v>
      </c>
      <c r="K2060" t="s">
        <v>14332</v>
      </c>
      <c r="L2060" s="222">
        <v>9783923251148</v>
      </c>
      <c r="M2060">
        <v>242</v>
      </c>
      <c r="O2060" t="s">
        <v>10953</v>
      </c>
      <c r="P2060">
        <v>724</v>
      </c>
      <c r="Q2060">
        <v>8.7799999999999994</v>
      </c>
    </row>
    <row r="2061" spans="1:17" x14ac:dyDescent="0.25">
      <c r="A2061">
        <v>8</v>
      </c>
      <c r="B2061" t="s">
        <v>10954</v>
      </c>
      <c r="C2061" t="s">
        <v>10955</v>
      </c>
      <c r="D2061" t="s">
        <v>10956</v>
      </c>
      <c r="H2061" t="s">
        <v>1878</v>
      </c>
      <c r="I2061" s="305">
        <v>43892</v>
      </c>
      <c r="K2061" t="s">
        <v>14332</v>
      </c>
      <c r="M2061">
        <v>128</v>
      </c>
      <c r="O2061" t="s">
        <v>10957</v>
      </c>
      <c r="P2061">
        <v>302</v>
      </c>
      <c r="Q2061">
        <v>3.6</v>
      </c>
    </row>
    <row r="2062" spans="1:17" x14ac:dyDescent="0.25">
      <c r="A2062">
        <v>704</v>
      </c>
      <c r="B2062" t="s">
        <v>10958</v>
      </c>
      <c r="C2062" t="s">
        <v>10959</v>
      </c>
      <c r="D2062" t="s">
        <v>10960</v>
      </c>
      <c r="F2062">
        <v>1974</v>
      </c>
      <c r="H2062" t="s">
        <v>2734</v>
      </c>
      <c r="I2062" s="305">
        <v>43892</v>
      </c>
      <c r="K2062" t="s">
        <v>14332</v>
      </c>
      <c r="M2062">
        <v>338</v>
      </c>
      <c r="O2062" t="s">
        <v>10961</v>
      </c>
      <c r="P2062">
        <v>431</v>
      </c>
      <c r="Q2062">
        <v>5.85</v>
      </c>
    </row>
    <row r="2063" spans="1:17" x14ac:dyDescent="0.25">
      <c r="A2063">
        <v>593</v>
      </c>
      <c r="C2063" t="s">
        <v>10962</v>
      </c>
      <c r="D2063" t="s">
        <v>10963</v>
      </c>
      <c r="E2063" t="s">
        <v>2014</v>
      </c>
      <c r="F2063">
        <v>1987</v>
      </c>
      <c r="H2063" t="s">
        <v>2734</v>
      </c>
      <c r="I2063" s="305">
        <v>43892</v>
      </c>
      <c r="K2063" t="s">
        <v>14332</v>
      </c>
      <c r="M2063">
        <v>290</v>
      </c>
      <c r="O2063" t="s">
        <v>10964</v>
      </c>
      <c r="P2063">
        <v>525</v>
      </c>
      <c r="Q2063">
        <v>3.3</v>
      </c>
    </row>
    <row r="2064" spans="1:17" x14ac:dyDescent="0.25">
      <c r="A2064">
        <v>2522</v>
      </c>
      <c r="B2064" t="s">
        <v>1891</v>
      </c>
      <c r="C2064" t="s">
        <v>10965</v>
      </c>
      <c r="D2064" t="s">
        <v>1876</v>
      </c>
      <c r="F2064">
        <v>2005</v>
      </c>
      <c r="H2064" t="s">
        <v>1878</v>
      </c>
      <c r="I2064" s="305">
        <v>43892</v>
      </c>
      <c r="K2064" t="s">
        <v>14332</v>
      </c>
      <c r="M2064">
        <v>461</v>
      </c>
      <c r="O2064" t="s">
        <v>10966</v>
      </c>
      <c r="P2064">
        <v>380</v>
      </c>
      <c r="Q2064">
        <v>3.24</v>
      </c>
    </row>
    <row r="2065" spans="1:17" x14ac:dyDescent="0.25">
      <c r="A2065">
        <v>2705</v>
      </c>
      <c r="B2065" t="s">
        <v>10967</v>
      </c>
      <c r="C2065" t="s">
        <v>10968</v>
      </c>
      <c r="D2065" t="s">
        <v>2257</v>
      </c>
      <c r="F2065">
        <v>2001</v>
      </c>
      <c r="H2065" t="s">
        <v>1878</v>
      </c>
      <c r="I2065">
        <v>2</v>
      </c>
      <c r="K2065" t="s">
        <v>14332</v>
      </c>
      <c r="M2065">
        <v>364</v>
      </c>
      <c r="O2065" t="s">
        <v>10969</v>
      </c>
      <c r="P2065">
        <v>312</v>
      </c>
      <c r="Q2065">
        <v>4.5</v>
      </c>
    </row>
    <row r="2066" spans="1:17" x14ac:dyDescent="0.25">
      <c r="A2066">
        <v>2672</v>
      </c>
      <c r="C2066" t="s">
        <v>10970</v>
      </c>
      <c r="D2066" t="s">
        <v>10971</v>
      </c>
      <c r="H2066" t="s">
        <v>1878</v>
      </c>
      <c r="I2066" s="305">
        <v>43892</v>
      </c>
      <c r="K2066" t="s">
        <v>14332</v>
      </c>
      <c r="M2066">
        <v>64</v>
      </c>
      <c r="O2066" t="s">
        <v>10972</v>
      </c>
      <c r="P2066">
        <v>203</v>
      </c>
      <c r="Q2066">
        <v>1.59</v>
      </c>
    </row>
    <row r="2067" spans="1:17" x14ac:dyDescent="0.25">
      <c r="A2067">
        <v>773</v>
      </c>
      <c r="B2067" t="s">
        <v>10973</v>
      </c>
      <c r="C2067" t="s">
        <v>10974</v>
      </c>
      <c r="D2067" t="s">
        <v>1912</v>
      </c>
      <c r="E2067" t="s">
        <v>4339</v>
      </c>
      <c r="F2067">
        <v>2002</v>
      </c>
      <c r="H2067" t="s">
        <v>1878</v>
      </c>
      <c r="I2067">
        <v>3</v>
      </c>
      <c r="K2067" t="s">
        <v>14332</v>
      </c>
      <c r="M2067">
        <v>704</v>
      </c>
      <c r="O2067" t="s">
        <v>10975</v>
      </c>
      <c r="P2067">
        <v>568</v>
      </c>
      <c r="Q2067">
        <v>2.79</v>
      </c>
    </row>
    <row r="2068" spans="1:17" x14ac:dyDescent="0.25">
      <c r="A2068">
        <v>692</v>
      </c>
      <c r="B2068" t="s">
        <v>8074</v>
      </c>
      <c r="C2068" t="s">
        <v>10976</v>
      </c>
      <c r="D2068" t="s">
        <v>2835</v>
      </c>
      <c r="H2068" t="s">
        <v>1878</v>
      </c>
      <c r="I2068">
        <v>3</v>
      </c>
      <c r="K2068" t="s">
        <v>14332</v>
      </c>
      <c r="M2068">
        <v>464</v>
      </c>
      <c r="O2068" t="s">
        <v>10977</v>
      </c>
      <c r="P2068">
        <v>376</v>
      </c>
      <c r="Q2068">
        <v>2.5099999999999998</v>
      </c>
    </row>
    <row r="2069" spans="1:17" x14ac:dyDescent="0.25">
      <c r="A2069">
        <v>1327</v>
      </c>
      <c r="B2069" t="s">
        <v>10978</v>
      </c>
      <c r="C2069" t="s">
        <v>10979</v>
      </c>
      <c r="D2069" t="s">
        <v>10980</v>
      </c>
      <c r="E2069" t="s">
        <v>1921</v>
      </c>
      <c r="F2069">
        <v>2009</v>
      </c>
      <c r="H2069" t="s">
        <v>1878</v>
      </c>
      <c r="I2069" s="305">
        <v>43862</v>
      </c>
      <c r="J2069" t="s">
        <v>9092</v>
      </c>
      <c r="K2069" t="s">
        <v>14332</v>
      </c>
      <c r="M2069">
        <v>256</v>
      </c>
      <c r="O2069" t="s">
        <v>10981</v>
      </c>
      <c r="P2069">
        <v>247</v>
      </c>
      <c r="Q2069">
        <v>2.35</v>
      </c>
    </row>
    <row r="2070" spans="1:17" x14ac:dyDescent="0.25">
      <c r="A2070">
        <v>2571</v>
      </c>
      <c r="B2070" t="s">
        <v>10982</v>
      </c>
      <c r="C2070" t="s">
        <v>10983</v>
      </c>
      <c r="D2070" t="s">
        <v>10984</v>
      </c>
      <c r="E2070" t="s">
        <v>1899</v>
      </c>
      <c r="F2070">
        <v>2004</v>
      </c>
      <c r="H2070" t="s">
        <v>2734</v>
      </c>
      <c r="I2070">
        <v>2</v>
      </c>
      <c r="J2070" t="s">
        <v>10985</v>
      </c>
      <c r="K2070" t="s">
        <v>14332</v>
      </c>
      <c r="M2070">
        <v>178</v>
      </c>
      <c r="O2070" t="s">
        <v>10986</v>
      </c>
      <c r="P2070">
        <v>279</v>
      </c>
      <c r="Q2070">
        <v>2.4500000000000002</v>
      </c>
    </row>
    <row r="2071" spans="1:17" x14ac:dyDescent="0.25">
      <c r="A2071">
        <v>968</v>
      </c>
      <c r="B2071" t="s">
        <v>10987</v>
      </c>
      <c r="C2071" t="s">
        <v>10988</v>
      </c>
      <c r="D2071" t="s">
        <v>10989</v>
      </c>
      <c r="F2071">
        <v>2005</v>
      </c>
      <c r="H2071" t="s">
        <v>1878</v>
      </c>
      <c r="I2071" s="305">
        <v>43924</v>
      </c>
      <c r="K2071" t="s">
        <v>14339</v>
      </c>
      <c r="M2071">
        <v>490</v>
      </c>
      <c r="O2071" t="s">
        <v>10990</v>
      </c>
      <c r="P2071">
        <v>359</v>
      </c>
      <c r="Q2071">
        <v>1.69</v>
      </c>
    </row>
    <row r="2072" spans="1:17" x14ac:dyDescent="0.25">
      <c r="A2072">
        <v>701</v>
      </c>
      <c r="B2072" t="s">
        <v>10991</v>
      </c>
      <c r="C2072" t="s">
        <v>10992</v>
      </c>
      <c r="D2072" t="s">
        <v>6456</v>
      </c>
      <c r="E2072" t="s">
        <v>2358</v>
      </c>
      <c r="F2072">
        <v>2013</v>
      </c>
      <c r="H2072" t="s">
        <v>1878</v>
      </c>
      <c r="I2072">
        <v>3</v>
      </c>
      <c r="K2072" t="s">
        <v>14332</v>
      </c>
      <c r="M2072">
        <v>224</v>
      </c>
      <c r="O2072" t="s">
        <v>10993</v>
      </c>
      <c r="P2072">
        <v>234</v>
      </c>
      <c r="Q2072">
        <v>2.73</v>
      </c>
    </row>
    <row r="2073" spans="1:17" x14ac:dyDescent="0.25">
      <c r="A2073">
        <v>2518</v>
      </c>
      <c r="B2073" t="s">
        <v>10994</v>
      </c>
      <c r="C2073" t="s">
        <v>10995</v>
      </c>
      <c r="D2073" t="s">
        <v>1988</v>
      </c>
      <c r="E2073" t="s">
        <v>2937</v>
      </c>
      <c r="F2073">
        <v>2015</v>
      </c>
      <c r="H2073" t="s">
        <v>1878</v>
      </c>
      <c r="I2073">
        <v>2</v>
      </c>
      <c r="K2073" t="s">
        <v>14332</v>
      </c>
      <c r="M2073">
        <v>240</v>
      </c>
      <c r="O2073" t="s">
        <v>10996</v>
      </c>
      <c r="P2073">
        <v>237</v>
      </c>
      <c r="Q2073">
        <v>2.98</v>
      </c>
    </row>
    <row r="2074" spans="1:17" x14ac:dyDescent="0.25">
      <c r="A2074">
        <v>701</v>
      </c>
      <c r="B2074" t="s">
        <v>10997</v>
      </c>
      <c r="C2074" t="s">
        <v>10998</v>
      </c>
      <c r="D2074" t="s">
        <v>10999</v>
      </c>
      <c r="F2074">
        <v>2012</v>
      </c>
      <c r="H2074" t="s">
        <v>2734</v>
      </c>
      <c r="I2074">
        <v>1</v>
      </c>
      <c r="K2074" t="s">
        <v>14332</v>
      </c>
      <c r="M2074">
        <v>322</v>
      </c>
      <c r="O2074" t="s">
        <v>11000</v>
      </c>
      <c r="P2074">
        <v>391</v>
      </c>
      <c r="Q2074">
        <v>3.22</v>
      </c>
    </row>
    <row r="2075" spans="1:17" x14ac:dyDescent="0.25">
      <c r="A2075">
        <v>2514</v>
      </c>
      <c r="C2075" t="s">
        <v>11001</v>
      </c>
      <c r="D2075" t="s">
        <v>2472</v>
      </c>
      <c r="F2075">
        <v>1994</v>
      </c>
      <c r="H2075" t="s">
        <v>2734</v>
      </c>
      <c r="I2075">
        <v>2</v>
      </c>
      <c r="K2075" t="s">
        <v>14332</v>
      </c>
      <c r="M2075">
        <v>326</v>
      </c>
      <c r="O2075" t="s">
        <v>11002</v>
      </c>
      <c r="P2075">
        <v>578</v>
      </c>
      <c r="Q2075">
        <v>2.7</v>
      </c>
    </row>
    <row r="2076" spans="1:17" x14ac:dyDescent="0.25">
      <c r="A2076">
        <v>852</v>
      </c>
      <c r="B2076" t="s">
        <v>11003</v>
      </c>
      <c r="C2076" t="s">
        <v>11004</v>
      </c>
      <c r="D2076" t="s">
        <v>2309</v>
      </c>
      <c r="E2076" t="s">
        <v>1913</v>
      </c>
      <c r="F2076">
        <v>2004</v>
      </c>
      <c r="H2076" t="s">
        <v>1878</v>
      </c>
      <c r="I2076" s="305">
        <v>43892</v>
      </c>
      <c r="K2076" t="s">
        <v>14332</v>
      </c>
      <c r="M2076">
        <v>384</v>
      </c>
      <c r="O2076" t="s">
        <v>11005</v>
      </c>
      <c r="P2076">
        <v>260</v>
      </c>
      <c r="Q2076">
        <v>2.5</v>
      </c>
    </row>
    <row r="2077" spans="1:17" x14ac:dyDescent="0.25">
      <c r="A2077">
        <v>1913</v>
      </c>
      <c r="B2077" t="s">
        <v>8774</v>
      </c>
      <c r="C2077" t="s">
        <v>11006</v>
      </c>
      <c r="D2077" t="s">
        <v>1876</v>
      </c>
      <c r="F2077">
        <v>1979</v>
      </c>
      <c r="H2077" t="s">
        <v>2734</v>
      </c>
      <c r="I2077">
        <v>2</v>
      </c>
      <c r="J2077" t="s">
        <v>2505</v>
      </c>
      <c r="K2077" t="s">
        <v>14332</v>
      </c>
      <c r="M2077">
        <v>514</v>
      </c>
      <c r="O2077" t="s">
        <v>11007</v>
      </c>
      <c r="P2077">
        <v>781</v>
      </c>
      <c r="Q2077">
        <v>2.97</v>
      </c>
    </row>
    <row r="2078" spans="1:17" x14ac:dyDescent="0.25">
      <c r="A2078">
        <v>1327</v>
      </c>
      <c r="B2078" t="s">
        <v>11008</v>
      </c>
      <c r="C2078" t="s">
        <v>11009</v>
      </c>
      <c r="D2078" t="s">
        <v>1876</v>
      </c>
      <c r="H2078" t="s">
        <v>2734</v>
      </c>
      <c r="I2078">
        <v>2</v>
      </c>
      <c r="J2078" t="s">
        <v>2505</v>
      </c>
      <c r="K2078" t="s">
        <v>14332</v>
      </c>
      <c r="M2078">
        <v>362</v>
      </c>
      <c r="O2078" t="s">
        <v>11010</v>
      </c>
      <c r="P2078">
        <v>429</v>
      </c>
      <c r="Q2078">
        <v>2.8</v>
      </c>
    </row>
    <row r="2079" spans="1:17" x14ac:dyDescent="0.25">
      <c r="A2079">
        <v>2694</v>
      </c>
      <c r="B2079" t="s">
        <v>11011</v>
      </c>
      <c r="C2079" t="s">
        <v>11012</v>
      </c>
      <c r="D2079" t="s">
        <v>11013</v>
      </c>
      <c r="F2079">
        <v>1975</v>
      </c>
      <c r="H2079" t="s">
        <v>2734</v>
      </c>
      <c r="I2079">
        <v>2</v>
      </c>
      <c r="K2079" t="s">
        <v>14332</v>
      </c>
      <c r="M2079">
        <v>138</v>
      </c>
      <c r="O2079" t="s">
        <v>11014</v>
      </c>
      <c r="P2079">
        <v>497</v>
      </c>
      <c r="Q2079">
        <v>9.8000000000000007</v>
      </c>
    </row>
    <row r="2080" spans="1:17" x14ac:dyDescent="0.25">
      <c r="A2080">
        <v>2537</v>
      </c>
      <c r="B2080" t="s">
        <v>4461</v>
      </c>
      <c r="C2080" t="s">
        <v>11015</v>
      </c>
      <c r="D2080" t="s">
        <v>7733</v>
      </c>
      <c r="E2080" t="s">
        <v>1877</v>
      </c>
      <c r="F2080">
        <v>2013</v>
      </c>
      <c r="H2080" t="s">
        <v>1878</v>
      </c>
      <c r="I2080">
        <v>4</v>
      </c>
      <c r="J2080" t="s">
        <v>11016</v>
      </c>
      <c r="K2080" t="s">
        <v>14339</v>
      </c>
      <c r="M2080">
        <v>148</v>
      </c>
      <c r="O2080" t="s">
        <v>11017</v>
      </c>
      <c r="P2080">
        <v>274</v>
      </c>
      <c r="Q2080">
        <v>4.16</v>
      </c>
    </row>
    <row r="2081" spans="1:17" x14ac:dyDescent="0.25">
      <c r="A2081">
        <v>701</v>
      </c>
      <c r="B2081" t="s">
        <v>11018</v>
      </c>
      <c r="C2081" t="s">
        <v>11019</v>
      </c>
      <c r="D2081" t="s">
        <v>2257</v>
      </c>
      <c r="F2081">
        <v>2006</v>
      </c>
      <c r="H2081" t="s">
        <v>1878</v>
      </c>
      <c r="I2081">
        <v>2</v>
      </c>
      <c r="J2081" t="s">
        <v>9092</v>
      </c>
      <c r="K2081" t="s">
        <v>14332</v>
      </c>
      <c r="M2081">
        <v>192</v>
      </c>
      <c r="O2081" t="s">
        <v>11020</v>
      </c>
      <c r="P2081">
        <v>170</v>
      </c>
      <c r="Q2081">
        <v>4.13</v>
      </c>
    </row>
    <row r="2082" spans="1:17" x14ac:dyDescent="0.25">
      <c r="A2082">
        <v>796</v>
      </c>
      <c r="B2082" t="s">
        <v>3143</v>
      </c>
      <c r="C2082" t="s">
        <v>11021</v>
      </c>
      <c r="D2082" t="s">
        <v>2609</v>
      </c>
      <c r="F2082">
        <v>2015</v>
      </c>
      <c r="H2082" t="s">
        <v>1878</v>
      </c>
      <c r="I2082">
        <v>2</v>
      </c>
      <c r="J2082" t="s">
        <v>9092</v>
      </c>
      <c r="K2082" t="s">
        <v>14332</v>
      </c>
      <c r="M2082">
        <v>400</v>
      </c>
      <c r="O2082" t="s">
        <v>11022</v>
      </c>
      <c r="P2082">
        <v>354</v>
      </c>
      <c r="Q2082">
        <v>3.08</v>
      </c>
    </row>
    <row r="2083" spans="1:17" x14ac:dyDescent="0.25">
      <c r="A2083">
        <v>1327</v>
      </c>
      <c r="B2083" t="s">
        <v>11023</v>
      </c>
      <c r="C2083" t="s">
        <v>11024</v>
      </c>
      <c r="D2083" t="s">
        <v>11025</v>
      </c>
      <c r="F2083">
        <v>1959</v>
      </c>
      <c r="H2083" t="s">
        <v>2734</v>
      </c>
      <c r="I2083">
        <v>3</v>
      </c>
      <c r="K2083" t="s">
        <v>14332</v>
      </c>
      <c r="M2083">
        <v>370</v>
      </c>
      <c r="O2083" t="s">
        <v>11026</v>
      </c>
      <c r="P2083">
        <v>496</v>
      </c>
      <c r="Q2083">
        <v>2.79</v>
      </c>
    </row>
    <row r="2084" spans="1:17" x14ac:dyDescent="0.25">
      <c r="A2084">
        <v>0</v>
      </c>
      <c r="C2084" t="s">
        <v>11027</v>
      </c>
      <c r="D2084" t="s">
        <v>9711</v>
      </c>
      <c r="F2084">
        <v>1980</v>
      </c>
      <c r="H2084" t="s">
        <v>11028</v>
      </c>
      <c r="I2084">
        <v>3</v>
      </c>
      <c r="K2084" t="s">
        <v>14332</v>
      </c>
      <c r="M2084">
        <v>32</v>
      </c>
      <c r="O2084" t="s">
        <v>11029</v>
      </c>
      <c r="P2084">
        <v>76</v>
      </c>
      <c r="Q2084">
        <v>4.57</v>
      </c>
    </row>
    <row r="2085" spans="1:17" x14ac:dyDescent="0.25">
      <c r="A2085">
        <v>0</v>
      </c>
      <c r="C2085" t="s">
        <v>11030</v>
      </c>
      <c r="D2085" t="s">
        <v>11031</v>
      </c>
      <c r="F2085">
        <v>1989</v>
      </c>
      <c r="H2085" t="s">
        <v>5112</v>
      </c>
      <c r="I2085">
        <v>2</v>
      </c>
      <c r="J2085" t="s">
        <v>11032</v>
      </c>
      <c r="K2085" t="s">
        <v>14332</v>
      </c>
      <c r="L2085" s="222">
        <v>9783893730766</v>
      </c>
      <c r="M2085">
        <v>100</v>
      </c>
      <c r="O2085" t="s">
        <v>11033</v>
      </c>
      <c r="P2085">
        <v>272</v>
      </c>
      <c r="Q2085">
        <v>6.79</v>
      </c>
    </row>
    <row r="2086" spans="1:17" x14ac:dyDescent="0.25">
      <c r="A2086">
        <v>0</v>
      </c>
      <c r="B2086" t="s">
        <v>11034</v>
      </c>
      <c r="C2086" t="s">
        <v>11035</v>
      </c>
      <c r="D2086" t="s">
        <v>5005</v>
      </c>
      <c r="H2086" t="s">
        <v>2734</v>
      </c>
      <c r="I2086" s="305">
        <v>43924</v>
      </c>
      <c r="K2086" t="s">
        <v>14332</v>
      </c>
      <c r="M2086">
        <v>158</v>
      </c>
      <c r="O2086" t="s">
        <v>11036</v>
      </c>
      <c r="P2086">
        <v>821</v>
      </c>
      <c r="Q2086">
        <v>6.05</v>
      </c>
    </row>
    <row r="2087" spans="1:17" x14ac:dyDescent="0.25">
      <c r="A2087">
        <v>0</v>
      </c>
      <c r="B2087" t="s">
        <v>11037</v>
      </c>
      <c r="C2087" t="s">
        <v>11038</v>
      </c>
      <c r="D2087" t="s">
        <v>5005</v>
      </c>
      <c r="F2087">
        <v>1973</v>
      </c>
      <c r="H2087" t="s">
        <v>2734</v>
      </c>
      <c r="I2087" s="305">
        <v>43924</v>
      </c>
      <c r="K2087" t="s">
        <v>14332</v>
      </c>
      <c r="M2087">
        <v>146</v>
      </c>
      <c r="O2087" t="s">
        <v>11039</v>
      </c>
      <c r="P2087">
        <v>736</v>
      </c>
      <c r="Q2087">
        <v>3.05</v>
      </c>
    </row>
    <row r="2088" spans="1:17" x14ac:dyDescent="0.25">
      <c r="A2088">
        <v>0</v>
      </c>
      <c r="B2088" t="s">
        <v>11040</v>
      </c>
      <c r="C2088" t="s">
        <v>11041</v>
      </c>
      <c r="D2088" t="s">
        <v>2221</v>
      </c>
      <c r="E2088" t="s">
        <v>2032</v>
      </c>
      <c r="F2088">
        <v>1976</v>
      </c>
      <c r="H2088" t="s">
        <v>2734</v>
      </c>
      <c r="I2088">
        <v>3</v>
      </c>
      <c r="K2088" t="s">
        <v>14332</v>
      </c>
      <c r="L2088" s="222">
        <v>9783797302151</v>
      </c>
      <c r="M2088">
        <v>254</v>
      </c>
      <c r="O2088" t="s">
        <v>11042</v>
      </c>
      <c r="P2088">
        <v>770</v>
      </c>
      <c r="Q2088">
        <v>2.7</v>
      </c>
    </row>
    <row r="2089" spans="1:17" x14ac:dyDescent="0.25">
      <c r="A2089">
        <v>0</v>
      </c>
      <c r="B2089" t="s">
        <v>11043</v>
      </c>
      <c r="C2089" t="s">
        <v>11044</v>
      </c>
      <c r="D2089" t="s">
        <v>11045</v>
      </c>
      <c r="F2089">
        <v>1976</v>
      </c>
      <c r="H2089" t="s">
        <v>2734</v>
      </c>
      <c r="I2089">
        <v>3</v>
      </c>
      <c r="K2089" t="s">
        <v>14332</v>
      </c>
      <c r="M2089">
        <v>366</v>
      </c>
      <c r="O2089" t="s">
        <v>11046</v>
      </c>
      <c r="P2089">
        <v>1261</v>
      </c>
      <c r="Q2089">
        <v>2</v>
      </c>
    </row>
    <row r="2090" spans="1:17" x14ac:dyDescent="0.25">
      <c r="A2090">
        <v>0</v>
      </c>
      <c r="B2090" t="s">
        <v>11047</v>
      </c>
      <c r="C2090" t="s">
        <v>11048</v>
      </c>
      <c r="D2090" t="s">
        <v>7924</v>
      </c>
      <c r="E2090" t="s">
        <v>3731</v>
      </c>
      <c r="F2090">
        <v>1996</v>
      </c>
      <c r="H2090" t="s">
        <v>2734</v>
      </c>
      <c r="I2090" s="305">
        <v>43892</v>
      </c>
      <c r="K2090" t="s">
        <v>14332</v>
      </c>
      <c r="M2090">
        <v>130</v>
      </c>
      <c r="O2090" t="s">
        <v>11049</v>
      </c>
      <c r="P2090">
        <v>420</v>
      </c>
      <c r="Q2090">
        <v>2.44</v>
      </c>
    </row>
    <row r="2091" spans="1:17" x14ac:dyDescent="0.25">
      <c r="A2091">
        <v>0</v>
      </c>
      <c r="B2091" t="s">
        <v>11050</v>
      </c>
      <c r="C2091" t="s">
        <v>11051</v>
      </c>
      <c r="D2091" t="s">
        <v>8535</v>
      </c>
      <c r="F2091">
        <v>1997</v>
      </c>
      <c r="H2091" t="s">
        <v>2734</v>
      </c>
      <c r="I2091" s="305">
        <v>43892</v>
      </c>
      <c r="K2091" t="s">
        <v>14332</v>
      </c>
      <c r="M2091">
        <v>194</v>
      </c>
      <c r="O2091" t="s">
        <v>11052</v>
      </c>
      <c r="P2091">
        <v>376</v>
      </c>
      <c r="Q2091">
        <v>2.66</v>
      </c>
    </row>
    <row r="2092" spans="1:17" x14ac:dyDescent="0.25">
      <c r="A2092">
        <v>0</v>
      </c>
      <c r="B2092" t="s">
        <v>11053</v>
      </c>
      <c r="C2092" t="s">
        <v>11054</v>
      </c>
      <c r="D2092" t="s">
        <v>11055</v>
      </c>
      <c r="F2092">
        <v>1991</v>
      </c>
      <c r="H2092" t="s">
        <v>1878</v>
      </c>
      <c r="I2092" s="305">
        <v>43924</v>
      </c>
      <c r="K2092" t="s">
        <v>14332</v>
      </c>
      <c r="L2092" s="222">
        <v>9783764325817</v>
      </c>
      <c r="M2092">
        <v>192</v>
      </c>
      <c r="O2092" t="s">
        <v>11057</v>
      </c>
      <c r="P2092">
        <v>255</v>
      </c>
      <c r="Q2092">
        <v>24.79</v>
      </c>
    </row>
    <row r="2093" spans="1:17" x14ac:dyDescent="0.25">
      <c r="A2093">
        <v>0</v>
      </c>
      <c r="B2093" t="s">
        <v>11058</v>
      </c>
      <c r="C2093" t="s">
        <v>11059</v>
      </c>
      <c r="D2093" t="s">
        <v>5941</v>
      </c>
      <c r="F2093">
        <v>2001</v>
      </c>
      <c r="H2093" t="s">
        <v>2734</v>
      </c>
      <c r="I2093">
        <v>3</v>
      </c>
      <c r="K2093" t="s">
        <v>14332</v>
      </c>
      <c r="L2093" s="222">
        <v>9783446200135</v>
      </c>
      <c r="M2093">
        <v>144</v>
      </c>
      <c r="O2093" t="s">
        <v>11061</v>
      </c>
      <c r="P2093">
        <v>633</v>
      </c>
      <c r="Q2093">
        <v>10.8</v>
      </c>
    </row>
    <row r="2094" spans="1:17" x14ac:dyDescent="0.25">
      <c r="A2094">
        <v>0</v>
      </c>
      <c r="C2094" t="s">
        <v>11062</v>
      </c>
      <c r="D2094" t="s">
        <v>5005</v>
      </c>
      <c r="H2094" t="s">
        <v>2734</v>
      </c>
      <c r="I2094">
        <v>3</v>
      </c>
      <c r="K2094" t="s">
        <v>14332</v>
      </c>
      <c r="M2094">
        <v>546</v>
      </c>
      <c r="O2094" t="s">
        <v>11063</v>
      </c>
      <c r="P2094">
        <v>2296</v>
      </c>
      <c r="Q2094">
        <v>12.75</v>
      </c>
    </row>
    <row r="2095" spans="1:17" x14ac:dyDescent="0.25">
      <c r="A2095">
        <v>0</v>
      </c>
      <c r="C2095" t="s">
        <v>11064</v>
      </c>
      <c r="D2095" t="s">
        <v>11065</v>
      </c>
      <c r="F2095">
        <v>1957</v>
      </c>
      <c r="H2095" t="s">
        <v>2734</v>
      </c>
      <c r="I2095">
        <v>3</v>
      </c>
      <c r="J2095" t="s">
        <v>10914</v>
      </c>
      <c r="K2095" t="s">
        <v>14332</v>
      </c>
      <c r="M2095">
        <v>130</v>
      </c>
      <c r="O2095" t="s">
        <v>11066</v>
      </c>
      <c r="P2095">
        <v>1332</v>
      </c>
      <c r="Q2095">
        <v>4.79</v>
      </c>
    </row>
    <row r="2096" spans="1:17" x14ac:dyDescent="0.25">
      <c r="A2096">
        <v>0</v>
      </c>
      <c r="B2096" t="s">
        <v>11067</v>
      </c>
      <c r="C2096" t="s">
        <v>11068</v>
      </c>
      <c r="D2096" t="s">
        <v>5005</v>
      </c>
      <c r="H2096" t="s">
        <v>2734</v>
      </c>
      <c r="I2096">
        <v>3</v>
      </c>
      <c r="K2096" t="s">
        <v>14332</v>
      </c>
      <c r="M2096">
        <v>482</v>
      </c>
      <c r="O2096" t="s">
        <v>11069</v>
      </c>
      <c r="P2096">
        <v>2016</v>
      </c>
      <c r="Q2096">
        <v>8.6999999999999993</v>
      </c>
    </row>
    <row r="2097" spans="1:17" x14ac:dyDescent="0.25">
      <c r="A2097">
        <v>0</v>
      </c>
      <c r="C2097" t="s">
        <v>11070</v>
      </c>
      <c r="D2097" t="s">
        <v>11071</v>
      </c>
      <c r="E2097" t="s">
        <v>1877</v>
      </c>
      <c r="F2097">
        <v>1964</v>
      </c>
      <c r="H2097" t="s">
        <v>2734</v>
      </c>
      <c r="I2097">
        <v>2</v>
      </c>
      <c r="J2097" t="s">
        <v>10914</v>
      </c>
      <c r="K2097" t="s">
        <v>14332</v>
      </c>
      <c r="M2097" t="s">
        <v>11072</v>
      </c>
      <c r="O2097" t="s">
        <v>11073</v>
      </c>
      <c r="P2097">
        <v>288</v>
      </c>
      <c r="Q2097">
        <v>3</v>
      </c>
    </row>
    <row r="2098" spans="1:17" x14ac:dyDescent="0.25">
      <c r="A2098">
        <v>0</v>
      </c>
      <c r="C2098" t="s">
        <v>11074</v>
      </c>
      <c r="D2098" t="s">
        <v>11075</v>
      </c>
      <c r="H2098" t="s">
        <v>2734</v>
      </c>
      <c r="I2098">
        <v>4</v>
      </c>
      <c r="J2098" t="s">
        <v>10914</v>
      </c>
      <c r="K2098" t="s">
        <v>14332</v>
      </c>
      <c r="M2098">
        <v>162</v>
      </c>
      <c r="O2098" t="s">
        <v>11076</v>
      </c>
      <c r="P2098">
        <v>663</v>
      </c>
      <c r="Q2098">
        <v>4.5999999999999996</v>
      </c>
    </row>
    <row r="2099" spans="1:17" x14ac:dyDescent="0.25">
      <c r="A2099">
        <v>481</v>
      </c>
      <c r="C2099" t="s">
        <v>11077</v>
      </c>
      <c r="D2099" t="s">
        <v>11078</v>
      </c>
      <c r="F2099">
        <v>2013</v>
      </c>
      <c r="H2099" t="s">
        <v>2217</v>
      </c>
      <c r="I2099">
        <v>2</v>
      </c>
      <c r="K2099" t="s">
        <v>14332</v>
      </c>
      <c r="M2099">
        <v>224</v>
      </c>
      <c r="O2099" t="s">
        <v>11079</v>
      </c>
      <c r="P2099">
        <v>118</v>
      </c>
      <c r="Q2099">
        <v>3.01</v>
      </c>
    </row>
    <row r="2100" spans="1:17" x14ac:dyDescent="0.25">
      <c r="A2100">
        <v>2521</v>
      </c>
      <c r="B2100" t="s">
        <v>11080</v>
      </c>
      <c r="C2100" t="s">
        <v>11081</v>
      </c>
      <c r="D2100" t="s">
        <v>3077</v>
      </c>
      <c r="F2100">
        <v>2002</v>
      </c>
      <c r="H2100" t="s">
        <v>1878</v>
      </c>
      <c r="I2100">
        <v>3</v>
      </c>
      <c r="J2100" t="s">
        <v>9092</v>
      </c>
      <c r="K2100" t="s">
        <v>14332</v>
      </c>
      <c r="M2100">
        <v>512</v>
      </c>
      <c r="O2100" t="s">
        <v>11082</v>
      </c>
      <c r="P2100">
        <v>340</v>
      </c>
      <c r="Q2100">
        <v>6.57</v>
      </c>
    </row>
    <row r="2101" spans="1:17" x14ac:dyDescent="0.25">
      <c r="A2101">
        <v>2002</v>
      </c>
      <c r="B2101" t="s">
        <v>7469</v>
      </c>
      <c r="C2101" t="s">
        <v>11083</v>
      </c>
      <c r="D2101" t="s">
        <v>2257</v>
      </c>
      <c r="F2101">
        <v>1977</v>
      </c>
      <c r="H2101" t="s">
        <v>1878</v>
      </c>
      <c r="I2101">
        <v>3</v>
      </c>
      <c r="K2101" t="s">
        <v>14332</v>
      </c>
      <c r="L2101" s="222">
        <v>9783426004357</v>
      </c>
      <c r="M2101">
        <v>256</v>
      </c>
      <c r="O2101" t="s">
        <v>11085</v>
      </c>
      <c r="P2101">
        <v>275</v>
      </c>
      <c r="Q2101">
        <v>4.79</v>
      </c>
    </row>
    <row r="2102" spans="1:17" x14ac:dyDescent="0.25">
      <c r="A2102">
        <v>722</v>
      </c>
      <c r="B2102" t="s">
        <v>11086</v>
      </c>
      <c r="C2102" t="s">
        <v>11087</v>
      </c>
      <c r="D2102" t="s">
        <v>11088</v>
      </c>
      <c r="E2102" t="s">
        <v>1913</v>
      </c>
      <c r="F2102">
        <v>1985</v>
      </c>
      <c r="H2102" t="s">
        <v>2734</v>
      </c>
      <c r="I2102">
        <v>3</v>
      </c>
      <c r="K2102" t="s">
        <v>14332</v>
      </c>
      <c r="M2102">
        <v>266</v>
      </c>
      <c r="O2102" t="s">
        <v>11089</v>
      </c>
      <c r="P2102">
        <v>406</v>
      </c>
      <c r="Q2102">
        <v>10.199999999999999</v>
      </c>
    </row>
    <row r="2103" spans="1:17" x14ac:dyDescent="0.25">
      <c r="A2103">
        <v>1327</v>
      </c>
      <c r="B2103" t="s">
        <v>11090</v>
      </c>
      <c r="C2103" t="s">
        <v>11091</v>
      </c>
      <c r="D2103" t="s">
        <v>2644</v>
      </c>
      <c r="F2103">
        <v>1997</v>
      </c>
      <c r="H2103" t="s">
        <v>2734</v>
      </c>
      <c r="I2103">
        <v>2</v>
      </c>
      <c r="K2103" t="s">
        <v>14332</v>
      </c>
      <c r="M2103">
        <v>226</v>
      </c>
      <c r="O2103" t="s">
        <v>11092</v>
      </c>
      <c r="P2103">
        <v>319</v>
      </c>
      <c r="Q2103">
        <v>2.68</v>
      </c>
    </row>
    <row r="2104" spans="1:17" x14ac:dyDescent="0.25">
      <c r="A2104">
        <v>632</v>
      </c>
      <c r="B2104" t="s">
        <v>11096</v>
      </c>
      <c r="C2104" t="s">
        <v>11097</v>
      </c>
      <c r="D2104" t="s">
        <v>2309</v>
      </c>
      <c r="F2104">
        <v>2002</v>
      </c>
      <c r="H2104" t="s">
        <v>2734</v>
      </c>
      <c r="I2104">
        <v>2</v>
      </c>
      <c r="K2104" t="s">
        <v>14332</v>
      </c>
      <c r="L2104" s="222">
        <v>9783550084041</v>
      </c>
      <c r="M2104">
        <v>503</v>
      </c>
      <c r="O2104" t="s">
        <v>11098</v>
      </c>
      <c r="P2104">
        <v>766</v>
      </c>
      <c r="Q2104">
        <v>6.2</v>
      </c>
    </row>
    <row r="2105" spans="1:17" x14ac:dyDescent="0.25">
      <c r="A2105">
        <v>689</v>
      </c>
      <c r="B2105" t="s">
        <v>11099</v>
      </c>
      <c r="C2105" t="s">
        <v>11100</v>
      </c>
      <c r="D2105" t="s">
        <v>1876</v>
      </c>
      <c r="E2105" t="s">
        <v>1877</v>
      </c>
      <c r="F2105">
        <v>2006</v>
      </c>
      <c r="H2105" t="s">
        <v>1878</v>
      </c>
      <c r="I2105">
        <v>2</v>
      </c>
      <c r="K2105" t="s">
        <v>14332</v>
      </c>
      <c r="M2105">
        <v>508</v>
      </c>
      <c r="O2105" t="s">
        <v>11101</v>
      </c>
      <c r="P2105">
        <v>559</v>
      </c>
      <c r="Q2105">
        <v>2.67</v>
      </c>
    </row>
    <row r="2106" spans="1:17" x14ac:dyDescent="0.25">
      <c r="A2106">
        <v>1396</v>
      </c>
      <c r="B2106" t="s">
        <v>11102</v>
      </c>
      <c r="C2106" t="s">
        <v>11103</v>
      </c>
      <c r="D2106" t="s">
        <v>2176</v>
      </c>
      <c r="F2106">
        <v>1997</v>
      </c>
      <c r="H2106" t="s">
        <v>2734</v>
      </c>
      <c r="I2106">
        <v>1</v>
      </c>
      <c r="K2106" t="s">
        <v>14332</v>
      </c>
      <c r="L2106" s="222">
        <v>9783100402134</v>
      </c>
      <c r="M2106">
        <v>525</v>
      </c>
      <c r="O2106" t="s">
        <v>11104</v>
      </c>
      <c r="P2106">
        <v>621</v>
      </c>
      <c r="Q2106">
        <v>2.2799999999999998</v>
      </c>
    </row>
    <row r="2107" spans="1:17" x14ac:dyDescent="0.25">
      <c r="A2107">
        <v>2553</v>
      </c>
      <c r="B2107" t="s">
        <v>11105</v>
      </c>
      <c r="C2107" t="s">
        <v>11106</v>
      </c>
      <c r="D2107" t="s">
        <v>2054</v>
      </c>
      <c r="F2107">
        <v>2007</v>
      </c>
      <c r="H2107" t="s">
        <v>1878</v>
      </c>
      <c r="I2107">
        <v>3</v>
      </c>
      <c r="K2107" t="s">
        <v>14332</v>
      </c>
      <c r="M2107">
        <v>613</v>
      </c>
      <c r="O2107" t="s">
        <v>11107</v>
      </c>
      <c r="P2107">
        <v>453</v>
      </c>
      <c r="Q2107">
        <v>2.4</v>
      </c>
    </row>
    <row r="2108" spans="1:17" x14ac:dyDescent="0.25">
      <c r="A2108">
        <v>796</v>
      </c>
      <c r="B2108" t="s">
        <v>9506</v>
      </c>
      <c r="C2108" t="s">
        <v>11108</v>
      </c>
      <c r="D2108" t="s">
        <v>1920</v>
      </c>
      <c r="F2108">
        <v>2007</v>
      </c>
      <c r="H2108" t="s">
        <v>1878</v>
      </c>
      <c r="I2108">
        <v>2</v>
      </c>
      <c r="J2108" t="s">
        <v>9495</v>
      </c>
      <c r="K2108" t="s">
        <v>14332</v>
      </c>
      <c r="M2108">
        <v>813</v>
      </c>
      <c r="O2108" t="s">
        <v>11109</v>
      </c>
      <c r="P2108">
        <v>590</v>
      </c>
      <c r="Q2108">
        <v>2.83</v>
      </c>
    </row>
    <row r="2109" spans="1:17" x14ac:dyDescent="0.25">
      <c r="A2109">
        <v>1386</v>
      </c>
      <c r="B2109" t="s">
        <v>11110</v>
      </c>
      <c r="C2109" t="s">
        <v>11111</v>
      </c>
      <c r="D2109" t="s">
        <v>2209</v>
      </c>
      <c r="E2109" t="s">
        <v>1899</v>
      </c>
      <c r="F2109">
        <v>2001</v>
      </c>
      <c r="H2109" t="s">
        <v>2734</v>
      </c>
      <c r="I2109">
        <v>2</v>
      </c>
      <c r="K2109" t="s">
        <v>14332</v>
      </c>
      <c r="L2109" s="222">
        <v>9783453185999</v>
      </c>
      <c r="M2109">
        <v>591</v>
      </c>
      <c r="O2109" t="s">
        <v>11112</v>
      </c>
      <c r="P2109">
        <v>844</v>
      </c>
      <c r="Q2109">
        <v>2.64</v>
      </c>
    </row>
    <row r="2110" spans="1:17" x14ac:dyDescent="0.25">
      <c r="A2110">
        <v>2553</v>
      </c>
      <c r="B2110" t="s">
        <v>11113</v>
      </c>
      <c r="C2110" t="s">
        <v>11114</v>
      </c>
      <c r="D2110" t="s">
        <v>11115</v>
      </c>
      <c r="E2110" t="s">
        <v>1913</v>
      </c>
      <c r="F2110">
        <v>2005</v>
      </c>
      <c r="H2110" t="s">
        <v>1878</v>
      </c>
      <c r="I2110">
        <v>2</v>
      </c>
      <c r="K2110" t="s">
        <v>14332</v>
      </c>
      <c r="M2110">
        <v>443</v>
      </c>
      <c r="O2110" t="s">
        <v>11116</v>
      </c>
      <c r="P2110">
        <v>361</v>
      </c>
      <c r="Q2110">
        <v>4.58</v>
      </c>
    </row>
    <row r="2111" spans="1:17" x14ac:dyDescent="0.25">
      <c r="A2111">
        <v>796</v>
      </c>
      <c r="B2111" t="s">
        <v>2629</v>
      </c>
      <c r="C2111" t="s">
        <v>11117</v>
      </c>
      <c r="D2111" t="s">
        <v>1876</v>
      </c>
      <c r="E2111" t="s">
        <v>3053</v>
      </c>
      <c r="F2111">
        <v>2017</v>
      </c>
      <c r="H2111" t="s">
        <v>1878</v>
      </c>
      <c r="I2111" s="305">
        <v>43892</v>
      </c>
      <c r="J2111" t="s">
        <v>9196</v>
      </c>
      <c r="K2111" t="s">
        <v>14332</v>
      </c>
      <c r="M2111">
        <v>654</v>
      </c>
      <c r="O2111" t="s">
        <v>11118</v>
      </c>
      <c r="P2111">
        <v>463</v>
      </c>
      <c r="Q2111">
        <v>3.02</v>
      </c>
    </row>
    <row r="2112" spans="1:17" x14ac:dyDescent="0.25">
      <c r="A2112">
        <v>701</v>
      </c>
      <c r="B2112" t="s">
        <v>11119</v>
      </c>
      <c r="C2112" t="s">
        <v>11120</v>
      </c>
      <c r="D2112" t="s">
        <v>1988</v>
      </c>
      <c r="F2112">
        <v>2006</v>
      </c>
      <c r="H2112" t="s">
        <v>1878</v>
      </c>
      <c r="I2112">
        <v>2</v>
      </c>
      <c r="K2112" t="s">
        <v>14332</v>
      </c>
      <c r="M2112">
        <v>190</v>
      </c>
      <c r="O2112" t="s">
        <v>11121</v>
      </c>
      <c r="P2112">
        <v>167</v>
      </c>
      <c r="Q2112">
        <v>4.1900000000000004</v>
      </c>
    </row>
    <row r="2113" spans="1:17" x14ac:dyDescent="0.25">
      <c r="A2113">
        <v>1289</v>
      </c>
      <c r="B2113" t="s">
        <v>11122</v>
      </c>
      <c r="C2113" t="s">
        <v>11123</v>
      </c>
      <c r="D2113" t="s">
        <v>1912</v>
      </c>
      <c r="E2113" t="s">
        <v>6097</v>
      </c>
      <c r="F2113">
        <v>1997</v>
      </c>
      <c r="H2113" t="s">
        <v>2734</v>
      </c>
      <c r="I2113">
        <v>1</v>
      </c>
      <c r="K2113" t="s">
        <v>14332</v>
      </c>
      <c r="L2113" s="222">
        <v>9783442307371</v>
      </c>
      <c r="M2113">
        <v>316</v>
      </c>
      <c r="O2113" t="s">
        <v>11124</v>
      </c>
      <c r="P2113">
        <v>460</v>
      </c>
      <c r="Q2113">
        <v>4.3</v>
      </c>
    </row>
    <row r="2114" spans="1:17" x14ac:dyDescent="0.25">
      <c r="A2114">
        <v>1289</v>
      </c>
      <c r="B2114" t="s">
        <v>11122</v>
      </c>
      <c r="C2114" t="s">
        <v>11127</v>
      </c>
      <c r="D2114" t="s">
        <v>1912</v>
      </c>
      <c r="E2114" t="s">
        <v>2375</v>
      </c>
      <c r="F2114">
        <v>1998</v>
      </c>
      <c r="H2114" t="s">
        <v>2734</v>
      </c>
      <c r="I2114">
        <v>1</v>
      </c>
      <c r="K2114" t="s">
        <v>14332</v>
      </c>
      <c r="L2114" s="222">
        <v>9783442336272</v>
      </c>
      <c r="M2114">
        <v>473</v>
      </c>
      <c r="O2114" t="s">
        <v>11128</v>
      </c>
      <c r="P2114">
        <v>572</v>
      </c>
      <c r="Q2114">
        <v>3.85</v>
      </c>
    </row>
    <row r="2115" spans="1:17" x14ac:dyDescent="0.25">
      <c r="A2115">
        <v>548</v>
      </c>
      <c r="B2115" t="s">
        <v>11129</v>
      </c>
      <c r="C2115" t="s">
        <v>11130</v>
      </c>
      <c r="D2115" t="s">
        <v>9974</v>
      </c>
      <c r="F2115">
        <v>2000</v>
      </c>
      <c r="H2115" t="s">
        <v>2734</v>
      </c>
      <c r="I2115">
        <v>2</v>
      </c>
      <c r="K2115" t="s">
        <v>14332</v>
      </c>
      <c r="M2115">
        <v>254</v>
      </c>
      <c r="O2115" t="s">
        <v>11131</v>
      </c>
      <c r="P2115">
        <v>424</v>
      </c>
      <c r="Q2115">
        <v>6.54</v>
      </c>
    </row>
    <row r="2116" spans="1:17" x14ac:dyDescent="0.25">
      <c r="A2116">
        <v>2551</v>
      </c>
      <c r="B2116" t="s">
        <v>8218</v>
      </c>
      <c r="C2116" t="s">
        <v>8219</v>
      </c>
      <c r="E2116" t="s">
        <v>2375</v>
      </c>
      <c r="F2116">
        <v>2013</v>
      </c>
      <c r="H2116" t="s">
        <v>1878</v>
      </c>
      <c r="I2116">
        <v>2</v>
      </c>
      <c r="K2116" t="s">
        <v>14332</v>
      </c>
      <c r="O2116" t="s">
        <v>11132</v>
      </c>
      <c r="P2116">
        <v>543</v>
      </c>
      <c r="Q2116">
        <v>2.73</v>
      </c>
    </row>
    <row r="2117" spans="1:17" x14ac:dyDescent="0.25">
      <c r="A2117">
        <v>2851</v>
      </c>
      <c r="B2117" t="s">
        <v>11133</v>
      </c>
      <c r="C2117" t="s">
        <v>11134</v>
      </c>
      <c r="D2117" t="s">
        <v>2309</v>
      </c>
      <c r="F2117">
        <v>2013</v>
      </c>
      <c r="H2117" t="s">
        <v>2734</v>
      </c>
      <c r="I2117">
        <v>1</v>
      </c>
      <c r="K2117" t="s">
        <v>14332</v>
      </c>
      <c r="M2117">
        <v>338</v>
      </c>
      <c r="O2117" t="s">
        <v>11135</v>
      </c>
      <c r="P2117">
        <v>554</v>
      </c>
      <c r="Q2117">
        <v>2.98</v>
      </c>
    </row>
    <row r="2118" spans="1:17" x14ac:dyDescent="0.25">
      <c r="A2118">
        <v>692</v>
      </c>
      <c r="B2118" t="s">
        <v>11136</v>
      </c>
      <c r="C2118" t="s">
        <v>11137</v>
      </c>
      <c r="D2118" t="s">
        <v>2257</v>
      </c>
      <c r="F2118">
        <v>2006</v>
      </c>
      <c r="H2118" t="s">
        <v>1878</v>
      </c>
      <c r="I2118">
        <v>2</v>
      </c>
      <c r="K2118" t="s">
        <v>14332</v>
      </c>
      <c r="M2118">
        <v>288</v>
      </c>
      <c r="O2118" t="s">
        <v>11138</v>
      </c>
      <c r="P2118">
        <v>259</v>
      </c>
      <c r="Q2118">
        <v>3.88</v>
      </c>
    </row>
    <row r="2119" spans="1:17" x14ac:dyDescent="0.25">
      <c r="A2119">
        <v>1327</v>
      </c>
      <c r="B2119" t="s">
        <v>11139</v>
      </c>
      <c r="C2119" t="s">
        <v>11140</v>
      </c>
      <c r="D2119" t="s">
        <v>2257</v>
      </c>
      <c r="F2119">
        <v>2019</v>
      </c>
      <c r="H2119" t="s">
        <v>1878</v>
      </c>
      <c r="I2119">
        <v>2</v>
      </c>
      <c r="K2119" t="s">
        <v>14332</v>
      </c>
      <c r="M2119">
        <v>352</v>
      </c>
      <c r="O2119" t="s">
        <v>11141</v>
      </c>
      <c r="P2119">
        <v>280</v>
      </c>
      <c r="Q2119">
        <v>3.01</v>
      </c>
    </row>
    <row r="2120" spans="1:17" x14ac:dyDescent="0.25">
      <c r="A2120">
        <v>1809</v>
      </c>
      <c r="B2120" t="s">
        <v>11142</v>
      </c>
      <c r="C2120" t="s">
        <v>11143</v>
      </c>
      <c r="D2120" t="s">
        <v>2609</v>
      </c>
      <c r="E2120" t="s">
        <v>1899</v>
      </c>
      <c r="F2120">
        <v>2012</v>
      </c>
      <c r="H2120" t="s">
        <v>1878</v>
      </c>
      <c r="I2120">
        <v>2</v>
      </c>
      <c r="K2120" t="s">
        <v>14332</v>
      </c>
      <c r="M2120">
        <v>288</v>
      </c>
      <c r="O2120" t="s">
        <v>11144</v>
      </c>
      <c r="P2120">
        <v>254</v>
      </c>
      <c r="Q2120">
        <v>2.31</v>
      </c>
    </row>
    <row r="2121" spans="1:17" x14ac:dyDescent="0.25">
      <c r="A2121">
        <v>1327</v>
      </c>
      <c r="B2121" t="s">
        <v>11145</v>
      </c>
      <c r="C2121" t="s">
        <v>11146</v>
      </c>
      <c r="D2121" t="s">
        <v>11147</v>
      </c>
      <c r="E2121" t="s">
        <v>1877</v>
      </c>
      <c r="F2121">
        <v>1984</v>
      </c>
      <c r="H2121" t="s">
        <v>1878</v>
      </c>
      <c r="I2121">
        <v>3</v>
      </c>
      <c r="J2121" t="s">
        <v>2420</v>
      </c>
      <c r="K2121" t="s">
        <v>14332</v>
      </c>
      <c r="L2121" s="222">
        <v>9783923020034</v>
      </c>
      <c r="M2121">
        <v>288</v>
      </c>
      <c r="O2121" t="s">
        <v>11149</v>
      </c>
      <c r="P2121">
        <v>232</v>
      </c>
      <c r="Q2121">
        <v>3.44</v>
      </c>
    </row>
    <row r="2122" spans="1:17" x14ac:dyDescent="0.25">
      <c r="A2122">
        <v>1332</v>
      </c>
      <c r="B2122" t="s">
        <v>11150</v>
      </c>
      <c r="C2122" t="s">
        <v>11151</v>
      </c>
      <c r="D2122" t="s">
        <v>2257</v>
      </c>
      <c r="F2122">
        <v>2018</v>
      </c>
      <c r="H2122" t="s">
        <v>2734</v>
      </c>
      <c r="I2122">
        <v>1</v>
      </c>
      <c r="K2122" t="s">
        <v>14332</v>
      </c>
      <c r="M2122">
        <v>98</v>
      </c>
      <c r="O2122" t="s">
        <v>11152</v>
      </c>
      <c r="P2122">
        <v>300</v>
      </c>
      <c r="Q2122">
        <v>6.79</v>
      </c>
    </row>
    <row r="2123" spans="1:17" x14ac:dyDescent="0.25">
      <c r="A2123">
        <v>689</v>
      </c>
      <c r="B2123" t="s">
        <v>4034</v>
      </c>
      <c r="C2123" t="s">
        <v>11153</v>
      </c>
      <c r="D2123" t="s">
        <v>2209</v>
      </c>
      <c r="F2123">
        <v>2009</v>
      </c>
      <c r="H2123" t="s">
        <v>1878</v>
      </c>
      <c r="I2123">
        <v>3</v>
      </c>
      <c r="K2123" t="s">
        <v>14332</v>
      </c>
      <c r="M2123">
        <v>576</v>
      </c>
      <c r="O2123" t="s">
        <v>11154</v>
      </c>
      <c r="P2123">
        <v>472</v>
      </c>
      <c r="Q2123">
        <v>3.98</v>
      </c>
    </row>
    <row r="2124" spans="1:17" x14ac:dyDescent="0.25">
      <c r="A2124">
        <v>765</v>
      </c>
      <c r="B2124" t="s">
        <v>11155</v>
      </c>
      <c r="C2124" t="s">
        <v>11156</v>
      </c>
      <c r="D2124" t="s">
        <v>11157</v>
      </c>
      <c r="E2124" t="s">
        <v>2175</v>
      </c>
      <c r="F2124">
        <v>2007</v>
      </c>
      <c r="H2124" t="s">
        <v>1878</v>
      </c>
      <c r="I2124">
        <v>2</v>
      </c>
      <c r="K2124" t="s">
        <v>14332</v>
      </c>
      <c r="M2124">
        <v>320</v>
      </c>
      <c r="O2124" t="s">
        <v>11158</v>
      </c>
      <c r="P2124">
        <v>393</v>
      </c>
      <c r="Q2124">
        <v>23.25</v>
      </c>
    </row>
    <row r="2125" spans="1:17" x14ac:dyDescent="0.25">
      <c r="A2125">
        <v>689</v>
      </c>
      <c r="B2125" t="s">
        <v>11159</v>
      </c>
      <c r="C2125" t="s">
        <v>11160</v>
      </c>
      <c r="D2125" t="s">
        <v>3077</v>
      </c>
      <c r="E2125" t="s">
        <v>1913</v>
      </c>
      <c r="F2125">
        <v>2004</v>
      </c>
      <c r="H2125" t="s">
        <v>1878</v>
      </c>
      <c r="I2125">
        <v>3</v>
      </c>
      <c r="K2125" t="s">
        <v>14332</v>
      </c>
      <c r="M2125">
        <v>608</v>
      </c>
      <c r="O2125" t="s">
        <v>11161</v>
      </c>
      <c r="P2125">
        <v>627</v>
      </c>
      <c r="Q2125">
        <v>4.67</v>
      </c>
    </row>
    <row r="2126" spans="1:17" x14ac:dyDescent="0.25">
      <c r="A2126">
        <v>692</v>
      </c>
      <c r="B2126" t="s">
        <v>11162</v>
      </c>
      <c r="C2126" t="s">
        <v>11163</v>
      </c>
      <c r="D2126" t="s">
        <v>2386</v>
      </c>
      <c r="F2126">
        <v>1994</v>
      </c>
      <c r="H2126" t="s">
        <v>2734</v>
      </c>
      <c r="I2126">
        <v>2</v>
      </c>
      <c r="J2126" t="s">
        <v>9092</v>
      </c>
      <c r="K2126" t="s">
        <v>14332</v>
      </c>
      <c r="L2126" s="222">
        <v>9783785707265</v>
      </c>
      <c r="M2126">
        <v>690</v>
      </c>
      <c r="O2126" t="s">
        <v>11165</v>
      </c>
      <c r="P2126">
        <v>905</v>
      </c>
      <c r="Q2126">
        <v>2.98</v>
      </c>
    </row>
    <row r="2127" spans="1:17" x14ac:dyDescent="0.25">
      <c r="A2127">
        <v>2522</v>
      </c>
      <c r="B2127" t="s">
        <v>11166</v>
      </c>
      <c r="C2127" t="s">
        <v>11167</v>
      </c>
      <c r="D2127" t="s">
        <v>11168</v>
      </c>
      <c r="E2127" t="s">
        <v>1913</v>
      </c>
      <c r="F2127">
        <v>2007</v>
      </c>
      <c r="H2127" t="s">
        <v>2734</v>
      </c>
      <c r="I2127">
        <v>2</v>
      </c>
      <c r="J2127" t="s">
        <v>9092</v>
      </c>
      <c r="K2127" t="s">
        <v>14332</v>
      </c>
      <c r="M2127">
        <v>722</v>
      </c>
      <c r="O2127" t="s">
        <v>11169</v>
      </c>
      <c r="P2127">
        <v>750</v>
      </c>
      <c r="Q2127">
        <v>2.82</v>
      </c>
    </row>
    <row r="2128" spans="1:17" x14ac:dyDescent="0.25">
      <c r="A2128">
        <v>1913</v>
      </c>
      <c r="B2128" t="s">
        <v>11170</v>
      </c>
      <c r="C2128" t="s">
        <v>11171</v>
      </c>
      <c r="D2128" t="s">
        <v>2209</v>
      </c>
      <c r="E2128" t="s">
        <v>1921</v>
      </c>
      <c r="F2128">
        <v>2004</v>
      </c>
      <c r="H2128" t="s">
        <v>1878</v>
      </c>
      <c r="I2128">
        <v>3</v>
      </c>
      <c r="J2128" t="s">
        <v>11172</v>
      </c>
      <c r="K2128" t="s">
        <v>14332</v>
      </c>
      <c r="M2128">
        <v>384</v>
      </c>
      <c r="O2128" t="s">
        <v>11173</v>
      </c>
      <c r="P2128">
        <v>409</v>
      </c>
      <c r="Q2128">
        <v>2.66</v>
      </c>
    </row>
    <row r="2129" spans="1:17" x14ac:dyDescent="0.25">
      <c r="A2129">
        <v>1327</v>
      </c>
      <c r="B2129" t="s">
        <v>11174</v>
      </c>
      <c r="C2129" t="s">
        <v>11175</v>
      </c>
      <c r="D2129" t="s">
        <v>2054</v>
      </c>
      <c r="F2129">
        <v>2012</v>
      </c>
      <c r="H2129" t="s">
        <v>2734</v>
      </c>
      <c r="I2129">
        <v>2</v>
      </c>
      <c r="K2129" t="s">
        <v>14332</v>
      </c>
      <c r="M2129">
        <v>274</v>
      </c>
      <c r="O2129" t="s">
        <v>11176</v>
      </c>
      <c r="P2129">
        <v>342</v>
      </c>
      <c r="Q2129">
        <v>4.71</v>
      </c>
    </row>
    <row r="2130" spans="1:17" x14ac:dyDescent="0.25">
      <c r="A2130">
        <v>968</v>
      </c>
      <c r="B2130" t="s">
        <v>11177</v>
      </c>
      <c r="C2130" t="s">
        <v>11178</v>
      </c>
      <c r="D2130" t="s">
        <v>11179</v>
      </c>
      <c r="F2130">
        <v>2000</v>
      </c>
      <c r="H2130" t="s">
        <v>1878</v>
      </c>
      <c r="I2130">
        <v>2</v>
      </c>
      <c r="K2130" t="s">
        <v>14332</v>
      </c>
      <c r="M2130">
        <v>408</v>
      </c>
      <c r="O2130" t="s">
        <v>11180</v>
      </c>
      <c r="P2130">
        <v>227</v>
      </c>
      <c r="Q2130">
        <v>3.88</v>
      </c>
    </row>
    <row r="2131" spans="1:17" x14ac:dyDescent="0.25">
      <c r="A2131">
        <v>701</v>
      </c>
      <c r="B2131" t="s">
        <v>7779</v>
      </c>
      <c r="C2131" t="s">
        <v>11181</v>
      </c>
      <c r="D2131" t="s">
        <v>2054</v>
      </c>
      <c r="E2131" t="s">
        <v>2032</v>
      </c>
      <c r="F2131">
        <v>2000</v>
      </c>
      <c r="H2131" t="s">
        <v>2734</v>
      </c>
      <c r="I2131">
        <v>2</v>
      </c>
      <c r="J2131" t="s">
        <v>14494</v>
      </c>
      <c r="K2131" t="s">
        <v>14332</v>
      </c>
      <c r="L2131" s="222">
        <v>9783485006682</v>
      </c>
      <c r="M2131">
        <v>242</v>
      </c>
      <c r="O2131" t="s">
        <v>11184</v>
      </c>
      <c r="P2131">
        <v>362</v>
      </c>
      <c r="Q2131">
        <v>2.78</v>
      </c>
    </row>
    <row r="2132" spans="1:17" x14ac:dyDescent="0.25">
      <c r="A2132">
        <v>1904</v>
      </c>
      <c r="B2132" t="s">
        <v>11185</v>
      </c>
      <c r="C2132" t="s">
        <v>11186</v>
      </c>
      <c r="D2132" t="s">
        <v>5005</v>
      </c>
      <c r="F2132">
        <v>1987</v>
      </c>
      <c r="H2132" t="s">
        <v>2734</v>
      </c>
      <c r="I2132">
        <v>2</v>
      </c>
      <c r="K2132" t="s">
        <v>14332</v>
      </c>
      <c r="M2132">
        <v>482</v>
      </c>
      <c r="O2132" t="s">
        <v>11187</v>
      </c>
      <c r="P2132">
        <v>678</v>
      </c>
      <c r="Q2132">
        <v>2.19</v>
      </c>
    </row>
    <row r="2133" spans="1:17" x14ac:dyDescent="0.25">
      <c r="A2133">
        <v>1327</v>
      </c>
      <c r="B2133" t="s">
        <v>11190</v>
      </c>
      <c r="C2133" t="s">
        <v>11191</v>
      </c>
      <c r="D2133" t="s">
        <v>1912</v>
      </c>
      <c r="F2133">
        <v>2005</v>
      </c>
      <c r="H2133" t="s">
        <v>1878</v>
      </c>
      <c r="I2133">
        <v>3</v>
      </c>
      <c r="K2133" t="s">
        <v>14332</v>
      </c>
      <c r="M2133">
        <v>480</v>
      </c>
      <c r="O2133" t="s">
        <v>11192</v>
      </c>
      <c r="P2133">
        <v>402</v>
      </c>
      <c r="Q2133">
        <v>2.9</v>
      </c>
    </row>
    <row r="2134" spans="1:17" x14ac:dyDescent="0.25">
      <c r="A2134">
        <v>1327</v>
      </c>
      <c r="B2134" t="s">
        <v>11193</v>
      </c>
      <c r="C2134" t="s">
        <v>11194</v>
      </c>
      <c r="D2134" t="s">
        <v>1912</v>
      </c>
      <c r="E2134" t="s">
        <v>1921</v>
      </c>
      <c r="F2134">
        <v>1996</v>
      </c>
      <c r="H2134" t="s">
        <v>1878</v>
      </c>
      <c r="I2134">
        <v>2</v>
      </c>
      <c r="J2134" t="s">
        <v>11195</v>
      </c>
      <c r="K2134" t="s">
        <v>14332</v>
      </c>
      <c r="M2134">
        <v>224</v>
      </c>
      <c r="O2134" t="s">
        <v>11196</v>
      </c>
      <c r="P2134">
        <v>223</v>
      </c>
      <c r="Q2134">
        <v>3.88</v>
      </c>
    </row>
    <row r="2135" spans="1:17" x14ac:dyDescent="0.25">
      <c r="A2135">
        <v>1327</v>
      </c>
      <c r="B2135" t="s">
        <v>939</v>
      </c>
      <c r="C2135" t="s">
        <v>11197</v>
      </c>
      <c r="D2135" t="s">
        <v>2530</v>
      </c>
      <c r="F2135">
        <v>1989</v>
      </c>
      <c r="H2135" t="s">
        <v>2734</v>
      </c>
      <c r="I2135" s="305">
        <v>43892</v>
      </c>
      <c r="J2135" t="s">
        <v>11198</v>
      </c>
      <c r="K2135" t="s">
        <v>14332</v>
      </c>
      <c r="L2135" s="222">
        <v>9783789122309</v>
      </c>
      <c r="M2135">
        <v>274</v>
      </c>
      <c r="O2135" t="s">
        <v>11200</v>
      </c>
      <c r="P2135">
        <v>414</v>
      </c>
      <c r="Q2135">
        <v>6.79</v>
      </c>
    </row>
    <row r="2136" spans="1:17" x14ac:dyDescent="0.25">
      <c r="A2136">
        <v>1396</v>
      </c>
      <c r="B2136" t="s">
        <v>4792</v>
      </c>
      <c r="C2136" t="s">
        <v>4793</v>
      </c>
      <c r="D2136" t="s">
        <v>2054</v>
      </c>
      <c r="F2136">
        <v>2002</v>
      </c>
      <c r="H2136" t="s">
        <v>2734</v>
      </c>
      <c r="I2136">
        <v>2</v>
      </c>
      <c r="K2136" t="s">
        <v>14332</v>
      </c>
      <c r="M2136">
        <v>546</v>
      </c>
      <c r="O2136" t="s">
        <v>11201</v>
      </c>
      <c r="P2136">
        <v>616</v>
      </c>
      <c r="Q2136">
        <v>2.46</v>
      </c>
    </row>
    <row r="2137" spans="1:17" x14ac:dyDescent="0.25">
      <c r="A2137">
        <v>1386</v>
      </c>
      <c r="B2137" t="s">
        <v>11202</v>
      </c>
      <c r="C2137" t="s">
        <v>11203</v>
      </c>
      <c r="D2137" t="s">
        <v>2209</v>
      </c>
      <c r="F2137">
        <v>2010</v>
      </c>
      <c r="H2137" t="s">
        <v>1878</v>
      </c>
      <c r="I2137">
        <v>3</v>
      </c>
      <c r="K2137" t="s">
        <v>14332</v>
      </c>
      <c r="M2137">
        <v>416</v>
      </c>
      <c r="O2137" t="s">
        <v>11204</v>
      </c>
      <c r="P2137">
        <v>361</v>
      </c>
      <c r="Q2137">
        <v>3.69</v>
      </c>
    </row>
    <row r="2138" spans="1:17" x14ac:dyDescent="0.25">
      <c r="A2138">
        <v>701</v>
      </c>
      <c r="B2138" t="s">
        <v>11205</v>
      </c>
      <c r="C2138" t="s">
        <v>11206</v>
      </c>
      <c r="D2138" t="s">
        <v>1988</v>
      </c>
      <c r="E2138" t="s">
        <v>11207</v>
      </c>
      <c r="F2138">
        <v>1998</v>
      </c>
      <c r="H2138" t="s">
        <v>1878</v>
      </c>
      <c r="I2138">
        <v>2</v>
      </c>
      <c r="K2138" t="s">
        <v>14332</v>
      </c>
      <c r="M2138">
        <v>368</v>
      </c>
      <c r="O2138" t="s">
        <v>11208</v>
      </c>
      <c r="P2138">
        <v>271</v>
      </c>
      <c r="Q2138">
        <v>3.69</v>
      </c>
    </row>
    <row r="2139" spans="1:17" x14ac:dyDescent="0.25">
      <c r="A2139">
        <v>701</v>
      </c>
      <c r="B2139" t="s">
        <v>11209</v>
      </c>
      <c r="C2139" t="s">
        <v>11210</v>
      </c>
      <c r="D2139" t="s">
        <v>2300</v>
      </c>
      <c r="F2139">
        <v>2009</v>
      </c>
      <c r="H2139" t="s">
        <v>1878</v>
      </c>
      <c r="I2139">
        <v>2</v>
      </c>
      <c r="K2139" t="s">
        <v>14332</v>
      </c>
      <c r="M2139">
        <v>192</v>
      </c>
      <c r="O2139" t="s">
        <v>11211</v>
      </c>
      <c r="P2139">
        <v>198</v>
      </c>
      <c r="Q2139">
        <v>2.91</v>
      </c>
    </row>
    <row r="2140" spans="1:17" x14ac:dyDescent="0.25">
      <c r="A2140">
        <v>2952</v>
      </c>
      <c r="B2140" t="s">
        <v>11212</v>
      </c>
      <c r="C2140" t="s">
        <v>11213</v>
      </c>
      <c r="D2140" t="s">
        <v>1920</v>
      </c>
      <c r="F2140">
        <v>2011</v>
      </c>
      <c r="H2140" t="s">
        <v>1878</v>
      </c>
      <c r="I2140">
        <v>3</v>
      </c>
      <c r="K2140" t="s">
        <v>14332</v>
      </c>
      <c r="M2140">
        <v>574</v>
      </c>
      <c r="O2140" t="s">
        <v>11214</v>
      </c>
      <c r="P2140">
        <v>473</v>
      </c>
      <c r="Q2140">
        <v>3.58</v>
      </c>
    </row>
    <row r="2141" spans="1:17" x14ac:dyDescent="0.25">
      <c r="A2141">
        <v>691</v>
      </c>
      <c r="B2141" t="s">
        <v>11215</v>
      </c>
      <c r="C2141" t="s">
        <v>11216</v>
      </c>
      <c r="D2141" t="s">
        <v>11217</v>
      </c>
      <c r="F2141">
        <v>1996</v>
      </c>
      <c r="H2141" t="s">
        <v>2734</v>
      </c>
      <c r="I2141">
        <v>2</v>
      </c>
      <c r="K2141" t="s">
        <v>14332</v>
      </c>
      <c r="M2141">
        <v>242</v>
      </c>
      <c r="O2141" t="s">
        <v>11218</v>
      </c>
      <c r="P2141">
        <v>380</v>
      </c>
      <c r="Q2141">
        <v>3.79</v>
      </c>
    </row>
    <row r="2142" spans="1:17" x14ac:dyDescent="0.25">
      <c r="A2142">
        <v>1913</v>
      </c>
      <c r="B2142" t="s">
        <v>11219</v>
      </c>
      <c r="C2142" t="s">
        <v>11220</v>
      </c>
      <c r="D2142" t="s">
        <v>11221</v>
      </c>
      <c r="F2142">
        <v>2006</v>
      </c>
      <c r="H2142" t="s">
        <v>2734</v>
      </c>
      <c r="I2142">
        <v>2</v>
      </c>
      <c r="K2142" t="s">
        <v>14332</v>
      </c>
      <c r="M2142">
        <v>322</v>
      </c>
      <c r="O2142" t="s">
        <v>11222</v>
      </c>
      <c r="P2142">
        <v>461</v>
      </c>
      <c r="Q2142">
        <v>3.1</v>
      </c>
    </row>
    <row r="2143" spans="1:17" x14ac:dyDescent="0.25">
      <c r="A2143">
        <v>632</v>
      </c>
      <c r="B2143" t="s">
        <v>3832</v>
      </c>
      <c r="C2143" t="s">
        <v>9104</v>
      </c>
      <c r="D2143" t="s">
        <v>2386</v>
      </c>
      <c r="F2143">
        <v>2008</v>
      </c>
      <c r="H2143" t="s">
        <v>2734</v>
      </c>
      <c r="I2143">
        <v>2</v>
      </c>
      <c r="K2143" t="s">
        <v>14332</v>
      </c>
      <c r="M2143">
        <v>1298</v>
      </c>
      <c r="O2143" t="s">
        <v>11223</v>
      </c>
      <c r="P2143">
        <v>1325</v>
      </c>
      <c r="Q2143">
        <v>3.03</v>
      </c>
    </row>
    <row r="2144" spans="1:17" x14ac:dyDescent="0.25">
      <c r="A2144">
        <v>689</v>
      </c>
      <c r="B2144" t="s">
        <v>11224</v>
      </c>
      <c r="C2144" t="s">
        <v>11225</v>
      </c>
      <c r="D2144" t="s">
        <v>11226</v>
      </c>
      <c r="E2144" t="s">
        <v>1913</v>
      </c>
      <c r="F2144">
        <v>2000</v>
      </c>
      <c r="H2144" t="s">
        <v>1878</v>
      </c>
      <c r="I2144">
        <v>2</v>
      </c>
      <c r="K2144" t="s">
        <v>14332</v>
      </c>
      <c r="M2144">
        <v>260</v>
      </c>
      <c r="O2144" t="s">
        <v>11227</v>
      </c>
      <c r="P2144">
        <v>314</v>
      </c>
      <c r="Q2144">
        <v>2.4</v>
      </c>
    </row>
    <row r="2145" spans="1:17" x14ac:dyDescent="0.25">
      <c r="A2145">
        <v>632</v>
      </c>
      <c r="B2145" t="s">
        <v>11228</v>
      </c>
      <c r="C2145" t="s">
        <v>11229</v>
      </c>
      <c r="D2145" t="s">
        <v>2257</v>
      </c>
      <c r="F2145">
        <v>2003</v>
      </c>
      <c r="H2145" t="s">
        <v>1878</v>
      </c>
      <c r="I2145">
        <v>2</v>
      </c>
      <c r="K2145" t="s">
        <v>14332</v>
      </c>
      <c r="M2145">
        <v>496</v>
      </c>
      <c r="O2145" t="s">
        <v>11230</v>
      </c>
      <c r="P2145">
        <v>492</v>
      </c>
      <c r="Q2145">
        <v>3.98</v>
      </c>
    </row>
    <row r="2146" spans="1:17" x14ac:dyDescent="0.25">
      <c r="A2146">
        <v>689</v>
      </c>
      <c r="B2146" t="s">
        <v>11231</v>
      </c>
      <c r="C2146" t="s">
        <v>11232</v>
      </c>
      <c r="D2146" t="s">
        <v>1912</v>
      </c>
      <c r="F2146">
        <v>1997</v>
      </c>
      <c r="H2146" t="s">
        <v>1878</v>
      </c>
      <c r="I2146">
        <v>2</v>
      </c>
      <c r="K2146" t="s">
        <v>14332</v>
      </c>
      <c r="M2146">
        <v>672</v>
      </c>
      <c r="O2146" t="s">
        <v>11233</v>
      </c>
      <c r="P2146">
        <v>709</v>
      </c>
      <c r="Q2146">
        <v>5.58</v>
      </c>
    </row>
    <row r="2147" spans="1:17" x14ac:dyDescent="0.25">
      <c r="A2147">
        <v>631</v>
      </c>
      <c r="B2147" t="s">
        <v>11234</v>
      </c>
      <c r="C2147" t="s">
        <v>11235</v>
      </c>
      <c r="D2147" t="s">
        <v>1920</v>
      </c>
      <c r="F2147">
        <v>2014</v>
      </c>
      <c r="H2147" t="s">
        <v>1878</v>
      </c>
      <c r="I2147">
        <v>2</v>
      </c>
      <c r="K2147" t="s">
        <v>14332</v>
      </c>
      <c r="M2147">
        <v>400</v>
      </c>
      <c r="O2147" t="s">
        <v>11236</v>
      </c>
      <c r="P2147">
        <v>393</v>
      </c>
      <c r="Q2147">
        <v>3.78</v>
      </c>
    </row>
    <row r="2148" spans="1:17" x14ac:dyDescent="0.25">
      <c r="A2148">
        <v>1327</v>
      </c>
      <c r="B2148" t="s">
        <v>11237</v>
      </c>
      <c r="C2148" t="s">
        <v>11238</v>
      </c>
      <c r="D2148" t="s">
        <v>2232</v>
      </c>
      <c r="E2148" t="s">
        <v>1913</v>
      </c>
      <c r="F2148">
        <v>2000</v>
      </c>
      <c r="H2148" t="s">
        <v>1878</v>
      </c>
      <c r="I2148">
        <v>2</v>
      </c>
      <c r="K2148" t="s">
        <v>14332</v>
      </c>
      <c r="M2148">
        <v>768</v>
      </c>
      <c r="O2148" t="s">
        <v>11239</v>
      </c>
      <c r="P2148">
        <v>647</v>
      </c>
      <c r="Q2148">
        <v>3.55</v>
      </c>
    </row>
    <row r="2149" spans="1:17" x14ac:dyDescent="0.25">
      <c r="A2149">
        <v>765</v>
      </c>
      <c r="B2149" t="s">
        <v>11240</v>
      </c>
      <c r="C2149" t="s">
        <v>11241</v>
      </c>
      <c r="D2149" t="s">
        <v>2609</v>
      </c>
      <c r="F2149">
        <v>2010</v>
      </c>
      <c r="H2149" t="s">
        <v>1878</v>
      </c>
      <c r="I2149">
        <v>2</v>
      </c>
      <c r="K2149" t="s">
        <v>14332</v>
      </c>
      <c r="M2149">
        <v>368</v>
      </c>
      <c r="O2149" t="s">
        <v>11242</v>
      </c>
      <c r="P2149">
        <v>288</v>
      </c>
      <c r="Q2149">
        <v>3.22</v>
      </c>
    </row>
    <row r="2150" spans="1:17" x14ac:dyDescent="0.25">
      <c r="A2150">
        <v>632</v>
      </c>
      <c r="B2150" t="s">
        <v>11243</v>
      </c>
      <c r="C2150" t="s">
        <v>4603</v>
      </c>
      <c r="D2150" t="s">
        <v>2609</v>
      </c>
      <c r="F2150">
        <v>2009</v>
      </c>
      <c r="H2150" t="s">
        <v>1878</v>
      </c>
      <c r="I2150">
        <v>3</v>
      </c>
      <c r="K2150" t="s">
        <v>14332</v>
      </c>
      <c r="M2150">
        <v>656</v>
      </c>
      <c r="O2150" t="s">
        <v>11244</v>
      </c>
      <c r="P2150">
        <v>561</v>
      </c>
      <c r="Q2150">
        <v>2.86</v>
      </c>
    </row>
    <row r="2151" spans="1:17" x14ac:dyDescent="0.25">
      <c r="A2151">
        <v>944</v>
      </c>
      <c r="B2151" t="s">
        <v>11245</v>
      </c>
      <c r="C2151" t="s">
        <v>11246</v>
      </c>
      <c r="D2151" t="s">
        <v>2054</v>
      </c>
      <c r="F2151">
        <v>2001</v>
      </c>
      <c r="H2151" t="s">
        <v>2734</v>
      </c>
      <c r="I2151">
        <v>2</v>
      </c>
      <c r="K2151" t="s">
        <v>14332</v>
      </c>
      <c r="M2151">
        <v>274</v>
      </c>
      <c r="O2151" t="s">
        <v>11247</v>
      </c>
      <c r="P2151">
        <v>440</v>
      </c>
      <c r="Q2151">
        <v>2.86</v>
      </c>
    </row>
    <row r="2152" spans="1:17" x14ac:dyDescent="0.25">
      <c r="A2152">
        <v>1358</v>
      </c>
      <c r="B2152" t="s">
        <v>11248</v>
      </c>
      <c r="C2152" t="s">
        <v>11249</v>
      </c>
      <c r="D2152" t="s">
        <v>1912</v>
      </c>
      <c r="E2152" t="s">
        <v>1913</v>
      </c>
      <c r="F2152">
        <v>2016</v>
      </c>
      <c r="H2152" t="s">
        <v>1878</v>
      </c>
      <c r="I2152">
        <v>2</v>
      </c>
      <c r="K2152" t="s">
        <v>14332</v>
      </c>
      <c r="M2152">
        <v>320</v>
      </c>
      <c r="O2152" t="s">
        <v>11250</v>
      </c>
      <c r="P2152">
        <v>263</v>
      </c>
      <c r="Q2152">
        <v>3.28</v>
      </c>
    </row>
    <row r="2153" spans="1:17" x14ac:dyDescent="0.25">
      <c r="A2153">
        <v>2522</v>
      </c>
      <c r="B2153" t="s">
        <v>11251</v>
      </c>
      <c r="C2153" t="s">
        <v>11252</v>
      </c>
      <c r="D2153" t="s">
        <v>1886</v>
      </c>
      <c r="F2153">
        <v>2001</v>
      </c>
      <c r="H2153" t="s">
        <v>1878</v>
      </c>
      <c r="I2153">
        <v>3</v>
      </c>
      <c r="K2153" t="s">
        <v>14332</v>
      </c>
      <c r="M2153">
        <v>288</v>
      </c>
      <c r="O2153" t="s">
        <v>11253</v>
      </c>
      <c r="P2153">
        <v>265</v>
      </c>
      <c r="Q2153">
        <v>3.78</v>
      </c>
    </row>
    <row r="2154" spans="1:17" x14ac:dyDescent="0.25">
      <c r="A2154">
        <v>2522</v>
      </c>
      <c r="B2154" t="s">
        <v>11254</v>
      </c>
      <c r="C2154" t="s">
        <v>11255</v>
      </c>
      <c r="D2154" t="s">
        <v>1912</v>
      </c>
      <c r="E2154" t="s">
        <v>1877</v>
      </c>
      <c r="F2154">
        <v>2011</v>
      </c>
      <c r="H2154" t="s">
        <v>1878</v>
      </c>
      <c r="I2154">
        <v>3</v>
      </c>
      <c r="K2154" t="s">
        <v>14332</v>
      </c>
      <c r="M2154">
        <v>416</v>
      </c>
      <c r="O2154" t="s">
        <v>11256</v>
      </c>
      <c r="P2154">
        <v>336</v>
      </c>
      <c r="Q2154">
        <v>4.79</v>
      </c>
    </row>
    <row r="2155" spans="1:17" x14ac:dyDescent="0.25">
      <c r="A2155">
        <v>1396</v>
      </c>
      <c r="B2155" t="s">
        <v>4071</v>
      </c>
      <c r="C2155" t="s">
        <v>11257</v>
      </c>
      <c r="D2155" t="s">
        <v>5005</v>
      </c>
      <c r="F2155">
        <v>2008</v>
      </c>
      <c r="H2155" t="s">
        <v>2734</v>
      </c>
      <c r="I2155">
        <v>2</v>
      </c>
      <c r="K2155" t="s">
        <v>14332</v>
      </c>
      <c r="M2155">
        <v>674</v>
      </c>
      <c r="O2155" t="s">
        <v>11258</v>
      </c>
      <c r="P2155">
        <v>804</v>
      </c>
      <c r="Q2155">
        <v>3.88</v>
      </c>
    </row>
    <row r="2156" spans="1:17" x14ac:dyDescent="0.25">
      <c r="A2156">
        <v>643</v>
      </c>
      <c r="B2156" t="s">
        <v>11259</v>
      </c>
      <c r="C2156" t="s">
        <v>11260</v>
      </c>
      <c r="D2156" t="s">
        <v>5005</v>
      </c>
      <c r="F2156">
        <v>1993</v>
      </c>
      <c r="H2156" t="s">
        <v>2734</v>
      </c>
      <c r="I2156">
        <v>2</v>
      </c>
      <c r="K2156" t="s">
        <v>14332</v>
      </c>
      <c r="M2156">
        <v>190</v>
      </c>
      <c r="O2156" t="s">
        <v>11261</v>
      </c>
      <c r="P2156">
        <v>301</v>
      </c>
      <c r="Q2156">
        <v>2.29</v>
      </c>
    </row>
    <row r="2157" spans="1:17" x14ac:dyDescent="0.25">
      <c r="A2157">
        <v>1327</v>
      </c>
      <c r="B2157" t="s">
        <v>11262</v>
      </c>
      <c r="C2157" t="s">
        <v>11263</v>
      </c>
      <c r="D2157" t="s">
        <v>11264</v>
      </c>
      <c r="F2157">
        <v>2002</v>
      </c>
      <c r="H2157" t="s">
        <v>1878</v>
      </c>
      <c r="I2157">
        <v>2</v>
      </c>
      <c r="J2157" t="s">
        <v>9092</v>
      </c>
      <c r="K2157" t="s">
        <v>14332</v>
      </c>
      <c r="M2157">
        <v>480</v>
      </c>
      <c r="O2157" t="s">
        <v>11265</v>
      </c>
      <c r="P2157">
        <v>487</v>
      </c>
      <c r="Q2157">
        <v>4.5199999999999996</v>
      </c>
    </row>
    <row r="2158" spans="1:17" x14ac:dyDescent="0.25">
      <c r="A2158">
        <v>2522</v>
      </c>
      <c r="B2158" t="s">
        <v>11266</v>
      </c>
      <c r="C2158" t="s">
        <v>11267</v>
      </c>
      <c r="D2158" t="s">
        <v>2609</v>
      </c>
      <c r="F2158">
        <v>2009</v>
      </c>
      <c r="H2158" t="s">
        <v>1878</v>
      </c>
      <c r="I2158">
        <v>2</v>
      </c>
      <c r="K2158" t="s">
        <v>14332</v>
      </c>
      <c r="M2158">
        <v>480</v>
      </c>
      <c r="O2158" t="s">
        <v>11268</v>
      </c>
      <c r="P2158">
        <v>469</v>
      </c>
      <c r="Q2158">
        <v>4.74</v>
      </c>
    </row>
    <row r="2159" spans="1:17" x14ac:dyDescent="0.25">
      <c r="A2159">
        <v>1327</v>
      </c>
      <c r="B2159" t="s">
        <v>7258</v>
      </c>
      <c r="C2159" t="s">
        <v>11269</v>
      </c>
      <c r="D2159" t="s">
        <v>2257</v>
      </c>
      <c r="F2159">
        <v>1995</v>
      </c>
      <c r="H2159" t="s">
        <v>1878</v>
      </c>
      <c r="I2159">
        <v>3</v>
      </c>
      <c r="K2159" t="s">
        <v>14332</v>
      </c>
      <c r="M2159">
        <v>720</v>
      </c>
      <c r="O2159" t="s">
        <v>11270</v>
      </c>
      <c r="P2159">
        <v>434</v>
      </c>
      <c r="Q2159">
        <v>1.96</v>
      </c>
    </row>
    <row r="2160" spans="1:17" x14ac:dyDescent="0.25">
      <c r="A2160">
        <v>1396</v>
      </c>
      <c r="B2160" t="s">
        <v>11271</v>
      </c>
      <c r="C2160" t="s">
        <v>11272</v>
      </c>
      <c r="D2160" t="s">
        <v>2054</v>
      </c>
      <c r="F2160">
        <v>1991</v>
      </c>
      <c r="H2160" t="s">
        <v>2734</v>
      </c>
      <c r="I2160">
        <v>2</v>
      </c>
      <c r="K2160" t="s">
        <v>14332</v>
      </c>
      <c r="M2160">
        <v>314</v>
      </c>
      <c r="O2160" t="s">
        <v>11273</v>
      </c>
      <c r="P2160">
        <v>385</v>
      </c>
      <c r="Q2160">
        <v>3.79</v>
      </c>
    </row>
    <row r="2161" spans="1:17" x14ac:dyDescent="0.25">
      <c r="A2161">
        <v>692</v>
      </c>
      <c r="B2161" t="s">
        <v>11274</v>
      </c>
      <c r="C2161" t="s">
        <v>11275</v>
      </c>
      <c r="D2161" t="s">
        <v>11115</v>
      </c>
      <c r="E2161" t="s">
        <v>1877</v>
      </c>
      <c r="F2161">
        <v>2019</v>
      </c>
      <c r="H2161" t="s">
        <v>1878</v>
      </c>
      <c r="I2161">
        <v>2</v>
      </c>
      <c r="K2161" t="s">
        <v>14332</v>
      </c>
      <c r="M2161">
        <v>315</v>
      </c>
      <c r="O2161" t="s">
        <v>11276</v>
      </c>
      <c r="P2161">
        <v>297</v>
      </c>
      <c r="Q2161">
        <v>2.94</v>
      </c>
    </row>
    <row r="2162" spans="1:17" x14ac:dyDescent="0.25">
      <c r="A2162">
        <v>1231</v>
      </c>
      <c r="B2162" t="s">
        <v>11277</v>
      </c>
      <c r="C2162" t="s">
        <v>11278</v>
      </c>
      <c r="D2162" t="s">
        <v>10980</v>
      </c>
      <c r="E2162" t="s">
        <v>1913</v>
      </c>
      <c r="F2162">
        <v>1992</v>
      </c>
      <c r="H2162" t="s">
        <v>1878</v>
      </c>
      <c r="I2162">
        <v>2</v>
      </c>
      <c r="J2162" t="s">
        <v>8473</v>
      </c>
      <c r="K2162" t="s">
        <v>14332</v>
      </c>
      <c r="L2162" s="222">
        <v>9783630867915</v>
      </c>
      <c r="M2162">
        <v>332</v>
      </c>
      <c r="O2162" t="s">
        <v>11280</v>
      </c>
      <c r="P2162">
        <v>333</v>
      </c>
      <c r="Q2162">
        <v>2.68</v>
      </c>
    </row>
    <row r="2163" spans="1:17" x14ac:dyDescent="0.25">
      <c r="A2163">
        <v>692</v>
      </c>
      <c r="B2163" t="s">
        <v>11281</v>
      </c>
      <c r="C2163" t="s">
        <v>11282</v>
      </c>
      <c r="D2163" t="s">
        <v>2309</v>
      </c>
      <c r="E2163" t="s">
        <v>1913</v>
      </c>
      <c r="F2163">
        <v>2019</v>
      </c>
      <c r="H2163" t="s">
        <v>1878</v>
      </c>
      <c r="I2163">
        <v>2</v>
      </c>
      <c r="K2163" t="s">
        <v>14332</v>
      </c>
      <c r="M2163">
        <v>681</v>
      </c>
      <c r="O2163" t="s">
        <v>11283</v>
      </c>
      <c r="P2163">
        <v>456</v>
      </c>
      <c r="Q2163">
        <v>3.87</v>
      </c>
    </row>
    <row r="2164" spans="1:17" x14ac:dyDescent="0.25">
      <c r="A2164">
        <v>796</v>
      </c>
      <c r="B2164" t="s">
        <v>11284</v>
      </c>
      <c r="C2164" t="s">
        <v>11285</v>
      </c>
      <c r="D2164" t="s">
        <v>2257</v>
      </c>
      <c r="F2164">
        <v>2016</v>
      </c>
      <c r="H2164" t="s">
        <v>1878</v>
      </c>
      <c r="I2164">
        <v>2</v>
      </c>
      <c r="K2164" t="s">
        <v>14332</v>
      </c>
      <c r="M2164">
        <v>238</v>
      </c>
      <c r="O2164" t="s">
        <v>11286</v>
      </c>
      <c r="P2164">
        <v>229</v>
      </c>
      <c r="Q2164">
        <v>3.7</v>
      </c>
    </row>
    <row r="2165" spans="1:17" x14ac:dyDescent="0.25">
      <c r="A2165">
        <v>1386</v>
      </c>
      <c r="B2165" t="s">
        <v>9334</v>
      </c>
      <c r="C2165" t="s">
        <v>11305</v>
      </c>
      <c r="D2165" t="s">
        <v>9974</v>
      </c>
      <c r="F2165">
        <v>2000</v>
      </c>
      <c r="H2165" t="s">
        <v>1878</v>
      </c>
      <c r="I2165" s="305">
        <v>43892</v>
      </c>
      <c r="K2165" t="s">
        <v>14332</v>
      </c>
      <c r="M2165">
        <v>717</v>
      </c>
      <c r="O2165" t="s">
        <v>11288</v>
      </c>
      <c r="P2165">
        <v>516</v>
      </c>
      <c r="Q2165">
        <v>2.94</v>
      </c>
    </row>
    <row r="2166" spans="1:17" x14ac:dyDescent="0.25">
      <c r="A2166">
        <v>16</v>
      </c>
      <c r="B2166" t="s">
        <v>11142</v>
      </c>
      <c r="C2166" t="s">
        <v>11289</v>
      </c>
      <c r="D2166" t="s">
        <v>2609</v>
      </c>
      <c r="E2166" t="s">
        <v>2518</v>
      </c>
      <c r="F2166">
        <v>2012</v>
      </c>
      <c r="H2166" t="s">
        <v>1878</v>
      </c>
      <c r="I2166">
        <v>2</v>
      </c>
      <c r="K2166" t="s">
        <v>14332</v>
      </c>
      <c r="M2166">
        <v>205</v>
      </c>
      <c r="O2166" t="s">
        <v>11290</v>
      </c>
      <c r="P2166">
        <v>189</v>
      </c>
      <c r="Q2166">
        <v>3.13</v>
      </c>
    </row>
    <row r="2167" spans="1:17" x14ac:dyDescent="0.25">
      <c r="A2167">
        <v>692</v>
      </c>
      <c r="B2167" t="s">
        <v>2361</v>
      </c>
      <c r="C2167" t="s">
        <v>11291</v>
      </c>
      <c r="D2167" t="s">
        <v>1920</v>
      </c>
      <c r="F2167">
        <v>2007</v>
      </c>
      <c r="H2167" t="s">
        <v>1878</v>
      </c>
      <c r="I2167" s="305">
        <v>43892</v>
      </c>
      <c r="K2167" t="s">
        <v>14332</v>
      </c>
      <c r="M2167">
        <v>301</v>
      </c>
      <c r="O2167" t="s">
        <v>11292</v>
      </c>
      <c r="P2167">
        <v>267</v>
      </c>
      <c r="Q2167">
        <v>1.68</v>
      </c>
    </row>
    <row r="2168" spans="1:17" x14ac:dyDescent="0.25">
      <c r="A2168">
        <v>692</v>
      </c>
      <c r="B2168" t="s">
        <v>9813</v>
      </c>
      <c r="C2168" t="s">
        <v>14495</v>
      </c>
      <c r="D2168" t="s">
        <v>2054</v>
      </c>
      <c r="F2168">
        <v>2004</v>
      </c>
      <c r="H2168" t="s">
        <v>2734</v>
      </c>
      <c r="I2168" s="305">
        <v>43892</v>
      </c>
      <c r="J2168" t="s">
        <v>11294</v>
      </c>
      <c r="K2168" t="s">
        <v>14332</v>
      </c>
      <c r="M2168">
        <v>431</v>
      </c>
      <c r="O2168" t="s">
        <v>11295</v>
      </c>
      <c r="P2168">
        <v>625</v>
      </c>
      <c r="Q2168">
        <v>3.12</v>
      </c>
    </row>
    <row r="2169" spans="1:17" x14ac:dyDescent="0.25">
      <c r="A2169">
        <v>1386</v>
      </c>
      <c r="B2169" t="s">
        <v>11296</v>
      </c>
      <c r="C2169" t="s">
        <v>11297</v>
      </c>
      <c r="D2169" t="s">
        <v>11298</v>
      </c>
      <c r="F2169">
        <v>2016</v>
      </c>
      <c r="H2169" t="s">
        <v>1878</v>
      </c>
      <c r="I2169">
        <v>2</v>
      </c>
      <c r="K2169" t="s">
        <v>14332</v>
      </c>
      <c r="M2169">
        <v>335</v>
      </c>
      <c r="O2169" t="s">
        <v>11299</v>
      </c>
      <c r="P2169">
        <v>332</v>
      </c>
      <c r="Q2169">
        <v>6.29</v>
      </c>
    </row>
    <row r="2170" spans="1:17" x14ac:dyDescent="0.25">
      <c r="A2170">
        <v>689</v>
      </c>
      <c r="B2170" t="s">
        <v>11300</v>
      </c>
      <c r="C2170" t="s">
        <v>11301</v>
      </c>
      <c r="D2170" t="s">
        <v>3077</v>
      </c>
      <c r="E2170" t="s">
        <v>1913</v>
      </c>
      <c r="F2170">
        <v>2007</v>
      </c>
      <c r="H2170" t="s">
        <v>1878</v>
      </c>
      <c r="I2170">
        <v>3</v>
      </c>
      <c r="K2170" t="s">
        <v>14332</v>
      </c>
      <c r="M2170">
        <v>636</v>
      </c>
      <c r="O2170" t="s">
        <v>11302</v>
      </c>
      <c r="P2170">
        <v>501</v>
      </c>
      <c r="Q2170">
        <v>3.13</v>
      </c>
    </row>
    <row r="2171" spans="1:17" x14ac:dyDescent="0.25">
      <c r="A2171">
        <v>763</v>
      </c>
      <c r="B2171" t="s">
        <v>11495</v>
      </c>
      <c r="C2171" t="s">
        <v>11496</v>
      </c>
      <c r="D2171" t="s">
        <v>7924</v>
      </c>
      <c r="E2171" t="s">
        <v>2175</v>
      </c>
      <c r="F2171">
        <v>2012</v>
      </c>
      <c r="H2171" t="s">
        <v>2734</v>
      </c>
      <c r="I2171">
        <v>1</v>
      </c>
      <c r="K2171" t="s">
        <v>14332</v>
      </c>
      <c r="M2171">
        <v>159</v>
      </c>
      <c r="O2171" t="s">
        <v>11497</v>
      </c>
      <c r="P2171">
        <v>363</v>
      </c>
      <c r="Q2171">
        <v>12.09</v>
      </c>
    </row>
    <row r="2172" spans="1:17" x14ac:dyDescent="0.25">
      <c r="A2172">
        <v>689</v>
      </c>
      <c r="B2172" t="s">
        <v>11498</v>
      </c>
      <c r="C2172" t="s">
        <v>11499</v>
      </c>
      <c r="D2172" t="s">
        <v>9974</v>
      </c>
      <c r="F2172">
        <v>2002</v>
      </c>
      <c r="H2172" t="s">
        <v>2734</v>
      </c>
      <c r="I2172">
        <v>2</v>
      </c>
      <c r="K2172" t="s">
        <v>14332</v>
      </c>
      <c r="M2172">
        <v>322</v>
      </c>
      <c r="O2172" t="s">
        <v>11500</v>
      </c>
      <c r="P2172">
        <v>473</v>
      </c>
      <c r="Q2172">
        <v>4.26</v>
      </c>
    </row>
    <row r="2173" spans="1:17" x14ac:dyDescent="0.25">
      <c r="A2173">
        <v>1374</v>
      </c>
      <c r="B2173" t="s">
        <v>11501</v>
      </c>
      <c r="C2173" t="s">
        <v>11502</v>
      </c>
      <c r="D2173" t="s">
        <v>2926</v>
      </c>
      <c r="E2173" t="s">
        <v>1913</v>
      </c>
      <c r="F2173">
        <v>1999</v>
      </c>
      <c r="H2173" t="s">
        <v>2734</v>
      </c>
      <c r="I2173">
        <v>2</v>
      </c>
      <c r="J2173" t="s">
        <v>9196</v>
      </c>
      <c r="K2173" t="s">
        <v>14332</v>
      </c>
      <c r="M2173">
        <v>180</v>
      </c>
      <c r="O2173" t="s">
        <v>11503</v>
      </c>
      <c r="P2173">
        <v>243</v>
      </c>
      <c r="Q2173">
        <v>2.7</v>
      </c>
    </row>
    <row r="2174" spans="1:17" x14ac:dyDescent="0.25">
      <c r="A2174">
        <v>612</v>
      </c>
      <c r="B2174" t="s">
        <v>11504</v>
      </c>
      <c r="C2174" t="s">
        <v>11505</v>
      </c>
      <c r="D2174" t="s">
        <v>11506</v>
      </c>
      <c r="F2174">
        <v>2007</v>
      </c>
      <c r="H2174" t="s">
        <v>2734</v>
      </c>
      <c r="I2174">
        <v>1</v>
      </c>
      <c r="K2174" t="s">
        <v>14332</v>
      </c>
      <c r="M2174">
        <v>573</v>
      </c>
      <c r="O2174" t="s">
        <v>11507</v>
      </c>
      <c r="P2174">
        <v>707</v>
      </c>
      <c r="Q2174">
        <v>2.2000000000000002</v>
      </c>
    </row>
    <row r="2175" spans="1:17" x14ac:dyDescent="0.25">
      <c r="A2175">
        <v>852</v>
      </c>
      <c r="B2175" t="s">
        <v>11508</v>
      </c>
      <c r="C2175" t="s">
        <v>11509</v>
      </c>
      <c r="D2175" t="s">
        <v>9893</v>
      </c>
      <c r="F2175">
        <v>2000</v>
      </c>
      <c r="H2175" t="s">
        <v>1878</v>
      </c>
      <c r="I2175">
        <v>2</v>
      </c>
      <c r="K2175" t="s">
        <v>14332</v>
      </c>
      <c r="M2175">
        <v>175</v>
      </c>
      <c r="O2175" t="s">
        <v>11510</v>
      </c>
      <c r="P2175">
        <v>188</v>
      </c>
      <c r="Q2175">
        <v>2.0299999999999998</v>
      </c>
    </row>
    <row r="2176" spans="1:17" x14ac:dyDescent="0.25">
      <c r="A2176">
        <v>1386</v>
      </c>
      <c r="B2176" t="s">
        <v>10161</v>
      </c>
      <c r="C2176" t="s">
        <v>10162</v>
      </c>
      <c r="D2176" t="s">
        <v>9119</v>
      </c>
      <c r="E2176" t="s">
        <v>7601</v>
      </c>
      <c r="F2176">
        <v>2010</v>
      </c>
      <c r="H2176" t="s">
        <v>1878</v>
      </c>
      <c r="I2176" s="305">
        <v>43892</v>
      </c>
      <c r="K2176" t="s">
        <v>14332</v>
      </c>
      <c r="M2176">
        <v>254</v>
      </c>
      <c r="O2176" t="s">
        <v>11511</v>
      </c>
      <c r="P2176">
        <v>216</v>
      </c>
      <c r="Q2176">
        <v>2.29</v>
      </c>
    </row>
    <row r="2177" spans="1:17" x14ac:dyDescent="0.25">
      <c r="A2177">
        <v>943</v>
      </c>
      <c r="B2177" t="s">
        <v>11512</v>
      </c>
      <c r="C2177" t="s">
        <v>11513</v>
      </c>
      <c r="D2177" t="s">
        <v>11514</v>
      </c>
      <c r="H2177" t="s">
        <v>1878</v>
      </c>
      <c r="I2177">
        <v>2</v>
      </c>
      <c r="K2177" t="s">
        <v>14332</v>
      </c>
      <c r="M2177">
        <v>256</v>
      </c>
      <c r="O2177" t="s">
        <v>11515</v>
      </c>
      <c r="P2177">
        <v>293</v>
      </c>
      <c r="Q2177">
        <v>2.31</v>
      </c>
    </row>
    <row r="2178" spans="1:17" x14ac:dyDescent="0.25">
      <c r="A2178">
        <v>647</v>
      </c>
      <c r="B2178" t="s">
        <v>11516</v>
      </c>
      <c r="C2178" t="s">
        <v>11517</v>
      </c>
      <c r="D2178" t="s">
        <v>8582</v>
      </c>
      <c r="F2178">
        <v>2004</v>
      </c>
      <c r="H2178" t="s">
        <v>1878</v>
      </c>
      <c r="I2178">
        <v>2</v>
      </c>
      <c r="K2178" t="s">
        <v>14332</v>
      </c>
      <c r="O2178" t="s">
        <v>11518</v>
      </c>
      <c r="P2178">
        <v>316</v>
      </c>
      <c r="Q2178">
        <v>1.5</v>
      </c>
    </row>
    <row r="2179" spans="1:17" x14ac:dyDescent="0.25">
      <c r="A2179">
        <v>757</v>
      </c>
      <c r="B2179" t="s">
        <v>11519</v>
      </c>
      <c r="C2179" t="s">
        <v>11520</v>
      </c>
      <c r="D2179" t="s">
        <v>1912</v>
      </c>
      <c r="E2179" t="s">
        <v>1899</v>
      </c>
      <c r="F2179">
        <v>2004</v>
      </c>
      <c r="H2179" t="s">
        <v>1878</v>
      </c>
      <c r="I2179">
        <v>1</v>
      </c>
      <c r="K2179" t="s">
        <v>14332</v>
      </c>
      <c r="M2179">
        <v>183</v>
      </c>
      <c r="O2179" t="s">
        <v>11521</v>
      </c>
      <c r="P2179">
        <v>188</v>
      </c>
      <c r="Q2179">
        <v>1.9</v>
      </c>
    </row>
    <row r="2180" spans="1:17" x14ac:dyDescent="0.25">
      <c r="A2180">
        <v>692</v>
      </c>
      <c r="B2180" t="s">
        <v>4802</v>
      </c>
      <c r="C2180" t="s">
        <v>4803</v>
      </c>
      <c r="D2180" t="s">
        <v>1920</v>
      </c>
      <c r="F2180">
        <v>2005</v>
      </c>
      <c r="H2180" t="s">
        <v>1878</v>
      </c>
      <c r="I2180" s="305">
        <v>43892</v>
      </c>
      <c r="K2180" t="s">
        <v>14332</v>
      </c>
      <c r="M2180">
        <v>317</v>
      </c>
      <c r="O2180" t="s">
        <v>11522</v>
      </c>
      <c r="P2180">
        <v>316</v>
      </c>
      <c r="Q2180">
        <v>1.49</v>
      </c>
    </row>
    <row r="2181" spans="1:17" x14ac:dyDescent="0.25">
      <c r="A2181">
        <v>692</v>
      </c>
      <c r="B2181" t="s">
        <v>11523</v>
      </c>
      <c r="C2181" t="s">
        <v>11524</v>
      </c>
      <c r="D2181" t="s">
        <v>1912</v>
      </c>
      <c r="F2181">
        <v>2002</v>
      </c>
      <c r="H2181" t="s">
        <v>1878</v>
      </c>
      <c r="I2181" s="305">
        <v>43892</v>
      </c>
      <c r="K2181" t="s">
        <v>14332</v>
      </c>
      <c r="M2181">
        <v>543</v>
      </c>
      <c r="O2181" t="s">
        <v>11525</v>
      </c>
      <c r="P2181">
        <v>527</v>
      </c>
      <c r="Q2181">
        <v>2.62</v>
      </c>
    </row>
    <row r="2182" spans="1:17" x14ac:dyDescent="0.25">
      <c r="A2182">
        <v>692</v>
      </c>
      <c r="B2182" t="s">
        <v>5017</v>
      </c>
      <c r="C2182" t="s">
        <v>11526</v>
      </c>
      <c r="D2182" t="s">
        <v>3077</v>
      </c>
      <c r="F2182">
        <v>2009</v>
      </c>
      <c r="H2182" t="s">
        <v>1878</v>
      </c>
      <c r="I2182" s="305">
        <v>43892</v>
      </c>
      <c r="K2182" t="s">
        <v>14332</v>
      </c>
      <c r="M2182">
        <v>431</v>
      </c>
      <c r="O2182" t="s">
        <v>11527</v>
      </c>
      <c r="P2182">
        <v>332</v>
      </c>
      <c r="Q2182">
        <v>1.78</v>
      </c>
    </row>
    <row r="2183" spans="1:17" x14ac:dyDescent="0.25">
      <c r="A2183">
        <v>701</v>
      </c>
      <c r="B2183" t="s">
        <v>11528</v>
      </c>
      <c r="C2183" t="s">
        <v>11529</v>
      </c>
      <c r="D2183" t="s">
        <v>2309</v>
      </c>
      <c r="E2183" t="s">
        <v>1899</v>
      </c>
      <c r="F2183">
        <v>2012</v>
      </c>
      <c r="H2183" t="s">
        <v>1878</v>
      </c>
      <c r="I2183" s="305">
        <v>43862</v>
      </c>
      <c r="K2183" t="s">
        <v>14332</v>
      </c>
      <c r="M2183">
        <v>332</v>
      </c>
      <c r="O2183" t="s">
        <v>11530</v>
      </c>
      <c r="P2183">
        <v>445</v>
      </c>
      <c r="Q2183">
        <v>1.48</v>
      </c>
    </row>
    <row r="2184" spans="1:17" x14ac:dyDescent="0.25">
      <c r="A2184">
        <v>2518</v>
      </c>
      <c r="B2184" t="s">
        <v>11531</v>
      </c>
      <c r="C2184" t="s">
        <v>11532</v>
      </c>
      <c r="D2184" t="s">
        <v>11533</v>
      </c>
      <c r="F2184">
        <v>2011</v>
      </c>
      <c r="H2184" t="s">
        <v>1878</v>
      </c>
      <c r="I2184">
        <v>3</v>
      </c>
      <c r="J2184" t="s">
        <v>9196</v>
      </c>
      <c r="K2184" t="s">
        <v>14332</v>
      </c>
      <c r="M2184">
        <v>271</v>
      </c>
      <c r="O2184" t="s">
        <v>11534</v>
      </c>
      <c r="P2184">
        <v>249</v>
      </c>
      <c r="Q2184">
        <v>9.8000000000000007</v>
      </c>
    </row>
    <row r="2185" spans="1:17" x14ac:dyDescent="0.25">
      <c r="A2185">
        <v>973</v>
      </c>
      <c r="B2185" t="s">
        <v>11575</v>
      </c>
      <c r="C2185" t="s">
        <v>11576</v>
      </c>
      <c r="D2185" t="s">
        <v>11577</v>
      </c>
      <c r="F2185">
        <v>1996</v>
      </c>
      <c r="H2185" t="s">
        <v>2734</v>
      </c>
      <c r="I2185">
        <v>1</v>
      </c>
      <c r="K2185" t="s">
        <v>14339</v>
      </c>
      <c r="M2185">
        <v>222</v>
      </c>
      <c r="O2185" t="s">
        <v>11578</v>
      </c>
      <c r="P2185">
        <v>478</v>
      </c>
      <c r="Q2185">
        <v>35.799999999999997</v>
      </c>
    </row>
    <row r="2186" spans="1:17" x14ac:dyDescent="0.25">
      <c r="A2186">
        <v>1386</v>
      </c>
      <c r="B2186" t="s">
        <v>11579</v>
      </c>
      <c r="C2186" t="s">
        <v>11580</v>
      </c>
      <c r="D2186" t="s">
        <v>2257</v>
      </c>
      <c r="F2186">
        <v>1994</v>
      </c>
      <c r="H2186" t="s">
        <v>1878</v>
      </c>
      <c r="I2186">
        <v>2</v>
      </c>
      <c r="K2186" t="s">
        <v>14332</v>
      </c>
      <c r="L2186" s="222">
        <v>9783426616871</v>
      </c>
      <c r="M2186">
        <v>430</v>
      </c>
      <c r="O2186" t="s">
        <v>11581</v>
      </c>
      <c r="P2186">
        <v>420</v>
      </c>
      <c r="Q2186">
        <v>1.2</v>
      </c>
    </row>
    <row r="2187" spans="1:17" x14ac:dyDescent="0.25">
      <c r="A2187">
        <v>1289</v>
      </c>
      <c r="B2187" t="s">
        <v>11582</v>
      </c>
      <c r="C2187" t="s">
        <v>11583</v>
      </c>
      <c r="D2187" t="s">
        <v>4693</v>
      </c>
      <c r="E2187" t="s">
        <v>1913</v>
      </c>
      <c r="F2187">
        <v>2008</v>
      </c>
      <c r="H2187" t="s">
        <v>2734</v>
      </c>
      <c r="I2187">
        <v>2</v>
      </c>
      <c r="J2187" t="s">
        <v>9495</v>
      </c>
      <c r="K2187" t="s">
        <v>14332</v>
      </c>
      <c r="M2187">
        <v>384</v>
      </c>
      <c r="O2187" t="s">
        <v>11584</v>
      </c>
      <c r="P2187">
        <v>766</v>
      </c>
      <c r="Q2187">
        <v>2.13</v>
      </c>
    </row>
    <row r="2188" spans="1:17" x14ac:dyDescent="0.25">
      <c r="A2188">
        <v>106</v>
      </c>
      <c r="B2188" t="s">
        <v>11585</v>
      </c>
      <c r="C2188" t="s">
        <v>11586</v>
      </c>
      <c r="D2188" t="s">
        <v>8023</v>
      </c>
      <c r="E2188" t="s">
        <v>1913</v>
      </c>
      <c r="F2188">
        <v>2011</v>
      </c>
      <c r="H2188" t="s">
        <v>1878</v>
      </c>
      <c r="I2188" s="305">
        <v>43862</v>
      </c>
      <c r="K2188" t="s">
        <v>14332</v>
      </c>
      <c r="M2188">
        <v>186</v>
      </c>
      <c r="O2188" t="s">
        <v>11587</v>
      </c>
      <c r="P2188">
        <v>210</v>
      </c>
      <c r="Q2188">
        <v>3.75</v>
      </c>
    </row>
    <row r="2189" spans="1:17" x14ac:dyDescent="0.25">
      <c r="A2189">
        <v>1913</v>
      </c>
      <c r="B2189" t="s">
        <v>11588</v>
      </c>
      <c r="C2189" t="s">
        <v>11589</v>
      </c>
      <c r="D2189" t="s">
        <v>9893</v>
      </c>
      <c r="F2189">
        <v>2018</v>
      </c>
      <c r="H2189" t="s">
        <v>1878</v>
      </c>
      <c r="I2189" s="305">
        <v>43892</v>
      </c>
      <c r="K2189" t="s">
        <v>14332</v>
      </c>
      <c r="M2189">
        <v>411</v>
      </c>
      <c r="O2189" t="s">
        <v>11590</v>
      </c>
      <c r="P2189">
        <v>368</v>
      </c>
      <c r="Q2189">
        <v>1.9</v>
      </c>
    </row>
    <row r="2190" spans="1:17" x14ac:dyDescent="0.25">
      <c r="A2190">
        <v>1385</v>
      </c>
      <c r="B2190" t="s">
        <v>11591</v>
      </c>
      <c r="C2190" t="s">
        <v>11592</v>
      </c>
      <c r="D2190" t="s">
        <v>11031</v>
      </c>
      <c r="F2190">
        <v>2000</v>
      </c>
      <c r="H2190" t="s">
        <v>1878</v>
      </c>
      <c r="I2190" s="305">
        <v>43892</v>
      </c>
      <c r="K2190" t="s">
        <v>14332</v>
      </c>
      <c r="M2190">
        <v>224</v>
      </c>
      <c r="O2190" t="s">
        <v>11593</v>
      </c>
      <c r="P2190">
        <v>372</v>
      </c>
      <c r="Q2190">
        <v>1.87</v>
      </c>
    </row>
    <row r="2191" spans="1:17" x14ac:dyDescent="0.25">
      <c r="A2191">
        <v>1231</v>
      </c>
      <c r="B2191" t="s">
        <v>11594</v>
      </c>
      <c r="C2191" t="s">
        <v>11595</v>
      </c>
      <c r="D2191" t="s">
        <v>2209</v>
      </c>
      <c r="E2191" t="s">
        <v>1877</v>
      </c>
      <c r="F2191">
        <v>2016</v>
      </c>
      <c r="H2191" t="s">
        <v>1878</v>
      </c>
      <c r="I2191">
        <v>2</v>
      </c>
      <c r="J2191" t="s">
        <v>9196</v>
      </c>
      <c r="K2191" t="s">
        <v>14332</v>
      </c>
      <c r="M2191">
        <v>271</v>
      </c>
      <c r="O2191" t="s">
        <v>11596</v>
      </c>
      <c r="P2191">
        <v>229</v>
      </c>
      <c r="Q2191">
        <v>3.13</v>
      </c>
    </row>
    <row r="2192" spans="1:17" x14ac:dyDescent="0.25">
      <c r="A2192">
        <v>632</v>
      </c>
      <c r="B2192" t="s">
        <v>11597</v>
      </c>
      <c r="C2192" t="s">
        <v>11598</v>
      </c>
      <c r="D2192" t="s">
        <v>2257</v>
      </c>
      <c r="E2192" t="s">
        <v>1913</v>
      </c>
      <c r="F2192">
        <v>2012</v>
      </c>
      <c r="H2192" t="s">
        <v>1878</v>
      </c>
      <c r="I2192" s="305">
        <v>43892</v>
      </c>
      <c r="K2192" t="s">
        <v>14332</v>
      </c>
      <c r="M2192">
        <v>635</v>
      </c>
      <c r="O2192" t="s">
        <v>11599</v>
      </c>
      <c r="P2192">
        <v>640</v>
      </c>
      <c r="Q2192">
        <v>1.99</v>
      </c>
    </row>
    <row r="2193" spans="1:17" x14ac:dyDescent="0.25">
      <c r="A2193">
        <v>1327</v>
      </c>
      <c r="B2193" t="s">
        <v>11600</v>
      </c>
      <c r="C2193" t="s">
        <v>11601</v>
      </c>
      <c r="D2193" t="s">
        <v>11602</v>
      </c>
      <c r="E2193" t="s">
        <v>1913</v>
      </c>
      <c r="F2193">
        <v>2001</v>
      </c>
      <c r="H2193" t="s">
        <v>1878</v>
      </c>
      <c r="I2193">
        <v>1</v>
      </c>
      <c r="K2193" t="s">
        <v>14332</v>
      </c>
      <c r="M2193">
        <v>233</v>
      </c>
      <c r="O2193" t="s">
        <v>11603</v>
      </c>
      <c r="P2193">
        <v>236</v>
      </c>
      <c r="Q2193">
        <v>2.1</v>
      </c>
    </row>
    <row r="2194" spans="1:17" x14ac:dyDescent="0.25">
      <c r="A2194">
        <v>1327</v>
      </c>
      <c r="B2194" t="s">
        <v>8209</v>
      </c>
      <c r="C2194" t="s">
        <v>11604</v>
      </c>
      <c r="D2194" t="s">
        <v>1988</v>
      </c>
      <c r="E2194" t="s">
        <v>1913</v>
      </c>
      <c r="F2194">
        <v>2017</v>
      </c>
      <c r="H2194" t="s">
        <v>2734</v>
      </c>
      <c r="I2194">
        <v>1</v>
      </c>
      <c r="K2194" t="s">
        <v>14332</v>
      </c>
      <c r="M2194">
        <v>189</v>
      </c>
      <c r="O2194" t="s">
        <v>11605</v>
      </c>
      <c r="P2194">
        <v>192</v>
      </c>
      <c r="Q2194">
        <v>5.54</v>
      </c>
    </row>
    <row r="2195" spans="1:17" x14ac:dyDescent="0.25">
      <c r="A2195">
        <v>692</v>
      </c>
      <c r="B2195" t="s">
        <v>11606</v>
      </c>
      <c r="C2195" t="s">
        <v>11607</v>
      </c>
      <c r="D2195" t="s">
        <v>11608</v>
      </c>
      <c r="H2195" t="s">
        <v>1878</v>
      </c>
      <c r="I2195">
        <v>1</v>
      </c>
      <c r="K2195" t="s">
        <v>14332</v>
      </c>
      <c r="M2195">
        <v>271</v>
      </c>
      <c r="O2195" t="s">
        <v>11609</v>
      </c>
      <c r="P2195">
        <v>254</v>
      </c>
      <c r="Q2195">
        <v>3.1</v>
      </c>
    </row>
    <row r="2196" spans="1:17" x14ac:dyDescent="0.25">
      <c r="A2196">
        <v>2668</v>
      </c>
      <c r="B2196" t="s">
        <v>3369</v>
      </c>
      <c r="C2196" t="s">
        <v>11610</v>
      </c>
      <c r="D2196" t="s">
        <v>2209</v>
      </c>
      <c r="F2196">
        <v>2001</v>
      </c>
      <c r="H2196" t="s">
        <v>2295</v>
      </c>
      <c r="I2196">
        <v>2</v>
      </c>
      <c r="K2196" t="s">
        <v>14332</v>
      </c>
      <c r="L2196" s="222">
        <v>9783453196155</v>
      </c>
      <c r="M2196">
        <v>392</v>
      </c>
      <c r="O2196" t="s">
        <v>11611</v>
      </c>
      <c r="P2196">
        <v>618</v>
      </c>
      <c r="Q2196">
        <v>1.66</v>
      </c>
    </row>
    <row r="2197" spans="1:17" x14ac:dyDescent="0.25">
      <c r="A2197">
        <v>14</v>
      </c>
      <c r="B2197" t="s">
        <v>8225</v>
      </c>
      <c r="C2197" t="s">
        <v>11612</v>
      </c>
      <c r="D2197" t="s">
        <v>11613</v>
      </c>
      <c r="E2197" t="s">
        <v>1877</v>
      </c>
      <c r="F2197">
        <v>2000</v>
      </c>
      <c r="H2197" t="s">
        <v>1878</v>
      </c>
      <c r="I2197">
        <v>1</v>
      </c>
      <c r="M2197">
        <v>143</v>
      </c>
      <c r="O2197" t="s">
        <v>11615</v>
      </c>
      <c r="P2197">
        <v>135</v>
      </c>
      <c r="Q2197">
        <v>1.75</v>
      </c>
    </row>
    <row r="2198" spans="1:17" x14ac:dyDescent="0.25">
      <c r="A2198">
        <v>548</v>
      </c>
      <c r="B2198" t="s">
        <v>11616</v>
      </c>
      <c r="C2198" t="s">
        <v>11617</v>
      </c>
      <c r="D2198" t="s">
        <v>1920</v>
      </c>
      <c r="F2198">
        <v>2001</v>
      </c>
      <c r="H2198" t="s">
        <v>1878</v>
      </c>
      <c r="I2198">
        <v>2</v>
      </c>
      <c r="K2198" t="s">
        <v>14332</v>
      </c>
      <c r="M2198">
        <v>382</v>
      </c>
      <c r="O2198" t="s">
        <v>11618</v>
      </c>
      <c r="P2198">
        <v>338</v>
      </c>
      <c r="Q2198">
        <v>1.53</v>
      </c>
    </row>
    <row r="2199" spans="1:17" x14ac:dyDescent="0.25">
      <c r="A2199">
        <v>701</v>
      </c>
      <c r="B2199" t="s">
        <v>11619</v>
      </c>
      <c r="C2199" t="s">
        <v>11620</v>
      </c>
      <c r="D2199" t="s">
        <v>2257</v>
      </c>
      <c r="E2199" t="s">
        <v>1913</v>
      </c>
      <c r="F2199">
        <v>2012</v>
      </c>
      <c r="H2199" t="s">
        <v>1878</v>
      </c>
      <c r="I2199">
        <v>2</v>
      </c>
      <c r="K2199" t="s">
        <v>14332</v>
      </c>
      <c r="M2199">
        <v>318</v>
      </c>
      <c r="O2199" t="s">
        <v>11621</v>
      </c>
      <c r="P2199">
        <v>385</v>
      </c>
      <c r="Q2199">
        <v>1.2</v>
      </c>
    </row>
    <row r="2200" spans="1:17" x14ac:dyDescent="0.25">
      <c r="A2200">
        <v>796</v>
      </c>
      <c r="B2200" t="s">
        <v>14496</v>
      </c>
      <c r="C2200" t="s">
        <v>11623</v>
      </c>
      <c r="D2200" t="s">
        <v>1920</v>
      </c>
      <c r="F2200">
        <v>2018</v>
      </c>
      <c r="H2200" t="s">
        <v>1878</v>
      </c>
      <c r="I2200">
        <v>2</v>
      </c>
      <c r="K2200" t="s">
        <v>14332</v>
      </c>
      <c r="M2200">
        <v>334</v>
      </c>
      <c r="O2200" t="s">
        <v>11624</v>
      </c>
      <c r="P2200">
        <v>343</v>
      </c>
      <c r="Q2200">
        <v>2.0299999999999998</v>
      </c>
    </row>
    <row r="2201" spans="1:17" x14ac:dyDescent="0.25">
      <c r="A2201">
        <v>757</v>
      </c>
      <c r="B2201" t="s">
        <v>11625</v>
      </c>
      <c r="C2201" t="s">
        <v>11626</v>
      </c>
      <c r="D2201" t="s">
        <v>2209</v>
      </c>
      <c r="E2201" t="s">
        <v>7601</v>
      </c>
      <c r="F2201">
        <v>2009</v>
      </c>
      <c r="H2201" t="s">
        <v>1878</v>
      </c>
      <c r="I2201" s="305">
        <v>43892</v>
      </c>
      <c r="K2201" t="s">
        <v>14332</v>
      </c>
      <c r="M2201">
        <v>255</v>
      </c>
      <c r="O2201" t="s">
        <v>11627</v>
      </c>
      <c r="P2201">
        <v>211</v>
      </c>
      <c r="Q2201">
        <v>1.18</v>
      </c>
    </row>
    <row r="2202" spans="1:17" x14ac:dyDescent="0.25">
      <c r="A2202">
        <v>631</v>
      </c>
      <c r="B2202" t="s">
        <v>11628</v>
      </c>
      <c r="C2202" t="s">
        <v>11629</v>
      </c>
      <c r="D2202" t="s">
        <v>11630</v>
      </c>
      <c r="E2202" t="s">
        <v>1913</v>
      </c>
      <c r="F2202">
        <v>1998</v>
      </c>
      <c r="H2202" t="s">
        <v>2963</v>
      </c>
      <c r="I2202" s="305">
        <v>43892</v>
      </c>
      <c r="K2202" t="s">
        <v>14332</v>
      </c>
      <c r="M2202">
        <v>254</v>
      </c>
      <c r="O2202" t="s">
        <v>11631</v>
      </c>
      <c r="P2202">
        <v>308</v>
      </c>
      <c r="Q2202">
        <v>2.29</v>
      </c>
    </row>
    <row r="2203" spans="1:17" x14ac:dyDescent="0.25">
      <c r="A2203">
        <v>763</v>
      </c>
      <c r="B2203" t="s">
        <v>11632</v>
      </c>
      <c r="C2203" t="s">
        <v>11633</v>
      </c>
      <c r="D2203" t="s">
        <v>11514</v>
      </c>
      <c r="E2203" t="s">
        <v>2175</v>
      </c>
      <c r="F2203">
        <v>1999</v>
      </c>
      <c r="H2203" t="s">
        <v>1878</v>
      </c>
      <c r="I2203" s="305">
        <v>43892</v>
      </c>
      <c r="K2203" t="s">
        <v>14332</v>
      </c>
      <c r="M2203">
        <v>96</v>
      </c>
      <c r="O2203" t="s">
        <v>11634</v>
      </c>
      <c r="P2203">
        <v>248</v>
      </c>
      <c r="Q2203">
        <v>1.01</v>
      </c>
    </row>
    <row r="2204" spans="1:17" x14ac:dyDescent="0.25">
      <c r="A2204">
        <v>689</v>
      </c>
      <c r="B2204" t="s">
        <v>7452</v>
      </c>
      <c r="C2204" t="s">
        <v>11635</v>
      </c>
      <c r="D2204" t="s">
        <v>9893</v>
      </c>
      <c r="F2204">
        <v>1999</v>
      </c>
      <c r="H2204" t="s">
        <v>1878</v>
      </c>
      <c r="I2204">
        <v>3</v>
      </c>
      <c r="K2204" t="s">
        <v>14332</v>
      </c>
      <c r="M2204">
        <v>478</v>
      </c>
      <c r="O2204" t="s">
        <v>11636</v>
      </c>
      <c r="P2204">
        <v>436</v>
      </c>
      <c r="Q2204">
        <v>1.67</v>
      </c>
    </row>
    <row r="2205" spans="1:17" x14ac:dyDescent="0.25">
      <c r="A2205">
        <v>1373</v>
      </c>
      <c r="B2205" t="s">
        <v>11535</v>
      </c>
      <c r="C2205" t="s">
        <v>11536</v>
      </c>
      <c r="D2205" t="s">
        <v>11537</v>
      </c>
      <c r="E2205" t="s">
        <v>1899</v>
      </c>
      <c r="F2205">
        <v>2016</v>
      </c>
      <c r="H2205" t="s">
        <v>1878</v>
      </c>
      <c r="I2205">
        <v>2</v>
      </c>
      <c r="L2205" s="222">
        <v>9783944606040</v>
      </c>
      <c r="M2205">
        <v>144</v>
      </c>
      <c r="O2205" t="s">
        <v>11637</v>
      </c>
      <c r="P2205">
        <v>203</v>
      </c>
      <c r="Q2205">
        <v>1.51</v>
      </c>
    </row>
    <row r="2206" spans="1:17" x14ac:dyDescent="0.25">
      <c r="A2206">
        <v>704</v>
      </c>
      <c r="B2206" t="s">
        <v>11540</v>
      </c>
      <c r="C2206" t="s">
        <v>11541</v>
      </c>
      <c r="D2206" t="s">
        <v>2054</v>
      </c>
      <c r="F2206">
        <v>2019</v>
      </c>
      <c r="H2206" t="s">
        <v>4297</v>
      </c>
      <c r="I2206">
        <v>2</v>
      </c>
      <c r="M2206">
        <v>658</v>
      </c>
      <c r="O2206" t="s">
        <v>11638</v>
      </c>
      <c r="P2206">
        <v>492</v>
      </c>
      <c r="Q2206">
        <v>3.08</v>
      </c>
    </row>
    <row r="2207" spans="1:17" x14ac:dyDescent="0.25">
      <c r="A2207">
        <v>724</v>
      </c>
      <c r="B2207" t="s">
        <v>11542</v>
      </c>
      <c r="C2207" t="s">
        <v>11543</v>
      </c>
      <c r="D2207" t="s">
        <v>11544</v>
      </c>
      <c r="F2207">
        <v>1993</v>
      </c>
      <c r="H2207" t="s">
        <v>2734</v>
      </c>
      <c r="I2207">
        <v>2</v>
      </c>
      <c r="J2207" t="s">
        <v>11545</v>
      </c>
      <c r="L2207" s="222">
        <v>9783813204247</v>
      </c>
      <c r="M2207">
        <v>162</v>
      </c>
      <c r="O2207" t="s">
        <v>11639</v>
      </c>
      <c r="P2207">
        <v>356</v>
      </c>
      <c r="Q2207">
        <v>0.97</v>
      </c>
    </row>
    <row r="2208" spans="1:17" x14ac:dyDescent="0.25">
      <c r="A2208">
        <v>2522</v>
      </c>
      <c r="B2208" t="s">
        <v>7192</v>
      </c>
      <c r="C2208" t="s">
        <v>11547</v>
      </c>
      <c r="D2208" t="s">
        <v>2054</v>
      </c>
      <c r="F2208">
        <v>2007</v>
      </c>
      <c r="H2208" t="s">
        <v>2734</v>
      </c>
      <c r="I2208">
        <v>2</v>
      </c>
      <c r="J2208" t="s">
        <v>11548</v>
      </c>
      <c r="L2208" s="222">
        <v>4026411401188</v>
      </c>
      <c r="M2208">
        <v>466</v>
      </c>
      <c r="O2208" t="s">
        <v>11640</v>
      </c>
      <c r="P2208">
        <v>421</v>
      </c>
      <c r="Q2208">
        <v>2.79</v>
      </c>
    </row>
    <row r="2209" spans="1:17" x14ac:dyDescent="0.25">
      <c r="A2209">
        <v>775</v>
      </c>
      <c r="B2209" t="s">
        <v>11550</v>
      </c>
      <c r="C2209" t="s">
        <v>11551</v>
      </c>
      <c r="D2209" t="s">
        <v>2644</v>
      </c>
      <c r="F2209">
        <v>2011</v>
      </c>
      <c r="H2209" t="s">
        <v>1878</v>
      </c>
      <c r="I2209">
        <v>2</v>
      </c>
      <c r="L2209" s="222">
        <v>9783257239997</v>
      </c>
      <c r="M2209">
        <v>320</v>
      </c>
      <c r="O2209" t="s">
        <v>11641</v>
      </c>
      <c r="P2209">
        <v>291</v>
      </c>
      <c r="Q2209">
        <v>1.88</v>
      </c>
    </row>
    <row r="2210" spans="1:17" x14ac:dyDescent="0.25">
      <c r="A2210">
        <v>2518</v>
      </c>
      <c r="B2210" t="s">
        <v>5033</v>
      </c>
      <c r="C2210" t="s">
        <v>5034</v>
      </c>
      <c r="D2210" t="s">
        <v>1988</v>
      </c>
      <c r="E2210" t="s">
        <v>5035</v>
      </c>
      <c r="F2210">
        <v>2003</v>
      </c>
      <c r="H2210" t="s">
        <v>1878</v>
      </c>
      <c r="I2210">
        <v>2</v>
      </c>
      <c r="L2210" s="222">
        <v>9783423202329</v>
      </c>
      <c r="M2210">
        <v>336</v>
      </c>
      <c r="O2210" t="s">
        <v>11642</v>
      </c>
      <c r="P2210">
        <v>242</v>
      </c>
      <c r="Q2210">
        <v>2.68</v>
      </c>
    </row>
    <row r="2211" spans="1:17" x14ac:dyDescent="0.25">
      <c r="A2211">
        <v>2518</v>
      </c>
      <c r="B2211" t="s">
        <v>11553</v>
      </c>
      <c r="C2211" t="s">
        <v>11554</v>
      </c>
      <c r="D2211" t="s">
        <v>1988</v>
      </c>
      <c r="E2211" t="s">
        <v>1877</v>
      </c>
      <c r="F2211">
        <v>2012</v>
      </c>
      <c r="H2211" t="s">
        <v>1878</v>
      </c>
      <c r="I2211">
        <v>2</v>
      </c>
      <c r="L2211" s="222">
        <v>9783423213080</v>
      </c>
      <c r="M2211">
        <v>288</v>
      </c>
      <c r="O2211" t="s">
        <v>11643</v>
      </c>
      <c r="P2211">
        <v>284</v>
      </c>
      <c r="Q2211">
        <v>1.17</v>
      </c>
    </row>
    <row r="2212" spans="1:17" x14ac:dyDescent="0.25">
      <c r="A2212">
        <v>775</v>
      </c>
      <c r="B2212" t="s">
        <v>11556</v>
      </c>
      <c r="C2212" t="s">
        <v>11557</v>
      </c>
      <c r="D2212" t="s">
        <v>2232</v>
      </c>
      <c r="E2212" t="s">
        <v>1913</v>
      </c>
      <c r="F2212">
        <v>2010</v>
      </c>
      <c r="H2212" t="s">
        <v>1878</v>
      </c>
      <c r="I2212">
        <v>2</v>
      </c>
      <c r="L2212" s="222">
        <v>9783442738144</v>
      </c>
      <c r="M2212">
        <v>320</v>
      </c>
      <c r="O2212" t="s">
        <v>11644</v>
      </c>
      <c r="P2212">
        <v>300</v>
      </c>
      <c r="Q2212">
        <v>1.93</v>
      </c>
    </row>
    <row r="2213" spans="1:17" x14ac:dyDescent="0.25">
      <c r="A2213">
        <v>2547</v>
      </c>
      <c r="B2213" t="s">
        <v>4071</v>
      </c>
      <c r="C2213" t="s">
        <v>11559</v>
      </c>
      <c r="D2213" t="s">
        <v>1912</v>
      </c>
      <c r="F2213">
        <v>1990</v>
      </c>
      <c r="H2213" t="s">
        <v>1878</v>
      </c>
      <c r="I2213">
        <v>3</v>
      </c>
      <c r="L2213" s="222">
        <v>9783442413508</v>
      </c>
      <c r="M2213">
        <v>480</v>
      </c>
      <c r="O2213" t="s">
        <v>11645</v>
      </c>
      <c r="P2213">
        <v>328</v>
      </c>
      <c r="Q2213">
        <v>1.19</v>
      </c>
    </row>
    <row r="2214" spans="1:17" x14ac:dyDescent="0.25">
      <c r="A2214">
        <v>2663</v>
      </c>
      <c r="B2214" t="s">
        <v>11561</v>
      </c>
      <c r="C2214" t="s">
        <v>11562</v>
      </c>
      <c r="D2214" t="s">
        <v>2609</v>
      </c>
      <c r="F2214">
        <v>2004</v>
      </c>
      <c r="H2214" t="s">
        <v>1878</v>
      </c>
      <c r="I2214">
        <v>2</v>
      </c>
      <c r="L2214" s="222">
        <v>9783596161553</v>
      </c>
      <c r="M2214">
        <v>576</v>
      </c>
      <c r="O2214" t="s">
        <v>11646</v>
      </c>
      <c r="P2214">
        <v>424</v>
      </c>
      <c r="Q2214">
        <v>3.1</v>
      </c>
    </row>
    <row r="2215" spans="1:17" x14ac:dyDescent="0.25">
      <c r="A2215">
        <v>1327</v>
      </c>
      <c r="B2215" t="s">
        <v>5033</v>
      </c>
      <c r="C2215" t="s">
        <v>11564</v>
      </c>
      <c r="D2215" t="s">
        <v>1988</v>
      </c>
      <c r="F2215">
        <v>2009</v>
      </c>
      <c r="H2215" t="s">
        <v>1878</v>
      </c>
      <c r="I2215">
        <v>2</v>
      </c>
      <c r="L2215" s="222">
        <v>9783423211529</v>
      </c>
      <c r="M2215">
        <v>368</v>
      </c>
      <c r="O2215" t="s">
        <v>11647</v>
      </c>
      <c r="P2215">
        <v>274</v>
      </c>
      <c r="Q2215">
        <v>1.78</v>
      </c>
    </row>
    <row r="2216" spans="1:17" x14ac:dyDescent="0.25">
      <c r="A2216">
        <v>2526</v>
      </c>
      <c r="B2216" t="s">
        <v>11566</v>
      </c>
      <c r="C2216" t="s">
        <v>11567</v>
      </c>
      <c r="D2216" t="s">
        <v>5926</v>
      </c>
      <c r="F2216">
        <v>1998</v>
      </c>
      <c r="H2216" t="s">
        <v>1878</v>
      </c>
      <c r="I2216">
        <v>3</v>
      </c>
      <c r="L2216" s="222">
        <v>9783442161447</v>
      </c>
      <c r="M2216">
        <v>352</v>
      </c>
      <c r="O2216" t="s">
        <v>11648</v>
      </c>
      <c r="P2216">
        <v>339</v>
      </c>
      <c r="Q2216">
        <v>2.39</v>
      </c>
    </row>
    <row r="2217" spans="1:17" x14ac:dyDescent="0.25">
      <c r="A2217">
        <v>631</v>
      </c>
      <c r="B2217" t="s">
        <v>10851</v>
      </c>
      <c r="C2217" t="s">
        <v>11569</v>
      </c>
      <c r="D2217" t="s">
        <v>1920</v>
      </c>
      <c r="F2217">
        <v>2012</v>
      </c>
      <c r="H2217" t="s">
        <v>1878</v>
      </c>
      <c r="I2217">
        <v>2</v>
      </c>
      <c r="J2217" t="s">
        <v>14497</v>
      </c>
      <c r="L2217" s="222">
        <v>9783404167050</v>
      </c>
      <c r="M2217">
        <v>496</v>
      </c>
      <c r="O2217" t="s">
        <v>11649</v>
      </c>
      <c r="P2217">
        <v>475</v>
      </c>
      <c r="Q2217">
        <v>2.0099999999999998</v>
      </c>
    </row>
    <row r="2218" spans="1:17" x14ac:dyDescent="0.25">
      <c r="A2218">
        <v>1386</v>
      </c>
      <c r="B2218" t="s">
        <v>8636</v>
      </c>
      <c r="C2218" t="s">
        <v>8637</v>
      </c>
      <c r="D2218" t="s">
        <v>2209</v>
      </c>
      <c r="F2218">
        <v>2017</v>
      </c>
      <c r="H2218" t="s">
        <v>1878</v>
      </c>
      <c r="I2218">
        <v>2</v>
      </c>
      <c r="J2218" t="s">
        <v>9196</v>
      </c>
      <c r="K2218" t="s">
        <v>14332</v>
      </c>
      <c r="L2218" s="222">
        <v>9783453420298</v>
      </c>
      <c r="M2218">
        <v>560</v>
      </c>
      <c r="O2218" t="s">
        <v>11650</v>
      </c>
      <c r="P2218">
        <v>493</v>
      </c>
      <c r="Q2218">
        <v>1.92</v>
      </c>
    </row>
    <row r="2219" spans="1:17" x14ac:dyDescent="0.25">
      <c r="A2219">
        <v>614</v>
      </c>
      <c r="B2219" t="s">
        <v>11572</v>
      </c>
      <c r="C2219" t="s">
        <v>11573</v>
      </c>
      <c r="D2219" t="s">
        <v>1920</v>
      </c>
      <c r="F2219">
        <v>2002</v>
      </c>
      <c r="H2219" t="s">
        <v>1878</v>
      </c>
      <c r="I2219">
        <v>2</v>
      </c>
      <c r="K2219" t="s">
        <v>14332</v>
      </c>
      <c r="L2219" s="222">
        <v>9783404614882</v>
      </c>
      <c r="M2219">
        <v>256</v>
      </c>
      <c r="O2219" t="s">
        <v>11651</v>
      </c>
      <c r="P2219">
        <v>252</v>
      </c>
      <c r="Q2219">
        <v>1.97</v>
      </c>
    </row>
    <row r="2220" spans="1:17" x14ac:dyDescent="0.25">
      <c r="A2220">
        <v>2551</v>
      </c>
      <c r="B2220" t="s">
        <v>5033</v>
      </c>
      <c r="C2220" t="s">
        <v>11671</v>
      </c>
      <c r="D2220" t="s">
        <v>1988</v>
      </c>
      <c r="E2220" t="s">
        <v>2032</v>
      </c>
      <c r="F2220">
        <v>2006</v>
      </c>
      <c r="H2220" t="s">
        <v>1878</v>
      </c>
      <c r="I2220">
        <v>2</v>
      </c>
      <c r="K2220" t="s">
        <v>14332</v>
      </c>
      <c r="M2220">
        <v>528</v>
      </c>
      <c r="O2220" t="s">
        <v>11652</v>
      </c>
      <c r="P2220">
        <v>382</v>
      </c>
      <c r="Q2220">
        <v>1.18</v>
      </c>
    </row>
    <row r="2221" spans="1:17" x14ac:dyDescent="0.25">
      <c r="A2221">
        <v>2551</v>
      </c>
      <c r="B2221" t="s">
        <v>5033</v>
      </c>
      <c r="C2221" t="s">
        <v>11672</v>
      </c>
      <c r="D2221" t="s">
        <v>1988</v>
      </c>
      <c r="E2221" t="s">
        <v>2175</v>
      </c>
      <c r="F2221">
        <v>2003</v>
      </c>
      <c r="H2221" t="s">
        <v>1878</v>
      </c>
      <c r="I2221">
        <v>2</v>
      </c>
      <c r="K2221" t="s">
        <v>14332</v>
      </c>
      <c r="L2221" s="222">
        <v>9783423205900</v>
      </c>
      <c r="M2221">
        <v>384</v>
      </c>
      <c r="O2221" t="s">
        <v>11653</v>
      </c>
      <c r="P2221">
        <v>273</v>
      </c>
      <c r="Q2221">
        <v>1.2</v>
      </c>
    </row>
    <row r="2222" spans="1:17" x14ac:dyDescent="0.25">
      <c r="A2222">
        <v>2551</v>
      </c>
      <c r="B2222" t="s">
        <v>11674</v>
      </c>
      <c r="C2222" t="s">
        <v>11675</v>
      </c>
      <c r="D2222" t="s">
        <v>9192</v>
      </c>
      <c r="E2222" t="s">
        <v>1913</v>
      </c>
      <c r="F2222">
        <v>2003</v>
      </c>
      <c r="H2222" t="s">
        <v>1878</v>
      </c>
      <c r="I2222">
        <v>3</v>
      </c>
      <c r="K2222" t="s">
        <v>14332</v>
      </c>
      <c r="L2222" s="222">
        <v>9783548602936</v>
      </c>
      <c r="M2222">
        <v>352</v>
      </c>
      <c r="O2222" t="s">
        <v>11654</v>
      </c>
      <c r="P2222">
        <v>342</v>
      </c>
      <c r="Q2222">
        <v>1.8</v>
      </c>
    </row>
    <row r="2223" spans="1:17" x14ac:dyDescent="0.25">
      <c r="A2223">
        <v>632</v>
      </c>
      <c r="B2223" t="s">
        <v>11677</v>
      </c>
      <c r="C2223" t="s">
        <v>11678</v>
      </c>
      <c r="D2223" t="s">
        <v>2609</v>
      </c>
      <c r="E2223" t="s">
        <v>1899</v>
      </c>
      <c r="F2223">
        <v>2002</v>
      </c>
      <c r="H2223" t="s">
        <v>1878</v>
      </c>
      <c r="I2223">
        <v>2</v>
      </c>
      <c r="K2223" t="s">
        <v>14332</v>
      </c>
      <c r="L2223" s="222">
        <v>9783596505944</v>
      </c>
      <c r="M2223">
        <v>400</v>
      </c>
      <c r="O2223" t="s">
        <v>11655</v>
      </c>
      <c r="P2223">
        <v>345</v>
      </c>
      <c r="Q2223">
        <v>1.2</v>
      </c>
    </row>
    <row r="2224" spans="1:17" x14ac:dyDescent="0.25">
      <c r="A2224">
        <v>2547</v>
      </c>
      <c r="B2224" t="s">
        <v>4071</v>
      </c>
      <c r="C2224" t="s">
        <v>11680</v>
      </c>
      <c r="D2224" t="s">
        <v>1912</v>
      </c>
      <c r="F2224">
        <v>1997</v>
      </c>
      <c r="H2224" t="s">
        <v>1878</v>
      </c>
      <c r="I2224">
        <v>3</v>
      </c>
      <c r="K2224" t="s">
        <v>14332</v>
      </c>
      <c r="L2224" s="222">
        <v>9783442444021</v>
      </c>
      <c r="M2224">
        <v>704</v>
      </c>
      <c r="O2224" t="s">
        <v>11656</v>
      </c>
      <c r="P2224">
        <v>462</v>
      </c>
      <c r="Q2224">
        <v>1.2</v>
      </c>
    </row>
    <row r="2225" spans="1:17" x14ac:dyDescent="0.25">
      <c r="A2225">
        <v>1386</v>
      </c>
      <c r="B2225" t="s">
        <v>11682</v>
      </c>
      <c r="C2225" t="s">
        <v>11683</v>
      </c>
      <c r="D2225" t="s">
        <v>1920</v>
      </c>
      <c r="F2225">
        <v>1998</v>
      </c>
      <c r="H2225" t="s">
        <v>1878</v>
      </c>
      <c r="I2225">
        <v>2</v>
      </c>
      <c r="K2225" t="s">
        <v>14332</v>
      </c>
      <c r="L2225" s="222">
        <v>9783404143498</v>
      </c>
      <c r="M2225">
        <v>704</v>
      </c>
      <c r="O2225" t="s">
        <v>11657</v>
      </c>
      <c r="P2225">
        <v>592</v>
      </c>
      <c r="Q2225">
        <v>1.88</v>
      </c>
    </row>
    <row r="2226" spans="1:17" x14ac:dyDescent="0.25">
      <c r="A2226">
        <v>1315</v>
      </c>
      <c r="B2226" t="s">
        <v>6552</v>
      </c>
      <c r="C2226" t="s">
        <v>11685</v>
      </c>
      <c r="D2226" t="s">
        <v>3116</v>
      </c>
      <c r="E2226" t="s">
        <v>1913</v>
      </c>
      <c r="F2226">
        <v>2004</v>
      </c>
      <c r="H2226" t="s">
        <v>1878</v>
      </c>
      <c r="I2226">
        <v>2</v>
      </c>
      <c r="K2226" t="s">
        <v>14332</v>
      </c>
      <c r="L2226" s="222">
        <v>9783401027111</v>
      </c>
      <c r="M2226">
        <v>416</v>
      </c>
      <c r="O2226" t="s">
        <v>11658</v>
      </c>
      <c r="P2226">
        <v>407</v>
      </c>
      <c r="Q2226">
        <v>2.94</v>
      </c>
    </row>
    <row r="2227" spans="1:17" x14ac:dyDescent="0.25">
      <c r="A2227">
        <v>1315</v>
      </c>
      <c r="B2227" t="s">
        <v>11687</v>
      </c>
      <c r="C2227" t="s">
        <v>11688</v>
      </c>
      <c r="D2227" t="s">
        <v>2517</v>
      </c>
      <c r="E2227" t="s">
        <v>1877</v>
      </c>
      <c r="F2227">
        <v>2002</v>
      </c>
      <c r="H2227" t="s">
        <v>1878</v>
      </c>
      <c r="I2227">
        <v>2</v>
      </c>
      <c r="K2227" t="s">
        <v>14332</v>
      </c>
      <c r="L2227" s="222">
        <v>9783746618432</v>
      </c>
      <c r="M2227">
        <v>304</v>
      </c>
      <c r="O2227" t="s">
        <v>11659</v>
      </c>
      <c r="P2227">
        <v>251</v>
      </c>
      <c r="Q2227">
        <v>2.78</v>
      </c>
    </row>
    <row r="2228" spans="1:17" x14ac:dyDescent="0.25">
      <c r="A2228">
        <v>632</v>
      </c>
      <c r="B2228" t="s">
        <v>9111</v>
      </c>
      <c r="C2228" t="s">
        <v>11690</v>
      </c>
      <c r="D2228" t="s">
        <v>1920</v>
      </c>
      <c r="F2228">
        <v>2000</v>
      </c>
      <c r="H2228" t="s">
        <v>1878</v>
      </c>
      <c r="I2228">
        <v>3</v>
      </c>
      <c r="K2228" t="s">
        <v>14332</v>
      </c>
      <c r="L2228" s="222">
        <v>9783404148080</v>
      </c>
      <c r="M2228">
        <v>880</v>
      </c>
      <c r="O2228" t="s">
        <v>11660</v>
      </c>
      <c r="P2228">
        <v>730</v>
      </c>
      <c r="Q2228">
        <v>2.0099999999999998</v>
      </c>
    </row>
    <row r="2229" spans="1:17" x14ac:dyDescent="0.25">
      <c r="A2229">
        <v>632</v>
      </c>
      <c r="B2229" t="s">
        <v>6108</v>
      </c>
      <c r="C2229" t="s">
        <v>11692</v>
      </c>
      <c r="D2229" t="s">
        <v>5005</v>
      </c>
      <c r="F2229">
        <v>2004</v>
      </c>
      <c r="H2229" t="s">
        <v>1878</v>
      </c>
      <c r="I2229">
        <v>3</v>
      </c>
      <c r="J2229" t="s">
        <v>11693</v>
      </c>
      <c r="K2229" t="s">
        <v>14332</v>
      </c>
      <c r="M2229">
        <v>672</v>
      </c>
      <c r="O2229" t="s">
        <v>11661</v>
      </c>
      <c r="P2229">
        <v>488</v>
      </c>
      <c r="Q2229">
        <v>1.39</v>
      </c>
    </row>
    <row r="2230" spans="1:17" x14ac:dyDescent="0.25">
      <c r="A2230">
        <v>692</v>
      </c>
      <c r="B2230" t="s">
        <v>3517</v>
      </c>
      <c r="C2230" t="s">
        <v>11694</v>
      </c>
      <c r="D2230" t="s">
        <v>2644</v>
      </c>
      <c r="F2230">
        <v>2007</v>
      </c>
      <c r="H2230" t="s">
        <v>1878</v>
      </c>
      <c r="I2230">
        <v>2</v>
      </c>
      <c r="K2230" t="s">
        <v>14332</v>
      </c>
      <c r="L2230" s="222">
        <v>9783257235968</v>
      </c>
      <c r="M2230">
        <v>336</v>
      </c>
      <c r="O2230" t="s">
        <v>11662</v>
      </c>
      <c r="P2230">
        <v>292</v>
      </c>
      <c r="Q2230">
        <v>2.0099999999999998</v>
      </c>
    </row>
    <row r="2231" spans="1:17" x14ac:dyDescent="0.25">
      <c r="A2231">
        <v>1386</v>
      </c>
      <c r="B2231" t="s">
        <v>3517</v>
      </c>
      <c r="C2231" t="s">
        <v>11696</v>
      </c>
      <c r="D2231" t="s">
        <v>2644</v>
      </c>
      <c r="F2231">
        <v>2004</v>
      </c>
      <c r="H2231" t="s">
        <v>1878</v>
      </c>
      <c r="I2231">
        <v>2</v>
      </c>
      <c r="K2231" t="s">
        <v>14332</v>
      </c>
      <c r="L2231" s="222">
        <v>9783257235081</v>
      </c>
      <c r="M2231">
        <v>256</v>
      </c>
      <c r="O2231" t="s">
        <v>11663</v>
      </c>
      <c r="P2231">
        <v>218</v>
      </c>
      <c r="Q2231">
        <v>2.0299999999999998</v>
      </c>
    </row>
    <row r="2232" spans="1:17" x14ac:dyDescent="0.25">
      <c r="A2232">
        <v>1386</v>
      </c>
      <c r="B2232" t="s">
        <v>3517</v>
      </c>
      <c r="C2232" t="s">
        <v>10600</v>
      </c>
      <c r="D2232" t="s">
        <v>2644</v>
      </c>
      <c r="F2232">
        <v>1998</v>
      </c>
      <c r="H2232" t="s">
        <v>1878</v>
      </c>
      <c r="I2232">
        <v>2</v>
      </c>
      <c r="K2232" t="s">
        <v>14332</v>
      </c>
      <c r="L2232" s="222">
        <v>9783257230239</v>
      </c>
      <c r="M2232">
        <v>256</v>
      </c>
      <c r="O2232" t="s">
        <v>11664</v>
      </c>
      <c r="P2232">
        <v>215</v>
      </c>
      <c r="Q2232">
        <v>1.61</v>
      </c>
    </row>
    <row r="2233" spans="1:17" x14ac:dyDescent="0.25">
      <c r="A2233">
        <v>1386</v>
      </c>
      <c r="B2233" t="s">
        <v>3517</v>
      </c>
      <c r="C2233" t="s">
        <v>3520</v>
      </c>
      <c r="D2233" t="s">
        <v>2644</v>
      </c>
      <c r="F2233">
        <v>2005</v>
      </c>
      <c r="H2233" t="s">
        <v>1878</v>
      </c>
      <c r="I2233">
        <v>2</v>
      </c>
      <c r="K2233" t="s">
        <v>14332</v>
      </c>
      <c r="L2233" s="222">
        <v>9783257234541</v>
      </c>
      <c r="M2233">
        <v>288</v>
      </c>
      <c r="O2233" t="s">
        <v>11665</v>
      </c>
      <c r="P2233">
        <v>246</v>
      </c>
      <c r="Q2233">
        <v>1.84</v>
      </c>
    </row>
    <row r="2234" spans="1:17" x14ac:dyDescent="0.25">
      <c r="A2234">
        <v>1386</v>
      </c>
      <c r="B2234" t="s">
        <v>3517</v>
      </c>
      <c r="C2234" t="s">
        <v>3520</v>
      </c>
      <c r="D2234" t="s">
        <v>2644</v>
      </c>
      <c r="F2234">
        <v>2005</v>
      </c>
      <c r="H2234" t="s">
        <v>1878</v>
      </c>
      <c r="I2234">
        <v>2</v>
      </c>
      <c r="K2234" t="s">
        <v>14332</v>
      </c>
      <c r="L2234" s="222">
        <v>9783257234541</v>
      </c>
      <c r="M2234">
        <v>288</v>
      </c>
      <c r="O2234" t="s">
        <v>11666</v>
      </c>
      <c r="P2234">
        <v>246</v>
      </c>
      <c r="Q2234">
        <v>1.84</v>
      </c>
    </row>
    <row r="2235" spans="1:17" x14ac:dyDescent="0.25">
      <c r="A2235">
        <v>2522</v>
      </c>
      <c r="B2235" t="s">
        <v>3517</v>
      </c>
      <c r="C2235" t="s">
        <v>4484</v>
      </c>
      <c r="D2235" t="s">
        <v>2644</v>
      </c>
      <c r="F2235">
        <v>1993</v>
      </c>
      <c r="H2235" t="s">
        <v>1878</v>
      </c>
      <c r="I2235">
        <v>2</v>
      </c>
      <c r="J2235" t="s">
        <v>11698</v>
      </c>
      <c r="K2235" t="s">
        <v>14332</v>
      </c>
      <c r="L2235" s="222">
        <v>9783257225754</v>
      </c>
      <c r="M2235">
        <v>270</v>
      </c>
      <c r="O2235" t="s">
        <v>11667</v>
      </c>
      <c r="P2235">
        <v>233</v>
      </c>
      <c r="Q2235">
        <v>1.59</v>
      </c>
    </row>
    <row r="2236" spans="1:17" x14ac:dyDescent="0.25">
      <c r="A2236">
        <v>632</v>
      </c>
      <c r="B2236" t="s">
        <v>3517</v>
      </c>
      <c r="C2236" t="s">
        <v>11699</v>
      </c>
      <c r="D2236" t="s">
        <v>2644</v>
      </c>
      <c r="F2236">
        <v>1994</v>
      </c>
      <c r="H2236" t="s">
        <v>1878</v>
      </c>
      <c r="I2236">
        <v>2</v>
      </c>
      <c r="J2236" t="s">
        <v>11698</v>
      </c>
      <c r="K2236" t="s">
        <v>14332</v>
      </c>
      <c r="L2236" s="222">
        <v>9783257227260</v>
      </c>
      <c r="M2236">
        <v>288</v>
      </c>
      <c r="O2236" t="s">
        <v>11668</v>
      </c>
      <c r="P2236">
        <v>251</v>
      </c>
      <c r="Q2236">
        <v>1.59</v>
      </c>
    </row>
    <row r="2237" spans="1:17" x14ac:dyDescent="0.25">
      <c r="A2237">
        <v>1326</v>
      </c>
      <c r="B2237" t="s">
        <v>6167</v>
      </c>
      <c r="C2237" t="s">
        <v>6168</v>
      </c>
      <c r="D2237" t="s">
        <v>2644</v>
      </c>
      <c r="F2237">
        <v>1994</v>
      </c>
      <c r="H2237" t="s">
        <v>1878</v>
      </c>
      <c r="I2237">
        <v>2</v>
      </c>
      <c r="K2237" t="s">
        <v>14332</v>
      </c>
      <c r="L2237" s="222">
        <v>9783257226645</v>
      </c>
      <c r="M2237">
        <v>132</v>
      </c>
      <c r="O2237" t="s">
        <v>11669</v>
      </c>
      <c r="P2237">
        <v>202</v>
      </c>
      <c r="Q2237">
        <v>1.88</v>
      </c>
    </row>
    <row r="2238" spans="1:17" x14ac:dyDescent="0.25">
      <c r="A2238">
        <v>631</v>
      </c>
      <c r="B2238" t="s">
        <v>11701</v>
      </c>
      <c r="C2238" t="s">
        <v>11702</v>
      </c>
      <c r="D2238" t="s">
        <v>1876</v>
      </c>
      <c r="F2238">
        <v>1994</v>
      </c>
      <c r="H2238" t="s">
        <v>1878</v>
      </c>
      <c r="I2238">
        <v>4</v>
      </c>
      <c r="J2238" t="s">
        <v>9092</v>
      </c>
      <c r="K2238" t="s">
        <v>14332</v>
      </c>
      <c r="L2238" s="222">
        <v>9783492115995</v>
      </c>
      <c r="M2238">
        <v>288</v>
      </c>
      <c r="O2238" t="s">
        <v>11670</v>
      </c>
      <c r="P2238">
        <v>239</v>
      </c>
      <c r="Q2238">
        <v>3.29</v>
      </c>
    </row>
    <row r="2239" spans="1:17" x14ac:dyDescent="0.25">
      <c r="A2239">
        <v>1386</v>
      </c>
      <c r="B2239" t="s">
        <v>11704</v>
      </c>
      <c r="C2239" t="s">
        <v>11705</v>
      </c>
      <c r="D2239" t="s">
        <v>1912</v>
      </c>
      <c r="E2239" t="s">
        <v>3731</v>
      </c>
      <c r="F2239">
        <v>2010</v>
      </c>
      <c r="H2239" t="s">
        <v>1878</v>
      </c>
      <c r="I2239">
        <v>3</v>
      </c>
      <c r="K2239" t="s">
        <v>14332</v>
      </c>
      <c r="L2239" s="222">
        <v>9783442475544</v>
      </c>
      <c r="M2239">
        <v>542</v>
      </c>
      <c r="O2239" t="s">
        <v>11709</v>
      </c>
      <c r="P2239">
        <v>476</v>
      </c>
      <c r="Q2239">
        <v>2.0099999999999998</v>
      </c>
    </row>
    <row r="2240" spans="1:17" x14ac:dyDescent="0.25">
      <c r="A2240">
        <v>2522</v>
      </c>
      <c r="B2240" t="s">
        <v>3369</v>
      </c>
      <c r="C2240" t="s">
        <v>11707</v>
      </c>
      <c r="D2240" t="s">
        <v>2209</v>
      </c>
      <c r="F2240">
        <v>2002</v>
      </c>
      <c r="H2240" t="s">
        <v>2734</v>
      </c>
      <c r="K2240" t="s">
        <v>14332</v>
      </c>
      <c r="L2240" s="222">
        <v>9783453864993</v>
      </c>
      <c r="M2240">
        <v>370</v>
      </c>
      <c r="O2240" t="s">
        <v>11710</v>
      </c>
      <c r="P2240">
        <v>586</v>
      </c>
      <c r="Q2240">
        <v>1.05</v>
      </c>
    </row>
    <row r="2241" spans="1:17" x14ac:dyDescent="0.25">
      <c r="A2241">
        <v>774</v>
      </c>
      <c r="B2241" t="s">
        <v>3233</v>
      </c>
      <c r="C2241" t="s">
        <v>3908</v>
      </c>
      <c r="D2241" t="s">
        <v>2257</v>
      </c>
      <c r="F2241">
        <v>2010</v>
      </c>
      <c r="H2241" t="s">
        <v>1878</v>
      </c>
      <c r="I2241">
        <v>2</v>
      </c>
      <c r="J2241" t="s">
        <v>11720</v>
      </c>
      <c r="K2241" t="s">
        <v>14332</v>
      </c>
      <c r="L2241" s="222">
        <v>9783426507681</v>
      </c>
      <c r="M2241">
        <v>624</v>
      </c>
      <c r="O2241" t="s">
        <v>11711</v>
      </c>
      <c r="P2241">
        <v>572</v>
      </c>
      <c r="Q2241">
        <v>1.52</v>
      </c>
    </row>
    <row r="2242" spans="1:17" x14ac:dyDescent="0.25">
      <c r="A2242">
        <v>655</v>
      </c>
      <c r="B2242" t="s">
        <v>4649</v>
      </c>
      <c r="C2242" t="s">
        <v>4650</v>
      </c>
      <c r="D2242" t="s">
        <v>10044</v>
      </c>
      <c r="E2242" t="s">
        <v>4697</v>
      </c>
      <c r="F2242">
        <v>2006</v>
      </c>
      <c r="H2242" t="s">
        <v>1878</v>
      </c>
      <c r="I2242">
        <v>3</v>
      </c>
      <c r="K2242" t="s">
        <v>14332</v>
      </c>
      <c r="L2242" s="222">
        <v>9783462034486</v>
      </c>
      <c r="M2242">
        <v>240</v>
      </c>
      <c r="O2242" t="s">
        <v>11712</v>
      </c>
      <c r="P2242">
        <v>185</v>
      </c>
      <c r="Q2242">
        <v>1.99</v>
      </c>
    </row>
    <row r="2243" spans="1:17" x14ac:dyDescent="0.25">
      <c r="A2243">
        <v>1386</v>
      </c>
      <c r="B2243" t="s">
        <v>11722</v>
      </c>
      <c r="C2243" t="s">
        <v>11723</v>
      </c>
      <c r="D2243" t="s">
        <v>2232</v>
      </c>
      <c r="E2243" t="s">
        <v>1913</v>
      </c>
      <c r="F2243">
        <v>2018</v>
      </c>
      <c r="H2243" t="s">
        <v>1878</v>
      </c>
      <c r="I2243">
        <v>2</v>
      </c>
      <c r="K2243" t="s">
        <v>14332</v>
      </c>
      <c r="L2243" s="222">
        <v>9783442717415</v>
      </c>
      <c r="M2243">
        <v>528</v>
      </c>
      <c r="O2243" t="s">
        <v>11713</v>
      </c>
      <c r="P2243">
        <v>472</v>
      </c>
      <c r="Q2243">
        <v>5.0199999999999996</v>
      </c>
    </row>
    <row r="2244" spans="1:17" x14ac:dyDescent="0.25">
      <c r="A2244">
        <v>2518</v>
      </c>
      <c r="B2244" t="s">
        <v>11725</v>
      </c>
      <c r="C2244" t="s">
        <v>11726</v>
      </c>
      <c r="D2244" t="s">
        <v>3077</v>
      </c>
      <c r="E2244" t="s">
        <v>1913</v>
      </c>
      <c r="F2244">
        <v>2016</v>
      </c>
      <c r="H2244" t="s">
        <v>1878</v>
      </c>
      <c r="I2244">
        <v>2</v>
      </c>
      <c r="K2244" t="s">
        <v>14332</v>
      </c>
      <c r="L2244" s="222">
        <v>9783734102189</v>
      </c>
      <c r="M2244">
        <v>432</v>
      </c>
      <c r="O2244" t="s">
        <v>11714</v>
      </c>
      <c r="P2244">
        <v>360</v>
      </c>
      <c r="Q2244">
        <v>1.89</v>
      </c>
    </row>
    <row r="2245" spans="1:17" x14ac:dyDescent="0.25">
      <c r="A2245">
        <v>2547</v>
      </c>
      <c r="B2245" t="s">
        <v>3941</v>
      </c>
      <c r="C2245" t="s">
        <v>11728</v>
      </c>
      <c r="D2245" t="s">
        <v>1912</v>
      </c>
      <c r="E2245" t="s">
        <v>1913</v>
      </c>
      <c r="F2245">
        <v>2005</v>
      </c>
      <c r="H2245" t="s">
        <v>1878</v>
      </c>
      <c r="I2245">
        <v>2</v>
      </c>
      <c r="K2245" t="s">
        <v>14332</v>
      </c>
      <c r="L2245" s="222">
        <v>9783442459377</v>
      </c>
      <c r="M2245">
        <v>480</v>
      </c>
      <c r="O2245" t="s">
        <v>11715</v>
      </c>
      <c r="P2245">
        <v>373</v>
      </c>
      <c r="Q2245">
        <v>1.2</v>
      </c>
    </row>
    <row r="2246" spans="1:17" x14ac:dyDescent="0.25">
      <c r="A2246">
        <v>632</v>
      </c>
      <c r="B2246" t="s">
        <v>11730</v>
      </c>
      <c r="C2246" t="s">
        <v>11731</v>
      </c>
      <c r="D2246" t="s">
        <v>2209</v>
      </c>
      <c r="F2246">
        <v>2004</v>
      </c>
      <c r="H2246" t="s">
        <v>1878</v>
      </c>
      <c r="I2246">
        <v>2</v>
      </c>
      <c r="K2246" t="s">
        <v>14332</v>
      </c>
      <c r="L2246" s="222">
        <v>9783453500051</v>
      </c>
      <c r="M2246">
        <v>480</v>
      </c>
      <c r="O2246" t="s">
        <v>11716</v>
      </c>
      <c r="P2246">
        <v>331</v>
      </c>
      <c r="Q2246">
        <v>0.42</v>
      </c>
    </row>
    <row r="2247" spans="1:17" x14ac:dyDescent="0.25">
      <c r="A2247">
        <v>1396</v>
      </c>
      <c r="B2247" t="s">
        <v>11733</v>
      </c>
      <c r="C2247" t="s">
        <v>11734</v>
      </c>
      <c r="D2247" t="s">
        <v>10980</v>
      </c>
      <c r="E2247" t="s">
        <v>1877</v>
      </c>
      <c r="F2247">
        <v>2004</v>
      </c>
      <c r="H2247" t="s">
        <v>2734</v>
      </c>
      <c r="I2247">
        <v>2</v>
      </c>
      <c r="K2247" t="s">
        <v>14332</v>
      </c>
      <c r="L2247" s="222">
        <v>9783630872193</v>
      </c>
      <c r="M2247">
        <v>242</v>
      </c>
      <c r="O2247" t="s">
        <v>11717</v>
      </c>
      <c r="P2247">
        <v>410</v>
      </c>
      <c r="Q2247">
        <v>1.81</v>
      </c>
    </row>
    <row r="2248" spans="1:17" x14ac:dyDescent="0.25">
      <c r="A2248">
        <v>1327</v>
      </c>
      <c r="B2248" t="s">
        <v>2510</v>
      </c>
      <c r="C2248" t="s">
        <v>2624</v>
      </c>
      <c r="D2248" t="s">
        <v>11736</v>
      </c>
      <c r="E2248" t="s">
        <v>11737</v>
      </c>
      <c r="F2248">
        <v>2009</v>
      </c>
      <c r="H2248" t="s">
        <v>1878</v>
      </c>
      <c r="I2248">
        <v>2</v>
      </c>
      <c r="K2248" t="s">
        <v>14332</v>
      </c>
      <c r="L2248" s="222">
        <v>9783570585016</v>
      </c>
      <c r="M2248">
        <v>418</v>
      </c>
      <c r="O2248" t="s">
        <v>11718</v>
      </c>
      <c r="P2248">
        <v>591</v>
      </c>
      <c r="Q2248">
        <v>1.52</v>
      </c>
    </row>
    <row r="2249" spans="1:17" x14ac:dyDescent="0.25">
      <c r="A2249">
        <v>1327</v>
      </c>
      <c r="B2249" t="s">
        <v>11738</v>
      </c>
      <c r="C2249" t="s">
        <v>11739</v>
      </c>
      <c r="D2249" t="s">
        <v>3629</v>
      </c>
      <c r="E2249" t="s">
        <v>2518</v>
      </c>
      <c r="F2249">
        <v>2014</v>
      </c>
      <c r="H2249" t="s">
        <v>1878</v>
      </c>
      <c r="I2249">
        <v>2</v>
      </c>
      <c r="K2249" t="s">
        <v>14332</v>
      </c>
      <c r="L2249" s="222">
        <v>9783868824896</v>
      </c>
      <c r="M2249">
        <v>336</v>
      </c>
      <c r="O2249" t="s">
        <v>11719</v>
      </c>
      <c r="P2249">
        <v>452</v>
      </c>
      <c r="Q2249">
        <v>1.88</v>
      </c>
    </row>
    <row r="2250" spans="1:17" x14ac:dyDescent="0.25">
      <c r="A2250">
        <v>2002</v>
      </c>
      <c r="B2250" t="s">
        <v>12831</v>
      </c>
      <c r="C2250" t="s">
        <v>12832</v>
      </c>
      <c r="D2250" t="s">
        <v>12833</v>
      </c>
      <c r="F2250">
        <v>2003</v>
      </c>
      <c r="H2250" t="s">
        <v>2734</v>
      </c>
      <c r="I2250">
        <v>3</v>
      </c>
      <c r="K2250" t="s">
        <v>14332</v>
      </c>
      <c r="L2250" s="222">
        <v>9783930219476</v>
      </c>
      <c r="M2250">
        <v>354</v>
      </c>
      <c r="O2250" t="s">
        <v>11741</v>
      </c>
      <c r="P2250">
        <v>487</v>
      </c>
      <c r="Q2250">
        <v>1.95</v>
      </c>
    </row>
    <row r="2251" spans="1:17" x14ac:dyDescent="0.25">
      <c r="A2251">
        <v>2539</v>
      </c>
      <c r="B2251" t="s">
        <v>12835</v>
      </c>
      <c r="C2251" t="s">
        <v>12836</v>
      </c>
      <c r="D2251" t="s">
        <v>2257</v>
      </c>
      <c r="F2251">
        <v>1987</v>
      </c>
      <c r="H2251" t="s">
        <v>2734</v>
      </c>
      <c r="I2251">
        <v>2</v>
      </c>
      <c r="K2251" t="s">
        <v>14332</v>
      </c>
      <c r="M2251">
        <v>532</v>
      </c>
      <c r="O2251" t="s">
        <v>11742</v>
      </c>
      <c r="P2251">
        <v>690</v>
      </c>
      <c r="Q2251">
        <v>1.67</v>
      </c>
    </row>
    <row r="2252" spans="1:17" x14ac:dyDescent="0.25">
      <c r="A2252">
        <v>481</v>
      </c>
      <c r="C2252" t="s">
        <v>12837</v>
      </c>
      <c r="D2252" t="s">
        <v>12838</v>
      </c>
      <c r="F2252">
        <v>2000</v>
      </c>
      <c r="H2252" t="s">
        <v>2734</v>
      </c>
      <c r="I2252">
        <v>2</v>
      </c>
      <c r="K2252" t="s">
        <v>14332</v>
      </c>
      <c r="L2252" s="222">
        <v>9783760060156</v>
      </c>
      <c r="M2252">
        <v>194</v>
      </c>
      <c r="O2252" t="s">
        <v>11743</v>
      </c>
      <c r="P2252">
        <v>463</v>
      </c>
      <c r="Q2252">
        <v>2.98</v>
      </c>
    </row>
    <row r="2253" spans="1:17" x14ac:dyDescent="0.25">
      <c r="A2253">
        <v>1327</v>
      </c>
      <c r="B2253" t="s">
        <v>12840</v>
      </c>
      <c r="C2253" t="s">
        <v>12841</v>
      </c>
      <c r="D2253" t="s">
        <v>2901</v>
      </c>
      <c r="F2253">
        <v>1959</v>
      </c>
      <c r="H2253" t="s">
        <v>2734</v>
      </c>
      <c r="I2253">
        <v>2</v>
      </c>
      <c r="J2253" t="s">
        <v>2505</v>
      </c>
      <c r="K2253" t="s">
        <v>14332</v>
      </c>
      <c r="M2253">
        <v>454</v>
      </c>
      <c r="O2253" t="s">
        <v>11744</v>
      </c>
      <c r="P2253">
        <v>567</v>
      </c>
      <c r="Q2253">
        <v>2.5</v>
      </c>
    </row>
    <row r="2254" spans="1:17" x14ac:dyDescent="0.25">
      <c r="A2254">
        <v>1352</v>
      </c>
      <c r="B2254" t="s">
        <v>12842</v>
      </c>
      <c r="C2254" t="s">
        <v>12843</v>
      </c>
      <c r="D2254" t="s">
        <v>5005</v>
      </c>
      <c r="F2254">
        <v>1956</v>
      </c>
      <c r="H2254" t="s">
        <v>2734</v>
      </c>
      <c r="I2254">
        <v>3</v>
      </c>
      <c r="J2254" t="s">
        <v>12844</v>
      </c>
      <c r="K2254" t="s">
        <v>14332</v>
      </c>
      <c r="M2254">
        <v>514</v>
      </c>
      <c r="O2254" t="s">
        <v>11745</v>
      </c>
      <c r="P2254">
        <v>447</v>
      </c>
      <c r="Q2254">
        <v>3.7</v>
      </c>
    </row>
    <row r="2255" spans="1:17" x14ac:dyDescent="0.25">
      <c r="A2255">
        <v>1327</v>
      </c>
      <c r="B2255" t="s">
        <v>12845</v>
      </c>
      <c r="C2255" t="s">
        <v>12846</v>
      </c>
      <c r="D2255" t="s">
        <v>9307</v>
      </c>
      <c r="F2255">
        <v>1977</v>
      </c>
      <c r="H2255" t="s">
        <v>2734</v>
      </c>
      <c r="I2255">
        <v>2</v>
      </c>
      <c r="J2255" t="s">
        <v>2505</v>
      </c>
      <c r="K2255" t="s">
        <v>14332</v>
      </c>
      <c r="M2255">
        <v>226</v>
      </c>
      <c r="O2255" t="s">
        <v>11746</v>
      </c>
      <c r="P2255">
        <v>262</v>
      </c>
      <c r="Q2255">
        <v>0.3</v>
      </c>
    </row>
    <row r="2256" spans="1:17" x14ac:dyDescent="0.25">
      <c r="A2256">
        <v>1327</v>
      </c>
      <c r="B2256" t="s">
        <v>12847</v>
      </c>
      <c r="C2256" t="s">
        <v>12848</v>
      </c>
      <c r="D2256" t="s">
        <v>2835</v>
      </c>
      <c r="F2256">
        <v>1983</v>
      </c>
      <c r="H2256" t="s">
        <v>1878</v>
      </c>
      <c r="I2256">
        <v>3</v>
      </c>
      <c r="J2256" t="s">
        <v>12849</v>
      </c>
      <c r="K2256" t="s">
        <v>14332</v>
      </c>
      <c r="L2256" s="222">
        <v>9783518373699</v>
      </c>
      <c r="M2256">
        <v>304</v>
      </c>
      <c r="O2256" t="s">
        <v>11747</v>
      </c>
      <c r="P2256">
        <v>189</v>
      </c>
      <c r="Q2256">
        <v>2.25</v>
      </c>
    </row>
    <row r="2257" spans="1:17" x14ac:dyDescent="0.25">
      <c r="A2257">
        <v>2522</v>
      </c>
      <c r="B2257" t="s">
        <v>12851</v>
      </c>
      <c r="C2257" t="s">
        <v>12852</v>
      </c>
      <c r="D2257" t="s">
        <v>2232</v>
      </c>
      <c r="E2257" t="s">
        <v>1913</v>
      </c>
      <c r="F2257">
        <v>2016</v>
      </c>
      <c r="H2257" t="s">
        <v>1878</v>
      </c>
      <c r="I2257">
        <v>2</v>
      </c>
      <c r="J2257" t="s">
        <v>12853</v>
      </c>
      <c r="K2257" t="s">
        <v>14332</v>
      </c>
      <c r="L2257" s="222">
        <v>9783442713851</v>
      </c>
      <c r="M2257">
        <v>352</v>
      </c>
      <c r="O2257" t="s">
        <v>11748</v>
      </c>
      <c r="P2257">
        <v>327</v>
      </c>
      <c r="Q2257">
        <v>2.2400000000000002</v>
      </c>
    </row>
    <row r="2258" spans="1:17" x14ac:dyDescent="0.25">
      <c r="A2258">
        <v>760</v>
      </c>
      <c r="B2258" t="s">
        <v>12856</v>
      </c>
      <c r="C2258" t="s">
        <v>12855</v>
      </c>
      <c r="D2258" t="s">
        <v>2054</v>
      </c>
      <c r="F2258">
        <v>1986</v>
      </c>
      <c r="H2258" t="s">
        <v>2734</v>
      </c>
      <c r="I2258">
        <v>3</v>
      </c>
      <c r="K2258" t="s">
        <v>14332</v>
      </c>
      <c r="M2258">
        <v>766</v>
      </c>
      <c r="O2258" t="s">
        <v>11749</v>
      </c>
      <c r="P2258">
        <v>648</v>
      </c>
      <c r="Q2258">
        <v>1.8</v>
      </c>
    </row>
    <row r="2259" spans="1:17" x14ac:dyDescent="0.25">
      <c r="A2259">
        <v>2952</v>
      </c>
      <c r="B2259" t="s">
        <v>12857</v>
      </c>
      <c r="C2259" t="s">
        <v>12858</v>
      </c>
      <c r="D2259" t="s">
        <v>2209</v>
      </c>
      <c r="F2259">
        <v>1983</v>
      </c>
      <c r="H2259" t="s">
        <v>1878</v>
      </c>
      <c r="I2259">
        <v>3</v>
      </c>
      <c r="J2259" t="s">
        <v>11698</v>
      </c>
      <c r="K2259" t="s">
        <v>14332</v>
      </c>
      <c r="L2259" s="222">
        <v>9783453113381</v>
      </c>
      <c r="M2259">
        <v>208</v>
      </c>
      <c r="O2259" t="s">
        <v>11750</v>
      </c>
      <c r="P2259">
        <v>143</v>
      </c>
      <c r="Q2259">
        <v>3.79</v>
      </c>
    </row>
    <row r="2260" spans="1:17" x14ac:dyDescent="0.25">
      <c r="A2260">
        <v>634</v>
      </c>
      <c r="B2260" t="s">
        <v>12860</v>
      </c>
      <c r="C2260" t="s">
        <v>12861</v>
      </c>
      <c r="D2260" t="s">
        <v>12862</v>
      </c>
      <c r="F2260">
        <v>1983</v>
      </c>
      <c r="H2260" t="s">
        <v>2734</v>
      </c>
      <c r="I2260">
        <v>3</v>
      </c>
      <c r="K2260" t="s">
        <v>14332</v>
      </c>
      <c r="L2260" s="222">
        <v>9783770905270</v>
      </c>
      <c r="M2260">
        <v>258</v>
      </c>
      <c r="O2260" t="s">
        <v>11751</v>
      </c>
      <c r="P2260">
        <v>432</v>
      </c>
      <c r="Q2260">
        <v>1.67</v>
      </c>
    </row>
    <row r="2261" spans="1:17" x14ac:dyDescent="0.25">
      <c r="A2261">
        <v>1939</v>
      </c>
      <c r="B2261" t="s">
        <v>12864</v>
      </c>
      <c r="C2261" t="s">
        <v>12865</v>
      </c>
      <c r="D2261" t="s">
        <v>9065</v>
      </c>
      <c r="E2261" t="s">
        <v>1899</v>
      </c>
      <c r="F2261">
        <v>1994</v>
      </c>
      <c r="H2261" t="s">
        <v>1878</v>
      </c>
      <c r="I2261">
        <v>2</v>
      </c>
      <c r="K2261" t="s">
        <v>14332</v>
      </c>
      <c r="L2261" s="222">
        <v>9783791822068</v>
      </c>
      <c r="M2261">
        <v>108</v>
      </c>
      <c r="O2261" t="s">
        <v>11752</v>
      </c>
      <c r="P2261">
        <v>126</v>
      </c>
      <c r="Q2261">
        <v>1.18</v>
      </c>
    </row>
    <row r="2262" spans="1:17" x14ac:dyDescent="0.25">
      <c r="A2262">
        <v>947</v>
      </c>
      <c r="B2262" t="s">
        <v>12867</v>
      </c>
      <c r="C2262" t="s">
        <v>12868</v>
      </c>
      <c r="D2262" t="s">
        <v>2209</v>
      </c>
      <c r="E2262" t="s">
        <v>2518</v>
      </c>
      <c r="F2262">
        <v>1997</v>
      </c>
      <c r="H2262" t="s">
        <v>1878</v>
      </c>
      <c r="I2262">
        <v>3</v>
      </c>
      <c r="K2262" t="s">
        <v>14332</v>
      </c>
      <c r="L2262" s="222">
        <v>9783453097230</v>
      </c>
      <c r="M2262">
        <v>240</v>
      </c>
      <c r="O2262" t="s">
        <v>11753</v>
      </c>
      <c r="P2262">
        <v>190</v>
      </c>
      <c r="Q2262">
        <v>1.2</v>
      </c>
    </row>
    <row r="2263" spans="1:17" x14ac:dyDescent="0.25">
      <c r="A2263">
        <v>2521</v>
      </c>
      <c r="B2263" t="s">
        <v>8772</v>
      </c>
      <c r="C2263" t="s">
        <v>12870</v>
      </c>
      <c r="D2263" t="s">
        <v>2209</v>
      </c>
      <c r="F2263">
        <v>1997</v>
      </c>
      <c r="H2263" t="s">
        <v>1878</v>
      </c>
      <c r="I2263">
        <v>3</v>
      </c>
      <c r="K2263" t="s">
        <v>14332</v>
      </c>
      <c r="L2263" s="222">
        <v>9783453116344</v>
      </c>
      <c r="M2263">
        <v>400</v>
      </c>
      <c r="O2263" t="s">
        <v>11754</v>
      </c>
      <c r="P2263">
        <v>313</v>
      </c>
      <c r="Q2263">
        <v>0.75</v>
      </c>
    </row>
    <row r="2264" spans="1:17" x14ac:dyDescent="0.25">
      <c r="A2264">
        <v>1875</v>
      </c>
      <c r="B2264" t="s">
        <v>12872</v>
      </c>
      <c r="C2264" t="s">
        <v>12873</v>
      </c>
      <c r="D2264" t="s">
        <v>12874</v>
      </c>
      <c r="F2264">
        <v>1981</v>
      </c>
      <c r="H2264" t="s">
        <v>2008</v>
      </c>
      <c r="I2264">
        <v>2</v>
      </c>
      <c r="K2264" t="s">
        <v>14332</v>
      </c>
      <c r="L2264" s="222">
        <v>9783437107047</v>
      </c>
      <c r="M2264">
        <v>108</v>
      </c>
      <c r="O2264" t="s">
        <v>11755</v>
      </c>
      <c r="P2264">
        <v>170</v>
      </c>
      <c r="Q2264">
        <v>5.72</v>
      </c>
    </row>
    <row r="2265" spans="1:17" x14ac:dyDescent="0.25">
      <c r="A2265">
        <v>853</v>
      </c>
      <c r="B2265" t="s">
        <v>12876</v>
      </c>
      <c r="C2265" t="s">
        <v>12877</v>
      </c>
      <c r="F2265">
        <v>1912</v>
      </c>
      <c r="H2265" t="s">
        <v>2008</v>
      </c>
      <c r="I2265">
        <v>3</v>
      </c>
      <c r="J2265" t="s">
        <v>12878</v>
      </c>
      <c r="K2265" t="s">
        <v>14332</v>
      </c>
      <c r="M2265">
        <v>100</v>
      </c>
      <c r="O2265" t="s">
        <v>11756</v>
      </c>
      <c r="P2265">
        <v>188</v>
      </c>
      <c r="Q2265">
        <v>22.7</v>
      </c>
    </row>
    <row r="2266" spans="1:17" x14ac:dyDescent="0.25">
      <c r="A2266">
        <v>291</v>
      </c>
      <c r="B2266" t="s">
        <v>12881</v>
      </c>
      <c r="C2266" t="s">
        <v>12879</v>
      </c>
      <c r="D2266" t="s">
        <v>12880</v>
      </c>
      <c r="F2266">
        <v>1965</v>
      </c>
      <c r="H2266" t="s">
        <v>2314</v>
      </c>
      <c r="I2266">
        <v>3</v>
      </c>
      <c r="K2266" t="s">
        <v>14332</v>
      </c>
      <c r="M2266">
        <v>176</v>
      </c>
      <c r="O2266" t="s">
        <v>11757</v>
      </c>
      <c r="P2266">
        <v>176</v>
      </c>
      <c r="Q2266">
        <v>8.82</v>
      </c>
    </row>
    <row r="2267" spans="1:17" x14ac:dyDescent="0.25">
      <c r="A2267">
        <v>704</v>
      </c>
      <c r="B2267" t="s">
        <v>12882</v>
      </c>
      <c r="C2267" t="s">
        <v>12883</v>
      </c>
      <c r="D2267" t="s">
        <v>4476</v>
      </c>
      <c r="F2267">
        <v>1987</v>
      </c>
      <c r="H2267" t="s">
        <v>2734</v>
      </c>
      <c r="I2267">
        <v>2</v>
      </c>
      <c r="J2267" t="s">
        <v>12884</v>
      </c>
      <c r="K2267" t="s">
        <v>14332</v>
      </c>
      <c r="M2267">
        <v>114</v>
      </c>
      <c r="O2267" t="s">
        <v>11758</v>
      </c>
      <c r="P2267">
        <v>134</v>
      </c>
      <c r="Q2267">
        <v>1.21</v>
      </c>
    </row>
    <row r="2268" spans="1:17" x14ac:dyDescent="0.25">
      <c r="A2268">
        <v>447</v>
      </c>
      <c r="C2268" t="s">
        <v>12885</v>
      </c>
      <c r="D2268" t="s">
        <v>2402</v>
      </c>
      <c r="F2268">
        <v>1977</v>
      </c>
      <c r="H2268" t="s">
        <v>2008</v>
      </c>
      <c r="I2268">
        <v>3</v>
      </c>
      <c r="K2268" t="s">
        <v>14332</v>
      </c>
      <c r="M2268">
        <v>96</v>
      </c>
      <c r="O2268" t="s">
        <v>11759</v>
      </c>
      <c r="P2268">
        <v>108</v>
      </c>
      <c r="Q2268">
        <v>2.61</v>
      </c>
    </row>
    <row r="2269" spans="1:17" x14ac:dyDescent="0.25">
      <c r="A2269">
        <v>1812</v>
      </c>
      <c r="C2269" t="s">
        <v>12886</v>
      </c>
      <c r="D2269" t="s">
        <v>12887</v>
      </c>
      <c r="F2269">
        <v>1983</v>
      </c>
      <c r="H2269" t="s">
        <v>2008</v>
      </c>
      <c r="I2269">
        <v>3</v>
      </c>
      <c r="K2269" t="s">
        <v>14332</v>
      </c>
      <c r="L2269" s="222">
        <v>9783766460462</v>
      </c>
      <c r="O2269" t="s">
        <v>11760</v>
      </c>
      <c r="P2269">
        <v>92</v>
      </c>
      <c r="Q2269">
        <v>3.73</v>
      </c>
    </row>
    <row r="2270" spans="1:17" x14ac:dyDescent="0.25">
      <c r="A2270">
        <v>1315</v>
      </c>
      <c r="B2270" t="s">
        <v>12889</v>
      </c>
      <c r="C2270" t="s">
        <v>12890</v>
      </c>
      <c r="D2270" t="s">
        <v>12891</v>
      </c>
      <c r="E2270" t="s">
        <v>1913</v>
      </c>
      <c r="F2270">
        <v>1994</v>
      </c>
      <c r="H2270" t="s">
        <v>1878</v>
      </c>
      <c r="I2270">
        <v>2</v>
      </c>
      <c r="K2270" t="s">
        <v>14332</v>
      </c>
      <c r="L2270" s="222">
        <v>9783403025764</v>
      </c>
      <c r="M2270">
        <v>88</v>
      </c>
      <c r="O2270" t="s">
        <v>11761</v>
      </c>
      <c r="P2270">
        <v>112</v>
      </c>
      <c r="Q2270">
        <v>2</v>
      </c>
    </row>
    <row r="2271" spans="1:17" x14ac:dyDescent="0.25">
      <c r="A2271">
        <v>765</v>
      </c>
      <c r="B2271" t="s">
        <v>12893</v>
      </c>
      <c r="C2271" t="s">
        <v>12894</v>
      </c>
      <c r="D2271" t="s">
        <v>5005</v>
      </c>
      <c r="F2271">
        <v>2002</v>
      </c>
      <c r="H2271" t="s">
        <v>2734</v>
      </c>
      <c r="I2271">
        <v>2</v>
      </c>
      <c r="K2271" t="s">
        <v>14332</v>
      </c>
      <c r="M2271">
        <v>158</v>
      </c>
      <c r="O2271" t="s">
        <v>11762</v>
      </c>
      <c r="P2271">
        <v>236</v>
      </c>
      <c r="Q2271">
        <v>1.57</v>
      </c>
    </row>
    <row r="2272" spans="1:17" x14ac:dyDescent="0.25">
      <c r="A2272">
        <v>704</v>
      </c>
      <c r="B2272" t="s">
        <v>12895</v>
      </c>
      <c r="C2272" t="s">
        <v>12896</v>
      </c>
      <c r="D2272" t="s">
        <v>3629</v>
      </c>
      <c r="E2272" t="s">
        <v>2518</v>
      </c>
      <c r="F2272">
        <v>2014</v>
      </c>
      <c r="H2272" t="s">
        <v>2734</v>
      </c>
      <c r="I2272">
        <v>2</v>
      </c>
      <c r="K2272" t="s">
        <v>14332</v>
      </c>
      <c r="L2272" s="222">
        <v>9783868822342</v>
      </c>
      <c r="M2272">
        <v>194</v>
      </c>
      <c r="O2272" t="s">
        <v>11763</v>
      </c>
      <c r="P2272">
        <v>344</v>
      </c>
      <c r="Q2272">
        <v>9.81</v>
      </c>
    </row>
    <row r="2273" spans="1:17" x14ac:dyDescent="0.25">
      <c r="A2273">
        <v>1348</v>
      </c>
      <c r="B2273" t="s">
        <v>12898</v>
      </c>
      <c r="C2273" t="s">
        <v>12899</v>
      </c>
      <c r="D2273" t="s">
        <v>12900</v>
      </c>
      <c r="E2273" t="s">
        <v>1913</v>
      </c>
      <c r="F2273">
        <v>2017</v>
      </c>
      <c r="H2273" t="s">
        <v>2734</v>
      </c>
      <c r="I2273">
        <v>2</v>
      </c>
      <c r="K2273" t="s">
        <v>14332</v>
      </c>
      <c r="L2273" s="222">
        <v>9783910087156</v>
      </c>
      <c r="M2273">
        <v>226</v>
      </c>
      <c r="O2273" t="s">
        <v>11764</v>
      </c>
      <c r="P2273">
        <v>419</v>
      </c>
      <c r="Q2273">
        <v>0.3</v>
      </c>
    </row>
    <row r="2274" spans="1:17" x14ac:dyDescent="0.25">
      <c r="A2274">
        <v>1396</v>
      </c>
      <c r="B2274" t="s">
        <v>12902</v>
      </c>
      <c r="C2274" t="s">
        <v>12903</v>
      </c>
      <c r="D2274" t="s">
        <v>1979</v>
      </c>
      <c r="E2274" t="s">
        <v>1913</v>
      </c>
      <c r="F2274">
        <v>2002</v>
      </c>
      <c r="H2274" t="s">
        <v>2734</v>
      </c>
      <c r="I2274">
        <v>2</v>
      </c>
      <c r="K2274" t="s">
        <v>14332</v>
      </c>
      <c r="L2274" s="222">
        <v>9783473352425</v>
      </c>
      <c r="M2274">
        <v>218</v>
      </c>
      <c r="O2274" t="s">
        <v>11765</v>
      </c>
      <c r="P2274">
        <v>348</v>
      </c>
      <c r="Q2274">
        <v>1.4</v>
      </c>
    </row>
    <row r="2275" spans="1:17" x14ac:dyDescent="0.25">
      <c r="A2275">
        <v>643</v>
      </c>
      <c r="B2275" t="s">
        <v>12905</v>
      </c>
      <c r="C2275" t="s">
        <v>12906</v>
      </c>
      <c r="D2275" t="s">
        <v>1886</v>
      </c>
      <c r="E2275" t="s">
        <v>1899</v>
      </c>
      <c r="F2275">
        <v>2016</v>
      </c>
      <c r="H2275" t="s">
        <v>1878</v>
      </c>
      <c r="I2275">
        <v>2</v>
      </c>
      <c r="K2275" t="s">
        <v>14332</v>
      </c>
      <c r="L2275" s="222">
        <v>9783499217586</v>
      </c>
      <c r="M2275">
        <v>464</v>
      </c>
      <c r="O2275" t="s">
        <v>11766</v>
      </c>
      <c r="P2275">
        <v>352</v>
      </c>
      <c r="Q2275">
        <v>2.0099999999999998</v>
      </c>
    </row>
    <row r="2276" spans="1:17" x14ac:dyDescent="0.25">
      <c r="A2276">
        <v>2664</v>
      </c>
      <c r="B2276" t="s">
        <v>12908</v>
      </c>
      <c r="C2276" t="s">
        <v>12909</v>
      </c>
      <c r="D2276" t="s">
        <v>2257</v>
      </c>
      <c r="F2276">
        <v>2006</v>
      </c>
      <c r="H2276" t="s">
        <v>1878</v>
      </c>
      <c r="I2276">
        <v>2</v>
      </c>
      <c r="K2276" t="s">
        <v>14332</v>
      </c>
      <c r="L2276" s="222">
        <v>9783426779514</v>
      </c>
      <c r="M2276">
        <v>336</v>
      </c>
      <c r="O2276" t="s">
        <v>11767</v>
      </c>
      <c r="P2276">
        <v>330</v>
      </c>
      <c r="Q2276">
        <v>2.13</v>
      </c>
    </row>
    <row r="2277" spans="1:17" x14ac:dyDescent="0.25">
      <c r="A2277">
        <v>765</v>
      </c>
      <c r="B2277" t="s">
        <v>12911</v>
      </c>
      <c r="C2277" t="s">
        <v>12912</v>
      </c>
      <c r="D2277" t="s">
        <v>2309</v>
      </c>
      <c r="E2277" t="s">
        <v>2175</v>
      </c>
      <c r="F2277">
        <v>2008</v>
      </c>
      <c r="H2277" t="s">
        <v>2734</v>
      </c>
      <c r="I2277">
        <v>1</v>
      </c>
      <c r="K2277" t="s">
        <v>14332</v>
      </c>
      <c r="L2277" s="222">
        <v>9783793421245</v>
      </c>
      <c r="M2277">
        <v>274</v>
      </c>
      <c r="O2277" t="s">
        <v>11768</v>
      </c>
      <c r="P2277">
        <v>418</v>
      </c>
      <c r="Q2277">
        <v>4.3</v>
      </c>
    </row>
    <row r="2278" spans="1:17" x14ac:dyDescent="0.25">
      <c r="A2278">
        <v>2522</v>
      </c>
      <c r="B2278" t="s">
        <v>5879</v>
      </c>
      <c r="C2278" t="s">
        <v>12914</v>
      </c>
      <c r="D2278" t="s">
        <v>2640</v>
      </c>
      <c r="E2278" t="s">
        <v>2518</v>
      </c>
      <c r="F2278">
        <v>2018</v>
      </c>
      <c r="H2278" t="s">
        <v>1878</v>
      </c>
      <c r="I2278">
        <v>3</v>
      </c>
      <c r="K2278" t="s">
        <v>14332</v>
      </c>
      <c r="L2278" s="222">
        <v>9783959671897</v>
      </c>
      <c r="M2278">
        <v>640</v>
      </c>
      <c r="O2278" t="s">
        <v>11769</v>
      </c>
      <c r="P2278">
        <v>545</v>
      </c>
      <c r="Q2278">
        <v>1.93</v>
      </c>
    </row>
    <row r="2279" spans="1:17" x14ac:dyDescent="0.25">
      <c r="A2279">
        <v>1008</v>
      </c>
      <c r="B2279" t="s">
        <v>12916</v>
      </c>
      <c r="C2279" t="s">
        <v>12917</v>
      </c>
      <c r="D2279" t="s">
        <v>2818</v>
      </c>
      <c r="E2279" t="s">
        <v>2175</v>
      </c>
      <c r="F2279">
        <v>1994</v>
      </c>
      <c r="H2279" t="s">
        <v>1878</v>
      </c>
      <c r="I2279">
        <v>3</v>
      </c>
      <c r="K2279" t="s">
        <v>14332</v>
      </c>
      <c r="L2279" s="222">
        <v>9783765595370</v>
      </c>
      <c r="M2279">
        <v>192</v>
      </c>
      <c r="O2279" t="s">
        <v>11770</v>
      </c>
      <c r="P2279">
        <v>223</v>
      </c>
      <c r="Q2279">
        <v>2.2200000000000002</v>
      </c>
    </row>
    <row r="2280" spans="1:17" x14ac:dyDescent="0.25">
      <c r="A2280">
        <v>796</v>
      </c>
      <c r="B2280" t="s">
        <v>5856</v>
      </c>
      <c r="C2280" t="s">
        <v>5857</v>
      </c>
      <c r="D2280" t="s">
        <v>2257</v>
      </c>
      <c r="F2280">
        <v>2006</v>
      </c>
      <c r="H2280" t="s">
        <v>2963</v>
      </c>
      <c r="I2280">
        <v>2</v>
      </c>
      <c r="J2280" t="s">
        <v>9495</v>
      </c>
      <c r="K2280" t="s">
        <v>14332</v>
      </c>
      <c r="M2280">
        <v>332</v>
      </c>
      <c r="O2280" t="s">
        <v>11771</v>
      </c>
      <c r="P2280">
        <v>440</v>
      </c>
      <c r="Q2280">
        <v>1.28</v>
      </c>
    </row>
    <row r="2281" spans="1:17" x14ac:dyDescent="0.25">
      <c r="A2281">
        <v>968</v>
      </c>
      <c r="B2281" t="s">
        <v>12919</v>
      </c>
      <c r="C2281" t="s">
        <v>12920</v>
      </c>
      <c r="D2281" t="s">
        <v>2640</v>
      </c>
      <c r="F2281">
        <v>2004</v>
      </c>
      <c r="H2281" t="s">
        <v>1878</v>
      </c>
      <c r="I2281">
        <v>2</v>
      </c>
      <c r="K2281" t="s">
        <v>14339</v>
      </c>
      <c r="M2281">
        <v>481</v>
      </c>
      <c r="O2281" t="s">
        <v>11772</v>
      </c>
      <c r="P2281">
        <v>253</v>
      </c>
      <c r="Q2281">
        <v>3.78</v>
      </c>
    </row>
    <row r="2282" spans="1:17" x14ac:dyDescent="0.25">
      <c r="A2282">
        <v>1968</v>
      </c>
      <c r="B2282" t="s">
        <v>12921</v>
      </c>
      <c r="C2282" t="s">
        <v>12922</v>
      </c>
      <c r="D2282" t="s">
        <v>12923</v>
      </c>
      <c r="E2282" t="s">
        <v>1899</v>
      </c>
      <c r="F2282">
        <v>1985</v>
      </c>
      <c r="H2282" t="s">
        <v>1878</v>
      </c>
      <c r="I2282">
        <v>3</v>
      </c>
      <c r="J2282" t="s">
        <v>12924</v>
      </c>
      <c r="K2282" t="s">
        <v>14332</v>
      </c>
      <c r="M2282">
        <v>200</v>
      </c>
      <c r="O2282" t="s">
        <v>11773</v>
      </c>
      <c r="P2282">
        <v>180</v>
      </c>
      <c r="Q2282">
        <v>2.79</v>
      </c>
    </row>
    <row r="2283" spans="1:17" x14ac:dyDescent="0.25">
      <c r="A2283">
        <v>796</v>
      </c>
      <c r="B2283" t="s">
        <v>7372</v>
      </c>
      <c r="C2283" t="s">
        <v>12925</v>
      </c>
      <c r="D2283" t="s">
        <v>1920</v>
      </c>
      <c r="E2283" t="s">
        <v>1913</v>
      </c>
      <c r="F2283">
        <v>2005</v>
      </c>
      <c r="H2283" t="s">
        <v>1878</v>
      </c>
      <c r="I2283">
        <v>2</v>
      </c>
      <c r="J2283" t="s">
        <v>9196</v>
      </c>
      <c r="K2283" t="s">
        <v>14332</v>
      </c>
      <c r="M2283">
        <v>395</v>
      </c>
      <c r="O2283" t="s">
        <v>11774</v>
      </c>
      <c r="P2283">
        <v>341</v>
      </c>
      <c r="Q2283">
        <v>2.0099999999999998</v>
      </c>
    </row>
    <row r="2284" spans="1:17" x14ac:dyDescent="0.25">
      <c r="A2284">
        <v>796</v>
      </c>
      <c r="B2284" t="s">
        <v>12926</v>
      </c>
      <c r="C2284" t="s">
        <v>12927</v>
      </c>
      <c r="D2284" t="s">
        <v>2257</v>
      </c>
      <c r="F2284">
        <v>2004</v>
      </c>
      <c r="H2284" t="s">
        <v>1878</v>
      </c>
      <c r="I2284">
        <v>2</v>
      </c>
      <c r="J2284" t="s">
        <v>9196</v>
      </c>
      <c r="K2284" t="s">
        <v>14332</v>
      </c>
      <c r="M2284">
        <v>653</v>
      </c>
      <c r="O2284" t="s">
        <v>11775</v>
      </c>
      <c r="P2284">
        <v>424</v>
      </c>
      <c r="Q2284">
        <v>0.69</v>
      </c>
    </row>
    <row r="2285" spans="1:17" x14ac:dyDescent="0.25">
      <c r="A2285">
        <v>767</v>
      </c>
      <c r="B2285" t="s">
        <v>12928</v>
      </c>
      <c r="C2285" t="s">
        <v>12929</v>
      </c>
      <c r="D2285" t="s">
        <v>2368</v>
      </c>
      <c r="F2285">
        <v>2011</v>
      </c>
      <c r="H2285" t="s">
        <v>2963</v>
      </c>
      <c r="I2285">
        <v>2</v>
      </c>
      <c r="J2285" t="s">
        <v>12930</v>
      </c>
      <c r="K2285" t="s">
        <v>14332</v>
      </c>
      <c r="M2285">
        <v>454</v>
      </c>
      <c r="O2285" t="s">
        <v>11776</v>
      </c>
      <c r="P2285">
        <v>715</v>
      </c>
      <c r="Q2285">
        <v>2.02</v>
      </c>
    </row>
    <row r="2286" spans="1:17" x14ac:dyDescent="0.25">
      <c r="A2286">
        <v>1327</v>
      </c>
      <c r="B2286" t="s">
        <v>12931</v>
      </c>
      <c r="C2286" t="s">
        <v>12932</v>
      </c>
      <c r="D2286" t="s">
        <v>2221</v>
      </c>
      <c r="F2286">
        <v>1978</v>
      </c>
      <c r="H2286" t="s">
        <v>2963</v>
      </c>
      <c r="I2286">
        <v>2</v>
      </c>
      <c r="K2286" t="s">
        <v>14332</v>
      </c>
      <c r="L2286" s="222">
        <v>9783797303141</v>
      </c>
      <c r="M2286">
        <v>368</v>
      </c>
      <c r="O2286" t="s">
        <v>11777</v>
      </c>
      <c r="P2286">
        <v>711</v>
      </c>
      <c r="Q2286">
        <v>3.8</v>
      </c>
    </row>
    <row r="2287" spans="1:17" x14ac:dyDescent="0.25">
      <c r="A2287">
        <v>631</v>
      </c>
      <c r="B2287" t="s">
        <v>8765</v>
      </c>
      <c r="C2287" t="s">
        <v>12934</v>
      </c>
      <c r="D2287" t="s">
        <v>1912</v>
      </c>
      <c r="E2287" t="s">
        <v>2175</v>
      </c>
      <c r="F2287">
        <v>2012</v>
      </c>
      <c r="H2287" t="s">
        <v>1878</v>
      </c>
      <c r="I2287">
        <v>3</v>
      </c>
      <c r="K2287" t="s">
        <v>14332</v>
      </c>
      <c r="L2287" s="222">
        <v>9783442478965</v>
      </c>
      <c r="M2287">
        <v>608</v>
      </c>
      <c r="O2287" t="s">
        <v>11778</v>
      </c>
      <c r="P2287">
        <v>636</v>
      </c>
      <c r="Q2287">
        <v>1.66</v>
      </c>
    </row>
    <row r="2288" spans="1:17" x14ac:dyDescent="0.25">
      <c r="A2288">
        <v>938</v>
      </c>
      <c r="B2288" t="s">
        <v>12935</v>
      </c>
      <c r="C2288" t="s">
        <v>12936</v>
      </c>
      <c r="D2288" t="s">
        <v>2054</v>
      </c>
      <c r="F2288">
        <v>2004</v>
      </c>
      <c r="H2288" t="s">
        <v>2963</v>
      </c>
      <c r="I2288">
        <v>2</v>
      </c>
      <c r="K2288" t="s">
        <v>14332</v>
      </c>
      <c r="L2288" s="222">
        <v>9783828949287</v>
      </c>
      <c r="M2288">
        <v>418</v>
      </c>
      <c r="O2288" t="s">
        <v>11779</v>
      </c>
      <c r="P2288">
        <v>604</v>
      </c>
      <c r="Q2288">
        <v>5.07</v>
      </c>
    </row>
    <row r="2289" spans="1:17" x14ac:dyDescent="0.25">
      <c r="A2289">
        <v>1913</v>
      </c>
      <c r="B2289" t="s">
        <v>12938</v>
      </c>
      <c r="C2289" t="s">
        <v>12939</v>
      </c>
      <c r="D2289" t="s">
        <v>2386</v>
      </c>
      <c r="F2289">
        <v>1976</v>
      </c>
      <c r="H2289" t="s">
        <v>2963</v>
      </c>
      <c r="I2289">
        <v>3</v>
      </c>
      <c r="K2289" t="s">
        <v>14332</v>
      </c>
      <c r="M2289">
        <v>384</v>
      </c>
      <c r="O2289" t="s">
        <v>11780</v>
      </c>
      <c r="P2289">
        <v>499</v>
      </c>
      <c r="Q2289">
        <v>4.3</v>
      </c>
    </row>
    <row r="2290" spans="1:17" x14ac:dyDescent="0.25">
      <c r="A2290">
        <v>1327</v>
      </c>
      <c r="B2290" t="s">
        <v>12940</v>
      </c>
      <c r="C2290" t="s">
        <v>12941</v>
      </c>
      <c r="D2290" t="s">
        <v>12942</v>
      </c>
      <c r="F2290">
        <v>1963</v>
      </c>
      <c r="H2290" t="s">
        <v>2963</v>
      </c>
      <c r="I2290">
        <v>3</v>
      </c>
      <c r="K2290" t="s">
        <v>14332</v>
      </c>
      <c r="M2290">
        <v>302</v>
      </c>
      <c r="O2290" t="s">
        <v>11781</v>
      </c>
      <c r="P2290">
        <v>385</v>
      </c>
      <c r="Q2290">
        <v>1.5</v>
      </c>
    </row>
    <row r="2291" spans="1:17" x14ac:dyDescent="0.25">
      <c r="A2291">
        <v>796</v>
      </c>
      <c r="B2291" t="s">
        <v>12943</v>
      </c>
      <c r="C2291" t="s">
        <v>12944</v>
      </c>
      <c r="D2291" t="s">
        <v>2640</v>
      </c>
      <c r="F2291">
        <v>2016</v>
      </c>
      <c r="H2291" t="s">
        <v>1878</v>
      </c>
      <c r="I2291">
        <v>2</v>
      </c>
      <c r="K2291" t="s">
        <v>14332</v>
      </c>
      <c r="L2291" s="222">
        <v>9783956496547</v>
      </c>
      <c r="M2291">
        <v>304</v>
      </c>
      <c r="O2291" t="s">
        <v>11782</v>
      </c>
      <c r="P2291">
        <v>299</v>
      </c>
      <c r="Q2291">
        <v>6.48</v>
      </c>
    </row>
    <row r="2292" spans="1:17" x14ac:dyDescent="0.25">
      <c r="A2292">
        <v>796</v>
      </c>
      <c r="B2292" t="s">
        <v>12946</v>
      </c>
      <c r="C2292" t="s">
        <v>12947</v>
      </c>
      <c r="D2292" t="s">
        <v>2424</v>
      </c>
      <c r="F2292">
        <v>2018</v>
      </c>
      <c r="H2292" t="s">
        <v>1878</v>
      </c>
      <c r="I2292">
        <v>2</v>
      </c>
      <c r="K2292" t="s">
        <v>14332</v>
      </c>
      <c r="L2292" s="222">
        <v>9783453359802</v>
      </c>
      <c r="M2292">
        <v>384</v>
      </c>
      <c r="O2292" t="s">
        <v>11783</v>
      </c>
      <c r="P2292">
        <v>323</v>
      </c>
      <c r="Q2292">
        <v>1.99</v>
      </c>
    </row>
    <row r="2293" spans="1:17" x14ac:dyDescent="0.25">
      <c r="A2293">
        <v>1962</v>
      </c>
      <c r="B2293" t="s">
        <v>12949</v>
      </c>
      <c r="C2293" t="s">
        <v>12950</v>
      </c>
      <c r="D2293" t="s">
        <v>2221</v>
      </c>
      <c r="F2293">
        <v>2013</v>
      </c>
      <c r="H2293" t="s">
        <v>2963</v>
      </c>
      <c r="I2293">
        <v>2</v>
      </c>
      <c r="K2293" t="s">
        <v>14332</v>
      </c>
      <c r="L2293" s="222">
        <v>9783955420345</v>
      </c>
      <c r="M2293">
        <v>226</v>
      </c>
      <c r="O2293" t="s">
        <v>11784</v>
      </c>
      <c r="P2293">
        <v>311</v>
      </c>
      <c r="Q2293">
        <v>3.38</v>
      </c>
    </row>
    <row r="2294" spans="1:17" x14ac:dyDescent="0.25">
      <c r="A2294">
        <v>2522</v>
      </c>
      <c r="B2294" t="s">
        <v>10431</v>
      </c>
      <c r="C2294" t="s">
        <v>12952</v>
      </c>
      <c r="D2294" t="s">
        <v>5005</v>
      </c>
      <c r="F2294">
        <v>2004</v>
      </c>
      <c r="H2294" t="s">
        <v>2963</v>
      </c>
      <c r="I2294">
        <v>2</v>
      </c>
      <c r="K2294" t="s">
        <v>14332</v>
      </c>
      <c r="M2294">
        <v>482</v>
      </c>
      <c r="O2294" t="s">
        <v>11785</v>
      </c>
      <c r="P2294">
        <v>653</v>
      </c>
      <c r="Q2294">
        <v>2.96</v>
      </c>
    </row>
    <row r="2295" spans="1:17" x14ac:dyDescent="0.25">
      <c r="A2295">
        <v>606</v>
      </c>
      <c r="B2295" t="s">
        <v>12953</v>
      </c>
      <c r="C2295" t="s">
        <v>12954</v>
      </c>
      <c r="D2295" t="s">
        <v>12955</v>
      </c>
      <c r="H2295" t="s">
        <v>2963</v>
      </c>
      <c r="I2295">
        <v>3</v>
      </c>
      <c r="J2295" t="s">
        <v>12956</v>
      </c>
      <c r="K2295" t="s">
        <v>14332</v>
      </c>
      <c r="M2295">
        <v>290</v>
      </c>
      <c r="O2295" t="s">
        <v>11786</v>
      </c>
      <c r="P2295">
        <v>487</v>
      </c>
      <c r="Q2295">
        <v>3.4</v>
      </c>
    </row>
    <row r="2296" spans="1:17" x14ac:dyDescent="0.25">
      <c r="A2296">
        <v>722</v>
      </c>
      <c r="B2296" t="s">
        <v>12957</v>
      </c>
      <c r="C2296" t="s">
        <v>12958</v>
      </c>
      <c r="D2296" t="s">
        <v>5005</v>
      </c>
      <c r="F2296">
        <v>1956</v>
      </c>
      <c r="H2296" t="s">
        <v>2963</v>
      </c>
      <c r="I2296">
        <v>2</v>
      </c>
      <c r="J2296" t="s">
        <v>12959</v>
      </c>
      <c r="K2296" t="s">
        <v>14332</v>
      </c>
      <c r="O2296" t="s">
        <v>11787</v>
      </c>
      <c r="P2296">
        <v>149</v>
      </c>
      <c r="Q2296">
        <v>4.28</v>
      </c>
    </row>
    <row r="2297" spans="1:17" x14ac:dyDescent="0.25">
      <c r="A2297">
        <v>1253</v>
      </c>
      <c r="B2297" t="s">
        <v>12960</v>
      </c>
      <c r="C2297" t="s">
        <v>12961</v>
      </c>
      <c r="D2297" t="s">
        <v>5902</v>
      </c>
      <c r="E2297" t="s">
        <v>12962</v>
      </c>
      <c r="F2297">
        <v>1977</v>
      </c>
      <c r="H2297" t="s">
        <v>2963</v>
      </c>
      <c r="I2297">
        <v>2</v>
      </c>
      <c r="J2297" t="s">
        <v>12959</v>
      </c>
      <c r="K2297" t="s">
        <v>14332</v>
      </c>
      <c r="M2297">
        <v>514</v>
      </c>
      <c r="O2297" t="s">
        <v>11788</v>
      </c>
      <c r="P2297">
        <v>518</v>
      </c>
      <c r="Q2297">
        <v>2</v>
      </c>
    </row>
    <row r="2298" spans="1:17" x14ac:dyDescent="0.25">
      <c r="A2298">
        <v>1327</v>
      </c>
      <c r="B2298" t="s">
        <v>7806</v>
      </c>
      <c r="C2298" t="s">
        <v>12963</v>
      </c>
      <c r="D2298" t="s">
        <v>3077</v>
      </c>
      <c r="F2298">
        <v>1988</v>
      </c>
      <c r="H2298" t="s">
        <v>2963</v>
      </c>
      <c r="I2298">
        <v>2</v>
      </c>
      <c r="J2298" t="s">
        <v>2505</v>
      </c>
      <c r="K2298" t="s">
        <v>14332</v>
      </c>
      <c r="M2298">
        <v>386</v>
      </c>
      <c r="O2298" t="s">
        <v>11789</v>
      </c>
      <c r="P2298">
        <v>470</v>
      </c>
      <c r="Q2298">
        <v>1.96</v>
      </c>
    </row>
    <row r="2299" spans="1:17" x14ac:dyDescent="0.25">
      <c r="A2299">
        <v>2002</v>
      </c>
      <c r="B2299" t="s">
        <v>12964</v>
      </c>
      <c r="C2299" t="s">
        <v>12965</v>
      </c>
      <c r="D2299" t="s">
        <v>9307</v>
      </c>
      <c r="F2299">
        <v>1960</v>
      </c>
      <c r="H2299" t="s">
        <v>2963</v>
      </c>
      <c r="I2299">
        <v>2</v>
      </c>
      <c r="J2299" t="s">
        <v>2782</v>
      </c>
      <c r="K2299" t="s">
        <v>14332</v>
      </c>
      <c r="M2299">
        <v>242</v>
      </c>
      <c r="O2299" t="s">
        <v>11790</v>
      </c>
      <c r="P2299">
        <v>451</v>
      </c>
      <c r="Q2299">
        <v>5</v>
      </c>
    </row>
    <row r="2300" spans="1:17" x14ac:dyDescent="0.25">
      <c r="A2300">
        <v>1327</v>
      </c>
      <c r="B2300" t="s">
        <v>12966</v>
      </c>
      <c r="C2300" t="s">
        <v>12967</v>
      </c>
      <c r="D2300" t="s">
        <v>1876</v>
      </c>
      <c r="F2300">
        <v>1975</v>
      </c>
      <c r="H2300" t="s">
        <v>2963</v>
      </c>
      <c r="I2300">
        <v>2</v>
      </c>
      <c r="J2300" t="s">
        <v>2505</v>
      </c>
      <c r="K2300" t="s">
        <v>14332</v>
      </c>
      <c r="M2300">
        <v>226</v>
      </c>
      <c r="O2300" t="s">
        <v>11791</v>
      </c>
      <c r="P2300">
        <v>313</v>
      </c>
      <c r="Q2300">
        <v>1.2</v>
      </c>
    </row>
    <row r="2301" spans="1:17" x14ac:dyDescent="0.25">
      <c r="A2301">
        <v>1327</v>
      </c>
      <c r="B2301" t="s">
        <v>4827</v>
      </c>
      <c r="C2301" t="s">
        <v>4828</v>
      </c>
      <c r="D2301" t="s">
        <v>5005</v>
      </c>
      <c r="F2301">
        <v>1995</v>
      </c>
      <c r="H2301" t="s">
        <v>2963</v>
      </c>
      <c r="I2301">
        <v>3</v>
      </c>
      <c r="J2301" t="s">
        <v>12968</v>
      </c>
      <c r="K2301" t="s">
        <v>14332</v>
      </c>
      <c r="M2301">
        <v>322</v>
      </c>
      <c r="O2301" t="s">
        <v>11792</v>
      </c>
      <c r="P2301">
        <v>452</v>
      </c>
      <c r="Q2301">
        <v>2.77</v>
      </c>
    </row>
    <row r="2302" spans="1:17" x14ac:dyDescent="0.25">
      <c r="A2302">
        <v>1327</v>
      </c>
      <c r="B2302" t="s">
        <v>12969</v>
      </c>
      <c r="C2302" t="s">
        <v>12970</v>
      </c>
      <c r="D2302" t="s">
        <v>12971</v>
      </c>
      <c r="F2302">
        <v>1963</v>
      </c>
      <c r="H2302" t="s">
        <v>2963</v>
      </c>
      <c r="I2302">
        <v>3</v>
      </c>
      <c r="J2302" t="s">
        <v>12972</v>
      </c>
      <c r="K2302" t="s">
        <v>14332</v>
      </c>
      <c r="M2302">
        <v>318</v>
      </c>
      <c r="O2302" t="s">
        <v>11793</v>
      </c>
      <c r="P2302">
        <v>392</v>
      </c>
      <c r="Q2302">
        <v>3.65</v>
      </c>
    </row>
    <row r="2303" spans="1:17" x14ac:dyDescent="0.25">
      <c r="A2303">
        <v>2595</v>
      </c>
      <c r="B2303" t="s">
        <v>12973</v>
      </c>
      <c r="C2303" t="s">
        <v>12974</v>
      </c>
      <c r="D2303" t="s">
        <v>12975</v>
      </c>
      <c r="F2303">
        <v>1948</v>
      </c>
      <c r="H2303" t="s">
        <v>2963</v>
      </c>
      <c r="I2303">
        <v>3</v>
      </c>
      <c r="J2303" t="s">
        <v>12976</v>
      </c>
      <c r="K2303" t="s">
        <v>14332</v>
      </c>
      <c r="M2303">
        <v>434</v>
      </c>
      <c r="O2303" t="s">
        <v>11794</v>
      </c>
      <c r="P2303">
        <v>493</v>
      </c>
      <c r="Q2303">
        <v>14.9</v>
      </c>
    </row>
    <row r="2304" spans="1:17" x14ac:dyDescent="0.25">
      <c r="A2304">
        <v>1327</v>
      </c>
      <c r="B2304" t="s">
        <v>7462</v>
      </c>
      <c r="C2304" t="s">
        <v>12977</v>
      </c>
      <c r="D2304" t="s">
        <v>2257</v>
      </c>
      <c r="F2304">
        <v>1979</v>
      </c>
      <c r="H2304" t="s">
        <v>2963</v>
      </c>
      <c r="I2304">
        <v>2</v>
      </c>
      <c r="J2304" t="s">
        <v>12978</v>
      </c>
      <c r="K2304" t="s">
        <v>14332</v>
      </c>
      <c r="M2304">
        <v>690</v>
      </c>
      <c r="O2304" t="s">
        <v>11795</v>
      </c>
      <c r="P2304">
        <v>814</v>
      </c>
      <c r="Q2304">
        <v>1.24</v>
      </c>
    </row>
    <row r="2305" spans="1:17" x14ac:dyDescent="0.25">
      <c r="A2305">
        <v>718</v>
      </c>
      <c r="B2305" t="s">
        <v>12979</v>
      </c>
      <c r="C2305" t="s">
        <v>12980</v>
      </c>
      <c r="D2305" t="s">
        <v>12981</v>
      </c>
      <c r="F2305">
        <v>1997</v>
      </c>
      <c r="H2305" t="s">
        <v>2963</v>
      </c>
      <c r="I2305">
        <v>2</v>
      </c>
      <c r="K2305" t="s">
        <v>14332</v>
      </c>
      <c r="L2305" s="222">
        <v>9783275012596</v>
      </c>
      <c r="M2305">
        <v>130</v>
      </c>
      <c r="O2305" t="s">
        <v>11796</v>
      </c>
      <c r="P2305">
        <v>498</v>
      </c>
      <c r="Q2305">
        <v>4.5999999999999996</v>
      </c>
    </row>
    <row r="2306" spans="1:17" x14ac:dyDescent="0.25">
      <c r="A2306">
        <v>2598</v>
      </c>
      <c r="B2306" t="s">
        <v>12983</v>
      </c>
      <c r="C2306" t="s">
        <v>12984</v>
      </c>
      <c r="D2306" t="s">
        <v>12985</v>
      </c>
      <c r="F2306">
        <v>2011</v>
      </c>
      <c r="H2306" t="s">
        <v>2963</v>
      </c>
      <c r="I2306">
        <v>2</v>
      </c>
      <c r="K2306" t="s">
        <v>14332</v>
      </c>
      <c r="L2306" s="222">
        <v>4139252327378</v>
      </c>
      <c r="M2306">
        <v>218</v>
      </c>
      <c r="O2306" t="s">
        <v>11797</v>
      </c>
      <c r="P2306">
        <v>861</v>
      </c>
      <c r="Q2306">
        <v>8.2799999999999994</v>
      </c>
    </row>
    <row r="2307" spans="1:17" x14ac:dyDescent="0.25">
      <c r="A2307">
        <v>2518</v>
      </c>
      <c r="B2307" t="s">
        <v>4519</v>
      </c>
      <c r="C2307" t="s">
        <v>12987</v>
      </c>
      <c r="D2307" t="s">
        <v>12988</v>
      </c>
      <c r="F2307">
        <v>2004</v>
      </c>
      <c r="H2307" t="s">
        <v>1878</v>
      </c>
      <c r="I2307">
        <v>2</v>
      </c>
      <c r="K2307" t="s">
        <v>14332</v>
      </c>
      <c r="L2307" s="222">
        <v>9783894252953</v>
      </c>
      <c r="M2307">
        <v>320</v>
      </c>
      <c r="O2307" t="s">
        <v>11798</v>
      </c>
      <c r="P2307">
        <v>296</v>
      </c>
      <c r="Q2307">
        <v>1.18</v>
      </c>
    </row>
    <row r="2308" spans="1:17" x14ac:dyDescent="0.25">
      <c r="A2308">
        <v>1327</v>
      </c>
      <c r="B2308" t="s">
        <v>12990</v>
      </c>
      <c r="C2308" t="s">
        <v>12991</v>
      </c>
      <c r="D2308" t="s">
        <v>2609</v>
      </c>
      <c r="F2308">
        <v>2014</v>
      </c>
      <c r="H2308" t="s">
        <v>1878</v>
      </c>
      <c r="I2308">
        <v>2</v>
      </c>
      <c r="K2308" t="s">
        <v>14332</v>
      </c>
      <c r="L2308" s="222">
        <v>9783596148479</v>
      </c>
      <c r="M2308">
        <v>160</v>
      </c>
      <c r="O2308" t="s">
        <v>11799</v>
      </c>
      <c r="P2308">
        <v>144</v>
      </c>
      <c r="Q2308">
        <v>2.29</v>
      </c>
    </row>
    <row r="2309" spans="1:17" x14ac:dyDescent="0.25">
      <c r="A2309">
        <v>632</v>
      </c>
      <c r="B2309" t="s">
        <v>3233</v>
      </c>
      <c r="C2309" t="s">
        <v>3234</v>
      </c>
      <c r="D2309" t="s">
        <v>2257</v>
      </c>
      <c r="F2309">
        <v>2011</v>
      </c>
      <c r="H2309" t="s">
        <v>1878</v>
      </c>
      <c r="I2309">
        <v>3</v>
      </c>
      <c r="K2309" t="s">
        <v>14332</v>
      </c>
      <c r="L2309" s="222">
        <v>9783426635223</v>
      </c>
      <c r="M2309">
        <v>800</v>
      </c>
      <c r="O2309" t="s">
        <v>11800</v>
      </c>
      <c r="P2309">
        <v>588</v>
      </c>
      <c r="Q2309">
        <v>1</v>
      </c>
    </row>
    <row r="2310" spans="1:17" x14ac:dyDescent="0.25">
      <c r="A2310">
        <v>2518</v>
      </c>
      <c r="B2310" t="s">
        <v>12993</v>
      </c>
      <c r="C2310" t="s">
        <v>12994</v>
      </c>
      <c r="D2310" t="s">
        <v>12995</v>
      </c>
      <c r="E2310" t="s">
        <v>1913</v>
      </c>
      <c r="F2310">
        <v>2011</v>
      </c>
      <c r="H2310" t="s">
        <v>1878</v>
      </c>
      <c r="I2310">
        <v>2</v>
      </c>
      <c r="K2310" t="s">
        <v>14332</v>
      </c>
      <c r="L2310" s="222">
        <v>9783942884273</v>
      </c>
      <c r="M2310">
        <v>366</v>
      </c>
      <c r="O2310" t="s">
        <v>11801</v>
      </c>
      <c r="P2310">
        <v>406</v>
      </c>
      <c r="Q2310">
        <v>2.89</v>
      </c>
    </row>
    <row r="2311" spans="1:17" x14ac:dyDescent="0.25">
      <c r="A2311">
        <v>704</v>
      </c>
      <c r="B2311" t="s">
        <v>12997</v>
      </c>
      <c r="C2311" t="s">
        <v>12998</v>
      </c>
      <c r="D2311" t="s">
        <v>1886</v>
      </c>
      <c r="F2311">
        <v>1996</v>
      </c>
      <c r="H2311" t="s">
        <v>1878</v>
      </c>
      <c r="I2311">
        <v>3</v>
      </c>
      <c r="K2311" t="s">
        <v>14332</v>
      </c>
      <c r="L2311" s="222">
        <v>9783499208256</v>
      </c>
      <c r="M2311">
        <v>128</v>
      </c>
      <c r="O2311" t="s">
        <v>11802</v>
      </c>
      <c r="P2311">
        <v>162</v>
      </c>
      <c r="Q2311">
        <v>2.58</v>
      </c>
    </row>
    <row r="2312" spans="1:17" x14ac:dyDescent="0.25">
      <c r="A2312">
        <v>2522</v>
      </c>
      <c r="B2312" t="s">
        <v>3862</v>
      </c>
      <c r="C2312" t="s">
        <v>3863</v>
      </c>
      <c r="D2312" t="s">
        <v>3864</v>
      </c>
      <c r="E2312" t="s">
        <v>1913</v>
      </c>
      <c r="F2312">
        <v>2018</v>
      </c>
      <c r="H2312" t="s">
        <v>2963</v>
      </c>
      <c r="I2312">
        <v>2</v>
      </c>
      <c r="J2312" t="s">
        <v>13000</v>
      </c>
      <c r="K2312" t="s">
        <v>14332</v>
      </c>
      <c r="L2312" s="222">
        <v>9783832198893</v>
      </c>
      <c r="M2312">
        <v>306</v>
      </c>
      <c r="O2312" t="s">
        <v>11803</v>
      </c>
      <c r="P2312">
        <v>363</v>
      </c>
      <c r="Q2312">
        <v>4.4000000000000004</v>
      </c>
    </row>
    <row r="2313" spans="1:17" x14ac:dyDescent="0.25">
      <c r="A2313">
        <v>2522</v>
      </c>
      <c r="B2313" t="s">
        <v>3369</v>
      </c>
      <c r="C2313" t="s">
        <v>13001</v>
      </c>
      <c r="D2313" t="s">
        <v>2209</v>
      </c>
      <c r="F2313">
        <v>2009</v>
      </c>
      <c r="H2313" t="s">
        <v>1878</v>
      </c>
      <c r="I2313">
        <v>2</v>
      </c>
      <c r="K2313" t="s">
        <v>14332</v>
      </c>
      <c r="L2313" s="222">
        <v>9783453433748</v>
      </c>
      <c r="M2313">
        <v>416</v>
      </c>
      <c r="O2313" t="s">
        <v>11804</v>
      </c>
      <c r="P2313">
        <v>342</v>
      </c>
      <c r="Q2313">
        <v>2.65</v>
      </c>
    </row>
    <row r="2314" spans="1:17" x14ac:dyDescent="0.25">
      <c r="A2314">
        <v>1327</v>
      </c>
      <c r="B2314" t="s">
        <v>12835</v>
      </c>
      <c r="C2314" t="s">
        <v>13003</v>
      </c>
      <c r="D2314" t="s">
        <v>2257</v>
      </c>
      <c r="F2314">
        <v>1985</v>
      </c>
      <c r="H2314" t="s">
        <v>2963</v>
      </c>
      <c r="I2314">
        <v>2</v>
      </c>
      <c r="J2314" t="s">
        <v>13004</v>
      </c>
      <c r="K2314" t="s">
        <v>14332</v>
      </c>
      <c r="M2314">
        <v>626</v>
      </c>
      <c r="O2314" t="s">
        <v>11805</v>
      </c>
      <c r="P2314">
        <v>777</v>
      </c>
      <c r="Q2314">
        <v>1.97</v>
      </c>
    </row>
    <row r="2315" spans="1:17" x14ac:dyDescent="0.25">
      <c r="A2315">
        <v>2522</v>
      </c>
      <c r="B2315" t="s">
        <v>10419</v>
      </c>
      <c r="C2315" t="s">
        <v>13005</v>
      </c>
      <c r="D2315" t="s">
        <v>3077</v>
      </c>
      <c r="E2315" t="s">
        <v>2175</v>
      </c>
      <c r="F2315">
        <v>2006</v>
      </c>
      <c r="H2315" t="s">
        <v>1878</v>
      </c>
      <c r="I2315">
        <v>2</v>
      </c>
      <c r="J2315" t="s">
        <v>13007</v>
      </c>
      <c r="K2315" t="s">
        <v>14332</v>
      </c>
      <c r="L2315" s="222">
        <v>9783442364596</v>
      </c>
      <c r="M2315">
        <v>416</v>
      </c>
      <c r="O2315" t="s">
        <v>11806</v>
      </c>
      <c r="P2315">
        <v>322</v>
      </c>
      <c r="Q2315">
        <v>2.88</v>
      </c>
    </row>
    <row r="2316" spans="1:17" x14ac:dyDescent="0.25">
      <c r="A2316">
        <v>1386</v>
      </c>
      <c r="B2316" t="s">
        <v>13008</v>
      </c>
      <c r="C2316" t="s">
        <v>13009</v>
      </c>
      <c r="D2316" t="s">
        <v>2644</v>
      </c>
      <c r="F2316">
        <v>2000</v>
      </c>
      <c r="H2316" t="s">
        <v>1878</v>
      </c>
      <c r="I2316">
        <v>2</v>
      </c>
      <c r="J2316" t="s">
        <v>11698</v>
      </c>
      <c r="K2316" t="s">
        <v>14332</v>
      </c>
      <c r="L2316" s="222">
        <v>9783257231618</v>
      </c>
      <c r="M2316">
        <v>256</v>
      </c>
      <c r="O2316" t="s">
        <v>11807</v>
      </c>
      <c r="P2316">
        <v>220</v>
      </c>
      <c r="Q2316">
        <v>1.66</v>
      </c>
    </row>
    <row r="2317" spans="1:17" x14ac:dyDescent="0.25">
      <c r="A2317">
        <v>1809</v>
      </c>
      <c r="B2317" t="s">
        <v>13011</v>
      </c>
      <c r="C2317" t="s">
        <v>13012</v>
      </c>
      <c r="D2317" t="s">
        <v>807</v>
      </c>
      <c r="F2317">
        <v>2014</v>
      </c>
      <c r="H2317" t="s">
        <v>1878</v>
      </c>
      <c r="I2317">
        <v>2</v>
      </c>
      <c r="K2317" t="s">
        <v>14332</v>
      </c>
      <c r="L2317" s="222">
        <v>9783551312099</v>
      </c>
      <c r="M2317">
        <v>288</v>
      </c>
      <c r="O2317" t="s">
        <v>11808</v>
      </c>
      <c r="P2317">
        <v>306</v>
      </c>
      <c r="Q2317">
        <v>2.0299999999999998</v>
      </c>
    </row>
    <row r="2318" spans="1:17" x14ac:dyDescent="0.25">
      <c r="A2318">
        <v>297</v>
      </c>
      <c r="B2318" t="s">
        <v>13014</v>
      </c>
      <c r="C2318" t="s">
        <v>13015</v>
      </c>
      <c r="D2318" t="s">
        <v>1886</v>
      </c>
      <c r="F2318">
        <v>1997</v>
      </c>
      <c r="H2318" t="s">
        <v>1878</v>
      </c>
      <c r="I2318">
        <v>2</v>
      </c>
      <c r="K2318" t="s">
        <v>14332</v>
      </c>
      <c r="L2318" s="222">
        <v>9783499208416</v>
      </c>
      <c r="M2318">
        <v>128</v>
      </c>
      <c r="O2318" t="s">
        <v>11809</v>
      </c>
      <c r="P2318">
        <v>185</v>
      </c>
      <c r="Q2318">
        <v>4.0999999999999996</v>
      </c>
    </row>
    <row r="2319" spans="1:17" x14ac:dyDescent="0.25">
      <c r="A2319">
        <v>632</v>
      </c>
      <c r="B2319" t="s">
        <v>4593</v>
      </c>
      <c r="C2319" t="s">
        <v>13017</v>
      </c>
      <c r="D2319" t="s">
        <v>1920</v>
      </c>
      <c r="F2319">
        <v>2005</v>
      </c>
      <c r="H2319" t="s">
        <v>1878</v>
      </c>
      <c r="I2319">
        <v>2</v>
      </c>
      <c r="K2319" t="s">
        <v>14332</v>
      </c>
      <c r="L2319" s="222">
        <v>9783404156542</v>
      </c>
      <c r="M2319">
        <v>704</v>
      </c>
      <c r="O2319" t="s">
        <v>11810</v>
      </c>
      <c r="P2319">
        <v>583</v>
      </c>
      <c r="Q2319">
        <v>1.94</v>
      </c>
    </row>
    <row r="2320" spans="1:17" x14ac:dyDescent="0.25">
      <c r="A2320">
        <v>1395</v>
      </c>
      <c r="B2320" t="s">
        <v>13019</v>
      </c>
      <c r="C2320" t="s">
        <v>13020</v>
      </c>
      <c r="D2320" t="s">
        <v>1920</v>
      </c>
      <c r="F2320">
        <v>2013</v>
      </c>
      <c r="H2320" t="s">
        <v>2963</v>
      </c>
      <c r="I2320">
        <v>2</v>
      </c>
      <c r="K2320" t="s">
        <v>14332</v>
      </c>
      <c r="M2320">
        <v>530</v>
      </c>
      <c r="O2320" t="s">
        <v>11811</v>
      </c>
      <c r="P2320">
        <v>473</v>
      </c>
      <c r="Q2320">
        <v>2.0299999999999998</v>
      </c>
    </row>
    <row r="2321" spans="1:17" x14ac:dyDescent="0.25">
      <c r="A2321">
        <v>796</v>
      </c>
      <c r="B2321" t="s">
        <v>4479</v>
      </c>
      <c r="C2321" t="s">
        <v>13021</v>
      </c>
      <c r="D2321" t="s">
        <v>1912</v>
      </c>
      <c r="F2321">
        <v>2000</v>
      </c>
      <c r="H2321" t="s">
        <v>1878</v>
      </c>
      <c r="I2321">
        <v>3</v>
      </c>
      <c r="K2321" t="s">
        <v>14332</v>
      </c>
      <c r="L2321" s="222">
        <v>9783442448753</v>
      </c>
      <c r="M2321">
        <v>512</v>
      </c>
      <c r="O2321" t="s">
        <v>11812</v>
      </c>
      <c r="P2321">
        <v>339</v>
      </c>
      <c r="Q2321">
        <v>1.1000000000000001</v>
      </c>
    </row>
    <row r="2322" spans="1:17" x14ac:dyDescent="0.25">
      <c r="A2322">
        <v>691</v>
      </c>
      <c r="B2322" t="s">
        <v>13023</v>
      </c>
      <c r="C2322" t="s">
        <v>13024</v>
      </c>
      <c r="D2322" t="s">
        <v>9200</v>
      </c>
      <c r="F2322">
        <v>1993</v>
      </c>
      <c r="H2322" t="s">
        <v>2963</v>
      </c>
      <c r="I2322">
        <v>2</v>
      </c>
      <c r="K2322" t="s">
        <v>14332</v>
      </c>
      <c r="L2322" s="222">
        <v>9783407796127</v>
      </c>
      <c r="M2322">
        <v>66</v>
      </c>
      <c r="O2322" t="s">
        <v>11813</v>
      </c>
      <c r="P2322">
        <v>244</v>
      </c>
      <c r="Q2322">
        <v>1.4</v>
      </c>
    </row>
    <row r="2323" spans="1:17" x14ac:dyDescent="0.25">
      <c r="A2323">
        <v>1313</v>
      </c>
      <c r="B2323" t="s">
        <v>13026</v>
      </c>
      <c r="C2323" t="s">
        <v>13027</v>
      </c>
      <c r="D2323" t="s">
        <v>9200</v>
      </c>
      <c r="F2323">
        <v>1993</v>
      </c>
      <c r="H2323" t="s">
        <v>2963</v>
      </c>
      <c r="I2323">
        <v>2</v>
      </c>
      <c r="K2323" t="s">
        <v>14332</v>
      </c>
      <c r="L2323" s="222">
        <v>9783407791351</v>
      </c>
      <c r="M2323">
        <v>34</v>
      </c>
      <c r="O2323" t="s">
        <v>11814</v>
      </c>
      <c r="P2323">
        <v>177</v>
      </c>
      <c r="Q2323">
        <v>9.9</v>
      </c>
    </row>
    <row r="2324" spans="1:17" x14ac:dyDescent="0.25">
      <c r="A2324">
        <v>691</v>
      </c>
      <c r="B2324" t="s">
        <v>13029</v>
      </c>
      <c r="C2324" t="s">
        <v>13030</v>
      </c>
      <c r="D2324" t="s">
        <v>13031</v>
      </c>
      <c r="E2324" t="s">
        <v>11207</v>
      </c>
      <c r="F2324">
        <v>2012</v>
      </c>
      <c r="H2324" t="s">
        <v>1878</v>
      </c>
      <c r="I2324">
        <v>3</v>
      </c>
      <c r="J2324" t="s">
        <v>13032</v>
      </c>
      <c r="K2324" t="s">
        <v>14332</v>
      </c>
      <c r="L2324" s="222">
        <v>9783932842016</v>
      </c>
      <c r="M2324">
        <v>96</v>
      </c>
      <c r="O2324" t="s">
        <v>11815</v>
      </c>
      <c r="P2324">
        <v>200</v>
      </c>
      <c r="Q2324">
        <v>5.55</v>
      </c>
    </row>
    <row r="2325" spans="1:17" x14ac:dyDescent="0.25">
      <c r="A2325">
        <v>691</v>
      </c>
      <c r="B2325" t="s">
        <v>13029</v>
      </c>
      <c r="C2325" t="s">
        <v>13034</v>
      </c>
      <c r="D2325" t="s">
        <v>13031</v>
      </c>
      <c r="E2325" t="s">
        <v>2157</v>
      </c>
      <c r="F2325">
        <v>2010</v>
      </c>
      <c r="H2325" t="s">
        <v>1878</v>
      </c>
      <c r="I2325">
        <v>2</v>
      </c>
      <c r="K2325" t="s">
        <v>14332</v>
      </c>
      <c r="L2325" s="222">
        <v>9783932842214</v>
      </c>
      <c r="M2325">
        <v>156</v>
      </c>
      <c r="O2325" t="s">
        <v>11816</v>
      </c>
      <c r="P2325">
        <v>326</v>
      </c>
      <c r="Q2325">
        <v>3.56</v>
      </c>
    </row>
    <row r="2326" spans="1:17" x14ac:dyDescent="0.25">
      <c r="A2326">
        <v>691</v>
      </c>
      <c r="B2326" t="s">
        <v>952</v>
      </c>
      <c r="C2326" t="s">
        <v>13036</v>
      </c>
      <c r="D2326" t="s">
        <v>2644</v>
      </c>
      <c r="F2326">
        <v>1992</v>
      </c>
      <c r="H2326" t="s">
        <v>2963</v>
      </c>
      <c r="I2326">
        <v>2</v>
      </c>
      <c r="K2326" t="s">
        <v>14332</v>
      </c>
      <c r="L2326" s="222">
        <v>9783257007336</v>
      </c>
      <c r="M2326">
        <v>50</v>
      </c>
      <c r="O2326" t="s">
        <v>11817</v>
      </c>
      <c r="P2326">
        <v>254</v>
      </c>
      <c r="Q2326">
        <v>1.77</v>
      </c>
    </row>
    <row r="2327" spans="1:17" x14ac:dyDescent="0.25">
      <c r="A2327">
        <v>1395</v>
      </c>
      <c r="B2327" t="s">
        <v>8130</v>
      </c>
      <c r="C2327" t="s">
        <v>13038</v>
      </c>
      <c r="D2327" t="s">
        <v>2257</v>
      </c>
      <c r="F2327">
        <v>2008</v>
      </c>
      <c r="H2327" t="s">
        <v>1878</v>
      </c>
      <c r="I2327">
        <v>2</v>
      </c>
      <c r="K2327" t="s">
        <v>14332</v>
      </c>
      <c r="L2327" s="222">
        <v>9783426638699</v>
      </c>
      <c r="M2327">
        <v>480</v>
      </c>
      <c r="O2327" t="s">
        <v>11818</v>
      </c>
      <c r="P2327">
        <v>358</v>
      </c>
      <c r="Q2327">
        <v>1.74</v>
      </c>
    </row>
    <row r="2328" spans="1:17" x14ac:dyDescent="0.25">
      <c r="A2328">
        <v>758</v>
      </c>
      <c r="B2328" t="s">
        <v>6291</v>
      </c>
      <c r="C2328" t="s">
        <v>6292</v>
      </c>
      <c r="D2328" t="s">
        <v>1912</v>
      </c>
      <c r="E2328" t="s">
        <v>1899</v>
      </c>
      <c r="F2328">
        <v>2005</v>
      </c>
      <c r="H2328" t="s">
        <v>1878</v>
      </c>
      <c r="I2328">
        <v>2</v>
      </c>
      <c r="J2328" t="s">
        <v>13040</v>
      </c>
      <c r="K2328" t="s">
        <v>14332</v>
      </c>
      <c r="L2328" s="222">
        <v>9783442164998</v>
      </c>
      <c r="M2328">
        <v>192</v>
      </c>
      <c r="O2328" t="s">
        <v>11819</v>
      </c>
      <c r="P2328">
        <v>191</v>
      </c>
      <c r="Q2328">
        <v>2.2999999999999998</v>
      </c>
    </row>
    <row r="2329" spans="1:17" x14ac:dyDescent="0.25">
      <c r="A2329">
        <v>758</v>
      </c>
      <c r="B2329" t="s">
        <v>13041</v>
      </c>
      <c r="C2329" t="s">
        <v>13042</v>
      </c>
      <c r="D2329" t="s">
        <v>2068</v>
      </c>
      <c r="F2329">
        <v>1998</v>
      </c>
      <c r="H2329" t="s">
        <v>1878</v>
      </c>
      <c r="I2329">
        <v>3</v>
      </c>
      <c r="K2329" t="s">
        <v>14332</v>
      </c>
      <c r="L2329" s="222">
        <v>9783806814446</v>
      </c>
      <c r="M2329">
        <v>136</v>
      </c>
      <c r="O2329" t="s">
        <v>11820</v>
      </c>
      <c r="P2329">
        <v>362</v>
      </c>
      <c r="Q2329">
        <v>3.98</v>
      </c>
    </row>
    <row r="2330" spans="1:17" x14ac:dyDescent="0.25">
      <c r="A2330">
        <v>1395</v>
      </c>
      <c r="B2330" t="s">
        <v>13045</v>
      </c>
      <c r="C2330" t="s">
        <v>13044</v>
      </c>
      <c r="F2330">
        <v>1997</v>
      </c>
      <c r="H2330" t="s">
        <v>1878</v>
      </c>
      <c r="I2330">
        <v>2</v>
      </c>
      <c r="K2330" t="s">
        <v>14332</v>
      </c>
      <c r="M2330">
        <v>160</v>
      </c>
      <c r="O2330" t="s">
        <v>11821</v>
      </c>
      <c r="P2330">
        <v>265</v>
      </c>
      <c r="Q2330">
        <v>11.8</v>
      </c>
    </row>
    <row r="2331" spans="1:17" x14ac:dyDescent="0.25">
      <c r="A2331">
        <v>1386</v>
      </c>
      <c r="B2331" t="s">
        <v>13046</v>
      </c>
      <c r="C2331" t="s">
        <v>13047</v>
      </c>
      <c r="D2331" t="s">
        <v>1886</v>
      </c>
      <c r="E2331" t="s">
        <v>1913</v>
      </c>
      <c r="F2331">
        <v>2000</v>
      </c>
      <c r="H2331" t="s">
        <v>2963</v>
      </c>
      <c r="I2331">
        <v>2</v>
      </c>
      <c r="K2331" t="s">
        <v>14332</v>
      </c>
      <c r="L2331" s="222">
        <v>9783498068769</v>
      </c>
      <c r="M2331">
        <v>402</v>
      </c>
      <c r="O2331" t="s">
        <v>11822</v>
      </c>
      <c r="P2331">
        <v>547</v>
      </c>
      <c r="Q2331">
        <v>2.12</v>
      </c>
    </row>
    <row r="2332" spans="1:17" x14ac:dyDescent="0.25">
      <c r="A2332">
        <v>1352</v>
      </c>
      <c r="B2332" t="s">
        <v>13049</v>
      </c>
      <c r="C2332" t="s">
        <v>13050</v>
      </c>
      <c r="D2332" t="s">
        <v>5005</v>
      </c>
      <c r="F2332">
        <v>1962</v>
      </c>
      <c r="H2332" t="s">
        <v>2963</v>
      </c>
      <c r="I2332">
        <v>3</v>
      </c>
      <c r="J2332" t="s">
        <v>2505</v>
      </c>
      <c r="K2332" t="s">
        <v>14332</v>
      </c>
      <c r="M2332">
        <v>354</v>
      </c>
      <c r="O2332" t="s">
        <v>11823</v>
      </c>
      <c r="P2332">
        <v>398</v>
      </c>
      <c r="Q2332">
        <v>1.4</v>
      </c>
    </row>
    <row r="2333" spans="1:17" x14ac:dyDescent="0.25">
      <c r="A2333">
        <v>689</v>
      </c>
      <c r="B2333" t="s">
        <v>2870</v>
      </c>
      <c r="C2333" t="s">
        <v>13051</v>
      </c>
      <c r="D2333" t="s">
        <v>2054</v>
      </c>
      <c r="H2333" t="s">
        <v>2963</v>
      </c>
      <c r="I2333">
        <v>2</v>
      </c>
      <c r="K2333" t="s">
        <v>14332</v>
      </c>
      <c r="M2333">
        <v>386</v>
      </c>
      <c r="O2333" t="s">
        <v>11824</v>
      </c>
      <c r="P2333">
        <v>439</v>
      </c>
      <c r="Q2333">
        <v>1.65</v>
      </c>
    </row>
    <row r="2334" spans="1:17" x14ac:dyDescent="0.25">
      <c r="A2334">
        <v>689</v>
      </c>
      <c r="B2334" t="s">
        <v>13052</v>
      </c>
      <c r="C2334" t="s">
        <v>13053</v>
      </c>
      <c r="D2334" t="s">
        <v>13054</v>
      </c>
      <c r="F2334">
        <v>1984</v>
      </c>
      <c r="H2334" t="s">
        <v>1878</v>
      </c>
      <c r="I2334">
        <v>3</v>
      </c>
      <c r="J2334" t="s">
        <v>13007</v>
      </c>
      <c r="K2334" t="s">
        <v>14332</v>
      </c>
      <c r="L2334" s="222">
        <v>9783453024298</v>
      </c>
      <c r="M2334">
        <v>432</v>
      </c>
      <c r="O2334" t="s">
        <v>11825</v>
      </c>
      <c r="P2334">
        <v>293</v>
      </c>
      <c r="Q2334">
        <v>7.29</v>
      </c>
    </row>
    <row r="2335" spans="1:17" x14ac:dyDescent="0.25">
      <c r="A2335">
        <v>692</v>
      </c>
      <c r="B2335" t="s">
        <v>13056</v>
      </c>
      <c r="C2335" t="s">
        <v>13057</v>
      </c>
      <c r="D2335" t="s">
        <v>2309</v>
      </c>
      <c r="H2335" t="s">
        <v>2963</v>
      </c>
      <c r="I2335">
        <v>3</v>
      </c>
      <c r="J2335" t="s">
        <v>13058</v>
      </c>
      <c r="K2335" t="s">
        <v>14332</v>
      </c>
      <c r="M2335">
        <v>162</v>
      </c>
      <c r="O2335" t="s">
        <v>11826</v>
      </c>
      <c r="P2335">
        <v>240</v>
      </c>
      <c r="Q2335">
        <v>1.2</v>
      </c>
    </row>
    <row r="2336" spans="1:17" x14ac:dyDescent="0.25">
      <c r="A2336">
        <v>632</v>
      </c>
      <c r="B2336" t="s">
        <v>7258</v>
      </c>
      <c r="C2336" t="s">
        <v>9069</v>
      </c>
      <c r="D2336" t="s">
        <v>2257</v>
      </c>
      <c r="F2336">
        <v>1990</v>
      </c>
      <c r="H2336" t="s">
        <v>1878</v>
      </c>
      <c r="I2336">
        <v>3</v>
      </c>
      <c r="K2336" t="s">
        <v>14332</v>
      </c>
      <c r="L2336" s="222">
        <v>9783426029558</v>
      </c>
      <c r="M2336">
        <v>640</v>
      </c>
      <c r="O2336" t="s">
        <v>11827</v>
      </c>
      <c r="P2336">
        <v>346</v>
      </c>
      <c r="Q2336">
        <v>1.79</v>
      </c>
    </row>
    <row r="2337" spans="1:17" x14ac:dyDescent="0.25">
      <c r="A2337">
        <v>1875</v>
      </c>
      <c r="B2337" t="s">
        <v>13060</v>
      </c>
      <c r="C2337" t="s">
        <v>13061</v>
      </c>
      <c r="D2337" t="s">
        <v>10999</v>
      </c>
      <c r="H2337" t="s">
        <v>1878</v>
      </c>
      <c r="I2337">
        <v>2</v>
      </c>
      <c r="K2337" t="s">
        <v>14332</v>
      </c>
      <c r="L2337" s="222">
        <v>9783746226927</v>
      </c>
      <c r="M2337">
        <v>160</v>
      </c>
      <c r="O2337" t="s">
        <v>11828</v>
      </c>
      <c r="P2337">
        <v>142</v>
      </c>
      <c r="Q2337">
        <v>2.8</v>
      </c>
    </row>
    <row r="2338" spans="1:17" x14ac:dyDescent="0.25">
      <c r="A2338">
        <v>46</v>
      </c>
      <c r="B2338" t="s">
        <v>13063</v>
      </c>
      <c r="C2338" t="s">
        <v>13064</v>
      </c>
      <c r="D2338" t="s">
        <v>1876</v>
      </c>
      <c r="E2338" t="s">
        <v>2922</v>
      </c>
      <c r="F2338">
        <v>2004</v>
      </c>
      <c r="H2338" t="s">
        <v>1878</v>
      </c>
      <c r="I2338">
        <v>2</v>
      </c>
      <c r="K2338" t="s">
        <v>14332</v>
      </c>
      <c r="L2338" s="222">
        <v>9783492234481</v>
      </c>
      <c r="M2338">
        <v>352</v>
      </c>
      <c r="O2338" t="s">
        <v>11829</v>
      </c>
      <c r="P2338">
        <v>322</v>
      </c>
      <c r="Q2338">
        <v>2.75</v>
      </c>
    </row>
    <row r="2339" spans="1:17" x14ac:dyDescent="0.25">
      <c r="A2339">
        <v>1327</v>
      </c>
      <c r="B2339" t="s">
        <v>14498</v>
      </c>
      <c r="C2339" t="s">
        <v>13066</v>
      </c>
      <c r="D2339" t="s">
        <v>2054</v>
      </c>
      <c r="F2339">
        <v>2004</v>
      </c>
      <c r="H2339" t="s">
        <v>2963</v>
      </c>
      <c r="I2339">
        <v>2</v>
      </c>
      <c r="K2339" t="s">
        <v>14332</v>
      </c>
      <c r="L2339" s="222">
        <v>9783828974814</v>
      </c>
      <c r="M2339">
        <v>546</v>
      </c>
      <c r="O2339" t="s">
        <v>11830</v>
      </c>
      <c r="P2339">
        <v>620</v>
      </c>
      <c r="Q2339">
        <v>2.75</v>
      </c>
    </row>
    <row r="2340" spans="1:17" x14ac:dyDescent="0.25">
      <c r="A2340">
        <v>763</v>
      </c>
      <c r="B2340" t="s">
        <v>13068</v>
      </c>
      <c r="C2340" t="s">
        <v>13069</v>
      </c>
      <c r="D2340" t="s">
        <v>5005</v>
      </c>
      <c r="F2340">
        <v>1965</v>
      </c>
      <c r="H2340" t="s">
        <v>2963</v>
      </c>
      <c r="I2340">
        <v>4</v>
      </c>
      <c r="J2340" t="s">
        <v>13073</v>
      </c>
      <c r="K2340" t="s">
        <v>14332</v>
      </c>
      <c r="M2340">
        <v>738</v>
      </c>
      <c r="O2340" t="s">
        <v>11831</v>
      </c>
      <c r="P2340">
        <v>1220</v>
      </c>
      <c r="Q2340">
        <v>1.8</v>
      </c>
    </row>
    <row r="2341" spans="1:17" x14ac:dyDescent="0.25">
      <c r="A2341">
        <v>5</v>
      </c>
      <c r="B2341" t="s">
        <v>13072</v>
      </c>
      <c r="C2341" t="s">
        <v>13070</v>
      </c>
      <c r="D2341" t="s">
        <v>13071</v>
      </c>
      <c r="F2341">
        <v>1960</v>
      </c>
      <c r="H2341" t="s">
        <v>2963</v>
      </c>
      <c r="I2341">
        <v>3</v>
      </c>
      <c r="K2341" t="s">
        <v>14332</v>
      </c>
      <c r="M2341">
        <v>314</v>
      </c>
      <c r="O2341" t="s">
        <v>11832</v>
      </c>
      <c r="P2341">
        <v>400</v>
      </c>
      <c r="Q2341">
        <v>0.9</v>
      </c>
    </row>
    <row r="2342" spans="1:17" x14ac:dyDescent="0.25">
      <c r="A2342">
        <v>1327</v>
      </c>
      <c r="B2342" t="s">
        <v>13074</v>
      </c>
      <c r="C2342" t="s">
        <v>13075</v>
      </c>
      <c r="D2342" t="s">
        <v>2609</v>
      </c>
      <c r="F2342">
        <v>1969</v>
      </c>
      <c r="H2342" t="s">
        <v>1878</v>
      </c>
      <c r="I2342">
        <v>3</v>
      </c>
      <c r="K2342" t="s">
        <v>14332</v>
      </c>
      <c r="M2342">
        <v>158</v>
      </c>
      <c r="O2342" t="s">
        <v>11833</v>
      </c>
      <c r="P2342">
        <v>109</v>
      </c>
      <c r="Q2342">
        <v>3.56</v>
      </c>
    </row>
    <row r="2343" spans="1:17" x14ac:dyDescent="0.25">
      <c r="A2343">
        <v>1849</v>
      </c>
      <c r="B2343" t="s">
        <v>13076</v>
      </c>
      <c r="C2343" t="s">
        <v>13077</v>
      </c>
      <c r="D2343" t="s">
        <v>13078</v>
      </c>
      <c r="E2343" t="s">
        <v>1877</v>
      </c>
      <c r="F2343">
        <v>1872</v>
      </c>
      <c r="H2343" t="s">
        <v>2963</v>
      </c>
      <c r="I2343">
        <v>2</v>
      </c>
      <c r="M2343">
        <v>182</v>
      </c>
      <c r="O2343" t="s">
        <v>11834</v>
      </c>
      <c r="P2343">
        <v>159</v>
      </c>
      <c r="Q2343">
        <v>33.79</v>
      </c>
    </row>
    <row r="2344" spans="1:17" x14ac:dyDescent="0.25">
      <c r="A2344">
        <v>1327</v>
      </c>
      <c r="B2344" t="s">
        <v>13080</v>
      </c>
      <c r="C2344" t="s">
        <v>13081</v>
      </c>
      <c r="D2344" t="s">
        <v>2901</v>
      </c>
      <c r="F2344">
        <v>1958</v>
      </c>
      <c r="H2344" t="s">
        <v>2963</v>
      </c>
      <c r="I2344">
        <v>3</v>
      </c>
      <c r="J2344" t="s">
        <v>2505</v>
      </c>
      <c r="M2344">
        <v>450</v>
      </c>
      <c r="O2344" t="s">
        <v>11835</v>
      </c>
      <c r="P2344">
        <v>573</v>
      </c>
      <c r="Q2344">
        <v>3.81</v>
      </c>
    </row>
    <row r="2345" spans="1:17" x14ac:dyDescent="0.25">
      <c r="A2345">
        <v>1327</v>
      </c>
      <c r="B2345" t="s">
        <v>13082</v>
      </c>
      <c r="C2345" t="s">
        <v>13083</v>
      </c>
      <c r="D2345" t="s">
        <v>13084</v>
      </c>
      <c r="F2345">
        <v>1971</v>
      </c>
      <c r="H2345" t="s">
        <v>2963</v>
      </c>
      <c r="I2345">
        <v>3</v>
      </c>
      <c r="J2345" t="s">
        <v>13085</v>
      </c>
      <c r="K2345" t="s">
        <v>14332</v>
      </c>
      <c r="M2345">
        <v>338</v>
      </c>
      <c r="O2345" t="s">
        <v>11836</v>
      </c>
      <c r="P2345">
        <v>449</v>
      </c>
      <c r="Q2345">
        <v>5.05</v>
      </c>
    </row>
    <row r="2346" spans="1:17" x14ac:dyDescent="0.25">
      <c r="A2346">
        <v>481</v>
      </c>
      <c r="B2346" t="s">
        <v>13086</v>
      </c>
      <c r="C2346" t="s">
        <v>13087</v>
      </c>
      <c r="D2346" t="s">
        <v>13088</v>
      </c>
      <c r="E2346" t="s">
        <v>1877</v>
      </c>
      <c r="F2346">
        <v>1983</v>
      </c>
      <c r="H2346" t="s">
        <v>2963</v>
      </c>
      <c r="I2346">
        <v>3</v>
      </c>
      <c r="K2346" t="s">
        <v>14332</v>
      </c>
      <c r="M2346">
        <v>134</v>
      </c>
      <c r="O2346" t="s">
        <v>11837</v>
      </c>
      <c r="P2346">
        <v>465</v>
      </c>
      <c r="Q2346">
        <v>2.4</v>
      </c>
    </row>
    <row r="2347" spans="1:17" x14ac:dyDescent="0.25">
      <c r="A2347">
        <v>1875</v>
      </c>
      <c r="B2347" t="s">
        <v>13089</v>
      </c>
      <c r="C2347" t="s">
        <v>13090</v>
      </c>
      <c r="D2347" t="s">
        <v>3709</v>
      </c>
      <c r="F2347">
        <v>2005</v>
      </c>
      <c r="H2347" t="s">
        <v>2963</v>
      </c>
      <c r="I2347">
        <v>2</v>
      </c>
      <c r="J2347" t="s">
        <v>13091</v>
      </c>
      <c r="K2347" t="s">
        <v>14332</v>
      </c>
      <c r="L2347" s="222">
        <v>9783890085746</v>
      </c>
      <c r="O2347" t="s">
        <v>11838</v>
      </c>
      <c r="P2347">
        <v>226</v>
      </c>
      <c r="Q2347">
        <v>0.78</v>
      </c>
    </row>
    <row r="2348" spans="1:17" x14ac:dyDescent="0.25">
      <c r="A2348">
        <v>1339</v>
      </c>
      <c r="B2348" t="s">
        <v>13093</v>
      </c>
      <c r="C2348" t="s">
        <v>13094</v>
      </c>
      <c r="F2348">
        <v>1981</v>
      </c>
      <c r="H2348" t="s">
        <v>1878</v>
      </c>
      <c r="I2348">
        <v>3</v>
      </c>
      <c r="J2348" t="s">
        <v>13095</v>
      </c>
      <c r="K2348" t="s">
        <v>14332</v>
      </c>
      <c r="M2348">
        <v>96</v>
      </c>
      <c r="O2348" t="s">
        <v>11839</v>
      </c>
      <c r="P2348">
        <v>180</v>
      </c>
      <c r="Q2348">
        <v>2.7</v>
      </c>
    </row>
    <row r="2349" spans="1:17" x14ac:dyDescent="0.25">
      <c r="A2349">
        <v>948</v>
      </c>
      <c r="B2349" t="s">
        <v>13096</v>
      </c>
      <c r="C2349" t="s">
        <v>13097</v>
      </c>
      <c r="D2349" t="s">
        <v>13098</v>
      </c>
      <c r="F2349">
        <v>1982</v>
      </c>
      <c r="H2349" t="s">
        <v>2963</v>
      </c>
      <c r="I2349">
        <v>2</v>
      </c>
      <c r="K2349" t="s">
        <v>14332</v>
      </c>
      <c r="M2349">
        <v>258</v>
      </c>
      <c r="O2349" t="s">
        <v>11840</v>
      </c>
      <c r="P2349">
        <v>403</v>
      </c>
      <c r="Q2349">
        <v>8.8000000000000007</v>
      </c>
    </row>
    <row r="2350" spans="1:17" x14ac:dyDescent="0.25">
      <c r="A2350">
        <v>1327</v>
      </c>
      <c r="B2350" t="s">
        <v>13099</v>
      </c>
      <c r="C2350" t="s">
        <v>13100</v>
      </c>
      <c r="D2350" t="s">
        <v>10930</v>
      </c>
      <c r="E2350" t="s">
        <v>1877</v>
      </c>
      <c r="F2350">
        <v>1962</v>
      </c>
      <c r="H2350" t="s">
        <v>2963</v>
      </c>
      <c r="I2350">
        <v>3</v>
      </c>
      <c r="K2350" t="s">
        <v>14332</v>
      </c>
      <c r="M2350">
        <v>514</v>
      </c>
      <c r="O2350" t="s">
        <v>11841</v>
      </c>
      <c r="P2350">
        <v>667</v>
      </c>
      <c r="Q2350">
        <v>31.8</v>
      </c>
    </row>
    <row r="2351" spans="1:17" x14ac:dyDescent="0.25">
      <c r="A2351">
        <v>760</v>
      </c>
      <c r="B2351" t="s">
        <v>13102</v>
      </c>
      <c r="C2351" t="s">
        <v>13101</v>
      </c>
      <c r="D2351" t="s">
        <v>5005</v>
      </c>
      <c r="H2351" t="s">
        <v>2963</v>
      </c>
      <c r="I2351">
        <v>3</v>
      </c>
      <c r="K2351" t="s">
        <v>14332</v>
      </c>
      <c r="M2351">
        <v>330</v>
      </c>
      <c r="O2351" t="s">
        <v>11842</v>
      </c>
      <c r="P2351">
        <v>402</v>
      </c>
      <c r="Q2351">
        <v>3.1</v>
      </c>
    </row>
    <row r="2352" spans="1:17" x14ac:dyDescent="0.25">
      <c r="A2352">
        <v>722</v>
      </c>
      <c r="B2352" t="s">
        <v>13103</v>
      </c>
      <c r="C2352" t="s">
        <v>13104</v>
      </c>
      <c r="D2352" t="s">
        <v>4693</v>
      </c>
      <c r="E2352" t="s">
        <v>1877</v>
      </c>
      <c r="F2352">
        <v>1990</v>
      </c>
      <c r="H2352" t="s">
        <v>1878</v>
      </c>
      <c r="I2352">
        <v>3</v>
      </c>
      <c r="K2352" t="s">
        <v>14332</v>
      </c>
      <c r="L2352" s="222">
        <v>9783774259072</v>
      </c>
      <c r="M2352">
        <v>64</v>
      </c>
      <c r="O2352" t="s">
        <v>11843</v>
      </c>
      <c r="P2352">
        <v>161</v>
      </c>
      <c r="Q2352">
        <v>0.7</v>
      </c>
    </row>
    <row r="2353" spans="1:17" x14ac:dyDescent="0.25">
      <c r="A2353">
        <v>655</v>
      </c>
      <c r="B2353" t="s">
        <v>13106</v>
      </c>
      <c r="C2353" t="s">
        <v>13107</v>
      </c>
      <c r="D2353" t="s">
        <v>2609</v>
      </c>
      <c r="E2353" t="s">
        <v>4477</v>
      </c>
      <c r="F2353" t="s">
        <v>13108</v>
      </c>
      <c r="H2353" t="s">
        <v>2963</v>
      </c>
      <c r="I2353">
        <v>3</v>
      </c>
      <c r="J2353" t="s">
        <v>12878</v>
      </c>
      <c r="K2353" t="s">
        <v>14332</v>
      </c>
      <c r="M2353">
        <v>470</v>
      </c>
      <c r="O2353" t="s">
        <v>11844</v>
      </c>
      <c r="P2353">
        <v>484</v>
      </c>
      <c r="Q2353">
        <v>1.37</v>
      </c>
    </row>
    <row r="2354" spans="1:17" x14ac:dyDescent="0.25">
      <c r="A2354">
        <v>1875</v>
      </c>
      <c r="B2354" t="s">
        <v>13109</v>
      </c>
      <c r="C2354" t="s">
        <v>13110</v>
      </c>
      <c r="D2354" t="s">
        <v>13111</v>
      </c>
      <c r="E2354" t="s">
        <v>2175</v>
      </c>
      <c r="F2354">
        <v>2001</v>
      </c>
      <c r="H2354" t="s">
        <v>2963</v>
      </c>
      <c r="I2354">
        <v>2</v>
      </c>
      <c r="K2354" t="s">
        <v>14332</v>
      </c>
      <c r="L2354" s="222">
        <v>9783783115185</v>
      </c>
      <c r="M2354">
        <v>50</v>
      </c>
      <c r="O2354" t="s">
        <v>11845</v>
      </c>
      <c r="P2354">
        <v>172</v>
      </c>
      <c r="Q2354">
        <v>1.8</v>
      </c>
    </row>
    <row r="2355" spans="1:17" x14ac:dyDescent="0.25">
      <c r="A2355">
        <v>2852</v>
      </c>
      <c r="B2355" t="s">
        <v>13113</v>
      </c>
      <c r="C2355" t="s">
        <v>13114</v>
      </c>
      <c r="D2355" t="s">
        <v>13115</v>
      </c>
      <c r="E2355" t="s">
        <v>2518</v>
      </c>
      <c r="F2355">
        <v>1964</v>
      </c>
      <c r="H2355" t="s">
        <v>2116</v>
      </c>
      <c r="I2355">
        <v>4</v>
      </c>
      <c r="K2355" t="s">
        <v>14332</v>
      </c>
      <c r="M2355">
        <v>72</v>
      </c>
      <c r="O2355" t="s">
        <v>11846</v>
      </c>
      <c r="P2355">
        <v>96</v>
      </c>
      <c r="Q2355">
        <v>4.3</v>
      </c>
    </row>
    <row r="2356" spans="1:17" x14ac:dyDescent="0.25">
      <c r="A2356">
        <v>991</v>
      </c>
      <c r="B2356" t="s">
        <v>13118</v>
      </c>
      <c r="C2356" t="s">
        <v>13116</v>
      </c>
      <c r="D2356" t="s">
        <v>13117</v>
      </c>
      <c r="E2356" t="s">
        <v>2922</v>
      </c>
      <c r="F2356">
        <v>1996</v>
      </c>
      <c r="H2356" t="s">
        <v>1878</v>
      </c>
      <c r="I2356">
        <v>2</v>
      </c>
      <c r="K2356" t="s">
        <v>14332</v>
      </c>
      <c r="L2356" s="222">
        <v>9783870770433</v>
      </c>
      <c r="M2356">
        <v>82</v>
      </c>
      <c r="O2356" t="s">
        <v>11847</v>
      </c>
      <c r="P2356">
        <v>201</v>
      </c>
      <c r="Q2356">
        <v>3.8</v>
      </c>
    </row>
    <row r="2357" spans="1:17" x14ac:dyDescent="0.25">
      <c r="A2357">
        <v>2852</v>
      </c>
      <c r="B2357" t="s">
        <v>13120</v>
      </c>
      <c r="C2357" t="s">
        <v>13121</v>
      </c>
      <c r="D2357" t="s">
        <v>13122</v>
      </c>
      <c r="F2357">
        <v>1933</v>
      </c>
      <c r="H2357" t="s">
        <v>2963</v>
      </c>
      <c r="I2357">
        <v>3</v>
      </c>
      <c r="K2357" t="s">
        <v>14332</v>
      </c>
      <c r="M2357">
        <v>150</v>
      </c>
      <c r="O2357" t="s">
        <v>11848</v>
      </c>
      <c r="P2357">
        <v>263</v>
      </c>
      <c r="Q2357">
        <v>3.98</v>
      </c>
    </row>
    <row r="2358" spans="1:17" x14ac:dyDescent="0.25">
      <c r="A2358">
        <v>1030</v>
      </c>
      <c r="B2358" t="s">
        <v>13123</v>
      </c>
      <c r="C2358" t="s">
        <v>13124</v>
      </c>
      <c r="D2358" t="s">
        <v>13125</v>
      </c>
      <c r="F2358">
        <v>1994</v>
      </c>
      <c r="H2358" t="s">
        <v>2963</v>
      </c>
      <c r="I2358">
        <v>2</v>
      </c>
      <c r="K2358" t="s">
        <v>14332</v>
      </c>
      <c r="L2358" s="222">
        <v>9783925680212</v>
      </c>
      <c r="M2358">
        <v>98</v>
      </c>
      <c r="O2358" t="s">
        <v>11849</v>
      </c>
      <c r="P2358">
        <v>172</v>
      </c>
      <c r="Q2358">
        <v>2.9</v>
      </c>
    </row>
    <row r="2359" spans="1:17" x14ac:dyDescent="0.25">
      <c r="A2359">
        <v>1287</v>
      </c>
      <c r="B2359" t="s">
        <v>13127</v>
      </c>
      <c r="C2359" t="s">
        <v>13128</v>
      </c>
      <c r="D2359" t="s">
        <v>5005</v>
      </c>
      <c r="E2359" t="s">
        <v>13129</v>
      </c>
      <c r="F2359">
        <v>1966</v>
      </c>
      <c r="H2359" t="s">
        <v>2963</v>
      </c>
      <c r="I2359">
        <v>2</v>
      </c>
      <c r="K2359" t="s">
        <v>14332</v>
      </c>
      <c r="M2359">
        <v>322</v>
      </c>
      <c r="N2359" t="s">
        <v>13133</v>
      </c>
      <c r="O2359" t="s">
        <v>11850</v>
      </c>
      <c r="P2359">
        <v>1482</v>
      </c>
      <c r="Q2359">
        <v>6.79</v>
      </c>
    </row>
    <row r="2360" spans="1:17" x14ac:dyDescent="0.25">
      <c r="A2360">
        <v>1253</v>
      </c>
      <c r="B2360" t="s">
        <v>13131</v>
      </c>
      <c r="C2360" t="s">
        <v>13130</v>
      </c>
      <c r="D2360" t="s">
        <v>5708</v>
      </c>
      <c r="F2360">
        <v>1995</v>
      </c>
      <c r="H2360" t="s">
        <v>2963</v>
      </c>
      <c r="I2360">
        <v>2</v>
      </c>
      <c r="J2360" t="s">
        <v>2505</v>
      </c>
      <c r="K2360" t="s">
        <v>14332</v>
      </c>
      <c r="M2360">
        <v>242</v>
      </c>
      <c r="N2360" t="s">
        <v>13132</v>
      </c>
      <c r="O2360" t="s">
        <v>11851</v>
      </c>
      <c r="P2360">
        <v>1451</v>
      </c>
      <c r="Q2360">
        <v>4.4000000000000004</v>
      </c>
    </row>
    <row r="2361" spans="1:17" x14ac:dyDescent="0.25">
      <c r="A2361">
        <v>812</v>
      </c>
      <c r="B2361" t="s">
        <v>13134</v>
      </c>
      <c r="C2361" t="s">
        <v>13135</v>
      </c>
      <c r="D2361" t="s">
        <v>13136</v>
      </c>
      <c r="F2361">
        <v>2003</v>
      </c>
      <c r="H2361" t="s">
        <v>2963</v>
      </c>
      <c r="I2361">
        <v>2</v>
      </c>
      <c r="K2361" t="s">
        <v>14332</v>
      </c>
      <c r="L2361" s="222">
        <v>9783884725450</v>
      </c>
      <c r="M2361">
        <v>194</v>
      </c>
      <c r="N2361" t="s">
        <v>13138</v>
      </c>
      <c r="O2361" t="s">
        <v>11852</v>
      </c>
      <c r="P2361">
        <v>1456</v>
      </c>
      <c r="Q2361">
        <v>25.5</v>
      </c>
    </row>
    <row r="2362" spans="1:17" x14ac:dyDescent="0.25">
      <c r="A2362">
        <v>844</v>
      </c>
      <c r="C2362" t="s">
        <v>13139</v>
      </c>
      <c r="D2362" t="s">
        <v>5115</v>
      </c>
      <c r="F2362">
        <v>1993</v>
      </c>
      <c r="H2362" t="s">
        <v>2963</v>
      </c>
      <c r="I2362">
        <v>2</v>
      </c>
      <c r="K2362" t="s">
        <v>14332</v>
      </c>
      <c r="L2362" s="222">
        <v>9783812232111</v>
      </c>
      <c r="M2362">
        <v>130</v>
      </c>
      <c r="N2362" t="s">
        <v>13141</v>
      </c>
      <c r="O2362" t="s">
        <v>11853</v>
      </c>
      <c r="P2362">
        <v>625</v>
      </c>
      <c r="Q2362">
        <v>1.61</v>
      </c>
    </row>
    <row r="2363" spans="1:17" x14ac:dyDescent="0.25">
      <c r="A2363">
        <v>844</v>
      </c>
      <c r="B2363" t="s">
        <v>13143</v>
      </c>
      <c r="C2363" t="s">
        <v>13142</v>
      </c>
      <c r="D2363" t="s">
        <v>2779</v>
      </c>
      <c r="E2363" t="s">
        <v>2014</v>
      </c>
      <c r="F2363">
        <v>2013</v>
      </c>
      <c r="H2363" t="s">
        <v>2963</v>
      </c>
      <c r="I2363">
        <v>2</v>
      </c>
      <c r="J2363" t="s">
        <v>13144</v>
      </c>
      <c r="K2363" t="s">
        <v>14332</v>
      </c>
      <c r="L2363" s="222">
        <v>9783831019120</v>
      </c>
      <c r="M2363">
        <v>28</v>
      </c>
      <c r="N2363" t="s">
        <v>13146</v>
      </c>
      <c r="O2363" t="s">
        <v>11854</v>
      </c>
      <c r="P2363">
        <v>294</v>
      </c>
      <c r="Q2363">
        <v>1.3</v>
      </c>
    </row>
    <row r="2364" spans="1:17" x14ac:dyDescent="0.25">
      <c r="A2364">
        <v>1253</v>
      </c>
      <c r="C2364" t="s">
        <v>13147</v>
      </c>
      <c r="D2364" t="s">
        <v>5708</v>
      </c>
      <c r="E2364" t="s">
        <v>1913</v>
      </c>
      <c r="F2364">
        <v>1967</v>
      </c>
      <c r="H2364" t="s">
        <v>2963</v>
      </c>
      <c r="I2364">
        <v>3</v>
      </c>
      <c r="K2364" t="s">
        <v>14332</v>
      </c>
      <c r="M2364">
        <v>298</v>
      </c>
      <c r="N2364" t="s">
        <v>13148</v>
      </c>
      <c r="O2364" t="s">
        <v>11855</v>
      </c>
      <c r="P2364">
        <v>1682</v>
      </c>
      <c r="Q2364">
        <v>4.78</v>
      </c>
    </row>
    <row r="2365" spans="1:17" x14ac:dyDescent="0.25">
      <c r="A2365">
        <v>1393</v>
      </c>
      <c r="B2365" t="s">
        <v>13150</v>
      </c>
      <c r="C2365" t="s">
        <v>13149</v>
      </c>
      <c r="F2365">
        <v>1996</v>
      </c>
      <c r="H2365" t="s">
        <v>2963</v>
      </c>
      <c r="I2365">
        <v>2</v>
      </c>
      <c r="K2365" t="s">
        <v>14332</v>
      </c>
      <c r="L2365" s="222">
        <v>9783700436447</v>
      </c>
      <c r="M2365">
        <v>20</v>
      </c>
      <c r="N2365" t="s">
        <v>13152</v>
      </c>
      <c r="O2365" t="s">
        <v>11856</v>
      </c>
      <c r="P2365">
        <v>282</v>
      </c>
      <c r="Q2365">
        <v>4.2</v>
      </c>
    </row>
    <row r="2366" spans="1:17" x14ac:dyDescent="0.25">
      <c r="A2366">
        <v>823</v>
      </c>
      <c r="B2366" t="s">
        <v>13154</v>
      </c>
      <c r="C2366" t="s">
        <v>13153</v>
      </c>
      <c r="D2366" t="s">
        <v>13155</v>
      </c>
      <c r="F2366">
        <v>1972</v>
      </c>
      <c r="H2366" t="s">
        <v>2963</v>
      </c>
      <c r="I2366">
        <v>3</v>
      </c>
      <c r="K2366" t="s">
        <v>14332</v>
      </c>
      <c r="M2366">
        <v>314</v>
      </c>
      <c r="N2366" t="s">
        <v>13156</v>
      </c>
      <c r="O2366" t="s">
        <v>11857</v>
      </c>
      <c r="P2366">
        <v>1760</v>
      </c>
      <c r="Q2366">
        <v>7.2</v>
      </c>
    </row>
    <row r="2367" spans="1:17" x14ac:dyDescent="0.25">
      <c r="A2367">
        <v>1972</v>
      </c>
      <c r="B2367" t="s">
        <v>13158</v>
      </c>
      <c r="C2367" t="s">
        <v>13157</v>
      </c>
      <c r="D2367" t="s">
        <v>13159</v>
      </c>
      <c r="F2367">
        <v>2010</v>
      </c>
      <c r="H2367" t="s">
        <v>2963</v>
      </c>
      <c r="I2367">
        <v>2</v>
      </c>
      <c r="K2367" t="s">
        <v>14332</v>
      </c>
      <c r="L2367" s="222">
        <v>2287668026711</v>
      </c>
      <c r="M2367">
        <v>142</v>
      </c>
      <c r="N2367" t="s">
        <v>13161</v>
      </c>
      <c r="O2367" t="s">
        <v>11858</v>
      </c>
      <c r="P2367">
        <v>811</v>
      </c>
      <c r="Q2367">
        <v>2.7</v>
      </c>
    </row>
    <row r="2368" spans="1:17" x14ac:dyDescent="0.25">
      <c r="A2368">
        <v>1374</v>
      </c>
      <c r="B2368" t="s">
        <v>13162</v>
      </c>
      <c r="C2368" t="s">
        <v>13163</v>
      </c>
      <c r="D2368" t="s">
        <v>12975</v>
      </c>
      <c r="F2368">
        <v>1956</v>
      </c>
      <c r="H2368" t="s">
        <v>2963</v>
      </c>
      <c r="I2368">
        <v>3</v>
      </c>
      <c r="J2368" t="s">
        <v>12878</v>
      </c>
      <c r="K2368" t="s">
        <v>14332</v>
      </c>
      <c r="M2368">
        <v>334</v>
      </c>
      <c r="N2368" t="s">
        <v>13164</v>
      </c>
      <c r="O2368" t="s">
        <v>11859</v>
      </c>
      <c r="P2368">
        <v>900</v>
      </c>
      <c r="Q2368">
        <v>3.6</v>
      </c>
    </row>
    <row r="2369" spans="1:17" x14ac:dyDescent="0.25">
      <c r="A2369">
        <v>1324</v>
      </c>
      <c r="C2369" t="s">
        <v>13165</v>
      </c>
      <c r="D2369" t="s">
        <v>2151</v>
      </c>
      <c r="H2369" t="s">
        <v>2963</v>
      </c>
      <c r="I2369">
        <v>3</v>
      </c>
      <c r="K2369" t="s">
        <v>14332</v>
      </c>
      <c r="L2369" s="222">
        <v>9783811814790</v>
      </c>
      <c r="M2369">
        <v>402</v>
      </c>
      <c r="O2369" t="s">
        <v>11860</v>
      </c>
      <c r="P2369">
        <v>584</v>
      </c>
      <c r="Q2369">
        <v>1.61</v>
      </c>
    </row>
    <row r="2370" spans="1:17" x14ac:dyDescent="0.25">
      <c r="A2370">
        <v>1395</v>
      </c>
      <c r="B2370" t="s">
        <v>13167</v>
      </c>
      <c r="C2370" t="s">
        <v>13168</v>
      </c>
      <c r="D2370" t="s">
        <v>2257</v>
      </c>
      <c r="E2370" t="s">
        <v>1877</v>
      </c>
      <c r="F2370">
        <v>2001</v>
      </c>
      <c r="H2370" t="s">
        <v>1878</v>
      </c>
      <c r="I2370">
        <v>3</v>
      </c>
      <c r="K2370" t="s">
        <v>14332</v>
      </c>
      <c r="L2370" s="222">
        <v>9783426619940</v>
      </c>
      <c r="M2370">
        <v>512</v>
      </c>
      <c r="N2370" t="s">
        <v>13170</v>
      </c>
      <c r="O2370" t="s">
        <v>11861</v>
      </c>
      <c r="P2370">
        <v>278</v>
      </c>
      <c r="Q2370">
        <v>1.19</v>
      </c>
    </row>
    <row r="2371" spans="1:17" x14ac:dyDescent="0.25">
      <c r="A2371">
        <v>2550</v>
      </c>
      <c r="B2371" t="s">
        <v>10901</v>
      </c>
      <c r="C2371" t="s">
        <v>13171</v>
      </c>
      <c r="D2371" t="s">
        <v>8258</v>
      </c>
      <c r="F2371">
        <v>1978</v>
      </c>
      <c r="H2371" t="s">
        <v>2963</v>
      </c>
      <c r="I2371">
        <v>2</v>
      </c>
      <c r="K2371" t="s">
        <v>14332</v>
      </c>
      <c r="M2371">
        <v>354</v>
      </c>
      <c r="N2371" t="s">
        <v>13172</v>
      </c>
      <c r="O2371" t="s">
        <v>11862</v>
      </c>
      <c r="P2371">
        <v>531</v>
      </c>
      <c r="Q2371">
        <v>6.8</v>
      </c>
    </row>
    <row r="2372" spans="1:17" x14ac:dyDescent="0.25">
      <c r="A2372">
        <v>1327</v>
      </c>
      <c r="B2372" t="s">
        <v>13173</v>
      </c>
      <c r="C2372" t="s">
        <v>13174</v>
      </c>
      <c r="D2372" t="s">
        <v>13175</v>
      </c>
      <c r="E2372" t="s">
        <v>1913</v>
      </c>
      <c r="F2372">
        <v>1974</v>
      </c>
      <c r="H2372" t="s">
        <v>2963</v>
      </c>
      <c r="I2372">
        <v>2</v>
      </c>
      <c r="J2372" t="s">
        <v>13176</v>
      </c>
      <c r="K2372" t="s">
        <v>14332</v>
      </c>
      <c r="L2372" s="222">
        <v>9783414113405</v>
      </c>
      <c r="M2372">
        <v>222</v>
      </c>
      <c r="N2372" t="s">
        <v>13178</v>
      </c>
      <c r="O2372" t="s">
        <v>11863</v>
      </c>
      <c r="P2372">
        <v>529</v>
      </c>
      <c r="Q2372">
        <v>5.0999999999999996</v>
      </c>
    </row>
    <row r="2373" spans="1:17" x14ac:dyDescent="0.25">
      <c r="A2373">
        <v>853</v>
      </c>
      <c r="B2373" t="s">
        <v>13180</v>
      </c>
      <c r="C2373" t="s">
        <v>13179</v>
      </c>
      <c r="D2373" t="s">
        <v>13181</v>
      </c>
      <c r="F2373">
        <v>2017</v>
      </c>
      <c r="H2373" t="s">
        <v>2963</v>
      </c>
      <c r="I2373">
        <v>2</v>
      </c>
      <c r="K2373" t="s">
        <v>14332</v>
      </c>
      <c r="M2373">
        <v>28</v>
      </c>
      <c r="N2373" t="s">
        <v>13182</v>
      </c>
      <c r="O2373" t="s">
        <v>11864</v>
      </c>
      <c r="P2373">
        <v>88</v>
      </c>
      <c r="Q2373">
        <v>1.8</v>
      </c>
    </row>
    <row r="2374" spans="1:17" x14ac:dyDescent="0.25">
      <c r="A2374">
        <v>2571</v>
      </c>
      <c r="B2374" t="s">
        <v>13183</v>
      </c>
      <c r="C2374" t="s">
        <v>13184</v>
      </c>
      <c r="D2374" t="s">
        <v>13084</v>
      </c>
      <c r="F2374">
        <v>1978</v>
      </c>
      <c r="H2374" t="s">
        <v>2963</v>
      </c>
      <c r="I2374">
        <v>2</v>
      </c>
      <c r="J2374" t="s">
        <v>13185</v>
      </c>
      <c r="K2374" t="s">
        <v>14332</v>
      </c>
      <c r="L2374" s="222">
        <v>9783776609004</v>
      </c>
      <c r="M2374">
        <v>202</v>
      </c>
      <c r="N2374" t="s">
        <v>13187</v>
      </c>
      <c r="O2374" t="s">
        <v>11865</v>
      </c>
      <c r="P2374">
        <v>277</v>
      </c>
      <c r="Q2374">
        <v>3.1</v>
      </c>
    </row>
    <row r="2375" spans="1:17" x14ac:dyDescent="0.25">
      <c r="A2375">
        <v>796</v>
      </c>
      <c r="B2375" t="s">
        <v>2179</v>
      </c>
      <c r="C2375" t="s">
        <v>2180</v>
      </c>
      <c r="D2375" t="s">
        <v>10179</v>
      </c>
      <c r="F2375">
        <v>2001</v>
      </c>
      <c r="H2375" t="s">
        <v>2963</v>
      </c>
      <c r="I2375">
        <v>2</v>
      </c>
      <c r="K2375" t="s">
        <v>14332</v>
      </c>
      <c r="M2375">
        <v>562</v>
      </c>
      <c r="N2375" t="s">
        <v>13178</v>
      </c>
      <c r="O2375" t="s">
        <v>11866</v>
      </c>
      <c r="P2375">
        <v>672</v>
      </c>
      <c r="Q2375">
        <v>1.85</v>
      </c>
    </row>
    <row r="2376" spans="1:17" x14ac:dyDescent="0.25">
      <c r="A2376">
        <v>614</v>
      </c>
      <c r="B2376" t="s">
        <v>13188</v>
      </c>
      <c r="C2376" t="s">
        <v>13189</v>
      </c>
      <c r="D2376" t="s">
        <v>1876</v>
      </c>
      <c r="F2376">
        <v>1960</v>
      </c>
      <c r="H2376" t="s">
        <v>2963</v>
      </c>
      <c r="I2376">
        <v>2</v>
      </c>
      <c r="J2376" t="s">
        <v>13190</v>
      </c>
      <c r="K2376" t="s">
        <v>14332</v>
      </c>
      <c r="M2376">
        <v>66</v>
      </c>
      <c r="N2376" t="s">
        <v>13187</v>
      </c>
      <c r="O2376" t="s">
        <v>11867</v>
      </c>
      <c r="P2376">
        <v>133</v>
      </c>
      <c r="Q2376">
        <v>3.5</v>
      </c>
    </row>
    <row r="2377" spans="1:17" x14ac:dyDescent="0.25">
      <c r="A2377">
        <v>578</v>
      </c>
      <c r="B2377" t="s">
        <v>13191</v>
      </c>
      <c r="C2377" t="s">
        <v>13192</v>
      </c>
      <c r="D2377" t="s">
        <v>2901</v>
      </c>
      <c r="F2377">
        <v>1954</v>
      </c>
      <c r="H2377" t="s">
        <v>2963</v>
      </c>
      <c r="I2377">
        <v>2</v>
      </c>
      <c r="J2377" t="s">
        <v>13193</v>
      </c>
      <c r="K2377" t="s">
        <v>14332</v>
      </c>
      <c r="M2377">
        <v>230</v>
      </c>
      <c r="N2377" t="s">
        <v>13194</v>
      </c>
      <c r="O2377" t="s">
        <v>11868</v>
      </c>
      <c r="P2377">
        <v>344</v>
      </c>
      <c r="Q2377">
        <v>4.3</v>
      </c>
    </row>
    <row r="2378" spans="1:17" x14ac:dyDescent="0.25">
      <c r="A2378">
        <v>1285</v>
      </c>
      <c r="B2378" t="s">
        <v>13195</v>
      </c>
      <c r="C2378" t="s">
        <v>13196</v>
      </c>
      <c r="D2378" t="s">
        <v>13197</v>
      </c>
      <c r="F2378">
        <v>1964</v>
      </c>
      <c r="H2378" t="s">
        <v>2963</v>
      </c>
      <c r="I2378">
        <v>2</v>
      </c>
      <c r="J2378" t="s">
        <v>13185</v>
      </c>
      <c r="K2378" t="s">
        <v>14332</v>
      </c>
      <c r="M2378">
        <v>426</v>
      </c>
      <c r="N2378" t="s">
        <v>13198</v>
      </c>
      <c r="O2378" t="s">
        <v>11869</v>
      </c>
      <c r="P2378">
        <v>583</v>
      </c>
      <c r="Q2378">
        <v>3</v>
      </c>
    </row>
    <row r="2379" spans="1:17" x14ac:dyDescent="0.25">
      <c r="A2379">
        <v>1000</v>
      </c>
      <c r="C2379" t="s">
        <v>13199</v>
      </c>
      <c r="D2379" t="s">
        <v>13200</v>
      </c>
      <c r="H2379" t="s">
        <v>1878</v>
      </c>
      <c r="I2379">
        <v>2</v>
      </c>
      <c r="K2379" t="s">
        <v>14332</v>
      </c>
      <c r="M2379">
        <v>96</v>
      </c>
      <c r="N2379" t="s">
        <v>13201</v>
      </c>
      <c r="O2379" t="s">
        <v>11870</v>
      </c>
      <c r="P2379">
        <v>264</v>
      </c>
      <c r="Q2379">
        <v>1.7</v>
      </c>
    </row>
    <row r="2380" spans="1:17" x14ac:dyDescent="0.25">
      <c r="A2380">
        <v>2451</v>
      </c>
      <c r="B2380" t="s">
        <v>13202</v>
      </c>
      <c r="C2380" t="s">
        <v>13203</v>
      </c>
      <c r="D2380" t="s">
        <v>2257</v>
      </c>
      <c r="F2380">
        <v>1984</v>
      </c>
      <c r="H2380" t="s">
        <v>2963</v>
      </c>
      <c r="I2380">
        <v>2</v>
      </c>
      <c r="K2380" t="s">
        <v>14332</v>
      </c>
      <c r="M2380">
        <v>782</v>
      </c>
      <c r="N2380" t="s">
        <v>13204</v>
      </c>
      <c r="O2380" t="s">
        <v>11871</v>
      </c>
      <c r="P2380">
        <v>880</v>
      </c>
      <c r="Q2380">
        <v>2.5</v>
      </c>
    </row>
    <row r="2381" spans="1:17" x14ac:dyDescent="0.25">
      <c r="A2381">
        <v>1352</v>
      </c>
      <c r="C2381" t="s">
        <v>14499</v>
      </c>
      <c r="D2381" t="s">
        <v>10044</v>
      </c>
      <c r="F2381">
        <v>1958</v>
      </c>
      <c r="H2381" t="s">
        <v>2963</v>
      </c>
      <c r="I2381">
        <v>2</v>
      </c>
      <c r="K2381" t="s">
        <v>14332</v>
      </c>
      <c r="M2381">
        <v>512</v>
      </c>
      <c r="N2381" t="s">
        <v>13187</v>
      </c>
      <c r="O2381" t="s">
        <v>11872</v>
      </c>
      <c r="P2381">
        <v>420</v>
      </c>
      <c r="Q2381">
        <v>3.29</v>
      </c>
    </row>
    <row r="2382" spans="1:17" x14ac:dyDescent="0.25">
      <c r="A2382">
        <v>1327</v>
      </c>
      <c r="B2382" t="s">
        <v>13206</v>
      </c>
      <c r="C2382" t="s">
        <v>13207</v>
      </c>
      <c r="D2382" t="s">
        <v>13208</v>
      </c>
      <c r="E2382" t="s">
        <v>1913</v>
      </c>
      <c r="F2382">
        <v>1960</v>
      </c>
      <c r="H2382" t="s">
        <v>2963</v>
      </c>
      <c r="I2382">
        <v>3</v>
      </c>
      <c r="K2382" t="s">
        <v>14332</v>
      </c>
      <c r="M2382">
        <v>354</v>
      </c>
      <c r="N2382" t="s">
        <v>13209</v>
      </c>
      <c r="O2382" t="s">
        <v>11873</v>
      </c>
      <c r="P2382">
        <v>407</v>
      </c>
      <c r="Q2382">
        <v>2.8</v>
      </c>
    </row>
    <row r="2383" spans="1:17" x14ac:dyDescent="0.25">
      <c r="A2383">
        <v>2725</v>
      </c>
      <c r="B2383" t="s">
        <v>13210</v>
      </c>
      <c r="C2383" t="s">
        <v>13211</v>
      </c>
      <c r="D2383" t="s">
        <v>13212</v>
      </c>
      <c r="F2383">
        <v>1992</v>
      </c>
      <c r="H2383" t="s">
        <v>2963</v>
      </c>
      <c r="I2383">
        <v>2</v>
      </c>
      <c r="K2383" t="s">
        <v>14332</v>
      </c>
      <c r="M2383">
        <v>258</v>
      </c>
      <c r="N2383" t="s">
        <v>13204</v>
      </c>
      <c r="O2383" t="s">
        <v>11874</v>
      </c>
      <c r="P2383">
        <v>426</v>
      </c>
      <c r="Q2383">
        <v>5.4</v>
      </c>
    </row>
    <row r="2384" spans="1:17" x14ac:dyDescent="0.25">
      <c r="A2384">
        <v>1352</v>
      </c>
      <c r="B2384" t="s">
        <v>13213</v>
      </c>
      <c r="C2384" t="s">
        <v>13214</v>
      </c>
      <c r="D2384" t="s">
        <v>5005</v>
      </c>
      <c r="F2384">
        <v>1958</v>
      </c>
      <c r="H2384" t="s">
        <v>2963</v>
      </c>
      <c r="I2384">
        <v>3</v>
      </c>
      <c r="K2384" t="s">
        <v>14332</v>
      </c>
      <c r="M2384">
        <v>322</v>
      </c>
      <c r="N2384" t="s">
        <v>13209</v>
      </c>
      <c r="O2384" t="s">
        <v>11875</v>
      </c>
      <c r="P2384">
        <v>373</v>
      </c>
      <c r="Q2384">
        <v>29.52</v>
      </c>
    </row>
    <row r="2385" spans="1:17" x14ac:dyDescent="0.25">
      <c r="A2385">
        <v>1327</v>
      </c>
      <c r="B2385" t="s">
        <v>12835</v>
      </c>
      <c r="C2385" t="s">
        <v>13215</v>
      </c>
      <c r="D2385" t="s">
        <v>2257</v>
      </c>
      <c r="F2385">
        <v>1973</v>
      </c>
      <c r="H2385" t="s">
        <v>2963</v>
      </c>
      <c r="I2385">
        <v>2</v>
      </c>
      <c r="J2385" t="s">
        <v>2505</v>
      </c>
      <c r="K2385" t="s">
        <v>14332</v>
      </c>
      <c r="M2385">
        <v>610</v>
      </c>
      <c r="N2385" t="s">
        <v>13178</v>
      </c>
      <c r="O2385" t="s">
        <v>11876</v>
      </c>
      <c r="P2385">
        <v>763</v>
      </c>
      <c r="Q2385">
        <v>1.61</v>
      </c>
    </row>
    <row r="2386" spans="1:17" x14ac:dyDescent="0.25">
      <c r="A2386">
        <v>1813</v>
      </c>
      <c r="B2386" t="s">
        <v>13217</v>
      </c>
      <c r="C2386" t="s">
        <v>13216</v>
      </c>
      <c r="D2386" t="s">
        <v>3212</v>
      </c>
      <c r="F2386">
        <v>1993</v>
      </c>
      <c r="H2386" t="s">
        <v>2963</v>
      </c>
      <c r="I2386">
        <v>2</v>
      </c>
      <c r="K2386" t="s">
        <v>14332</v>
      </c>
      <c r="L2386" s="222">
        <v>9783629005656</v>
      </c>
      <c r="M2386">
        <v>154</v>
      </c>
      <c r="N2386" t="s">
        <v>13219</v>
      </c>
      <c r="O2386" t="s">
        <v>11877</v>
      </c>
      <c r="P2386">
        <v>229</v>
      </c>
      <c r="Q2386">
        <v>3.22</v>
      </c>
    </row>
    <row r="2387" spans="1:17" x14ac:dyDescent="0.25">
      <c r="A2387">
        <v>2530</v>
      </c>
      <c r="B2387" t="s">
        <v>9382</v>
      </c>
      <c r="C2387" t="s">
        <v>13220</v>
      </c>
      <c r="D2387" t="s">
        <v>2054</v>
      </c>
      <c r="F2387">
        <v>1993</v>
      </c>
      <c r="H2387" t="s">
        <v>2963</v>
      </c>
      <c r="I2387">
        <v>2</v>
      </c>
      <c r="K2387" t="s">
        <v>14332</v>
      </c>
      <c r="M2387">
        <v>290</v>
      </c>
      <c r="N2387" t="s">
        <v>13178</v>
      </c>
      <c r="O2387" t="s">
        <v>11878</v>
      </c>
      <c r="P2387">
        <v>493</v>
      </c>
      <c r="Q2387">
        <v>2.48</v>
      </c>
    </row>
    <row r="2388" spans="1:17" x14ac:dyDescent="0.25">
      <c r="A2388">
        <v>944</v>
      </c>
      <c r="B2388" t="s">
        <v>13221</v>
      </c>
      <c r="C2388" t="s">
        <v>13222</v>
      </c>
      <c r="D2388" t="s">
        <v>4647</v>
      </c>
      <c r="F2388">
        <v>1994</v>
      </c>
      <c r="H2388" t="s">
        <v>2963</v>
      </c>
      <c r="I2388">
        <v>2</v>
      </c>
      <c r="K2388" t="s">
        <v>14332</v>
      </c>
      <c r="L2388" s="222">
        <v>9783417241327</v>
      </c>
      <c r="M2388">
        <v>210</v>
      </c>
      <c r="N2388" t="s">
        <v>13204</v>
      </c>
      <c r="O2388" t="s">
        <v>11879</v>
      </c>
      <c r="P2388">
        <v>381</v>
      </c>
      <c r="Q2388">
        <v>2.35</v>
      </c>
    </row>
    <row r="2389" spans="1:17" x14ac:dyDescent="0.25">
      <c r="A2389">
        <v>852</v>
      </c>
      <c r="B2389" t="s">
        <v>13224</v>
      </c>
      <c r="C2389" t="s">
        <v>13225</v>
      </c>
      <c r="D2389" t="s">
        <v>1886</v>
      </c>
      <c r="E2389" t="s">
        <v>1913</v>
      </c>
      <c r="F2389">
        <v>2000</v>
      </c>
      <c r="H2389" t="s">
        <v>2963</v>
      </c>
      <c r="I2389">
        <v>2</v>
      </c>
      <c r="K2389" t="s">
        <v>14332</v>
      </c>
      <c r="L2389" s="222">
        <v>9783871343773</v>
      </c>
      <c r="M2389">
        <v>258</v>
      </c>
      <c r="N2389" t="s">
        <v>13227</v>
      </c>
      <c r="O2389" t="s">
        <v>11880</v>
      </c>
      <c r="P2389">
        <v>436</v>
      </c>
      <c r="Q2389">
        <v>3.8</v>
      </c>
    </row>
    <row r="2390" spans="1:17" x14ac:dyDescent="0.25">
      <c r="A2390">
        <v>1327</v>
      </c>
      <c r="B2390" t="s">
        <v>13228</v>
      </c>
      <c r="C2390" t="s">
        <v>13229</v>
      </c>
      <c r="D2390" t="s">
        <v>2257</v>
      </c>
      <c r="F2390">
        <v>2006</v>
      </c>
      <c r="H2390" t="s">
        <v>1878</v>
      </c>
      <c r="I2390">
        <v>3</v>
      </c>
      <c r="J2390" t="s">
        <v>13231</v>
      </c>
      <c r="K2390" t="s">
        <v>14332</v>
      </c>
      <c r="L2390" s="222">
        <v>9783426635414</v>
      </c>
      <c r="M2390">
        <v>848</v>
      </c>
      <c r="N2390" t="s">
        <v>13232</v>
      </c>
      <c r="O2390" t="s">
        <v>11881</v>
      </c>
      <c r="P2390">
        <v>497</v>
      </c>
      <c r="Q2390">
        <v>4</v>
      </c>
    </row>
    <row r="2391" spans="1:17" x14ac:dyDescent="0.25">
      <c r="A2391">
        <v>2522</v>
      </c>
      <c r="B2391" t="s">
        <v>13233</v>
      </c>
      <c r="C2391" t="s">
        <v>13234</v>
      </c>
      <c r="D2391" t="s">
        <v>2209</v>
      </c>
      <c r="F2391">
        <v>2010</v>
      </c>
      <c r="H2391" t="s">
        <v>1878</v>
      </c>
      <c r="I2391">
        <v>2</v>
      </c>
      <c r="K2391" t="s">
        <v>14332</v>
      </c>
      <c r="L2391" s="222">
        <v>9783453266865</v>
      </c>
      <c r="M2391">
        <v>448</v>
      </c>
      <c r="N2391" t="s">
        <v>13204</v>
      </c>
      <c r="O2391" t="s">
        <v>11882</v>
      </c>
      <c r="P2391">
        <v>531</v>
      </c>
      <c r="Q2391">
        <v>3</v>
      </c>
    </row>
    <row r="2392" spans="1:17" x14ac:dyDescent="0.25">
      <c r="A2392">
        <v>632</v>
      </c>
      <c r="B2392" t="s">
        <v>13236</v>
      </c>
      <c r="C2392" t="s">
        <v>13237</v>
      </c>
      <c r="F2392">
        <v>2019</v>
      </c>
      <c r="H2392" t="s">
        <v>1878</v>
      </c>
      <c r="I2392">
        <v>2</v>
      </c>
      <c r="J2392" t="s">
        <v>13231</v>
      </c>
      <c r="K2392" t="s">
        <v>14332</v>
      </c>
      <c r="L2392" s="222">
        <v>9783947690237</v>
      </c>
      <c r="M2392">
        <v>304</v>
      </c>
      <c r="N2392" t="s">
        <v>13239</v>
      </c>
      <c r="O2392" t="s">
        <v>11883</v>
      </c>
      <c r="P2392">
        <v>302</v>
      </c>
      <c r="Q2392">
        <v>2.5</v>
      </c>
    </row>
    <row r="2393" spans="1:17" x14ac:dyDescent="0.25">
      <c r="A2393">
        <v>1365</v>
      </c>
      <c r="B2393" t="s">
        <v>4695</v>
      </c>
      <c r="C2393" t="s">
        <v>13240</v>
      </c>
      <c r="D2393" t="s">
        <v>1886</v>
      </c>
      <c r="E2393" t="s">
        <v>1899</v>
      </c>
      <c r="F2393">
        <v>2006</v>
      </c>
      <c r="H2393" t="s">
        <v>1878</v>
      </c>
      <c r="I2393">
        <v>2</v>
      </c>
      <c r="K2393" t="s">
        <v>14332</v>
      </c>
      <c r="L2393" s="222">
        <v>9783499621994</v>
      </c>
      <c r="M2393">
        <v>352</v>
      </c>
      <c r="N2393" t="s">
        <v>13232</v>
      </c>
      <c r="O2393" t="s">
        <v>11884</v>
      </c>
      <c r="P2393">
        <v>346</v>
      </c>
      <c r="Q2393">
        <v>2.8</v>
      </c>
    </row>
    <row r="2394" spans="1:17" x14ac:dyDescent="0.25">
      <c r="A2394">
        <v>655</v>
      </c>
      <c r="B2394" t="s">
        <v>13242</v>
      </c>
      <c r="C2394" t="s">
        <v>13243</v>
      </c>
      <c r="D2394" t="s">
        <v>13244</v>
      </c>
      <c r="E2394" t="s">
        <v>1913</v>
      </c>
      <c r="F2394">
        <v>1997</v>
      </c>
      <c r="H2394" t="s">
        <v>1878</v>
      </c>
      <c r="I2394">
        <v>2</v>
      </c>
      <c r="K2394" t="s">
        <v>14332</v>
      </c>
      <c r="L2394" s="222">
        <v>9783828002364</v>
      </c>
      <c r="M2394">
        <v>224</v>
      </c>
      <c r="N2394" t="s">
        <v>13187</v>
      </c>
      <c r="O2394" t="s">
        <v>11885</v>
      </c>
      <c r="P2394">
        <v>216</v>
      </c>
      <c r="Q2394">
        <v>1.29</v>
      </c>
    </row>
    <row r="2395" spans="1:17" x14ac:dyDescent="0.25">
      <c r="A2395">
        <v>2546</v>
      </c>
      <c r="B2395" t="s">
        <v>13246</v>
      </c>
      <c r="C2395" t="s">
        <v>13247</v>
      </c>
      <c r="D2395" t="s">
        <v>2309</v>
      </c>
      <c r="E2395" t="s">
        <v>1913</v>
      </c>
      <c r="F2395">
        <v>2006</v>
      </c>
      <c r="H2395" t="s">
        <v>1878</v>
      </c>
      <c r="I2395">
        <v>2</v>
      </c>
      <c r="K2395" t="s">
        <v>14332</v>
      </c>
      <c r="L2395" s="222">
        <v>9783548680750</v>
      </c>
      <c r="M2395">
        <v>340</v>
      </c>
      <c r="N2395" t="s">
        <v>13249</v>
      </c>
      <c r="O2395" t="s">
        <v>11886</v>
      </c>
      <c r="P2395">
        <v>438</v>
      </c>
      <c r="Q2395">
        <v>0.81</v>
      </c>
    </row>
    <row r="2396" spans="1:17" x14ac:dyDescent="0.25">
      <c r="A2396">
        <v>1396</v>
      </c>
      <c r="B2396" t="s">
        <v>13250</v>
      </c>
      <c r="C2396" t="s">
        <v>13251</v>
      </c>
      <c r="D2396" t="s">
        <v>2054</v>
      </c>
      <c r="F2396">
        <v>2009</v>
      </c>
      <c r="H2396" t="s">
        <v>1878</v>
      </c>
      <c r="I2396">
        <v>2</v>
      </c>
      <c r="K2396" t="s">
        <v>14332</v>
      </c>
      <c r="L2396" s="222">
        <v>9783868003406</v>
      </c>
      <c r="M2396">
        <v>368</v>
      </c>
      <c r="N2396" t="s">
        <v>13232</v>
      </c>
      <c r="O2396" t="s">
        <v>11887</v>
      </c>
      <c r="P2396">
        <v>275</v>
      </c>
      <c r="Q2396">
        <v>0.81</v>
      </c>
    </row>
    <row r="2397" spans="1:17" x14ac:dyDescent="0.25">
      <c r="A2397">
        <v>632</v>
      </c>
      <c r="B2397" t="s">
        <v>13253</v>
      </c>
      <c r="C2397" t="s">
        <v>13254</v>
      </c>
      <c r="D2397" t="s">
        <v>2407</v>
      </c>
      <c r="F2397">
        <v>2019</v>
      </c>
      <c r="H2397" t="s">
        <v>1878</v>
      </c>
      <c r="I2397">
        <v>2</v>
      </c>
      <c r="J2397" t="s">
        <v>13231</v>
      </c>
      <c r="K2397" t="s">
        <v>14332</v>
      </c>
      <c r="L2397" s="222">
        <v>9783947690244</v>
      </c>
      <c r="M2397">
        <v>304</v>
      </c>
      <c r="N2397" t="s">
        <v>13232</v>
      </c>
      <c r="O2397" t="s">
        <v>11888</v>
      </c>
      <c r="P2397">
        <v>304</v>
      </c>
      <c r="Q2397">
        <v>4.29</v>
      </c>
    </row>
    <row r="2398" spans="1:17" x14ac:dyDescent="0.25">
      <c r="A2398">
        <v>1939</v>
      </c>
      <c r="B2398" t="s">
        <v>13256</v>
      </c>
      <c r="C2398" t="s">
        <v>13257</v>
      </c>
      <c r="D2398" t="s">
        <v>2054</v>
      </c>
      <c r="F2398">
        <v>2017</v>
      </c>
      <c r="H2398" t="s">
        <v>2963</v>
      </c>
      <c r="I2398">
        <v>2</v>
      </c>
      <c r="K2398" t="s">
        <v>14332</v>
      </c>
      <c r="L2398" s="222">
        <v>9783959735735</v>
      </c>
      <c r="M2398">
        <v>498</v>
      </c>
      <c r="N2398" t="s">
        <v>13249</v>
      </c>
      <c r="O2398" t="s">
        <v>11889</v>
      </c>
      <c r="P2398">
        <v>564</v>
      </c>
      <c r="Q2398">
        <v>7.79</v>
      </c>
    </row>
    <row r="2399" spans="1:17" x14ac:dyDescent="0.25">
      <c r="A2399">
        <v>612</v>
      </c>
      <c r="B2399" t="s">
        <v>13351</v>
      </c>
      <c r="C2399" t="s">
        <v>13352</v>
      </c>
      <c r="D2399" t="s">
        <v>9065</v>
      </c>
      <c r="F2399">
        <v>1996</v>
      </c>
      <c r="H2399" t="s">
        <v>2963</v>
      </c>
      <c r="I2399">
        <v>2</v>
      </c>
      <c r="K2399" t="s">
        <v>14332</v>
      </c>
      <c r="L2399" s="222">
        <v>9783791819631</v>
      </c>
      <c r="M2399">
        <v>376</v>
      </c>
      <c r="O2399" t="s">
        <v>11890</v>
      </c>
      <c r="P2399">
        <v>657</v>
      </c>
      <c r="Q2399">
        <v>3.5</v>
      </c>
    </row>
    <row r="2400" spans="1:17" x14ac:dyDescent="0.25">
      <c r="A2400">
        <v>767</v>
      </c>
      <c r="B2400" t="s">
        <v>13353</v>
      </c>
      <c r="C2400" t="s">
        <v>13354</v>
      </c>
      <c r="D2400" t="s">
        <v>2257</v>
      </c>
      <c r="F2400">
        <v>1996</v>
      </c>
      <c r="H2400" t="s">
        <v>1878</v>
      </c>
      <c r="I2400">
        <v>4</v>
      </c>
      <c r="J2400" t="s">
        <v>13355</v>
      </c>
      <c r="K2400" t="s">
        <v>14332</v>
      </c>
      <c r="M2400">
        <v>599</v>
      </c>
      <c r="O2400" t="s">
        <v>11891</v>
      </c>
      <c r="P2400">
        <v>512</v>
      </c>
      <c r="Q2400">
        <v>2.6</v>
      </c>
    </row>
    <row r="2401" spans="1:17" x14ac:dyDescent="0.25">
      <c r="A2401">
        <v>1327</v>
      </c>
      <c r="B2401" t="s">
        <v>13356</v>
      </c>
      <c r="C2401" t="s">
        <v>13357</v>
      </c>
      <c r="D2401" t="s">
        <v>1988</v>
      </c>
      <c r="E2401" t="s">
        <v>1913</v>
      </c>
      <c r="F2401">
        <v>2000</v>
      </c>
      <c r="H2401" t="s">
        <v>1878</v>
      </c>
      <c r="I2401">
        <v>3</v>
      </c>
      <c r="J2401" t="s">
        <v>9196</v>
      </c>
      <c r="K2401" t="s">
        <v>14332</v>
      </c>
      <c r="M2401">
        <v>159</v>
      </c>
      <c r="O2401" t="s">
        <v>11892</v>
      </c>
      <c r="P2401">
        <v>181</v>
      </c>
      <c r="Q2401">
        <v>1.2</v>
      </c>
    </row>
    <row r="2402" spans="1:17" x14ac:dyDescent="0.25">
      <c r="A2402">
        <v>591</v>
      </c>
      <c r="B2402" t="s">
        <v>13358</v>
      </c>
      <c r="C2402" t="s">
        <v>13359</v>
      </c>
      <c r="D2402" t="s">
        <v>13360</v>
      </c>
      <c r="E2402" t="s">
        <v>1877</v>
      </c>
      <c r="F2402">
        <v>1988</v>
      </c>
      <c r="H2402" t="s">
        <v>1878</v>
      </c>
      <c r="I2402">
        <v>4</v>
      </c>
      <c r="J2402" t="s">
        <v>13361</v>
      </c>
      <c r="K2402" t="s">
        <v>14332</v>
      </c>
      <c r="M2402">
        <v>122</v>
      </c>
      <c r="O2402" t="s">
        <v>11893</v>
      </c>
      <c r="P2402">
        <v>175</v>
      </c>
      <c r="Q2402">
        <v>17.8</v>
      </c>
    </row>
    <row r="2403" spans="1:17" x14ac:dyDescent="0.25">
      <c r="A2403">
        <v>1927</v>
      </c>
      <c r="B2403" t="s">
        <v>13362</v>
      </c>
      <c r="C2403" t="s">
        <v>13363</v>
      </c>
      <c r="H2403" t="s">
        <v>1878</v>
      </c>
      <c r="I2403">
        <v>4</v>
      </c>
      <c r="K2403" t="s">
        <v>14332</v>
      </c>
      <c r="L2403" s="222">
        <v>9783596230686</v>
      </c>
      <c r="M2403">
        <v>262</v>
      </c>
      <c r="O2403" t="s">
        <v>11894</v>
      </c>
      <c r="P2403">
        <v>174</v>
      </c>
      <c r="Q2403">
        <v>1.98</v>
      </c>
    </row>
    <row r="2404" spans="1:17" x14ac:dyDescent="0.25">
      <c r="A2404">
        <v>2512</v>
      </c>
      <c r="B2404" t="s">
        <v>13364</v>
      </c>
      <c r="C2404" t="s">
        <v>13365</v>
      </c>
      <c r="D2404" t="s">
        <v>1912</v>
      </c>
      <c r="F2404">
        <v>2009</v>
      </c>
      <c r="H2404" t="s">
        <v>1878</v>
      </c>
      <c r="I2404">
        <v>2</v>
      </c>
      <c r="K2404" t="s">
        <v>14332</v>
      </c>
      <c r="M2404">
        <v>348</v>
      </c>
      <c r="O2404" t="s">
        <v>11895</v>
      </c>
      <c r="P2404">
        <v>290</v>
      </c>
      <c r="Q2404">
        <v>2.04</v>
      </c>
    </row>
    <row r="2405" spans="1:17" x14ac:dyDescent="0.25">
      <c r="A2405">
        <v>799</v>
      </c>
      <c r="B2405" t="s">
        <v>13366</v>
      </c>
      <c r="C2405" t="s">
        <v>13367</v>
      </c>
      <c r="D2405" t="s">
        <v>5005</v>
      </c>
      <c r="F2405">
        <v>1978</v>
      </c>
      <c r="H2405" t="s">
        <v>2963</v>
      </c>
      <c r="I2405">
        <v>2</v>
      </c>
      <c r="K2405" t="s">
        <v>14332</v>
      </c>
      <c r="M2405">
        <v>323</v>
      </c>
      <c r="O2405" t="s">
        <v>11896</v>
      </c>
      <c r="P2405">
        <v>673</v>
      </c>
      <c r="Q2405">
        <v>1.98</v>
      </c>
    </row>
    <row r="2406" spans="1:17" x14ac:dyDescent="0.25">
      <c r="A2406">
        <v>647</v>
      </c>
      <c r="B2406" t="s">
        <v>13368</v>
      </c>
      <c r="C2406" t="s">
        <v>13369</v>
      </c>
      <c r="F2406">
        <v>1993</v>
      </c>
      <c r="H2406" t="s">
        <v>2963</v>
      </c>
      <c r="I2406">
        <v>3</v>
      </c>
      <c r="K2406" t="s">
        <v>14332</v>
      </c>
      <c r="M2406">
        <v>96</v>
      </c>
      <c r="O2406" t="s">
        <v>11897</v>
      </c>
      <c r="P2406">
        <v>367</v>
      </c>
      <c r="Q2406">
        <v>1.21</v>
      </c>
    </row>
    <row r="2407" spans="1:17" x14ac:dyDescent="0.25">
      <c r="A2407">
        <v>706</v>
      </c>
      <c r="B2407" t="s">
        <v>13370</v>
      </c>
      <c r="C2407" t="s">
        <v>13371</v>
      </c>
      <c r="D2407" t="s">
        <v>13372</v>
      </c>
      <c r="F2407">
        <v>1915</v>
      </c>
      <c r="H2407" t="s">
        <v>2963</v>
      </c>
      <c r="I2407">
        <v>4</v>
      </c>
      <c r="J2407" t="s">
        <v>13373</v>
      </c>
      <c r="K2407" t="s">
        <v>14332</v>
      </c>
      <c r="M2407">
        <v>206</v>
      </c>
      <c r="O2407" t="s">
        <v>11898</v>
      </c>
      <c r="P2407">
        <v>322</v>
      </c>
      <c r="Q2407">
        <v>5.2</v>
      </c>
    </row>
    <row r="2408" spans="1:17" x14ac:dyDescent="0.25">
      <c r="A2408">
        <v>8</v>
      </c>
      <c r="B2408" t="s">
        <v>13374</v>
      </c>
      <c r="C2408" t="s">
        <v>13375</v>
      </c>
      <c r="D2408" t="s">
        <v>9961</v>
      </c>
      <c r="H2408" t="s">
        <v>2963</v>
      </c>
      <c r="I2408">
        <v>3</v>
      </c>
      <c r="K2408" t="s">
        <v>14332</v>
      </c>
      <c r="M2408">
        <v>250</v>
      </c>
      <c r="O2408" t="s">
        <v>11899</v>
      </c>
      <c r="P2408">
        <v>371</v>
      </c>
      <c r="Q2408">
        <v>2</v>
      </c>
    </row>
    <row r="2409" spans="1:17" x14ac:dyDescent="0.25">
      <c r="A2409">
        <v>319</v>
      </c>
      <c r="B2409" t="s">
        <v>13259</v>
      </c>
      <c r="C2409" t="s">
        <v>13260</v>
      </c>
      <c r="D2409" t="s">
        <v>13261</v>
      </c>
      <c r="E2409" t="s">
        <v>1913</v>
      </c>
      <c r="F2409">
        <v>2015</v>
      </c>
      <c r="H2409" t="s">
        <v>1878</v>
      </c>
      <c r="I2409">
        <v>2</v>
      </c>
      <c r="K2409" t="s">
        <v>14332</v>
      </c>
      <c r="L2409" s="222">
        <v>9783648057001</v>
      </c>
      <c r="M2409">
        <v>240</v>
      </c>
      <c r="N2409" t="s">
        <v>13263</v>
      </c>
      <c r="O2409" t="s">
        <v>11900</v>
      </c>
      <c r="P2409">
        <v>177</v>
      </c>
      <c r="Q2409">
        <v>4.24</v>
      </c>
    </row>
    <row r="2410" spans="1:17" x14ac:dyDescent="0.25">
      <c r="A2410">
        <v>1385</v>
      </c>
      <c r="B2410" t="s">
        <v>13264</v>
      </c>
      <c r="C2410" t="s">
        <v>13265</v>
      </c>
      <c r="E2410" t="s">
        <v>1877</v>
      </c>
      <c r="F2410">
        <v>2000</v>
      </c>
      <c r="H2410" t="s">
        <v>1878</v>
      </c>
      <c r="I2410">
        <v>2</v>
      </c>
      <c r="K2410" t="s">
        <v>14332</v>
      </c>
      <c r="L2410" s="222">
        <v>9783926181374</v>
      </c>
      <c r="M2410">
        <v>144</v>
      </c>
      <c r="N2410" t="s">
        <v>13267</v>
      </c>
      <c r="O2410" t="s">
        <v>11901</v>
      </c>
      <c r="P2410">
        <v>268</v>
      </c>
      <c r="Q2410">
        <v>0.69</v>
      </c>
    </row>
    <row r="2411" spans="1:17" x14ac:dyDescent="0.25">
      <c r="A2411">
        <v>1395</v>
      </c>
      <c r="B2411" t="s">
        <v>4695</v>
      </c>
      <c r="C2411" t="s">
        <v>13268</v>
      </c>
      <c r="D2411" t="s">
        <v>2309</v>
      </c>
      <c r="E2411" t="s">
        <v>2412</v>
      </c>
      <c r="F2411">
        <v>2004</v>
      </c>
      <c r="H2411" t="s">
        <v>1878</v>
      </c>
      <c r="I2411">
        <v>2</v>
      </c>
      <c r="K2411" t="s">
        <v>14332</v>
      </c>
      <c r="L2411" s="222">
        <v>9783548364865</v>
      </c>
      <c r="M2411">
        <v>258</v>
      </c>
      <c r="N2411" t="s">
        <v>13170</v>
      </c>
      <c r="O2411" t="s">
        <v>11902</v>
      </c>
      <c r="P2411">
        <v>260</v>
      </c>
      <c r="Q2411">
        <v>0.94</v>
      </c>
    </row>
    <row r="2412" spans="1:17" x14ac:dyDescent="0.25">
      <c r="A2412">
        <v>1386</v>
      </c>
      <c r="B2412" t="s">
        <v>13269</v>
      </c>
      <c r="C2412" t="s">
        <v>13270</v>
      </c>
      <c r="D2412" t="s">
        <v>8697</v>
      </c>
      <c r="F2412">
        <v>1997</v>
      </c>
      <c r="H2412" t="s">
        <v>1878</v>
      </c>
      <c r="I2412">
        <v>2</v>
      </c>
      <c r="K2412" t="s">
        <v>14332</v>
      </c>
      <c r="L2412" s="222">
        <v>9783442443789</v>
      </c>
      <c r="M2412">
        <v>576</v>
      </c>
      <c r="N2412" t="s">
        <v>13239</v>
      </c>
      <c r="O2412" t="s">
        <v>11903</v>
      </c>
      <c r="P2412">
        <v>555</v>
      </c>
      <c r="Q2412">
        <v>1.7</v>
      </c>
    </row>
    <row r="2413" spans="1:17" x14ac:dyDescent="0.25">
      <c r="A2413">
        <v>1276</v>
      </c>
      <c r="B2413" t="s">
        <v>13272</v>
      </c>
      <c r="C2413" t="s">
        <v>13273</v>
      </c>
      <c r="D2413" t="s">
        <v>2300</v>
      </c>
      <c r="E2413" t="s">
        <v>1913</v>
      </c>
      <c r="F2413">
        <v>1997</v>
      </c>
      <c r="H2413" t="s">
        <v>2963</v>
      </c>
      <c r="I2413">
        <v>2</v>
      </c>
      <c r="K2413" t="s">
        <v>14332</v>
      </c>
      <c r="L2413" s="222">
        <v>9783871343285</v>
      </c>
      <c r="M2413">
        <v>258</v>
      </c>
      <c r="N2413" t="s">
        <v>13275</v>
      </c>
      <c r="O2413" t="s">
        <v>11904</v>
      </c>
      <c r="P2413">
        <v>441</v>
      </c>
      <c r="Q2413">
        <v>12.6</v>
      </c>
    </row>
    <row r="2414" spans="1:17" x14ac:dyDescent="0.25">
      <c r="A2414">
        <v>1396</v>
      </c>
      <c r="B2414" t="s">
        <v>10233</v>
      </c>
      <c r="C2414" t="s">
        <v>13276</v>
      </c>
      <c r="D2414" t="s">
        <v>2209</v>
      </c>
      <c r="F2414">
        <v>2008</v>
      </c>
      <c r="H2414" t="s">
        <v>1878</v>
      </c>
      <c r="I2414">
        <v>2</v>
      </c>
      <c r="K2414" t="s">
        <v>14332</v>
      </c>
      <c r="L2414" s="222">
        <v>9783453406179</v>
      </c>
      <c r="M2414">
        <v>288</v>
      </c>
      <c r="N2414" t="s">
        <v>13187</v>
      </c>
      <c r="O2414" t="s">
        <v>11905</v>
      </c>
      <c r="P2414">
        <v>277</v>
      </c>
      <c r="Q2414">
        <v>1.86</v>
      </c>
    </row>
    <row r="2415" spans="1:17" x14ac:dyDescent="0.25">
      <c r="A2415">
        <v>689</v>
      </c>
      <c r="B2415" t="s">
        <v>13278</v>
      </c>
      <c r="C2415" t="s">
        <v>13279</v>
      </c>
      <c r="D2415" t="s">
        <v>13280</v>
      </c>
      <c r="F2415">
        <v>2003</v>
      </c>
      <c r="H2415" t="s">
        <v>2963</v>
      </c>
      <c r="I2415">
        <v>2</v>
      </c>
      <c r="K2415" t="s">
        <v>14332</v>
      </c>
      <c r="M2415">
        <v>514</v>
      </c>
      <c r="N2415" t="s">
        <v>13281</v>
      </c>
      <c r="O2415" t="s">
        <v>11906</v>
      </c>
      <c r="P2415">
        <v>651</v>
      </c>
      <c r="Q2415">
        <v>1.74</v>
      </c>
    </row>
    <row r="2416" spans="1:17" x14ac:dyDescent="0.25">
      <c r="A2416">
        <v>689</v>
      </c>
      <c r="B2416" t="s">
        <v>2870</v>
      </c>
      <c r="C2416" t="s">
        <v>13282</v>
      </c>
      <c r="D2416" t="s">
        <v>2054</v>
      </c>
      <c r="F2416">
        <v>1993</v>
      </c>
      <c r="H2416" t="s">
        <v>2963</v>
      </c>
      <c r="I2416">
        <v>3</v>
      </c>
      <c r="K2416" t="s">
        <v>14332</v>
      </c>
      <c r="L2416" s="222">
        <v>4026411105345</v>
      </c>
      <c r="M2416">
        <v>342</v>
      </c>
      <c r="N2416" t="s">
        <v>13209</v>
      </c>
      <c r="O2416" t="s">
        <v>11907</v>
      </c>
      <c r="P2416">
        <v>398</v>
      </c>
      <c r="Q2416">
        <v>4.99</v>
      </c>
    </row>
    <row r="2417" spans="1:17" x14ac:dyDescent="0.25">
      <c r="A2417">
        <v>689</v>
      </c>
      <c r="B2417" t="s">
        <v>2870</v>
      </c>
      <c r="C2417" t="s">
        <v>13284</v>
      </c>
      <c r="D2417" t="s">
        <v>2054</v>
      </c>
      <c r="F2417">
        <v>1984</v>
      </c>
      <c r="H2417" t="s">
        <v>2963</v>
      </c>
      <c r="I2417">
        <v>2</v>
      </c>
      <c r="K2417" t="s">
        <v>14332</v>
      </c>
      <c r="L2417" s="222">
        <v>4026411105338</v>
      </c>
      <c r="M2417">
        <v>402</v>
      </c>
      <c r="N2417" t="s">
        <v>13209</v>
      </c>
      <c r="O2417" t="s">
        <v>11908</v>
      </c>
      <c r="P2417">
        <v>450</v>
      </c>
      <c r="Q2417">
        <v>4.99</v>
      </c>
    </row>
    <row r="2418" spans="1:17" x14ac:dyDescent="0.25">
      <c r="A2418">
        <v>941</v>
      </c>
      <c r="B2418" t="s">
        <v>13286</v>
      </c>
      <c r="C2418" t="s">
        <v>13287</v>
      </c>
      <c r="D2418" t="s">
        <v>2054</v>
      </c>
      <c r="F2418">
        <v>2003</v>
      </c>
      <c r="H2418" t="s">
        <v>2963</v>
      </c>
      <c r="I2418">
        <v>2</v>
      </c>
      <c r="K2418" t="s">
        <v>14332</v>
      </c>
      <c r="L2418" s="222">
        <v>9783828949010</v>
      </c>
      <c r="M2418">
        <v>230</v>
      </c>
      <c r="N2418" t="s">
        <v>13178</v>
      </c>
      <c r="O2418" t="s">
        <v>11909</v>
      </c>
      <c r="P2418">
        <v>361</v>
      </c>
      <c r="Q2418">
        <v>1.17</v>
      </c>
    </row>
    <row r="2419" spans="1:17" x14ac:dyDescent="0.25">
      <c r="A2419">
        <v>1810</v>
      </c>
      <c r="B2419" t="s">
        <v>13376</v>
      </c>
      <c r="C2419" t="s">
        <v>13377</v>
      </c>
      <c r="D2419" t="s">
        <v>13378</v>
      </c>
      <c r="E2419" t="s">
        <v>2175</v>
      </c>
      <c r="F2419">
        <v>1962</v>
      </c>
      <c r="H2419" t="s">
        <v>2963</v>
      </c>
      <c r="I2419">
        <v>3</v>
      </c>
      <c r="K2419" t="s">
        <v>14332</v>
      </c>
      <c r="M2419">
        <v>520</v>
      </c>
      <c r="O2419" t="s">
        <v>11910</v>
      </c>
      <c r="P2419">
        <v>1105</v>
      </c>
      <c r="Q2419">
        <v>11.86</v>
      </c>
    </row>
    <row r="2420" spans="1:17" x14ac:dyDescent="0.25">
      <c r="A2420">
        <v>692</v>
      </c>
      <c r="B2420" t="s">
        <v>13379</v>
      </c>
      <c r="C2420" t="s">
        <v>13380</v>
      </c>
      <c r="D2420" t="s">
        <v>1988</v>
      </c>
      <c r="F2420">
        <v>2000</v>
      </c>
      <c r="H2420" t="s">
        <v>1878</v>
      </c>
      <c r="I2420">
        <v>3</v>
      </c>
      <c r="K2420" t="s">
        <v>14332</v>
      </c>
      <c r="L2420" s="222">
        <v>9783423361972</v>
      </c>
      <c r="M2420">
        <v>278</v>
      </c>
      <c r="O2420" t="s">
        <v>11911</v>
      </c>
      <c r="P2420">
        <v>258</v>
      </c>
      <c r="Q2420">
        <v>2.79</v>
      </c>
    </row>
    <row r="2421" spans="1:17" x14ac:dyDescent="0.25">
      <c r="A2421">
        <v>1324</v>
      </c>
      <c r="B2421" t="s">
        <v>13381</v>
      </c>
      <c r="C2421" t="s">
        <v>13382</v>
      </c>
      <c r="D2421" t="s">
        <v>13383</v>
      </c>
      <c r="F2421">
        <v>2002</v>
      </c>
      <c r="H2421" t="s">
        <v>2963</v>
      </c>
      <c r="I2421">
        <v>2</v>
      </c>
      <c r="K2421" t="s">
        <v>14332</v>
      </c>
      <c r="M2421">
        <v>320</v>
      </c>
      <c r="O2421" t="s">
        <v>11912</v>
      </c>
      <c r="P2421">
        <v>665</v>
      </c>
      <c r="Q2421">
        <v>7</v>
      </c>
    </row>
    <row r="2422" spans="1:17" x14ac:dyDescent="0.25">
      <c r="A2422">
        <v>1382</v>
      </c>
      <c r="B2422" t="s">
        <v>13384</v>
      </c>
      <c r="C2422" t="s">
        <v>13385</v>
      </c>
      <c r="D2422" t="s">
        <v>13386</v>
      </c>
      <c r="H2422" t="s">
        <v>1878</v>
      </c>
      <c r="I2422">
        <v>2</v>
      </c>
      <c r="K2422" t="s">
        <v>14332</v>
      </c>
      <c r="M2422">
        <v>95</v>
      </c>
      <c r="O2422" t="s">
        <v>11913</v>
      </c>
      <c r="P2422">
        <v>284</v>
      </c>
      <c r="Q2422">
        <v>1.81</v>
      </c>
    </row>
    <row r="2423" spans="1:17" x14ac:dyDescent="0.25">
      <c r="A2423">
        <v>14</v>
      </c>
      <c r="B2423" t="s">
        <v>13387</v>
      </c>
      <c r="C2423" t="s">
        <v>13388</v>
      </c>
      <c r="D2423" t="s">
        <v>13389</v>
      </c>
      <c r="E2423" t="s">
        <v>1877</v>
      </c>
      <c r="F2423">
        <v>1967</v>
      </c>
      <c r="H2423" t="s">
        <v>2963</v>
      </c>
      <c r="I2423">
        <v>2</v>
      </c>
      <c r="K2423" t="s">
        <v>14332</v>
      </c>
      <c r="M2423">
        <v>95</v>
      </c>
      <c r="O2423" t="s">
        <v>11914</v>
      </c>
      <c r="P2423">
        <v>124</v>
      </c>
      <c r="Q2423">
        <v>5.3</v>
      </c>
    </row>
    <row r="2424" spans="1:17" x14ac:dyDescent="0.25">
      <c r="A2424">
        <v>2201</v>
      </c>
      <c r="B2424" t="s">
        <v>13390</v>
      </c>
      <c r="C2424" t="s">
        <v>13391</v>
      </c>
      <c r="D2424" t="s">
        <v>13392</v>
      </c>
      <c r="F2424">
        <v>1982</v>
      </c>
      <c r="H2424" t="s">
        <v>2963</v>
      </c>
      <c r="I2424">
        <v>2</v>
      </c>
      <c r="J2424" t="s">
        <v>13393</v>
      </c>
      <c r="K2424" t="s">
        <v>14332</v>
      </c>
      <c r="L2424" s="222">
        <v>9783726363475</v>
      </c>
      <c r="M2424">
        <v>359</v>
      </c>
      <c r="O2424" t="s">
        <v>11915</v>
      </c>
      <c r="P2424">
        <v>619</v>
      </c>
      <c r="Q2424">
        <v>3.6</v>
      </c>
    </row>
    <row r="2425" spans="1:17" x14ac:dyDescent="0.25">
      <c r="A2425">
        <v>632</v>
      </c>
      <c r="B2425" t="s">
        <v>13394</v>
      </c>
      <c r="C2425" t="s">
        <v>13395</v>
      </c>
      <c r="D2425" t="s">
        <v>987</v>
      </c>
      <c r="F2425">
        <v>1954</v>
      </c>
      <c r="H2425" t="s">
        <v>2963</v>
      </c>
      <c r="I2425">
        <v>3</v>
      </c>
      <c r="K2425" t="s">
        <v>14332</v>
      </c>
      <c r="M2425">
        <v>443</v>
      </c>
      <c r="O2425" t="s">
        <v>11916</v>
      </c>
      <c r="P2425">
        <v>441</v>
      </c>
      <c r="Q2425">
        <v>2.7</v>
      </c>
    </row>
    <row r="2426" spans="1:17" x14ac:dyDescent="0.25">
      <c r="A2426">
        <v>706</v>
      </c>
      <c r="B2426" t="s">
        <v>13396</v>
      </c>
      <c r="C2426" t="s">
        <v>13397</v>
      </c>
      <c r="D2426" t="s">
        <v>987</v>
      </c>
      <c r="F2426">
        <v>1961</v>
      </c>
      <c r="H2426" t="s">
        <v>2963</v>
      </c>
      <c r="I2426">
        <v>3</v>
      </c>
      <c r="K2426" t="s">
        <v>14332</v>
      </c>
      <c r="M2426">
        <v>319</v>
      </c>
      <c r="O2426" t="s">
        <v>11917</v>
      </c>
      <c r="P2426">
        <v>373</v>
      </c>
      <c r="Q2426">
        <v>6.3</v>
      </c>
    </row>
    <row r="2427" spans="1:17" x14ac:dyDescent="0.25">
      <c r="A2427">
        <v>8</v>
      </c>
      <c r="B2427" t="s">
        <v>9044</v>
      </c>
      <c r="C2427" t="s">
        <v>13398</v>
      </c>
      <c r="D2427" t="s">
        <v>4930</v>
      </c>
      <c r="H2427" t="s">
        <v>2963</v>
      </c>
      <c r="I2427">
        <v>3</v>
      </c>
      <c r="K2427" t="s">
        <v>14332</v>
      </c>
      <c r="M2427">
        <v>316</v>
      </c>
      <c r="O2427" t="s">
        <v>11918</v>
      </c>
      <c r="P2427">
        <v>484</v>
      </c>
      <c r="Q2427">
        <v>1.21</v>
      </c>
    </row>
    <row r="2428" spans="1:17" x14ac:dyDescent="0.25">
      <c r="A2428">
        <v>796</v>
      </c>
      <c r="B2428" t="s">
        <v>14500</v>
      </c>
      <c r="C2428" t="s">
        <v>13400</v>
      </c>
      <c r="D2428" t="s">
        <v>8258</v>
      </c>
      <c r="H2428" t="s">
        <v>2963</v>
      </c>
      <c r="I2428">
        <v>3</v>
      </c>
      <c r="K2428" t="s">
        <v>14332</v>
      </c>
      <c r="M2428">
        <v>160</v>
      </c>
      <c r="O2428" t="s">
        <v>11919</v>
      </c>
      <c r="P2428">
        <v>500</v>
      </c>
      <c r="Q2428">
        <v>3.6</v>
      </c>
    </row>
    <row r="2429" spans="1:17" x14ac:dyDescent="0.25">
      <c r="A2429">
        <v>691</v>
      </c>
      <c r="C2429" t="s">
        <v>13289</v>
      </c>
      <c r="D2429" t="s">
        <v>2818</v>
      </c>
      <c r="F2429">
        <v>1996</v>
      </c>
      <c r="H2429" t="s">
        <v>2963</v>
      </c>
      <c r="I2429">
        <v>2</v>
      </c>
      <c r="M2429">
        <v>8</v>
      </c>
      <c r="N2429" t="s">
        <v>13290</v>
      </c>
      <c r="O2429" t="s">
        <v>11920</v>
      </c>
      <c r="P2429">
        <v>99</v>
      </c>
      <c r="Q2429">
        <v>3</v>
      </c>
    </row>
    <row r="2430" spans="1:17" x14ac:dyDescent="0.25">
      <c r="A2430">
        <v>1327</v>
      </c>
      <c r="B2430" t="s">
        <v>13291</v>
      </c>
      <c r="C2430" t="s">
        <v>13292</v>
      </c>
      <c r="D2430" t="s">
        <v>13293</v>
      </c>
      <c r="E2430" t="s">
        <v>1877</v>
      </c>
      <c r="F2430">
        <v>1979</v>
      </c>
      <c r="H2430" t="s">
        <v>1878</v>
      </c>
      <c r="I2430">
        <v>3</v>
      </c>
      <c r="K2430" t="s">
        <v>14332</v>
      </c>
      <c r="M2430">
        <v>112</v>
      </c>
      <c r="N2430" t="s">
        <v>13294</v>
      </c>
      <c r="O2430" t="s">
        <v>11921</v>
      </c>
      <c r="P2430">
        <v>216</v>
      </c>
      <c r="Q2430">
        <v>2.0099999999999998</v>
      </c>
    </row>
    <row r="2431" spans="1:17" x14ac:dyDescent="0.25">
      <c r="A2431">
        <v>1355</v>
      </c>
      <c r="C2431" t="s">
        <v>13295</v>
      </c>
      <c r="D2431" t="s">
        <v>1912</v>
      </c>
      <c r="E2431" t="s">
        <v>1913</v>
      </c>
      <c r="F2431">
        <v>1993</v>
      </c>
      <c r="H2431" t="s">
        <v>1878</v>
      </c>
      <c r="I2431">
        <v>3</v>
      </c>
      <c r="K2431" t="s">
        <v>14332</v>
      </c>
      <c r="L2431" s="222">
        <v>9783442079537</v>
      </c>
      <c r="N2431" t="s">
        <v>13297</v>
      </c>
      <c r="O2431" t="s">
        <v>11922</v>
      </c>
      <c r="P2431">
        <v>159</v>
      </c>
      <c r="Q2431">
        <v>1.52</v>
      </c>
    </row>
    <row r="2432" spans="1:17" x14ac:dyDescent="0.25">
      <c r="A2432">
        <v>676</v>
      </c>
      <c r="B2432" t="s">
        <v>13298</v>
      </c>
      <c r="C2432" t="s">
        <v>13299</v>
      </c>
      <c r="D2432" t="s">
        <v>13300</v>
      </c>
      <c r="F2432">
        <v>1987</v>
      </c>
      <c r="H2432" t="s">
        <v>1878</v>
      </c>
      <c r="I2432">
        <v>3</v>
      </c>
      <c r="K2432" t="s">
        <v>14332</v>
      </c>
      <c r="L2432" s="222">
        <v>9783497007493</v>
      </c>
      <c r="M2432">
        <v>216</v>
      </c>
      <c r="N2432" t="s">
        <v>13172</v>
      </c>
      <c r="O2432" t="s">
        <v>11923</v>
      </c>
      <c r="P2432">
        <v>270</v>
      </c>
      <c r="Q2432">
        <v>2.15</v>
      </c>
    </row>
    <row r="2433" spans="1:17" x14ac:dyDescent="0.25">
      <c r="A2433">
        <v>2522</v>
      </c>
      <c r="B2433" t="s">
        <v>4071</v>
      </c>
      <c r="C2433" t="s">
        <v>10150</v>
      </c>
      <c r="D2433" t="s">
        <v>3077</v>
      </c>
      <c r="E2433" t="s">
        <v>2032</v>
      </c>
      <c r="F2433">
        <v>1995</v>
      </c>
      <c r="H2433" t="s">
        <v>2963</v>
      </c>
      <c r="I2433">
        <v>2</v>
      </c>
      <c r="L2433" s="222">
        <v>9783764510954</v>
      </c>
      <c r="M2433">
        <v>770</v>
      </c>
      <c r="N2433" t="s">
        <v>13249</v>
      </c>
      <c r="O2433" t="s">
        <v>11924</v>
      </c>
      <c r="P2433">
        <v>719</v>
      </c>
      <c r="Q2433">
        <v>1.79</v>
      </c>
    </row>
    <row r="2434" spans="1:17" x14ac:dyDescent="0.25">
      <c r="A2434">
        <v>1201</v>
      </c>
      <c r="B2434" t="s">
        <v>13303</v>
      </c>
      <c r="C2434" t="s">
        <v>13304</v>
      </c>
      <c r="D2434" t="s">
        <v>13305</v>
      </c>
      <c r="F2434">
        <v>1956</v>
      </c>
      <c r="H2434" t="s">
        <v>1878</v>
      </c>
      <c r="I2434">
        <v>4</v>
      </c>
      <c r="K2434" t="s">
        <v>14332</v>
      </c>
      <c r="M2434">
        <v>256</v>
      </c>
      <c r="N2434" t="s">
        <v>13219</v>
      </c>
      <c r="O2434" t="s">
        <v>11925</v>
      </c>
      <c r="P2434">
        <v>410</v>
      </c>
      <c r="Q2434">
        <v>3.4</v>
      </c>
    </row>
    <row r="2435" spans="1:17" x14ac:dyDescent="0.25">
      <c r="A2435">
        <v>1875</v>
      </c>
      <c r="B2435" t="s">
        <v>13306</v>
      </c>
      <c r="C2435" t="s">
        <v>13307</v>
      </c>
      <c r="D2435" t="s">
        <v>13308</v>
      </c>
      <c r="F2435">
        <v>1986</v>
      </c>
      <c r="H2435" t="s">
        <v>2963</v>
      </c>
      <c r="I2435">
        <v>3</v>
      </c>
      <c r="K2435" t="s">
        <v>14332</v>
      </c>
      <c r="L2435" s="222">
        <v>9783501001646</v>
      </c>
      <c r="M2435">
        <v>74</v>
      </c>
      <c r="N2435" t="s">
        <v>13310</v>
      </c>
      <c r="O2435" t="s">
        <v>11926</v>
      </c>
      <c r="P2435">
        <v>165</v>
      </c>
      <c r="Q2435">
        <v>2.0699999999999998</v>
      </c>
    </row>
    <row r="2436" spans="1:17" x14ac:dyDescent="0.25">
      <c r="A2436">
        <v>1352</v>
      </c>
      <c r="B2436" t="s">
        <v>13311</v>
      </c>
      <c r="C2436" t="s">
        <v>13312</v>
      </c>
      <c r="D2436" t="s">
        <v>10179</v>
      </c>
      <c r="F2436">
        <v>1957</v>
      </c>
      <c r="H2436" t="s">
        <v>2963</v>
      </c>
      <c r="I2436">
        <v>3</v>
      </c>
      <c r="K2436" t="s">
        <v>14332</v>
      </c>
      <c r="M2436">
        <v>726</v>
      </c>
      <c r="N2436" t="s">
        <v>13313</v>
      </c>
      <c r="O2436" t="s">
        <v>11927</v>
      </c>
      <c r="P2436">
        <v>773</v>
      </c>
      <c r="Q2436">
        <v>5</v>
      </c>
    </row>
    <row r="2437" spans="1:17" x14ac:dyDescent="0.25">
      <c r="A2437">
        <v>1984</v>
      </c>
      <c r="B2437" t="s">
        <v>13314</v>
      </c>
      <c r="C2437" t="s">
        <v>13315</v>
      </c>
      <c r="D2437" t="s">
        <v>1979</v>
      </c>
      <c r="E2437" t="s">
        <v>2032</v>
      </c>
      <c r="F2437">
        <v>2004</v>
      </c>
      <c r="H2437" t="s">
        <v>2963</v>
      </c>
      <c r="I2437">
        <v>2</v>
      </c>
      <c r="K2437" t="s">
        <v>14332</v>
      </c>
      <c r="L2437" s="222">
        <v>9783473360321</v>
      </c>
      <c r="M2437">
        <v>44</v>
      </c>
      <c r="N2437" t="s">
        <v>13317</v>
      </c>
      <c r="O2437" t="s">
        <v>11928</v>
      </c>
      <c r="P2437">
        <v>270</v>
      </c>
      <c r="Q2437">
        <v>1.9</v>
      </c>
    </row>
    <row r="2438" spans="1:17" x14ac:dyDescent="0.25">
      <c r="A2438">
        <v>37</v>
      </c>
      <c r="B2438" t="s">
        <v>13318</v>
      </c>
      <c r="C2438" t="s">
        <v>13319</v>
      </c>
      <c r="D2438" t="s">
        <v>13320</v>
      </c>
      <c r="E2438" t="s">
        <v>1877</v>
      </c>
      <c r="F2438">
        <v>1964</v>
      </c>
      <c r="H2438" t="s">
        <v>1878</v>
      </c>
      <c r="I2438">
        <v>2</v>
      </c>
      <c r="K2438" t="s">
        <v>14332</v>
      </c>
      <c r="M2438">
        <v>120</v>
      </c>
      <c r="N2438" t="s">
        <v>13172</v>
      </c>
      <c r="O2438" t="s">
        <v>11929</v>
      </c>
      <c r="P2438">
        <v>154</v>
      </c>
      <c r="Q2438">
        <v>9.6</v>
      </c>
    </row>
    <row r="2439" spans="1:17" x14ac:dyDescent="0.25">
      <c r="A2439">
        <v>1352</v>
      </c>
      <c r="B2439" t="s">
        <v>13321</v>
      </c>
      <c r="C2439" t="s">
        <v>13322</v>
      </c>
      <c r="D2439" t="s">
        <v>5005</v>
      </c>
      <c r="H2439" t="s">
        <v>2963</v>
      </c>
      <c r="I2439">
        <v>2</v>
      </c>
      <c r="J2439" t="s">
        <v>2505</v>
      </c>
      <c r="K2439" t="s">
        <v>14332</v>
      </c>
      <c r="M2439">
        <v>256</v>
      </c>
      <c r="N2439" t="s">
        <v>13187</v>
      </c>
      <c r="O2439" t="s">
        <v>11930</v>
      </c>
      <c r="P2439">
        <v>311</v>
      </c>
      <c r="Q2439">
        <v>2.89</v>
      </c>
    </row>
    <row r="2440" spans="1:17" x14ac:dyDescent="0.25">
      <c r="A2440">
        <v>1289</v>
      </c>
      <c r="B2440" t="s">
        <v>13323</v>
      </c>
      <c r="C2440" t="s">
        <v>13324</v>
      </c>
      <c r="D2440" t="s">
        <v>13325</v>
      </c>
      <c r="E2440" t="s">
        <v>2032</v>
      </c>
      <c r="F2440">
        <v>1980</v>
      </c>
      <c r="H2440" t="s">
        <v>1878</v>
      </c>
      <c r="I2440">
        <v>3</v>
      </c>
      <c r="K2440" t="s">
        <v>14332</v>
      </c>
      <c r="L2440" s="222">
        <v>9783877393154</v>
      </c>
      <c r="M2440">
        <v>240</v>
      </c>
      <c r="N2440" t="s">
        <v>13194</v>
      </c>
      <c r="O2440" t="s">
        <v>11931</v>
      </c>
      <c r="P2440">
        <v>274</v>
      </c>
      <c r="Q2440">
        <v>1.39</v>
      </c>
    </row>
    <row r="2441" spans="1:17" x14ac:dyDescent="0.25">
      <c r="A2441">
        <v>1327</v>
      </c>
      <c r="B2441" t="s">
        <v>13327</v>
      </c>
      <c r="C2441" t="s">
        <v>13328</v>
      </c>
      <c r="D2441" t="s">
        <v>1988</v>
      </c>
      <c r="E2441" t="s">
        <v>2032</v>
      </c>
      <c r="F2441">
        <v>1995</v>
      </c>
      <c r="H2441" t="s">
        <v>1878</v>
      </c>
      <c r="I2441">
        <v>2</v>
      </c>
      <c r="K2441" t="s">
        <v>14332</v>
      </c>
      <c r="L2441" s="222">
        <v>9783423119153</v>
      </c>
      <c r="M2441">
        <v>280</v>
      </c>
      <c r="N2441" t="s">
        <v>13330</v>
      </c>
      <c r="O2441" t="s">
        <v>11932</v>
      </c>
      <c r="P2441">
        <v>231</v>
      </c>
      <c r="Q2441">
        <v>1.73</v>
      </c>
    </row>
    <row r="2442" spans="1:17" x14ac:dyDescent="0.25">
      <c r="A2442">
        <v>2522</v>
      </c>
      <c r="B2442" t="s">
        <v>13331</v>
      </c>
      <c r="C2442" t="s">
        <v>13332</v>
      </c>
      <c r="D2442" t="s">
        <v>1920</v>
      </c>
      <c r="E2442" t="s">
        <v>9325</v>
      </c>
      <c r="F2442">
        <v>1992</v>
      </c>
      <c r="H2442" t="s">
        <v>1878</v>
      </c>
      <c r="I2442">
        <v>3</v>
      </c>
      <c r="K2442" t="s">
        <v>14332</v>
      </c>
      <c r="L2442" s="222">
        <v>9783404116140</v>
      </c>
      <c r="M2442">
        <v>432</v>
      </c>
      <c r="N2442" t="s">
        <v>13330</v>
      </c>
      <c r="O2442" t="s">
        <v>11933</v>
      </c>
      <c r="P2442">
        <v>225</v>
      </c>
      <c r="Q2442">
        <v>0.75</v>
      </c>
    </row>
    <row r="2443" spans="1:17" x14ac:dyDescent="0.25">
      <c r="A2443">
        <v>692</v>
      </c>
      <c r="B2443" t="s">
        <v>13334</v>
      </c>
      <c r="C2443" t="s">
        <v>13335</v>
      </c>
      <c r="D2443" t="s">
        <v>1920</v>
      </c>
      <c r="F2443">
        <v>1995</v>
      </c>
      <c r="H2443" t="s">
        <v>1878</v>
      </c>
      <c r="I2443">
        <v>3</v>
      </c>
      <c r="K2443" t="s">
        <v>14332</v>
      </c>
      <c r="L2443" s="222">
        <v>9783404122707</v>
      </c>
      <c r="M2443">
        <v>528</v>
      </c>
      <c r="N2443" t="s">
        <v>13330</v>
      </c>
      <c r="O2443" t="s">
        <v>11934</v>
      </c>
      <c r="P2443">
        <v>268</v>
      </c>
      <c r="Q2443">
        <v>3.68</v>
      </c>
    </row>
    <row r="2444" spans="1:17" x14ac:dyDescent="0.25">
      <c r="A2444">
        <v>1395</v>
      </c>
      <c r="B2444" t="s">
        <v>13337</v>
      </c>
      <c r="C2444" t="s">
        <v>14501</v>
      </c>
      <c r="D2444" t="s">
        <v>2609</v>
      </c>
      <c r="E2444" t="s">
        <v>2032</v>
      </c>
      <c r="F2444">
        <v>2009</v>
      </c>
      <c r="H2444" t="s">
        <v>1878</v>
      </c>
      <c r="I2444">
        <v>2</v>
      </c>
      <c r="K2444" t="s">
        <v>14332</v>
      </c>
      <c r="L2444" s="222">
        <v>9783596158799</v>
      </c>
      <c r="M2444">
        <v>208</v>
      </c>
      <c r="N2444" t="s">
        <v>13232</v>
      </c>
      <c r="O2444" t="s">
        <v>11935</v>
      </c>
      <c r="P2444">
        <v>241</v>
      </c>
      <c r="Q2444">
        <v>1.21</v>
      </c>
    </row>
    <row r="2445" spans="1:17" x14ac:dyDescent="0.25">
      <c r="A2445">
        <v>1336</v>
      </c>
      <c r="B2445" t="s">
        <v>13340</v>
      </c>
      <c r="C2445" t="s">
        <v>13341</v>
      </c>
      <c r="D2445" t="s">
        <v>2609</v>
      </c>
      <c r="F2445">
        <v>1978</v>
      </c>
      <c r="H2445" t="s">
        <v>2963</v>
      </c>
      <c r="I2445">
        <v>2</v>
      </c>
      <c r="K2445" t="s">
        <v>14332</v>
      </c>
      <c r="M2445">
        <v>466</v>
      </c>
      <c r="N2445" t="s">
        <v>13342</v>
      </c>
      <c r="O2445" t="s">
        <v>11936</v>
      </c>
      <c r="P2445">
        <v>522</v>
      </c>
      <c r="Q2445">
        <v>4.5999999999999996</v>
      </c>
    </row>
    <row r="2446" spans="1:17" x14ac:dyDescent="0.25">
      <c r="A2446">
        <v>2522</v>
      </c>
      <c r="B2446" t="s">
        <v>7806</v>
      </c>
      <c r="C2446" t="s">
        <v>13343</v>
      </c>
      <c r="D2446" t="s">
        <v>1912</v>
      </c>
      <c r="E2446" t="s">
        <v>2335</v>
      </c>
      <c r="F2446">
        <v>2004</v>
      </c>
      <c r="H2446" t="s">
        <v>1878</v>
      </c>
      <c r="I2446">
        <v>2</v>
      </c>
      <c r="K2446" t="s">
        <v>14332</v>
      </c>
      <c r="L2446" s="222">
        <v>9783442134144</v>
      </c>
      <c r="M2446">
        <v>194</v>
      </c>
      <c r="N2446" t="s">
        <v>13345</v>
      </c>
      <c r="O2446" t="s">
        <v>11937</v>
      </c>
      <c r="P2446">
        <v>430</v>
      </c>
      <c r="Q2446">
        <v>0.95</v>
      </c>
    </row>
    <row r="2447" spans="1:17" x14ac:dyDescent="0.25">
      <c r="A2447">
        <v>692</v>
      </c>
      <c r="B2447" t="s">
        <v>4888</v>
      </c>
      <c r="C2447" t="s">
        <v>13346</v>
      </c>
      <c r="D2447" t="s">
        <v>1912</v>
      </c>
      <c r="E2447" t="s">
        <v>2335</v>
      </c>
      <c r="F2447">
        <v>2000</v>
      </c>
      <c r="H2447" t="s">
        <v>1878</v>
      </c>
      <c r="I2447">
        <v>2</v>
      </c>
      <c r="K2447" t="s">
        <v>14332</v>
      </c>
      <c r="L2447" s="222">
        <v>9783442448258</v>
      </c>
      <c r="M2447">
        <v>352</v>
      </c>
      <c r="N2447" t="s">
        <v>13330</v>
      </c>
      <c r="O2447" t="s">
        <v>11938</v>
      </c>
      <c r="P2447">
        <v>310</v>
      </c>
      <c r="Q2447">
        <v>0.89</v>
      </c>
    </row>
    <row r="2448" spans="1:17" x14ac:dyDescent="0.25">
      <c r="A2448">
        <v>1396</v>
      </c>
      <c r="B2448" t="s">
        <v>13348</v>
      </c>
      <c r="C2448" t="s">
        <v>13349</v>
      </c>
      <c r="D2448" t="s">
        <v>9065</v>
      </c>
      <c r="E2448" t="s">
        <v>1913</v>
      </c>
      <c r="F2448">
        <v>1988</v>
      </c>
      <c r="H2448" t="s">
        <v>2963</v>
      </c>
      <c r="I2448">
        <v>2</v>
      </c>
      <c r="K2448" t="s">
        <v>14332</v>
      </c>
      <c r="L2448" s="222">
        <v>9783791817026</v>
      </c>
      <c r="M2448">
        <v>450</v>
      </c>
      <c r="N2448" t="s">
        <v>13187</v>
      </c>
      <c r="O2448" t="s">
        <v>11939</v>
      </c>
      <c r="P2448">
        <v>483</v>
      </c>
      <c r="Q2448">
        <v>1.34</v>
      </c>
    </row>
    <row r="2449" spans="1:17" x14ac:dyDescent="0.25">
      <c r="A2449">
        <v>796</v>
      </c>
      <c r="B2449" t="s">
        <v>13401</v>
      </c>
      <c r="C2449" t="s">
        <v>13402</v>
      </c>
      <c r="D2449" t="s">
        <v>2209</v>
      </c>
      <c r="F2449">
        <v>2008</v>
      </c>
      <c r="H2449" t="s">
        <v>1878</v>
      </c>
      <c r="I2449">
        <v>2</v>
      </c>
      <c r="J2449" t="s">
        <v>3854</v>
      </c>
      <c r="K2449" t="s">
        <v>14332</v>
      </c>
      <c r="L2449" s="222">
        <v>9783563405899</v>
      </c>
      <c r="M2449">
        <v>640</v>
      </c>
      <c r="N2449" t="s">
        <v>13187</v>
      </c>
      <c r="O2449" t="s">
        <v>11940</v>
      </c>
      <c r="P2449">
        <v>526</v>
      </c>
      <c r="Q2449">
        <v>1.88</v>
      </c>
    </row>
    <row r="2450" spans="1:17" x14ac:dyDescent="0.25">
      <c r="A2450">
        <v>2548</v>
      </c>
      <c r="B2450" t="s">
        <v>13404</v>
      </c>
      <c r="C2450" t="s">
        <v>13405</v>
      </c>
      <c r="D2450" t="s">
        <v>1920</v>
      </c>
      <c r="F2450">
        <v>2013</v>
      </c>
      <c r="H2450" t="s">
        <v>1878</v>
      </c>
      <c r="I2450">
        <v>2</v>
      </c>
      <c r="J2450" t="s">
        <v>3854</v>
      </c>
      <c r="K2450" t="s">
        <v>14332</v>
      </c>
      <c r="L2450" s="222">
        <v>9783404167487</v>
      </c>
      <c r="M2450">
        <v>448</v>
      </c>
      <c r="N2450" t="s">
        <v>13239</v>
      </c>
      <c r="O2450" t="s">
        <v>11941</v>
      </c>
      <c r="P2450">
        <v>424</v>
      </c>
      <c r="Q2450">
        <v>3.88</v>
      </c>
    </row>
    <row r="2451" spans="1:17" x14ac:dyDescent="0.25">
      <c r="A2451">
        <v>1875</v>
      </c>
      <c r="B2451" t="s">
        <v>13409</v>
      </c>
      <c r="C2451" t="s">
        <v>13407</v>
      </c>
      <c r="D2451" t="s">
        <v>13408</v>
      </c>
      <c r="F2451">
        <v>1996</v>
      </c>
      <c r="H2451" t="s">
        <v>2963</v>
      </c>
      <c r="I2451">
        <v>2</v>
      </c>
      <c r="K2451" t="s">
        <v>14332</v>
      </c>
      <c r="L2451" s="222">
        <v>9783577301022</v>
      </c>
      <c r="M2451">
        <v>142</v>
      </c>
      <c r="N2451" t="s">
        <v>13411</v>
      </c>
      <c r="O2451" t="s">
        <v>11942</v>
      </c>
      <c r="P2451">
        <v>174</v>
      </c>
      <c r="Q2451">
        <v>3.61</v>
      </c>
    </row>
    <row r="2452" spans="1:17" x14ac:dyDescent="0.25">
      <c r="A2452">
        <v>1809</v>
      </c>
      <c r="B2452" t="s">
        <v>13412</v>
      </c>
      <c r="C2452" t="s">
        <v>13413</v>
      </c>
      <c r="D2452" t="s">
        <v>2822</v>
      </c>
      <c r="F2452">
        <v>2006</v>
      </c>
      <c r="H2452" t="s">
        <v>1878</v>
      </c>
      <c r="I2452">
        <v>2</v>
      </c>
      <c r="K2452" t="s">
        <v>14332</v>
      </c>
      <c r="L2452" s="222">
        <v>9783522178631</v>
      </c>
      <c r="M2452">
        <v>176</v>
      </c>
      <c r="N2452" t="s">
        <v>13415</v>
      </c>
      <c r="O2452" t="s">
        <v>11943</v>
      </c>
      <c r="P2452">
        <v>267</v>
      </c>
      <c r="Q2452">
        <v>2.0099999999999998</v>
      </c>
    </row>
    <row r="2453" spans="1:17" x14ac:dyDescent="0.25">
      <c r="A2453">
        <v>692</v>
      </c>
      <c r="B2453" t="s">
        <v>13416</v>
      </c>
      <c r="C2453" t="s">
        <v>13417</v>
      </c>
      <c r="D2453" t="s">
        <v>3077</v>
      </c>
      <c r="E2453" t="s">
        <v>1921</v>
      </c>
      <c r="F2453">
        <v>2001</v>
      </c>
      <c r="H2453" t="s">
        <v>1878</v>
      </c>
      <c r="I2453">
        <v>3</v>
      </c>
      <c r="K2453" t="s">
        <v>14332</v>
      </c>
      <c r="L2453" s="222">
        <v>9783442354740</v>
      </c>
      <c r="M2453">
        <v>320</v>
      </c>
      <c r="N2453" t="s">
        <v>13170</v>
      </c>
      <c r="O2453" t="s">
        <v>11944</v>
      </c>
      <c r="P2453">
        <v>257</v>
      </c>
      <c r="Q2453">
        <v>0.79</v>
      </c>
    </row>
    <row r="2454" spans="1:17" x14ac:dyDescent="0.25">
      <c r="A2454">
        <v>2663</v>
      </c>
      <c r="B2454" t="s">
        <v>13419</v>
      </c>
      <c r="C2454" t="s">
        <v>13420</v>
      </c>
      <c r="D2454" t="s">
        <v>13421</v>
      </c>
      <c r="H2454" t="s">
        <v>1878</v>
      </c>
      <c r="I2454">
        <v>1</v>
      </c>
      <c r="K2454" t="s">
        <v>14332</v>
      </c>
      <c r="L2454" s="222">
        <v>9783741806520</v>
      </c>
      <c r="M2454">
        <v>320</v>
      </c>
      <c r="N2454" t="s">
        <v>13187</v>
      </c>
      <c r="O2454" t="s">
        <v>11945</v>
      </c>
      <c r="P2454">
        <v>320</v>
      </c>
      <c r="Q2454">
        <v>4.79</v>
      </c>
    </row>
    <row r="2455" spans="1:17" x14ac:dyDescent="0.25">
      <c r="A2455">
        <v>2663</v>
      </c>
      <c r="B2455" t="s">
        <v>13419</v>
      </c>
      <c r="C2455" t="s">
        <v>13420</v>
      </c>
      <c r="D2455" t="s">
        <v>13421</v>
      </c>
      <c r="F2455">
        <v>2015</v>
      </c>
      <c r="H2455" t="s">
        <v>1878</v>
      </c>
      <c r="I2455">
        <v>1</v>
      </c>
      <c r="K2455" t="s">
        <v>14332</v>
      </c>
      <c r="L2455" s="222">
        <v>9781490491875</v>
      </c>
      <c r="M2455">
        <v>256</v>
      </c>
      <c r="N2455" t="s">
        <v>13204</v>
      </c>
      <c r="O2455" t="s">
        <v>11946</v>
      </c>
      <c r="P2455">
        <v>408</v>
      </c>
      <c r="Q2455">
        <v>4.79</v>
      </c>
    </row>
    <row r="2456" spans="1:17" x14ac:dyDescent="0.25">
      <c r="A2456">
        <v>2663</v>
      </c>
      <c r="B2456" t="s">
        <v>13419</v>
      </c>
      <c r="C2456" t="s">
        <v>13424</v>
      </c>
      <c r="H2456" t="s">
        <v>1878</v>
      </c>
      <c r="I2456">
        <v>2</v>
      </c>
      <c r="K2456" t="s">
        <v>14332</v>
      </c>
      <c r="L2456" s="222">
        <v>2000034294039</v>
      </c>
      <c r="M2456">
        <v>314</v>
      </c>
      <c r="N2456" t="s">
        <v>13232</v>
      </c>
      <c r="O2456" t="s">
        <v>11947</v>
      </c>
      <c r="P2456">
        <v>320</v>
      </c>
      <c r="Q2456">
        <v>4.79</v>
      </c>
    </row>
    <row r="2457" spans="1:17" x14ac:dyDescent="0.25">
      <c r="A2457">
        <v>2547</v>
      </c>
      <c r="B2457" t="s">
        <v>5842</v>
      </c>
      <c r="C2457" t="s">
        <v>13426</v>
      </c>
      <c r="D2457" t="s">
        <v>1912</v>
      </c>
      <c r="E2457" t="s">
        <v>1913</v>
      </c>
      <c r="F2457">
        <v>2004</v>
      </c>
      <c r="H2457" t="s">
        <v>1878</v>
      </c>
      <c r="I2457">
        <v>2</v>
      </c>
      <c r="K2457" t="s">
        <v>14332</v>
      </c>
      <c r="L2457" s="222">
        <v>9783442457724</v>
      </c>
      <c r="M2457">
        <v>480</v>
      </c>
      <c r="N2457" t="s">
        <v>13170</v>
      </c>
      <c r="O2457" t="s">
        <v>11948</v>
      </c>
      <c r="P2457">
        <v>425</v>
      </c>
      <c r="Q2457">
        <v>2.0099999999999998</v>
      </c>
    </row>
    <row r="2458" spans="1:17" x14ac:dyDescent="0.25">
      <c r="A2458">
        <v>1875</v>
      </c>
      <c r="B2458" t="s">
        <v>13428</v>
      </c>
      <c r="C2458" t="s">
        <v>13429</v>
      </c>
      <c r="D2458" t="s">
        <v>2676</v>
      </c>
      <c r="F2458">
        <v>2002</v>
      </c>
      <c r="H2458" t="s">
        <v>2963</v>
      </c>
      <c r="I2458">
        <v>2</v>
      </c>
      <c r="K2458" t="s">
        <v>14332</v>
      </c>
      <c r="L2458" s="222">
        <v>9783760719078</v>
      </c>
      <c r="N2458" t="s">
        <v>13411</v>
      </c>
      <c r="O2458" t="s">
        <v>11949</v>
      </c>
      <c r="P2458">
        <v>177</v>
      </c>
      <c r="Q2458">
        <v>1.99</v>
      </c>
    </row>
    <row r="2459" spans="1:17" x14ac:dyDescent="0.25">
      <c r="A2459">
        <v>2548</v>
      </c>
      <c r="B2459" t="s">
        <v>3956</v>
      </c>
      <c r="C2459" t="s">
        <v>13431</v>
      </c>
      <c r="D2459" t="s">
        <v>2644</v>
      </c>
      <c r="F2459">
        <v>1999</v>
      </c>
      <c r="H2459" t="s">
        <v>1878</v>
      </c>
      <c r="I2459">
        <v>2</v>
      </c>
      <c r="K2459" t="s">
        <v>14332</v>
      </c>
      <c r="L2459" s="222">
        <v>9783257232608</v>
      </c>
      <c r="M2459">
        <v>304</v>
      </c>
      <c r="N2459" t="s">
        <v>13170</v>
      </c>
      <c r="O2459" t="s">
        <v>11950</v>
      </c>
      <c r="P2459">
        <v>262</v>
      </c>
      <c r="Q2459">
        <v>1.74</v>
      </c>
    </row>
    <row r="2460" spans="1:17" x14ac:dyDescent="0.25">
      <c r="A2460">
        <v>632</v>
      </c>
      <c r="B2460" t="s">
        <v>5807</v>
      </c>
      <c r="C2460" t="s">
        <v>13433</v>
      </c>
      <c r="D2460" t="s">
        <v>2209</v>
      </c>
      <c r="E2460" t="s">
        <v>2922</v>
      </c>
      <c r="F2460">
        <v>1998</v>
      </c>
      <c r="H2460" t="s">
        <v>1878</v>
      </c>
      <c r="I2460">
        <v>3</v>
      </c>
      <c r="K2460" t="s">
        <v>14332</v>
      </c>
      <c r="L2460" s="222">
        <v>9783453124714</v>
      </c>
      <c r="M2460">
        <v>464</v>
      </c>
      <c r="N2460" t="s">
        <v>13239</v>
      </c>
      <c r="O2460" t="s">
        <v>11951</v>
      </c>
      <c r="P2460">
        <v>408</v>
      </c>
      <c r="Q2460">
        <v>0.79</v>
      </c>
    </row>
    <row r="2461" spans="1:17" x14ac:dyDescent="0.25">
      <c r="A2461">
        <v>1396</v>
      </c>
      <c r="B2461" t="s">
        <v>13435</v>
      </c>
      <c r="C2461" t="s">
        <v>13436</v>
      </c>
      <c r="D2461" t="s">
        <v>2609</v>
      </c>
      <c r="E2461" t="s">
        <v>1877</v>
      </c>
      <c r="F2461">
        <v>2011</v>
      </c>
      <c r="H2461" t="s">
        <v>1878</v>
      </c>
      <c r="I2461">
        <v>3</v>
      </c>
      <c r="K2461" t="s">
        <v>14332</v>
      </c>
      <c r="L2461" s="222">
        <v>9783596179206</v>
      </c>
      <c r="M2461">
        <v>400</v>
      </c>
      <c r="N2461" t="s">
        <v>13232</v>
      </c>
      <c r="O2461" t="s">
        <v>11952</v>
      </c>
      <c r="P2461">
        <v>319</v>
      </c>
      <c r="Q2461">
        <v>4.05</v>
      </c>
    </row>
    <row r="2462" spans="1:17" x14ac:dyDescent="0.25">
      <c r="A2462">
        <v>632</v>
      </c>
      <c r="B2462" t="s">
        <v>13438</v>
      </c>
      <c r="C2462" t="s">
        <v>13439</v>
      </c>
      <c r="F2462">
        <v>2003</v>
      </c>
      <c r="H2462" t="s">
        <v>1878</v>
      </c>
      <c r="I2462">
        <v>3</v>
      </c>
      <c r="K2462" t="s">
        <v>14332</v>
      </c>
      <c r="L2462" s="222">
        <v>9783941329331</v>
      </c>
      <c r="M2462">
        <v>416</v>
      </c>
      <c r="N2462" t="s">
        <v>13170</v>
      </c>
      <c r="O2462" t="s">
        <v>11953</v>
      </c>
      <c r="P2462">
        <v>372</v>
      </c>
      <c r="Q2462">
        <v>1.76</v>
      </c>
    </row>
    <row r="2463" spans="1:17" x14ac:dyDescent="0.25">
      <c r="A2463">
        <v>1395</v>
      </c>
      <c r="B2463" t="s">
        <v>13441</v>
      </c>
      <c r="C2463" t="s">
        <v>13442</v>
      </c>
      <c r="D2463" t="s">
        <v>2394</v>
      </c>
      <c r="F2463">
        <v>1998</v>
      </c>
      <c r="H2463" t="s">
        <v>1878</v>
      </c>
      <c r="I2463">
        <v>3</v>
      </c>
      <c r="K2463" t="s">
        <v>14332</v>
      </c>
      <c r="L2463" s="222">
        <v>9783421051301</v>
      </c>
      <c r="M2463">
        <v>304</v>
      </c>
      <c r="N2463" t="s">
        <v>13415</v>
      </c>
      <c r="O2463" t="s">
        <v>11954</v>
      </c>
      <c r="P2463">
        <v>425</v>
      </c>
      <c r="Q2463">
        <v>1.77</v>
      </c>
    </row>
    <row r="2464" spans="1:17" x14ac:dyDescent="0.25">
      <c r="A2464">
        <v>796</v>
      </c>
      <c r="B2464" t="s">
        <v>13444</v>
      </c>
      <c r="C2464" t="s">
        <v>13445</v>
      </c>
      <c r="D2464" t="s">
        <v>5005</v>
      </c>
      <c r="F2464">
        <v>2007</v>
      </c>
      <c r="H2464" t="s">
        <v>1878</v>
      </c>
      <c r="I2464">
        <v>2</v>
      </c>
      <c r="K2464" t="s">
        <v>14332</v>
      </c>
      <c r="M2464">
        <v>480</v>
      </c>
      <c r="N2464" t="s">
        <v>13297</v>
      </c>
      <c r="O2464" t="s">
        <v>11955</v>
      </c>
      <c r="P2464">
        <v>358</v>
      </c>
      <c r="Q2464">
        <v>0.75</v>
      </c>
    </row>
    <row r="2465" spans="1:17" x14ac:dyDescent="0.25">
      <c r="A2465">
        <v>2522</v>
      </c>
      <c r="B2465" t="s">
        <v>4115</v>
      </c>
      <c r="C2465" t="s">
        <v>13446</v>
      </c>
      <c r="D2465" t="s">
        <v>3077</v>
      </c>
      <c r="F2465">
        <v>2006</v>
      </c>
      <c r="H2465" t="s">
        <v>4297</v>
      </c>
      <c r="I2465">
        <v>3</v>
      </c>
      <c r="K2465" t="s">
        <v>14332</v>
      </c>
      <c r="M2465">
        <v>546</v>
      </c>
      <c r="N2465" t="s">
        <v>13209</v>
      </c>
      <c r="O2465" t="s">
        <v>11956</v>
      </c>
      <c r="P2465">
        <v>467</v>
      </c>
      <c r="Q2465">
        <v>1.9</v>
      </c>
    </row>
    <row r="2466" spans="1:17" x14ac:dyDescent="0.25">
      <c r="A2466">
        <v>1239</v>
      </c>
      <c r="B2466" t="s">
        <v>13447</v>
      </c>
      <c r="C2466" t="s">
        <v>13448</v>
      </c>
      <c r="D2466" t="s">
        <v>3057</v>
      </c>
      <c r="E2466" t="s">
        <v>4472</v>
      </c>
      <c r="F2466">
        <v>1997</v>
      </c>
      <c r="H2466" t="s">
        <v>2963</v>
      </c>
      <c r="I2466">
        <v>2</v>
      </c>
      <c r="K2466" t="s">
        <v>14332</v>
      </c>
      <c r="L2466" s="222">
        <v>9783440073230</v>
      </c>
      <c r="M2466">
        <v>202</v>
      </c>
      <c r="N2466" t="s">
        <v>13450</v>
      </c>
      <c r="O2466" t="s">
        <v>11957</v>
      </c>
      <c r="P2466">
        <v>798</v>
      </c>
      <c r="Q2466">
        <v>2.9</v>
      </c>
    </row>
    <row r="2467" spans="1:17" x14ac:dyDescent="0.25">
      <c r="A2467">
        <v>763</v>
      </c>
      <c r="B2467" t="s">
        <v>13451</v>
      </c>
      <c r="C2467" t="s">
        <v>13452</v>
      </c>
      <c r="D2467" t="s">
        <v>13453</v>
      </c>
      <c r="F2467">
        <v>2001</v>
      </c>
      <c r="H2467" t="s">
        <v>1878</v>
      </c>
      <c r="I2467">
        <v>2</v>
      </c>
      <c r="K2467" t="s">
        <v>14332</v>
      </c>
      <c r="L2467" s="222">
        <v>9783830420613</v>
      </c>
      <c r="M2467">
        <v>144</v>
      </c>
      <c r="N2467" t="s">
        <v>13455</v>
      </c>
      <c r="O2467" t="s">
        <v>11958</v>
      </c>
      <c r="P2467">
        <v>311</v>
      </c>
      <c r="Q2467">
        <v>2.0099999999999998</v>
      </c>
    </row>
    <row r="2468" spans="1:17" x14ac:dyDescent="0.25">
      <c r="A2468">
        <v>692</v>
      </c>
      <c r="B2468" t="s">
        <v>13456</v>
      </c>
      <c r="C2468" t="s">
        <v>13457</v>
      </c>
      <c r="D2468" t="s">
        <v>2209</v>
      </c>
      <c r="F2468">
        <v>2010</v>
      </c>
      <c r="H2468" t="s">
        <v>1878</v>
      </c>
      <c r="I2468">
        <v>2</v>
      </c>
      <c r="K2468" t="s">
        <v>14332</v>
      </c>
      <c r="L2468" s="222">
        <v>9783453407770</v>
      </c>
      <c r="M2468">
        <v>432</v>
      </c>
      <c r="N2468" t="s">
        <v>13459</v>
      </c>
      <c r="O2468" t="s">
        <v>11959</v>
      </c>
      <c r="P2468">
        <v>352</v>
      </c>
      <c r="Q2468">
        <v>1.58</v>
      </c>
    </row>
    <row r="2469" spans="1:17" x14ac:dyDescent="0.25">
      <c r="A2469">
        <v>692</v>
      </c>
      <c r="B2469" t="s">
        <v>13460</v>
      </c>
      <c r="C2469" t="s">
        <v>13461</v>
      </c>
      <c r="D2469" t="s">
        <v>3077</v>
      </c>
      <c r="E2469" t="s">
        <v>1913</v>
      </c>
      <c r="F2469">
        <v>2008</v>
      </c>
      <c r="H2469" t="s">
        <v>1878</v>
      </c>
      <c r="I2469">
        <v>2</v>
      </c>
      <c r="J2469" t="s">
        <v>3854</v>
      </c>
      <c r="K2469" t="s">
        <v>14332</v>
      </c>
      <c r="L2469" s="222">
        <v>9783442370597</v>
      </c>
      <c r="M2469">
        <v>320</v>
      </c>
      <c r="N2469" t="s">
        <v>13463</v>
      </c>
      <c r="O2469" t="s">
        <v>11960</v>
      </c>
      <c r="P2469">
        <v>256</v>
      </c>
      <c r="Q2469">
        <v>0.81</v>
      </c>
    </row>
    <row r="2470" spans="1:17" x14ac:dyDescent="0.25">
      <c r="A2470">
        <v>2522</v>
      </c>
      <c r="B2470" t="s">
        <v>4115</v>
      </c>
      <c r="C2470" t="s">
        <v>13464</v>
      </c>
      <c r="D2470" t="s">
        <v>3077</v>
      </c>
      <c r="E2470" t="s">
        <v>1913</v>
      </c>
      <c r="F2470">
        <v>2009</v>
      </c>
      <c r="H2470" t="s">
        <v>1878</v>
      </c>
      <c r="I2470">
        <v>3</v>
      </c>
      <c r="K2470" t="s">
        <v>14332</v>
      </c>
      <c r="L2470" s="222">
        <v>9783442365999</v>
      </c>
      <c r="M2470">
        <v>480</v>
      </c>
      <c r="N2470" t="s">
        <v>13170</v>
      </c>
      <c r="O2470" t="s">
        <v>11961</v>
      </c>
      <c r="P2470">
        <v>368</v>
      </c>
      <c r="Q2470">
        <v>2.4900000000000002</v>
      </c>
    </row>
    <row r="2471" spans="1:17" x14ac:dyDescent="0.25">
      <c r="A2471">
        <v>796</v>
      </c>
      <c r="B2471" t="s">
        <v>13466</v>
      </c>
      <c r="C2471" t="s">
        <v>13467</v>
      </c>
      <c r="D2471" t="s">
        <v>10749</v>
      </c>
      <c r="F2471">
        <v>2015</v>
      </c>
      <c r="H2471" t="s">
        <v>1878</v>
      </c>
      <c r="I2471">
        <v>2</v>
      </c>
      <c r="J2471" t="s">
        <v>3854</v>
      </c>
      <c r="K2471" t="s">
        <v>14332</v>
      </c>
      <c r="L2471" s="222">
        <v>9783956491030</v>
      </c>
      <c r="M2471">
        <v>384</v>
      </c>
      <c r="N2471" t="s">
        <v>13239</v>
      </c>
      <c r="O2471" t="s">
        <v>11962</v>
      </c>
      <c r="P2471">
        <v>336</v>
      </c>
      <c r="Q2471">
        <v>4.4800000000000004</v>
      </c>
    </row>
    <row r="2472" spans="1:17" x14ac:dyDescent="0.25">
      <c r="A2472">
        <v>632</v>
      </c>
      <c r="B2472" t="s">
        <v>13469</v>
      </c>
      <c r="C2472" t="s">
        <v>13470</v>
      </c>
      <c r="D2472" t="s">
        <v>1920</v>
      </c>
      <c r="F2472">
        <v>2014</v>
      </c>
      <c r="H2472" t="s">
        <v>1878</v>
      </c>
      <c r="I2472">
        <v>3</v>
      </c>
      <c r="K2472" t="s">
        <v>14332</v>
      </c>
      <c r="L2472" s="222">
        <v>9783404172894</v>
      </c>
      <c r="M2472">
        <v>528</v>
      </c>
      <c r="N2472" t="s">
        <v>13239</v>
      </c>
      <c r="O2472" t="s">
        <v>11963</v>
      </c>
      <c r="P2472">
        <v>468</v>
      </c>
      <c r="Q2472">
        <v>2.35</v>
      </c>
    </row>
    <row r="2473" spans="1:17" x14ac:dyDescent="0.25">
      <c r="A2473">
        <v>735</v>
      </c>
      <c r="B2473" t="s">
        <v>7321</v>
      </c>
      <c r="C2473" t="s">
        <v>13472</v>
      </c>
      <c r="D2473" t="s">
        <v>7260</v>
      </c>
      <c r="F2473">
        <v>1981</v>
      </c>
      <c r="H2473" t="s">
        <v>2963</v>
      </c>
      <c r="I2473">
        <v>3</v>
      </c>
      <c r="K2473" t="s">
        <v>14332</v>
      </c>
      <c r="L2473" s="222">
        <v>9783552033023</v>
      </c>
      <c r="M2473">
        <v>476</v>
      </c>
      <c r="N2473" t="s">
        <v>13474</v>
      </c>
      <c r="O2473" t="s">
        <v>11964</v>
      </c>
      <c r="P2473">
        <v>607</v>
      </c>
      <c r="Q2473">
        <v>1.77</v>
      </c>
    </row>
    <row r="2474" spans="1:17" x14ac:dyDescent="0.25">
      <c r="A2474">
        <v>735</v>
      </c>
      <c r="B2474" t="s">
        <v>8774</v>
      </c>
      <c r="C2474" t="s">
        <v>13475</v>
      </c>
      <c r="D2474" t="s">
        <v>1876</v>
      </c>
      <c r="F2474">
        <v>1974</v>
      </c>
      <c r="H2474" t="s">
        <v>2963</v>
      </c>
      <c r="I2474">
        <v>3</v>
      </c>
      <c r="K2474" t="s">
        <v>14332</v>
      </c>
      <c r="L2474" s="222">
        <v>9783492020701</v>
      </c>
      <c r="M2474">
        <v>442</v>
      </c>
      <c r="N2474" t="s">
        <v>13204</v>
      </c>
      <c r="O2474" t="s">
        <v>11965</v>
      </c>
      <c r="P2474">
        <v>664</v>
      </c>
      <c r="Q2474">
        <v>0.45</v>
      </c>
    </row>
    <row r="2475" spans="1:17" x14ac:dyDescent="0.25">
      <c r="A2475">
        <v>1327</v>
      </c>
      <c r="B2475" t="s">
        <v>13477</v>
      </c>
      <c r="C2475" t="s">
        <v>13478</v>
      </c>
      <c r="D2475" t="s">
        <v>9065</v>
      </c>
      <c r="E2475" t="s">
        <v>1913</v>
      </c>
      <c r="F2475">
        <v>1987</v>
      </c>
      <c r="H2475" t="s">
        <v>2963</v>
      </c>
      <c r="I2475">
        <v>2</v>
      </c>
      <c r="K2475" t="s">
        <v>14332</v>
      </c>
      <c r="L2475" s="222">
        <v>9783791811000</v>
      </c>
      <c r="M2475">
        <v>210</v>
      </c>
      <c r="N2475" t="s">
        <v>13342</v>
      </c>
      <c r="O2475" t="s">
        <v>11966</v>
      </c>
      <c r="P2475">
        <v>284</v>
      </c>
      <c r="Q2475">
        <v>1.61</v>
      </c>
    </row>
    <row r="2476" spans="1:17" x14ac:dyDescent="0.25">
      <c r="A2476">
        <v>1289</v>
      </c>
      <c r="C2476" t="s">
        <v>13480</v>
      </c>
      <c r="D2476" t="s">
        <v>13481</v>
      </c>
      <c r="E2476" t="s">
        <v>1877</v>
      </c>
      <c r="F2476">
        <v>1991</v>
      </c>
      <c r="H2476" t="s">
        <v>1878</v>
      </c>
      <c r="I2476">
        <v>2</v>
      </c>
      <c r="K2476" t="s">
        <v>14332</v>
      </c>
      <c r="M2476">
        <v>180</v>
      </c>
      <c r="N2476" t="s">
        <v>13172</v>
      </c>
      <c r="O2476" t="s">
        <v>11967</v>
      </c>
      <c r="P2476">
        <v>245</v>
      </c>
      <c r="Q2476">
        <v>27.79</v>
      </c>
    </row>
    <row r="2477" spans="1:17" x14ac:dyDescent="0.25">
      <c r="A2477">
        <v>2547</v>
      </c>
      <c r="B2477" t="s">
        <v>9403</v>
      </c>
      <c r="C2477" t="s">
        <v>13482</v>
      </c>
      <c r="D2477" t="s">
        <v>1912</v>
      </c>
      <c r="E2477" t="s">
        <v>9223</v>
      </c>
      <c r="F2477">
        <v>1990</v>
      </c>
      <c r="H2477" t="s">
        <v>1878</v>
      </c>
      <c r="I2477">
        <v>3</v>
      </c>
      <c r="K2477" t="s">
        <v>14332</v>
      </c>
      <c r="L2477" s="222">
        <v>9783442000692</v>
      </c>
      <c r="M2477">
        <v>176</v>
      </c>
      <c r="N2477" t="s">
        <v>13170</v>
      </c>
      <c r="O2477" t="s">
        <v>11968</v>
      </c>
      <c r="P2477">
        <v>108</v>
      </c>
      <c r="Q2477">
        <v>1.27</v>
      </c>
    </row>
    <row r="2478" spans="1:17" x14ac:dyDescent="0.25">
      <c r="A2478">
        <v>2847</v>
      </c>
      <c r="B2478" t="s">
        <v>13484</v>
      </c>
      <c r="C2478" t="s">
        <v>13485</v>
      </c>
      <c r="D2478" t="s">
        <v>4647</v>
      </c>
      <c r="F2478">
        <v>1978</v>
      </c>
      <c r="H2478" t="s">
        <v>1878</v>
      </c>
      <c r="I2478">
        <v>3</v>
      </c>
      <c r="K2478" t="s">
        <v>14332</v>
      </c>
      <c r="L2478" s="222">
        <v>9783417121520</v>
      </c>
      <c r="M2478">
        <v>200</v>
      </c>
      <c r="N2478" t="s">
        <v>13487</v>
      </c>
      <c r="O2478" t="s">
        <v>11969</v>
      </c>
      <c r="P2478">
        <v>297</v>
      </c>
      <c r="Q2478">
        <v>7.29</v>
      </c>
    </row>
    <row r="2479" spans="1:17" x14ac:dyDescent="0.25">
      <c r="A2479">
        <v>2663</v>
      </c>
      <c r="B2479" t="s">
        <v>13488</v>
      </c>
      <c r="C2479" t="s">
        <v>13489</v>
      </c>
      <c r="D2479" t="s">
        <v>2209</v>
      </c>
      <c r="E2479" t="s">
        <v>1899</v>
      </c>
      <c r="F2479">
        <v>1990</v>
      </c>
      <c r="H2479" t="s">
        <v>1878</v>
      </c>
      <c r="I2479">
        <v>3</v>
      </c>
      <c r="K2479" t="s">
        <v>14332</v>
      </c>
      <c r="L2479" s="222">
        <v>9783453032873</v>
      </c>
      <c r="M2479">
        <v>352</v>
      </c>
      <c r="N2479" t="s">
        <v>13170</v>
      </c>
      <c r="O2479" t="s">
        <v>11970</v>
      </c>
      <c r="P2479">
        <v>204</v>
      </c>
      <c r="Q2479">
        <v>1.79</v>
      </c>
    </row>
    <row r="2480" spans="1:17" x14ac:dyDescent="0.25">
      <c r="A2480">
        <v>1395</v>
      </c>
      <c r="B2480" t="s">
        <v>13491</v>
      </c>
      <c r="C2480" t="s">
        <v>13492</v>
      </c>
      <c r="D2480" t="s">
        <v>2209</v>
      </c>
      <c r="E2480" t="s">
        <v>1877</v>
      </c>
      <c r="F2480">
        <v>1987</v>
      </c>
      <c r="H2480" t="s">
        <v>1878</v>
      </c>
      <c r="I2480">
        <v>3</v>
      </c>
      <c r="K2480" t="s">
        <v>14332</v>
      </c>
      <c r="L2480" s="222">
        <v>9783453024601</v>
      </c>
      <c r="M2480">
        <v>128</v>
      </c>
      <c r="N2480" t="s">
        <v>13170</v>
      </c>
      <c r="O2480" t="s">
        <v>11971</v>
      </c>
      <c r="P2480">
        <v>115</v>
      </c>
      <c r="Q2480">
        <v>0.79</v>
      </c>
    </row>
    <row r="2481" spans="1:17" x14ac:dyDescent="0.25">
      <c r="A2481">
        <v>2571</v>
      </c>
      <c r="B2481" t="s">
        <v>13494</v>
      </c>
      <c r="C2481" t="s">
        <v>13495</v>
      </c>
      <c r="D2481" t="s">
        <v>10971</v>
      </c>
      <c r="F2481">
        <v>2009</v>
      </c>
      <c r="H2481" t="s">
        <v>2963</v>
      </c>
      <c r="I2481">
        <v>3</v>
      </c>
      <c r="K2481" t="s">
        <v>14332</v>
      </c>
      <c r="L2481" s="222">
        <v>4016491015399</v>
      </c>
      <c r="M2481">
        <v>298</v>
      </c>
      <c r="N2481" t="s">
        <v>13487</v>
      </c>
      <c r="O2481" t="s">
        <v>11972</v>
      </c>
      <c r="P2481">
        <v>343</v>
      </c>
      <c r="Q2481">
        <v>2.88</v>
      </c>
    </row>
    <row r="2482" spans="1:17" x14ac:dyDescent="0.25">
      <c r="A2482">
        <v>2571</v>
      </c>
      <c r="B2482" t="s">
        <v>13497</v>
      </c>
      <c r="C2482" t="s">
        <v>7807</v>
      </c>
      <c r="D2482" t="s">
        <v>10971</v>
      </c>
      <c r="F2482">
        <v>2009</v>
      </c>
      <c r="H2482" t="s">
        <v>2963</v>
      </c>
      <c r="I2482">
        <v>2</v>
      </c>
      <c r="K2482" t="s">
        <v>14332</v>
      </c>
      <c r="L2482" s="222">
        <v>4016491015399</v>
      </c>
      <c r="M2482">
        <v>298</v>
      </c>
      <c r="N2482" t="s">
        <v>13487</v>
      </c>
      <c r="O2482" t="s">
        <v>11973</v>
      </c>
      <c r="P2482">
        <v>348</v>
      </c>
      <c r="Q2482">
        <v>2</v>
      </c>
    </row>
    <row r="2483" spans="1:17" x14ac:dyDescent="0.25">
      <c r="A2483">
        <v>2571</v>
      </c>
      <c r="B2483" t="s">
        <v>13499</v>
      </c>
      <c r="C2483" t="s">
        <v>13498</v>
      </c>
      <c r="D2483" t="s">
        <v>1912</v>
      </c>
      <c r="E2483" t="s">
        <v>7601</v>
      </c>
      <c r="F2483">
        <v>1984</v>
      </c>
      <c r="H2483" t="s">
        <v>1878</v>
      </c>
      <c r="I2483">
        <v>3</v>
      </c>
      <c r="K2483" t="s">
        <v>14332</v>
      </c>
      <c r="L2483" s="222">
        <v>9783442025794</v>
      </c>
      <c r="M2483">
        <v>192</v>
      </c>
      <c r="N2483" t="s">
        <v>13170</v>
      </c>
      <c r="O2483" t="s">
        <v>11974</v>
      </c>
      <c r="P2483">
        <v>115</v>
      </c>
      <c r="Q2483">
        <v>2.85</v>
      </c>
    </row>
    <row r="2484" spans="1:17" x14ac:dyDescent="0.25">
      <c r="A2484">
        <v>1396</v>
      </c>
      <c r="B2484" t="s">
        <v>13501</v>
      </c>
      <c r="C2484" t="s">
        <v>13502</v>
      </c>
      <c r="D2484" t="s">
        <v>4930</v>
      </c>
      <c r="H2484" t="s">
        <v>2963</v>
      </c>
      <c r="I2484">
        <v>3</v>
      </c>
      <c r="J2484" t="s">
        <v>13503</v>
      </c>
      <c r="K2484" t="s">
        <v>14332</v>
      </c>
      <c r="M2484">
        <v>514</v>
      </c>
      <c r="N2484" t="s">
        <v>13204</v>
      </c>
      <c r="O2484" t="s">
        <v>11975</v>
      </c>
      <c r="P2484">
        <v>642</v>
      </c>
      <c r="Q2484">
        <v>2.6</v>
      </c>
    </row>
    <row r="2485" spans="1:17" x14ac:dyDescent="0.25">
      <c r="A2485">
        <v>1315</v>
      </c>
      <c r="B2485" t="s">
        <v>13504</v>
      </c>
      <c r="C2485" t="s">
        <v>13505</v>
      </c>
      <c r="D2485" t="s">
        <v>1886</v>
      </c>
      <c r="F2485">
        <v>1998</v>
      </c>
      <c r="H2485" t="s">
        <v>1878</v>
      </c>
      <c r="I2485">
        <v>3</v>
      </c>
      <c r="K2485" t="s">
        <v>14332</v>
      </c>
      <c r="L2485" s="222">
        <v>9783499208577</v>
      </c>
      <c r="M2485">
        <v>160</v>
      </c>
      <c r="N2485" t="s">
        <v>13232</v>
      </c>
      <c r="O2485" t="s">
        <v>11976</v>
      </c>
      <c r="P2485">
        <v>129</v>
      </c>
      <c r="Q2485">
        <v>2.98</v>
      </c>
    </row>
    <row r="2486" spans="1:17" x14ac:dyDescent="0.25">
      <c r="A2486">
        <v>2010</v>
      </c>
      <c r="B2486" t="s">
        <v>13507</v>
      </c>
      <c r="C2486" t="s">
        <v>13508</v>
      </c>
      <c r="D2486" t="s">
        <v>13509</v>
      </c>
      <c r="F2486">
        <v>2011</v>
      </c>
      <c r="H2486" t="s">
        <v>1878</v>
      </c>
      <c r="I2486">
        <v>3</v>
      </c>
      <c r="J2486" t="s">
        <v>13510</v>
      </c>
      <c r="K2486" t="s">
        <v>14339</v>
      </c>
      <c r="L2486" s="222">
        <v>9783125781108</v>
      </c>
      <c r="M2486">
        <v>128</v>
      </c>
      <c r="N2486" t="s">
        <v>13194</v>
      </c>
      <c r="O2486" t="s">
        <v>11977</v>
      </c>
      <c r="P2486">
        <v>142</v>
      </c>
      <c r="Q2486">
        <v>1.77</v>
      </c>
    </row>
    <row r="2487" spans="1:17" x14ac:dyDescent="0.25">
      <c r="A2487">
        <v>1315</v>
      </c>
      <c r="B2487" t="s">
        <v>13512</v>
      </c>
      <c r="C2487" t="s">
        <v>13513</v>
      </c>
      <c r="D2487" t="s">
        <v>1886</v>
      </c>
      <c r="F2487">
        <v>1999</v>
      </c>
      <c r="H2487" t="s">
        <v>1878</v>
      </c>
      <c r="I2487">
        <v>3</v>
      </c>
      <c r="K2487" t="s">
        <v>14332</v>
      </c>
      <c r="L2487" s="222">
        <v>9783499208768</v>
      </c>
      <c r="M2487">
        <v>112</v>
      </c>
      <c r="N2487" t="s">
        <v>13232</v>
      </c>
      <c r="O2487" t="s">
        <v>11978</v>
      </c>
      <c r="P2487">
        <v>91</v>
      </c>
      <c r="Q2487">
        <v>1.77</v>
      </c>
    </row>
    <row r="2488" spans="1:17" x14ac:dyDescent="0.25">
      <c r="A2488">
        <v>1352</v>
      </c>
      <c r="B2488" t="s">
        <v>13515</v>
      </c>
      <c r="C2488" t="s">
        <v>13516</v>
      </c>
      <c r="D2488" t="s">
        <v>5005</v>
      </c>
      <c r="F2488">
        <v>1961</v>
      </c>
      <c r="H2488" t="s">
        <v>2963</v>
      </c>
      <c r="I2488">
        <v>2</v>
      </c>
      <c r="K2488" t="s">
        <v>14332</v>
      </c>
      <c r="M2488">
        <v>386</v>
      </c>
      <c r="N2488" t="s">
        <v>13198</v>
      </c>
      <c r="O2488" t="s">
        <v>11979</v>
      </c>
      <c r="P2488">
        <v>470</v>
      </c>
      <c r="Q2488">
        <v>2.19</v>
      </c>
    </row>
    <row r="2489" spans="1:17" x14ac:dyDescent="0.25">
      <c r="A2489">
        <v>670</v>
      </c>
      <c r="B2489" t="s">
        <v>13519</v>
      </c>
      <c r="C2489" t="s">
        <v>13517</v>
      </c>
      <c r="D2489" t="s">
        <v>13518</v>
      </c>
      <c r="H2489" t="s">
        <v>2963</v>
      </c>
      <c r="I2489">
        <v>4</v>
      </c>
      <c r="K2489" t="s">
        <v>14332</v>
      </c>
      <c r="M2489">
        <v>194</v>
      </c>
      <c r="N2489" t="s">
        <v>13520</v>
      </c>
      <c r="O2489" t="s">
        <v>11980</v>
      </c>
      <c r="P2489">
        <v>425</v>
      </c>
      <c r="Q2489">
        <v>1.26</v>
      </c>
    </row>
    <row r="2490" spans="1:17" x14ac:dyDescent="0.25">
      <c r="A2490">
        <v>769</v>
      </c>
      <c r="C2490" t="s">
        <v>13521</v>
      </c>
      <c r="D2490" t="s">
        <v>13522</v>
      </c>
      <c r="F2490">
        <v>1996</v>
      </c>
      <c r="H2490" t="s">
        <v>13523</v>
      </c>
      <c r="I2490">
        <v>2</v>
      </c>
      <c r="L2490" s="222">
        <v>9783810927422</v>
      </c>
      <c r="M2490">
        <v>660</v>
      </c>
      <c r="N2490" t="s">
        <v>13275</v>
      </c>
      <c r="O2490" t="s">
        <v>11981</v>
      </c>
      <c r="P2490">
        <v>833</v>
      </c>
      <c r="Q2490">
        <v>1.34</v>
      </c>
    </row>
    <row r="2491" spans="1:17" x14ac:dyDescent="0.25">
      <c r="A2491">
        <v>2571</v>
      </c>
      <c r="B2491" t="s">
        <v>13526</v>
      </c>
      <c r="C2491" t="s">
        <v>13527</v>
      </c>
      <c r="D2491" t="s">
        <v>2609</v>
      </c>
      <c r="H2491" t="s">
        <v>2963</v>
      </c>
      <c r="I2491">
        <v>3</v>
      </c>
      <c r="K2491" t="s">
        <v>14332</v>
      </c>
      <c r="M2491">
        <v>450</v>
      </c>
      <c r="N2491" t="s">
        <v>13204</v>
      </c>
      <c r="O2491" t="s">
        <v>11982</v>
      </c>
      <c r="P2491">
        <v>558</v>
      </c>
      <c r="Q2491">
        <v>2</v>
      </c>
    </row>
    <row r="2492" spans="1:17" x14ac:dyDescent="0.25">
      <c r="A2492">
        <v>1327</v>
      </c>
      <c r="B2492" t="s">
        <v>13528</v>
      </c>
      <c r="C2492" t="s">
        <v>13529</v>
      </c>
      <c r="D2492" t="s">
        <v>2419</v>
      </c>
      <c r="F2492">
        <v>1970</v>
      </c>
      <c r="H2492" t="s">
        <v>2963</v>
      </c>
      <c r="I2492">
        <v>3</v>
      </c>
      <c r="K2492" t="s">
        <v>14332</v>
      </c>
      <c r="M2492">
        <v>290</v>
      </c>
      <c r="N2492" t="s">
        <v>13198</v>
      </c>
      <c r="O2492" t="s">
        <v>11983</v>
      </c>
      <c r="P2492">
        <v>387</v>
      </c>
      <c r="Q2492">
        <v>3.7</v>
      </c>
    </row>
    <row r="2493" spans="1:17" x14ac:dyDescent="0.25">
      <c r="A2493">
        <v>707</v>
      </c>
      <c r="B2493" t="s">
        <v>13530</v>
      </c>
      <c r="C2493" t="s">
        <v>13531</v>
      </c>
      <c r="D2493" t="s">
        <v>5884</v>
      </c>
      <c r="H2493" t="s">
        <v>1878</v>
      </c>
      <c r="I2493">
        <v>2</v>
      </c>
      <c r="L2493" s="222">
        <v>9783632989561</v>
      </c>
      <c r="M2493">
        <v>238</v>
      </c>
      <c r="N2493" t="s">
        <v>13533</v>
      </c>
      <c r="O2493" t="s">
        <v>11984</v>
      </c>
      <c r="P2493">
        <v>151</v>
      </c>
      <c r="Q2493">
        <v>1.9</v>
      </c>
    </row>
    <row r="2494" spans="1:17" x14ac:dyDescent="0.25">
      <c r="A2494">
        <v>1386</v>
      </c>
      <c r="B2494" t="s">
        <v>13534</v>
      </c>
      <c r="C2494" t="s">
        <v>13535</v>
      </c>
      <c r="D2494" t="s">
        <v>5005</v>
      </c>
      <c r="F2494">
        <v>1998</v>
      </c>
      <c r="H2494" t="s">
        <v>2963</v>
      </c>
      <c r="I2494">
        <v>2</v>
      </c>
      <c r="K2494" t="s">
        <v>14332</v>
      </c>
      <c r="M2494">
        <v>418</v>
      </c>
      <c r="N2494" t="s">
        <v>13178</v>
      </c>
      <c r="O2494" t="s">
        <v>11985</v>
      </c>
      <c r="P2494">
        <v>649</v>
      </c>
      <c r="Q2494">
        <v>1.49</v>
      </c>
    </row>
    <row r="2495" spans="1:17" x14ac:dyDescent="0.25">
      <c r="A2495">
        <v>1327</v>
      </c>
      <c r="B2495" t="s">
        <v>13491</v>
      </c>
      <c r="C2495" t="s">
        <v>13536</v>
      </c>
      <c r="D2495" t="s">
        <v>9307</v>
      </c>
      <c r="H2495" t="s">
        <v>2963</v>
      </c>
      <c r="I2495">
        <v>2</v>
      </c>
      <c r="J2495" t="s">
        <v>2505</v>
      </c>
      <c r="K2495" t="s">
        <v>14332</v>
      </c>
      <c r="M2495">
        <v>514</v>
      </c>
      <c r="N2495" t="s">
        <v>13178</v>
      </c>
      <c r="O2495" t="s">
        <v>11986</v>
      </c>
      <c r="P2495">
        <v>657</v>
      </c>
      <c r="Q2495">
        <v>1.34</v>
      </c>
    </row>
    <row r="2496" spans="1:17" x14ac:dyDescent="0.25">
      <c r="A2496">
        <v>1289</v>
      </c>
      <c r="B2496" t="s">
        <v>13537</v>
      </c>
      <c r="C2496" t="s">
        <v>13538</v>
      </c>
      <c r="D2496" t="s">
        <v>13539</v>
      </c>
      <c r="F2496">
        <v>1954</v>
      </c>
      <c r="H2496" t="s">
        <v>13523</v>
      </c>
      <c r="I2496">
        <v>2</v>
      </c>
      <c r="K2496" t="s">
        <v>14332</v>
      </c>
      <c r="M2496">
        <v>130</v>
      </c>
      <c r="N2496" t="s">
        <v>13187</v>
      </c>
      <c r="O2496" t="s">
        <v>11987</v>
      </c>
      <c r="P2496">
        <v>172</v>
      </c>
      <c r="Q2496">
        <v>3.7</v>
      </c>
    </row>
    <row r="2497" spans="1:17" x14ac:dyDescent="0.25">
      <c r="A2497">
        <v>1327</v>
      </c>
      <c r="B2497" t="s">
        <v>13540</v>
      </c>
      <c r="C2497" t="s">
        <v>13541</v>
      </c>
      <c r="D2497" t="s">
        <v>1988</v>
      </c>
      <c r="F2497">
        <v>1978</v>
      </c>
      <c r="H2497" t="s">
        <v>1878</v>
      </c>
      <c r="I2497">
        <v>2</v>
      </c>
      <c r="K2497" t="s">
        <v>14332</v>
      </c>
      <c r="L2497" s="222">
        <v>9783423013932</v>
      </c>
      <c r="M2497">
        <v>240</v>
      </c>
      <c r="N2497" t="s">
        <v>13330</v>
      </c>
      <c r="O2497" t="s">
        <v>11988</v>
      </c>
      <c r="P2497">
        <v>153</v>
      </c>
      <c r="Q2497">
        <v>1.76</v>
      </c>
    </row>
    <row r="2498" spans="1:17" x14ac:dyDescent="0.25">
      <c r="A2498">
        <v>629</v>
      </c>
      <c r="C2498" t="s">
        <v>13543</v>
      </c>
      <c r="D2498" t="s">
        <v>8518</v>
      </c>
      <c r="F2498">
        <v>1982</v>
      </c>
      <c r="H2498" t="s">
        <v>2963</v>
      </c>
      <c r="I2498">
        <v>2</v>
      </c>
      <c r="K2498" t="s">
        <v>14332</v>
      </c>
      <c r="M2498" t="s">
        <v>13544</v>
      </c>
      <c r="N2498" t="s">
        <v>13209</v>
      </c>
      <c r="O2498" t="s">
        <v>11989</v>
      </c>
      <c r="P2498">
        <v>2909</v>
      </c>
      <c r="Q2498">
        <v>8.2899999999999991</v>
      </c>
    </row>
    <row r="2499" spans="1:17" x14ac:dyDescent="0.25">
      <c r="A2499">
        <v>735</v>
      </c>
      <c r="B2499" t="s">
        <v>13545</v>
      </c>
      <c r="C2499" t="s">
        <v>13546</v>
      </c>
      <c r="D2499" t="s">
        <v>13547</v>
      </c>
      <c r="H2499" t="s">
        <v>2963</v>
      </c>
      <c r="I2499">
        <v>2</v>
      </c>
      <c r="J2499" t="s">
        <v>2505</v>
      </c>
      <c r="K2499" t="s">
        <v>14332</v>
      </c>
      <c r="M2499">
        <v>242</v>
      </c>
      <c r="N2499" t="s">
        <v>13548</v>
      </c>
      <c r="O2499" t="s">
        <v>11990</v>
      </c>
      <c r="P2499">
        <v>405</v>
      </c>
      <c r="Q2499">
        <v>3.8</v>
      </c>
    </row>
    <row r="2500" spans="1:17" x14ac:dyDescent="0.25">
      <c r="A2500">
        <v>1327</v>
      </c>
      <c r="B2500" t="s">
        <v>13549</v>
      </c>
      <c r="C2500" t="s">
        <v>13550</v>
      </c>
      <c r="D2500" t="s">
        <v>13551</v>
      </c>
      <c r="F2500">
        <v>1960</v>
      </c>
      <c r="H2500" t="s">
        <v>2963</v>
      </c>
      <c r="I2500">
        <v>2</v>
      </c>
      <c r="K2500" t="s">
        <v>14332</v>
      </c>
      <c r="M2500">
        <v>266</v>
      </c>
      <c r="N2500" t="s">
        <v>13330</v>
      </c>
      <c r="O2500" t="s">
        <v>11991</v>
      </c>
      <c r="P2500">
        <v>257</v>
      </c>
      <c r="Q2500">
        <v>2.79</v>
      </c>
    </row>
    <row r="2501" spans="1:17" x14ac:dyDescent="0.25">
      <c r="A2501">
        <v>1360</v>
      </c>
      <c r="B2501" t="s">
        <v>13552</v>
      </c>
      <c r="C2501" t="s">
        <v>13553</v>
      </c>
      <c r="D2501" t="s">
        <v>5115</v>
      </c>
      <c r="F2501">
        <v>1980</v>
      </c>
      <c r="H2501" t="s">
        <v>13523</v>
      </c>
      <c r="I2501">
        <v>2</v>
      </c>
      <c r="K2501" t="s">
        <v>14332</v>
      </c>
      <c r="M2501">
        <v>402</v>
      </c>
      <c r="N2501" t="s">
        <v>13313</v>
      </c>
      <c r="O2501" t="s">
        <v>11992</v>
      </c>
      <c r="P2501">
        <v>507</v>
      </c>
      <c r="Q2501">
        <v>2.38</v>
      </c>
    </row>
    <row r="2502" spans="1:17" x14ac:dyDescent="0.25">
      <c r="A2502">
        <v>1812</v>
      </c>
      <c r="B2502" t="s">
        <v>13554</v>
      </c>
      <c r="C2502" t="s">
        <v>13555</v>
      </c>
      <c r="D2502" t="s">
        <v>3077</v>
      </c>
      <c r="F2502">
        <v>1958</v>
      </c>
      <c r="H2502" t="s">
        <v>2963</v>
      </c>
      <c r="I2502">
        <v>2</v>
      </c>
      <c r="K2502" t="s">
        <v>14332</v>
      </c>
      <c r="M2502">
        <v>82</v>
      </c>
      <c r="N2502" t="s">
        <v>13556</v>
      </c>
      <c r="O2502" t="s">
        <v>11993</v>
      </c>
      <c r="P2502">
        <v>165</v>
      </c>
      <c r="Q2502">
        <v>1.6</v>
      </c>
    </row>
    <row r="2503" spans="1:17" x14ac:dyDescent="0.25">
      <c r="A2503">
        <v>703</v>
      </c>
      <c r="B2503" t="s">
        <v>13557</v>
      </c>
      <c r="C2503" t="s">
        <v>13558</v>
      </c>
      <c r="D2503" t="s">
        <v>7611</v>
      </c>
      <c r="F2503">
        <v>2006</v>
      </c>
      <c r="H2503" t="s">
        <v>13523</v>
      </c>
      <c r="I2503">
        <v>2</v>
      </c>
      <c r="K2503" t="s">
        <v>14332</v>
      </c>
      <c r="M2503">
        <v>34</v>
      </c>
      <c r="N2503" t="s">
        <v>13559</v>
      </c>
      <c r="O2503" t="s">
        <v>11994</v>
      </c>
      <c r="P2503">
        <v>160</v>
      </c>
      <c r="Q2503">
        <v>3.89</v>
      </c>
    </row>
    <row r="2504" spans="1:17" x14ac:dyDescent="0.25">
      <c r="A2504">
        <v>119</v>
      </c>
      <c r="B2504" t="s">
        <v>13562</v>
      </c>
      <c r="C2504" t="s">
        <v>13560</v>
      </c>
      <c r="D2504" t="s">
        <v>13561</v>
      </c>
      <c r="F2504">
        <v>1998</v>
      </c>
      <c r="H2504" t="s">
        <v>13523</v>
      </c>
      <c r="I2504">
        <v>2</v>
      </c>
      <c r="K2504" t="s">
        <v>14332</v>
      </c>
      <c r="L2504" s="222">
        <v>9783478931991</v>
      </c>
      <c r="M2504">
        <v>74</v>
      </c>
      <c r="N2504" t="s">
        <v>13463</v>
      </c>
      <c r="O2504" t="s">
        <v>11995</v>
      </c>
      <c r="P2504">
        <v>154</v>
      </c>
      <c r="Q2504">
        <v>2.98</v>
      </c>
    </row>
    <row r="2505" spans="1:17" x14ac:dyDescent="0.25">
      <c r="A2505">
        <v>1221</v>
      </c>
      <c r="B2505" t="s">
        <v>13564</v>
      </c>
      <c r="C2505" t="s">
        <v>13565</v>
      </c>
      <c r="D2505" t="s">
        <v>1920</v>
      </c>
      <c r="F2505">
        <v>1977</v>
      </c>
      <c r="H2505" t="s">
        <v>1878</v>
      </c>
      <c r="I2505">
        <v>3</v>
      </c>
      <c r="K2505" t="s">
        <v>14332</v>
      </c>
      <c r="M2505">
        <v>336</v>
      </c>
      <c r="N2505" t="s">
        <v>13566</v>
      </c>
      <c r="O2505" t="s">
        <v>11996</v>
      </c>
      <c r="P2505">
        <v>182</v>
      </c>
      <c r="Q2505">
        <v>2.14</v>
      </c>
    </row>
    <row r="2506" spans="1:17" x14ac:dyDescent="0.25">
      <c r="A2506">
        <v>1927</v>
      </c>
      <c r="B2506" t="s">
        <v>13567</v>
      </c>
      <c r="C2506" t="s">
        <v>13568</v>
      </c>
      <c r="D2506" t="s">
        <v>13569</v>
      </c>
      <c r="F2506">
        <v>1999</v>
      </c>
      <c r="H2506" t="s">
        <v>13523</v>
      </c>
      <c r="I2506">
        <v>2</v>
      </c>
      <c r="K2506" t="s">
        <v>14332</v>
      </c>
      <c r="L2506" s="222">
        <v>9783811858923</v>
      </c>
      <c r="M2506">
        <v>128</v>
      </c>
      <c r="N2506" t="s">
        <v>13459</v>
      </c>
      <c r="O2506" t="s">
        <v>11997</v>
      </c>
      <c r="P2506">
        <v>150</v>
      </c>
      <c r="Q2506">
        <v>2.15</v>
      </c>
    </row>
    <row r="2507" spans="1:17" x14ac:dyDescent="0.25">
      <c r="A2507">
        <v>1327</v>
      </c>
      <c r="B2507" t="s">
        <v>13571</v>
      </c>
      <c r="C2507" t="s">
        <v>13572</v>
      </c>
      <c r="D2507" t="s">
        <v>13573</v>
      </c>
      <c r="H2507" t="s">
        <v>2963</v>
      </c>
      <c r="I2507">
        <v>2</v>
      </c>
      <c r="K2507" t="s">
        <v>14332</v>
      </c>
      <c r="L2507" s="222">
        <v>9783799651028</v>
      </c>
      <c r="M2507">
        <v>226</v>
      </c>
      <c r="N2507" t="s">
        <v>13267</v>
      </c>
      <c r="O2507" t="s">
        <v>11998</v>
      </c>
      <c r="P2507">
        <v>472</v>
      </c>
      <c r="Q2507">
        <v>1.39</v>
      </c>
    </row>
    <row r="2508" spans="1:17" x14ac:dyDescent="0.25">
      <c r="A2508">
        <v>687</v>
      </c>
      <c r="B2508" t="s">
        <v>13576</v>
      </c>
      <c r="C2508" t="s">
        <v>13575</v>
      </c>
      <c r="D2508" t="s">
        <v>3057</v>
      </c>
      <c r="F2508">
        <v>1958</v>
      </c>
      <c r="H2508" t="s">
        <v>4297</v>
      </c>
      <c r="I2508">
        <v>2</v>
      </c>
      <c r="J2508" t="s">
        <v>2505</v>
      </c>
      <c r="K2508" t="s">
        <v>14332</v>
      </c>
      <c r="M2508">
        <v>290</v>
      </c>
      <c r="N2508" t="s">
        <v>13577</v>
      </c>
      <c r="O2508" t="s">
        <v>11999</v>
      </c>
      <c r="P2508">
        <v>447</v>
      </c>
      <c r="Q2508">
        <v>1.3</v>
      </c>
    </row>
    <row r="2509" spans="1:17" x14ac:dyDescent="0.25">
      <c r="A2509">
        <v>1327</v>
      </c>
      <c r="B2509" t="s">
        <v>13291</v>
      </c>
      <c r="C2509" t="s">
        <v>13578</v>
      </c>
      <c r="D2509" t="s">
        <v>10044</v>
      </c>
      <c r="F2509">
        <v>1994</v>
      </c>
      <c r="H2509" t="s">
        <v>1878</v>
      </c>
      <c r="I2509">
        <v>2</v>
      </c>
      <c r="K2509" t="s">
        <v>14332</v>
      </c>
      <c r="L2509" s="222">
        <v>9783462023817</v>
      </c>
      <c r="M2509">
        <v>404</v>
      </c>
      <c r="O2509" t="s">
        <v>12000</v>
      </c>
      <c r="P2509">
        <v>339</v>
      </c>
      <c r="Q2509">
        <v>1</v>
      </c>
    </row>
    <row r="2510" spans="1:17" x14ac:dyDescent="0.25">
      <c r="A2510">
        <v>763</v>
      </c>
      <c r="B2510" t="s">
        <v>13580</v>
      </c>
      <c r="C2510" t="s">
        <v>13581</v>
      </c>
      <c r="D2510" t="s">
        <v>2609</v>
      </c>
      <c r="F2510">
        <v>2007</v>
      </c>
      <c r="H2510" t="s">
        <v>1878</v>
      </c>
      <c r="I2510">
        <v>2</v>
      </c>
      <c r="K2510" t="s">
        <v>14332</v>
      </c>
      <c r="L2510" s="222">
        <v>9783596179169</v>
      </c>
      <c r="M2510">
        <v>240</v>
      </c>
      <c r="O2510" t="s">
        <v>12001</v>
      </c>
      <c r="P2510">
        <v>216</v>
      </c>
      <c r="Q2510">
        <v>6.75</v>
      </c>
    </row>
    <row r="2511" spans="1:17" x14ac:dyDescent="0.25">
      <c r="A2511">
        <v>2522</v>
      </c>
      <c r="B2511" t="s">
        <v>13583</v>
      </c>
      <c r="C2511" t="s">
        <v>13584</v>
      </c>
      <c r="D2511" t="s">
        <v>2257</v>
      </c>
      <c r="E2511" t="s">
        <v>1913</v>
      </c>
      <c r="F2511">
        <v>2011</v>
      </c>
      <c r="H2511" t="s">
        <v>1878</v>
      </c>
      <c r="I2511">
        <v>2</v>
      </c>
      <c r="K2511" t="s">
        <v>14332</v>
      </c>
      <c r="L2511" s="222">
        <v>9783942656016</v>
      </c>
      <c r="M2511">
        <v>530</v>
      </c>
      <c r="O2511" t="s">
        <v>12002</v>
      </c>
      <c r="P2511">
        <v>646</v>
      </c>
      <c r="Q2511">
        <v>1.63</v>
      </c>
    </row>
    <row r="2512" spans="1:17" x14ac:dyDescent="0.25">
      <c r="A2512">
        <v>632</v>
      </c>
      <c r="B2512" t="s">
        <v>13586</v>
      </c>
      <c r="C2512" t="s">
        <v>13587</v>
      </c>
      <c r="D2512" t="s">
        <v>13588</v>
      </c>
      <c r="F2512">
        <v>2006</v>
      </c>
      <c r="H2512" t="s">
        <v>1878</v>
      </c>
      <c r="I2512">
        <v>2</v>
      </c>
      <c r="K2512" t="s">
        <v>14332</v>
      </c>
      <c r="L2512" s="222">
        <v>9783833448232</v>
      </c>
      <c r="M2512">
        <v>240</v>
      </c>
      <c r="O2512" t="s">
        <v>12003</v>
      </c>
      <c r="P2512">
        <v>388</v>
      </c>
      <c r="Q2512">
        <v>1.72</v>
      </c>
    </row>
    <row r="2513" spans="1:17" x14ac:dyDescent="0.25">
      <c r="A2513">
        <v>1386</v>
      </c>
      <c r="B2513" t="s">
        <v>8747</v>
      </c>
      <c r="C2513" t="s">
        <v>10166</v>
      </c>
      <c r="D2513" t="s">
        <v>2257</v>
      </c>
      <c r="F2513">
        <v>2007</v>
      </c>
      <c r="H2513" t="s">
        <v>2963</v>
      </c>
      <c r="I2513">
        <v>2</v>
      </c>
      <c r="K2513" t="s">
        <v>14332</v>
      </c>
      <c r="L2513" s="222">
        <v>9783426662519</v>
      </c>
      <c r="M2513">
        <v>402</v>
      </c>
      <c r="O2513" t="s">
        <v>12004</v>
      </c>
      <c r="P2513">
        <v>666</v>
      </c>
      <c r="Q2513">
        <v>0.69</v>
      </c>
    </row>
    <row r="2514" spans="1:17" x14ac:dyDescent="0.25">
      <c r="A2514">
        <v>1395</v>
      </c>
      <c r="B2514" t="s">
        <v>13591</v>
      </c>
      <c r="C2514" t="s">
        <v>13592</v>
      </c>
      <c r="D2514" t="s">
        <v>2926</v>
      </c>
      <c r="F2514">
        <v>2004</v>
      </c>
      <c r="H2514" t="s">
        <v>1878</v>
      </c>
      <c r="I2514">
        <v>2</v>
      </c>
      <c r="K2514" t="s">
        <v>14332</v>
      </c>
      <c r="L2514" s="222">
        <v>9783502793533</v>
      </c>
      <c r="M2514">
        <v>320</v>
      </c>
      <c r="O2514" t="s">
        <v>12005</v>
      </c>
      <c r="P2514">
        <v>288</v>
      </c>
      <c r="Q2514">
        <v>2.88</v>
      </c>
    </row>
    <row r="2515" spans="1:17" x14ac:dyDescent="0.25">
      <c r="A2515">
        <v>1395</v>
      </c>
      <c r="B2515" t="s">
        <v>13594</v>
      </c>
      <c r="C2515" t="s">
        <v>13595</v>
      </c>
      <c r="D2515" t="s">
        <v>1876</v>
      </c>
      <c r="E2515" t="s">
        <v>2157</v>
      </c>
      <c r="F2515">
        <v>2011</v>
      </c>
      <c r="H2515" t="s">
        <v>1878</v>
      </c>
      <c r="I2515">
        <v>2</v>
      </c>
      <c r="K2515" t="s">
        <v>14332</v>
      </c>
      <c r="L2515" s="222">
        <v>9783492253031</v>
      </c>
      <c r="M2515">
        <v>208</v>
      </c>
      <c r="O2515" t="s">
        <v>12006</v>
      </c>
      <c r="P2515">
        <v>230</v>
      </c>
      <c r="Q2515">
        <v>1.66</v>
      </c>
    </row>
    <row r="2516" spans="1:17" x14ac:dyDescent="0.25">
      <c r="A2516">
        <v>692</v>
      </c>
      <c r="B2516" t="s">
        <v>13597</v>
      </c>
      <c r="C2516" t="s">
        <v>13598</v>
      </c>
      <c r="D2516" t="s">
        <v>2054</v>
      </c>
      <c r="F2516">
        <v>1995</v>
      </c>
      <c r="H2516" t="s">
        <v>2963</v>
      </c>
      <c r="I2516">
        <v>1</v>
      </c>
      <c r="K2516" t="s">
        <v>14332</v>
      </c>
      <c r="L2516" s="222">
        <v>4026411102634</v>
      </c>
      <c r="M2516">
        <v>400</v>
      </c>
      <c r="O2516" t="s">
        <v>12007</v>
      </c>
      <c r="P2516">
        <v>458</v>
      </c>
      <c r="Q2516">
        <v>4.75</v>
      </c>
    </row>
    <row r="2517" spans="1:17" x14ac:dyDescent="0.25">
      <c r="A2517">
        <v>1720</v>
      </c>
      <c r="B2517" t="s">
        <v>10298</v>
      </c>
      <c r="C2517" t="s">
        <v>13600</v>
      </c>
      <c r="D2517" t="s">
        <v>2209</v>
      </c>
      <c r="F2517">
        <v>1992</v>
      </c>
      <c r="H2517" t="s">
        <v>1878</v>
      </c>
      <c r="I2517">
        <v>3</v>
      </c>
      <c r="K2517" t="s">
        <v>14332</v>
      </c>
      <c r="L2517" s="222">
        <v>9783453053113</v>
      </c>
      <c r="M2517">
        <v>272</v>
      </c>
      <c r="O2517" t="s">
        <v>12008</v>
      </c>
      <c r="P2517">
        <v>188</v>
      </c>
      <c r="Q2517">
        <v>2.17</v>
      </c>
    </row>
    <row r="2518" spans="1:17" x14ac:dyDescent="0.25">
      <c r="A2518">
        <v>632</v>
      </c>
      <c r="B2518" t="s">
        <v>1904</v>
      </c>
      <c r="C2518" t="s">
        <v>1905</v>
      </c>
      <c r="D2518" t="s">
        <v>5005</v>
      </c>
      <c r="F2518">
        <v>2000</v>
      </c>
      <c r="H2518" t="s">
        <v>1878</v>
      </c>
      <c r="I2518">
        <v>3</v>
      </c>
      <c r="K2518" t="s">
        <v>14332</v>
      </c>
      <c r="M2518">
        <v>544</v>
      </c>
      <c r="O2518" t="s">
        <v>12009</v>
      </c>
      <c r="P2518">
        <v>401</v>
      </c>
      <c r="Q2518">
        <v>0.89</v>
      </c>
    </row>
    <row r="2519" spans="1:17" x14ac:dyDescent="0.25">
      <c r="A2519">
        <v>2518</v>
      </c>
      <c r="B2519" t="s">
        <v>13602</v>
      </c>
      <c r="C2519" t="s">
        <v>13603</v>
      </c>
      <c r="D2519" t="s">
        <v>8325</v>
      </c>
      <c r="F2519">
        <v>2017</v>
      </c>
      <c r="H2519" t="s">
        <v>2963</v>
      </c>
      <c r="I2519">
        <v>2</v>
      </c>
      <c r="K2519" t="s">
        <v>14332</v>
      </c>
      <c r="L2519" s="222">
        <v>9783800183371</v>
      </c>
      <c r="M2519">
        <v>258</v>
      </c>
      <c r="O2519" t="s">
        <v>12010</v>
      </c>
      <c r="P2519">
        <v>411</v>
      </c>
      <c r="Q2519">
        <v>9.49</v>
      </c>
    </row>
    <row r="2520" spans="1:17" x14ac:dyDescent="0.25">
      <c r="A2520">
        <v>1395</v>
      </c>
      <c r="B2520" t="s">
        <v>13605</v>
      </c>
      <c r="C2520" t="s">
        <v>13606</v>
      </c>
      <c r="D2520" t="s">
        <v>13607</v>
      </c>
      <c r="E2520" t="s">
        <v>1899</v>
      </c>
      <c r="F2520">
        <v>2008</v>
      </c>
      <c r="H2520" t="s">
        <v>2963</v>
      </c>
      <c r="I2520">
        <v>2</v>
      </c>
      <c r="K2520" t="s">
        <v>14332</v>
      </c>
      <c r="L2520" s="222">
        <v>9783866480803</v>
      </c>
      <c r="M2520">
        <v>394</v>
      </c>
      <c r="O2520" t="s">
        <v>12011</v>
      </c>
      <c r="P2520">
        <v>574</v>
      </c>
      <c r="Q2520">
        <v>2</v>
      </c>
    </row>
    <row r="2521" spans="1:17" x14ac:dyDescent="0.25">
      <c r="A2521">
        <v>692</v>
      </c>
      <c r="B2521" t="s">
        <v>13609</v>
      </c>
      <c r="C2521" t="s">
        <v>13610</v>
      </c>
      <c r="D2521" t="s">
        <v>2232</v>
      </c>
      <c r="E2521" t="s">
        <v>5035</v>
      </c>
      <c r="F2521">
        <v>2012</v>
      </c>
      <c r="H2521" t="s">
        <v>1878</v>
      </c>
      <c r="I2521">
        <v>2</v>
      </c>
      <c r="K2521" t="s">
        <v>14332</v>
      </c>
      <c r="L2521" s="222">
        <v>9783442745081</v>
      </c>
      <c r="M2521">
        <v>608</v>
      </c>
      <c r="O2521" t="s">
        <v>12012</v>
      </c>
      <c r="P2521">
        <v>486</v>
      </c>
      <c r="Q2521">
        <v>1.66</v>
      </c>
    </row>
    <row r="2522" spans="1:17" x14ac:dyDescent="0.25">
      <c r="A2522">
        <v>2547</v>
      </c>
      <c r="B2522" t="s">
        <v>13612</v>
      </c>
      <c r="C2522" t="s">
        <v>13613</v>
      </c>
      <c r="D2522" t="s">
        <v>2609</v>
      </c>
      <c r="F2522">
        <v>2009</v>
      </c>
      <c r="H2522" t="s">
        <v>1878</v>
      </c>
      <c r="I2522">
        <v>2</v>
      </c>
      <c r="K2522" t="s">
        <v>14332</v>
      </c>
      <c r="L2522" s="222">
        <v>9783596177806</v>
      </c>
      <c r="M2522">
        <v>432</v>
      </c>
      <c r="O2522" t="s">
        <v>12013</v>
      </c>
      <c r="P2522">
        <v>372</v>
      </c>
      <c r="Q2522">
        <v>1.49</v>
      </c>
    </row>
    <row r="2523" spans="1:17" x14ac:dyDescent="0.25">
      <c r="A2523">
        <v>1395</v>
      </c>
      <c r="B2523" t="s">
        <v>11540</v>
      </c>
      <c r="C2523" t="s">
        <v>13615</v>
      </c>
      <c r="D2523" t="s">
        <v>13616</v>
      </c>
      <c r="E2523" t="s">
        <v>2032</v>
      </c>
      <c r="F2523">
        <v>2012</v>
      </c>
      <c r="H2523" t="s">
        <v>1878</v>
      </c>
      <c r="I2523">
        <v>2</v>
      </c>
      <c r="K2523" t="s">
        <v>14332</v>
      </c>
      <c r="L2523" s="222">
        <v>9783746627465</v>
      </c>
      <c r="M2523">
        <v>304</v>
      </c>
      <c r="O2523" t="s">
        <v>12014</v>
      </c>
      <c r="P2523">
        <v>395</v>
      </c>
      <c r="Q2523">
        <v>2.14</v>
      </c>
    </row>
    <row r="2524" spans="1:17" x14ac:dyDescent="0.25">
      <c r="A2524">
        <v>2522</v>
      </c>
      <c r="B2524" t="s">
        <v>5879</v>
      </c>
      <c r="C2524" t="s">
        <v>13618</v>
      </c>
      <c r="D2524" t="s">
        <v>1886</v>
      </c>
      <c r="F2524">
        <v>2007</v>
      </c>
      <c r="H2524" t="s">
        <v>1878</v>
      </c>
      <c r="I2524">
        <v>2</v>
      </c>
      <c r="K2524" t="s">
        <v>14332</v>
      </c>
      <c r="L2524" s="222">
        <v>9783499240737</v>
      </c>
      <c r="M2524">
        <v>480</v>
      </c>
      <c r="O2524" t="s">
        <v>12015</v>
      </c>
      <c r="P2524">
        <v>335</v>
      </c>
      <c r="Q2524">
        <v>1.44</v>
      </c>
    </row>
    <row r="2525" spans="1:17" x14ac:dyDescent="0.25">
      <c r="A2525">
        <v>792</v>
      </c>
      <c r="B2525" t="s">
        <v>13620</v>
      </c>
      <c r="C2525" t="s">
        <v>13621</v>
      </c>
      <c r="D2525" t="s">
        <v>3629</v>
      </c>
      <c r="E2525" t="s">
        <v>1913</v>
      </c>
      <c r="F2525">
        <v>2009</v>
      </c>
      <c r="H2525" t="s">
        <v>1878</v>
      </c>
      <c r="I2525">
        <v>2</v>
      </c>
      <c r="K2525" t="s">
        <v>14332</v>
      </c>
      <c r="L2525" s="222">
        <v>9783868820072</v>
      </c>
      <c r="M2525">
        <v>160</v>
      </c>
      <c r="O2525" t="s">
        <v>12016</v>
      </c>
      <c r="P2525">
        <v>234</v>
      </c>
      <c r="Q2525">
        <v>2.31</v>
      </c>
    </row>
    <row r="2526" spans="1:17" x14ac:dyDescent="0.25">
      <c r="A2526">
        <v>2518</v>
      </c>
      <c r="B2526" t="s">
        <v>9567</v>
      </c>
      <c r="C2526" t="s">
        <v>13623</v>
      </c>
      <c r="D2526" t="s">
        <v>1912</v>
      </c>
      <c r="F2526">
        <v>1999</v>
      </c>
      <c r="H2526" t="s">
        <v>1878</v>
      </c>
      <c r="I2526">
        <v>2</v>
      </c>
      <c r="K2526" t="s">
        <v>14332</v>
      </c>
      <c r="L2526" s="222">
        <v>9783442540914</v>
      </c>
      <c r="M2526">
        <v>224</v>
      </c>
      <c r="O2526" t="s">
        <v>12017</v>
      </c>
      <c r="P2526">
        <v>289</v>
      </c>
      <c r="Q2526">
        <v>1.66</v>
      </c>
    </row>
    <row r="2527" spans="1:17" x14ac:dyDescent="0.25">
      <c r="A2527">
        <v>601</v>
      </c>
      <c r="B2527" t="s">
        <v>6216</v>
      </c>
      <c r="C2527" t="s">
        <v>13625</v>
      </c>
      <c r="E2527" t="s">
        <v>2937</v>
      </c>
      <c r="F2527">
        <v>2010</v>
      </c>
      <c r="H2527" t="s">
        <v>1878</v>
      </c>
      <c r="I2527">
        <v>1</v>
      </c>
      <c r="K2527" t="s">
        <v>14332</v>
      </c>
      <c r="L2527" s="222">
        <v>9783829704687</v>
      </c>
      <c r="M2527">
        <v>128</v>
      </c>
      <c r="O2527" t="s">
        <v>12018</v>
      </c>
      <c r="P2527">
        <v>201</v>
      </c>
      <c r="Q2527">
        <v>2.0099999999999998</v>
      </c>
    </row>
    <row r="2528" spans="1:17" x14ac:dyDescent="0.25">
      <c r="A2528">
        <v>765</v>
      </c>
      <c r="B2528" t="s">
        <v>13627</v>
      </c>
      <c r="C2528" t="s">
        <v>13628</v>
      </c>
      <c r="E2528" t="s">
        <v>1913</v>
      </c>
      <c r="F2528">
        <v>2010</v>
      </c>
      <c r="H2528" t="s">
        <v>1878</v>
      </c>
      <c r="I2528">
        <v>2</v>
      </c>
      <c r="K2528" t="s">
        <v>14332</v>
      </c>
      <c r="L2528" s="222">
        <v>9783868055986</v>
      </c>
      <c r="M2528">
        <v>214</v>
      </c>
      <c r="O2528" t="s">
        <v>12019</v>
      </c>
      <c r="P2528">
        <v>314</v>
      </c>
      <c r="Q2528">
        <v>5.08</v>
      </c>
    </row>
    <row r="2529" spans="1:17" x14ac:dyDescent="0.25">
      <c r="A2529">
        <v>796</v>
      </c>
      <c r="B2529" t="s">
        <v>8613</v>
      </c>
      <c r="C2529" t="s">
        <v>13630</v>
      </c>
      <c r="D2529" t="s">
        <v>8258</v>
      </c>
      <c r="F2529">
        <v>1978</v>
      </c>
      <c r="H2529" t="s">
        <v>2963</v>
      </c>
      <c r="I2529">
        <v>3</v>
      </c>
      <c r="L2529" s="222">
        <v>9783704321077</v>
      </c>
      <c r="M2529">
        <v>194</v>
      </c>
      <c r="O2529" t="s">
        <v>12020</v>
      </c>
      <c r="P2529">
        <v>417</v>
      </c>
      <c r="Q2529">
        <v>1.78</v>
      </c>
    </row>
    <row r="2530" spans="1:17" x14ac:dyDescent="0.25">
      <c r="A2530">
        <v>1008</v>
      </c>
      <c r="B2530" t="s">
        <v>13632</v>
      </c>
      <c r="C2530" t="s">
        <v>13633</v>
      </c>
      <c r="D2530" t="s">
        <v>13634</v>
      </c>
      <c r="F2530">
        <v>2002</v>
      </c>
      <c r="H2530" t="s">
        <v>1878</v>
      </c>
      <c r="I2530">
        <v>2</v>
      </c>
      <c r="K2530" t="s">
        <v>14332</v>
      </c>
      <c r="L2530" s="222">
        <v>9783579006888</v>
      </c>
      <c r="M2530">
        <v>64</v>
      </c>
      <c r="O2530" t="s">
        <v>12021</v>
      </c>
      <c r="P2530">
        <v>84</v>
      </c>
      <c r="Q2530">
        <v>1.44</v>
      </c>
    </row>
    <row r="2531" spans="1:17" x14ac:dyDescent="0.25">
      <c r="A2531">
        <v>2522</v>
      </c>
      <c r="B2531" t="s">
        <v>13636</v>
      </c>
      <c r="C2531" t="s">
        <v>13637</v>
      </c>
      <c r="D2531" t="s">
        <v>1920</v>
      </c>
      <c r="F2531">
        <v>1998</v>
      </c>
      <c r="H2531" t="s">
        <v>1878</v>
      </c>
      <c r="I2531">
        <v>3</v>
      </c>
      <c r="K2531" t="s">
        <v>14332</v>
      </c>
      <c r="L2531" s="222">
        <v>9783404144037</v>
      </c>
      <c r="M2531">
        <v>416</v>
      </c>
      <c r="O2531" t="s">
        <v>12022</v>
      </c>
      <c r="P2531">
        <v>374</v>
      </c>
      <c r="Q2531">
        <v>1.65</v>
      </c>
    </row>
    <row r="2532" spans="1:17" x14ac:dyDescent="0.25">
      <c r="A2532">
        <v>2681</v>
      </c>
      <c r="B2532" t="s">
        <v>13639</v>
      </c>
      <c r="C2532" t="s">
        <v>13640</v>
      </c>
      <c r="F2532">
        <v>1991</v>
      </c>
      <c r="H2532" t="s">
        <v>2963</v>
      </c>
      <c r="I2532">
        <v>2</v>
      </c>
      <c r="K2532" t="s">
        <v>14332</v>
      </c>
      <c r="L2532" s="222">
        <v>4390004608507</v>
      </c>
      <c r="M2532">
        <v>98</v>
      </c>
      <c r="O2532" t="s">
        <v>12023</v>
      </c>
      <c r="P2532">
        <v>201</v>
      </c>
      <c r="Q2532">
        <v>1</v>
      </c>
    </row>
    <row r="2533" spans="1:17" x14ac:dyDescent="0.25">
      <c r="A2533">
        <v>1875</v>
      </c>
      <c r="B2533" t="s">
        <v>13109</v>
      </c>
      <c r="C2533" t="s">
        <v>13642</v>
      </c>
      <c r="D2533" t="s">
        <v>13111</v>
      </c>
      <c r="E2533" t="s">
        <v>2375</v>
      </c>
      <c r="F2533">
        <v>1996</v>
      </c>
      <c r="H2533" t="s">
        <v>2963</v>
      </c>
      <c r="I2533">
        <v>2</v>
      </c>
      <c r="K2533" t="s">
        <v>14332</v>
      </c>
      <c r="L2533" s="222">
        <v>9783783109696</v>
      </c>
      <c r="M2533">
        <v>50</v>
      </c>
      <c r="O2533" t="s">
        <v>12024</v>
      </c>
      <c r="P2533">
        <v>170</v>
      </c>
      <c r="Q2533">
        <v>2.0499999999999998</v>
      </c>
    </row>
    <row r="2534" spans="1:17" x14ac:dyDescent="0.25">
      <c r="A2534">
        <v>1875</v>
      </c>
      <c r="B2534" t="s">
        <v>13644</v>
      </c>
      <c r="C2534" t="s">
        <v>13645</v>
      </c>
      <c r="D2534" t="s">
        <v>13646</v>
      </c>
      <c r="F2534">
        <v>1994</v>
      </c>
      <c r="H2534" t="s">
        <v>2963</v>
      </c>
      <c r="I2534">
        <v>2</v>
      </c>
      <c r="K2534" t="s">
        <v>14332</v>
      </c>
      <c r="L2534" s="222">
        <v>9783886543168</v>
      </c>
      <c r="M2534">
        <v>50</v>
      </c>
      <c r="O2534" t="s">
        <v>12025</v>
      </c>
      <c r="P2534">
        <v>285</v>
      </c>
      <c r="Q2534">
        <v>1.54</v>
      </c>
    </row>
    <row r="2535" spans="1:17" x14ac:dyDescent="0.25">
      <c r="A2535">
        <v>1320</v>
      </c>
      <c r="B2535" t="s">
        <v>13648</v>
      </c>
      <c r="C2535" t="s">
        <v>13649</v>
      </c>
      <c r="D2535" t="s">
        <v>9380</v>
      </c>
      <c r="E2535" t="s">
        <v>1877</v>
      </c>
      <c r="F2535">
        <v>1984</v>
      </c>
      <c r="H2535" t="s">
        <v>1878</v>
      </c>
      <c r="I2535">
        <v>2</v>
      </c>
      <c r="K2535" t="s">
        <v>14332</v>
      </c>
      <c r="L2535" s="222">
        <v>9783789323188</v>
      </c>
      <c r="M2535">
        <v>80</v>
      </c>
      <c r="O2535" t="s">
        <v>12026</v>
      </c>
      <c r="P2535">
        <v>124</v>
      </c>
      <c r="Q2535">
        <v>3.8</v>
      </c>
    </row>
    <row r="2536" spans="1:17" x14ac:dyDescent="0.25">
      <c r="A2536">
        <v>647</v>
      </c>
      <c r="B2536" t="s">
        <v>13651</v>
      </c>
      <c r="C2536" t="s">
        <v>13652</v>
      </c>
      <c r="E2536" t="s">
        <v>2358</v>
      </c>
      <c r="F2536">
        <v>2006</v>
      </c>
      <c r="H2536" t="s">
        <v>1878</v>
      </c>
      <c r="I2536">
        <v>2</v>
      </c>
      <c r="K2536" t="s">
        <v>14332</v>
      </c>
      <c r="L2536" s="222">
        <v>9783980750912</v>
      </c>
      <c r="M2536">
        <v>136</v>
      </c>
      <c r="O2536" t="s">
        <v>12027</v>
      </c>
      <c r="P2536">
        <v>193</v>
      </c>
      <c r="Q2536">
        <v>7.01</v>
      </c>
    </row>
    <row r="2537" spans="1:17" x14ac:dyDescent="0.25">
      <c r="A2537">
        <v>796</v>
      </c>
      <c r="B2537" t="s">
        <v>13654</v>
      </c>
      <c r="C2537" t="s">
        <v>13655</v>
      </c>
      <c r="D2537" t="s">
        <v>2209</v>
      </c>
      <c r="E2537" t="s">
        <v>2032</v>
      </c>
      <c r="F2537">
        <v>2018</v>
      </c>
      <c r="H2537" t="s">
        <v>1878</v>
      </c>
      <c r="I2537">
        <v>2</v>
      </c>
      <c r="K2537" t="s">
        <v>14332</v>
      </c>
      <c r="L2537" s="222">
        <v>9783453421158</v>
      </c>
      <c r="M2537">
        <v>544</v>
      </c>
      <c r="O2537" t="s">
        <v>12028</v>
      </c>
      <c r="P2537">
        <v>449</v>
      </c>
      <c r="Q2537">
        <v>2.0299999999999998</v>
      </c>
    </row>
    <row r="2538" spans="1:17" x14ac:dyDescent="0.25">
      <c r="A2538">
        <v>937</v>
      </c>
      <c r="B2538" t="s">
        <v>13657</v>
      </c>
      <c r="C2538" t="s">
        <v>13658</v>
      </c>
      <c r="D2538" t="s">
        <v>2068</v>
      </c>
      <c r="H2538" t="s">
        <v>2963</v>
      </c>
      <c r="I2538">
        <v>2</v>
      </c>
      <c r="K2538" t="s">
        <v>14332</v>
      </c>
      <c r="L2538" s="222">
        <v>9783806815405</v>
      </c>
      <c r="M2538">
        <v>84</v>
      </c>
      <c r="O2538" t="s">
        <v>12029</v>
      </c>
      <c r="P2538">
        <v>192</v>
      </c>
      <c r="Q2538">
        <v>1.1000000000000001</v>
      </c>
    </row>
    <row r="2539" spans="1:17" x14ac:dyDescent="0.25">
      <c r="A2539">
        <v>937</v>
      </c>
      <c r="B2539" t="s">
        <v>13657</v>
      </c>
      <c r="C2539" t="s">
        <v>13660</v>
      </c>
      <c r="D2539" t="s">
        <v>2050</v>
      </c>
      <c r="H2539" t="s">
        <v>2963</v>
      </c>
      <c r="I2539">
        <v>2</v>
      </c>
      <c r="K2539" t="s">
        <v>14332</v>
      </c>
      <c r="L2539" s="222">
        <v>9783809408475</v>
      </c>
      <c r="M2539">
        <v>86</v>
      </c>
      <c r="O2539" t="s">
        <v>12030</v>
      </c>
      <c r="P2539">
        <v>186</v>
      </c>
      <c r="Q2539">
        <v>1.1000000000000001</v>
      </c>
    </row>
    <row r="2540" spans="1:17" x14ac:dyDescent="0.25">
      <c r="A2540">
        <v>937</v>
      </c>
      <c r="B2540" t="s">
        <v>13657</v>
      </c>
      <c r="C2540" t="s">
        <v>13662</v>
      </c>
      <c r="D2540" t="s">
        <v>2050</v>
      </c>
      <c r="H2540" t="s">
        <v>2963</v>
      </c>
      <c r="I2540">
        <v>2</v>
      </c>
      <c r="K2540" t="s">
        <v>14332</v>
      </c>
      <c r="L2540" s="222">
        <v>9783809408437</v>
      </c>
      <c r="M2540">
        <v>86</v>
      </c>
      <c r="O2540" t="s">
        <v>12031</v>
      </c>
      <c r="P2540">
        <v>187</v>
      </c>
      <c r="Q2540">
        <v>2.84</v>
      </c>
    </row>
    <row r="2541" spans="1:17" x14ac:dyDescent="0.25">
      <c r="A2541">
        <v>937</v>
      </c>
      <c r="B2541" t="s">
        <v>13657</v>
      </c>
      <c r="C2541" t="s">
        <v>13664</v>
      </c>
      <c r="D2541" t="s">
        <v>2050</v>
      </c>
      <c r="H2541" t="s">
        <v>2963</v>
      </c>
      <c r="I2541">
        <v>2</v>
      </c>
      <c r="K2541" t="s">
        <v>14332</v>
      </c>
      <c r="L2541" s="222">
        <v>9783809408383</v>
      </c>
      <c r="M2541">
        <v>86</v>
      </c>
      <c r="O2541" t="s">
        <v>12032</v>
      </c>
      <c r="P2541">
        <v>187</v>
      </c>
      <c r="Q2541">
        <v>1.3</v>
      </c>
    </row>
    <row r="2542" spans="1:17" x14ac:dyDescent="0.25">
      <c r="A2542">
        <v>1327</v>
      </c>
      <c r="B2542" t="s">
        <v>13666</v>
      </c>
      <c r="C2542" t="s">
        <v>13667</v>
      </c>
      <c r="D2542" t="s">
        <v>2609</v>
      </c>
      <c r="F2542">
        <v>2007</v>
      </c>
      <c r="H2542" t="s">
        <v>1878</v>
      </c>
      <c r="I2542">
        <v>4</v>
      </c>
      <c r="J2542" t="s">
        <v>13503</v>
      </c>
      <c r="K2542" t="s">
        <v>14332</v>
      </c>
      <c r="L2542" s="222">
        <v>9783596170920</v>
      </c>
      <c r="M2542">
        <v>288</v>
      </c>
      <c r="O2542" t="s">
        <v>12033</v>
      </c>
      <c r="P2542">
        <v>286</v>
      </c>
      <c r="Q2542">
        <v>6.3</v>
      </c>
    </row>
    <row r="2543" spans="1:17" x14ac:dyDescent="0.25">
      <c r="A2543">
        <v>765</v>
      </c>
      <c r="B2543" t="s">
        <v>13669</v>
      </c>
      <c r="C2543" t="s">
        <v>13670</v>
      </c>
      <c r="D2543" t="s">
        <v>1912</v>
      </c>
      <c r="F2543">
        <v>2005</v>
      </c>
      <c r="H2543" t="s">
        <v>1878</v>
      </c>
      <c r="I2543">
        <v>3</v>
      </c>
      <c r="K2543" t="s">
        <v>14332</v>
      </c>
      <c r="M2543">
        <v>384</v>
      </c>
      <c r="O2543" t="s">
        <v>12034</v>
      </c>
      <c r="P2543">
        <v>367</v>
      </c>
      <c r="Q2543">
        <v>4.7300000000000004</v>
      </c>
    </row>
    <row r="2544" spans="1:17" x14ac:dyDescent="0.25">
      <c r="A2544">
        <v>796</v>
      </c>
      <c r="B2544" t="s">
        <v>10264</v>
      </c>
      <c r="C2544" t="s">
        <v>13671</v>
      </c>
      <c r="D2544" t="s">
        <v>3077</v>
      </c>
      <c r="E2544" t="s">
        <v>1913</v>
      </c>
      <c r="F2544">
        <v>2016</v>
      </c>
      <c r="H2544" t="s">
        <v>1878</v>
      </c>
      <c r="I2544">
        <v>2</v>
      </c>
      <c r="K2544" t="s">
        <v>14332</v>
      </c>
      <c r="L2544" s="222">
        <v>9783734102899</v>
      </c>
      <c r="M2544">
        <v>416</v>
      </c>
      <c r="O2544" t="s">
        <v>12035</v>
      </c>
      <c r="P2544">
        <v>369</v>
      </c>
      <c r="Q2544">
        <v>3.52</v>
      </c>
    </row>
    <row r="2545" spans="1:17" x14ac:dyDescent="0.25">
      <c r="A2545">
        <v>704</v>
      </c>
      <c r="B2545" t="s">
        <v>13673</v>
      </c>
      <c r="C2545" t="s">
        <v>13674</v>
      </c>
      <c r="D2545" t="s">
        <v>13675</v>
      </c>
      <c r="E2545" t="s">
        <v>1877</v>
      </c>
      <c r="F2545">
        <v>2011</v>
      </c>
      <c r="H2545" t="s">
        <v>2963</v>
      </c>
      <c r="I2545">
        <v>2</v>
      </c>
      <c r="K2545" t="s">
        <v>14332</v>
      </c>
      <c r="L2545" s="222">
        <v>9783778792292</v>
      </c>
      <c r="M2545">
        <v>288</v>
      </c>
      <c r="O2545" t="s">
        <v>12036</v>
      </c>
      <c r="P2545">
        <v>381</v>
      </c>
      <c r="Q2545">
        <v>2.0299999999999998</v>
      </c>
    </row>
    <row r="2546" spans="1:17" x14ac:dyDescent="0.25">
      <c r="A2546">
        <v>1395</v>
      </c>
      <c r="B2546" t="s">
        <v>13677</v>
      </c>
      <c r="C2546" t="s">
        <v>13678</v>
      </c>
      <c r="D2546" t="s">
        <v>1912</v>
      </c>
      <c r="E2546" t="s">
        <v>1913</v>
      </c>
      <c r="F2546">
        <v>2013</v>
      </c>
      <c r="H2546" t="s">
        <v>1878</v>
      </c>
      <c r="I2546">
        <v>2</v>
      </c>
      <c r="K2546" t="s">
        <v>14332</v>
      </c>
      <c r="L2546" s="222">
        <v>9783442478736</v>
      </c>
      <c r="M2546">
        <v>288</v>
      </c>
      <c r="O2546" t="s">
        <v>12037</v>
      </c>
      <c r="P2546">
        <v>274</v>
      </c>
      <c r="Q2546">
        <v>1.04</v>
      </c>
    </row>
    <row r="2547" spans="1:17" x14ac:dyDescent="0.25">
      <c r="A2547">
        <v>775</v>
      </c>
      <c r="B2547" t="s">
        <v>13680</v>
      </c>
      <c r="C2547" t="s">
        <v>13681</v>
      </c>
      <c r="D2547" t="s">
        <v>2232</v>
      </c>
      <c r="E2547" t="s">
        <v>1877</v>
      </c>
      <c r="F2547">
        <v>2016</v>
      </c>
      <c r="H2547" t="s">
        <v>1878</v>
      </c>
      <c r="I2547">
        <v>2</v>
      </c>
      <c r="K2547" t="s">
        <v>14332</v>
      </c>
      <c r="L2547" s="222">
        <v>9783442749850</v>
      </c>
      <c r="M2547">
        <v>528</v>
      </c>
      <c r="O2547" t="s">
        <v>12038</v>
      </c>
      <c r="P2547">
        <v>427</v>
      </c>
      <c r="Q2547">
        <v>3.09</v>
      </c>
    </row>
    <row r="2548" spans="1:17" x14ac:dyDescent="0.25">
      <c r="A2548">
        <v>692</v>
      </c>
      <c r="B2548" t="s">
        <v>2242</v>
      </c>
      <c r="C2548" t="s">
        <v>13683</v>
      </c>
      <c r="D2548" t="s">
        <v>2036</v>
      </c>
      <c r="F2548">
        <v>1998</v>
      </c>
      <c r="H2548" t="s">
        <v>2963</v>
      </c>
      <c r="I2548">
        <v>2</v>
      </c>
      <c r="K2548" t="s">
        <v>14332</v>
      </c>
      <c r="L2548" s="222">
        <v>9783828900264</v>
      </c>
      <c r="M2548">
        <v>386</v>
      </c>
      <c r="O2548" t="s">
        <v>12039</v>
      </c>
      <c r="P2548">
        <v>403</v>
      </c>
      <c r="Q2548">
        <v>0.42</v>
      </c>
    </row>
    <row r="2549" spans="1:17" x14ac:dyDescent="0.25">
      <c r="A2549">
        <v>1315</v>
      </c>
      <c r="B2549" t="s">
        <v>13685</v>
      </c>
      <c r="C2549" t="s">
        <v>14502</v>
      </c>
      <c r="D2549" t="s">
        <v>2156</v>
      </c>
      <c r="E2549" t="s">
        <v>2375</v>
      </c>
      <c r="F2549">
        <v>2003</v>
      </c>
      <c r="H2549" t="s">
        <v>1878</v>
      </c>
      <c r="I2549">
        <v>3</v>
      </c>
      <c r="K2549" t="s">
        <v>14332</v>
      </c>
      <c r="L2549" s="222">
        <v>9783423703963</v>
      </c>
      <c r="M2549">
        <v>160</v>
      </c>
      <c r="O2549" t="s">
        <v>12040</v>
      </c>
      <c r="P2549">
        <v>166</v>
      </c>
      <c r="Q2549">
        <v>1.1599999999999999</v>
      </c>
    </row>
    <row r="2550" spans="1:17" x14ac:dyDescent="0.25">
      <c r="A2550">
        <v>704</v>
      </c>
      <c r="B2550" t="s">
        <v>10991</v>
      </c>
      <c r="C2550" t="s">
        <v>10992</v>
      </c>
      <c r="D2550" t="s">
        <v>6456</v>
      </c>
      <c r="E2550" t="s">
        <v>8240</v>
      </c>
      <c r="F2550">
        <v>2014</v>
      </c>
      <c r="H2550" t="s">
        <v>1878</v>
      </c>
      <c r="I2550">
        <v>3</v>
      </c>
      <c r="K2550" t="s">
        <v>14332</v>
      </c>
      <c r="L2550" s="222">
        <v>9783862652198</v>
      </c>
      <c r="M2550">
        <v>224</v>
      </c>
      <c r="O2550" t="s">
        <v>12041</v>
      </c>
      <c r="P2550">
        <v>237</v>
      </c>
      <c r="Q2550">
        <v>1.91</v>
      </c>
    </row>
    <row r="2551" spans="1:17" x14ac:dyDescent="0.25">
      <c r="A2551">
        <v>796</v>
      </c>
      <c r="B2551" t="s">
        <v>11594</v>
      </c>
      <c r="C2551" t="s">
        <v>13689</v>
      </c>
      <c r="D2551" t="s">
        <v>2209</v>
      </c>
      <c r="E2551" t="s">
        <v>2032</v>
      </c>
      <c r="F2551">
        <v>2016</v>
      </c>
      <c r="H2551" t="s">
        <v>1878</v>
      </c>
      <c r="I2551">
        <v>2</v>
      </c>
      <c r="K2551" t="s">
        <v>14332</v>
      </c>
      <c r="L2551" s="222">
        <v>9783453421608</v>
      </c>
      <c r="M2551">
        <v>288</v>
      </c>
      <c r="O2551" t="s">
        <v>12042</v>
      </c>
      <c r="P2551">
        <v>235</v>
      </c>
      <c r="Q2551">
        <v>2.15</v>
      </c>
    </row>
    <row r="2552" spans="1:17" x14ac:dyDescent="0.25">
      <c r="A2552">
        <v>692</v>
      </c>
      <c r="B2552" t="s">
        <v>13691</v>
      </c>
      <c r="C2552" t="s">
        <v>13692</v>
      </c>
      <c r="D2552" t="s">
        <v>2309</v>
      </c>
      <c r="E2552" t="s">
        <v>1913</v>
      </c>
      <c r="F2552">
        <v>2019</v>
      </c>
      <c r="H2552" t="s">
        <v>1878</v>
      </c>
      <c r="I2552">
        <v>2</v>
      </c>
      <c r="K2552" t="s">
        <v>14332</v>
      </c>
      <c r="L2552" s="222">
        <v>9783548290706</v>
      </c>
      <c r="M2552">
        <v>272</v>
      </c>
      <c r="O2552" t="s">
        <v>12043</v>
      </c>
      <c r="P2552">
        <v>260</v>
      </c>
      <c r="Q2552">
        <v>2.02</v>
      </c>
    </row>
    <row r="2553" spans="1:17" x14ac:dyDescent="0.25">
      <c r="A2553">
        <v>2952</v>
      </c>
      <c r="B2553" t="s">
        <v>13694</v>
      </c>
      <c r="C2553" t="s">
        <v>13695</v>
      </c>
      <c r="D2553" t="s">
        <v>2424</v>
      </c>
      <c r="F2553">
        <v>2016</v>
      </c>
      <c r="H2553" t="s">
        <v>1878</v>
      </c>
      <c r="I2553">
        <v>2</v>
      </c>
      <c r="K2553" t="s">
        <v>14332</v>
      </c>
      <c r="L2553" s="222">
        <v>9783453358805</v>
      </c>
      <c r="M2553">
        <v>496</v>
      </c>
      <c r="O2553" t="s">
        <v>12044</v>
      </c>
      <c r="P2553">
        <v>408</v>
      </c>
      <c r="Q2553">
        <v>2.86</v>
      </c>
    </row>
    <row r="2554" spans="1:17" x14ac:dyDescent="0.25">
      <c r="A2554">
        <v>1327</v>
      </c>
      <c r="B2554" t="s">
        <v>13697</v>
      </c>
      <c r="C2554" t="s">
        <v>13698</v>
      </c>
      <c r="E2554" t="s">
        <v>2032</v>
      </c>
      <c r="F2554">
        <v>2015</v>
      </c>
      <c r="H2554" t="s">
        <v>1878</v>
      </c>
      <c r="I2554">
        <v>2</v>
      </c>
      <c r="K2554" t="s">
        <v>14332</v>
      </c>
      <c r="L2554" s="222">
        <v>9781482371468</v>
      </c>
      <c r="M2554">
        <v>124</v>
      </c>
      <c r="O2554" t="s">
        <v>12045</v>
      </c>
      <c r="P2554">
        <v>163</v>
      </c>
      <c r="Q2554">
        <v>4.59</v>
      </c>
    </row>
    <row r="2555" spans="1:17" x14ac:dyDescent="0.25">
      <c r="A2555">
        <v>2518</v>
      </c>
      <c r="B2555" t="s">
        <v>13700</v>
      </c>
      <c r="C2555" t="s">
        <v>13701</v>
      </c>
      <c r="D2555" t="s">
        <v>1920</v>
      </c>
      <c r="E2555" t="s">
        <v>1913</v>
      </c>
      <c r="F2555">
        <v>2015</v>
      </c>
      <c r="H2555" t="s">
        <v>1878</v>
      </c>
      <c r="I2555">
        <v>2</v>
      </c>
      <c r="K2555" t="s">
        <v>14332</v>
      </c>
      <c r="L2555" s="222">
        <v>9783404171361</v>
      </c>
      <c r="M2555">
        <v>512</v>
      </c>
      <c r="O2555" t="s">
        <v>12046</v>
      </c>
      <c r="P2555">
        <v>446</v>
      </c>
      <c r="Q2555">
        <v>5.05</v>
      </c>
    </row>
    <row r="2556" spans="1:17" x14ac:dyDescent="0.25">
      <c r="A2556">
        <v>1327</v>
      </c>
      <c r="B2556" t="s">
        <v>13703</v>
      </c>
      <c r="C2556" t="s">
        <v>13704</v>
      </c>
      <c r="D2556" t="s">
        <v>2609</v>
      </c>
      <c r="F2556">
        <v>2003</v>
      </c>
      <c r="H2556" t="s">
        <v>1878</v>
      </c>
      <c r="I2556">
        <v>3</v>
      </c>
      <c r="K2556" t="s">
        <v>14332</v>
      </c>
      <c r="L2556" s="222">
        <v>9783596156658</v>
      </c>
      <c r="M2556">
        <v>384</v>
      </c>
      <c r="O2556" t="s">
        <v>12047</v>
      </c>
      <c r="P2556">
        <v>335</v>
      </c>
      <c r="Q2556">
        <v>1.29</v>
      </c>
    </row>
    <row r="2557" spans="1:17" x14ac:dyDescent="0.25">
      <c r="A2557">
        <v>1327</v>
      </c>
      <c r="B2557" t="s">
        <v>3262</v>
      </c>
      <c r="C2557" t="s">
        <v>3263</v>
      </c>
      <c r="D2557" t="s">
        <v>2609</v>
      </c>
      <c r="E2557" t="s">
        <v>1877</v>
      </c>
      <c r="F2557">
        <v>2006</v>
      </c>
      <c r="H2557" t="s">
        <v>1878</v>
      </c>
      <c r="I2557">
        <v>2</v>
      </c>
      <c r="K2557" t="s">
        <v>14332</v>
      </c>
      <c r="L2557" s="222">
        <v>9783596173037</v>
      </c>
      <c r="M2557">
        <v>560</v>
      </c>
      <c r="O2557" t="s">
        <v>12048</v>
      </c>
      <c r="P2557">
        <v>426</v>
      </c>
      <c r="Q2557">
        <v>2.8</v>
      </c>
    </row>
    <row r="2558" spans="1:17" x14ac:dyDescent="0.25">
      <c r="A2558">
        <v>1913</v>
      </c>
      <c r="B2558" t="s">
        <v>13708</v>
      </c>
      <c r="C2558" t="s">
        <v>13709</v>
      </c>
      <c r="D2558" t="s">
        <v>2209</v>
      </c>
      <c r="F2558">
        <v>2008</v>
      </c>
      <c r="H2558" t="s">
        <v>1878</v>
      </c>
      <c r="I2558">
        <v>3</v>
      </c>
      <c r="J2558" t="s">
        <v>3854</v>
      </c>
      <c r="K2558" t="s">
        <v>14332</v>
      </c>
      <c r="L2558" s="222">
        <v>9783453433199</v>
      </c>
      <c r="M2558">
        <v>512</v>
      </c>
      <c r="O2558" t="s">
        <v>12050</v>
      </c>
      <c r="P2558">
        <v>362</v>
      </c>
      <c r="Q2558">
        <v>0.54</v>
      </c>
    </row>
    <row r="2559" spans="1:17" x14ac:dyDescent="0.25">
      <c r="A2559">
        <v>796</v>
      </c>
      <c r="B2559" t="s">
        <v>13711</v>
      </c>
      <c r="C2559" t="s">
        <v>13712</v>
      </c>
      <c r="D2559" t="s">
        <v>2609</v>
      </c>
      <c r="F2559">
        <v>2015</v>
      </c>
      <c r="H2559" t="s">
        <v>1878</v>
      </c>
      <c r="I2559">
        <v>3</v>
      </c>
      <c r="J2559" t="s">
        <v>3854</v>
      </c>
      <c r="K2559" t="s">
        <v>14332</v>
      </c>
      <c r="L2559" s="222">
        <v>9783596032334</v>
      </c>
      <c r="M2559">
        <v>528</v>
      </c>
      <c r="O2559" t="s">
        <v>12051</v>
      </c>
      <c r="P2559">
        <v>467</v>
      </c>
      <c r="Q2559">
        <v>0.95</v>
      </c>
    </row>
    <row r="2560" spans="1:17" x14ac:dyDescent="0.25">
      <c r="A2560">
        <v>632</v>
      </c>
      <c r="B2560" t="s">
        <v>3832</v>
      </c>
      <c r="C2560" t="s">
        <v>7832</v>
      </c>
      <c r="D2560" t="s">
        <v>1920</v>
      </c>
      <c r="E2560" t="s">
        <v>1913</v>
      </c>
      <c r="F2560">
        <v>2004</v>
      </c>
      <c r="H2560" t="s">
        <v>1878</v>
      </c>
      <c r="I2560">
        <v>3</v>
      </c>
      <c r="K2560" t="s">
        <v>14332</v>
      </c>
      <c r="L2560" s="222">
        <v>9783404151325</v>
      </c>
      <c r="M2560">
        <v>576</v>
      </c>
      <c r="O2560" t="s">
        <v>12052</v>
      </c>
      <c r="P2560">
        <v>482</v>
      </c>
      <c r="Q2560">
        <v>1.2</v>
      </c>
    </row>
    <row r="2561" spans="1:17" x14ac:dyDescent="0.25">
      <c r="A2561">
        <v>632</v>
      </c>
      <c r="B2561" t="s">
        <v>4109</v>
      </c>
      <c r="C2561" t="s">
        <v>13715</v>
      </c>
      <c r="D2561" t="s">
        <v>2609</v>
      </c>
      <c r="E2561" t="s">
        <v>1877</v>
      </c>
      <c r="F2561">
        <v>2001</v>
      </c>
      <c r="H2561" t="s">
        <v>1878</v>
      </c>
      <c r="I2561">
        <v>3</v>
      </c>
      <c r="K2561" t="s">
        <v>14332</v>
      </c>
      <c r="L2561" s="222">
        <v>9783596148806</v>
      </c>
      <c r="M2561">
        <v>576</v>
      </c>
      <c r="O2561" t="s">
        <v>12053</v>
      </c>
      <c r="P2561">
        <v>498</v>
      </c>
      <c r="Q2561">
        <v>2.0099999999999998</v>
      </c>
    </row>
    <row r="2562" spans="1:17" x14ac:dyDescent="0.25">
      <c r="A2562">
        <v>692</v>
      </c>
      <c r="B2562" t="s">
        <v>13716</v>
      </c>
      <c r="C2562" t="s">
        <v>13717</v>
      </c>
      <c r="D2562" t="s">
        <v>2209</v>
      </c>
      <c r="F2562">
        <v>2016</v>
      </c>
      <c r="H2562" t="s">
        <v>1878</v>
      </c>
      <c r="I2562">
        <v>3</v>
      </c>
      <c r="K2562" t="s">
        <v>14332</v>
      </c>
      <c r="L2562" s="222">
        <v>9783453421639</v>
      </c>
      <c r="M2562">
        <v>464</v>
      </c>
      <c r="O2562" t="s">
        <v>12054</v>
      </c>
      <c r="P2562">
        <v>415</v>
      </c>
      <c r="Q2562">
        <v>1.9</v>
      </c>
    </row>
    <row r="2563" spans="1:17" x14ac:dyDescent="0.25">
      <c r="A2563">
        <v>2522</v>
      </c>
      <c r="B2563" t="s">
        <v>13719</v>
      </c>
      <c r="C2563" t="s">
        <v>13720</v>
      </c>
      <c r="D2563" t="s">
        <v>2609</v>
      </c>
      <c r="E2563" t="s">
        <v>2922</v>
      </c>
      <c r="F2563">
        <v>2014</v>
      </c>
      <c r="H2563" t="s">
        <v>1878</v>
      </c>
      <c r="I2563">
        <v>2</v>
      </c>
      <c r="K2563" t="s">
        <v>14332</v>
      </c>
      <c r="L2563" s="222">
        <v>9783596188789</v>
      </c>
      <c r="M2563">
        <v>592</v>
      </c>
      <c r="O2563" t="s">
        <v>12055</v>
      </c>
      <c r="P2563">
        <v>520</v>
      </c>
      <c r="Q2563">
        <v>2.0099999999999998</v>
      </c>
    </row>
    <row r="2564" spans="1:17" x14ac:dyDescent="0.25">
      <c r="A2564">
        <v>2518</v>
      </c>
      <c r="B2564" t="s">
        <v>13722</v>
      </c>
      <c r="C2564" t="s">
        <v>13723</v>
      </c>
      <c r="D2564" t="s">
        <v>6393</v>
      </c>
      <c r="F2564">
        <v>2011</v>
      </c>
      <c r="H2564" t="s">
        <v>1878</v>
      </c>
      <c r="I2564">
        <v>2</v>
      </c>
      <c r="K2564" t="s">
        <v>14332</v>
      </c>
      <c r="L2564" s="222">
        <v>9783897056565</v>
      </c>
      <c r="M2564">
        <v>272</v>
      </c>
      <c r="O2564" t="s">
        <v>12056</v>
      </c>
      <c r="P2564">
        <v>327</v>
      </c>
      <c r="Q2564">
        <v>1.91</v>
      </c>
    </row>
    <row r="2565" spans="1:17" x14ac:dyDescent="0.25">
      <c r="A2565">
        <v>796</v>
      </c>
      <c r="B2565" t="s">
        <v>10233</v>
      </c>
      <c r="C2565" t="s">
        <v>13725</v>
      </c>
      <c r="D2565" t="s">
        <v>2609</v>
      </c>
      <c r="E2565" t="s">
        <v>1899</v>
      </c>
      <c r="F2565">
        <v>2003</v>
      </c>
      <c r="H2565" t="s">
        <v>1878</v>
      </c>
      <c r="I2565">
        <v>2</v>
      </c>
      <c r="K2565" t="s">
        <v>14332</v>
      </c>
      <c r="L2565" s="222">
        <v>9783596148738</v>
      </c>
      <c r="M2565">
        <v>320</v>
      </c>
      <c r="O2565" t="s">
        <v>12057</v>
      </c>
      <c r="P2565">
        <v>284</v>
      </c>
      <c r="Q2565">
        <v>0.88</v>
      </c>
    </row>
    <row r="2566" spans="1:17" x14ac:dyDescent="0.25">
      <c r="A2566">
        <v>2522</v>
      </c>
      <c r="B2566" t="s">
        <v>9082</v>
      </c>
      <c r="C2566" t="s">
        <v>13727</v>
      </c>
      <c r="D2566" t="s">
        <v>1886</v>
      </c>
      <c r="E2566" t="s">
        <v>3053</v>
      </c>
      <c r="F2566">
        <v>2009</v>
      </c>
      <c r="H2566" t="s">
        <v>1878</v>
      </c>
      <c r="I2566">
        <v>2</v>
      </c>
      <c r="K2566" t="s">
        <v>14332</v>
      </c>
      <c r="L2566" s="222">
        <v>9783499236914</v>
      </c>
      <c r="M2566">
        <v>400</v>
      </c>
      <c r="O2566" t="s">
        <v>12058</v>
      </c>
      <c r="P2566">
        <v>358</v>
      </c>
      <c r="Q2566">
        <v>1.83</v>
      </c>
    </row>
    <row r="2567" spans="1:17" x14ac:dyDescent="0.25">
      <c r="A2567">
        <v>2522</v>
      </c>
      <c r="B2567" t="s">
        <v>9180</v>
      </c>
      <c r="C2567" t="s">
        <v>13729</v>
      </c>
      <c r="D2567" t="s">
        <v>1912</v>
      </c>
      <c r="F2567">
        <v>1997</v>
      </c>
      <c r="H2567" t="s">
        <v>1878</v>
      </c>
      <c r="I2567">
        <v>3</v>
      </c>
      <c r="J2567" t="s">
        <v>3854</v>
      </c>
      <c r="K2567" t="s">
        <v>14332</v>
      </c>
      <c r="L2567" s="222">
        <v>9783442442782</v>
      </c>
      <c r="M2567">
        <v>512</v>
      </c>
      <c r="O2567" t="s">
        <v>12059</v>
      </c>
      <c r="P2567">
        <v>352</v>
      </c>
      <c r="Q2567">
        <v>2.78</v>
      </c>
    </row>
    <row r="2568" spans="1:17" x14ac:dyDescent="0.25">
      <c r="A2568">
        <v>2522</v>
      </c>
      <c r="B2568" t="s">
        <v>13731</v>
      </c>
      <c r="C2568" t="s">
        <v>13732</v>
      </c>
      <c r="D2568" t="s">
        <v>1920</v>
      </c>
      <c r="F2568">
        <v>2013</v>
      </c>
      <c r="H2568" t="s">
        <v>1878</v>
      </c>
      <c r="I2568">
        <v>2</v>
      </c>
      <c r="K2568" t="s">
        <v>14332</v>
      </c>
      <c r="L2568" s="222">
        <v>9783404168071</v>
      </c>
      <c r="M2568">
        <v>400</v>
      </c>
      <c r="O2568" t="s">
        <v>12060</v>
      </c>
      <c r="P2568">
        <v>405</v>
      </c>
      <c r="Q2568">
        <v>2.02</v>
      </c>
    </row>
    <row r="2569" spans="1:17" x14ac:dyDescent="0.25">
      <c r="A2569">
        <v>2522</v>
      </c>
      <c r="B2569" t="s">
        <v>2191</v>
      </c>
      <c r="C2569" t="s">
        <v>2334</v>
      </c>
      <c r="D2569" t="s">
        <v>1912</v>
      </c>
      <c r="E2569" t="s">
        <v>1899</v>
      </c>
      <c r="F2569">
        <v>2011</v>
      </c>
      <c r="H2569" t="s">
        <v>1878</v>
      </c>
      <c r="I2569">
        <v>2</v>
      </c>
      <c r="J2569" t="s">
        <v>3854</v>
      </c>
      <c r="K2569" t="s">
        <v>14332</v>
      </c>
      <c r="L2569" s="222">
        <v>9783442473496</v>
      </c>
      <c r="M2569">
        <v>432</v>
      </c>
      <c r="O2569" t="s">
        <v>12061</v>
      </c>
      <c r="P2569">
        <v>353</v>
      </c>
      <c r="Q2569">
        <v>1.4</v>
      </c>
    </row>
    <row r="2570" spans="1:17" x14ac:dyDescent="0.25">
      <c r="A2570">
        <v>852</v>
      </c>
      <c r="B2570" t="s">
        <v>13735</v>
      </c>
      <c r="C2570" t="s">
        <v>13736</v>
      </c>
      <c r="D2570" t="s">
        <v>1920</v>
      </c>
      <c r="F2570">
        <v>2005</v>
      </c>
      <c r="H2570" t="s">
        <v>1878</v>
      </c>
      <c r="I2570">
        <v>2</v>
      </c>
      <c r="K2570" t="s">
        <v>14332</v>
      </c>
      <c r="L2570" s="222">
        <v>9783404616497</v>
      </c>
      <c r="M2570">
        <v>208</v>
      </c>
      <c r="O2570" t="s">
        <v>12062</v>
      </c>
      <c r="P2570">
        <v>235</v>
      </c>
      <c r="Q2570">
        <v>1.74</v>
      </c>
    </row>
    <row r="2571" spans="1:17" x14ac:dyDescent="0.25">
      <c r="A2571">
        <v>796</v>
      </c>
      <c r="B2571" t="s">
        <v>13738</v>
      </c>
      <c r="C2571" t="s">
        <v>13739</v>
      </c>
      <c r="D2571" t="s">
        <v>3077</v>
      </c>
      <c r="E2571" t="s">
        <v>1913</v>
      </c>
      <c r="F2571">
        <v>2010</v>
      </c>
      <c r="H2571" t="s">
        <v>1878</v>
      </c>
      <c r="I2571">
        <v>2</v>
      </c>
      <c r="K2571" t="s">
        <v>14332</v>
      </c>
      <c r="L2571" s="222">
        <v>9783442375417</v>
      </c>
      <c r="M2571">
        <v>512</v>
      </c>
      <c r="O2571" t="s">
        <v>12063</v>
      </c>
      <c r="P2571">
        <v>400</v>
      </c>
      <c r="Q2571">
        <v>1.66</v>
      </c>
    </row>
    <row r="2572" spans="1:17" x14ac:dyDescent="0.25">
      <c r="A2572">
        <v>1374</v>
      </c>
      <c r="B2572" t="s">
        <v>13741</v>
      </c>
      <c r="C2572" t="s">
        <v>13742</v>
      </c>
      <c r="D2572" t="s">
        <v>1912</v>
      </c>
      <c r="E2572" t="s">
        <v>1913</v>
      </c>
      <c r="F2572">
        <v>2012</v>
      </c>
      <c r="H2572" t="s">
        <v>1878</v>
      </c>
      <c r="I2572">
        <v>2</v>
      </c>
      <c r="J2572" t="s">
        <v>3854</v>
      </c>
      <c r="K2572" t="s">
        <v>14332</v>
      </c>
      <c r="L2572" s="222">
        <v>9783442478743</v>
      </c>
      <c r="M2572">
        <v>192</v>
      </c>
      <c r="O2572" t="s">
        <v>12064</v>
      </c>
      <c r="P2572">
        <v>164</v>
      </c>
      <c r="Q2572">
        <v>2.41</v>
      </c>
    </row>
    <row r="2573" spans="1:17" x14ac:dyDescent="0.25">
      <c r="A2573">
        <v>852</v>
      </c>
      <c r="B2573" t="s">
        <v>4807</v>
      </c>
      <c r="C2573" t="s">
        <v>3084</v>
      </c>
      <c r="D2573" t="s">
        <v>2309</v>
      </c>
      <c r="E2573" t="s">
        <v>8240</v>
      </c>
      <c r="F2573">
        <v>2005</v>
      </c>
      <c r="H2573" t="s">
        <v>1878</v>
      </c>
      <c r="I2573">
        <v>3</v>
      </c>
      <c r="K2573" t="s">
        <v>14332</v>
      </c>
      <c r="L2573" s="222">
        <v>9783548365916</v>
      </c>
      <c r="M2573">
        <v>284</v>
      </c>
      <c r="O2573" t="s">
        <v>12065</v>
      </c>
      <c r="P2573">
        <v>245</v>
      </c>
      <c r="Q2573">
        <v>1.2</v>
      </c>
    </row>
    <row r="2574" spans="1:17" x14ac:dyDescent="0.25">
      <c r="A2574">
        <v>1327</v>
      </c>
      <c r="B2574" t="s">
        <v>13744</v>
      </c>
      <c r="C2574" t="s">
        <v>13745</v>
      </c>
      <c r="D2574" t="s">
        <v>2300</v>
      </c>
      <c r="E2574" t="s">
        <v>4697</v>
      </c>
      <c r="F2574">
        <v>2008</v>
      </c>
      <c r="H2574" t="s">
        <v>1878</v>
      </c>
      <c r="I2574">
        <v>2</v>
      </c>
      <c r="J2574" t="s">
        <v>9495</v>
      </c>
      <c r="K2574" t="s">
        <v>14332</v>
      </c>
      <c r="L2574" s="222">
        <v>9783499125805</v>
      </c>
      <c r="M2574">
        <v>720</v>
      </c>
      <c r="O2574" t="s">
        <v>12066</v>
      </c>
      <c r="P2574">
        <v>432</v>
      </c>
      <c r="Q2574">
        <v>1.83</v>
      </c>
    </row>
    <row r="2575" spans="1:17" x14ac:dyDescent="0.25">
      <c r="A2575">
        <v>2943</v>
      </c>
      <c r="B2575" t="s">
        <v>13747</v>
      </c>
      <c r="C2575" t="s">
        <v>13748</v>
      </c>
      <c r="D2575" t="s">
        <v>13749</v>
      </c>
      <c r="E2575" t="s">
        <v>1913</v>
      </c>
      <c r="F2575">
        <v>2009</v>
      </c>
      <c r="H2575" t="s">
        <v>1878</v>
      </c>
      <c r="I2575">
        <v>2</v>
      </c>
      <c r="K2575" t="s">
        <v>14332</v>
      </c>
      <c r="L2575" s="222">
        <v>9783894275013</v>
      </c>
      <c r="M2575">
        <v>82</v>
      </c>
      <c r="O2575" t="s">
        <v>12067</v>
      </c>
      <c r="P2575">
        <v>93</v>
      </c>
      <c r="Q2575">
        <v>2.52</v>
      </c>
    </row>
    <row r="2576" spans="1:17" x14ac:dyDescent="0.25">
      <c r="A2576">
        <v>1327</v>
      </c>
      <c r="B2576" t="s">
        <v>3143</v>
      </c>
      <c r="C2576" t="s">
        <v>13751</v>
      </c>
      <c r="D2576" t="s">
        <v>2609</v>
      </c>
      <c r="F2576">
        <v>2011</v>
      </c>
      <c r="H2576" t="s">
        <v>1878</v>
      </c>
      <c r="I2576">
        <v>2</v>
      </c>
      <c r="K2576" t="s">
        <v>14332</v>
      </c>
      <c r="L2576" s="222">
        <v>9783596173198</v>
      </c>
      <c r="M2576">
        <v>384</v>
      </c>
      <c r="O2576" t="s">
        <v>12068</v>
      </c>
      <c r="P2576">
        <v>337</v>
      </c>
      <c r="Q2576">
        <v>2</v>
      </c>
    </row>
    <row r="2577" spans="1:17" x14ac:dyDescent="0.25">
      <c r="A2577">
        <v>1386</v>
      </c>
      <c r="B2577" t="s">
        <v>2456</v>
      </c>
      <c r="C2577" t="s">
        <v>8483</v>
      </c>
      <c r="D2577" t="s">
        <v>1912</v>
      </c>
      <c r="F2577">
        <v>1999</v>
      </c>
      <c r="H2577" t="s">
        <v>1878</v>
      </c>
      <c r="I2577">
        <v>2</v>
      </c>
      <c r="K2577" t="s">
        <v>14332</v>
      </c>
      <c r="L2577" s="222">
        <v>9783442444366</v>
      </c>
      <c r="M2577">
        <v>608</v>
      </c>
      <c r="O2577" t="s">
        <v>12069</v>
      </c>
      <c r="P2577">
        <v>395</v>
      </c>
      <c r="Q2577">
        <v>1.19</v>
      </c>
    </row>
    <row r="2578" spans="1:17" x14ac:dyDescent="0.25">
      <c r="A2578">
        <v>796</v>
      </c>
      <c r="B2578" t="s">
        <v>13893</v>
      </c>
      <c r="C2578" t="s">
        <v>13894</v>
      </c>
      <c r="D2578" t="s">
        <v>9032</v>
      </c>
      <c r="E2578" t="s">
        <v>1913</v>
      </c>
      <c r="F2578">
        <v>2008</v>
      </c>
      <c r="H2578" t="s">
        <v>1878</v>
      </c>
      <c r="I2578">
        <v>3</v>
      </c>
      <c r="K2578" t="s">
        <v>14332</v>
      </c>
      <c r="L2578" s="222">
        <v>9783499246869</v>
      </c>
      <c r="M2578">
        <v>462</v>
      </c>
      <c r="O2578" t="s">
        <v>12070</v>
      </c>
      <c r="P2578">
        <v>322</v>
      </c>
      <c r="Q2578">
        <v>1.29</v>
      </c>
    </row>
    <row r="2579" spans="1:17" x14ac:dyDescent="0.25">
      <c r="A2579">
        <v>1315</v>
      </c>
      <c r="B2579" t="s">
        <v>13896</v>
      </c>
      <c r="C2579" t="s">
        <v>13897</v>
      </c>
      <c r="D2579" t="s">
        <v>13898</v>
      </c>
      <c r="E2579" t="s">
        <v>1913</v>
      </c>
      <c r="F2579">
        <v>2003</v>
      </c>
      <c r="H2579" t="s">
        <v>2963</v>
      </c>
      <c r="I2579">
        <v>3</v>
      </c>
      <c r="K2579" t="s">
        <v>14332</v>
      </c>
      <c r="L2579" s="222">
        <v>9783932540356</v>
      </c>
      <c r="M2579">
        <v>215</v>
      </c>
      <c r="O2579" t="s">
        <v>12071</v>
      </c>
      <c r="P2579">
        <v>467</v>
      </c>
      <c r="Q2579">
        <v>1.38</v>
      </c>
    </row>
    <row r="2580" spans="1:17" x14ac:dyDescent="0.25">
      <c r="A2580">
        <v>1386</v>
      </c>
      <c r="B2580" t="s">
        <v>4074</v>
      </c>
      <c r="C2580" t="s">
        <v>13900</v>
      </c>
      <c r="D2580" t="s">
        <v>2232</v>
      </c>
      <c r="E2580" t="s">
        <v>1913</v>
      </c>
      <c r="F2580">
        <v>2007</v>
      </c>
      <c r="H2580" t="s">
        <v>1878</v>
      </c>
      <c r="I2580">
        <v>2</v>
      </c>
      <c r="K2580" t="s">
        <v>14332</v>
      </c>
      <c r="L2580" s="222">
        <v>9783442732531</v>
      </c>
      <c r="M2580">
        <v>427</v>
      </c>
      <c r="O2580" t="s">
        <v>12072</v>
      </c>
      <c r="P2580">
        <v>348</v>
      </c>
      <c r="Q2580">
        <v>2.0299999999999998</v>
      </c>
    </row>
    <row r="2581" spans="1:17" x14ac:dyDescent="0.25">
      <c r="A2581">
        <v>1004</v>
      </c>
      <c r="B2581" t="s">
        <v>13902</v>
      </c>
      <c r="C2581" t="s">
        <v>13903</v>
      </c>
      <c r="D2581" t="s">
        <v>2644</v>
      </c>
      <c r="F2581">
        <v>2003</v>
      </c>
      <c r="H2581" t="s">
        <v>1878</v>
      </c>
      <c r="I2581">
        <v>2</v>
      </c>
      <c r="K2581" t="s">
        <v>14332</v>
      </c>
      <c r="L2581" s="222">
        <v>9783257224795</v>
      </c>
      <c r="M2581">
        <v>173</v>
      </c>
      <c r="O2581" t="s">
        <v>12073</v>
      </c>
      <c r="P2581">
        <v>154</v>
      </c>
      <c r="Q2581">
        <v>1.62</v>
      </c>
    </row>
    <row r="2582" spans="1:17" x14ac:dyDescent="0.25">
      <c r="A2582">
        <v>763</v>
      </c>
      <c r="B2582" t="s">
        <v>7603</v>
      </c>
      <c r="C2582" t="s">
        <v>13905</v>
      </c>
      <c r="D2582" t="s">
        <v>5926</v>
      </c>
      <c r="E2582" t="s">
        <v>2032</v>
      </c>
      <c r="F2582">
        <v>2002</v>
      </c>
      <c r="H2582" t="s">
        <v>1878</v>
      </c>
      <c r="I2582">
        <v>2</v>
      </c>
      <c r="K2582" t="s">
        <v>14332</v>
      </c>
      <c r="L2582" s="222">
        <v>9783442165032</v>
      </c>
      <c r="M2582">
        <v>191</v>
      </c>
      <c r="O2582" t="s">
        <v>12074</v>
      </c>
      <c r="P2582">
        <v>191</v>
      </c>
      <c r="Q2582">
        <v>6.59</v>
      </c>
    </row>
    <row r="2583" spans="1:17" x14ac:dyDescent="0.25">
      <c r="A2583">
        <v>803</v>
      </c>
      <c r="B2583" t="s">
        <v>13910</v>
      </c>
      <c r="C2583" t="s">
        <v>13911</v>
      </c>
      <c r="D2583" t="s">
        <v>13912</v>
      </c>
      <c r="F2583">
        <v>2002</v>
      </c>
      <c r="H2583" t="s">
        <v>1878</v>
      </c>
      <c r="I2583">
        <v>3</v>
      </c>
      <c r="K2583" t="s">
        <v>14332</v>
      </c>
      <c r="L2583" s="222">
        <v>9783861121282</v>
      </c>
      <c r="M2583">
        <v>432</v>
      </c>
      <c r="O2583" t="s">
        <v>12076</v>
      </c>
      <c r="P2583">
        <v>594</v>
      </c>
      <c r="Q2583">
        <v>1.64</v>
      </c>
    </row>
    <row r="2584" spans="1:17" x14ac:dyDescent="0.25">
      <c r="A2584">
        <v>792</v>
      </c>
      <c r="B2584" t="s">
        <v>13914</v>
      </c>
      <c r="C2584" t="s">
        <v>13915</v>
      </c>
      <c r="D2584" t="s">
        <v>5926</v>
      </c>
      <c r="E2584" t="s">
        <v>1877</v>
      </c>
      <c r="F2584">
        <v>2007</v>
      </c>
      <c r="H2584" t="s">
        <v>1878</v>
      </c>
      <c r="I2584">
        <v>2</v>
      </c>
      <c r="K2584" t="s">
        <v>14332</v>
      </c>
      <c r="L2584" s="222">
        <v>9783442168873</v>
      </c>
      <c r="M2584">
        <v>154</v>
      </c>
      <c r="O2584" t="s">
        <v>12077</v>
      </c>
      <c r="P2584">
        <v>141</v>
      </c>
      <c r="Q2584">
        <v>2</v>
      </c>
    </row>
    <row r="2585" spans="1:17" x14ac:dyDescent="0.25">
      <c r="A2585">
        <v>658</v>
      </c>
      <c r="B2585" t="s">
        <v>13917</v>
      </c>
      <c r="C2585" t="s">
        <v>13918</v>
      </c>
      <c r="D2585" t="s">
        <v>3864</v>
      </c>
      <c r="E2585" t="s">
        <v>1899</v>
      </c>
      <c r="F2585">
        <v>2006</v>
      </c>
      <c r="H2585" t="s">
        <v>1878</v>
      </c>
      <c r="I2585">
        <v>2</v>
      </c>
      <c r="K2585" t="s">
        <v>14332</v>
      </c>
      <c r="L2585" s="222">
        <v>9783770158317</v>
      </c>
      <c r="M2585">
        <v>240</v>
      </c>
      <c r="O2585" t="s">
        <v>12078</v>
      </c>
      <c r="P2585">
        <v>309</v>
      </c>
      <c r="Q2585">
        <v>2.13</v>
      </c>
    </row>
    <row r="2586" spans="1:17" x14ac:dyDescent="0.25">
      <c r="A2586">
        <v>796</v>
      </c>
      <c r="B2586" t="s">
        <v>13920</v>
      </c>
      <c r="C2586" t="s">
        <v>13921</v>
      </c>
      <c r="D2586" t="s">
        <v>13922</v>
      </c>
      <c r="F2586">
        <v>2018</v>
      </c>
      <c r="H2586" t="s">
        <v>1878</v>
      </c>
      <c r="I2586">
        <v>1</v>
      </c>
      <c r="K2586" t="s">
        <v>14332</v>
      </c>
      <c r="L2586" s="222">
        <v>9783958183865</v>
      </c>
      <c r="M2586">
        <v>234</v>
      </c>
      <c r="O2586" t="s">
        <v>12079</v>
      </c>
      <c r="P2586">
        <v>288</v>
      </c>
      <c r="Q2586">
        <v>8.7899999999999991</v>
      </c>
    </row>
    <row r="2587" spans="1:17" x14ac:dyDescent="0.25">
      <c r="A2587">
        <v>1374</v>
      </c>
      <c r="B2587" t="s">
        <v>13831</v>
      </c>
      <c r="C2587" t="s">
        <v>13832</v>
      </c>
      <c r="D2587" t="s">
        <v>13392</v>
      </c>
      <c r="F2587">
        <v>1977</v>
      </c>
      <c r="H2587" t="s">
        <v>2963</v>
      </c>
      <c r="I2587">
        <v>3</v>
      </c>
      <c r="K2587" t="s">
        <v>14332</v>
      </c>
      <c r="M2587">
        <v>350</v>
      </c>
      <c r="O2587" t="s">
        <v>12080</v>
      </c>
      <c r="P2587">
        <v>486</v>
      </c>
      <c r="Q2587">
        <v>1.99</v>
      </c>
    </row>
    <row r="2588" spans="1:17" x14ac:dyDescent="0.25">
      <c r="A2588">
        <v>581</v>
      </c>
      <c r="B2588" t="s">
        <v>13834</v>
      </c>
      <c r="C2588" t="s">
        <v>13835</v>
      </c>
      <c r="D2588" t="s">
        <v>2309</v>
      </c>
      <c r="F2588">
        <v>1965</v>
      </c>
      <c r="H2588" t="s">
        <v>2963</v>
      </c>
      <c r="I2588">
        <v>3</v>
      </c>
      <c r="K2588" t="s">
        <v>14332</v>
      </c>
      <c r="M2588">
        <v>271</v>
      </c>
      <c r="O2588" t="s">
        <v>12081</v>
      </c>
      <c r="P2588">
        <v>619</v>
      </c>
      <c r="Q2588">
        <v>2.4900000000000002</v>
      </c>
    </row>
    <row r="2589" spans="1:17" x14ac:dyDescent="0.25">
      <c r="A2589">
        <v>706</v>
      </c>
      <c r="B2589" t="s">
        <v>13836</v>
      </c>
      <c r="C2589" t="s">
        <v>13837</v>
      </c>
      <c r="F2589">
        <v>1952</v>
      </c>
      <c r="H2589" t="s">
        <v>2963</v>
      </c>
      <c r="I2589">
        <v>3</v>
      </c>
      <c r="K2589" t="s">
        <v>14332</v>
      </c>
      <c r="M2589">
        <v>195</v>
      </c>
      <c r="O2589" t="s">
        <v>12082</v>
      </c>
      <c r="P2589">
        <v>327</v>
      </c>
      <c r="Q2589">
        <v>4.2</v>
      </c>
    </row>
    <row r="2590" spans="1:17" x14ac:dyDescent="0.25">
      <c r="A2590">
        <v>1374</v>
      </c>
      <c r="B2590" t="s">
        <v>13838</v>
      </c>
      <c r="C2590" t="s">
        <v>13839</v>
      </c>
      <c r="D2590" t="s">
        <v>13840</v>
      </c>
      <c r="G2590" t="s">
        <v>13841</v>
      </c>
      <c r="H2590" t="s">
        <v>2963</v>
      </c>
      <c r="I2590">
        <v>3</v>
      </c>
      <c r="K2590" t="s">
        <v>14332</v>
      </c>
      <c r="M2590">
        <v>102</v>
      </c>
      <c r="O2590" t="s">
        <v>12083</v>
      </c>
      <c r="P2590">
        <v>167</v>
      </c>
      <c r="Q2590">
        <v>4.3</v>
      </c>
    </row>
    <row r="2591" spans="1:17" x14ac:dyDescent="0.25">
      <c r="A2591">
        <v>1327</v>
      </c>
      <c r="B2591" t="s">
        <v>13847</v>
      </c>
      <c r="C2591" t="s">
        <v>13848</v>
      </c>
      <c r="D2591" t="s">
        <v>13547</v>
      </c>
      <c r="H2591" t="s">
        <v>2963</v>
      </c>
      <c r="I2591">
        <v>3</v>
      </c>
      <c r="K2591" t="s">
        <v>14332</v>
      </c>
      <c r="M2591">
        <v>543</v>
      </c>
      <c r="O2591" t="s">
        <v>12085</v>
      </c>
      <c r="P2591">
        <v>582</v>
      </c>
      <c r="Q2591">
        <v>4.1900000000000004</v>
      </c>
    </row>
    <row r="2592" spans="1:17" x14ac:dyDescent="0.25">
      <c r="A2592">
        <v>632</v>
      </c>
      <c r="B2592" t="s">
        <v>13849</v>
      </c>
      <c r="C2592" t="s">
        <v>13850</v>
      </c>
      <c r="D2592" t="s">
        <v>987</v>
      </c>
      <c r="H2592" t="s">
        <v>2963</v>
      </c>
      <c r="I2592">
        <v>3</v>
      </c>
      <c r="K2592" t="s">
        <v>14332</v>
      </c>
      <c r="M2592">
        <v>699</v>
      </c>
      <c r="O2592" t="s">
        <v>12086</v>
      </c>
      <c r="P2592">
        <v>568</v>
      </c>
      <c r="Q2592">
        <v>11.8</v>
      </c>
    </row>
    <row r="2593" spans="1:17" x14ac:dyDescent="0.25">
      <c r="A2593">
        <v>591</v>
      </c>
      <c r="B2593" t="s">
        <v>13851</v>
      </c>
      <c r="C2593" t="s">
        <v>13852</v>
      </c>
      <c r="D2593" t="s">
        <v>13853</v>
      </c>
      <c r="F2593">
        <v>1979</v>
      </c>
      <c r="G2593" t="s">
        <v>13854</v>
      </c>
      <c r="H2593" t="s">
        <v>2963</v>
      </c>
      <c r="I2593">
        <v>3</v>
      </c>
      <c r="K2593" t="s">
        <v>14332</v>
      </c>
      <c r="M2593">
        <v>344</v>
      </c>
      <c r="O2593" t="s">
        <v>12087</v>
      </c>
      <c r="P2593">
        <v>994</v>
      </c>
      <c r="Q2593">
        <v>15.1</v>
      </c>
    </row>
    <row r="2594" spans="1:17" x14ac:dyDescent="0.25">
      <c r="A2594">
        <v>8</v>
      </c>
      <c r="B2594" t="s">
        <v>13855</v>
      </c>
      <c r="C2594" t="s">
        <v>13856</v>
      </c>
      <c r="D2594" t="s">
        <v>13857</v>
      </c>
      <c r="E2594" t="s">
        <v>2175</v>
      </c>
      <c r="F2594">
        <v>1976</v>
      </c>
      <c r="J2594" t="s">
        <v>13858</v>
      </c>
      <c r="K2594" t="s">
        <v>14332</v>
      </c>
      <c r="L2594" s="222">
        <v>9783536003783</v>
      </c>
      <c r="M2594">
        <v>218</v>
      </c>
      <c r="O2594" t="s">
        <v>12088</v>
      </c>
      <c r="P2594">
        <v>427</v>
      </c>
      <c r="Q2594">
        <v>1.65</v>
      </c>
    </row>
    <row r="2595" spans="1:17" x14ac:dyDescent="0.25">
      <c r="A2595">
        <v>581</v>
      </c>
      <c r="B2595" t="s">
        <v>2899</v>
      </c>
      <c r="C2595" t="s">
        <v>13860</v>
      </c>
      <c r="D2595" t="s">
        <v>2901</v>
      </c>
      <c r="G2595" t="s">
        <v>13841</v>
      </c>
      <c r="H2595" t="s">
        <v>2963</v>
      </c>
      <c r="I2595">
        <v>2</v>
      </c>
      <c r="K2595" t="s">
        <v>14332</v>
      </c>
      <c r="M2595">
        <v>277</v>
      </c>
      <c r="O2595" t="s">
        <v>12089</v>
      </c>
      <c r="P2595">
        <v>472</v>
      </c>
      <c r="Q2595">
        <v>5.7</v>
      </c>
    </row>
    <row r="2596" spans="1:17" x14ac:dyDescent="0.25">
      <c r="A2596">
        <v>8</v>
      </c>
      <c r="B2596" t="s">
        <v>11704</v>
      </c>
      <c r="C2596" t="s">
        <v>13861</v>
      </c>
      <c r="D2596" t="s">
        <v>10121</v>
      </c>
      <c r="F2596">
        <v>2014</v>
      </c>
      <c r="H2596" t="s">
        <v>2963</v>
      </c>
      <c r="I2596">
        <v>2</v>
      </c>
      <c r="J2596" t="s">
        <v>2505</v>
      </c>
      <c r="K2596" t="s">
        <v>14332</v>
      </c>
      <c r="M2596">
        <v>575</v>
      </c>
      <c r="O2596" t="s">
        <v>12090</v>
      </c>
      <c r="P2596">
        <v>597</v>
      </c>
      <c r="Q2596">
        <v>3.1</v>
      </c>
    </row>
    <row r="2597" spans="1:17" x14ac:dyDescent="0.25">
      <c r="A2597">
        <v>8</v>
      </c>
      <c r="B2597" t="s">
        <v>13862</v>
      </c>
      <c r="C2597" t="s">
        <v>13863</v>
      </c>
      <c r="D2597" t="s">
        <v>987</v>
      </c>
      <c r="F2597">
        <v>1978</v>
      </c>
      <c r="G2597" t="s">
        <v>13845</v>
      </c>
      <c r="H2597" t="s">
        <v>2963</v>
      </c>
      <c r="I2597">
        <v>2</v>
      </c>
      <c r="K2597" t="s">
        <v>14332</v>
      </c>
      <c r="M2597">
        <v>542</v>
      </c>
      <c r="O2597" t="s">
        <v>12091</v>
      </c>
      <c r="P2597">
        <v>540</v>
      </c>
      <c r="Q2597">
        <v>1.89</v>
      </c>
    </row>
    <row r="2598" spans="1:17" x14ac:dyDescent="0.25">
      <c r="A2598">
        <v>1904</v>
      </c>
      <c r="B2598" t="s">
        <v>7541</v>
      </c>
      <c r="C2598" t="s">
        <v>13864</v>
      </c>
      <c r="D2598" t="s">
        <v>5005</v>
      </c>
      <c r="F2598">
        <v>1992</v>
      </c>
      <c r="H2598" t="s">
        <v>2963</v>
      </c>
      <c r="J2598" t="s">
        <v>13866</v>
      </c>
      <c r="K2598" t="s">
        <v>14332</v>
      </c>
      <c r="M2598">
        <v>574</v>
      </c>
      <c r="O2598" t="s">
        <v>12092</v>
      </c>
      <c r="P2598">
        <v>681</v>
      </c>
      <c r="Q2598">
        <v>0.88</v>
      </c>
    </row>
    <row r="2599" spans="1:17" x14ac:dyDescent="0.25">
      <c r="A2599">
        <v>1913</v>
      </c>
      <c r="B2599" t="s">
        <v>7541</v>
      </c>
      <c r="C2599" t="s">
        <v>13867</v>
      </c>
      <c r="D2599" t="s">
        <v>5005</v>
      </c>
      <c r="F2599">
        <v>1996</v>
      </c>
      <c r="H2599" t="s">
        <v>2963</v>
      </c>
      <c r="I2599">
        <v>2</v>
      </c>
      <c r="J2599" t="s">
        <v>13866</v>
      </c>
      <c r="K2599" t="s">
        <v>14332</v>
      </c>
      <c r="M2599">
        <v>575</v>
      </c>
      <c r="O2599" t="s">
        <v>12093</v>
      </c>
      <c r="P2599">
        <v>764</v>
      </c>
      <c r="Q2599">
        <v>1.32</v>
      </c>
    </row>
    <row r="2600" spans="1:17" x14ac:dyDescent="0.25">
      <c r="A2600">
        <v>8</v>
      </c>
      <c r="B2600" t="s">
        <v>13868</v>
      </c>
      <c r="C2600" t="s">
        <v>13869</v>
      </c>
      <c r="D2600" t="s">
        <v>5005</v>
      </c>
      <c r="F2600">
        <v>1980</v>
      </c>
      <c r="H2600" t="s">
        <v>2963</v>
      </c>
      <c r="I2600">
        <v>2</v>
      </c>
      <c r="K2600" t="s">
        <v>14332</v>
      </c>
      <c r="M2600">
        <v>798</v>
      </c>
      <c r="O2600" t="s">
        <v>12094</v>
      </c>
      <c r="P2600">
        <v>808</v>
      </c>
      <c r="Q2600">
        <v>4</v>
      </c>
    </row>
    <row r="2601" spans="1:17" x14ac:dyDescent="0.25">
      <c r="A2601">
        <v>2022</v>
      </c>
      <c r="B2601" t="s">
        <v>12938</v>
      </c>
      <c r="C2601" t="s">
        <v>12939</v>
      </c>
      <c r="D2601" t="s">
        <v>9961</v>
      </c>
      <c r="F2601">
        <v>1976</v>
      </c>
      <c r="H2601" t="s">
        <v>2963</v>
      </c>
      <c r="I2601">
        <v>2</v>
      </c>
      <c r="K2601" t="s">
        <v>14332</v>
      </c>
      <c r="M2601">
        <v>381</v>
      </c>
      <c r="O2601" t="s">
        <v>12095</v>
      </c>
      <c r="P2601">
        <v>484</v>
      </c>
      <c r="Q2601">
        <v>2.09</v>
      </c>
    </row>
    <row r="2602" spans="1:17" x14ac:dyDescent="0.25">
      <c r="A2602">
        <v>795</v>
      </c>
      <c r="B2602" t="s">
        <v>13056</v>
      </c>
      <c r="C2602" t="s">
        <v>13057</v>
      </c>
      <c r="D2602" t="s">
        <v>2309</v>
      </c>
      <c r="H2602" t="s">
        <v>2963</v>
      </c>
      <c r="I2602" s="305">
        <v>43892</v>
      </c>
      <c r="K2602" t="s">
        <v>14332</v>
      </c>
      <c r="M2602">
        <v>159</v>
      </c>
      <c r="O2602" t="s">
        <v>12096</v>
      </c>
      <c r="P2602">
        <v>223</v>
      </c>
      <c r="Q2602">
        <v>1.2</v>
      </c>
    </row>
    <row r="2603" spans="1:17" x14ac:dyDescent="0.25">
      <c r="A2603">
        <v>795</v>
      </c>
      <c r="B2603" t="s">
        <v>13871</v>
      </c>
      <c r="C2603" t="s">
        <v>13872</v>
      </c>
      <c r="D2603" t="s">
        <v>987</v>
      </c>
      <c r="H2603" t="s">
        <v>2963</v>
      </c>
      <c r="I2603" s="305">
        <v>43924</v>
      </c>
      <c r="K2603" t="s">
        <v>14332</v>
      </c>
      <c r="M2603">
        <v>747</v>
      </c>
      <c r="O2603" t="s">
        <v>12097</v>
      </c>
      <c r="P2603">
        <v>792</v>
      </c>
      <c r="Q2603">
        <v>2.68</v>
      </c>
    </row>
    <row r="2604" spans="1:17" x14ac:dyDescent="0.25">
      <c r="A2604">
        <v>796</v>
      </c>
      <c r="B2604" t="s">
        <v>8613</v>
      </c>
      <c r="C2604" t="s">
        <v>13873</v>
      </c>
      <c r="D2604" t="s">
        <v>5005</v>
      </c>
      <c r="F2604">
        <v>1974</v>
      </c>
      <c r="H2604" t="s">
        <v>2963</v>
      </c>
      <c r="I2604" s="305">
        <v>43892</v>
      </c>
      <c r="K2604" t="s">
        <v>14332</v>
      </c>
      <c r="M2604">
        <v>476</v>
      </c>
      <c r="O2604" t="s">
        <v>12098</v>
      </c>
      <c r="P2604">
        <v>451</v>
      </c>
      <c r="Q2604">
        <v>2.65</v>
      </c>
    </row>
    <row r="2605" spans="1:17" x14ac:dyDescent="0.25">
      <c r="A2605">
        <v>1396</v>
      </c>
      <c r="B2605" t="s">
        <v>13874</v>
      </c>
      <c r="C2605" t="s">
        <v>13875</v>
      </c>
      <c r="D2605" t="s">
        <v>2901</v>
      </c>
      <c r="F2605">
        <v>1953</v>
      </c>
      <c r="H2605" t="s">
        <v>2963</v>
      </c>
      <c r="I2605" s="305">
        <v>43892</v>
      </c>
      <c r="K2605" t="s">
        <v>14332</v>
      </c>
      <c r="M2605">
        <v>403</v>
      </c>
      <c r="O2605" t="s">
        <v>12099</v>
      </c>
      <c r="P2605">
        <v>596</v>
      </c>
      <c r="Q2605">
        <v>4.6500000000000004</v>
      </c>
    </row>
    <row r="2606" spans="1:17" x14ac:dyDescent="0.25">
      <c r="A2606">
        <v>8</v>
      </c>
      <c r="B2606" t="s">
        <v>13876</v>
      </c>
      <c r="C2606" t="s">
        <v>13877</v>
      </c>
      <c r="D2606" t="s">
        <v>987</v>
      </c>
      <c r="H2606" t="s">
        <v>2963</v>
      </c>
      <c r="I2606">
        <v>2</v>
      </c>
      <c r="K2606" t="s">
        <v>14332</v>
      </c>
      <c r="M2606">
        <v>285</v>
      </c>
      <c r="O2606" t="s">
        <v>12100</v>
      </c>
      <c r="P2606">
        <v>349</v>
      </c>
      <c r="Q2606">
        <v>2.93</v>
      </c>
    </row>
    <row r="2607" spans="1:17" x14ac:dyDescent="0.25">
      <c r="A2607">
        <v>763</v>
      </c>
      <c r="B2607" t="s">
        <v>13878</v>
      </c>
      <c r="C2607" t="s">
        <v>13879</v>
      </c>
      <c r="D2607" t="s">
        <v>13880</v>
      </c>
      <c r="E2607" t="s">
        <v>1877</v>
      </c>
      <c r="F2607">
        <v>1978</v>
      </c>
      <c r="H2607" t="s">
        <v>1878</v>
      </c>
      <c r="I2607">
        <v>2</v>
      </c>
      <c r="K2607" t="s">
        <v>14332</v>
      </c>
      <c r="L2607" s="222">
        <v>9783217003668</v>
      </c>
      <c r="M2607">
        <v>251</v>
      </c>
      <c r="O2607" t="s">
        <v>12101</v>
      </c>
      <c r="P2607">
        <v>325</v>
      </c>
      <c r="Q2607">
        <v>4.9000000000000004</v>
      </c>
    </row>
    <row r="2608" spans="1:17" x14ac:dyDescent="0.25">
      <c r="A2608">
        <v>941</v>
      </c>
      <c r="B2608" t="s">
        <v>7779</v>
      </c>
      <c r="C2608" t="s">
        <v>13882</v>
      </c>
      <c r="D2608" t="s">
        <v>13883</v>
      </c>
      <c r="E2608" t="s">
        <v>1913</v>
      </c>
      <c r="F2608">
        <v>1999</v>
      </c>
      <c r="H2608" t="s">
        <v>2963</v>
      </c>
      <c r="I2608">
        <v>2</v>
      </c>
      <c r="K2608" t="s">
        <v>14332</v>
      </c>
      <c r="L2608" s="222">
        <v>9783893503209</v>
      </c>
      <c r="M2608">
        <v>326</v>
      </c>
      <c r="O2608" t="s">
        <v>12102</v>
      </c>
      <c r="P2608">
        <v>466</v>
      </c>
      <c r="Q2608">
        <v>3.38</v>
      </c>
    </row>
    <row r="2609" spans="1:17" x14ac:dyDescent="0.25">
      <c r="A2609">
        <v>947</v>
      </c>
      <c r="B2609" t="s">
        <v>13885</v>
      </c>
      <c r="C2609" t="s">
        <v>13886</v>
      </c>
      <c r="D2609" t="s">
        <v>2151</v>
      </c>
      <c r="H2609" t="s">
        <v>2963</v>
      </c>
      <c r="I2609" s="305">
        <v>43892</v>
      </c>
      <c r="K2609" t="s">
        <v>14332</v>
      </c>
      <c r="L2609" s="222">
        <v>9783811813823</v>
      </c>
      <c r="M2609">
        <v>365</v>
      </c>
      <c r="O2609" t="s">
        <v>12103</v>
      </c>
      <c r="P2609">
        <v>583</v>
      </c>
      <c r="Q2609">
        <v>2.54</v>
      </c>
    </row>
    <row r="2610" spans="1:17" x14ac:dyDescent="0.25">
      <c r="A2610">
        <v>1913</v>
      </c>
      <c r="B2610" t="s">
        <v>13888</v>
      </c>
      <c r="C2610" t="s">
        <v>13889</v>
      </c>
      <c r="D2610" t="s">
        <v>13883</v>
      </c>
      <c r="F2610">
        <v>2007</v>
      </c>
      <c r="H2610" t="s">
        <v>2963</v>
      </c>
      <c r="I2610">
        <v>2</v>
      </c>
      <c r="K2610" t="s">
        <v>14332</v>
      </c>
      <c r="L2610" s="222">
        <v>9783828974586</v>
      </c>
      <c r="M2610">
        <v>764</v>
      </c>
      <c r="O2610" t="s">
        <v>12104</v>
      </c>
      <c r="P2610">
        <v>651</v>
      </c>
      <c r="Q2610">
        <v>7.41</v>
      </c>
    </row>
    <row r="2611" spans="1:17" x14ac:dyDescent="0.25">
      <c r="A2611">
        <v>634</v>
      </c>
      <c r="B2611" t="s">
        <v>2607</v>
      </c>
      <c r="C2611" t="s">
        <v>13891</v>
      </c>
      <c r="D2611" t="s">
        <v>2609</v>
      </c>
      <c r="F2611">
        <v>1985</v>
      </c>
      <c r="H2611" t="s">
        <v>2963</v>
      </c>
      <c r="I2611">
        <v>3</v>
      </c>
      <c r="K2611" t="s">
        <v>14332</v>
      </c>
      <c r="L2611" s="222">
        <v>9783100439093</v>
      </c>
      <c r="M2611">
        <v>177</v>
      </c>
      <c r="O2611" t="s">
        <v>12105</v>
      </c>
      <c r="P2611">
        <v>263</v>
      </c>
      <c r="Q2611">
        <v>5.3</v>
      </c>
    </row>
    <row r="2612" spans="1:17" x14ac:dyDescent="0.25">
      <c r="A2612">
        <v>1927</v>
      </c>
      <c r="B2612" t="s">
        <v>14137</v>
      </c>
      <c r="C2612" t="s">
        <v>14138</v>
      </c>
      <c r="D2612" t="s">
        <v>3629</v>
      </c>
      <c r="F2612">
        <v>1998</v>
      </c>
      <c r="H2612" t="s">
        <v>1878</v>
      </c>
      <c r="I2612">
        <v>3</v>
      </c>
      <c r="K2612" t="s">
        <v>14332</v>
      </c>
      <c r="L2612" s="222">
        <v>9783478812047</v>
      </c>
      <c r="M2612">
        <v>275</v>
      </c>
      <c r="O2612" t="s">
        <v>12106</v>
      </c>
      <c r="P2612">
        <v>188</v>
      </c>
      <c r="Q2612">
        <v>2.7</v>
      </c>
    </row>
    <row r="2613" spans="1:17" x14ac:dyDescent="0.25">
      <c r="A2613">
        <v>735</v>
      </c>
      <c r="B2613" t="s">
        <v>14140</v>
      </c>
      <c r="C2613" t="s">
        <v>14141</v>
      </c>
      <c r="D2613" t="s">
        <v>14142</v>
      </c>
      <c r="H2613" t="s">
        <v>2963</v>
      </c>
      <c r="I2613" s="305">
        <v>43892</v>
      </c>
      <c r="K2613" t="s">
        <v>14332</v>
      </c>
      <c r="M2613">
        <v>302</v>
      </c>
      <c r="O2613" t="s">
        <v>12107</v>
      </c>
      <c r="P2613">
        <v>432</v>
      </c>
      <c r="Q2613">
        <v>2.52</v>
      </c>
    </row>
    <row r="2614" spans="1:17" x14ac:dyDescent="0.25">
      <c r="A2614">
        <v>676</v>
      </c>
      <c r="B2614" t="s">
        <v>14143</v>
      </c>
      <c r="C2614" t="s">
        <v>14144</v>
      </c>
      <c r="D2614" t="s">
        <v>9032</v>
      </c>
      <c r="F2614">
        <v>1983</v>
      </c>
      <c r="H2614" t="s">
        <v>1878</v>
      </c>
      <c r="I2614">
        <v>3</v>
      </c>
      <c r="K2614" t="s">
        <v>14332</v>
      </c>
      <c r="L2614" s="222">
        <v>9783499141553</v>
      </c>
      <c r="M2614">
        <v>236</v>
      </c>
      <c r="O2614" t="s">
        <v>12108</v>
      </c>
      <c r="P2614">
        <v>145</v>
      </c>
      <c r="Q2614">
        <v>1.51</v>
      </c>
    </row>
    <row r="2615" spans="1:17" x14ac:dyDescent="0.25">
      <c r="A2615">
        <v>8</v>
      </c>
      <c r="B2615" t="s">
        <v>14146</v>
      </c>
      <c r="C2615" t="s">
        <v>14147</v>
      </c>
      <c r="D2615" t="s">
        <v>4930</v>
      </c>
      <c r="F2615">
        <v>1978</v>
      </c>
      <c r="H2615" t="s">
        <v>2963</v>
      </c>
      <c r="I2615">
        <v>2</v>
      </c>
      <c r="K2615" t="s">
        <v>14332</v>
      </c>
      <c r="M2615">
        <v>319</v>
      </c>
      <c r="O2615" t="s">
        <v>12109</v>
      </c>
      <c r="P2615">
        <v>482</v>
      </c>
      <c r="Q2615">
        <v>1.43</v>
      </c>
    </row>
    <row r="2616" spans="1:17" x14ac:dyDescent="0.25">
      <c r="A2616">
        <v>8</v>
      </c>
      <c r="B2616" t="s">
        <v>14148</v>
      </c>
      <c r="C2616" t="s">
        <v>14149</v>
      </c>
      <c r="D2616" t="s">
        <v>2609</v>
      </c>
      <c r="F2616">
        <v>1982</v>
      </c>
      <c r="H2616" t="s">
        <v>1878</v>
      </c>
      <c r="I2616">
        <v>4</v>
      </c>
      <c r="K2616" t="s">
        <v>14332</v>
      </c>
      <c r="L2616" s="222">
        <v>9783596200269</v>
      </c>
      <c r="M2616">
        <v>222</v>
      </c>
      <c r="O2616" t="s">
        <v>12110</v>
      </c>
      <c r="P2616">
        <v>114</v>
      </c>
      <c r="Q2616">
        <v>3.39</v>
      </c>
    </row>
    <row r="2617" spans="1:17" x14ac:dyDescent="0.25">
      <c r="A2617">
        <v>674</v>
      </c>
      <c r="B2617" t="s">
        <v>14151</v>
      </c>
      <c r="C2617" t="s">
        <v>14152</v>
      </c>
      <c r="D2617" t="s">
        <v>2609</v>
      </c>
      <c r="F2617">
        <v>1978</v>
      </c>
      <c r="H2617" t="s">
        <v>1878</v>
      </c>
      <c r="I2617">
        <v>3</v>
      </c>
      <c r="J2617" t="s">
        <v>9495</v>
      </c>
      <c r="K2617" t="s">
        <v>14332</v>
      </c>
      <c r="L2617" s="222">
        <v>9783596219360</v>
      </c>
      <c r="M2617">
        <v>242</v>
      </c>
      <c r="O2617" t="s">
        <v>12111</v>
      </c>
      <c r="P2617">
        <v>200</v>
      </c>
      <c r="Q2617">
        <v>1.49</v>
      </c>
    </row>
    <row r="2618" spans="1:17" x14ac:dyDescent="0.25">
      <c r="A2618">
        <v>887</v>
      </c>
      <c r="C2618" t="s">
        <v>14154</v>
      </c>
      <c r="D2618" t="s">
        <v>14155</v>
      </c>
      <c r="F2618">
        <v>1927</v>
      </c>
      <c r="H2618" t="s">
        <v>2963</v>
      </c>
      <c r="I2618">
        <v>2</v>
      </c>
      <c r="K2618" t="s">
        <v>14332</v>
      </c>
      <c r="M2618">
        <v>230</v>
      </c>
      <c r="O2618" t="s">
        <v>12112</v>
      </c>
      <c r="P2618">
        <v>401</v>
      </c>
      <c r="Q2618">
        <v>12.7</v>
      </c>
    </row>
    <row r="2619" spans="1:17" x14ac:dyDescent="0.25">
      <c r="A2619">
        <v>8</v>
      </c>
      <c r="B2619" t="s">
        <v>14156</v>
      </c>
      <c r="C2619" t="s">
        <v>14157</v>
      </c>
      <c r="D2619" t="s">
        <v>2209</v>
      </c>
      <c r="F2619">
        <v>1982</v>
      </c>
      <c r="H2619" t="s">
        <v>1878</v>
      </c>
      <c r="I2619">
        <v>4</v>
      </c>
      <c r="K2619" t="s">
        <v>14332</v>
      </c>
      <c r="L2619" s="222">
        <v>9783453015821</v>
      </c>
      <c r="M2619">
        <v>363</v>
      </c>
      <c r="O2619" t="s">
        <v>12113</v>
      </c>
      <c r="P2619">
        <v>241</v>
      </c>
      <c r="Q2619">
        <v>3.39</v>
      </c>
    </row>
    <row r="2620" spans="1:17" x14ac:dyDescent="0.25">
      <c r="A2620">
        <v>8</v>
      </c>
      <c r="B2620" t="s">
        <v>14159</v>
      </c>
      <c r="C2620" t="s">
        <v>14160</v>
      </c>
      <c r="D2620" t="s">
        <v>4850</v>
      </c>
      <c r="F2620">
        <v>1983</v>
      </c>
      <c r="H2620" t="s">
        <v>2963</v>
      </c>
      <c r="I2620">
        <v>2</v>
      </c>
      <c r="K2620" t="s">
        <v>14332</v>
      </c>
      <c r="L2620" s="222">
        <v>9783784413631</v>
      </c>
      <c r="M2620">
        <v>486</v>
      </c>
      <c r="O2620" t="s">
        <v>12114</v>
      </c>
      <c r="P2620">
        <v>514</v>
      </c>
      <c r="Q2620">
        <v>1.28</v>
      </c>
    </row>
    <row r="2621" spans="1:17" x14ac:dyDescent="0.25">
      <c r="A2621">
        <v>8</v>
      </c>
      <c r="B2621" t="s">
        <v>13874</v>
      </c>
      <c r="C2621" t="s">
        <v>14162</v>
      </c>
      <c r="D2621" t="s">
        <v>2901</v>
      </c>
      <c r="H2621" t="s">
        <v>2963</v>
      </c>
      <c r="I2621">
        <v>2</v>
      </c>
      <c r="K2621" t="s">
        <v>14332</v>
      </c>
      <c r="M2621">
        <v>555</v>
      </c>
      <c r="O2621" t="s">
        <v>12115</v>
      </c>
      <c r="P2621">
        <v>604</v>
      </c>
      <c r="Q2621">
        <v>2.7</v>
      </c>
    </row>
    <row r="2622" spans="1:17" x14ac:dyDescent="0.25">
      <c r="A2622">
        <v>1310</v>
      </c>
      <c r="B2622" t="s">
        <v>2853</v>
      </c>
      <c r="C2622" t="s">
        <v>14163</v>
      </c>
      <c r="D2622" t="s">
        <v>14164</v>
      </c>
      <c r="F2622">
        <v>1949</v>
      </c>
      <c r="G2622" t="s">
        <v>14165</v>
      </c>
      <c r="H2622" t="s">
        <v>2963</v>
      </c>
      <c r="I2622">
        <v>3</v>
      </c>
      <c r="K2622" t="s">
        <v>14332</v>
      </c>
      <c r="M2622">
        <v>223</v>
      </c>
      <c r="O2622" t="s">
        <v>12116</v>
      </c>
      <c r="P2622">
        <v>300</v>
      </c>
      <c r="Q2622">
        <v>3.29</v>
      </c>
    </row>
    <row r="2623" spans="1:17" x14ac:dyDescent="0.25">
      <c r="A2623">
        <v>2514</v>
      </c>
      <c r="B2623" t="s">
        <v>14166</v>
      </c>
      <c r="C2623" t="s">
        <v>14167</v>
      </c>
      <c r="D2623" t="s">
        <v>14168</v>
      </c>
      <c r="F2623">
        <v>2012</v>
      </c>
      <c r="H2623" t="s">
        <v>2963</v>
      </c>
      <c r="I2623">
        <v>2</v>
      </c>
      <c r="K2623" t="s">
        <v>14332</v>
      </c>
      <c r="L2623" s="222">
        <v>9783941443297</v>
      </c>
      <c r="M2623">
        <v>149</v>
      </c>
      <c r="O2623" t="s">
        <v>12117</v>
      </c>
      <c r="P2623">
        <v>214</v>
      </c>
      <c r="Q2623">
        <v>3.74</v>
      </c>
    </row>
    <row r="2624" spans="1:17" x14ac:dyDescent="0.25">
      <c r="A2624">
        <v>1218</v>
      </c>
      <c r="B2624" t="s">
        <v>14170</v>
      </c>
      <c r="C2624" t="s">
        <v>14503</v>
      </c>
      <c r="D2624" t="s">
        <v>14172</v>
      </c>
      <c r="E2624" t="s">
        <v>2175</v>
      </c>
      <c r="F2624">
        <v>1983</v>
      </c>
      <c r="H2624" t="s">
        <v>1878</v>
      </c>
      <c r="I2624">
        <v>2</v>
      </c>
      <c r="K2624" t="s">
        <v>14332</v>
      </c>
      <c r="L2624" s="222">
        <v>9783871736643</v>
      </c>
      <c r="M2624">
        <v>192</v>
      </c>
      <c r="O2624" t="s">
        <v>12118</v>
      </c>
      <c r="P2624">
        <v>277</v>
      </c>
      <c r="Q2624">
        <v>1.69</v>
      </c>
    </row>
    <row r="2625" spans="1:17" x14ac:dyDescent="0.25">
      <c r="A2625">
        <v>926</v>
      </c>
      <c r="B2625" t="s">
        <v>10908</v>
      </c>
      <c r="C2625" t="s">
        <v>14174</v>
      </c>
      <c r="D2625" t="s">
        <v>3030</v>
      </c>
      <c r="E2625" t="s">
        <v>1913</v>
      </c>
      <c r="F2625">
        <v>1983</v>
      </c>
      <c r="H2625" t="s">
        <v>2963</v>
      </c>
      <c r="I2625">
        <v>2</v>
      </c>
      <c r="K2625" t="s">
        <v>14332</v>
      </c>
      <c r="L2625" s="222">
        <v>9783720512671</v>
      </c>
      <c r="M2625">
        <v>204</v>
      </c>
      <c r="O2625" t="s">
        <v>12119</v>
      </c>
      <c r="P2625">
        <v>454</v>
      </c>
      <c r="Q2625">
        <v>5.55</v>
      </c>
    </row>
    <row r="2626" spans="1:17" x14ac:dyDescent="0.25">
      <c r="A2626">
        <v>1913</v>
      </c>
      <c r="B2626" t="s">
        <v>14177</v>
      </c>
      <c r="C2626" t="s">
        <v>14178</v>
      </c>
      <c r="D2626" t="s">
        <v>2257</v>
      </c>
      <c r="E2626" t="s">
        <v>1913</v>
      </c>
      <c r="F2626">
        <v>1997</v>
      </c>
      <c r="H2626" t="s">
        <v>1878</v>
      </c>
      <c r="J2626" t="s">
        <v>9744</v>
      </c>
      <c r="K2626" t="s">
        <v>14332</v>
      </c>
      <c r="L2626" s="222">
        <v>9783426604731</v>
      </c>
      <c r="M2626">
        <v>704</v>
      </c>
      <c r="O2626" t="s">
        <v>12120</v>
      </c>
      <c r="P2626">
        <v>449</v>
      </c>
      <c r="Q2626">
        <v>3.98</v>
      </c>
    </row>
    <row r="2627" spans="1:17" x14ac:dyDescent="0.25">
      <c r="A2627">
        <v>1849</v>
      </c>
      <c r="B2627" t="s">
        <v>14180</v>
      </c>
      <c r="C2627" t="s">
        <v>14181</v>
      </c>
      <c r="F2627">
        <v>1889</v>
      </c>
      <c r="G2627" t="s">
        <v>1097</v>
      </c>
      <c r="H2627" t="s">
        <v>2963</v>
      </c>
      <c r="I2627">
        <v>3</v>
      </c>
      <c r="M2627">
        <v>540</v>
      </c>
      <c r="O2627" t="s">
        <v>12121</v>
      </c>
      <c r="P2627">
        <v>568</v>
      </c>
      <c r="Q2627">
        <v>30.7</v>
      </c>
    </row>
    <row r="2628" spans="1:17" x14ac:dyDescent="0.25">
      <c r="A2628">
        <v>692</v>
      </c>
      <c r="B2628" t="s">
        <v>2935</v>
      </c>
      <c r="C2628" t="s">
        <v>14183</v>
      </c>
      <c r="D2628" t="s">
        <v>2309</v>
      </c>
      <c r="F2628">
        <v>2003</v>
      </c>
      <c r="H2628" t="s">
        <v>1878</v>
      </c>
      <c r="I2628">
        <v>3</v>
      </c>
      <c r="J2628" t="s">
        <v>9196</v>
      </c>
      <c r="K2628" t="s">
        <v>14332</v>
      </c>
      <c r="L2628" s="222">
        <v>9783548255880</v>
      </c>
      <c r="M2628">
        <v>220</v>
      </c>
      <c r="O2628" t="s">
        <v>12122</v>
      </c>
      <c r="P2628">
        <v>219</v>
      </c>
      <c r="Q2628">
        <v>2.33</v>
      </c>
    </row>
    <row r="2629" spans="1:17" x14ac:dyDescent="0.25">
      <c r="A2629">
        <v>1327</v>
      </c>
      <c r="B2629" t="s">
        <v>14185</v>
      </c>
      <c r="C2629" t="s">
        <v>14186</v>
      </c>
      <c r="D2629" t="s">
        <v>14187</v>
      </c>
      <c r="E2629" t="s">
        <v>1877</v>
      </c>
      <c r="F2629">
        <v>1972</v>
      </c>
      <c r="H2629" t="s">
        <v>1878</v>
      </c>
      <c r="I2629">
        <v>3</v>
      </c>
      <c r="J2629" t="s">
        <v>14188</v>
      </c>
      <c r="K2629" t="s">
        <v>14332</v>
      </c>
      <c r="M2629">
        <v>210</v>
      </c>
      <c r="O2629" t="s">
        <v>12123</v>
      </c>
      <c r="P2629">
        <v>157</v>
      </c>
      <c r="Q2629">
        <v>3.4</v>
      </c>
    </row>
    <row r="2630" spans="1:17" x14ac:dyDescent="0.25">
      <c r="A2630">
        <v>1008</v>
      </c>
      <c r="B2630" t="s">
        <v>14504</v>
      </c>
      <c r="C2630" t="s">
        <v>14190</v>
      </c>
      <c r="D2630" t="s">
        <v>9032</v>
      </c>
      <c r="F2630">
        <v>1974</v>
      </c>
      <c r="H2630" t="s">
        <v>1878</v>
      </c>
      <c r="I2630">
        <v>3</v>
      </c>
      <c r="K2630" t="s">
        <v>14332</v>
      </c>
      <c r="L2630" s="222">
        <v>9783499168741</v>
      </c>
      <c r="M2630">
        <v>253</v>
      </c>
      <c r="O2630" t="s">
        <v>12124</v>
      </c>
      <c r="P2630">
        <v>146</v>
      </c>
      <c r="Q2630">
        <v>1.58</v>
      </c>
    </row>
    <row r="2631" spans="1:17" x14ac:dyDescent="0.25">
      <c r="A2631">
        <v>1849</v>
      </c>
      <c r="B2631" t="s">
        <v>14192</v>
      </c>
      <c r="C2631" t="s">
        <v>14193</v>
      </c>
      <c r="D2631" t="s">
        <v>14194</v>
      </c>
      <c r="G2631" t="s">
        <v>14195</v>
      </c>
      <c r="H2631" t="s">
        <v>2963</v>
      </c>
      <c r="I2631">
        <v>3</v>
      </c>
      <c r="M2631">
        <v>377</v>
      </c>
      <c r="O2631" t="s">
        <v>12125</v>
      </c>
      <c r="P2631">
        <v>263</v>
      </c>
      <c r="Q2631">
        <v>20.8</v>
      </c>
    </row>
    <row r="2632" spans="1:17" x14ac:dyDescent="0.25">
      <c r="A2632">
        <v>16</v>
      </c>
      <c r="B2632" t="s">
        <v>14196</v>
      </c>
      <c r="C2632" t="s">
        <v>14197</v>
      </c>
      <c r="D2632" t="s">
        <v>2609</v>
      </c>
      <c r="F2632">
        <v>1980</v>
      </c>
      <c r="G2632" t="s">
        <v>13841</v>
      </c>
      <c r="H2632" t="s">
        <v>1878</v>
      </c>
      <c r="I2632">
        <v>3</v>
      </c>
      <c r="K2632" t="s">
        <v>14332</v>
      </c>
      <c r="L2632" s="222">
        <v>9783596228263</v>
      </c>
      <c r="M2632">
        <v>133</v>
      </c>
      <c r="O2632" t="s">
        <v>12126</v>
      </c>
      <c r="P2632">
        <v>78</v>
      </c>
      <c r="Q2632">
        <v>2.74</v>
      </c>
    </row>
    <row r="2633" spans="1:17" x14ac:dyDescent="0.25">
      <c r="A2633">
        <v>718</v>
      </c>
      <c r="B2633" t="s">
        <v>14199</v>
      </c>
      <c r="C2633" t="s">
        <v>14200</v>
      </c>
      <c r="D2633" t="s">
        <v>14201</v>
      </c>
      <c r="F2633">
        <v>2004</v>
      </c>
      <c r="G2633" t="s">
        <v>13841</v>
      </c>
      <c r="H2633" t="s">
        <v>1878</v>
      </c>
      <c r="I2633">
        <v>2</v>
      </c>
      <c r="K2633" t="s">
        <v>14332</v>
      </c>
      <c r="L2633" s="222">
        <v>9783898463201</v>
      </c>
      <c r="M2633">
        <v>209</v>
      </c>
      <c r="O2633" t="s">
        <v>12127</v>
      </c>
      <c r="P2633">
        <v>300</v>
      </c>
      <c r="Q2633">
        <v>2.59</v>
      </c>
    </row>
    <row r="2634" spans="1:17" x14ac:dyDescent="0.25">
      <c r="A2634">
        <v>1004</v>
      </c>
      <c r="B2634" t="s">
        <v>14203</v>
      </c>
      <c r="C2634" t="s">
        <v>14204</v>
      </c>
      <c r="D2634" t="s">
        <v>14205</v>
      </c>
      <c r="F2634">
        <v>1982</v>
      </c>
      <c r="H2634" t="s">
        <v>1878</v>
      </c>
      <c r="I2634">
        <v>3</v>
      </c>
      <c r="K2634" t="s">
        <v>14332</v>
      </c>
      <c r="L2634" s="222">
        <v>9783502671060</v>
      </c>
      <c r="M2634">
        <v>255</v>
      </c>
      <c r="O2634" t="s">
        <v>12128</v>
      </c>
      <c r="P2634">
        <v>331</v>
      </c>
      <c r="Q2634">
        <v>4.5</v>
      </c>
    </row>
    <row r="2635" spans="1:17" x14ac:dyDescent="0.25">
      <c r="A2635">
        <v>692</v>
      </c>
      <c r="B2635" t="s">
        <v>14207</v>
      </c>
      <c r="C2635" t="s">
        <v>14208</v>
      </c>
      <c r="D2635" t="s">
        <v>1912</v>
      </c>
      <c r="E2635" t="s">
        <v>1913</v>
      </c>
      <c r="F2635">
        <v>1995</v>
      </c>
      <c r="G2635" t="s">
        <v>13845</v>
      </c>
      <c r="H2635" t="s">
        <v>1878</v>
      </c>
      <c r="I2635">
        <v>3</v>
      </c>
      <c r="K2635" t="s">
        <v>14332</v>
      </c>
      <c r="L2635" s="222">
        <v>9783442422883</v>
      </c>
      <c r="M2635">
        <v>252</v>
      </c>
      <c r="O2635" t="s">
        <v>12129</v>
      </c>
      <c r="P2635">
        <v>226</v>
      </c>
      <c r="Q2635">
        <v>1.89</v>
      </c>
    </row>
    <row r="2636" spans="1:17" x14ac:dyDescent="0.25">
      <c r="A2636">
        <v>690</v>
      </c>
      <c r="B2636" t="s">
        <v>13924</v>
      </c>
      <c r="C2636" t="s">
        <v>13925</v>
      </c>
      <c r="D2636" t="s">
        <v>2822</v>
      </c>
      <c r="H2636" t="s">
        <v>1878</v>
      </c>
      <c r="I2636">
        <v>2</v>
      </c>
      <c r="K2636" t="s">
        <v>14332</v>
      </c>
      <c r="L2636" s="222">
        <v>9783522179256</v>
      </c>
      <c r="M2636">
        <v>223</v>
      </c>
      <c r="O2636" t="s">
        <v>12160</v>
      </c>
      <c r="P2636">
        <v>183</v>
      </c>
      <c r="Q2636">
        <v>1.2</v>
      </c>
    </row>
    <row r="2637" spans="1:17" x14ac:dyDescent="0.25">
      <c r="A2637">
        <v>689</v>
      </c>
      <c r="B2637" t="s">
        <v>13927</v>
      </c>
      <c r="C2637" t="s">
        <v>13928</v>
      </c>
      <c r="D2637" t="s">
        <v>3077</v>
      </c>
      <c r="F2637">
        <v>2002</v>
      </c>
      <c r="H2637" t="s">
        <v>1878</v>
      </c>
      <c r="I2637">
        <v>2</v>
      </c>
      <c r="K2637" t="s">
        <v>14332</v>
      </c>
      <c r="L2637" s="222">
        <v>9783442357048</v>
      </c>
      <c r="M2637">
        <v>606</v>
      </c>
      <c r="O2637" t="s">
        <v>12161</v>
      </c>
      <c r="P2637">
        <v>343</v>
      </c>
      <c r="Q2637">
        <v>2.11</v>
      </c>
    </row>
    <row r="2638" spans="1:17" x14ac:dyDescent="0.25">
      <c r="A2638">
        <v>1913</v>
      </c>
      <c r="B2638" t="s">
        <v>13930</v>
      </c>
      <c r="C2638" t="s">
        <v>13931</v>
      </c>
      <c r="D2638" t="s">
        <v>2300</v>
      </c>
      <c r="E2638" t="s">
        <v>1913</v>
      </c>
      <c r="F2638">
        <v>2017</v>
      </c>
      <c r="H2638" t="s">
        <v>2963</v>
      </c>
      <c r="I2638">
        <v>1</v>
      </c>
      <c r="K2638" t="s">
        <v>14332</v>
      </c>
      <c r="L2638" s="222">
        <v>9783498058081</v>
      </c>
      <c r="M2638">
        <v>333</v>
      </c>
      <c r="O2638" t="s">
        <v>12162</v>
      </c>
      <c r="P2638">
        <v>424</v>
      </c>
      <c r="Q2638">
        <v>1.35</v>
      </c>
    </row>
    <row r="2639" spans="1:17" x14ac:dyDescent="0.25">
      <c r="A2639">
        <v>2553</v>
      </c>
      <c r="B2639" t="s">
        <v>13933</v>
      </c>
      <c r="C2639" t="s">
        <v>13934</v>
      </c>
      <c r="D2639" t="s">
        <v>2926</v>
      </c>
      <c r="F2639">
        <v>2016</v>
      </c>
      <c r="H2639" t="s">
        <v>1878</v>
      </c>
      <c r="I2639">
        <v>1</v>
      </c>
      <c r="K2639" t="s">
        <v>14332</v>
      </c>
      <c r="L2639" s="222">
        <v>9783651024472</v>
      </c>
      <c r="M2639">
        <v>652</v>
      </c>
      <c r="O2639" t="s">
        <v>12163</v>
      </c>
      <c r="P2639">
        <v>629</v>
      </c>
      <c r="Q2639">
        <v>1.99</v>
      </c>
    </row>
    <row r="2640" spans="1:17" x14ac:dyDescent="0.25">
      <c r="A2640">
        <v>796</v>
      </c>
      <c r="B2640" t="s">
        <v>13936</v>
      </c>
      <c r="C2640" t="s">
        <v>13937</v>
      </c>
      <c r="D2640" t="s">
        <v>1912</v>
      </c>
      <c r="E2640" t="s">
        <v>4339</v>
      </c>
      <c r="F2640">
        <v>2008</v>
      </c>
      <c r="H2640" t="s">
        <v>1878</v>
      </c>
      <c r="I2640">
        <v>2</v>
      </c>
      <c r="K2640" t="s">
        <v>14332</v>
      </c>
      <c r="L2640" s="222">
        <v>9783442465866</v>
      </c>
      <c r="M2640">
        <v>222</v>
      </c>
      <c r="O2640" t="s">
        <v>12164</v>
      </c>
      <c r="P2640">
        <v>189</v>
      </c>
      <c r="Q2640">
        <v>1.55</v>
      </c>
    </row>
    <row r="2641" spans="1:17" x14ac:dyDescent="0.25">
      <c r="A2641">
        <v>796</v>
      </c>
      <c r="B2641" t="s">
        <v>13936</v>
      </c>
      <c r="C2641" t="s">
        <v>13939</v>
      </c>
      <c r="D2641" t="s">
        <v>1912</v>
      </c>
      <c r="E2641" t="s">
        <v>1877</v>
      </c>
      <c r="F2641">
        <v>2011</v>
      </c>
      <c r="H2641" t="s">
        <v>1878</v>
      </c>
      <c r="I2641">
        <v>2</v>
      </c>
      <c r="K2641" t="s">
        <v>14332</v>
      </c>
      <c r="L2641" s="222">
        <v>9783442472444</v>
      </c>
      <c r="M2641">
        <v>219</v>
      </c>
      <c r="O2641" t="s">
        <v>12165</v>
      </c>
      <c r="P2641">
        <v>219</v>
      </c>
      <c r="Q2641">
        <v>2.11</v>
      </c>
    </row>
    <row r="2642" spans="1:17" x14ac:dyDescent="0.25">
      <c r="A2642">
        <v>852</v>
      </c>
      <c r="B2642" t="s">
        <v>13941</v>
      </c>
      <c r="C2642" t="s">
        <v>13942</v>
      </c>
      <c r="D2642" t="s">
        <v>9690</v>
      </c>
      <c r="E2642" t="s">
        <v>2032</v>
      </c>
      <c r="F2642">
        <v>2012</v>
      </c>
      <c r="H2642" t="s">
        <v>2963</v>
      </c>
      <c r="I2642">
        <v>1</v>
      </c>
      <c r="K2642" t="s">
        <v>14332</v>
      </c>
      <c r="L2642" s="222">
        <v>9783865915832</v>
      </c>
      <c r="M2642">
        <v>318</v>
      </c>
      <c r="O2642" t="s">
        <v>12166</v>
      </c>
      <c r="P2642">
        <v>550</v>
      </c>
      <c r="Q2642">
        <v>1.94</v>
      </c>
    </row>
    <row r="2643" spans="1:17" x14ac:dyDescent="0.25">
      <c r="A2643">
        <v>1386</v>
      </c>
      <c r="B2643" t="s">
        <v>13944</v>
      </c>
      <c r="C2643" t="s">
        <v>13945</v>
      </c>
      <c r="D2643" t="s">
        <v>3077</v>
      </c>
      <c r="E2643" t="s">
        <v>1913</v>
      </c>
      <c r="F2643">
        <v>2014</v>
      </c>
      <c r="H2643" t="s">
        <v>1878</v>
      </c>
      <c r="I2643">
        <v>2</v>
      </c>
      <c r="K2643" t="s">
        <v>14332</v>
      </c>
      <c r="L2643" s="222">
        <v>9783442380817</v>
      </c>
      <c r="M2643">
        <v>542</v>
      </c>
      <c r="O2643" t="s">
        <v>12167</v>
      </c>
      <c r="P2643">
        <v>443</v>
      </c>
      <c r="Q2643">
        <v>2.02</v>
      </c>
    </row>
    <row r="2644" spans="1:17" x14ac:dyDescent="0.25">
      <c r="A2644">
        <v>1719</v>
      </c>
      <c r="B2644" t="s">
        <v>10322</v>
      </c>
      <c r="C2644" t="s">
        <v>13947</v>
      </c>
      <c r="D2644" t="s">
        <v>1912</v>
      </c>
      <c r="F2644">
        <v>2000</v>
      </c>
      <c r="H2644" t="s">
        <v>1878</v>
      </c>
      <c r="I2644">
        <v>3</v>
      </c>
      <c r="K2644" t="s">
        <v>14332</v>
      </c>
      <c r="L2644" s="222">
        <v>9783442445813</v>
      </c>
      <c r="M2644">
        <v>351</v>
      </c>
      <c r="O2644" t="s">
        <v>12168</v>
      </c>
      <c r="P2644">
        <v>310</v>
      </c>
      <c r="Q2644">
        <v>1.4</v>
      </c>
    </row>
    <row r="2645" spans="1:17" x14ac:dyDescent="0.25">
      <c r="A2645">
        <v>1913</v>
      </c>
      <c r="B2645" t="s">
        <v>13949</v>
      </c>
      <c r="C2645" t="s">
        <v>13950</v>
      </c>
      <c r="D2645" t="s">
        <v>5005</v>
      </c>
      <c r="H2645" t="s">
        <v>2963</v>
      </c>
      <c r="I2645">
        <v>2</v>
      </c>
      <c r="K2645" t="s">
        <v>14332</v>
      </c>
      <c r="M2645">
        <v>510</v>
      </c>
      <c r="O2645" t="s">
        <v>12169</v>
      </c>
      <c r="P2645">
        <v>800</v>
      </c>
      <c r="Q2645">
        <v>0.69</v>
      </c>
    </row>
    <row r="2646" spans="1:17" x14ac:dyDescent="0.25">
      <c r="A2646">
        <v>796</v>
      </c>
      <c r="B2646" t="s">
        <v>13951</v>
      </c>
      <c r="C2646" t="s">
        <v>13952</v>
      </c>
      <c r="D2646" t="s">
        <v>2209</v>
      </c>
      <c r="E2646" t="s">
        <v>1913</v>
      </c>
      <c r="F2646">
        <v>2012</v>
      </c>
      <c r="H2646" t="s">
        <v>1878</v>
      </c>
      <c r="I2646">
        <v>3</v>
      </c>
      <c r="K2646" t="s">
        <v>14332</v>
      </c>
      <c r="L2646" s="222">
        <v>9783453409811</v>
      </c>
      <c r="M2646">
        <v>446</v>
      </c>
      <c r="O2646" t="s">
        <v>12170</v>
      </c>
      <c r="P2646">
        <v>371</v>
      </c>
      <c r="Q2646">
        <v>1.5</v>
      </c>
    </row>
    <row r="2647" spans="1:17" x14ac:dyDescent="0.25">
      <c r="A2647">
        <v>796</v>
      </c>
      <c r="B2647" t="s">
        <v>13954</v>
      </c>
      <c r="C2647" t="s">
        <v>13955</v>
      </c>
      <c r="D2647" t="s">
        <v>2424</v>
      </c>
      <c r="E2647" t="s">
        <v>1899</v>
      </c>
      <c r="F2647">
        <v>1999</v>
      </c>
      <c r="H2647" t="s">
        <v>1878</v>
      </c>
      <c r="I2647">
        <v>2</v>
      </c>
      <c r="K2647" t="s">
        <v>14332</v>
      </c>
      <c r="L2647" s="222">
        <v>9783453152779</v>
      </c>
      <c r="M2647">
        <v>560</v>
      </c>
      <c r="O2647" t="s">
        <v>12171</v>
      </c>
      <c r="P2647">
        <v>515</v>
      </c>
      <c r="Q2647">
        <v>1.2</v>
      </c>
    </row>
    <row r="2648" spans="1:17" x14ac:dyDescent="0.25">
      <c r="A2648">
        <v>701</v>
      </c>
      <c r="B2648" t="s">
        <v>3347</v>
      </c>
      <c r="C2648" t="s">
        <v>13957</v>
      </c>
      <c r="D2648" t="s">
        <v>11168</v>
      </c>
      <c r="E2648" t="s">
        <v>1913</v>
      </c>
      <c r="F2648">
        <v>2011</v>
      </c>
      <c r="H2648" t="s">
        <v>2963</v>
      </c>
      <c r="I2648">
        <v>2</v>
      </c>
      <c r="K2648" t="s">
        <v>14332</v>
      </c>
      <c r="L2648" s="222">
        <v>9783463406183</v>
      </c>
      <c r="M2648">
        <v>314</v>
      </c>
      <c r="O2648" t="s">
        <v>12172</v>
      </c>
      <c r="P2648">
        <v>418</v>
      </c>
      <c r="Q2648">
        <v>1.51</v>
      </c>
    </row>
    <row r="2649" spans="1:17" x14ac:dyDescent="0.25">
      <c r="A2649">
        <v>647</v>
      </c>
      <c r="B2649" t="s">
        <v>13959</v>
      </c>
      <c r="C2649" t="s">
        <v>13960</v>
      </c>
      <c r="E2649" t="s">
        <v>1913</v>
      </c>
      <c r="F2649">
        <v>2003</v>
      </c>
      <c r="H2649" t="s">
        <v>1878</v>
      </c>
      <c r="I2649">
        <v>2</v>
      </c>
      <c r="K2649" t="s">
        <v>14332</v>
      </c>
      <c r="L2649" s="222">
        <v>9783934254565</v>
      </c>
      <c r="M2649">
        <v>200</v>
      </c>
      <c r="O2649" t="s">
        <v>12173</v>
      </c>
      <c r="P2649">
        <v>367</v>
      </c>
      <c r="Q2649">
        <v>5.3</v>
      </c>
    </row>
    <row r="2650" spans="1:17" x14ac:dyDescent="0.25">
      <c r="A2650">
        <v>796</v>
      </c>
      <c r="B2650" t="s">
        <v>13962</v>
      </c>
      <c r="C2650" t="s">
        <v>13963</v>
      </c>
      <c r="D2650" t="s">
        <v>10749</v>
      </c>
      <c r="E2650" t="s">
        <v>1913</v>
      </c>
      <c r="F2650">
        <v>2019</v>
      </c>
      <c r="H2650" t="s">
        <v>1878</v>
      </c>
      <c r="I2650">
        <v>1</v>
      </c>
      <c r="K2650" t="s">
        <v>14332</v>
      </c>
      <c r="L2650" s="222">
        <v>9783745700084</v>
      </c>
      <c r="M2650">
        <v>348</v>
      </c>
      <c r="O2650" t="s">
        <v>12174</v>
      </c>
      <c r="P2650">
        <v>303</v>
      </c>
      <c r="Q2650">
        <v>5.97</v>
      </c>
    </row>
    <row r="2651" spans="1:17" x14ac:dyDescent="0.25">
      <c r="A2651">
        <v>796</v>
      </c>
      <c r="B2651" t="s">
        <v>13965</v>
      </c>
      <c r="C2651" t="s">
        <v>13966</v>
      </c>
      <c r="D2651" t="s">
        <v>2257</v>
      </c>
      <c r="E2651" t="s">
        <v>1913</v>
      </c>
      <c r="F2651">
        <v>2015</v>
      </c>
      <c r="H2651" t="s">
        <v>1878</v>
      </c>
      <c r="I2651">
        <v>2</v>
      </c>
      <c r="K2651" t="s">
        <v>14332</v>
      </c>
      <c r="L2651" s="222">
        <v>9783426516478</v>
      </c>
      <c r="M2651">
        <v>491</v>
      </c>
      <c r="O2651" t="s">
        <v>12175</v>
      </c>
      <c r="P2651">
        <v>493</v>
      </c>
      <c r="Q2651">
        <v>2.2999999999999998</v>
      </c>
    </row>
    <row r="2652" spans="1:17" x14ac:dyDescent="0.25">
      <c r="A2652">
        <v>2943</v>
      </c>
      <c r="B2652" t="s">
        <v>13968</v>
      </c>
      <c r="C2652" t="s">
        <v>13969</v>
      </c>
      <c r="D2652" t="s">
        <v>13970</v>
      </c>
      <c r="F2652">
        <v>2012</v>
      </c>
      <c r="H2652" t="s">
        <v>1878</v>
      </c>
      <c r="I2652">
        <v>1</v>
      </c>
      <c r="K2652" t="s">
        <v>14332</v>
      </c>
      <c r="L2652" s="222">
        <v>9783793422297</v>
      </c>
      <c r="M2652">
        <v>348</v>
      </c>
      <c r="O2652" t="s">
        <v>12176</v>
      </c>
      <c r="P2652">
        <v>476</v>
      </c>
      <c r="Q2652">
        <v>4.75</v>
      </c>
    </row>
    <row r="2653" spans="1:17" x14ac:dyDescent="0.25">
      <c r="A2653">
        <v>701</v>
      </c>
      <c r="B2653" t="s">
        <v>13972</v>
      </c>
      <c r="C2653" t="s">
        <v>13973</v>
      </c>
      <c r="D2653" t="s">
        <v>2926</v>
      </c>
      <c r="E2653" t="s">
        <v>2922</v>
      </c>
      <c r="F2653">
        <v>2008</v>
      </c>
      <c r="H2653" t="s">
        <v>1878</v>
      </c>
      <c r="I2653">
        <v>2</v>
      </c>
      <c r="K2653" t="s">
        <v>14332</v>
      </c>
      <c r="L2653" s="222">
        <v>9783502110385</v>
      </c>
      <c r="M2653">
        <v>333</v>
      </c>
      <c r="O2653" t="s">
        <v>12177</v>
      </c>
      <c r="P2653">
        <v>421</v>
      </c>
      <c r="Q2653">
        <v>0.36</v>
      </c>
    </row>
    <row r="2654" spans="1:17" x14ac:dyDescent="0.25">
      <c r="A2654">
        <v>591</v>
      </c>
      <c r="B2654" t="s">
        <v>13975</v>
      </c>
      <c r="C2654" t="s">
        <v>13976</v>
      </c>
      <c r="D2654" t="s">
        <v>13977</v>
      </c>
      <c r="F2654">
        <v>2005</v>
      </c>
      <c r="H2654" t="s">
        <v>1878</v>
      </c>
      <c r="I2654">
        <v>2</v>
      </c>
      <c r="K2654" t="s">
        <v>14332</v>
      </c>
      <c r="L2654" s="222">
        <v>9783778772980</v>
      </c>
      <c r="M2654">
        <v>229</v>
      </c>
      <c r="O2654" t="s">
        <v>12178</v>
      </c>
      <c r="P2654">
        <v>265</v>
      </c>
      <c r="Q2654">
        <v>4.03</v>
      </c>
    </row>
    <row r="2655" spans="1:17" x14ac:dyDescent="0.25">
      <c r="A2655">
        <v>2553</v>
      </c>
      <c r="B2655" t="s">
        <v>2203</v>
      </c>
      <c r="C2655" t="s">
        <v>13979</v>
      </c>
      <c r="D2655" t="s">
        <v>2209</v>
      </c>
      <c r="F2655">
        <v>2003</v>
      </c>
      <c r="H2655" t="s">
        <v>2963</v>
      </c>
      <c r="I2655">
        <v>2</v>
      </c>
      <c r="K2655" t="s">
        <v>14332</v>
      </c>
      <c r="L2655" s="222">
        <v>9783453868601</v>
      </c>
      <c r="M2655">
        <v>751</v>
      </c>
      <c r="O2655" t="s">
        <v>12179</v>
      </c>
      <c r="P2655">
        <v>855</v>
      </c>
      <c r="Q2655">
        <v>2.84</v>
      </c>
    </row>
    <row r="2656" spans="1:17" x14ac:dyDescent="0.25">
      <c r="A2656">
        <v>689</v>
      </c>
      <c r="B2656" t="s">
        <v>13981</v>
      </c>
      <c r="C2656" t="s">
        <v>13982</v>
      </c>
      <c r="D2656" t="s">
        <v>2835</v>
      </c>
      <c r="E2656" t="s">
        <v>1913</v>
      </c>
      <c r="F2656">
        <v>2005</v>
      </c>
      <c r="H2656" t="s">
        <v>1878</v>
      </c>
      <c r="I2656">
        <v>2</v>
      </c>
      <c r="K2656" t="s">
        <v>14332</v>
      </c>
      <c r="L2656" s="222">
        <v>9783518458006</v>
      </c>
      <c r="M2656">
        <v>562</v>
      </c>
      <c r="O2656" t="s">
        <v>12180</v>
      </c>
      <c r="P2656">
        <v>528</v>
      </c>
      <c r="Q2656">
        <v>0.91</v>
      </c>
    </row>
    <row r="2657" spans="1:17" x14ac:dyDescent="0.25">
      <c r="A2657">
        <v>632</v>
      </c>
      <c r="B2657" t="s">
        <v>3233</v>
      </c>
      <c r="C2657" t="s">
        <v>3908</v>
      </c>
      <c r="D2657" t="s">
        <v>2257</v>
      </c>
      <c r="F2657">
        <v>2005</v>
      </c>
      <c r="H2657" t="s">
        <v>1878</v>
      </c>
      <c r="I2657">
        <v>2</v>
      </c>
      <c r="K2657" t="s">
        <v>14332</v>
      </c>
      <c r="L2657" s="222">
        <v>9783426629345</v>
      </c>
      <c r="M2657">
        <v>606</v>
      </c>
      <c r="O2657" t="s">
        <v>12181</v>
      </c>
      <c r="P2657">
        <v>458</v>
      </c>
      <c r="Q2657">
        <v>1.9</v>
      </c>
    </row>
    <row r="2658" spans="1:17" x14ac:dyDescent="0.25">
      <c r="A2658">
        <v>229</v>
      </c>
      <c r="B2658" t="s">
        <v>13984</v>
      </c>
      <c r="C2658" t="s">
        <v>13985</v>
      </c>
      <c r="D2658" t="s">
        <v>13986</v>
      </c>
      <c r="E2658" t="s">
        <v>1899</v>
      </c>
      <c r="F2658">
        <v>1991</v>
      </c>
      <c r="H2658" t="s">
        <v>1878</v>
      </c>
      <c r="I2658">
        <v>1</v>
      </c>
      <c r="K2658" t="s">
        <v>14332</v>
      </c>
      <c r="L2658" s="222">
        <v>9783821700823</v>
      </c>
      <c r="M2658">
        <v>214</v>
      </c>
      <c r="O2658" t="s">
        <v>12182</v>
      </c>
      <c r="P2658">
        <v>299</v>
      </c>
      <c r="Q2658">
        <v>6.8</v>
      </c>
    </row>
    <row r="2659" spans="1:17" x14ac:dyDescent="0.25">
      <c r="A2659">
        <v>766</v>
      </c>
      <c r="B2659" t="s">
        <v>13988</v>
      </c>
      <c r="C2659" t="s">
        <v>13989</v>
      </c>
      <c r="D2659" t="s">
        <v>13990</v>
      </c>
      <c r="E2659" t="s">
        <v>2518</v>
      </c>
      <c r="F2659">
        <v>2008</v>
      </c>
      <c r="H2659" t="s">
        <v>2963</v>
      </c>
      <c r="I2659">
        <v>2</v>
      </c>
      <c r="K2659" t="s">
        <v>14332</v>
      </c>
      <c r="L2659" s="222">
        <v>9783579069807</v>
      </c>
      <c r="M2659">
        <v>190</v>
      </c>
      <c r="O2659" t="s">
        <v>12183</v>
      </c>
      <c r="P2659">
        <v>238</v>
      </c>
      <c r="Q2659">
        <v>2.0099999999999998</v>
      </c>
    </row>
    <row r="2660" spans="1:17" x14ac:dyDescent="0.25">
      <c r="A2660">
        <v>1396</v>
      </c>
      <c r="B2660" t="s">
        <v>13992</v>
      </c>
      <c r="C2660" t="s">
        <v>14505</v>
      </c>
      <c r="D2660" t="s">
        <v>2232</v>
      </c>
      <c r="E2660" t="s">
        <v>2375</v>
      </c>
      <c r="F2660">
        <v>1997</v>
      </c>
      <c r="H2660" t="s">
        <v>1878</v>
      </c>
      <c r="I2660">
        <v>2</v>
      </c>
      <c r="K2660" t="s">
        <v>14332</v>
      </c>
      <c r="L2660" s="222">
        <v>9783442721610</v>
      </c>
      <c r="M2660">
        <v>477</v>
      </c>
      <c r="O2660" t="s">
        <v>12184</v>
      </c>
      <c r="P2660">
        <v>410</v>
      </c>
      <c r="Q2660">
        <v>1.23</v>
      </c>
    </row>
    <row r="2661" spans="1:17" x14ac:dyDescent="0.25">
      <c r="A2661">
        <v>968</v>
      </c>
      <c r="B2661" t="s">
        <v>13995</v>
      </c>
      <c r="C2661" t="s">
        <v>13996</v>
      </c>
      <c r="D2661" t="s">
        <v>13997</v>
      </c>
      <c r="F2661">
        <v>2014</v>
      </c>
      <c r="H2661" t="s">
        <v>1878</v>
      </c>
      <c r="I2661">
        <v>2</v>
      </c>
      <c r="K2661" t="s">
        <v>14339</v>
      </c>
      <c r="L2661" s="222">
        <v>9780099594734</v>
      </c>
      <c r="M2661">
        <v>377</v>
      </c>
      <c r="O2661" t="s">
        <v>12185</v>
      </c>
      <c r="P2661">
        <v>280</v>
      </c>
      <c r="Q2661">
        <v>1.45</v>
      </c>
    </row>
    <row r="2662" spans="1:17" x14ac:dyDescent="0.25">
      <c r="A2662">
        <v>701</v>
      </c>
      <c r="B2662" t="s">
        <v>8551</v>
      </c>
      <c r="C2662" t="s">
        <v>13999</v>
      </c>
      <c r="D2662" t="s">
        <v>2609</v>
      </c>
      <c r="E2662" t="s">
        <v>2412</v>
      </c>
      <c r="F2662">
        <v>2014</v>
      </c>
      <c r="H2662" t="s">
        <v>1878</v>
      </c>
      <c r="I2662">
        <v>2</v>
      </c>
      <c r="K2662" t="s">
        <v>14332</v>
      </c>
      <c r="L2662" s="222">
        <v>9783596195367</v>
      </c>
      <c r="M2662">
        <v>397</v>
      </c>
      <c r="O2662" t="s">
        <v>12186</v>
      </c>
      <c r="P2662">
        <v>409</v>
      </c>
      <c r="Q2662">
        <v>2.0099999999999998</v>
      </c>
    </row>
    <row r="2663" spans="1:17" x14ac:dyDescent="0.25">
      <c r="A2663">
        <v>1927</v>
      </c>
      <c r="B2663" t="s">
        <v>4179</v>
      </c>
      <c r="C2663" t="s">
        <v>14000</v>
      </c>
      <c r="D2663" t="s">
        <v>4181</v>
      </c>
      <c r="H2663" t="s">
        <v>2963</v>
      </c>
      <c r="I2663">
        <v>2</v>
      </c>
      <c r="K2663" t="s">
        <v>14332</v>
      </c>
      <c r="L2663" s="222">
        <v>9783841902399</v>
      </c>
      <c r="M2663">
        <v>237</v>
      </c>
      <c r="O2663" t="s">
        <v>12187</v>
      </c>
      <c r="P2663">
        <v>457</v>
      </c>
      <c r="Q2663">
        <v>1.96</v>
      </c>
    </row>
    <row r="2664" spans="1:17" x14ac:dyDescent="0.25">
      <c r="A2664">
        <v>1921</v>
      </c>
      <c r="B2664" t="s">
        <v>14002</v>
      </c>
      <c r="C2664" t="s">
        <v>14003</v>
      </c>
      <c r="D2664" t="s">
        <v>14004</v>
      </c>
      <c r="F2664">
        <v>2002</v>
      </c>
      <c r="H2664" t="s">
        <v>1878</v>
      </c>
      <c r="I2664">
        <v>3</v>
      </c>
      <c r="K2664" t="s">
        <v>14332</v>
      </c>
      <c r="L2664" s="222">
        <v>9783931786250</v>
      </c>
      <c r="M2664">
        <v>127</v>
      </c>
      <c r="O2664" t="s">
        <v>12188</v>
      </c>
      <c r="P2664">
        <v>179</v>
      </c>
      <c r="Q2664">
        <v>4.0999999999999996</v>
      </c>
    </row>
    <row r="2665" spans="1:17" x14ac:dyDescent="0.25">
      <c r="A2665">
        <v>692</v>
      </c>
      <c r="B2665" t="s">
        <v>14006</v>
      </c>
      <c r="C2665" t="s">
        <v>14007</v>
      </c>
      <c r="D2665" t="s">
        <v>1988</v>
      </c>
      <c r="F2665">
        <v>2012</v>
      </c>
      <c r="H2665" t="s">
        <v>1878</v>
      </c>
      <c r="I2665">
        <v>2</v>
      </c>
      <c r="K2665" t="s">
        <v>14332</v>
      </c>
      <c r="L2665" s="222">
        <v>9783423214070</v>
      </c>
      <c r="M2665">
        <v>278</v>
      </c>
      <c r="O2665" t="s">
        <v>12189</v>
      </c>
      <c r="P2665">
        <v>252</v>
      </c>
      <c r="Q2665">
        <v>1.55</v>
      </c>
    </row>
    <row r="2666" spans="1:17" x14ac:dyDescent="0.25">
      <c r="A2666">
        <v>690</v>
      </c>
      <c r="B2666" t="s">
        <v>14009</v>
      </c>
      <c r="C2666" t="s">
        <v>14010</v>
      </c>
      <c r="D2666" t="s">
        <v>14011</v>
      </c>
      <c r="E2666" t="s">
        <v>1913</v>
      </c>
      <c r="F2666">
        <v>2002</v>
      </c>
      <c r="H2666" t="s">
        <v>1878</v>
      </c>
      <c r="I2666">
        <v>2</v>
      </c>
      <c r="K2666" t="s">
        <v>14332</v>
      </c>
      <c r="L2666" s="222">
        <v>9783423706803</v>
      </c>
      <c r="M2666">
        <v>126</v>
      </c>
      <c r="O2666" t="s">
        <v>12190</v>
      </c>
      <c r="P2666">
        <v>147</v>
      </c>
      <c r="Q2666">
        <v>3.18</v>
      </c>
    </row>
    <row r="2667" spans="1:17" x14ac:dyDescent="0.25">
      <c r="A2667">
        <v>1396</v>
      </c>
      <c r="B2667" t="s">
        <v>14013</v>
      </c>
      <c r="C2667" t="s">
        <v>14014</v>
      </c>
      <c r="D2667" t="s">
        <v>14015</v>
      </c>
      <c r="F2667">
        <v>2011</v>
      </c>
      <c r="H2667" t="s">
        <v>1878</v>
      </c>
      <c r="I2667">
        <v>2</v>
      </c>
      <c r="K2667" t="s">
        <v>14332</v>
      </c>
      <c r="L2667" s="222">
        <v>9783868007800</v>
      </c>
      <c r="M2667">
        <v>301</v>
      </c>
      <c r="O2667" t="s">
        <v>12191</v>
      </c>
      <c r="P2667">
        <v>303</v>
      </c>
      <c r="Q2667">
        <v>0.87</v>
      </c>
    </row>
    <row r="2668" spans="1:17" x14ac:dyDescent="0.25">
      <c r="A2668">
        <v>610</v>
      </c>
      <c r="B2668" t="s">
        <v>14017</v>
      </c>
      <c r="C2668" t="s">
        <v>14018</v>
      </c>
      <c r="D2668" t="s">
        <v>14019</v>
      </c>
      <c r="E2668" t="s">
        <v>2032</v>
      </c>
      <c r="F2668">
        <v>1998</v>
      </c>
      <c r="H2668" t="s">
        <v>1878</v>
      </c>
      <c r="I2668">
        <v>2</v>
      </c>
      <c r="K2668" t="s">
        <v>14332</v>
      </c>
      <c r="L2668" s="222">
        <v>9783442132805</v>
      </c>
      <c r="M2668">
        <v>235</v>
      </c>
      <c r="O2668" t="s">
        <v>12192</v>
      </c>
      <c r="P2668">
        <v>203</v>
      </c>
      <c r="Q2668">
        <v>6.22</v>
      </c>
    </row>
    <row r="2669" spans="1:17" x14ac:dyDescent="0.25">
      <c r="A2669">
        <v>796</v>
      </c>
      <c r="B2669" t="s">
        <v>5827</v>
      </c>
      <c r="C2669" t="s">
        <v>14021</v>
      </c>
      <c r="D2669" t="s">
        <v>9119</v>
      </c>
      <c r="E2669" t="s">
        <v>1877</v>
      </c>
      <c r="F2669">
        <v>2010</v>
      </c>
      <c r="H2669" t="s">
        <v>1878</v>
      </c>
      <c r="I2669">
        <v>2</v>
      </c>
      <c r="K2669" t="s">
        <v>14332</v>
      </c>
      <c r="L2669" s="222">
        <v>9783462042450</v>
      </c>
      <c r="M2669">
        <v>361</v>
      </c>
      <c r="O2669" t="s">
        <v>12193</v>
      </c>
      <c r="P2669">
        <v>284</v>
      </c>
      <c r="Q2669">
        <v>0.71</v>
      </c>
    </row>
    <row r="2670" spans="1:17" x14ac:dyDescent="0.25">
      <c r="A2670">
        <v>968</v>
      </c>
      <c r="B2670" t="s">
        <v>14023</v>
      </c>
      <c r="C2670" t="s">
        <v>14024</v>
      </c>
      <c r="D2670" t="s">
        <v>14025</v>
      </c>
      <c r="F2670">
        <v>2003</v>
      </c>
      <c r="H2670" t="s">
        <v>1878</v>
      </c>
      <c r="I2670" s="305">
        <v>43892</v>
      </c>
      <c r="K2670" t="s">
        <v>14339</v>
      </c>
      <c r="L2670" s="222">
        <v>9780743483780</v>
      </c>
      <c r="O2670" t="s">
        <v>12194</v>
      </c>
      <c r="P2670">
        <v>238</v>
      </c>
      <c r="Q2670">
        <v>2.78</v>
      </c>
    </row>
    <row r="2671" spans="1:17" x14ac:dyDescent="0.25">
      <c r="A2671">
        <v>1324</v>
      </c>
      <c r="B2671" t="s">
        <v>14027</v>
      </c>
      <c r="C2671" t="s">
        <v>14028</v>
      </c>
      <c r="D2671" t="s">
        <v>11031</v>
      </c>
      <c r="E2671" t="s">
        <v>2175</v>
      </c>
      <c r="F2671">
        <v>2003</v>
      </c>
      <c r="H2671" t="s">
        <v>1878</v>
      </c>
      <c r="I2671">
        <v>2</v>
      </c>
      <c r="K2671" t="s">
        <v>14332</v>
      </c>
      <c r="L2671" s="222">
        <v>9783830432401</v>
      </c>
      <c r="M2671">
        <v>143</v>
      </c>
      <c r="O2671" t="s">
        <v>12195</v>
      </c>
      <c r="P2671">
        <v>325</v>
      </c>
      <c r="Q2671">
        <v>1.56</v>
      </c>
    </row>
    <row r="2672" spans="1:17" x14ac:dyDescent="0.25">
      <c r="A2672">
        <v>701</v>
      </c>
      <c r="B2672" t="s">
        <v>14030</v>
      </c>
      <c r="C2672" t="s">
        <v>14031</v>
      </c>
      <c r="D2672" t="s">
        <v>14032</v>
      </c>
      <c r="E2672" t="s">
        <v>1913</v>
      </c>
      <c r="F2672">
        <v>2005</v>
      </c>
      <c r="H2672" t="s">
        <v>1878</v>
      </c>
      <c r="I2672">
        <v>2</v>
      </c>
      <c r="J2672" t="s">
        <v>9196</v>
      </c>
      <c r="K2672" t="s">
        <v>14332</v>
      </c>
      <c r="L2672" s="222">
        <v>9783442459674</v>
      </c>
      <c r="M2672">
        <v>253</v>
      </c>
      <c r="O2672" t="s">
        <v>12196</v>
      </c>
      <c r="P2672">
        <v>203</v>
      </c>
      <c r="Q2672">
        <v>1.2</v>
      </c>
    </row>
    <row r="2673" spans="1:17" x14ac:dyDescent="0.25">
      <c r="A2673">
        <v>2518</v>
      </c>
      <c r="B2673" t="s">
        <v>10994</v>
      </c>
      <c r="C2673" t="s">
        <v>14034</v>
      </c>
      <c r="D2673" t="s">
        <v>1988</v>
      </c>
      <c r="F2673">
        <v>2014</v>
      </c>
      <c r="H2673" t="s">
        <v>1878</v>
      </c>
      <c r="I2673" s="305">
        <v>43892</v>
      </c>
      <c r="K2673" t="s">
        <v>14332</v>
      </c>
      <c r="L2673" s="222">
        <v>9783423214988</v>
      </c>
      <c r="M2673">
        <v>238</v>
      </c>
      <c r="O2673" t="s">
        <v>12197</v>
      </c>
      <c r="P2673">
        <v>233</v>
      </c>
      <c r="Q2673">
        <v>2.7</v>
      </c>
    </row>
    <row r="2674" spans="1:17" x14ac:dyDescent="0.25">
      <c r="A2674">
        <v>8</v>
      </c>
      <c r="B2674" t="s">
        <v>14036</v>
      </c>
      <c r="C2674" t="s">
        <v>14037</v>
      </c>
      <c r="D2674" t="s">
        <v>1988</v>
      </c>
      <c r="E2674" t="s">
        <v>1913</v>
      </c>
      <c r="F2674">
        <v>2009</v>
      </c>
      <c r="H2674" t="s">
        <v>1878</v>
      </c>
      <c r="I2674">
        <v>2</v>
      </c>
      <c r="K2674" t="s">
        <v>14332</v>
      </c>
      <c r="L2674" s="222">
        <v>9783423247436</v>
      </c>
      <c r="M2674">
        <v>153</v>
      </c>
      <c r="O2674" t="s">
        <v>12198</v>
      </c>
      <c r="P2674">
        <v>258</v>
      </c>
      <c r="Q2674">
        <v>1.2</v>
      </c>
    </row>
    <row r="2675" spans="1:17" x14ac:dyDescent="0.25">
      <c r="A2675">
        <v>796</v>
      </c>
      <c r="B2675" t="s">
        <v>13327</v>
      </c>
      <c r="C2675" t="s">
        <v>14039</v>
      </c>
      <c r="D2675" t="s">
        <v>1988</v>
      </c>
      <c r="E2675" t="s">
        <v>2375</v>
      </c>
      <c r="F2675">
        <v>2012</v>
      </c>
      <c r="H2675" t="s">
        <v>1878</v>
      </c>
      <c r="I2675">
        <v>3</v>
      </c>
      <c r="K2675" t="s">
        <v>14332</v>
      </c>
      <c r="L2675" s="222">
        <v>9783423129916</v>
      </c>
      <c r="M2675">
        <v>335</v>
      </c>
      <c r="O2675" t="s">
        <v>12199</v>
      </c>
      <c r="P2675">
        <v>284</v>
      </c>
      <c r="Q2675">
        <v>1.79</v>
      </c>
    </row>
    <row r="2676" spans="1:17" x14ac:dyDescent="0.25">
      <c r="A2676">
        <v>1315</v>
      </c>
      <c r="B2676" t="s">
        <v>13753</v>
      </c>
      <c r="C2676" t="s">
        <v>13754</v>
      </c>
      <c r="D2676" t="s">
        <v>1979</v>
      </c>
      <c r="F2676">
        <v>1999</v>
      </c>
      <c r="H2676" t="s">
        <v>1878</v>
      </c>
      <c r="I2676">
        <v>2</v>
      </c>
      <c r="K2676" t="s">
        <v>14332</v>
      </c>
      <c r="L2676" s="222">
        <v>9783473581092</v>
      </c>
      <c r="M2676">
        <v>192</v>
      </c>
      <c r="O2676" t="s">
        <v>12200</v>
      </c>
      <c r="P2676">
        <v>188</v>
      </c>
      <c r="Q2676">
        <v>1.93</v>
      </c>
    </row>
    <row r="2677" spans="1:17" x14ac:dyDescent="0.25">
      <c r="A2677">
        <v>692</v>
      </c>
      <c r="B2677" t="s">
        <v>13756</v>
      </c>
      <c r="C2677" t="s">
        <v>13757</v>
      </c>
      <c r="D2677" t="s">
        <v>13616</v>
      </c>
      <c r="E2677" t="s">
        <v>1913</v>
      </c>
      <c r="F2677">
        <v>2015</v>
      </c>
      <c r="H2677" t="s">
        <v>1878</v>
      </c>
      <c r="I2677">
        <v>2</v>
      </c>
      <c r="K2677" t="s">
        <v>14332</v>
      </c>
      <c r="L2677" s="222">
        <v>9783746631349</v>
      </c>
      <c r="M2677">
        <v>352</v>
      </c>
      <c r="O2677" t="s">
        <v>12201</v>
      </c>
      <c r="P2677">
        <v>284</v>
      </c>
      <c r="Q2677">
        <v>0.7</v>
      </c>
    </row>
    <row r="2678" spans="1:17" x14ac:dyDescent="0.25">
      <c r="A2678">
        <v>796</v>
      </c>
      <c r="B2678" t="s">
        <v>13759</v>
      </c>
      <c r="C2678" t="s">
        <v>13760</v>
      </c>
      <c r="D2678" t="s">
        <v>1920</v>
      </c>
      <c r="F2678">
        <v>2014</v>
      </c>
      <c r="H2678" t="s">
        <v>1878</v>
      </c>
      <c r="I2678">
        <v>2</v>
      </c>
      <c r="K2678" t="s">
        <v>14332</v>
      </c>
      <c r="L2678" s="222">
        <v>9783404175840</v>
      </c>
      <c r="M2678">
        <v>400</v>
      </c>
      <c r="O2678" t="s">
        <v>12202</v>
      </c>
      <c r="P2678">
        <v>399</v>
      </c>
      <c r="Q2678">
        <v>4.8899999999999997</v>
      </c>
    </row>
    <row r="2679" spans="1:17" x14ac:dyDescent="0.25">
      <c r="A2679">
        <v>796</v>
      </c>
      <c r="B2679" t="s">
        <v>13762</v>
      </c>
      <c r="C2679" t="s">
        <v>13763</v>
      </c>
      <c r="D2679" t="s">
        <v>1912</v>
      </c>
      <c r="E2679" t="s">
        <v>3731</v>
      </c>
      <c r="F2679">
        <v>2008</v>
      </c>
      <c r="H2679" t="s">
        <v>1878</v>
      </c>
      <c r="I2679">
        <v>2</v>
      </c>
      <c r="K2679" t="s">
        <v>14332</v>
      </c>
      <c r="L2679" s="222">
        <v>9783442218240</v>
      </c>
      <c r="M2679">
        <v>480</v>
      </c>
      <c r="O2679" t="s">
        <v>12203</v>
      </c>
      <c r="P2679">
        <v>395</v>
      </c>
      <c r="Q2679">
        <v>2.23</v>
      </c>
    </row>
    <row r="2680" spans="1:17" x14ac:dyDescent="0.25">
      <c r="A2680">
        <v>1386</v>
      </c>
      <c r="B2680" t="s">
        <v>13765</v>
      </c>
      <c r="C2680" t="s">
        <v>13766</v>
      </c>
      <c r="D2680" t="s">
        <v>9919</v>
      </c>
      <c r="F2680">
        <v>2016</v>
      </c>
      <c r="H2680" t="s">
        <v>1878</v>
      </c>
      <c r="I2680">
        <v>2</v>
      </c>
      <c r="J2680" t="s">
        <v>3854</v>
      </c>
      <c r="K2680" t="s">
        <v>14332</v>
      </c>
      <c r="L2680" s="222">
        <v>9783736301283</v>
      </c>
      <c r="M2680">
        <v>336</v>
      </c>
      <c r="O2680" t="s">
        <v>12204</v>
      </c>
      <c r="P2680">
        <v>425</v>
      </c>
      <c r="Q2680">
        <v>3.72</v>
      </c>
    </row>
    <row r="2681" spans="1:17" x14ac:dyDescent="0.25">
      <c r="A2681">
        <v>2547</v>
      </c>
      <c r="B2681" t="s">
        <v>4071</v>
      </c>
      <c r="C2681" t="s">
        <v>11559</v>
      </c>
      <c r="D2681" t="s">
        <v>1912</v>
      </c>
      <c r="E2681" t="s">
        <v>13768</v>
      </c>
      <c r="F2681">
        <v>1996</v>
      </c>
      <c r="H2681" t="s">
        <v>1878</v>
      </c>
      <c r="I2681">
        <v>2</v>
      </c>
      <c r="K2681" t="s">
        <v>14332</v>
      </c>
      <c r="L2681" s="222">
        <v>9783442413508</v>
      </c>
      <c r="M2681">
        <v>480</v>
      </c>
      <c r="O2681" t="s">
        <v>12205</v>
      </c>
      <c r="P2681">
        <v>317</v>
      </c>
      <c r="Q2681">
        <v>1.19</v>
      </c>
    </row>
    <row r="2682" spans="1:17" x14ac:dyDescent="0.25">
      <c r="A2682">
        <v>1386</v>
      </c>
      <c r="B2682" t="s">
        <v>7334</v>
      </c>
      <c r="C2682" t="s">
        <v>8640</v>
      </c>
      <c r="D2682" t="s">
        <v>2300</v>
      </c>
      <c r="F2682">
        <v>1994</v>
      </c>
      <c r="H2682" t="s">
        <v>1878</v>
      </c>
      <c r="I2682">
        <v>2</v>
      </c>
      <c r="K2682" t="s">
        <v>14332</v>
      </c>
      <c r="L2682" s="222">
        <v>9783499129605</v>
      </c>
      <c r="M2682">
        <v>224</v>
      </c>
      <c r="O2682" t="s">
        <v>12206</v>
      </c>
      <c r="P2682">
        <v>185</v>
      </c>
      <c r="Q2682">
        <v>1.19</v>
      </c>
    </row>
    <row r="2683" spans="1:17" x14ac:dyDescent="0.25">
      <c r="A2683">
        <v>1396</v>
      </c>
      <c r="B2683" t="s">
        <v>13770</v>
      </c>
      <c r="C2683" t="s">
        <v>13771</v>
      </c>
      <c r="D2683" t="s">
        <v>2054</v>
      </c>
      <c r="H2683" t="s">
        <v>2734</v>
      </c>
      <c r="I2683">
        <v>2</v>
      </c>
      <c r="K2683" t="s">
        <v>14332</v>
      </c>
      <c r="L2683" s="222">
        <v>4026411391991</v>
      </c>
      <c r="M2683">
        <v>226</v>
      </c>
      <c r="O2683" t="s">
        <v>12207</v>
      </c>
      <c r="P2683">
        <v>294</v>
      </c>
      <c r="Q2683">
        <v>2.8</v>
      </c>
    </row>
    <row r="2684" spans="1:17" x14ac:dyDescent="0.25">
      <c r="A2684">
        <v>796</v>
      </c>
      <c r="B2684" t="s">
        <v>13770</v>
      </c>
      <c r="C2684" t="s">
        <v>13773</v>
      </c>
      <c r="H2684" t="s">
        <v>2734</v>
      </c>
      <c r="I2684">
        <v>2</v>
      </c>
      <c r="K2684" t="s">
        <v>14332</v>
      </c>
      <c r="L2684" s="222">
        <v>4026411391458</v>
      </c>
      <c r="M2684">
        <v>234</v>
      </c>
      <c r="O2684" t="s">
        <v>12208</v>
      </c>
      <c r="P2684">
        <v>298</v>
      </c>
      <c r="Q2684">
        <v>12.7</v>
      </c>
    </row>
    <row r="2685" spans="1:17" x14ac:dyDescent="0.25">
      <c r="A2685">
        <v>796</v>
      </c>
      <c r="B2685" t="s">
        <v>9291</v>
      </c>
      <c r="C2685" t="s">
        <v>9491</v>
      </c>
      <c r="D2685" t="s">
        <v>2257</v>
      </c>
      <c r="F2685">
        <v>2006</v>
      </c>
      <c r="H2685" t="s">
        <v>1878</v>
      </c>
      <c r="I2685">
        <v>2</v>
      </c>
      <c r="K2685" t="s">
        <v>14332</v>
      </c>
      <c r="L2685" s="222">
        <v>9783426633472</v>
      </c>
      <c r="M2685">
        <v>336</v>
      </c>
      <c r="O2685" t="s">
        <v>12209</v>
      </c>
      <c r="P2685">
        <v>290</v>
      </c>
      <c r="Q2685">
        <v>1.65</v>
      </c>
    </row>
    <row r="2686" spans="1:17" x14ac:dyDescent="0.25">
      <c r="A2686">
        <v>1913</v>
      </c>
      <c r="B2686" t="s">
        <v>7525</v>
      </c>
      <c r="C2686" t="s">
        <v>13776</v>
      </c>
      <c r="D2686" t="s">
        <v>2209</v>
      </c>
      <c r="E2686" t="s">
        <v>1877</v>
      </c>
      <c r="F2686">
        <v>2006</v>
      </c>
      <c r="H2686" t="s">
        <v>1878</v>
      </c>
      <c r="I2686">
        <v>2</v>
      </c>
      <c r="K2686" t="s">
        <v>14332</v>
      </c>
      <c r="L2686" s="222">
        <v>9783453431720</v>
      </c>
      <c r="M2686">
        <v>432</v>
      </c>
      <c r="O2686" t="s">
        <v>12210</v>
      </c>
      <c r="P2686">
        <v>357</v>
      </c>
      <c r="Q2686">
        <v>5.5</v>
      </c>
    </row>
    <row r="2687" spans="1:17" x14ac:dyDescent="0.25">
      <c r="A2687">
        <v>643</v>
      </c>
      <c r="B2687" t="s">
        <v>13778</v>
      </c>
      <c r="C2687" t="s">
        <v>13779</v>
      </c>
      <c r="D2687" t="s">
        <v>13780</v>
      </c>
      <c r="E2687" t="s">
        <v>6097</v>
      </c>
      <c r="F2687">
        <v>2011</v>
      </c>
      <c r="H2687" t="s">
        <v>1878</v>
      </c>
      <c r="I2687">
        <v>2</v>
      </c>
      <c r="J2687" t="s">
        <v>13781</v>
      </c>
      <c r="K2687" t="s">
        <v>14332</v>
      </c>
      <c r="L2687" s="222">
        <v>9783462032284</v>
      </c>
      <c r="M2687">
        <v>240</v>
      </c>
      <c r="O2687" t="s">
        <v>12211</v>
      </c>
      <c r="P2687">
        <v>189</v>
      </c>
      <c r="Q2687">
        <v>0.77</v>
      </c>
    </row>
    <row r="2688" spans="1:17" x14ac:dyDescent="0.25">
      <c r="A2688">
        <v>792</v>
      </c>
      <c r="B2688" t="s">
        <v>13783</v>
      </c>
      <c r="C2688" t="s">
        <v>13784</v>
      </c>
      <c r="D2688" t="s">
        <v>4841</v>
      </c>
      <c r="F2688">
        <v>2009</v>
      </c>
      <c r="H2688" t="s">
        <v>1878</v>
      </c>
      <c r="I2688">
        <v>2</v>
      </c>
      <c r="K2688" t="s">
        <v>14332</v>
      </c>
      <c r="L2688" s="222">
        <v>9783451063824</v>
      </c>
      <c r="M2688">
        <v>200</v>
      </c>
      <c r="O2688" t="s">
        <v>12212</v>
      </c>
      <c r="P2688">
        <v>174</v>
      </c>
      <c r="Q2688">
        <v>2.98</v>
      </c>
    </row>
    <row r="2689" spans="1:17" x14ac:dyDescent="0.25">
      <c r="A2689">
        <v>2663</v>
      </c>
      <c r="B2689" t="s">
        <v>13786</v>
      </c>
      <c r="C2689" t="s">
        <v>13787</v>
      </c>
      <c r="D2689" t="s">
        <v>2054</v>
      </c>
      <c r="F2689">
        <v>2008</v>
      </c>
      <c r="H2689" t="s">
        <v>2734</v>
      </c>
      <c r="I2689">
        <v>3</v>
      </c>
      <c r="K2689" t="s">
        <v>14332</v>
      </c>
      <c r="L2689" s="222">
        <v>4026411116747</v>
      </c>
      <c r="M2689">
        <v>562</v>
      </c>
      <c r="O2689" t="s">
        <v>12213</v>
      </c>
      <c r="P2689">
        <v>467</v>
      </c>
      <c r="Q2689">
        <v>1.3</v>
      </c>
    </row>
    <row r="2690" spans="1:17" x14ac:dyDescent="0.25">
      <c r="A2690">
        <v>1301</v>
      </c>
      <c r="B2690" t="s">
        <v>13789</v>
      </c>
      <c r="C2690" t="s">
        <v>13790</v>
      </c>
      <c r="D2690" t="s">
        <v>2007</v>
      </c>
      <c r="F2690">
        <v>2001</v>
      </c>
      <c r="H2690" t="s">
        <v>2008</v>
      </c>
      <c r="I2690">
        <v>2</v>
      </c>
      <c r="K2690" t="s">
        <v>14339</v>
      </c>
      <c r="L2690" s="222">
        <v>9783150090398</v>
      </c>
      <c r="M2690">
        <v>224</v>
      </c>
      <c r="O2690" t="s">
        <v>12214</v>
      </c>
      <c r="P2690">
        <v>120</v>
      </c>
      <c r="Q2690">
        <v>1.77</v>
      </c>
    </row>
    <row r="2691" spans="1:17" x14ac:dyDescent="0.25">
      <c r="A2691">
        <v>1315</v>
      </c>
      <c r="B2691" t="s">
        <v>13792</v>
      </c>
      <c r="C2691" t="s">
        <v>13793</v>
      </c>
      <c r="D2691" t="s">
        <v>2530</v>
      </c>
      <c r="F2691">
        <v>2018</v>
      </c>
      <c r="H2691" t="s">
        <v>1878</v>
      </c>
      <c r="I2691">
        <v>2</v>
      </c>
      <c r="K2691" t="s">
        <v>14332</v>
      </c>
      <c r="L2691" s="222">
        <v>9783841505385</v>
      </c>
      <c r="M2691">
        <v>240</v>
      </c>
      <c r="O2691" t="s">
        <v>12215</v>
      </c>
      <c r="P2691">
        <v>247</v>
      </c>
      <c r="Q2691">
        <v>2.75</v>
      </c>
    </row>
    <row r="2692" spans="1:17" x14ac:dyDescent="0.25">
      <c r="A2692">
        <v>701</v>
      </c>
      <c r="B2692" t="s">
        <v>13795</v>
      </c>
      <c r="C2692" t="s">
        <v>13796</v>
      </c>
      <c r="D2692" t="s">
        <v>1912</v>
      </c>
      <c r="E2692" t="s">
        <v>1913</v>
      </c>
      <c r="F2692">
        <v>2005</v>
      </c>
      <c r="H2692" t="s">
        <v>2734</v>
      </c>
      <c r="I2692">
        <v>2</v>
      </c>
      <c r="K2692" t="s">
        <v>14332</v>
      </c>
      <c r="L2692" s="222">
        <v>9783442545759</v>
      </c>
      <c r="M2692">
        <v>194</v>
      </c>
      <c r="O2692" t="s">
        <v>12216</v>
      </c>
      <c r="P2692">
        <v>313</v>
      </c>
      <c r="Q2692">
        <v>1.38</v>
      </c>
    </row>
    <row r="2693" spans="1:17" x14ac:dyDescent="0.25">
      <c r="A2693">
        <v>701</v>
      </c>
      <c r="B2693" t="s">
        <v>13798</v>
      </c>
      <c r="C2693" t="s">
        <v>13799</v>
      </c>
      <c r="D2693" t="s">
        <v>13800</v>
      </c>
      <c r="E2693" t="s">
        <v>1899</v>
      </c>
      <c r="F2693">
        <v>2007</v>
      </c>
      <c r="H2693" t="s">
        <v>1878</v>
      </c>
      <c r="I2693">
        <v>3</v>
      </c>
      <c r="J2693" t="s">
        <v>13801</v>
      </c>
      <c r="K2693" t="s">
        <v>14332</v>
      </c>
      <c r="M2693">
        <v>196</v>
      </c>
      <c r="O2693" t="s">
        <v>12217</v>
      </c>
      <c r="P2693">
        <v>230</v>
      </c>
      <c r="Q2693">
        <v>2.88</v>
      </c>
    </row>
    <row r="2694" spans="1:17" x14ac:dyDescent="0.25">
      <c r="A2694">
        <v>2518</v>
      </c>
      <c r="B2694" t="s">
        <v>3835</v>
      </c>
      <c r="C2694" t="s">
        <v>13803</v>
      </c>
      <c r="D2694" t="s">
        <v>2257</v>
      </c>
      <c r="F2694">
        <v>2007</v>
      </c>
      <c r="H2694" t="s">
        <v>1878</v>
      </c>
      <c r="I2694">
        <v>2</v>
      </c>
      <c r="K2694" t="s">
        <v>14332</v>
      </c>
      <c r="L2694" s="222">
        <v>9783426635070</v>
      </c>
      <c r="M2694">
        <v>464</v>
      </c>
      <c r="O2694" t="s">
        <v>12218</v>
      </c>
      <c r="P2694">
        <v>306</v>
      </c>
      <c r="Q2694">
        <v>1.92</v>
      </c>
    </row>
    <row r="2695" spans="1:17" x14ac:dyDescent="0.25">
      <c r="A2695">
        <v>2518</v>
      </c>
      <c r="B2695" t="s">
        <v>13805</v>
      </c>
      <c r="C2695" t="s">
        <v>13806</v>
      </c>
      <c r="D2695" t="s">
        <v>3149</v>
      </c>
      <c r="F2695">
        <v>2014</v>
      </c>
      <c r="H2695" t="s">
        <v>1878</v>
      </c>
      <c r="I2695">
        <v>3</v>
      </c>
      <c r="K2695" t="s">
        <v>14332</v>
      </c>
      <c r="L2695" s="222">
        <v>9783956741258</v>
      </c>
      <c r="M2695">
        <v>384</v>
      </c>
      <c r="O2695" t="s">
        <v>12219</v>
      </c>
      <c r="P2695">
        <v>219</v>
      </c>
      <c r="Q2695">
        <v>3.66</v>
      </c>
    </row>
    <row r="2696" spans="1:17" x14ac:dyDescent="0.25">
      <c r="A2696">
        <v>632</v>
      </c>
      <c r="B2696" t="s">
        <v>7529</v>
      </c>
      <c r="C2696" t="s">
        <v>13808</v>
      </c>
      <c r="D2696" t="s">
        <v>3077</v>
      </c>
      <c r="E2696" t="s">
        <v>2518</v>
      </c>
      <c r="F2696">
        <v>2002</v>
      </c>
      <c r="H2696" t="s">
        <v>2734</v>
      </c>
      <c r="I2696">
        <v>2</v>
      </c>
      <c r="K2696" t="s">
        <v>14332</v>
      </c>
      <c r="L2696" s="222">
        <v>9783764500566</v>
      </c>
      <c r="M2696">
        <v>1282</v>
      </c>
      <c r="O2696" t="s">
        <v>12220</v>
      </c>
      <c r="P2696">
        <v>1453</v>
      </c>
      <c r="Q2696">
        <v>3.03</v>
      </c>
    </row>
    <row r="2697" spans="1:17" x14ac:dyDescent="0.25">
      <c r="A2697">
        <v>632</v>
      </c>
      <c r="B2697" t="s">
        <v>7529</v>
      </c>
      <c r="C2697" t="s">
        <v>13816</v>
      </c>
      <c r="D2697" t="s">
        <v>3077</v>
      </c>
      <c r="E2697" t="s">
        <v>1913</v>
      </c>
      <c r="F2697">
        <v>2014</v>
      </c>
      <c r="H2697" t="s">
        <v>2734</v>
      </c>
      <c r="I2697">
        <v>2</v>
      </c>
      <c r="K2697" t="s">
        <v>14332</v>
      </c>
      <c r="L2697" s="222">
        <v>9783764503048</v>
      </c>
      <c r="M2697">
        <v>994</v>
      </c>
      <c r="O2697" t="s">
        <v>12224</v>
      </c>
      <c r="P2697">
        <v>1348</v>
      </c>
      <c r="Q2697">
        <v>5.59</v>
      </c>
    </row>
    <row r="2698" spans="1:17" x14ac:dyDescent="0.25">
      <c r="A2698">
        <v>692</v>
      </c>
      <c r="B2698" t="s">
        <v>13818</v>
      </c>
      <c r="C2698" t="s">
        <v>13819</v>
      </c>
      <c r="D2698" t="s">
        <v>3077</v>
      </c>
      <c r="E2698" t="s">
        <v>1913</v>
      </c>
      <c r="F2698">
        <v>2018</v>
      </c>
      <c r="H2698" t="s">
        <v>1878</v>
      </c>
      <c r="I2698">
        <v>2</v>
      </c>
      <c r="K2698" t="s">
        <v>14332</v>
      </c>
      <c r="L2698" s="222">
        <v>9783764506308</v>
      </c>
      <c r="M2698">
        <v>448</v>
      </c>
      <c r="O2698" t="s">
        <v>12225</v>
      </c>
      <c r="P2698">
        <v>556</v>
      </c>
      <c r="Q2698">
        <v>2.36</v>
      </c>
    </row>
    <row r="2699" spans="1:17" x14ac:dyDescent="0.25">
      <c r="A2699">
        <v>1315</v>
      </c>
      <c r="B2699" t="s">
        <v>13821</v>
      </c>
      <c r="C2699" t="s">
        <v>13822</v>
      </c>
      <c r="D2699" t="s">
        <v>807</v>
      </c>
      <c r="F2699">
        <v>2010</v>
      </c>
      <c r="H2699" t="s">
        <v>2734</v>
      </c>
      <c r="I2699">
        <v>2</v>
      </c>
      <c r="K2699" t="s">
        <v>14332</v>
      </c>
      <c r="L2699" s="222">
        <v>9783551554376</v>
      </c>
      <c r="M2699">
        <v>450</v>
      </c>
      <c r="O2699" t="s">
        <v>12226</v>
      </c>
      <c r="P2699">
        <v>745</v>
      </c>
      <c r="Q2699">
        <v>8.68</v>
      </c>
    </row>
    <row r="2700" spans="1:17" x14ac:dyDescent="0.25">
      <c r="A2700">
        <v>1313</v>
      </c>
      <c r="B2700" t="s">
        <v>13824</v>
      </c>
      <c r="C2700" t="s">
        <v>13825</v>
      </c>
      <c r="D2700" t="s">
        <v>1979</v>
      </c>
      <c r="F2700" t="s">
        <v>13826</v>
      </c>
      <c r="H2700" t="s">
        <v>2734</v>
      </c>
      <c r="I2700">
        <v>3</v>
      </c>
      <c r="J2700" t="s">
        <v>13828</v>
      </c>
      <c r="K2700" t="s">
        <v>14332</v>
      </c>
      <c r="L2700" s="222">
        <v>9783473373055</v>
      </c>
      <c r="M2700">
        <v>126</v>
      </c>
      <c r="O2700" t="s">
        <v>12227</v>
      </c>
      <c r="P2700">
        <v>431</v>
      </c>
      <c r="Q2700">
        <v>2.04</v>
      </c>
    </row>
    <row r="2701" spans="1:17" x14ac:dyDescent="0.25">
      <c r="A2701">
        <v>1309</v>
      </c>
      <c r="B2701" t="s">
        <v>8593</v>
      </c>
      <c r="C2701" t="s">
        <v>13829</v>
      </c>
      <c r="D2701" t="s">
        <v>10886</v>
      </c>
      <c r="F2701">
        <v>1992</v>
      </c>
      <c r="H2701" t="s">
        <v>2734</v>
      </c>
      <c r="I2701">
        <v>2</v>
      </c>
      <c r="K2701" t="s">
        <v>14332</v>
      </c>
      <c r="M2701">
        <v>44</v>
      </c>
      <c r="O2701" t="s">
        <v>12228</v>
      </c>
      <c r="P2701">
        <v>214</v>
      </c>
      <c r="Q2701">
        <v>2.4</v>
      </c>
    </row>
    <row r="2702" spans="1:17" x14ac:dyDescent="0.25">
      <c r="A2702">
        <v>1309</v>
      </c>
      <c r="B2702" t="s">
        <v>8593</v>
      </c>
      <c r="C2702" t="s">
        <v>13830</v>
      </c>
      <c r="D2702" t="s">
        <v>10886</v>
      </c>
      <c r="F2702">
        <v>1994</v>
      </c>
      <c r="H2702" t="s">
        <v>2734</v>
      </c>
      <c r="I2702">
        <v>2</v>
      </c>
      <c r="K2702" t="s">
        <v>14332</v>
      </c>
      <c r="M2702">
        <v>44</v>
      </c>
      <c r="O2702" t="s">
        <v>12229</v>
      </c>
      <c r="P2702">
        <v>201</v>
      </c>
      <c r="Q2702">
        <v>1.75</v>
      </c>
    </row>
    <row r="2703" spans="1:17" x14ac:dyDescent="0.25">
      <c r="A2703">
        <v>2518</v>
      </c>
      <c r="B2703" t="s">
        <v>14041</v>
      </c>
      <c r="C2703" t="s">
        <v>14042</v>
      </c>
      <c r="D2703" t="s">
        <v>1876</v>
      </c>
      <c r="F2703">
        <v>2009</v>
      </c>
      <c r="H2703" t="s">
        <v>2734</v>
      </c>
      <c r="I2703">
        <v>3</v>
      </c>
      <c r="K2703" t="s">
        <v>14332</v>
      </c>
      <c r="L2703" s="222">
        <v>9783492052047</v>
      </c>
      <c r="M2703">
        <v>370</v>
      </c>
      <c r="O2703" t="s">
        <v>12230</v>
      </c>
      <c r="P2703">
        <v>599</v>
      </c>
      <c r="Q2703">
        <v>1.86</v>
      </c>
    </row>
    <row r="2704" spans="1:17" x14ac:dyDescent="0.25">
      <c r="A2704">
        <v>2522</v>
      </c>
      <c r="B2704" t="s">
        <v>1891</v>
      </c>
      <c r="C2704" t="s">
        <v>14044</v>
      </c>
      <c r="D2704" t="s">
        <v>1876</v>
      </c>
      <c r="F2704">
        <v>2012</v>
      </c>
      <c r="H2704" t="s">
        <v>1878</v>
      </c>
      <c r="I2704">
        <v>2</v>
      </c>
      <c r="J2704" t="s">
        <v>3854</v>
      </c>
      <c r="K2704" t="s">
        <v>14332</v>
      </c>
      <c r="L2704" s="222">
        <v>9783492274845</v>
      </c>
      <c r="M2704">
        <v>416</v>
      </c>
      <c r="O2704" t="s">
        <v>12231</v>
      </c>
      <c r="P2704">
        <v>346</v>
      </c>
      <c r="Q2704">
        <v>1.93</v>
      </c>
    </row>
    <row r="2705" spans="1:17" x14ac:dyDescent="0.25">
      <c r="A2705">
        <v>2518</v>
      </c>
      <c r="B2705" t="s">
        <v>14046</v>
      </c>
      <c r="C2705" t="s">
        <v>14047</v>
      </c>
      <c r="D2705" t="s">
        <v>6393</v>
      </c>
      <c r="F2705">
        <v>2014</v>
      </c>
      <c r="H2705" t="s">
        <v>1878</v>
      </c>
      <c r="I2705">
        <v>2</v>
      </c>
      <c r="J2705" t="s">
        <v>3854</v>
      </c>
      <c r="K2705" t="s">
        <v>14332</v>
      </c>
      <c r="L2705" s="222">
        <v>9783954511754</v>
      </c>
      <c r="M2705">
        <v>272</v>
      </c>
      <c r="O2705" t="s">
        <v>12232</v>
      </c>
      <c r="P2705">
        <v>328</v>
      </c>
      <c r="Q2705">
        <v>2.29</v>
      </c>
    </row>
    <row r="2706" spans="1:17" x14ac:dyDescent="0.25">
      <c r="A2706">
        <v>1386</v>
      </c>
      <c r="B2706" t="s">
        <v>3705</v>
      </c>
      <c r="C2706" t="s">
        <v>14052</v>
      </c>
      <c r="D2706" t="s">
        <v>2901</v>
      </c>
      <c r="F2706">
        <v>2006</v>
      </c>
      <c r="H2706" t="s">
        <v>2734</v>
      </c>
      <c r="I2706">
        <v>2</v>
      </c>
      <c r="K2706" t="s">
        <v>14332</v>
      </c>
      <c r="L2706" s="222">
        <v>9783763256792</v>
      </c>
      <c r="M2706">
        <v>370</v>
      </c>
      <c r="O2706" t="s">
        <v>12234</v>
      </c>
      <c r="P2706">
        <v>565</v>
      </c>
      <c r="Q2706">
        <v>1.64</v>
      </c>
    </row>
    <row r="2707" spans="1:17" x14ac:dyDescent="0.25">
      <c r="A2707">
        <v>765</v>
      </c>
      <c r="B2707" t="s">
        <v>14054</v>
      </c>
      <c r="C2707" t="s">
        <v>14055</v>
      </c>
      <c r="D2707" t="s">
        <v>14056</v>
      </c>
      <c r="E2707" t="s">
        <v>1913</v>
      </c>
      <c r="F2707">
        <v>1995</v>
      </c>
      <c r="H2707" t="s">
        <v>1878</v>
      </c>
      <c r="I2707">
        <v>2</v>
      </c>
      <c r="K2707" t="s">
        <v>14332</v>
      </c>
      <c r="L2707" s="222">
        <v>9793893851521</v>
      </c>
      <c r="M2707">
        <v>208</v>
      </c>
      <c r="O2707" t="s">
        <v>12235</v>
      </c>
      <c r="P2707">
        <v>250</v>
      </c>
      <c r="Q2707">
        <v>9.7799999999999994</v>
      </c>
    </row>
    <row r="2708" spans="1:17" x14ac:dyDescent="0.25">
      <c r="A2708">
        <v>2522</v>
      </c>
      <c r="B2708" t="s">
        <v>14058</v>
      </c>
      <c r="C2708" t="s">
        <v>14059</v>
      </c>
      <c r="D2708" t="s">
        <v>1920</v>
      </c>
      <c r="F2708">
        <v>2012</v>
      </c>
      <c r="H2708" t="s">
        <v>1878</v>
      </c>
      <c r="I2708">
        <v>2</v>
      </c>
      <c r="J2708" t="s">
        <v>3854</v>
      </c>
      <c r="K2708" t="s">
        <v>14332</v>
      </c>
      <c r="L2708" s="222">
        <v>9783404167630</v>
      </c>
      <c r="M2708">
        <v>416</v>
      </c>
      <c r="O2708" t="s">
        <v>12236</v>
      </c>
      <c r="P2708">
        <v>403</v>
      </c>
      <c r="Q2708">
        <v>1.1000000000000001</v>
      </c>
    </row>
    <row r="2709" spans="1:17" x14ac:dyDescent="0.25">
      <c r="A2709">
        <v>689</v>
      </c>
      <c r="B2709" t="s">
        <v>14061</v>
      </c>
      <c r="C2709" t="s">
        <v>14062</v>
      </c>
      <c r="D2709" t="s">
        <v>1920</v>
      </c>
      <c r="F2709">
        <v>2013</v>
      </c>
      <c r="H2709" t="s">
        <v>1878</v>
      </c>
      <c r="I2709">
        <v>2</v>
      </c>
      <c r="J2709" t="s">
        <v>3854</v>
      </c>
      <c r="K2709" t="s">
        <v>14332</v>
      </c>
      <c r="L2709" s="222">
        <v>9783404207503</v>
      </c>
      <c r="M2709">
        <v>480</v>
      </c>
      <c r="O2709" t="s">
        <v>12237</v>
      </c>
      <c r="P2709">
        <v>601</v>
      </c>
      <c r="Q2709">
        <v>12.24</v>
      </c>
    </row>
    <row r="2710" spans="1:17" x14ac:dyDescent="0.25">
      <c r="A2710">
        <v>1386</v>
      </c>
      <c r="B2710" t="s">
        <v>5033</v>
      </c>
      <c r="C2710" t="s">
        <v>14064</v>
      </c>
      <c r="D2710" t="s">
        <v>1988</v>
      </c>
      <c r="F2710">
        <v>2009</v>
      </c>
      <c r="H2710" t="s">
        <v>1878</v>
      </c>
      <c r="I2710">
        <v>2</v>
      </c>
      <c r="K2710" t="s">
        <v>14332</v>
      </c>
      <c r="L2710" s="222">
        <v>9783423212885</v>
      </c>
      <c r="M2710">
        <v>560</v>
      </c>
      <c r="O2710" t="s">
        <v>12238</v>
      </c>
      <c r="P2710">
        <v>409</v>
      </c>
      <c r="Q2710">
        <v>2.15</v>
      </c>
    </row>
    <row r="2711" spans="1:17" x14ac:dyDescent="0.25">
      <c r="A2711">
        <v>701</v>
      </c>
      <c r="B2711" t="s">
        <v>10991</v>
      </c>
      <c r="C2711" t="s">
        <v>10992</v>
      </c>
      <c r="D2711" t="s">
        <v>14066</v>
      </c>
      <c r="E2711" t="s">
        <v>7601</v>
      </c>
      <c r="F2711">
        <v>2013</v>
      </c>
      <c r="H2711" t="s">
        <v>1878</v>
      </c>
      <c r="I2711">
        <v>2</v>
      </c>
      <c r="K2711" t="s">
        <v>14332</v>
      </c>
      <c r="L2711" s="222">
        <v>9783862652198</v>
      </c>
      <c r="M2711">
        <v>224</v>
      </c>
      <c r="O2711" t="s">
        <v>12239</v>
      </c>
      <c r="P2711">
        <v>231</v>
      </c>
      <c r="Q2711">
        <v>1.91</v>
      </c>
    </row>
    <row r="2712" spans="1:17" x14ac:dyDescent="0.25">
      <c r="A2712">
        <v>1344</v>
      </c>
      <c r="B2712" t="s">
        <v>14067</v>
      </c>
      <c r="C2712" t="s">
        <v>14068</v>
      </c>
      <c r="D2712" t="s">
        <v>2300</v>
      </c>
      <c r="F2712">
        <v>2000</v>
      </c>
      <c r="H2712" t="s">
        <v>1878</v>
      </c>
      <c r="I2712">
        <v>3</v>
      </c>
      <c r="K2712" t="s">
        <v>14332</v>
      </c>
      <c r="L2712" s="222">
        <v>9783499611452</v>
      </c>
      <c r="M2712">
        <v>256</v>
      </c>
      <c r="O2712" t="s">
        <v>12240</v>
      </c>
      <c r="P2712">
        <v>442</v>
      </c>
      <c r="Q2712">
        <v>1.57</v>
      </c>
    </row>
    <row r="2713" spans="1:17" x14ac:dyDescent="0.25">
      <c r="A2713">
        <v>765</v>
      </c>
      <c r="B2713" t="s">
        <v>14070</v>
      </c>
      <c r="C2713" t="s">
        <v>14071</v>
      </c>
      <c r="E2713" t="s">
        <v>2032</v>
      </c>
      <c r="F2713">
        <v>2007</v>
      </c>
      <c r="H2713" t="s">
        <v>1878</v>
      </c>
      <c r="I2713">
        <v>2</v>
      </c>
      <c r="K2713" t="s">
        <v>14332</v>
      </c>
      <c r="L2713" s="222">
        <v>9783902114242</v>
      </c>
      <c r="M2713">
        <v>130</v>
      </c>
      <c r="O2713" t="s">
        <v>12241</v>
      </c>
      <c r="P2713">
        <v>206</v>
      </c>
      <c r="Q2713">
        <v>19.649999999999999</v>
      </c>
    </row>
    <row r="2714" spans="1:17" x14ac:dyDescent="0.25">
      <c r="A2714">
        <v>763</v>
      </c>
      <c r="B2714" t="s">
        <v>14073</v>
      </c>
      <c r="C2714" t="s">
        <v>14074</v>
      </c>
      <c r="D2714" t="s">
        <v>5743</v>
      </c>
      <c r="E2714" t="s">
        <v>1899</v>
      </c>
      <c r="F2714">
        <v>2005</v>
      </c>
      <c r="H2714" t="s">
        <v>4297</v>
      </c>
      <c r="I2714">
        <v>2</v>
      </c>
      <c r="K2714" t="s">
        <v>14332</v>
      </c>
      <c r="L2714" s="222">
        <v>9783517066745</v>
      </c>
      <c r="M2714">
        <v>176</v>
      </c>
      <c r="O2714" t="s">
        <v>12242</v>
      </c>
      <c r="P2714">
        <v>449</v>
      </c>
      <c r="Q2714">
        <v>2.0299999999999998</v>
      </c>
    </row>
    <row r="2715" spans="1:17" x14ac:dyDescent="0.25">
      <c r="A2715">
        <v>2573</v>
      </c>
      <c r="B2715" t="s">
        <v>5785</v>
      </c>
      <c r="C2715" t="s">
        <v>14076</v>
      </c>
      <c r="D2715" t="s">
        <v>2679</v>
      </c>
      <c r="H2715" t="s">
        <v>1878</v>
      </c>
      <c r="I2715">
        <v>2</v>
      </c>
      <c r="K2715" t="s">
        <v>14339</v>
      </c>
      <c r="L2715" s="222">
        <v>9783833103551</v>
      </c>
      <c r="M2715">
        <v>192</v>
      </c>
      <c r="O2715" t="s">
        <v>12243</v>
      </c>
      <c r="P2715">
        <v>318</v>
      </c>
      <c r="Q2715">
        <v>2.98</v>
      </c>
    </row>
    <row r="2716" spans="1:17" x14ac:dyDescent="0.25">
      <c r="A2716">
        <v>655</v>
      </c>
      <c r="B2716" t="s">
        <v>14078</v>
      </c>
      <c r="C2716" t="s">
        <v>14079</v>
      </c>
      <c r="E2716" t="s">
        <v>1913</v>
      </c>
      <c r="F2716">
        <v>2002</v>
      </c>
      <c r="H2716" t="s">
        <v>1878</v>
      </c>
      <c r="I2716">
        <v>2</v>
      </c>
      <c r="K2716" t="s">
        <v>14332</v>
      </c>
      <c r="O2716" t="s">
        <v>12244</v>
      </c>
      <c r="P2716">
        <v>180</v>
      </c>
      <c r="Q2716">
        <v>5.4</v>
      </c>
    </row>
    <row r="2717" spans="1:17" x14ac:dyDescent="0.25">
      <c r="A2717">
        <v>2518</v>
      </c>
      <c r="B2717" t="s">
        <v>10994</v>
      </c>
      <c r="C2717" t="s">
        <v>14081</v>
      </c>
      <c r="D2717" t="s">
        <v>1988</v>
      </c>
      <c r="E2717" t="s">
        <v>1899</v>
      </c>
      <c r="F2717">
        <v>2013</v>
      </c>
      <c r="H2717" t="s">
        <v>1878</v>
      </c>
      <c r="I2717">
        <v>2</v>
      </c>
      <c r="K2717" t="s">
        <v>14332</v>
      </c>
      <c r="L2717" s="222">
        <v>9783423249874</v>
      </c>
      <c r="M2717">
        <v>274</v>
      </c>
      <c r="O2717" t="s">
        <v>12245</v>
      </c>
      <c r="P2717">
        <v>419</v>
      </c>
      <c r="Q2717">
        <v>2.04</v>
      </c>
    </row>
    <row r="2718" spans="1:17" x14ac:dyDescent="0.25">
      <c r="A2718">
        <v>1365</v>
      </c>
      <c r="B2718" t="s">
        <v>14506</v>
      </c>
      <c r="C2718" t="s">
        <v>14084</v>
      </c>
      <c r="F2718">
        <v>2014</v>
      </c>
      <c r="H2718" t="s">
        <v>1878</v>
      </c>
      <c r="I2718">
        <v>2</v>
      </c>
      <c r="K2718" t="s">
        <v>14332</v>
      </c>
      <c r="L2718" s="222">
        <v>9783458360117</v>
      </c>
      <c r="M2718">
        <v>176</v>
      </c>
      <c r="O2718" t="s">
        <v>12246</v>
      </c>
      <c r="P2718">
        <v>188</v>
      </c>
      <c r="Q2718">
        <v>3.7</v>
      </c>
    </row>
    <row r="2719" spans="1:17" x14ac:dyDescent="0.25">
      <c r="A2719">
        <v>765</v>
      </c>
      <c r="B2719" t="s">
        <v>14086</v>
      </c>
      <c r="C2719" t="s">
        <v>14087</v>
      </c>
      <c r="D2719" t="s">
        <v>2300</v>
      </c>
      <c r="E2719" t="s">
        <v>1913</v>
      </c>
      <c r="F2719">
        <v>1999</v>
      </c>
      <c r="H2719" t="s">
        <v>2734</v>
      </c>
      <c r="I2719">
        <v>2</v>
      </c>
      <c r="K2719" t="s">
        <v>14332</v>
      </c>
      <c r="L2719" s="222">
        <v>9783498063368</v>
      </c>
      <c r="M2719">
        <v>290</v>
      </c>
      <c r="O2719" t="s">
        <v>12247</v>
      </c>
      <c r="P2719">
        <v>498</v>
      </c>
      <c r="Q2719">
        <v>1.59</v>
      </c>
    </row>
    <row r="2720" spans="1:17" x14ac:dyDescent="0.25">
      <c r="A2720">
        <v>2518</v>
      </c>
      <c r="B2720" t="s">
        <v>10994</v>
      </c>
      <c r="C2720" t="s">
        <v>14089</v>
      </c>
      <c r="D2720" t="s">
        <v>1988</v>
      </c>
      <c r="F2720">
        <v>2013</v>
      </c>
      <c r="H2720" t="s">
        <v>1878</v>
      </c>
      <c r="I2720">
        <v>2</v>
      </c>
      <c r="K2720" t="s">
        <v>14332</v>
      </c>
      <c r="L2720" s="222">
        <v>9783423214254</v>
      </c>
      <c r="O2720" t="s">
        <v>12248</v>
      </c>
      <c r="P2720">
        <v>236</v>
      </c>
      <c r="Q2720">
        <v>2.4</v>
      </c>
    </row>
    <row r="2721" spans="1:17" x14ac:dyDescent="0.25">
      <c r="A2721">
        <v>701</v>
      </c>
      <c r="C2721" t="s">
        <v>14091</v>
      </c>
      <c r="D2721" t="s">
        <v>5762</v>
      </c>
      <c r="F2721">
        <v>2012</v>
      </c>
      <c r="H2721" t="s">
        <v>4297</v>
      </c>
      <c r="I2721">
        <v>1</v>
      </c>
      <c r="K2721" t="s">
        <v>14332</v>
      </c>
      <c r="L2721" s="222">
        <v>9783897369177</v>
      </c>
      <c r="M2721">
        <v>182</v>
      </c>
      <c r="O2721" t="s">
        <v>12249</v>
      </c>
      <c r="P2721">
        <v>356</v>
      </c>
      <c r="Q2721">
        <v>1.75</v>
      </c>
    </row>
    <row r="2722" spans="1:17" x14ac:dyDescent="0.25">
      <c r="A2722">
        <v>1327</v>
      </c>
      <c r="B2722" t="s">
        <v>2510</v>
      </c>
      <c r="C2722" t="s">
        <v>2624</v>
      </c>
      <c r="D2722" t="s">
        <v>2232</v>
      </c>
      <c r="E2722" t="s">
        <v>2157</v>
      </c>
      <c r="F2722">
        <v>2013</v>
      </c>
      <c r="H2722" t="s">
        <v>1878</v>
      </c>
      <c r="I2722">
        <v>2</v>
      </c>
      <c r="K2722" t="s">
        <v>14332</v>
      </c>
      <c r="L2722" s="222">
        <v>9783442744923</v>
      </c>
      <c r="M2722">
        <v>432</v>
      </c>
      <c r="O2722" t="s">
        <v>12250</v>
      </c>
      <c r="P2722">
        <v>360</v>
      </c>
      <c r="Q2722">
        <v>1.24</v>
      </c>
    </row>
    <row r="2723" spans="1:17" x14ac:dyDescent="0.25">
      <c r="A2723">
        <v>1984</v>
      </c>
      <c r="B2723" t="s">
        <v>14093</v>
      </c>
      <c r="C2723" t="s">
        <v>14094</v>
      </c>
      <c r="D2723" t="s">
        <v>1979</v>
      </c>
      <c r="E2723" t="s">
        <v>1899</v>
      </c>
      <c r="F2723">
        <v>2007</v>
      </c>
      <c r="H2723" t="s">
        <v>2734</v>
      </c>
      <c r="I2723">
        <v>2</v>
      </c>
      <c r="K2723" t="s">
        <v>14332</v>
      </c>
      <c r="L2723" s="222">
        <v>9783473360864</v>
      </c>
      <c r="M2723">
        <v>44</v>
      </c>
      <c r="O2723" t="s">
        <v>12251</v>
      </c>
      <c r="P2723">
        <v>224</v>
      </c>
      <c r="Q2723">
        <v>5.27</v>
      </c>
    </row>
    <row r="2724" spans="1:17" x14ac:dyDescent="0.25">
      <c r="A2724">
        <v>1315</v>
      </c>
      <c r="B2724" t="s">
        <v>14096</v>
      </c>
      <c r="C2724" t="s">
        <v>14097</v>
      </c>
      <c r="D2724" t="s">
        <v>1979</v>
      </c>
      <c r="H2724" t="s">
        <v>1878</v>
      </c>
      <c r="I2724">
        <v>2</v>
      </c>
      <c r="K2724" t="s">
        <v>14332</v>
      </c>
      <c r="L2724" s="222">
        <v>9783473520138</v>
      </c>
      <c r="M2724">
        <v>96</v>
      </c>
      <c r="O2724" t="s">
        <v>12252</v>
      </c>
      <c r="P2724">
        <v>119</v>
      </c>
      <c r="Q2724">
        <v>1.4</v>
      </c>
    </row>
    <row r="2725" spans="1:17" x14ac:dyDescent="0.25">
      <c r="A2725">
        <v>844</v>
      </c>
      <c r="B2725" t="s">
        <v>14099</v>
      </c>
      <c r="C2725" t="s">
        <v>14100</v>
      </c>
      <c r="D2725" t="s">
        <v>3524</v>
      </c>
      <c r="E2725" t="s">
        <v>1913</v>
      </c>
      <c r="F2725">
        <v>2001</v>
      </c>
      <c r="H2725" t="s">
        <v>1878</v>
      </c>
      <c r="I2725">
        <v>2</v>
      </c>
      <c r="K2725" t="s">
        <v>14332</v>
      </c>
      <c r="L2725" s="222">
        <v>9783785538081</v>
      </c>
      <c r="M2725">
        <v>128</v>
      </c>
      <c r="O2725" t="s">
        <v>12253</v>
      </c>
      <c r="P2725">
        <v>211</v>
      </c>
      <c r="Q2725">
        <v>3.58</v>
      </c>
    </row>
    <row r="2726" spans="1:17" x14ac:dyDescent="0.25">
      <c r="A2726">
        <v>796</v>
      </c>
      <c r="B2726" t="s">
        <v>14102</v>
      </c>
      <c r="C2726" t="s">
        <v>14103</v>
      </c>
      <c r="D2726" t="s">
        <v>2209</v>
      </c>
      <c r="F2726">
        <v>2013</v>
      </c>
      <c r="H2726" t="s">
        <v>1878</v>
      </c>
      <c r="I2726">
        <v>3</v>
      </c>
      <c r="J2726" t="s">
        <v>3854</v>
      </c>
      <c r="K2726" t="s">
        <v>14332</v>
      </c>
      <c r="L2726" s="222">
        <v>9783453410251</v>
      </c>
      <c r="M2726">
        <v>480</v>
      </c>
      <c r="O2726" t="s">
        <v>12254</v>
      </c>
      <c r="P2726">
        <v>397</v>
      </c>
      <c r="Q2726">
        <v>0.69</v>
      </c>
    </row>
    <row r="2727" spans="1:17" x14ac:dyDescent="0.25">
      <c r="A2727">
        <v>1315</v>
      </c>
      <c r="C2727" t="s">
        <v>14105</v>
      </c>
      <c r="D2727" t="s">
        <v>4930</v>
      </c>
      <c r="F2727">
        <v>2015</v>
      </c>
      <c r="H2727" t="s">
        <v>4297</v>
      </c>
      <c r="I2727">
        <v>2</v>
      </c>
      <c r="K2727" t="s">
        <v>14332</v>
      </c>
      <c r="M2727">
        <v>258</v>
      </c>
      <c r="O2727" t="s">
        <v>12255</v>
      </c>
      <c r="P2727">
        <v>252</v>
      </c>
      <c r="Q2727">
        <v>3.79</v>
      </c>
    </row>
    <row r="2728" spans="1:17" x14ac:dyDescent="0.25">
      <c r="A2728">
        <v>1365</v>
      </c>
      <c r="B2728" t="s">
        <v>14106</v>
      </c>
      <c r="C2728" t="s">
        <v>14107</v>
      </c>
      <c r="D2728" t="s">
        <v>2209</v>
      </c>
      <c r="E2728" t="s">
        <v>2375</v>
      </c>
      <c r="F2728">
        <v>2005</v>
      </c>
      <c r="H2728" t="s">
        <v>4297</v>
      </c>
      <c r="I2728">
        <v>2</v>
      </c>
      <c r="J2728" t="s">
        <v>3854</v>
      </c>
      <c r="K2728" t="s">
        <v>14332</v>
      </c>
      <c r="L2728" s="222">
        <v>9783453120136</v>
      </c>
      <c r="M2728">
        <v>176</v>
      </c>
      <c r="O2728" t="s">
        <v>12256</v>
      </c>
      <c r="P2728">
        <v>310</v>
      </c>
      <c r="Q2728">
        <v>1.76</v>
      </c>
    </row>
    <row r="2729" spans="1:17" x14ac:dyDescent="0.25">
      <c r="A2729">
        <v>2522</v>
      </c>
      <c r="B2729" t="s">
        <v>10478</v>
      </c>
      <c r="C2729" t="s">
        <v>10479</v>
      </c>
      <c r="D2729" t="s">
        <v>2300</v>
      </c>
      <c r="F2729">
        <v>1997</v>
      </c>
      <c r="H2729" t="s">
        <v>1878</v>
      </c>
      <c r="I2729">
        <v>3</v>
      </c>
      <c r="K2729" t="s">
        <v>14332</v>
      </c>
      <c r="L2729" s="222">
        <v>9783499135996</v>
      </c>
      <c r="M2729">
        <v>528</v>
      </c>
      <c r="O2729" t="s">
        <v>12257</v>
      </c>
      <c r="P2729">
        <v>338</v>
      </c>
      <c r="Q2729">
        <v>0.88</v>
      </c>
    </row>
    <row r="2730" spans="1:17" x14ac:dyDescent="0.25">
      <c r="A2730">
        <v>1386</v>
      </c>
      <c r="B2730" t="s">
        <v>14109</v>
      </c>
      <c r="C2730" t="s">
        <v>14110</v>
      </c>
      <c r="D2730" t="s">
        <v>2054</v>
      </c>
      <c r="F2730">
        <v>2004</v>
      </c>
      <c r="H2730" t="s">
        <v>1878</v>
      </c>
      <c r="I2730">
        <v>2</v>
      </c>
      <c r="K2730" t="s">
        <v>14332</v>
      </c>
      <c r="L2730" s="222">
        <v>4026411113401</v>
      </c>
      <c r="M2730">
        <v>336</v>
      </c>
      <c r="O2730" t="s">
        <v>12258</v>
      </c>
      <c r="P2730">
        <v>328</v>
      </c>
      <c r="Q2730">
        <v>1.3</v>
      </c>
    </row>
    <row r="2731" spans="1:17" x14ac:dyDescent="0.25">
      <c r="A2731">
        <v>2522</v>
      </c>
      <c r="B2731" t="s">
        <v>14112</v>
      </c>
      <c r="C2731" t="s">
        <v>14113</v>
      </c>
      <c r="D2731" t="s">
        <v>1988</v>
      </c>
      <c r="E2731" t="s">
        <v>2922</v>
      </c>
      <c r="F2731">
        <v>2009</v>
      </c>
      <c r="H2731" t="s">
        <v>1878</v>
      </c>
      <c r="I2731">
        <v>2</v>
      </c>
      <c r="K2731" t="s">
        <v>14332</v>
      </c>
      <c r="L2731" s="222">
        <v>9783423210867</v>
      </c>
      <c r="M2731">
        <v>752</v>
      </c>
      <c r="O2731" t="s">
        <v>12259</v>
      </c>
      <c r="P2731">
        <v>550</v>
      </c>
      <c r="Q2731">
        <v>3.6</v>
      </c>
    </row>
    <row r="2732" spans="1:17" x14ac:dyDescent="0.25">
      <c r="A2732">
        <v>765</v>
      </c>
      <c r="B2732" t="s">
        <v>14115</v>
      </c>
      <c r="C2732" t="s">
        <v>14116</v>
      </c>
      <c r="D2732" t="s">
        <v>4693</v>
      </c>
      <c r="E2732" t="s">
        <v>2032</v>
      </c>
      <c r="F2732">
        <v>2005</v>
      </c>
      <c r="H2732" t="s">
        <v>1878</v>
      </c>
      <c r="I2732">
        <v>1</v>
      </c>
      <c r="K2732" t="s">
        <v>14332</v>
      </c>
      <c r="L2732" s="222">
        <v>9783774232297</v>
      </c>
      <c r="M2732">
        <v>192</v>
      </c>
      <c r="O2732" t="s">
        <v>12260</v>
      </c>
      <c r="P2732">
        <v>633</v>
      </c>
      <c r="Q2732">
        <v>1.41</v>
      </c>
    </row>
    <row r="2733" spans="1:17" x14ac:dyDescent="0.25">
      <c r="A2733">
        <v>765</v>
      </c>
      <c r="B2733" t="s">
        <v>5851</v>
      </c>
      <c r="C2733" t="s">
        <v>14118</v>
      </c>
      <c r="D2733" t="s">
        <v>2309</v>
      </c>
      <c r="E2733" t="s">
        <v>2032</v>
      </c>
      <c r="F2733">
        <v>2007</v>
      </c>
      <c r="H2733" t="s">
        <v>1878</v>
      </c>
      <c r="I2733">
        <v>1</v>
      </c>
      <c r="K2733" t="s">
        <v>14332</v>
      </c>
      <c r="L2733" s="222">
        <v>9783430200134</v>
      </c>
      <c r="M2733">
        <v>208</v>
      </c>
      <c r="O2733" t="s">
        <v>12261</v>
      </c>
      <c r="P2733">
        <v>338</v>
      </c>
      <c r="Q2733">
        <v>1.84</v>
      </c>
    </row>
    <row r="2734" spans="1:17" x14ac:dyDescent="0.25">
      <c r="A2734">
        <v>765</v>
      </c>
      <c r="B2734" t="s">
        <v>14115</v>
      </c>
      <c r="C2734" t="s">
        <v>14116</v>
      </c>
      <c r="D2734" t="s">
        <v>4693</v>
      </c>
      <c r="E2734" t="s">
        <v>1899</v>
      </c>
      <c r="F2734">
        <v>2004</v>
      </c>
      <c r="H2734" t="s">
        <v>1878</v>
      </c>
      <c r="I2734">
        <v>1</v>
      </c>
      <c r="K2734" t="s">
        <v>14332</v>
      </c>
      <c r="L2734" s="222">
        <v>9783774232297</v>
      </c>
      <c r="M2734">
        <v>192</v>
      </c>
      <c r="O2734" t="s">
        <v>12262</v>
      </c>
      <c r="P2734">
        <v>633</v>
      </c>
      <c r="Q2734">
        <v>1.41</v>
      </c>
    </row>
    <row r="2735" spans="1:17" x14ac:dyDescent="0.25">
      <c r="A2735">
        <v>1327</v>
      </c>
      <c r="B2735" t="s">
        <v>14119</v>
      </c>
      <c r="C2735" t="s">
        <v>14120</v>
      </c>
      <c r="D2735" t="s">
        <v>3312</v>
      </c>
      <c r="F2735">
        <v>1998</v>
      </c>
      <c r="H2735" t="s">
        <v>2734</v>
      </c>
      <c r="I2735">
        <v>2</v>
      </c>
      <c r="K2735" t="s">
        <v>14332</v>
      </c>
      <c r="L2735" s="222">
        <v>9783791512075</v>
      </c>
      <c r="M2735">
        <v>194</v>
      </c>
      <c r="O2735" t="s">
        <v>12263</v>
      </c>
      <c r="P2735">
        <v>352</v>
      </c>
      <c r="Q2735">
        <v>1.58</v>
      </c>
    </row>
    <row r="2736" spans="1:17" x14ac:dyDescent="0.25">
      <c r="A2736">
        <v>703</v>
      </c>
      <c r="B2736" t="s">
        <v>7408</v>
      </c>
      <c r="C2736" t="s">
        <v>14122</v>
      </c>
      <c r="D2736" t="s">
        <v>2971</v>
      </c>
      <c r="F2736">
        <v>1992</v>
      </c>
      <c r="H2736" t="s">
        <v>1878</v>
      </c>
      <c r="I2736">
        <v>2</v>
      </c>
      <c r="K2736" t="s">
        <v>14332</v>
      </c>
      <c r="L2736" s="222">
        <v>9783821812939</v>
      </c>
      <c r="M2736">
        <v>312</v>
      </c>
      <c r="O2736" t="s">
        <v>12264</v>
      </c>
      <c r="P2736">
        <v>493</v>
      </c>
      <c r="Q2736">
        <v>1.65</v>
      </c>
    </row>
    <row r="2737" spans="1:17" x14ac:dyDescent="0.25">
      <c r="A2737">
        <v>774</v>
      </c>
      <c r="B2737" t="s">
        <v>2524</v>
      </c>
      <c r="C2737" t="s">
        <v>14124</v>
      </c>
      <c r="D2737" t="s">
        <v>5005</v>
      </c>
      <c r="F2737">
        <v>1992</v>
      </c>
      <c r="H2737" t="s">
        <v>2734</v>
      </c>
      <c r="I2737">
        <v>2</v>
      </c>
      <c r="K2737" t="s">
        <v>14332</v>
      </c>
      <c r="M2737">
        <v>322</v>
      </c>
      <c r="O2737" t="s">
        <v>12265</v>
      </c>
      <c r="P2737">
        <v>467</v>
      </c>
      <c r="Q2737">
        <v>2.78</v>
      </c>
    </row>
    <row r="2738" spans="1:17" x14ac:dyDescent="0.25">
      <c r="A2738">
        <v>1239</v>
      </c>
      <c r="B2738" t="s">
        <v>14125</v>
      </c>
      <c r="C2738" t="s">
        <v>14126</v>
      </c>
      <c r="D2738" t="s">
        <v>14127</v>
      </c>
      <c r="F2738">
        <v>1978</v>
      </c>
      <c r="H2738" t="s">
        <v>1878</v>
      </c>
      <c r="I2738">
        <v>3</v>
      </c>
      <c r="K2738" t="s">
        <v>14332</v>
      </c>
      <c r="L2738" s="222">
        <v>9783405119317</v>
      </c>
      <c r="M2738">
        <v>176</v>
      </c>
      <c r="O2738" t="s">
        <v>12266</v>
      </c>
      <c r="P2738">
        <v>277</v>
      </c>
      <c r="Q2738">
        <v>2.29</v>
      </c>
    </row>
    <row r="2739" spans="1:17" x14ac:dyDescent="0.25">
      <c r="A2739">
        <v>2522</v>
      </c>
      <c r="B2739" t="s">
        <v>2892</v>
      </c>
      <c r="C2739" t="s">
        <v>14129</v>
      </c>
      <c r="D2739" t="s">
        <v>2209</v>
      </c>
      <c r="E2739" t="s">
        <v>2175</v>
      </c>
      <c r="F2739">
        <v>2000</v>
      </c>
      <c r="H2739" t="s">
        <v>1878</v>
      </c>
      <c r="I2739">
        <v>3</v>
      </c>
      <c r="K2739" t="s">
        <v>14332</v>
      </c>
      <c r="L2739" s="222">
        <v>9783453171862</v>
      </c>
      <c r="M2739">
        <v>1008</v>
      </c>
      <c r="O2739" t="s">
        <v>12267</v>
      </c>
      <c r="P2739">
        <v>545</v>
      </c>
      <c r="Q2739">
        <v>1.67</v>
      </c>
    </row>
    <row r="2740" spans="1:17" x14ac:dyDescent="0.25">
      <c r="A2740">
        <v>632</v>
      </c>
      <c r="B2740" t="s">
        <v>14131</v>
      </c>
      <c r="C2740" t="s">
        <v>14132</v>
      </c>
      <c r="D2740" t="s">
        <v>2300</v>
      </c>
      <c r="E2740" t="s">
        <v>1877</v>
      </c>
      <c r="F2740">
        <v>2008</v>
      </c>
      <c r="H2740" t="s">
        <v>1878</v>
      </c>
      <c r="I2740">
        <v>3</v>
      </c>
      <c r="K2740" t="s">
        <v>14332</v>
      </c>
      <c r="L2740" s="222">
        <v>9783499246500</v>
      </c>
      <c r="M2740">
        <v>592</v>
      </c>
      <c r="O2740" t="s">
        <v>12268</v>
      </c>
      <c r="P2740">
        <v>535</v>
      </c>
      <c r="Q2740">
        <v>2.14</v>
      </c>
    </row>
    <row r="2741" spans="1:17" x14ac:dyDescent="0.25">
      <c r="A2741">
        <v>1008</v>
      </c>
      <c r="B2741" t="s">
        <v>14134</v>
      </c>
      <c r="C2741" t="s">
        <v>14135</v>
      </c>
      <c r="D2741" t="s">
        <v>1912</v>
      </c>
      <c r="E2741" t="s">
        <v>2412</v>
      </c>
      <c r="F2741">
        <v>2004</v>
      </c>
      <c r="H2741" t="s">
        <v>1878</v>
      </c>
      <c r="I2741">
        <v>3</v>
      </c>
      <c r="K2741" t="s">
        <v>14332</v>
      </c>
      <c r="L2741" s="222">
        <v>9783442153305</v>
      </c>
      <c r="M2741">
        <v>606</v>
      </c>
      <c r="O2741" t="s">
        <v>12269</v>
      </c>
      <c r="P2741">
        <v>400</v>
      </c>
      <c r="Q2741">
        <v>1.59</v>
      </c>
    </row>
  </sheetData>
  <autoFilter ref="A2:S2741" xr:uid="{A971E735-6449-430F-A4FC-1F9A924B8D33}"/>
  <pageMargins left="0.7" right="0.7" top="0.78740157499999996" bottom="0.78740157499999996" header="0.3" footer="0.3"/>
  <pageSetup paperSize="13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AE78-C78D-4610-B7A4-28458E40CA5B}">
  <dimension ref="A3:G9"/>
  <sheetViews>
    <sheetView workbookViewId="0">
      <selection activeCell="B5" sqref="B5:G5"/>
    </sheetView>
  </sheetViews>
  <sheetFormatPr baseColWidth="10" defaultRowHeight="13.2" x14ac:dyDescent="0.25"/>
  <cols>
    <col min="1" max="1" width="11.44140625" style="197"/>
  </cols>
  <sheetData>
    <row r="3" spans="1:7" x14ac:dyDescent="0.25">
      <c r="B3" s="225">
        <v>43739</v>
      </c>
      <c r="C3" s="225">
        <v>43770</v>
      </c>
      <c r="D3" s="225">
        <v>43800</v>
      </c>
      <c r="E3" s="225">
        <v>43831</v>
      </c>
      <c r="F3" s="225">
        <v>43862</v>
      </c>
      <c r="G3" s="225">
        <v>43891</v>
      </c>
    </row>
    <row r="5" spans="1:7" x14ac:dyDescent="0.25">
      <c r="A5" s="197" t="s">
        <v>9678</v>
      </c>
      <c r="B5" s="226">
        <f>Tabelle4!D2</f>
        <v>87.21</v>
      </c>
      <c r="C5" s="226">
        <f>Tabelle4!E2</f>
        <v>106.72999999999999</v>
      </c>
      <c r="D5" s="226">
        <f>Tabelle4!F2</f>
        <v>161.33999999999992</v>
      </c>
      <c r="E5" s="226">
        <f>Tabelle4!G2</f>
        <v>66.16</v>
      </c>
      <c r="F5" s="226">
        <f>Tabelle4!H2</f>
        <v>0</v>
      </c>
      <c r="G5" s="226">
        <f>Tabelle4!I2</f>
        <v>0</v>
      </c>
    </row>
    <row r="6" spans="1:7" x14ac:dyDescent="0.25">
      <c r="A6" s="197" t="s">
        <v>9679</v>
      </c>
      <c r="B6" s="226">
        <f>SUM('Hörbücher kalk'!Y2:Y5000)</f>
        <v>0</v>
      </c>
      <c r="C6" s="226">
        <f>SUM('Hörbücher kalk'!Z2:Z5000)</f>
        <v>0</v>
      </c>
      <c r="D6" s="226">
        <f>SUM('Hörbücher kalk'!AA2:AA5000)</f>
        <v>0</v>
      </c>
    </row>
    <row r="7" spans="1:7" x14ac:dyDescent="0.25">
      <c r="A7" s="197" t="s">
        <v>9680</v>
      </c>
      <c r="B7" s="226">
        <f>SUM('Filme kalk'!AC2:AC5000)</f>
        <v>0</v>
      </c>
      <c r="C7" s="226">
        <f>SUM('Filme kalk'!AD2:AD5000)</f>
        <v>0</v>
      </c>
      <c r="D7" s="226">
        <f>SUM('Filme kalk'!AE2:AE5000)</f>
        <v>0</v>
      </c>
    </row>
    <row r="8" spans="1:7" x14ac:dyDescent="0.25">
      <c r="A8" s="197" t="s">
        <v>9681</v>
      </c>
      <c r="B8" s="226">
        <f>SUM('Musik kalk'!Y2:Y5000)</f>
        <v>0</v>
      </c>
      <c r="C8" s="226">
        <f>SUM('Musik kalk'!Z2:Z5000)</f>
        <v>0</v>
      </c>
      <c r="D8" s="226">
        <f>SUM('Musik kalk'!AA2:AA5000)</f>
        <v>0</v>
      </c>
    </row>
    <row r="9" spans="1:7" x14ac:dyDescent="0.25">
      <c r="A9" s="197" t="s">
        <v>9682</v>
      </c>
      <c r="B9" s="226">
        <f>SUM('Spiele kalk'!X2:X5000)</f>
        <v>0</v>
      </c>
      <c r="C9" s="226">
        <f>SUM('Spiele kalk'!Y2:Y5000)</f>
        <v>1.7099999999999997</v>
      </c>
      <c r="D9" s="226">
        <f>SUM('Spiele kalk'!Z2:Z5000)</f>
        <v>23.54</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EE02-11F0-418F-86CD-ADCA1782A6AC}">
  <dimension ref="A1:Z44"/>
  <sheetViews>
    <sheetView tabSelected="1" topLeftCell="A4" zoomScale="115" zoomScaleNormal="115" workbookViewId="0">
      <selection activeCell="H29" sqref="H29"/>
    </sheetView>
  </sheetViews>
  <sheetFormatPr baseColWidth="10" defaultColWidth="11" defaultRowHeight="13.2" x14ac:dyDescent="0.25"/>
  <cols>
    <col min="1" max="1" width="11" style="1"/>
    <col min="2" max="2" width="8.88671875" style="1" customWidth="1"/>
    <col min="3" max="3" width="9.5546875" style="1" customWidth="1"/>
    <col min="4" max="5" width="9.33203125" style="1" customWidth="1"/>
    <col min="6" max="6" width="5.33203125" style="1" customWidth="1"/>
    <col min="7" max="7" width="6.5546875" style="1" customWidth="1"/>
    <col min="8" max="8" width="9.33203125" style="1" customWidth="1"/>
    <col min="9" max="9" width="12.109375" style="16" customWidth="1"/>
    <col min="10" max="10" width="16.44140625" style="1" customWidth="1"/>
    <col min="11" max="11" width="9" style="1" customWidth="1"/>
    <col min="12" max="12" width="14" style="16" bestFit="1" customWidth="1"/>
    <col min="13" max="13" width="7.44140625" style="1" customWidth="1"/>
    <col min="14" max="14" width="8.44140625" style="1" customWidth="1"/>
    <col min="15" max="15" width="10.44140625" style="1" customWidth="1"/>
    <col min="16" max="16" width="13.44140625" style="17" customWidth="1"/>
    <col min="17" max="17" width="16.109375" style="18" customWidth="1"/>
    <col min="18" max="18" width="9.44140625" style="19" customWidth="1"/>
    <col min="19" max="19" width="9.6640625" style="20" customWidth="1"/>
    <col min="20" max="21" width="11" style="2"/>
    <col min="22" max="22" width="23.5546875" style="2" customWidth="1"/>
    <col min="23" max="23" width="12" style="2" customWidth="1"/>
    <col min="24" max="24" width="13.33203125" style="2" customWidth="1"/>
    <col min="25" max="25" width="11" style="2"/>
    <col min="26" max="26" width="38" style="2" customWidth="1"/>
    <col min="27" max="16384" width="11" style="2"/>
  </cols>
  <sheetData>
    <row r="1" spans="1:26" s="21" customFormat="1" x14ac:dyDescent="0.25">
      <c r="A1" s="21" t="s">
        <v>26</v>
      </c>
      <c r="B1" s="22" t="s">
        <v>27</v>
      </c>
      <c r="C1" s="23" t="s">
        <v>28</v>
      </c>
      <c r="D1" s="21" t="s">
        <v>29</v>
      </c>
      <c r="E1" s="21" t="s">
        <v>30</v>
      </c>
      <c r="F1" s="21" t="s">
        <v>31</v>
      </c>
      <c r="G1" s="21" t="s">
        <v>32</v>
      </c>
      <c r="H1" s="21" t="s">
        <v>33</v>
      </c>
      <c r="I1" s="24" t="s">
        <v>34</v>
      </c>
      <c r="J1" s="21" t="s">
        <v>35</v>
      </c>
      <c r="K1" s="21" t="s">
        <v>36</v>
      </c>
      <c r="L1" s="25" t="s">
        <v>37</v>
      </c>
      <c r="M1" s="21" t="s">
        <v>38</v>
      </c>
      <c r="N1" s="21" t="s">
        <v>39</v>
      </c>
      <c r="O1" s="21" t="s">
        <v>40</v>
      </c>
      <c r="P1" s="26" t="s">
        <v>41</v>
      </c>
      <c r="Q1" s="27" t="s">
        <v>42</v>
      </c>
      <c r="R1" s="28" t="s">
        <v>43</v>
      </c>
      <c r="S1" s="29" t="s">
        <v>43</v>
      </c>
      <c r="T1" s="21" t="s">
        <v>44</v>
      </c>
      <c r="U1" s="21" t="s">
        <v>45</v>
      </c>
      <c r="V1" s="21" t="s">
        <v>46</v>
      </c>
      <c r="W1" s="21" t="s">
        <v>47</v>
      </c>
      <c r="X1" s="21" t="s">
        <v>48</v>
      </c>
      <c r="Y1" s="21" t="s">
        <v>49</v>
      </c>
      <c r="Z1" s="21" t="s">
        <v>50</v>
      </c>
    </row>
    <row r="2" spans="1:26" x14ac:dyDescent="0.25">
      <c r="A2" s="1">
        <v>1972</v>
      </c>
      <c r="B2" s="1" t="s">
        <v>14522</v>
      </c>
      <c r="C2" s="1" t="s">
        <v>14523</v>
      </c>
      <c r="D2" s="1" t="s">
        <v>14524</v>
      </c>
      <c r="F2" s="1">
        <v>1966</v>
      </c>
      <c r="H2" s="1" t="s">
        <v>2963</v>
      </c>
      <c r="I2" s="16" t="s">
        <v>1879</v>
      </c>
      <c r="K2" s="1" t="s">
        <v>1881</v>
      </c>
      <c r="M2" s="1">
        <v>128</v>
      </c>
      <c r="O2" s="1" t="s">
        <v>12156</v>
      </c>
      <c r="P2" s="17">
        <v>358</v>
      </c>
      <c r="Q2" s="18">
        <v>4.3999999999999995</v>
      </c>
    </row>
    <row r="3" spans="1:26" x14ac:dyDescent="0.25">
      <c r="A3" s="1">
        <v>1310</v>
      </c>
      <c r="B3" s="1" t="s">
        <v>14525</v>
      </c>
      <c r="C3" s="1" t="s">
        <v>14526</v>
      </c>
      <c r="D3" s="1" t="s">
        <v>2901</v>
      </c>
      <c r="F3" s="1">
        <v>1957</v>
      </c>
      <c r="H3" s="1" t="s">
        <v>2963</v>
      </c>
      <c r="I3" s="16" t="s">
        <v>1879</v>
      </c>
      <c r="J3" s="1" t="s">
        <v>14527</v>
      </c>
      <c r="K3" s="1" t="s">
        <v>1881</v>
      </c>
      <c r="M3" s="1">
        <v>518</v>
      </c>
      <c r="O3" s="1" t="s">
        <v>12157</v>
      </c>
      <c r="P3" s="17">
        <v>618</v>
      </c>
      <c r="Q3" s="18">
        <v>7.7499999999999991</v>
      </c>
    </row>
    <row r="4" spans="1:26" x14ac:dyDescent="0.25">
      <c r="A4" s="1">
        <v>229</v>
      </c>
      <c r="B4" s="1" t="s">
        <v>14528</v>
      </c>
      <c r="C4" s="1" t="s">
        <v>14529</v>
      </c>
      <c r="D4" s="1" t="s">
        <v>14530</v>
      </c>
      <c r="E4" s="1" t="s">
        <v>2922</v>
      </c>
      <c r="F4" s="1">
        <v>1995</v>
      </c>
      <c r="H4" s="1" t="s">
        <v>1878</v>
      </c>
      <c r="I4" s="16" t="s">
        <v>1879</v>
      </c>
      <c r="K4" s="1" t="s">
        <v>1881</v>
      </c>
      <c r="M4" s="1">
        <v>242</v>
      </c>
      <c r="O4" s="1" t="s">
        <v>12158</v>
      </c>
      <c r="P4" s="17">
        <v>292</v>
      </c>
      <c r="Q4" s="18">
        <v>1.5799999999999996</v>
      </c>
    </row>
    <row r="5" spans="1:26" x14ac:dyDescent="0.25">
      <c r="A5" s="1">
        <v>8</v>
      </c>
      <c r="B5" s="1" t="s">
        <v>14531</v>
      </c>
      <c r="C5" s="1" t="s">
        <v>14532</v>
      </c>
      <c r="D5" s="1" t="s">
        <v>14524</v>
      </c>
      <c r="E5" s="1" t="s">
        <v>2375</v>
      </c>
      <c r="F5" s="1">
        <v>2001</v>
      </c>
      <c r="H5" s="1" t="s">
        <v>1878</v>
      </c>
      <c r="I5" s="16" t="s">
        <v>1914</v>
      </c>
      <c r="K5" s="1" t="s">
        <v>1881</v>
      </c>
      <c r="M5" s="1">
        <v>346</v>
      </c>
      <c r="O5" s="1" t="s">
        <v>12159</v>
      </c>
      <c r="P5" s="17">
        <v>291</v>
      </c>
      <c r="Q5" s="18">
        <v>1.8599999999999994</v>
      </c>
    </row>
    <row r="6" spans="1:26" x14ac:dyDescent="0.25">
      <c r="A6" s="1">
        <v>2553</v>
      </c>
      <c r="B6" s="1" t="s">
        <v>3637</v>
      </c>
      <c r="C6" s="1" t="s">
        <v>14210</v>
      </c>
      <c r="D6" s="1" t="s">
        <v>2424</v>
      </c>
      <c r="F6" s="1">
        <v>2009</v>
      </c>
      <c r="H6" s="1" t="s">
        <v>2734</v>
      </c>
      <c r="I6" s="16" t="s">
        <v>1879</v>
      </c>
      <c r="K6" s="1" t="s">
        <v>1881</v>
      </c>
      <c r="L6" s="16" t="s">
        <v>14211</v>
      </c>
      <c r="M6" s="1">
        <v>626</v>
      </c>
      <c r="O6" s="1" t="s">
        <v>12270</v>
      </c>
      <c r="P6" s="17">
        <v>829</v>
      </c>
      <c r="Q6" s="18">
        <v>2.34</v>
      </c>
    </row>
    <row r="7" spans="1:26" x14ac:dyDescent="0.25">
      <c r="A7" s="1">
        <v>928</v>
      </c>
      <c r="B7" s="1" t="s">
        <v>14212</v>
      </c>
      <c r="C7" s="1" t="s">
        <v>14213</v>
      </c>
      <c r="D7" s="1" t="s">
        <v>1920</v>
      </c>
      <c r="E7" s="1" t="s">
        <v>4259</v>
      </c>
      <c r="F7" s="1">
        <v>1992</v>
      </c>
      <c r="H7" s="1" t="s">
        <v>1878</v>
      </c>
      <c r="I7" s="16" t="s">
        <v>1914</v>
      </c>
      <c r="K7" s="1" t="s">
        <v>1881</v>
      </c>
      <c r="L7" s="16" t="s">
        <v>14214</v>
      </c>
      <c r="M7" s="1">
        <v>562</v>
      </c>
      <c r="O7" s="1" t="s">
        <v>12271</v>
      </c>
      <c r="P7" s="17">
        <v>439</v>
      </c>
      <c r="Q7" s="18">
        <v>1.7399999999999998</v>
      </c>
    </row>
    <row r="8" spans="1:26" x14ac:dyDescent="0.25">
      <c r="A8" s="1">
        <v>1374</v>
      </c>
      <c r="B8" s="1" t="s">
        <v>14215</v>
      </c>
      <c r="C8" s="1" t="s">
        <v>14216</v>
      </c>
      <c r="D8" s="1" t="s">
        <v>1876</v>
      </c>
      <c r="E8" s="1" t="s">
        <v>1921</v>
      </c>
      <c r="F8" s="1">
        <v>2011</v>
      </c>
      <c r="H8" s="1" t="s">
        <v>1878</v>
      </c>
      <c r="I8" s="16" t="s">
        <v>1879</v>
      </c>
      <c r="J8" s="1" t="s">
        <v>14217</v>
      </c>
      <c r="K8" s="1" t="s">
        <v>1881</v>
      </c>
      <c r="L8" s="16" t="s">
        <v>14218</v>
      </c>
      <c r="M8" s="1">
        <v>272</v>
      </c>
      <c r="O8" s="1" t="s">
        <v>12272</v>
      </c>
      <c r="P8" s="17">
        <v>265</v>
      </c>
      <c r="Q8" s="18">
        <v>1.9900000000000002</v>
      </c>
    </row>
    <row r="9" spans="1:26" x14ac:dyDescent="0.25">
      <c r="A9" s="1">
        <v>1352</v>
      </c>
      <c r="B9" s="1" t="s">
        <v>14219</v>
      </c>
      <c r="C9" s="1" t="s">
        <v>14220</v>
      </c>
      <c r="D9" s="1" t="s">
        <v>5005</v>
      </c>
      <c r="H9" s="1" t="s">
        <v>2734</v>
      </c>
      <c r="I9" s="16" t="s">
        <v>1914</v>
      </c>
      <c r="K9" s="1" t="s">
        <v>1881</v>
      </c>
      <c r="M9" s="1">
        <v>450</v>
      </c>
      <c r="O9" s="1" t="s">
        <v>12273</v>
      </c>
      <c r="P9" s="17">
        <v>384</v>
      </c>
      <c r="Q9" s="18">
        <v>1.65</v>
      </c>
    </row>
    <row r="10" spans="1:26" x14ac:dyDescent="0.25">
      <c r="A10" s="1">
        <v>686</v>
      </c>
      <c r="B10" s="1" t="s">
        <v>14221</v>
      </c>
      <c r="C10" s="1" t="s">
        <v>14222</v>
      </c>
      <c r="D10" s="1" t="s">
        <v>2007</v>
      </c>
      <c r="E10" s="1" t="s">
        <v>1913</v>
      </c>
      <c r="F10" s="1">
        <v>1945</v>
      </c>
      <c r="H10" s="1" t="s">
        <v>2008</v>
      </c>
      <c r="I10" s="16" t="s">
        <v>1914</v>
      </c>
      <c r="K10" s="1" t="s">
        <v>1881</v>
      </c>
      <c r="M10" s="1">
        <v>136</v>
      </c>
      <c r="O10" s="1" t="s">
        <v>12274</v>
      </c>
      <c r="P10" s="17">
        <v>62</v>
      </c>
      <c r="Q10" s="18">
        <v>9.5500000000000007</v>
      </c>
    </row>
    <row r="11" spans="1:26" x14ac:dyDescent="0.25">
      <c r="A11" s="1">
        <v>2957</v>
      </c>
      <c r="C11" s="1" t="s">
        <v>14223</v>
      </c>
      <c r="D11" s="1" t="s">
        <v>2007</v>
      </c>
      <c r="F11" s="1">
        <v>1962</v>
      </c>
      <c r="H11" s="1" t="s">
        <v>2008</v>
      </c>
      <c r="I11" s="16" t="s">
        <v>1914</v>
      </c>
      <c r="K11" s="1" t="s">
        <v>1881</v>
      </c>
      <c r="M11" s="1">
        <v>88</v>
      </c>
      <c r="O11" s="1" t="s">
        <v>12275</v>
      </c>
      <c r="P11" s="17">
        <v>45</v>
      </c>
      <c r="Q11" s="18">
        <v>3.41</v>
      </c>
    </row>
    <row r="12" spans="1:26" x14ac:dyDescent="0.25">
      <c r="A12" s="1">
        <v>1348</v>
      </c>
      <c r="B12" s="1" t="s">
        <v>14224</v>
      </c>
      <c r="C12" s="1" t="s">
        <v>8717</v>
      </c>
      <c r="D12" s="1" t="s">
        <v>2300</v>
      </c>
      <c r="F12" s="1">
        <v>1965</v>
      </c>
      <c r="H12" s="1" t="s">
        <v>2008</v>
      </c>
      <c r="I12" s="16" t="s">
        <v>1914</v>
      </c>
      <c r="K12" s="1" t="s">
        <v>1881</v>
      </c>
      <c r="M12" s="1">
        <v>178</v>
      </c>
      <c r="O12" s="1" t="s">
        <v>12276</v>
      </c>
      <c r="P12" s="17">
        <v>128</v>
      </c>
      <c r="Q12" s="18">
        <v>1.4</v>
      </c>
    </row>
    <row r="13" spans="1:26" x14ac:dyDescent="0.25">
      <c r="A13" s="1">
        <v>983</v>
      </c>
      <c r="B13" s="1" t="s">
        <v>14221</v>
      </c>
      <c r="C13" s="1" t="s">
        <v>14225</v>
      </c>
      <c r="D13" s="1" t="s">
        <v>2007</v>
      </c>
      <c r="F13" s="1">
        <v>1966</v>
      </c>
      <c r="H13" s="1" t="s">
        <v>2008</v>
      </c>
      <c r="I13" s="16" t="s">
        <v>1914</v>
      </c>
      <c r="J13" s="1" t="s">
        <v>14226</v>
      </c>
      <c r="K13" s="1" t="s">
        <v>1881</v>
      </c>
      <c r="M13" s="1">
        <v>112</v>
      </c>
      <c r="O13" s="1" t="s">
        <v>12277</v>
      </c>
      <c r="P13" s="17">
        <v>56</v>
      </c>
      <c r="Q13" s="18">
        <v>0.98999999999999977</v>
      </c>
    </row>
    <row r="14" spans="1:26" x14ac:dyDescent="0.25">
      <c r="A14" s="1">
        <v>1325</v>
      </c>
      <c r="B14" s="1" t="s">
        <v>14227</v>
      </c>
      <c r="C14" s="1" t="s">
        <v>14228</v>
      </c>
      <c r="D14" s="1" t="s">
        <v>14229</v>
      </c>
      <c r="H14" s="1" t="s">
        <v>2734</v>
      </c>
      <c r="I14" s="16" t="s">
        <v>1929</v>
      </c>
      <c r="K14" s="1" t="s">
        <v>1881</v>
      </c>
      <c r="L14" s="16" t="s">
        <v>14230</v>
      </c>
      <c r="M14" s="1">
        <v>130</v>
      </c>
      <c r="O14" s="1" t="s">
        <v>12278</v>
      </c>
      <c r="P14" s="17">
        <v>113</v>
      </c>
      <c r="Q14" s="18">
        <v>2.9799999999999995</v>
      </c>
    </row>
    <row r="15" spans="1:26" x14ac:dyDescent="0.25">
      <c r="A15" s="1">
        <v>1327</v>
      </c>
      <c r="B15" s="1" t="s">
        <v>14231</v>
      </c>
      <c r="C15" s="1" t="s">
        <v>14232</v>
      </c>
      <c r="D15" s="1" t="s">
        <v>1876</v>
      </c>
      <c r="E15" s="1" t="s">
        <v>14233</v>
      </c>
      <c r="H15" s="1" t="s">
        <v>2734</v>
      </c>
      <c r="I15" s="16" t="s">
        <v>1879</v>
      </c>
      <c r="J15" s="1" t="s">
        <v>2505</v>
      </c>
      <c r="K15" s="1" t="s">
        <v>1881</v>
      </c>
      <c r="M15" s="1">
        <v>430</v>
      </c>
      <c r="O15" s="1" t="s">
        <v>12279</v>
      </c>
      <c r="P15" s="17">
        <v>538</v>
      </c>
      <c r="Q15" s="18">
        <v>2.7199999999999998</v>
      </c>
    </row>
    <row r="16" spans="1:26" x14ac:dyDescent="0.25">
      <c r="A16" s="1">
        <v>796</v>
      </c>
      <c r="B16" s="1" t="s">
        <v>8747</v>
      </c>
      <c r="C16" s="1" t="s">
        <v>8748</v>
      </c>
      <c r="D16" s="1" t="s">
        <v>2257</v>
      </c>
      <c r="F16" s="1">
        <v>2011</v>
      </c>
      <c r="H16" s="1" t="s">
        <v>1878</v>
      </c>
      <c r="I16" s="16" t="s">
        <v>1914</v>
      </c>
      <c r="K16" s="1" t="s">
        <v>1881</v>
      </c>
      <c r="L16" s="16" t="s">
        <v>8749</v>
      </c>
      <c r="M16" s="1">
        <v>864</v>
      </c>
      <c r="O16" s="1" t="s">
        <v>12280</v>
      </c>
      <c r="P16" s="17">
        <v>540</v>
      </c>
      <c r="Q16" s="18">
        <v>2.7800000000000002</v>
      </c>
    </row>
    <row r="17" spans="1:17" x14ac:dyDescent="0.25">
      <c r="A17" s="1">
        <v>1327</v>
      </c>
      <c r="B17" s="1" t="s">
        <v>4816</v>
      </c>
      <c r="C17" s="1" t="s">
        <v>14234</v>
      </c>
      <c r="D17" s="1" t="s">
        <v>2257</v>
      </c>
      <c r="F17" s="1">
        <v>2005</v>
      </c>
      <c r="H17" s="1" t="s">
        <v>1878</v>
      </c>
      <c r="I17" s="16" t="s">
        <v>1914</v>
      </c>
      <c r="J17" s="1" t="s">
        <v>3854</v>
      </c>
      <c r="K17" s="1" t="s">
        <v>1881</v>
      </c>
      <c r="L17" s="16" t="s">
        <v>14235</v>
      </c>
      <c r="M17" s="1">
        <v>512</v>
      </c>
      <c r="O17" s="1" t="s">
        <v>12281</v>
      </c>
      <c r="P17" s="17">
        <v>384</v>
      </c>
      <c r="Q17" s="18">
        <v>1.6399999999999997</v>
      </c>
    </row>
    <row r="18" spans="1:17" x14ac:dyDescent="0.25">
      <c r="A18" s="1">
        <v>1327</v>
      </c>
      <c r="B18" s="1" t="s">
        <v>14311</v>
      </c>
      <c r="C18" s="1" t="s">
        <v>14312</v>
      </c>
      <c r="D18" s="1" t="s">
        <v>2901</v>
      </c>
      <c r="F18" s="1">
        <v>1956</v>
      </c>
      <c r="H18" s="1" t="s">
        <v>2734</v>
      </c>
      <c r="I18" s="16" t="s">
        <v>1914</v>
      </c>
      <c r="K18" s="1" t="s">
        <v>1881</v>
      </c>
      <c r="M18" s="1">
        <v>578</v>
      </c>
      <c r="O18" s="1" t="s">
        <v>12282</v>
      </c>
      <c r="P18" s="17">
        <v>729</v>
      </c>
      <c r="Q18" s="18">
        <v>7.79</v>
      </c>
    </row>
    <row r="19" spans="1:17" x14ac:dyDescent="0.25">
      <c r="A19" s="1">
        <v>689</v>
      </c>
      <c r="B19" s="1" t="s">
        <v>14313</v>
      </c>
      <c r="C19" s="1" t="s">
        <v>14314</v>
      </c>
      <c r="D19" s="1" t="s">
        <v>2209</v>
      </c>
      <c r="F19" s="1">
        <v>2006</v>
      </c>
      <c r="H19" s="1" t="s">
        <v>1878</v>
      </c>
      <c r="I19" s="16" t="s">
        <v>1879</v>
      </c>
      <c r="K19" s="1" t="s">
        <v>1881</v>
      </c>
      <c r="L19" s="16" t="s">
        <v>14315</v>
      </c>
      <c r="M19" s="1">
        <v>384</v>
      </c>
      <c r="O19" s="1" t="s">
        <v>12283</v>
      </c>
      <c r="P19" s="17">
        <v>315</v>
      </c>
      <c r="Q19" s="18">
        <v>1.8999999999999995</v>
      </c>
    </row>
    <row r="20" spans="1:17" x14ac:dyDescent="0.25">
      <c r="A20" s="1">
        <v>796</v>
      </c>
      <c r="B20" s="1" t="s">
        <v>14316</v>
      </c>
      <c r="C20" s="1" t="s">
        <v>14317</v>
      </c>
      <c r="D20" s="1" t="s">
        <v>1912</v>
      </c>
      <c r="E20" s="1" t="s">
        <v>1877</v>
      </c>
      <c r="F20" s="1">
        <v>2008</v>
      </c>
      <c r="H20" s="1" t="s">
        <v>1878</v>
      </c>
      <c r="I20" s="16" t="s">
        <v>1879</v>
      </c>
      <c r="J20" s="1" t="s">
        <v>3854</v>
      </c>
      <c r="K20" s="1" t="s">
        <v>1881</v>
      </c>
      <c r="L20" s="16" t="s">
        <v>14318</v>
      </c>
      <c r="O20" s="1" t="s">
        <v>12284</v>
      </c>
      <c r="P20" s="17">
        <v>313</v>
      </c>
      <c r="Q20" s="18">
        <v>0.69</v>
      </c>
    </row>
    <row r="21" spans="1:17" x14ac:dyDescent="0.25">
      <c r="A21" s="1">
        <v>632</v>
      </c>
      <c r="B21" s="1" t="s">
        <v>14319</v>
      </c>
      <c r="C21" s="1" t="s">
        <v>14320</v>
      </c>
      <c r="D21" s="1" t="s">
        <v>2300</v>
      </c>
      <c r="E21" s="1" t="s">
        <v>1921</v>
      </c>
      <c r="F21" s="1">
        <v>2000</v>
      </c>
      <c r="H21" s="1" t="s">
        <v>1878</v>
      </c>
      <c r="I21" s="16" t="s">
        <v>1879</v>
      </c>
      <c r="K21" s="1" t="s">
        <v>1881</v>
      </c>
      <c r="L21" s="16" t="s">
        <v>14321</v>
      </c>
      <c r="M21" s="1">
        <v>288</v>
      </c>
      <c r="O21" s="1" t="s">
        <v>12285</v>
      </c>
      <c r="P21" s="17">
        <v>264</v>
      </c>
      <c r="Q21" s="18">
        <v>2.2000000000000002</v>
      </c>
    </row>
    <row r="22" spans="1:17" x14ac:dyDescent="0.25">
      <c r="A22" s="1">
        <v>1395</v>
      </c>
      <c r="B22" s="1" t="s">
        <v>2384</v>
      </c>
      <c r="C22" s="1" t="s">
        <v>14322</v>
      </c>
      <c r="D22" s="1" t="s">
        <v>4930</v>
      </c>
      <c r="F22" s="1">
        <v>2000</v>
      </c>
      <c r="H22" s="1" t="s">
        <v>2734</v>
      </c>
      <c r="I22" s="16" t="s">
        <v>1879</v>
      </c>
      <c r="K22" s="1" t="s">
        <v>1881</v>
      </c>
      <c r="M22" s="1">
        <v>258</v>
      </c>
      <c r="O22" s="1" t="s">
        <v>12286</v>
      </c>
      <c r="P22" s="17">
        <v>331</v>
      </c>
      <c r="Q22" s="18">
        <v>2.6499999999999995</v>
      </c>
    </row>
    <row r="23" spans="1:17" x14ac:dyDescent="0.25">
      <c r="A23" s="1">
        <v>2627</v>
      </c>
      <c r="B23" s="1" t="s">
        <v>14323</v>
      </c>
      <c r="C23" s="1" t="s">
        <v>14324</v>
      </c>
      <c r="D23" s="1" t="s">
        <v>14325</v>
      </c>
      <c r="F23" s="1">
        <v>1954</v>
      </c>
      <c r="H23" s="1" t="s">
        <v>1878</v>
      </c>
      <c r="I23" s="16" t="s">
        <v>1914</v>
      </c>
      <c r="K23" s="1" t="s">
        <v>1881</v>
      </c>
      <c r="M23" s="1">
        <v>552</v>
      </c>
      <c r="O23" s="1" t="s">
        <v>12287</v>
      </c>
      <c r="P23" s="17">
        <v>269</v>
      </c>
      <c r="Q23" s="18">
        <v>13.059999999999999</v>
      </c>
    </row>
    <row r="24" spans="1:17" x14ac:dyDescent="0.25">
      <c r="A24" s="1">
        <v>2516</v>
      </c>
      <c r="B24" s="1" t="s">
        <v>14326</v>
      </c>
      <c r="C24" s="1" t="s">
        <v>14327</v>
      </c>
      <c r="D24" s="1" t="s">
        <v>1912</v>
      </c>
      <c r="E24" s="1" t="s">
        <v>1913</v>
      </c>
      <c r="F24" s="1">
        <v>2004</v>
      </c>
      <c r="H24" s="1" t="s">
        <v>1878</v>
      </c>
      <c r="I24" s="16" t="s">
        <v>1914</v>
      </c>
      <c r="K24" s="1" t="s">
        <v>1881</v>
      </c>
      <c r="L24" s="16" t="s">
        <v>14328</v>
      </c>
      <c r="M24" s="1">
        <v>418</v>
      </c>
      <c r="O24" s="1" t="s">
        <v>12288</v>
      </c>
      <c r="P24" s="17">
        <v>415</v>
      </c>
      <c r="Q24" s="18">
        <v>2.1099999999999994</v>
      </c>
    </row>
    <row r="25" spans="1:17" x14ac:dyDescent="0.25">
      <c r="A25" s="1">
        <v>2551</v>
      </c>
      <c r="B25" s="1" t="s">
        <v>5033</v>
      </c>
      <c r="C25" s="1" t="s">
        <v>14329</v>
      </c>
      <c r="D25" s="1" t="s">
        <v>5005</v>
      </c>
      <c r="F25" s="1">
        <v>2003</v>
      </c>
      <c r="H25" s="1" t="s">
        <v>2734</v>
      </c>
      <c r="I25" s="16" t="s">
        <v>1879</v>
      </c>
      <c r="K25" s="1" t="s">
        <v>1881</v>
      </c>
      <c r="M25" s="1">
        <v>514</v>
      </c>
      <c r="O25" s="1" t="s">
        <v>12289</v>
      </c>
      <c r="P25" s="17">
        <v>615</v>
      </c>
      <c r="Q25" s="18">
        <v>1.02</v>
      </c>
    </row>
    <row r="26" spans="1:17" x14ac:dyDescent="0.25">
      <c r="A26" s="1">
        <v>163</v>
      </c>
      <c r="B26" s="1" t="s">
        <v>14559</v>
      </c>
      <c r="C26" s="1" t="s">
        <v>14560</v>
      </c>
      <c r="D26" s="1" t="s">
        <v>12833</v>
      </c>
      <c r="E26" s="1" t="s">
        <v>1913</v>
      </c>
      <c r="F26" s="1">
        <v>2010</v>
      </c>
      <c r="H26" s="1" t="s">
        <v>2963</v>
      </c>
      <c r="I26" s="16" t="s">
        <v>1879</v>
      </c>
      <c r="J26" s="1" t="s">
        <v>14561</v>
      </c>
      <c r="K26" s="1" t="s">
        <v>1881</v>
      </c>
      <c r="L26" s="16" t="s">
        <v>14562</v>
      </c>
      <c r="M26" s="1">
        <v>240</v>
      </c>
      <c r="O26" s="1" t="s">
        <v>12290</v>
      </c>
      <c r="P26" s="17">
        <v>395</v>
      </c>
      <c r="Q26" s="18">
        <v>6.28</v>
      </c>
    </row>
    <row r="27" spans="1:17" x14ac:dyDescent="0.25">
      <c r="A27" s="1">
        <v>1327</v>
      </c>
      <c r="B27" s="1" t="s">
        <v>14563</v>
      </c>
      <c r="C27" s="1" t="s">
        <v>14564</v>
      </c>
      <c r="D27" s="1" t="s">
        <v>2835</v>
      </c>
      <c r="F27" s="1">
        <v>1997</v>
      </c>
      <c r="H27" s="1" t="s">
        <v>1878</v>
      </c>
      <c r="I27" s="16" t="s">
        <v>1879</v>
      </c>
      <c r="J27" s="1" t="s">
        <v>9495</v>
      </c>
      <c r="K27" s="1" t="s">
        <v>1881</v>
      </c>
      <c r="L27" s="16" t="s">
        <v>14565</v>
      </c>
      <c r="M27" s="1">
        <v>126</v>
      </c>
      <c r="O27" s="1" t="s">
        <v>12291</v>
      </c>
      <c r="P27" s="17">
        <v>91</v>
      </c>
      <c r="Q27" s="18">
        <v>1.7199999999999998</v>
      </c>
    </row>
    <row r="28" spans="1:17" x14ac:dyDescent="0.25">
      <c r="A28" s="1">
        <v>632</v>
      </c>
      <c r="B28" s="1" t="s">
        <v>14566</v>
      </c>
      <c r="C28" s="1" t="s">
        <v>14567</v>
      </c>
      <c r="D28" s="1" t="s">
        <v>1876</v>
      </c>
      <c r="F28" s="1">
        <v>2005</v>
      </c>
      <c r="H28" s="1" t="s">
        <v>1878</v>
      </c>
      <c r="I28" s="16" t="s">
        <v>1879</v>
      </c>
      <c r="K28" s="1" t="s">
        <v>1881</v>
      </c>
      <c r="L28" s="16" t="s">
        <v>14568</v>
      </c>
      <c r="M28" s="1">
        <v>764</v>
      </c>
      <c r="O28" s="1" t="s">
        <v>12292</v>
      </c>
      <c r="P28" s="17">
        <v>627</v>
      </c>
      <c r="Q28" s="18">
        <v>1.1099999999999999</v>
      </c>
    </row>
    <row r="29" spans="1:17" x14ac:dyDescent="0.25">
      <c r="A29" s="1">
        <v>1809</v>
      </c>
      <c r="B29" s="1" t="s">
        <v>13738</v>
      </c>
      <c r="C29" s="1" t="s">
        <v>14569</v>
      </c>
      <c r="D29" s="1" t="s">
        <v>7332</v>
      </c>
      <c r="F29" s="1">
        <v>2010</v>
      </c>
      <c r="H29" s="1" t="s">
        <v>2963</v>
      </c>
      <c r="I29" s="16" t="s">
        <v>1929</v>
      </c>
      <c r="K29" s="1" t="s">
        <v>1881</v>
      </c>
      <c r="L29" s="16" t="s">
        <v>14570</v>
      </c>
      <c r="M29" s="1">
        <v>190</v>
      </c>
      <c r="O29" s="1" t="s">
        <v>12293</v>
      </c>
      <c r="P29" s="17">
        <v>407</v>
      </c>
      <c r="Q29" s="18">
        <v>2.13</v>
      </c>
    </row>
    <row r="30" spans="1:17" x14ac:dyDescent="0.25">
      <c r="A30" s="1">
        <v>1809</v>
      </c>
      <c r="B30" s="1" t="s">
        <v>13738</v>
      </c>
      <c r="C30" s="1" t="s">
        <v>14571</v>
      </c>
      <c r="D30" s="1" t="s">
        <v>7332</v>
      </c>
      <c r="E30" s="1" t="s">
        <v>1913</v>
      </c>
      <c r="F30" s="1">
        <v>2009</v>
      </c>
      <c r="H30" s="1" t="s">
        <v>2963</v>
      </c>
      <c r="I30" s="16" t="s">
        <v>1929</v>
      </c>
      <c r="K30" s="1" t="s">
        <v>1881</v>
      </c>
      <c r="L30" s="16" t="s">
        <v>14572</v>
      </c>
      <c r="M30" s="1">
        <v>174</v>
      </c>
      <c r="O30" s="1" t="s">
        <v>12294</v>
      </c>
      <c r="P30" s="17">
        <v>375</v>
      </c>
      <c r="Q30" s="18">
        <v>2.0300000000000002</v>
      </c>
    </row>
    <row r="31" spans="1:17" x14ac:dyDescent="0.25">
      <c r="A31" s="1">
        <v>1809</v>
      </c>
      <c r="B31" s="1" t="s">
        <v>13738</v>
      </c>
      <c r="C31" s="1" t="s">
        <v>14573</v>
      </c>
      <c r="D31" s="1" t="s">
        <v>7332</v>
      </c>
      <c r="E31" s="1" t="s">
        <v>1913</v>
      </c>
      <c r="F31" s="1">
        <v>2009</v>
      </c>
      <c r="H31" s="1" t="s">
        <v>2963</v>
      </c>
      <c r="I31" s="16" t="s">
        <v>1929</v>
      </c>
      <c r="K31" s="1" t="s">
        <v>1881</v>
      </c>
      <c r="L31" s="16" t="s">
        <v>14574</v>
      </c>
      <c r="M31" s="1">
        <v>189</v>
      </c>
      <c r="O31" s="1" t="s">
        <v>12295</v>
      </c>
      <c r="P31" s="17">
        <v>404</v>
      </c>
      <c r="Q31" s="18">
        <v>2.13</v>
      </c>
    </row>
    <row r="32" spans="1:17" x14ac:dyDescent="0.25">
      <c r="A32" s="1">
        <v>2598</v>
      </c>
      <c r="B32" s="1" t="s">
        <v>14575</v>
      </c>
      <c r="C32" s="1" t="s">
        <v>14576</v>
      </c>
      <c r="D32" s="1" t="s">
        <v>14577</v>
      </c>
      <c r="F32" s="1">
        <v>1998</v>
      </c>
      <c r="H32" s="1" t="s">
        <v>2963</v>
      </c>
      <c r="I32" s="16" t="s">
        <v>1879</v>
      </c>
      <c r="K32" s="1" t="s">
        <v>1881</v>
      </c>
      <c r="L32" s="16" t="s">
        <v>14578</v>
      </c>
      <c r="M32" s="1">
        <v>365</v>
      </c>
      <c r="O32" s="1" t="s">
        <v>12296</v>
      </c>
      <c r="P32" s="17">
        <v>618</v>
      </c>
      <c r="Q32" s="18">
        <v>1.83</v>
      </c>
    </row>
    <row r="33" spans="1:17" x14ac:dyDescent="0.25">
      <c r="A33" s="1">
        <v>724</v>
      </c>
      <c r="B33" s="1" t="s">
        <v>14579</v>
      </c>
      <c r="C33" s="1" t="s">
        <v>14580</v>
      </c>
      <c r="D33" s="1" t="s">
        <v>12833</v>
      </c>
      <c r="E33" s="1" t="s">
        <v>1899</v>
      </c>
      <c r="F33" s="1">
        <v>2018</v>
      </c>
      <c r="H33" s="1" t="s">
        <v>2963</v>
      </c>
      <c r="I33" s="16" t="s">
        <v>1879</v>
      </c>
      <c r="J33" s="1" t="s">
        <v>14581</v>
      </c>
      <c r="K33" s="1" t="s">
        <v>1881</v>
      </c>
      <c r="L33" s="16" t="s">
        <v>14582</v>
      </c>
      <c r="M33" s="1">
        <v>324</v>
      </c>
      <c r="O33" s="1" t="s">
        <v>12297</v>
      </c>
      <c r="P33" s="17">
        <v>585</v>
      </c>
      <c r="Q33" s="18">
        <v>7.79</v>
      </c>
    </row>
    <row r="34" spans="1:17" x14ac:dyDescent="0.25">
      <c r="A34" s="1">
        <v>765</v>
      </c>
      <c r="B34" s="1" t="s">
        <v>2097</v>
      </c>
      <c r="C34" s="1" t="s">
        <v>14583</v>
      </c>
      <c r="D34" s="1" t="s">
        <v>2368</v>
      </c>
      <c r="F34" s="1">
        <v>2011</v>
      </c>
      <c r="H34" s="1" t="s">
        <v>1878</v>
      </c>
      <c r="I34" s="16" t="s">
        <v>1879</v>
      </c>
      <c r="K34" s="1" t="s">
        <v>1881</v>
      </c>
      <c r="L34" s="16" t="s">
        <v>14584</v>
      </c>
      <c r="M34" s="1">
        <v>302</v>
      </c>
      <c r="O34" s="1" t="s">
        <v>12298</v>
      </c>
      <c r="P34" s="17">
        <v>343</v>
      </c>
      <c r="Q34" s="18">
        <v>1.67</v>
      </c>
    </row>
    <row r="35" spans="1:17" x14ac:dyDescent="0.25">
      <c r="A35" s="1">
        <v>1395</v>
      </c>
      <c r="B35" s="1" t="s">
        <v>5996</v>
      </c>
      <c r="C35" s="1" t="s">
        <v>14533</v>
      </c>
      <c r="D35" s="1" t="s">
        <v>2609</v>
      </c>
      <c r="E35" s="1" t="s">
        <v>1877</v>
      </c>
      <c r="F35" s="1">
        <v>2005</v>
      </c>
      <c r="H35" s="1" t="s">
        <v>1878</v>
      </c>
      <c r="I35" s="16" t="s">
        <v>1879</v>
      </c>
      <c r="K35" s="1" t="s">
        <v>1881</v>
      </c>
      <c r="L35" s="16" t="s">
        <v>14534</v>
      </c>
      <c r="M35" s="1">
        <v>320</v>
      </c>
      <c r="O35" s="1" t="s">
        <v>12320</v>
      </c>
      <c r="P35" s="17">
        <v>281</v>
      </c>
      <c r="Q35" s="18">
        <v>1.21</v>
      </c>
    </row>
    <row r="36" spans="1:17" x14ac:dyDescent="0.25">
      <c r="A36" s="1">
        <v>1395</v>
      </c>
      <c r="B36" s="1" t="s">
        <v>2695</v>
      </c>
      <c r="C36" s="1" t="s">
        <v>2696</v>
      </c>
      <c r="D36" s="1" t="s">
        <v>2609</v>
      </c>
      <c r="F36" s="1">
        <v>1997</v>
      </c>
      <c r="H36" s="1" t="s">
        <v>1878</v>
      </c>
      <c r="I36" s="16" t="s">
        <v>1879</v>
      </c>
      <c r="K36" s="1" t="s">
        <v>1881</v>
      </c>
      <c r="L36" s="16" t="s">
        <v>2697</v>
      </c>
      <c r="M36" s="1">
        <v>144</v>
      </c>
      <c r="O36" s="1" t="s">
        <v>12321</v>
      </c>
      <c r="P36" s="17">
        <v>161</v>
      </c>
      <c r="Q36" s="18">
        <v>0.69</v>
      </c>
    </row>
    <row r="37" spans="1:17" x14ac:dyDescent="0.25">
      <c r="A37" s="1">
        <v>2851</v>
      </c>
      <c r="B37" s="1" t="s">
        <v>14535</v>
      </c>
      <c r="C37" s="1" t="s">
        <v>14536</v>
      </c>
      <c r="D37" s="1" t="s">
        <v>2300</v>
      </c>
      <c r="E37" s="1" t="s">
        <v>1913</v>
      </c>
      <c r="F37" s="1">
        <v>1991</v>
      </c>
      <c r="H37" s="1" t="s">
        <v>1878</v>
      </c>
      <c r="I37" s="16" t="s">
        <v>1879</v>
      </c>
      <c r="K37" s="1" t="s">
        <v>1881</v>
      </c>
      <c r="L37" s="16" t="s">
        <v>14537</v>
      </c>
      <c r="M37" s="1">
        <v>304</v>
      </c>
      <c r="O37" s="1" t="s">
        <v>12322</v>
      </c>
      <c r="P37" s="17">
        <v>355</v>
      </c>
      <c r="Q37" s="18">
        <v>1.2999999999999998</v>
      </c>
    </row>
    <row r="38" spans="1:17" x14ac:dyDescent="0.25">
      <c r="A38" s="1">
        <v>1325</v>
      </c>
      <c r="B38" s="1" t="s">
        <v>14538</v>
      </c>
      <c r="C38" s="1" t="s">
        <v>14539</v>
      </c>
      <c r="D38" s="1" t="s">
        <v>9307</v>
      </c>
      <c r="F38" s="1">
        <v>2008</v>
      </c>
      <c r="H38" s="1" t="s">
        <v>1878</v>
      </c>
      <c r="I38" s="16" t="s">
        <v>1879</v>
      </c>
      <c r="K38" s="1" t="s">
        <v>1881</v>
      </c>
      <c r="L38" s="16" t="s">
        <v>14540</v>
      </c>
      <c r="M38" s="1">
        <v>96</v>
      </c>
      <c r="O38" s="1" t="s">
        <v>12323</v>
      </c>
      <c r="P38" s="17">
        <v>139</v>
      </c>
      <c r="Q38" s="18">
        <v>1</v>
      </c>
    </row>
    <row r="39" spans="1:17" x14ac:dyDescent="0.25">
      <c r="A39" s="1">
        <v>765</v>
      </c>
      <c r="B39" s="1" t="s">
        <v>14541</v>
      </c>
      <c r="C39" s="1" t="s">
        <v>14542</v>
      </c>
      <c r="D39" s="1" t="s">
        <v>14543</v>
      </c>
      <c r="E39" s="1" t="s">
        <v>1877</v>
      </c>
      <c r="F39" s="1">
        <v>2010</v>
      </c>
      <c r="H39" s="1" t="s">
        <v>1878</v>
      </c>
      <c r="I39" s="16" t="s">
        <v>1879</v>
      </c>
      <c r="K39" s="1" t="s">
        <v>1881</v>
      </c>
      <c r="L39" s="16" t="s">
        <v>14544</v>
      </c>
      <c r="M39" s="1">
        <v>176</v>
      </c>
      <c r="O39" s="1" t="s">
        <v>12324</v>
      </c>
      <c r="P39" s="17">
        <v>241</v>
      </c>
      <c r="Q39" s="18">
        <v>2.0099999999999998</v>
      </c>
    </row>
    <row r="40" spans="1:17" x14ac:dyDescent="0.25">
      <c r="A40" s="1">
        <v>2851</v>
      </c>
      <c r="B40" s="1" t="s">
        <v>14545</v>
      </c>
      <c r="C40" s="1" t="s">
        <v>14546</v>
      </c>
      <c r="D40" s="1" t="s">
        <v>2609</v>
      </c>
      <c r="F40" s="1">
        <v>2009</v>
      </c>
      <c r="H40" s="1" t="s">
        <v>1878</v>
      </c>
      <c r="I40" s="16" t="s">
        <v>1879</v>
      </c>
      <c r="K40" s="1" t="s">
        <v>1881</v>
      </c>
      <c r="L40" s="16" t="s">
        <v>14547</v>
      </c>
      <c r="M40" s="1">
        <v>256</v>
      </c>
      <c r="O40" s="1" t="s">
        <v>12325</v>
      </c>
      <c r="P40" s="17">
        <v>263</v>
      </c>
      <c r="Q40" s="18">
        <v>2.0999999999999996</v>
      </c>
    </row>
    <row r="41" spans="1:17" x14ac:dyDescent="0.25">
      <c r="A41" s="1">
        <v>1327</v>
      </c>
      <c r="B41" s="1" t="s">
        <v>14548</v>
      </c>
      <c r="C41" s="1" t="s">
        <v>14549</v>
      </c>
      <c r="D41" s="1" t="s">
        <v>14550</v>
      </c>
      <c r="F41" s="1">
        <v>1986</v>
      </c>
      <c r="H41" s="1" t="s">
        <v>1878</v>
      </c>
      <c r="I41" s="16" t="s">
        <v>1914</v>
      </c>
      <c r="K41" s="1" t="s">
        <v>1881</v>
      </c>
      <c r="L41" s="16" t="s">
        <v>14551</v>
      </c>
      <c r="M41" s="1">
        <v>120</v>
      </c>
      <c r="O41" s="1" t="s">
        <v>12326</v>
      </c>
      <c r="P41" s="17">
        <v>140</v>
      </c>
      <c r="Q41" s="18">
        <v>1.2999999999999998</v>
      </c>
    </row>
    <row r="42" spans="1:17" x14ac:dyDescent="0.25">
      <c r="A42" s="1">
        <v>2851</v>
      </c>
      <c r="B42" s="1" t="s">
        <v>14552</v>
      </c>
      <c r="C42" s="1" t="s">
        <v>14553</v>
      </c>
      <c r="D42" s="1" t="s">
        <v>2054</v>
      </c>
      <c r="F42" s="1">
        <v>2002</v>
      </c>
      <c r="H42" s="1" t="s">
        <v>1878</v>
      </c>
      <c r="I42" s="16" t="s">
        <v>1879</v>
      </c>
      <c r="K42" s="1" t="s">
        <v>1881</v>
      </c>
      <c r="L42" s="16" t="s">
        <v>14554</v>
      </c>
      <c r="M42" s="1">
        <v>322</v>
      </c>
      <c r="O42" s="1" t="s">
        <v>12327</v>
      </c>
      <c r="P42" s="17">
        <v>369</v>
      </c>
      <c r="Q42" s="18">
        <v>1.79</v>
      </c>
    </row>
    <row r="43" spans="1:17" x14ac:dyDescent="0.25">
      <c r="A43" s="1">
        <v>2547</v>
      </c>
      <c r="B43" s="1" t="s">
        <v>13933</v>
      </c>
      <c r="C43" s="1" t="s">
        <v>14555</v>
      </c>
      <c r="D43" s="1" t="s">
        <v>2609</v>
      </c>
      <c r="F43" s="1">
        <v>2009</v>
      </c>
      <c r="H43" s="1" t="s">
        <v>1878</v>
      </c>
      <c r="I43" s="16" t="s">
        <v>1914</v>
      </c>
      <c r="K43" s="1" t="s">
        <v>1881</v>
      </c>
      <c r="L43" s="16" t="s">
        <v>14556</v>
      </c>
      <c r="M43" s="1">
        <v>704</v>
      </c>
      <c r="O43" s="1" t="s">
        <v>12328</v>
      </c>
      <c r="P43" s="17">
        <v>534</v>
      </c>
      <c r="Q43" s="18">
        <v>2.04</v>
      </c>
    </row>
    <row r="44" spans="1:17" x14ac:dyDescent="0.25">
      <c r="A44" s="1">
        <v>2551</v>
      </c>
      <c r="B44" s="1" t="s">
        <v>9425</v>
      </c>
      <c r="C44" s="1" t="s">
        <v>14557</v>
      </c>
      <c r="D44" s="1" t="s">
        <v>1920</v>
      </c>
      <c r="F44" s="1">
        <v>2003</v>
      </c>
      <c r="H44" s="1" t="s">
        <v>1878</v>
      </c>
      <c r="I44" s="16" t="s">
        <v>1914</v>
      </c>
      <c r="K44" s="1" t="s">
        <v>1881</v>
      </c>
      <c r="L44" s="16" t="s">
        <v>14558</v>
      </c>
      <c r="M44" s="1">
        <v>320</v>
      </c>
      <c r="O44" s="1" t="s">
        <v>12329</v>
      </c>
      <c r="P44" s="17">
        <v>349</v>
      </c>
      <c r="Q44" s="18">
        <v>1.79</v>
      </c>
    </row>
  </sheetData>
  <sheetProtection selectLockedCells="1" selectUnlockedCells="1"/>
  <phoneticPr fontId="14" type="noConversion"/>
  <dataValidations count="1">
    <dataValidation type="decimal" allowBlank="1" showDropDown="1" showErrorMessage="1" sqref="Q1" xr:uid="{80E92555-F16F-42CE-BFAE-87D839986C7C}">
      <formula1>0</formula1>
      <formula2>100000</formula2>
    </dataValidation>
  </dataValidations>
  <pageMargins left="0.78749999999999998" right="0.78749999999999998" top="0.78749999999999998" bottom="0.78749999999999998"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3591"/>
  <sheetViews>
    <sheetView zoomScale="115" zoomScaleNormal="115" workbookViewId="0">
      <pane ySplit="4" topLeftCell="A3057" activePane="bottomLeft" state="frozen"/>
      <selection activeCell="F1" sqref="F1"/>
      <selection pane="bottomLeft" activeCell="A3081" sqref="A3081:Q3090"/>
    </sheetView>
  </sheetViews>
  <sheetFormatPr baseColWidth="10" defaultColWidth="11" defaultRowHeight="13.2" x14ac:dyDescent="0.25"/>
  <cols>
    <col min="1" max="1" width="11" style="1"/>
    <col min="2" max="2" width="8.88671875" style="1" customWidth="1"/>
    <col min="3" max="3" width="9.5546875" style="1" customWidth="1"/>
    <col min="4" max="4" width="9.33203125" style="1" customWidth="1"/>
    <col min="5" max="5" width="7.88671875" style="1" customWidth="1"/>
    <col min="6" max="6" width="5.33203125" style="1" customWidth="1"/>
    <col min="7" max="7" width="6.5546875" style="1" customWidth="1"/>
    <col min="8" max="8" width="9.33203125" style="1" customWidth="1"/>
    <col min="9" max="9" width="12.109375" style="16" customWidth="1"/>
    <col min="10" max="10" width="16.44140625" style="1" customWidth="1"/>
    <col min="11" max="11" width="19.33203125" style="1" customWidth="1"/>
    <col min="12" max="12" width="17.88671875" style="16" customWidth="1"/>
    <col min="13" max="13" width="7.44140625" style="1" customWidth="1"/>
    <col min="14" max="14" width="8.44140625" style="1" customWidth="1"/>
    <col min="15" max="15" width="10.44140625" style="1" customWidth="1"/>
    <col min="16" max="16" width="13.44140625" style="17" customWidth="1"/>
    <col min="18" max="20" width="7.109375" style="18" customWidth="1"/>
    <col min="21" max="21" width="9.44140625" style="19" customWidth="1"/>
    <col min="22" max="22" width="20.44140625" style="19" bestFit="1" customWidth="1"/>
    <col min="23" max="23" width="21.44140625" style="18" bestFit="1" customWidth="1"/>
    <col min="29" max="29" width="11.5546875" bestFit="1" customWidth="1"/>
    <col min="30" max="30" width="11" style="197"/>
    <col min="31" max="31" width="23.5546875" style="2" customWidth="1"/>
    <col min="32" max="33" width="11" style="2"/>
    <col min="34" max="34" width="9.6640625" style="20" customWidth="1"/>
    <col min="35" max="35" width="12" style="2" customWidth="1"/>
    <col min="36" max="36" width="13.33203125" style="2" customWidth="1"/>
    <col min="37" max="37" width="11" style="2"/>
    <col min="38" max="38" width="38" style="2" customWidth="1"/>
    <col min="39" max="16384" width="11" style="2"/>
  </cols>
  <sheetData>
    <row r="1" spans="1:38" x14ac:dyDescent="0.25">
      <c r="S1" s="18">
        <f>(36+15+8+44+150)/2000</f>
        <v>0.1265</v>
      </c>
    </row>
    <row r="2" spans="1:38" x14ac:dyDescent="0.25">
      <c r="A2" s="1" t="s">
        <v>7093</v>
      </c>
      <c r="AA2" s="56">
        <f>SUM(AA5:AA13093)</f>
        <v>57.225000000000016</v>
      </c>
      <c r="AB2" s="56">
        <f>SUM(AB5:AB13093)</f>
        <v>230.32989999999978</v>
      </c>
      <c r="AC2" s="175">
        <f>SUM(AC5:AC13093)</f>
        <v>195.65</v>
      </c>
    </row>
    <row r="4" spans="1:38" s="21" customFormat="1" x14ac:dyDescent="0.25">
      <c r="A4" s="21" t="s">
        <v>26</v>
      </c>
      <c r="B4" s="22" t="s">
        <v>27</v>
      </c>
      <c r="C4" s="23" t="s">
        <v>28</v>
      </c>
      <c r="D4" s="21" t="s">
        <v>29</v>
      </c>
      <c r="E4" s="21" t="s">
        <v>30</v>
      </c>
      <c r="F4" s="21" t="s">
        <v>31</v>
      </c>
      <c r="G4" s="21" t="s">
        <v>32</v>
      </c>
      <c r="H4" s="21" t="s">
        <v>33</v>
      </c>
      <c r="I4" s="24" t="s">
        <v>34</v>
      </c>
      <c r="J4" s="21" t="s">
        <v>35</v>
      </c>
      <c r="K4" s="21" t="s">
        <v>36</v>
      </c>
      <c r="L4" s="25" t="s">
        <v>37</v>
      </c>
      <c r="M4" s="21" t="s">
        <v>38</v>
      </c>
      <c r="N4" s="21" t="s">
        <v>39</v>
      </c>
      <c r="O4" s="21" t="s">
        <v>40</v>
      </c>
      <c r="P4" s="26" t="s">
        <v>41</v>
      </c>
      <c r="Q4" s="27" t="s">
        <v>42</v>
      </c>
      <c r="R4" s="21" t="s">
        <v>6555</v>
      </c>
      <c r="S4" s="21" t="s">
        <v>8606</v>
      </c>
      <c r="T4" s="21" t="s">
        <v>6356</v>
      </c>
      <c r="U4" s="21" t="s">
        <v>4882</v>
      </c>
      <c r="V4" s="21" t="s">
        <v>8641</v>
      </c>
      <c r="W4" s="21" t="s">
        <v>6554</v>
      </c>
      <c r="X4" s="21" t="s">
        <v>6556</v>
      </c>
      <c r="Y4" s="21" t="s">
        <v>8607</v>
      </c>
      <c r="Z4" s="21" t="s">
        <v>8608</v>
      </c>
      <c r="AA4" s="76">
        <v>43739</v>
      </c>
      <c r="AB4" s="76">
        <v>43770</v>
      </c>
      <c r="AC4" s="76">
        <v>43800</v>
      </c>
      <c r="AD4" s="200"/>
      <c r="AE4" s="21" t="s">
        <v>46</v>
      </c>
      <c r="AH4" s="28" t="s">
        <v>3794</v>
      </c>
      <c r="AI4" s="21" t="s">
        <v>47</v>
      </c>
      <c r="AJ4" s="21" t="s">
        <v>48</v>
      </c>
      <c r="AK4" s="21" t="s">
        <v>49</v>
      </c>
      <c r="AL4" s="21" t="s">
        <v>50</v>
      </c>
    </row>
    <row r="5" spans="1:38" s="62" customFormat="1" ht="14.25" customHeight="1" x14ac:dyDescent="0.25">
      <c r="A5" s="57"/>
      <c r="B5" s="57"/>
      <c r="C5" s="57"/>
      <c r="D5" s="57"/>
      <c r="E5" s="57"/>
      <c r="F5" s="57"/>
      <c r="G5" s="57"/>
      <c r="H5" s="57"/>
      <c r="I5" s="58"/>
      <c r="J5" s="74"/>
      <c r="K5" s="57"/>
      <c r="L5" s="58"/>
      <c r="M5" s="57"/>
      <c r="N5" s="57"/>
      <c r="O5" s="57" t="s">
        <v>9018</v>
      </c>
      <c r="P5" s="59"/>
      <c r="Q5" s="61">
        <v>0.99</v>
      </c>
      <c r="R5" s="60"/>
      <c r="S5" s="60"/>
      <c r="T5" s="67"/>
      <c r="U5" s="67"/>
      <c r="V5" s="67"/>
      <c r="W5" s="67"/>
      <c r="X5" s="70">
        <f>0.99/100*7</f>
        <v>6.93E-2</v>
      </c>
      <c r="Y5" s="70"/>
      <c r="Z5" s="71"/>
      <c r="AA5" s="81"/>
      <c r="AB5" s="81">
        <f>Q5-X5</f>
        <v>0.92069999999999996</v>
      </c>
      <c r="AC5" s="232"/>
      <c r="AD5" s="213"/>
      <c r="AH5" s="63"/>
      <c r="AL5" s="60"/>
    </row>
    <row r="6" spans="1:38" s="62" customFormat="1" ht="14.25" customHeight="1" x14ac:dyDescent="0.25">
      <c r="A6" s="57"/>
      <c r="B6" s="57"/>
      <c r="C6" s="57"/>
      <c r="D6" s="57"/>
      <c r="E6" s="57"/>
      <c r="F6" s="57"/>
      <c r="G6" s="57"/>
      <c r="H6" s="57"/>
      <c r="I6" s="58"/>
      <c r="J6" s="74"/>
      <c r="K6" s="57"/>
      <c r="L6" s="58"/>
      <c r="M6" s="57"/>
      <c r="N6" s="57"/>
      <c r="O6" s="57" t="s">
        <v>7086</v>
      </c>
      <c r="P6" s="59"/>
      <c r="Q6" s="61">
        <v>3.49</v>
      </c>
      <c r="R6" s="60"/>
      <c r="S6" s="60"/>
      <c r="T6" s="67"/>
      <c r="U6" s="67">
        <v>1.2</v>
      </c>
      <c r="V6" s="67">
        <v>0.7</v>
      </c>
      <c r="W6" s="67">
        <f>Q6-U6-V6</f>
        <v>1.59</v>
      </c>
      <c r="X6" s="70">
        <f>(T6+W6)/100*7</f>
        <v>0.11130000000000001</v>
      </c>
      <c r="Y6" s="70"/>
      <c r="Z6" s="71"/>
      <c r="AA6" s="81">
        <v>1.59</v>
      </c>
      <c r="AB6" s="81"/>
      <c r="AC6" s="232"/>
      <c r="AD6" s="213"/>
      <c r="AH6" s="63"/>
      <c r="AL6" s="60"/>
    </row>
    <row r="7" spans="1:38" s="62" customFormat="1" ht="14.25" customHeight="1" x14ac:dyDescent="0.25">
      <c r="A7" s="57"/>
      <c r="B7" s="57"/>
      <c r="C7" s="57"/>
      <c r="D7" s="57"/>
      <c r="E7" s="57"/>
      <c r="F7" s="57"/>
      <c r="G7" s="57"/>
      <c r="H7" s="57"/>
      <c r="I7" s="58"/>
      <c r="J7" s="74"/>
      <c r="K7" s="57"/>
      <c r="L7" s="58"/>
      <c r="M7" s="57"/>
      <c r="N7" s="57"/>
      <c r="O7" s="57" t="s">
        <v>7090</v>
      </c>
      <c r="P7" s="59"/>
      <c r="Q7" s="61">
        <v>2.99</v>
      </c>
      <c r="R7" s="61">
        <f>2.99-2.4</f>
        <v>0.5900000000000003</v>
      </c>
      <c r="S7" s="61"/>
      <c r="T7" s="67"/>
      <c r="U7" s="67">
        <v>1.7</v>
      </c>
      <c r="V7" s="67">
        <v>0.7</v>
      </c>
      <c r="W7" s="67">
        <v>0.59</v>
      </c>
      <c r="X7" s="70">
        <f>(T7+W7)/100*7</f>
        <v>4.1299999999999996E-2</v>
      </c>
      <c r="Y7" s="70"/>
      <c r="Z7" s="71"/>
      <c r="AA7" s="81">
        <v>0.59</v>
      </c>
      <c r="AB7" s="81"/>
      <c r="AC7" s="232"/>
      <c r="AD7" s="213"/>
      <c r="AH7" s="63"/>
      <c r="AL7" s="60"/>
    </row>
    <row r="8" spans="1:38" s="62" customFormat="1" x14ac:dyDescent="0.25">
      <c r="A8" s="57">
        <v>676</v>
      </c>
      <c r="B8" s="57" t="s">
        <v>6083</v>
      </c>
      <c r="C8" s="57" t="s">
        <v>6084</v>
      </c>
      <c r="D8" s="57" t="s">
        <v>2036</v>
      </c>
      <c r="E8" s="57"/>
      <c r="F8" s="57">
        <v>1999</v>
      </c>
      <c r="G8" s="57"/>
      <c r="H8" s="57" t="s">
        <v>2734</v>
      </c>
      <c r="I8" s="58" t="s">
        <v>1879</v>
      </c>
      <c r="J8" s="57"/>
      <c r="K8" s="57" t="s">
        <v>1881</v>
      </c>
      <c r="L8" s="58" t="s">
        <v>6085</v>
      </c>
      <c r="M8" s="57">
        <v>218</v>
      </c>
      <c r="N8" s="57"/>
      <c r="O8" s="57" t="s">
        <v>5265</v>
      </c>
      <c r="P8" s="59">
        <v>287</v>
      </c>
      <c r="Q8" s="61">
        <f t="shared" ref="Q8:Q36" si="0">SUM(T8:X8)</f>
        <v>3.5263999999999998</v>
      </c>
      <c r="R8" s="60">
        <v>1.19</v>
      </c>
      <c r="S8" s="60"/>
      <c r="T8" s="67"/>
      <c r="U8" s="67">
        <v>1.2</v>
      </c>
      <c r="V8" s="67">
        <v>0.7</v>
      </c>
      <c r="W8" s="67">
        <f>1.72-0.2</f>
        <v>1.52</v>
      </c>
      <c r="X8" s="70">
        <f t="shared" ref="X8:X36" si="1">(T8+W8)/100*7</f>
        <v>0.10639999999999999</v>
      </c>
      <c r="Y8" s="70"/>
      <c r="Z8" s="71"/>
      <c r="AA8" s="81">
        <v>1.52</v>
      </c>
      <c r="AB8" s="81"/>
      <c r="AC8" s="232"/>
      <c r="AD8" s="213"/>
      <c r="AH8" s="63"/>
    </row>
    <row r="9" spans="1:38" s="62" customFormat="1" x14ac:dyDescent="0.25">
      <c r="A9" s="57"/>
      <c r="B9" s="57" t="s">
        <v>2028</v>
      </c>
      <c r="C9" s="57" t="s">
        <v>2027</v>
      </c>
      <c r="D9" s="57" t="s">
        <v>1886</v>
      </c>
      <c r="E9" s="57"/>
      <c r="F9" s="57">
        <v>1969</v>
      </c>
      <c r="G9" s="57"/>
      <c r="H9" s="57" t="s">
        <v>1878</v>
      </c>
      <c r="I9" s="58" t="s">
        <v>1879</v>
      </c>
      <c r="J9" s="57" t="s">
        <v>2024</v>
      </c>
      <c r="K9" s="57" t="s">
        <v>1881</v>
      </c>
      <c r="L9" s="58"/>
      <c r="M9" s="57">
        <v>158</v>
      </c>
      <c r="N9" s="57"/>
      <c r="O9" s="57" t="s">
        <v>1945</v>
      </c>
      <c r="P9" s="59">
        <v>117</v>
      </c>
      <c r="Q9" s="61">
        <f t="shared" si="0"/>
        <v>2.7452999999999999</v>
      </c>
      <c r="R9" s="60">
        <v>0.79</v>
      </c>
      <c r="S9" s="60"/>
      <c r="T9" s="67"/>
      <c r="U9" s="67">
        <v>1.2</v>
      </c>
      <c r="V9" s="67">
        <v>0.7</v>
      </c>
      <c r="W9" s="67">
        <f t="shared" ref="W9:W20" si="2">IF(R9&gt;T9,R9,T9)</f>
        <v>0.79</v>
      </c>
      <c r="X9" s="70">
        <f t="shared" si="1"/>
        <v>5.5300000000000002E-2</v>
      </c>
      <c r="Y9" s="70"/>
      <c r="Z9" s="71"/>
      <c r="AA9" s="81">
        <v>0.79</v>
      </c>
      <c r="AB9" s="81"/>
      <c r="AC9" s="232"/>
      <c r="AD9" s="213"/>
      <c r="AH9" s="63"/>
      <c r="AI9" s="62" t="s">
        <v>51</v>
      </c>
      <c r="AJ9" s="62" t="s">
        <v>51</v>
      </c>
      <c r="AK9" s="62" t="s">
        <v>51</v>
      </c>
      <c r="AL9" s="60"/>
    </row>
    <row r="10" spans="1:38" s="62" customFormat="1" x14ac:dyDescent="0.25">
      <c r="A10" s="57">
        <v>701</v>
      </c>
      <c r="B10" s="57" t="s">
        <v>2211</v>
      </c>
      <c r="C10" s="57" t="s">
        <v>2212</v>
      </c>
      <c r="D10" s="57" t="s">
        <v>1912</v>
      </c>
      <c r="E10" s="57" t="s">
        <v>2157</v>
      </c>
      <c r="F10" s="57">
        <v>2002</v>
      </c>
      <c r="G10" s="57"/>
      <c r="H10" s="57" t="s">
        <v>1878</v>
      </c>
      <c r="I10" s="58" t="s">
        <v>1879</v>
      </c>
      <c r="J10" s="75" t="s">
        <v>2213</v>
      </c>
      <c r="K10" s="57" t="s">
        <v>1881</v>
      </c>
      <c r="L10" s="58" t="s">
        <v>2214</v>
      </c>
      <c r="M10" s="57">
        <v>576</v>
      </c>
      <c r="N10" s="57"/>
      <c r="O10" s="57" t="s">
        <v>2135</v>
      </c>
      <c r="P10" s="59">
        <v>500</v>
      </c>
      <c r="Q10" s="61">
        <f t="shared" si="0"/>
        <v>2.4869000000000003</v>
      </c>
      <c r="R10" s="60">
        <v>1.67</v>
      </c>
      <c r="S10" s="60"/>
      <c r="T10" s="67"/>
      <c r="U10" s="67"/>
      <c r="V10" s="67">
        <v>0.7</v>
      </c>
      <c r="W10" s="67">
        <f t="shared" si="2"/>
        <v>1.67</v>
      </c>
      <c r="X10" s="70">
        <f t="shared" si="1"/>
        <v>0.1169</v>
      </c>
      <c r="Y10" s="70"/>
      <c r="Z10" s="71"/>
      <c r="AA10" s="81">
        <v>1.67</v>
      </c>
      <c r="AB10" s="81"/>
      <c r="AC10" s="232"/>
      <c r="AD10" s="213"/>
      <c r="AH10" s="63"/>
      <c r="AI10" s="62" t="s">
        <v>51</v>
      </c>
      <c r="AJ10" s="62" t="s">
        <v>51</v>
      </c>
      <c r="AK10" s="62" t="s">
        <v>51</v>
      </c>
      <c r="AL10" s="60"/>
    </row>
    <row r="11" spans="1:38" s="62" customFormat="1" x14ac:dyDescent="0.25">
      <c r="A11" s="57">
        <v>796</v>
      </c>
      <c r="B11" s="57" t="s">
        <v>2307</v>
      </c>
      <c r="C11" s="57" t="s">
        <v>2308</v>
      </c>
      <c r="D11" s="57" t="s">
        <v>2309</v>
      </c>
      <c r="E11" s="57" t="s">
        <v>1913</v>
      </c>
      <c r="F11" s="57">
        <v>2015</v>
      </c>
      <c r="G11" s="57"/>
      <c r="H11" s="57" t="s">
        <v>1878</v>
      </c>
      <c r="I11" s="58" t="s">
        <v>1929</v>
      </c>
      <c r="J11" s="69" t="s">
        <v>2310</v>
      </c>
      <c r="K11" s="57" t="s">
        <v>1881</v>
      </c>
      <c r="L11" s="58" t="s">
        <v>2311</v>
      </c>
      <c r="M11" s="57">
        <v>384</v>
      </c>
      <c r="N11" s="57"/>
      <c r="O11" s="57" t="s">
        <v>2263</v>
      </c>
      <c r="P11" s="59">
        <v>295</v>
      </c>
      <c r="Q11" s="61">
        <f t="shared" si="0"/>
        <v>2.9592999999999998</v>
      </c>
      <c r="R11" s="60">
        <v>0.99</v>
      </c>
      <c r="S11" s="60"/>
      <c r="T11" s="67"/>
      <c r="U11" s="67">
        <v>1.2</v>
      </c>
      <c r="V11" s="67">
        <v>0.7</v>
      </c>
      <c r="W11" s="67">
        <f t="shared" si="2"/>
        <v>0.99</v>
      </c>
      <c r="X11" s="70">
        <f t="shared" si="1"/>
        <v>6.93E-2</v>
      </c>
      <c r="Y11" s="70"/>
      <c r="Z11" s="71"/>
      <c r="AA11" s="81">
        <v>0.99</v>
      </c>
      <c r="AB11" s="81"/>
      <c r="AC11" s="232"/>
      <c r="AD11" s="213"/>
      <c r="AH11" s="63"/>
      <c r="AI11" s="62" t="s">
        <v>51</v>
      </c>
      <c r="AJ11" s="62" t="s">
        <v>51</v>
      </c>
      <c r="AK11" s="62" t="s">
        <v>51</v>
      </c>
      <c r="AL11" s="60"/>
    </row>
    <row r="12" spans="1:38" s="62" customFormat="1" x14ac:dyDescent="0.25">
      <c r="A12" s="57">
        <v>632</v>
      </c>
      <c r="B12" s="57" t="s">
        <v>2373</v>
      </c>
      <c r="C12" s="57" t="s">
        <v>2374</v>
      </c>
      <c r="D12" s="57" t="s">
        <v>2300</v>
      </c>
      <c r="E12" s="57" t="s">
        <v>2375</v>
      </c>
      <c r="F12" s="57">
        <v>2004</v>
      </c>
      <c r="G12" s="57"/>
      <c r="H12" s="57" t="s">
        <v>1878</v>
      </c>
      <c r="I12" s="58" t="s">
        <v>1879</v>
      </c>
      <c r="J12" s="57"/>
      <c r="K12" s="57" t="s">
        <v>1881</v>
      </c>
      <c r="L12" s="58" t="s">
        <v>2376</v>
      </c>
      <c r="M12" s="57">
        <v>448</v>
      </c>
      <c r="N12" s="57"/>
      <c r="O12" s="57" t="s">
        <v>2278</v>
      </c>
      <c r="P12" s="59">
        <v>439</v>
      </c>
      <c r="Q12" s="61">
        <f t="shared" si="0"/>
        <v>2.4242999999999997</v>
      </c>
      <c r="R12" s="60">
        <v>0.49</v>
      </c>
      <c r="S12" s="60"/>
      <c r="T12" s="67"/>
      <c r="U12" s="67">
        <v>1.2</v>
      </c>
      <c r="V12" s="67">
        <v>0.7</v>
      </c>
      <c r="W12" s="67">
        <f t="shared" si="2"/>
        <v>0.49</v>
      </c>
      <c r="X12" s="70">
        <f t="shared" si="1"/>
        <v>3.4299999999999997E-2</v>
      </c>
      <c r="Y12" s="70"/>
      <c r="Z12" s="71"/>
      <c r="AA12" s="81">
        <v>0.77</v>
      </c>
      <c r="AB12" s="81"/>
      <c r="AC12" s="232"/>
      <c r="AD12" s="213"/>
      <c r="AH12" s="63"/>
      <c r="AI12" s="62" t="s">
        <v>51</v>
      </c>
      <c r="AJ12" s="62" t="s">
        <v>51</v>
      </c>
      <c r="AK12" s="62" t="s">
        <v>51</v>
      </c>
      <c r="AL12" s="60"/>
    </row>
    <row r="13" spans="1:38" s="62" customFormat="1" x14ac:dyDescent="0.25">
      <c r="A13" s="57">
        <v>1395</v>
      </c>
      <c r="B13" s="57" t="s">
        <v>2510</v>
      </c>
      <c r="C13" s="57" t="s">
        <v>2624</v>
      </c>
      <c r="D13" s="57" t="s">
        <v>2232</v>
      </c>
      <c r="E13" s="57" t="s">
        <v>1877</v>
      </c>
      <c r="F13" s="57">
        <v>2011</v>
      </c>
      <c r="G13" s="57"/>
      <c r="H13" s="57" t="s">
        <v>1878</v>
      </c>
      <c r="I13" s="58" t="s">
        <v>1879</v>
      </c>
      <c r="J13" s="57"/>
      <c r="K13" s="57" t="s">
        <v>1881</v>
      </c>
      <c r="L13" s="58" t="s">
        <v>2625</v>
      </c>
      <c r="M13" s="57">
        <v>434</v>
      </c>
      <c r="N13" s="57"/>
      <c r="O13" s="57" t="s">
        <v>2555</v>
      </c>
      <c r="P13" s="59">
        <v>362</v>
      </c>
      <c r="Q13" s="61">
        <f t="shared" si="0"/>
        <v>2.2530999999999999</v>
      </c>
      <c r="R13" s="60">
        <v>0.33</v>
      </c>
      <c r="S13" s="60"/>
      <c r="T13" s="67"/>
      <c r="U13" s="67">
        <v>1.2</v>
      </c>
      <c r="V13" s="67">
        <v>0.7</v>
      </c>
      <c r="W13" s="67">
        <f t="shared" si="2"/>
        <v>0.33</v>
      </c>
      <c r="X13" s="70">
        <f t="shared" si="1"/>
        <v>2.3099999999999999E-2</v>
      </c>
      <c r="Y13" s="70"/>
      <c r="Z13" s="71"/>
      <c r="AA13" s="81">
        <v>0.33</v>
      </c>
      <c r="AB13" s="81"/>
      <c r="AC13" s="232"/>
      <c r="AD13" s="213"/>
      <c r="AH13" s="63"/>
    </row>
    <row r="14" spans="1:38" s="62" customFormat="1" x14ac:dyDescent="0.25">
      <c r="A14" s="57">
        <v>2571</v>
      </c>
      <c r="B14" s="57" t="s">
        <v>2928</v>
      </c>
      <c r="C14" s="57" t="s">
        <v>2929</v>
      </c>
      <c r="D14" s="57" t="s">
        <v>2300</v>
      </c>
      <c r="E14" s="57"/>
      <c r="F14" s="57">
        <v>2018</v>
      </c>
      <c r="G14" s="57"/>
      <c r="H14" s="57" t="s">
        <v>1878</v>
      </c>
      <c r="I14" s="58" t="s">
        <v>1929</v>
      </c>
      <c r="J14" s="57"/>
      <c r="K14" s="57" t="s">
        <v>1881</v>
      </c>
      <c r="L14" s="58" t="s">
        <v>2930</v>
      </c>
      <c r="M14" s="57">
        <v>480</v>
      </c>
      <c r="N14" s="57"/>
      <c r="O14" s="57" t="s">
        <v>2907</v>
      </c>
      <c r="P14" s="59">
        <v>360</v>
      </c>
      <c r="Q14" s="61">
        <f t="shared" si="0"/>
        <v>4.7852999999999994</v>
      </c>
      <c r="R14" s="60">
        <v>2.79</v>
      </c>
      <c r="S14" s="60"/>
      <c r="T14" s="67"/>
      <c r="U14" s="67">
        <v>1.2</v>
      </c>
      <c r="V14" s="67">
        <v>0.6</v>
      </c>
      <c r="W14" s="67">
        <f t="shared" si="2"/>
        <v>2.79</v>
      </c>
      <c r="X14" s="70">
        <f t="shared" si="1"/>
        <v>0.1953</v>
      </c>
      <c r="Y14" s="70"/>
      <c r="AA14" s="82">
        <v>2.79</v>
      </c>
      <c r="AB14" s="82"/>
      <c r="AC14" s="233"/>
      <c r="AD14" s="82"/>
      <c r="AH14" s="63"/>
    </row>
    <row r="15" spans="1:38" s="62" customFormat="1" x14ac:dyDescent="0.25">
      <c r="A15" s="57">
        <v>2571</v>
      </c>
      <c r="B15" s="57" t="s">
        <v>2982</v>
      </c>
      <c r="C15" s="57" t="s">
        <v>2983</v>
      </c>
      <c r="D15" s="57" t="s">
        <v>1912</v>
      </c>
      <c r="E15" s="57" t="s">
        <v>1913</v>
      </c>
      <c r="F15" s="57">
        <v>2016</v>
      </c>
      <c r="G15" s="57"/>
      <c r="H15" s="57" t="s">
        <v>2963</v>
      </c>
      <c r="I15" s="58" t="s">
        <v>1929</v>
      </c>
      <c r="J15" s="57"/>
      <c r="K15" s="57" t="s">
        <v>1881</v>
      </c>
      <c r="L15" s="58" t="s">
        <v>2984</v>
      </c>
      <c r="M15" s="57">
        <v>482</v>
      </c>
      <c r="N15" s="57"/>
      <c r="O15" s="57" t="s">
        <v>2950</v>
      </c>
      <c r="P15" s="59">
        <v>679</v>
      </c>
      <c r="Q15" s="61">
        <f t="shared" si="0"/>
        <v>4.7861000000000002</v>
      </c>
      <c r="R15" s="60">
        <v>2.23</v>
      </c>
      <c r="S15" s="60"/>
      <c r="T15" s="67"/>
      <c r="U15" s="67">
        <v>1.7</v>
      </c>
      <c r="V15" s="67">
        <v>0.7</v>
      </c>
      <c r="W15" s="67">
        <f t="shared" si="2"/>
        <v>2.23</v>
      </c>
      <c r="X15" s="70">
        <f t="shared" si="1"/>
        <v>0.15610000000000002</v>
      </c>
      <c r="Y15" s="70"/>
      <c r="Z15" s="71"/>
      <c r="AA15" s="81">
        <v>2.23</v>
      </c>
      <c r="AB15" s="81"/>
      <c r="AC15" s="232"/>
      <c r="AD15" s="213"/>
      <c r="AH15" s="63"/>
    </row>
    <row r="16" spans="1:38" s="62" customFormat="1" x14ac:dyDescent="0.25">
      <c r="A16" s="57">
        <v>796</v>
      </c>
      <c r="B16" s="57" t="s">
        <v>2985</v>
      </c>
      <c r="C16" s="57" t="s">
        <v>2986</v>
      </c>
      <c r="D16" s="57" t="s">
        <v>2209</v>
      </c>
      <c r="E16" s="57"/>
      <c r="F16" s="57">
        <v>2011</v>
      </c>
      <c r="G16" s="57"/>
      <c r="H16" s="57" t="s">
        <v>1878</v>
      </c>
      <c r="I16" s="58" t="s">
        <v>1879</v>
      </c>
      <c r="J16" s="57" t="s">
        <v>2237</v>
      </c>
      <c r="K16" s="57" t="s">
        <v>1881</v>
      </c>
      <c r="L16" s="58" t="s">
        <v>2987</v>
      </c>
      <c r="M16" s="57">
        <v>366</v>
      </c>
      <c r="N16" s="57"/>
      <c r="O16" s="57" t="s">
        <v>2951</v>
      </c>
      <c r="P16" s="59">
        <v>304</v>
      </c>
      <c r="Q16" s="61">
        <f t="shared" si="0"/>
        <v>2.1903000000000001</v>
      </c>
      <c r="R16" s="60">
        <v>0.28999999999999998</v>
      </c>
      <c r="S16" s="60"/>
      <c r="T16" s="67"/>
      <c r="U16" s="67">
        <v>1.2</v>
      </c>
      <c r="V16" s="67">
        <v>0.68</v>
      </c>
      <c r="W16" s="67">
        <f t="shared" si="2"/>
        <v>0.28999999999999998</v>
      </c>
      <c r="X16" s="70">
        <f t="shared" si="1"/>
        <v>2.0299999999999999E-2</v>
      </c>
      <c r="Y16" s="70"/>
      <c r="AA16" s="82">
        <v>0.28999999999999998</v>
      </c>
      <c r="AB16" s="82"/>
      <c r="AC16" s="233"/>
      <c r="AD16" s="82"/>
      <c r="AH16" s="63"/>
    </row>
    <row r="17" spans="1:34" s="62" customFormat="1" x14ac:dyDescent="0.25">
      <c r="A17" s="57">
        <v>765</v>
      </c>
      <c r="B17" s="57" t="s">
        <v>3028</v>
      </c>
      <c r="C17" s="57" t="s">
        <v>3029</v>
      </c>
      <c r="D17" s="57" t="s">
        <v>3030</v>
      </c>
      <c r="E17" s="57"/>
      <c r="F17" s="57">
        <v>2001</v>
      </c>
      <c r="G17" s="57"/>
      <c r="H17" s="57" t="s">
        <v>1878</v>
      </c>
      <c r="I17" s="58" t="s">
        <v>1879</v>
      </c>
      <c r="J17" s="57"/>
      <c r="K17" s="57" t="s">
        <v>1881</v>
      </c>
      <c r="L17" s="58" t="s">
        <v>3031</v>
      </c>
      <c r="M17" s="57">
        <v>224</v>
      </c>
      <c r="N17" s="57"/>
      <c r="O17" s="57" t="s">
        <v>2996</v>
      </c>
      <c r="P17" s="59">
        <v>337</v>
      </c>
      <c r="Q17" s="61">
        <f t="shared" si="0"/>
        <v>3.0932999999999997</v>
      </c>
      <c r="R17" s="60">
        <v>1.19</v>
      </c>
      <c r="S17" s="60"/>
      <c r="T17" s="67"/>
      <c r="U17" s="67">
        <v>1.2</v>
      </c>
      <c r="V17" s="67">
        <v>0.62</v>
      </c>
      <c r="W17" s="67">
        <f t="shared" si="2"/>
        <v>1.19</v>
      </c>
      <c r="X17" s="70">
        <f t="shared" si="1"/>
        <v>8.3299999999999999E-2</v>
      </c>
      <c r="Y17" s="70"/>
      <c r="Z17" s="71"/>
      <c r="AA17" s="81">
        <v>1.19</v>
      </c>
      <c r="AB17" s="81"/>
      <c r="AC17" s="232"/>
      <c r="AD17" s="213"/>
      <c r="AH17" s="63"/>
    </row>
    <row r="18" spans="1:34" s="62" customFormat="1" x14ac:dyDescent="0.25">
      <c r="A18" s="57">
        <v>291</v>
      </c>
      <c r="B18" s="57" t="s">
        <v>3038</v>
      </c>
      <c r="C18" s="57" t="s">
        <v>3039</v>
      </c>
      <c r="D18" s="57" t="s">
        <v>2007</v>
      </c>
      <c r="E18" s="57"/>
      <c r="F18" s="57">
        <v>2001</v>
      </c>
      <c r="G18" s="57"/>
      <c r="H18" s="57" t="s">
        <v>2008</v>
      </c>
      <c r="I18" s="58" t="s">
        <v>1929</v>
      </c>
      <c r="J18" s="57"/>
      <c r="K18" s="57" t="s">
        <v>1881</v>
      </c>
      <c r="L18" s="58" t="s">
        <v>3040</v>
      </c>
      <c r="M18" s="57">
        <v>168</v>
      </c>
      <c r="N18" s="57"/>
      <c r="O18" s="57" t="s">
        <v>2999</v>
      </c>
      <c r="P18" s="59">
        <v>90</v>
      </c>
      <c r="Q18" s="61">
        <f t="shared" si="0"/>
        <v>2.9914000000000001</v>
      </c>
      <c r="R18" s="60">
        <v>1.02</v>
      </c>
      <c r="S18" s="60"/>
      <c r="T18" s="67"/>
      <c r="U18" s="67">
        <v>1.2</v>
      </c>
      <c r="V18" s="67">
        <v>0.7</v>
      </c>
      <c r="W18" s="67">
        <f t="shared" si="2"/>
        <v>1.02</v>
      </c>
      <c r="X18" s="70">
        <f t="shared" si="1"/>
        <v>7.1400000000000005E-2</v>
      </c>
      <c r="Y18" s="70"/>
      <c r="Z18" s="71"/>
      <c r="AA18" s="81">
        <v>1.02</v>
      </c>
      <c r="AB18" s="81"/>
      <c r="AC18" s="232"/>
      <c r="AD18" s="213"/>
      <c r="AH18" s="63"/>
    </row>
    <row r="19" spans="1:34" s="62" customFormat="1" x14ac:dyDescent="0.25">
      <c r="A19" s="57">
        <v>1396</v>
      </c>
      <c r="B19" s="57" t="s">
        <v>3193</v>
      </c>
      <c r="C19" s="57" t="s">
        <v>3194</v>
      </c>
      <c r="D19" s="57" t="s">
        <v>1912</v>
      </c>
      <c r="E19" s="57"/>
      <c r="F19" s="57">
        <v>2000</v>
      </c>
      <c r="G19" s="57"/>
      <c r="H19" s="57" t="s">
        <v>1878</v>
      </c>
      <c r="I19" s="58" t="s">
        <v>1879</v>
      </c>
      <c r="J19" s="57" t="s">
        <v>3195</v>
      </c>
      <c r="K19" s="57" t="s">
        <v>1881</v>
      </c>
      <c r="L19" s="58" t="s">
        <v>3196</v>
      </c>
      <c r="M19" s="57">
        <v>352</v>
      </c>
      <c r="N19" s="57"/>
      <c r="O19" s="57" t="s">
        <v>3171</v>
      </c>
      <c r="P19" s="59">
        <v>307</v>
      </c>
      <c r="Q19" s="61">
        <f t="shared" si="0"/>
        <v>2.1475</v>
      </c>
      <c r="R19" s="60">
        <v>0.25</v>
      </c>
      <c r="S19" s="60"/>
      <c r="T19" s="67"/>
      <c r="U19" s="67">
        <v>1.2</v>
      </c>
      <c r="V19" s="67">
        <v>0.68</v>
      </c>
      <c r="W19" s="67">
        <f t="shared" si="2"/>
        <v>0.25</v>
      </c>
      <c r="X19" s="70">
        <f t="shared" si="1"/>
        <v>1.7500000000000002E-2</v>
      </c>
      <c r="Y19" s="70"/>
      <c r="Z19" s="71"/>
      <c r="AA19" s="81">
        <v>0.25</v>
      </c>
      <c r="AB19" s="81"/>
      <c r="AC19" s="232"/>
      <c r="AD19" s="213"/>
      <c r="AH19" s="63"/>
    </row>
    <row r="20" spans="1:34" s="62" customFormat="1" x14ac:dyDescent="0.25">
      <c r="A20" s="57">
        <v>2851</v>
      </c>
      <c r="B20" s="57" t="s">
        <v>3244</v>
      </c>
      <c r="C20" s="57" t="s">
        <v>3245</v>
      </c>
      <c r="D20" s="57" t="s">
        <v>3246</v>
      </c>
      <c r="E20" s="57" t="s">
        <v>2157</v>
      </c>
      <c r="F20" s="57">
        <v>2009</v>
      </c>
      <c r="G20" s="57"/>
      <c r="H20" s="57" t="s">
        <v>1878</v>
      </c>
      <c r="I20" s="58" t="s">
        <v>1879</v>
      </c>
      <c r="J20" s="57" t="s">
        <v>3006</v>
      </c>
      <c r="K20" s="57" t="s">
        <v>1881</v>
      </c>
      <c r="L20" s="58" t="s">
        <v>3247</v>
      </c>
      <c r="M20" s="57">
        <v>384</v>
      </c>
      <c r="N20" s="57"/>
      <c r="O20" s="57" t="s">
        <v>3237</v>
      </c>
      <c r="P20" s="59">
        <v>311</v>
      </c>
      <c r="Q20" s="61">
        <f t="shared" si="0"/>
        <v>2.1675</v>
      </c>
      <c r="R20" s="60">
        <v>0.25</v>
      </c>
      <c r="S20" s="60"/>
      <c r="T20" s="67"/>
      <c r="U20" s="67">
        <v>1.2</v>
      </c>
      <c r="V20" s="67">
        <v>0.7</v>
      </c>
      <c r="W20" s="67">
        <f t="shared" si="2"/>
        <v>0.25</v>
      </c>
      <c r="X20" s="70">
        <f t="shared" si="1"/>
        <v>1.7500000000000002E-2</v>
      </c>
      <c r="Y20" s="70"/>
      <c r="Z20" s="71"/>
      <c r="AA20" s="81">
        <v>0.52</v>
      </c>
      <c r="AB20" s="81"/>
      <c r="AC20" s="232"/>
      <c r="AD20" s="213"/>
      <c r="AH20" s="63"/>
    </row>
    <row r="21" spans="1:34" s="62" customFormat="1" x14ac:dyDescent="0.25">
      <c r="A21" s="57">
        <v>2522</v>
      </c>
      <c r="B21" s="57" t="s">
        <v>2321</v>
      </c>
      <c r="C21" s="57" t="s">
        <v>3268</v>
      </c>
      <c r="D21" s="57" t="s">
        <v>1912</v>
      </c>
      <c r="E21" s="57"/>
      <c r="F21" s="57">
        <v>2001</v>
      </c>
      <c r="G21" s="57"/>
      <c r="H21" s="57" t="s">
        <v>1878</v>
      </c>
      <c r="I21" s="58" t="s">
        <v>1879</v>
      </c>
      <c r="J21" s="57" t="s">
        <v>2237</v>
      </c>
      <c r="K21" s="57" t="s">
        <v>1881</v>
      </c>
      <c r="L21" s="58" t="s">
        <v>3269</v>
      </c>
      <c r="M21" s="57">
        <v>352</v>
      </c>
      <c r="N21" s="57"/>
      <c r="O21" s="57" t="s">
        <v>3255</v>
      </c>
      <c r="P21" s="59">
        <v>326</v>
      </c>
      <c r="Q21" s="61">
        <f t="shared" si="0"/>
        <v>2.2485999999999997</v>
      </c>
      <c r="R21" s="60">
        <v>0.25</v>
      </c>
      <c r="S21" s="60"/>
      <c r="T21" s="67"/>
      <c r="U21" s="67">
        <v>0.5</v>
      </c>
      <c r="V21" s="67">
        <v>0.7</v>
      </c>
      <c r="W21" s="67">
        <v>0.98</v>
      </c>
      <c r="X21" s="70">
        <f t="shared" si="1"/>
        <v>6.8599999999999994E-2</v>
      </c>
      <c r="Y21" s="70"/>
      <c r="AA21" s="82">
        <v>0.98</v>
      </c>
      <c r="AB21" s="82"/>
      <c r="AC21" s="233"/>
      <c r="AD21" s="82"/>
      <c r="AH21" s="63"/>
    </row>
    <row r="22" spans="1:34" s="62" customFormat="1" x14ac:dyDescent="0.25">
      <c r="A22" s="57">
        <v>2522</v>
      </c>
      <c r="B22" s="57" t="s">
        <v>3301</v>
      </c>
      <c r="C22" s="57" t="s">
        <v>3302</v>
      </c>
      <c r="D22" s="57" t="s">
        <v>2309</v>
      </c>
      <c r="E22" s="57" t="s">
        <v>2918</v>
      </c>
      <c r="F22" s="57">
        <v>2012</v>
      </c>
      <c r="G22" s="57"/>
      <c r="H22" s="57" t="s">
        <v>1878</v>
      </c>
      <c r="I22" s="58" t="s">
        <v>1879</v>
      </c>
      <c r="J22" s="57" t="s">
        <v>3303</v>
      </c>
      <c r="K22" s="57" t="s">
        <v>1881</v>
      </c>
      <c r="L22" s="58" t="s">
        <v>3304</v>
      </c>
      <c r="M22" s="57">
        <v>544</v>
      </c>
      <c r="N22" s="57"/>
      <c r="O22" s="57" t="s">
        <v>3270</v>
      </c>
      <c r="P22" s="59">
        <v>478</v>
      </c>
      <c r="Q22" s="61">
        <f t="shared" si="0"/>
        <v>2.2873000000000001</v>
      </c>
      <c r="R22" s="60">
        <v>0.39</v>
      </c>
      <c r="S22" s="60"/>
      <c r="T22" s="67"/>
      <c r="U22" s="67">
        <v>1.2</v>
      </c>
      <c r="V22" s="67">
        <v>0.67</v>
      </c>
      <c r="W22" s="67">
        <f>IF(R22&gt;T22,R22,T22)</f>
        <v>0.39</v>
      </c>
      <c r="X22" s="70">
        <f t="shared" si="1"/>
        <v>2.7300000000000001E-2</v>
      </c>
      <c r="Y22" s="70"/>
      <c r="Z22" s="71"/>
      <c r="AA22" s="81">
        <v>0.39</v>
      </c>
      <c r="AB22" s="81"/>
      <c r="AC22" s="232"/>
      <c r="AD22" s="213"/>
      <c r="AH22" s="63"/>
    </row>
    <row r="23" spans="1:34" s="62" customFormat="1" x14ac:dyDescent="0.25">
      <c r="A23" s="57">
        <v>1307</v>
      </c>
      <c r="B23" s="57" t="s">
        <v>3408</v>
      </c>
      <c r="C23" s="57" t="s">
        <v>3409</v>
      </c>
      <c r="D23" s="57" t="s">
        <v>807</v>
      </c>
      <c r="E23" s="57"/>
      <c r="F23" s="57">
        <v>2000</v>
      </c>
      <c r="G23" s="57"/>
      <c r="H23" s="57" t="s">
        <v>3410</v>
      </c>
      <c r="I23" s="58" t="s">
        <v>1879</v>
      </c>
      <c r="J23" s="57" t="s">
        <v>3303</v>
      </c>
      <c r="K23" s="57" t="s">
        <v>1881</v>
      </c>
      <c r="L23" s="58"/>
      <c r="M23" s="57">
        <v>450</v>
      </c>
      <c r="N23" s="57"/>
      <c r="O23" s="57" t="s">
        <v>3367</v>
      </c>
      <c r="P23" s="59">
        <v>608</v>
      </c>
      <c r="Q23" s="61">
        <f t="shared" si="0"/>
        <v>4.1440999999999999</v>
      </c>
      <c r="R23" s="60">
        <v>1.29</v>
      </c>
      <c r="S23" s="60"/>
      <c r="T23" s="67"/>
      <c r="U23" s="67">
        <v>1.7</v>
      </c>
      <c r="V23" s="67">
        <v>0.7</v>
      </c>
      <c r="W23" s="67">
        <f>1.83-0.2</f>
        <v>1.6300000000000001</v>
      </c>
      <c r="X23" s="70">
        <f t="shared" si="1"/>
        <v>0.11410000000000001</v>
      </c>
      <c r="Y23" s="70"/>
      <c r="Z23" s="71"/>
      <c r="AA23" s="81">
        <v>1.63</v>
      </c>
      <c r="AB23" s="81"/>
      <c r="AC23" s="232"/>
      <c r="AD23" s="213"/>
      <c r="AH23" s="63"/>
    </row>
    <row r="24" spans="1:34" s="62" customFormat="1" x14ac:dyDescent="0.25">
      <c r="A24" s="57">
        <v>1308</v>
      </c>
      <c r="B24" s="57" t="s">
        <v>945</v>
      </c>
      <c r="C24" s="57" t="s">
        <v>3447</v>
      </c>
      <c r="D24" s="57" t="s">
        <v>3448</v>
      </c>
      <c r="E24" s="57"/>
      <c r="F24" s="57">
        <v>2000</v>
      </c>
      <c r="G24" s="57"/>
      <c r="H24" s="57" t="s">
        <v>2295</v>
      </c>
      <c r="I24" s="58" t="s">
        <v>1879</v>
      </c>
      <c r="J24" s="57" t="s">
        <v>3449</v>
      </c>
      <c r="K24" s="57" t="s">
        <v>1881</v>
      </c>
      <c r="L24" s="58" t="s">
        <v>3450</v>
      </c>
      <c r="M24" s="57">
        <v>178</v>
      </c>
      <c r="N24" s="57"/>
      <c r="O24" s="57" t="s">
        <v>3415</v>
      </c>
      <c r="P24" s="59">
        <v>328</v>
      </c>
      <c r="Q24" s="61">
        <f t="shared" si="0"/>
        <v>2.8893000000000004</v>
      </c>
      <c r="R24" s="60">
        <v>0.99</v>
      </c>
      <c r="S24" s="60"/>
      <c r="T24" s="67"/>
      <c r="U24" s="67">
        <v>1.2</v>
      </c>
      <c r="V24" s="67">
        <v>0.63</v>
      </c>
      <c r="W24" s="67">
        <f>IF(R24&gt;T24,R24,T24)</f>
        <v>0.99</v>
      </c>
      <c r="X24" s="70">
        <f t="shared" si="1"/>
        <v>6.93E-2</v>
      </c>
      <c r="Y24" s="70"/>
      <c r="Z24" s="71"/>
      <c r="AA24" s="81">
        <v>0.99</v>
      </c>
      <c r="AB24" s="81"/>
      <c r="AC24" s="232"/>
      <c r="AD24" s="213"/>
      <c r="AH24" s="63"/>
    </row>
    <row r="25" spans="1:34" s="62" customFormat="1" x14ac:dyDescent="0.25">
      <c r="A25" s="57">
        <v>1952</v>
      </c>
      <c r="B25" s="57" t="s">
        <v>3627</v>
      </c>
      <c r="C25" s="57" t="s">
        <v>3628</v>
      </c>
      <c r="D25" s="57" t="s">
        <v>3629</v>
      </c>
      <c r="E25" s="57" t="s">
        <v>1877</v>
      </c>
      <c r="F25" s="57">
        <v>2000</v>
      </c>
      <c r="G25" s="57"/>
      <c r="H25" s="57" t="s">
        <v>1878</v>
      </c>
      <c r="I25" s="58" t="s">
        <v>1879</v>
      </c>
      <c r="J25" s="57" t="s">
        <v>3202</v>
      </c>
      <c r="K25" s="57" t="s">
        <v>1881</v>
      </c>
      <c r="L25" s="58" t="s">
        <v>3630</v>
      </c>
      <c r="M25" s="57">
        <v>208</v>
      </c>
      <c r="N25" s="57"/>
      <c r="O25" s="57" t="s">
        <v>3540</v>
      </c>
      <c r="P25" s="59">
        <v>183</v>
      </c>
      <c r="Q25" s="61">
        <f t="shared" si="0"/>
        <v>4.4893999999999998</v>
      </c>
      <c r="R25" s="60">
        <v>2.42</v>
      </c>
      <c r="S25" s="60"/>
      <c r="T25" s="67"/>
      <c r="U25" s="67">
        <v>1.2</v>
      </c>
      <c r="V25" s="67">
        <v>0.7</v>
      </c>
      <c r="W25" s="67">
        <f>IF(R25&gt;T25,R25,T25)</f>
        <v>2.42</v>
      </c>
      <c r="X25" s="70">
        <f t="shared" si="1"/>
        <v>0.1694</v>
      </c>
      <c r="Y25" s="70"/>
      <c r="Z25" s="71"/>
      <c r="AA25" s="81">
        <v>2.42</v>
      </c>
      <c r="AB25" s="81"/>
      <c r="AC25" s="232"/>
      <c r="AD25" s="213"/>
      <c r="AH25" s="63"/>
    </row>
    <row r="26" spans="1:34" s="62" customFormat="1" x14ac:dyDescent="0.25">
      <c r="A26" s="57">
        <v>2851</v>
      </c>
      <c r="B26" s="57" t="s">
        <v>3684</v>
      </c>
      <c r="C26" s="57" t="s">
        <v>3685</v>
      </c>
      <c r="D26" s="57" t="s">
        <v>2054</v>
      </c>
      <c r="E26" s="57"/>
      <c r="F26" s="57">
        <v>2003</v>
      </c>
      <c r="G26" s="57"/>
      <c r="H26" s="57" t="s">
        <v>1878</v>
      </c>
      <c r="I26" s="58" t="s">
        <v>1879</v>
      </c>
      <c r="J26" s="74" t="s">
        <v>3653</v>
      </c>
      <c r="K26" s="57" t="s">
        <v>1881</v>
      </c>
      <c r="L26" s="58" t="s">
        <v>3686</v>
      </c>
      <c r="M26" s="57">
        <f>472+522-3</f>
        <v>991</v>
      </c>
      <c r="N26" s="57"/>
      <c r="O26" s="57" t="s">
        <v>3558</v>
      </c>
      <c r="P26" s="59">
        <v>729</v>
      </c>
      <c r="Q26" s="61">
        <f t="shared" si="0"/>
        <v>2.2502</v>
      </c>
      <c r="R26" s="60">
        <v>0.25</v>
      </c>
      <c r="S26" s="60"/>
      <c r="T26" s="67"/>
      <c r="U26" s="67">
        <v>1.7</v>
      </c>
      <c r="V26" s="67">
        <v>0.7</v>
      </c>
      <c r="W26" s="67">
        <v>-0.14000000000000001</v>
      </c>
      <c r="X26" s="70">
        <f t="shared" si="1"/>
        <v>-9.8000000000000014E-3</v>
      </c>
      <c r="Y26" s="70"/>
      <c r="Z26" s="71"/>
      <c r="AA26" s="81">
        <v>-0.14000000000000001</v>
      </c>
      <c r="AB26" s="81"/>
      <c r="AC26" s="232"/>
      <c r="AD26" s="213"/>
      <c r="AH26" s="63"/>
    </row>
    <row r="27" spans="1:34" s="62" customFormat="1" x14ac:dyDescent="0.25">
      <c r="A27" s="57">
        <v>1395</v>
      </c>
      <c r="B27" s="57" t="s">
        <v>3705</v>
      </c>
      <c r="C27" s="57" t="s">
        <v>3706</v>
      </c>
      <c r="D27" s="57" t="s">
        <v>1988</v>
      </c>
      <c r="E27" s="57" t="s">
        <v>1877</v>
      </c>
      <c r="F27" s="57">
        <v>2007</v>
      </c>
      <c r="G27" s="57"/>
      <c r="H27" s="57" t="s">
        <v>1878</v>
      </c>
      <c r="I27" s="58" t="s">
        <v>1879</v>
      </c>
      <c r="J27" s="57" t="s">
        <v>3649</v>
      </c>
      <c r="K27" s="57" t="s">
        <v>1881</v>
      </c>
      <c r="L27" s="58" t="s">
        <v>3707</v>
      </c>
      <c r="M27" s="57">
        <v>384</v>
      </c>
      <c r="N27" s="57"/>
      <c r="O27" s="57" t="s">
        <v>3565</v>
      </c>
      <c r="P27" s="59">
        <v>321</v>
      </c>
      <c r="Q27" s="61">
        <v>0.72</v>
      </c>
      <c r="R27" s="60">
        <v>0.25</v>
      </c>
      <c r="S27" s="60"/>
      <c r="T27" s="67"/>
      <c r="U27" s="67">
        <v>1.2</v>
      </c>
      <c r="V27" s="67">
        <v>0.2</v>
      </c>
      <c r="W27" s="67">
        <f>0.72-0.2</f>
        <v>0.52</v>
      </c>
      <c r="X27" s="70">
        <f>Q27/100*7</f>
        <v>5.04E-2</v>
      </c>
      <c r="Y27" s="70"/>
      <c r="Z27" s="71"/>
      <c r="AA27" s="81"/>
      <c r="AB27" s="81">
        <f>Q27-X27</f>
        <v>0.66959999999999997</v>
      </c>
      <c r="AC27" s="232"/>
      <c r="AD27" s="213"/>
      <c r="AH27" s="63"/>
    </row>
    <row r="28" spans="1:34" s="62" customFormat="1" x14ac:dyDescent="0.25">
      <c r="A28" s="57">
        <v>632</v>
      </c>
      <c r="B28" s="57" t="s">
        <v>3770</v>
      </c>
      <c r="C28" s="57" t="s">
        <v>3814</v>
      </c>
      <c r="D28" s="57"/>
      <c r="E28" s="57" t="s">
        <v>1913</v>
      </c>
      <c r="F28" s="57">
        <v>2016</v>
      </c>
      <c r="G28" s="57"/>
      <c r="H28" s="57" t="s">
        <v>1878</v>
      </c>
      <c r="I28" s="58" t="s">
        <v>1929</v>
      </c>
      <c r="J28" s="69" t="s">
        <v>3772</v>
      </c>
      <c r="K28" s="57" t="s">
        <v>1881</v>
      </c>
      <c r="L28" s="58" t="s">
        <v>3771</v>
      </c>
      <c r="M28" s="57">
        <v>400</v>
      </c>
      <c r="N28" s="57"/>
      <c r="O28" s="57" t="s">
        <v>3582</v>
      </c>
      <c r="P28" s="59">
        <v>391</v>
      </c>
      <c r="Q28" s="61">
        <f t="shared" si="0"/>
        <v>3.8901999999999997</v>
      </c>
      <c r="R28" s="60">
        <v>1.86</v>
      </c>
      <c r="S28" s="60"/>
      <c r="T28" s="67"/>
      <c r="U28" s="67">
        <v>1.2</v>
      </c>
      <c r="V28" s="67">
        <v>0.7</v>
      </c>
      <c r="W28" s="67">
        <f>IF(R28&gt;T28,R28,T28)</f>
        <v>1.86</v>
      </c>
      <c r="X28" s="70">
        <f t="shared" si="1"/>
        <v>0.13020000000000001</v>
      </c>
      <c r="Y28" s="70"/>
      <c r="Z28" s="71"/>
      <c r="AA28" s="81">
        <v>1.86</v>
      </c>
      <c r="AB28" s="81"/>
      <c r="AC28" s="232"/>
      <c r="AD28" s="213"/>
      <c r="AH28" s="63"/>
    </row>
    <row r="29" spans="1:34" s="62" customFormat="1" x14ac:dyDescent="0.25">
      <c r="A29" s="57">
        <v>1386</v>
      </c>
      <c r="B29" s="57" t="s">
        <v>3791</v>
      </c>
      <c r="C29" s="57" t="s">
        <v>3792</v>
      </c>
      <c r="D29" s="57" t="s">
        <v>2244</v>
      </c>
      <c r="E29" s="57"/>
      <c r="F29" s="57">
        <v>2017</v>
      </c>
      <c r="G29" s="57"/>
      <c r="H29" s="57" t="s">
        <v>1878</v>
      </c>
      <c r="I29" s="58" t="s">
        <v>1879</v>
      </c>
      <c r="J29" s="57" t="s">
        <v>3303</v>
      </c>
      <c r="K29" s="57" t="s">
        <v>1881</v>
      </c>
      <c r="L29" s="58" t="s">
        <v>3793</v>
      </c>
      <c r="M29" s="57">
        <v>368</v>
      </c>
      <c r="N29" s="57"/>
      <c r="O29" s="57" t="s">
        <v>3589</v>
      </c>
      <c r="P29" s="59">
        <v>514</v>
      </c>
      <c r="Q29" s="61">
        <f t="shared" si="0"/>
        <v>2.7530999999999999</v>
      </c>
      <c r="R29" s="60">
        <v>0.75</v>
      </c>
      <c r="S29" s="60"/>
      <c r="T29" s="67"/>
      <c r="U29" s="67">
        <v>1.7</v>
      </c>
      <c r="V29" s="67">
        <v>0.7</v>
      </c>
      <c r="W29" s="67">
        <v>0.33</v>
      </c>
      <c r="X29" s="70">
        <f t="shared" si="1"/>
        <v>2.3099999999999999E-2</v>
      </c>
      <c r="Y29" s="70"/>
      <c r="Z29" s="71"/>
      <c r="AA29" s="81">
        <v>0.33</v>
      </c>
      <c r="AB29" s="81"/>
      <c r="AC29" s="232"/>
      <c r="AD29" s="213"/>
      <c r="AH29" s="63"/>
    </row>
    <row r="30" spans="1:34" s="62" customFormat="1" x14ac:dyDescent="0.25">
      <c r="A30" s="57">
        <v>1984</v>
      </c>
      <c r="B30" s="57" t="s">
        <v>3824</v>
      </c>
      <c r="C30" s="57" t="s">
        <v>3827</v>
      </c>
      <c r="D30" s="57" t="s">
        <v>1979</v>
      </c>
      <c r="E30" s="57"/>
      <c r="F30" s="57">
        <v>2012</v>
      </c>
      <c r="G30" s="57"/>
      <c r="H30" s="57" t="s">
        <v>2295</v>
      </c>
      <c r="I30" s="58" t="s">
        <v>1879</v>
      </c>
      <c r="J30" s="57" t="s">
        <v>3303</v>
      </c>
      <c r="K30" s="57" t="s">
        <v>1881</v>
      </c>
      <c r="L30" s="58" t="s">
        <v>3828</v>
      </c>
      <c r="M30" s="57">
        <v>140</v>
      </c>
      <c r="N30" s="57"/>
      <c r="O30" s="57" t="s">
        <v>3750</v>
      </c>
      <c r="P30" s="59">
        <v>485</v>
      </c>
      <c r="Q30" s="61">
        <f t="shared" si="0"/>
        <v>2.3921999999999999</v>
      </c>
      <c r="R30" s="60">
        <v>0.46</v>
      </c>
      <c r="S30" s="60"/>
      <c r="T30" s="67"/>
      <c r="U30" s="67">
        <v>1.2</v>
      </c>
      <c r="V30" s="67">
        <v>0.7</v>
      </c>
      <c r="W30" s="67">
        <f>IF(R30&gt;T30,R30,T30)</f>
        <v>0.46</v>
      </c>
      <c r="X30" s="70">
        <f t="shared" si="1"/>
        <v>3.2199999999999999E-2</v>
      </c>
      <c r="Y30" s="70"/>
      <c r="Z30" s="71"/>
      <c r="AA30" s="81">
        <v>0.46</v>
      </c>
      <c r="AB30" s="81"/>
      <c r="AC30" s="232"/>
      <c r="AD30" s="213"/>
      <c r="AH30" s="63"/>
    </row>
    <row r="31" spans="1:34" s="62" customFormat="1" x14ac:dyDescent="0.25">
      <c r="A31" s="57">
        <v>796</v>
      </c>
      <c r="B31" s="57" t="s">
        <v>3867</v>
      </c>
      <c r="C31" s="57" t="s">
        <v>3868</v>
      </c>
      <c r="D31" s="57" t="s">
        <v>2257</v>
      </c>
      <c r="E31" s="57"/>
      <c r="F31" s="57">
        <v>2017</v>
      </c>
      <c r="G31" s="57"/>
      <c r="H31" s="57" t="s">
        <v>1878</v>
      </c>
      <c r="I31" s="58" t="s">
        <v>1879</v>
      </c>
      <c r="J31" s="69" t="s">
        <v>3869</v>
      </c>
      <c r="K31" s="57" t="s">
        <v>1881</v>
      </c>
      <c r="L31" s="58" t="s">
        <v>3870</v>
      </c>
      <c r="M31" s="57">
        <v>384</v>
      </c>
      <c r="N31" s="57"/>
      <c r="O31" s="57" t="s">
        <v>3822</v>
      </c>
      <c r="P31" s="59">
        <v>355</v>
      </c>
      <c r="Q31" s="61">
        <f t="shared" si="0"/>
        <v>2.9807000000000001</v>
      </c>
      <c r="R31" s="60">
        <v>1.35</v>
      </c>
      <c r="S31" s="60"/>
      <c r="T31" s="67"/>
      <c r="U31" s="67">
        <v>1.2</v>
      </c>
      <c r="V31" s="67">
        <v>0.7</v>
      </c>
      <c r="W31" s="67">
        <v>1.01</v>
      </c>
      <c r="X31" s="70">
        <f t="shared" si="1"/>
        <v>7.0699999999999999E-2</v>
      </c>
      <c r="Y31" s="70"/>
      <c r="Z31" s="71"/>
      <c r="AA31" s="81">
        <v>1.01</v>
      </c>
      <c r="AB31" s="81"/>
      <c r="AC31" s="232"/>
      <c r="AD31" s="213"/>
      <c r="AH31" s="63"/>
    </row>
    <row r="32" spans="1:34" s="62" customFormat="1" x14ac:dyDescent="0.25">
      <c r="A32" s="57">
        <v>632</v>
      </c>
      <c r="B32" s="57" t="s">
        <v>3964</v>
      </c>
      <c r="C32" s="57" t="s">
        <v>3965</v>
      </c>
      <c r="D32" s="57" t="s">
        <v>2091</v>
      </c>
      <c r="E32" s="57" t="s">
        <v>1877</v>
      </c>
      <c r="F32" s="57">
        <v>2019</v>
      </c>
      <c r="G32" s="57"/>
      <c r="H32" s="57" t="s">
        <v>2734</v>
      </c>
      <c r="I32" s="58" t="s">
        <v>1879</v>
      </c>
      <c r="J32" s="57" t="s">
        <v>3966</v>
      </c>
      <c r="K32" s="57" t="s">
        <v>1881</v>
      </c>
      <c r="L32" s="58" t="s">
        <v>3967</v>
      </c>
      <c r="M32" s="57">
        <v>274</v>
      </c>
      <c r="N32" s="57"/>
      <c r="O32" s="57" t="s">
        <v>3910</v>
      </c>
      <c r="P32" s="59">
        <v>402</v>
      </c>
      <c r="Q32" s="61">
        <f t="shared" si="0"/>
        <v>10.8893</v>
      </c>
      <c r="R32" s="60">
        <v>8.99</v>
      </c>
      <c r="S32" s="60"/>
      <c r="T32" s="67"/>
      <c r="U32" s="67">
        <v>1.27</v>
      </c>
      <c r="V32" s="67"/>
      <c r="W32" s="67">
        <f>IF(R32&gt;T32,R32,T32)</f>
        <v>8.99</v>
      </c>
      <c r="X32" s="70">
        <f t="shared" si="1"/>
        <v>0.62930000000000008</v>
      </c>
      <c r="Y32" s="70"/>
      <c r="Z32" s="71"/>
      <c r="AA32" s="81">
        <v>8.99</v>
      </c>
      <c r="AB32" s="81"/>
      <c r="AC32" s="232"/>
      <c r="AD32" s="213"/>
      <c r="AH32" s="63"/>
    </row>
    <row r="33" spans="1:34" s="62" customFormat="1" x14ac:dyDescent="0.25">
      <c r="A33" s="57">
        <v>1231</v>
      </c>
      <c r="B33" s="57" t="s">
        <v>4031</v>
      </c>
      <c r="C33" s="57" t="s">
        <v>4032</v>
      </c>
      <c r="D33" s="57" t="s">
        <v>2054</v>
      </c>
      <c r="E33" s="57"/>
      <c r="F33" s="57">
        <v>2018</v>
      </c>
      <c r="G33" s="57"/>
      <c r="H33" s="57" t="s">
        <v>1878</v>
      </c>
      <c r="I33" s="58" t="s">
        <v>1879</v>
      </c>
      <c r="J33" s="57" t="s">
        <v>2237</v>
      </c>
      <c r="K33" s="57" t="s">
        <v>1881</v>
      </c>
      <c r="L33" s="58" t="s">
        <v>4033</v>
      </c>
      <c r="M33" s="57">
        <v>368</v>
      </c>
      <c r="N33" s="57"/>
      <c r="O33" s="57" t="s">
        <v>3922</v>
      </c>
      <c r="P33" s="59">
        <v>466</v>
      </c>
      <c r="Q33" s="61">
        <f t="shared" si="0"/>
        <v>2.7881</v>
      </c>
      <c r="R33" s="60">
        <v>0.83</v>
      </c>
      <c r="S33" s="60"/>
      <c r="T33" s="67"/>
      <c r="U33" s="67">
        <v>1.2</v>
      </c>
      <c r="V33" s="67">
        <v>0.7</v>
      </c>
      <c r="W33" s="67">
        <f>IF(R33&gt;T33,R33,T33)</f>
        <v>0.83</v>
      </c>
      <c r="X33" s="70">
        <f t="shared" si="1"/>
        <v>5.8099999999999999E-2</v>
      </c>
      <c r="Y33" s="70"/>
      <c r="Z33" s="71"/>
      <c r="AA33" s="81">
        <v>0.83</v>
      </c>
      <c r="AB33" s="81"/>
      <c r="AC33" s="232"/>
      <c r="AD33" s="213"/>
      <c r="AH33" s="63"/>
    </row>
    <row r="34" spans="1:34" s="62" customFormat="1" x14ac:dyDescent="0.25">
      <c r="A34" s="57">
        <v>1913</v>
      </c>
      <c r="B34" s="57" t="s">
        <v>3154</v>
      </c>
      <c r="C34" s="57" t="s">
        <v>4099</v>
      </c>
      <c r="D34" s="57" t="s">
        <v>2209</v>
      </c>
      <c r="E34" s="57"/>
      <c r="F34" s="57">
        <v>2008</v>
      </c>
      <c r="G34" s="57"/>
      <c r="H34" s="57" t="s">
        <v>1878</v>
      </c>
      <c r="I34" s="58" t="s">
        <v>1879</v>
      </c>
      <c r="J34" s="57" t="s">
        <v>2237</v>
      </c>
      <c r="K34" s="57" t="s">
        <v>1881</v>
      </c>
      <c r="L34" s="58" t="s">
        <v>4100</v>
      </c>
      <c r="M34" s="57">
        <v>480</v>
      </c>
      <c r="N34" s="57"/>
      <c r="O34" s="57" t="s">
        <v>4024</v>
      </c>
      <c r="P34" s="59">
        <v>457</v>
      </c>
      <c r="Q34" s="61">
        <f t="shared" si="0"/>
        <v>2.9863</v>
      </c>
      <c r="R34" s="60">
        <v>1.0900000000000001</v>
      </c>
      <c r="S34" s="60"/>
      <c r="T34" s="67"/>
      <c r="U34" s="67">
        <v>1.2</v>
      </c>
      <c r="V34" s="67">
        <v>0.62</v>
      </c>
      <c r="W34" s="67">
        <f>IF(R34&gt;T34,R34,T34)</f>
        <v>1.0900000000000001</v>
      </c>
      <c r="X34" s="70">
        <f t="shared" si="1"/>
        <v>7.6300000000000007E-2</v>
      </c>
      <c r="Y34" s="70"/>
      <c r="Z34" s="71"/>
      <c r="AA34" s="81">
        <v>1.0900000000000001</v>
      </c>
      <c r="AB34" s="81"/>
      <c r="AC34" s="232"/>
      <c r="AD34" s="213"/>
      <c r="AH34" s="63"/>
    </row>
    <row r="35" spans="1:34" s="62" customFormat="1" ht="11.25" customHeight="1" x14ac:dyDescent="0.25">
      <c r="A35" s="57">
        <v>2522</v>
      </c>
      <c r="B35" s="57" t="s">
        <v>4515</v>
      </c>
      <c r="C35" s="57" t="s">
        <v>4516</v>
      </c>
      <c r="D35" s="57" t="s">
        <v>4517</v>
      </c>
      <c r="E35" s="57" t="s">
        <v>1913</v>
      </c>
      <c r="F35" s="57">
        <v>2007</v>
      </c>
      <c r="G35" s="57"/>
      <c r="H35" s="57" t="s">
        <v>1878</v>
      </c>
      <c r="I35" s="58" t="s">
        <v>1879</v>
      </c>
      <c r="J35" s="69" t="s">
        <v>3854</v>
      </c>
      <c r="K35" s="57" t="s">
        <v>1881</v>
      </c>
      <c r="L35" s="58" t="s">
        <v>4518</v>
      </c>
      <c r="M35" s="57">
        <v>432</v>
      </c>
      <c r="N35" s="57"/>
      <c r="O35" s="57" t="s">
        <v>4419</v>
      </c>
      <c r="P35" s="59">
        <v>392</v>
      </c>
      <c r="Q35" s="61">
        <f t="shared" si="0"/>
        <v>2.8897500000000003</v>
      </c>
      <c r="R35" s="60">
        <v>0.99</v>
      </c>
      <c r="S35" s="60"/>
      <c r="T35" s="67"/>
      <c r="U35" s="67">
        <v>1.2</v>
      </c>
      <c r="V35" s="67">
        <v>0.7</v>
      </c>
      <c r="W35" s="67">
        <v>0.92500000000000004</v>
      </c>
      <c r="X35" s="70">
        <f t="shared" si="1"/>
        <v>6.4750000000000002E-2</v>
      </c>
      <c r="Y35" s="70"/>
      <c r="Z35" s="71"/>
      <c r="AA35" s="81">
        <f>W35</f>
        <v>0.92500000000000004</v>
      </c>
      <c r="AB35" s="81"/>
      <c r="AC35" s="232"/>
      <c r="AD35" s="213"/>
      <c r="AH35" s="63"/>
    </row>
    <row r="36" spans="1:34" s="62" customFormat="1" x14ac:dyDescent="0.25">
      <c r="A36" s="57">
        <v>2518</v>
      </c>
      <c r="B36" s="57" t="s">
        <v>5073</v>
      </c>
      <c r="C36" s="57" t="s">
        <v>5074</v>
      </c>
      <c r="D36" s="57" t="s">
        <v>2257</v>
      </c>
      <c r="E36" s="57"/>
      <c r="F36" s="57">
        <v>2012</v>
      </c>
      <c r="G36" s="57"/>
      <c r="H36" s="57" t="s">
        <v>1878</v>
      </c>
      <c r="I36" s="58" t="s">
        <v>1879</v>
      </c>
      <c r="J36" s="57"/>
      <c r="K36" s="57" t="s">
        <v>1881</v>
      </c>
      <c r="L36" s="58"/>
      <c r="M36" s="57">
        <v>400</v>
      </c>
      <c r="N36" s="57"/>
      <c r="O36" s="57" t="s">
        <v>4972</v>
      </c>
      <c r="P36" s="59">
        <v>455</v>
      </c>
      <c r="Q36" s="61">
        <f t="shared" si="0"/>
        <v>2.9914000000000001</v>
      </c>
      <c r="R36" s="60">
        <v>1.02</v>
      </c>
      <c r="S36" s="60"/>
      <c r="T36" s="67"/>
      <c r="U36" s="67">
        <v>1.2</v>
      </c>
      <c r="V36" s="67">
        <v>0.7</v>
      </c>
      <c r="W36" s="67">
        <f>IF(R36&gt;T36,R36,T36)</f>
        <v>1.02</v>
      </c>
      <c r="X36" s="70">
        <f t="shared" si="1"/>
        <v>7.1400000000000005E-2</v>
      </c>
      <c r="Y36" s="70"/>
      <c r="Z36" s="71"/>
      <c r="AA36" s="81">
        <v>1.02</v>
      </c>
      <c r="AB36" s="81"/>
      <c r="AC36" s="232"/>
      <c r="AD36" s="213"/>
      <c r="AH36" s="63"/>
    </row>
    <row r="37" spans="1:34" s="62" customFormat="1" x14ac:dyDescent="0.25">
      <c r="A37" s="57">
        <v>1365</v>
      </c>
      <c r="B37" s="57" t="s">
        <v>4327</v>
      </c>
      <c r="C37" s="57" t="s">
        <v>4328</v>
      </c>
      <c r="D37" s="57" t="s">
        <v>2309</v>
      </c>
      <c r="E37" s="57"/>
      <c r="F37" s="57"/>
      <c r="G37" s="57"/>
      <c r="H37" s="57" t="s">
        <v>2734</v>
      </c>
      <c r="I37" s="58" t="s">
        <v>1879</v>
      </c>
      <c r="J37" s="57"/>
      <c r="K37" s="57" t="s">
        <v>1881</v>
      </c>
      <c r="L37" s="58"/>
      <c r="M37" s="57">
        <v>210</v>
      </c>
      <c r="N37" s="57"/>
      <c r="O37" s="57" t="s">
        <v>4281</v>
      </c>
      <c r="P37" s="59">
        <v>430</v>
      </c>
      <c r="Q37" s="61">
        <v>5.9893000000000001</v>
      </c>
      <c r="R37" s="60">
        <v>3.99</v>
      </c>
      <c r="S37" s="60"/>
      <c r="T37" s="67"/>
      <c r="U37" s="67">
        <v>1.2</v>
      </c>
      <c r="V37" s="67">
        <v>0.52</v>
      </c>
      <c r="W37" s="67">
        <v>3.99</v>
      </c>
      <c r="X37" s="70">
        <v>0.27930000000000005</v>
      </c>
      <c r="Y37" s="70"/>
      <c r="Z37" s="71"/>
      <c r="AA37" s="81">
        <v>3.99</v>
      </c>
      <c r="AB37" s="81"/>
      <c r="AC37" s="232"/>
      <c r="AD37" s="213"/>
      <c r="AH37" s="63"/>
    </row>
    <row r="38" spans="1:34" s="62" customFormat="1" x14ac:dyDescent="0.25">
      <c r="A38" s="57">
        <v>1395</v>
      </c>
      <c r="B38" s="57" t="s">
        <v>4345</v>
      </c>
      <c r="C38" s="57" t="s">
        <v>4346</v>
      </c>
      <c r="D38" s="57" t="s">
        <v>2609</v>
      </c>
      <c r="E38" s="57" t="s">
        <v>2175</v>
      </c>
      <c r="F38" s="57">
        <v>1998</v>
      </c>
      <c r="G38" s="57"/>
      <c r="H38" s="57" t="s">
        <v>1878</v>
      </c>
      <c r="I38" s="58" t="s">
        <v>1879</v>
      </c>
      <c r="J38" s="57"/>
      <c r="K38" s="57" t="s">
        <v>1881</v>
      </c>
      <c r="L38" s="58" t="s">
        <v>4347</v>
      </c>
      <c r="M38" s="57">
        <v>112</v>
      </c>
      <c r="N38" s="57"/>
      <c r="O38" s="57" t="s">
        <v>4283</v>
      </c>
      <c r="P38" s="59">
        <v>127</v>
      </c>
      <c r="Q38" s="61">
        <v>2.9914000000000001</v>
      </c>
      <c r="R38" s="60">
        <v>0.99</v>
      </c>
      <c r="S38" s="60"/>
      <c r="T38" s="67"/>
      <c r="U38" s="67">
        <v>1.2</v>
      </c>
      <c r="V38" s="67">
        <v>0.7</v>
      </c>
      <c r="W38" s="67">
        <v>1.02</v>
      </c>
      <c r="X38" s="70">
        <v>7.1400000000000005E-2</v>
      </c>
      <c r="Y38" s="70"/>
      <c r="Z38" s="71"/>
      <c r="AA38" s="81">
        <v>1.02</v>
      </c>
      <c r="AB38" s="81"/>
      <c r="AC38" s="232"/>
      <c r="AD38" s="213"/>
      <c r="AH38" s="63"/>
    </row>
    <row r="39" spans="1:34" s="62" customFormat="1" x14ac:dyDescent="0.25">
      <c r="A39" s="57">
        <v>831</v>
      </c>
      <c r="B39" s="57" t="s">
        <v>4336</v>
      </c>
      <c r="C39" s="57" t="s">
        <v>4337</v>
      </c>
      <c r="D39" s="57" t="s">
        <v>4338</v>
      </c>
      <c r="E39" s="57" t="s">
        <v>4339</v>
      </c>
      <c r="F39" s="57">
        <v>2012</v>
      </c>
      <c r="G39" s="57"/>
      <c r="H39" s="57" t="s">
        <v>2734</v>
      </c>
      <c r="I39" s="58" t="s">
        <v>1929</v>
      </c>
      <c r="J39" s="57"/>
      <c r="K39" s="57" t="s">
        <v>1881</v>
      </c>
      <c r="L39" s="58" t="s">
        <v>4340</v>
      </c>
      <c r="M39" s="57">
        <v>346</v>
      </c>
      <c r="N39" s="57"/>
      <c r="O39" s="57" t="s">
        <v>4285</v>
      </c>
      <c r="P39" s="59">
        <v>673</v>
      </c>
      <c r="Q39" s="61">
        <v>3.9853000000000001</v>
      </c>
      <c r="R39" s="60">
        <v>1.79</v>
      </c>
      <c r="S39" s="60"/>
      <c r="T39" s="67"/>
      <c r="U39" s="67">
        <v>1.7</v>
      </c>
      <c r="V39" s="67">
        <v>0.37</v>
      </c>
      <c r="W39" s="67">
        <v>1.79</v>
      </c>
      <c r="X39" s="70">
        <v>0.12529999999999999</v>
      </c>
      <c r="Y39" s="70"/>
      <c r="Z39" s="71"/>
      <c r="AA39" s="81">
        <v>1.79</v>
      </c>
      <c r="AB39" s="81"/>
      <c r="AC39" s="232"/>
      <c r="AD39" s="213"/>
      <c r="AH39" s="63"/>
    </row>
    <row r="40" spans="1:34" s="62" customFormat="1" x14ac:dyDescent="0.25">
      <c r="A40" s="57"/>
      <c r="B40" s="57"/>
      <c r="C40" s="57"/>
      <c r="D40" s="57"/>
      <c r="E40" s="57"/>
      <c r="F40" s="57"/>
      <c r="G40" s="57"/>
      <c r="H40" s="57"/>
      <c r="I40" s="58"/>
      <c r="J40" s="57"/>
      <c r="K40" s="57"/>
      <c r="L40" s="58"/>
      <c r="M40" s="57"/>
      <c r="N40" s="57"/>
      <c r="O40" s="57" t="s">
        <v>7087</v>
      </c>
      <c r="P40" s="59"/>
      <c r="Q40" s="61">
        <v>5.99</v>
      </c>
      <c r="R40" s="60"/>
      <c r="S40" s="60"/>
      <c r="T40" s="67"/>
      <c r="U40" s="67">
        <v>1.2</v>
      </c>
      <c r="V40" s="67">
        <v>0.7</v>
      </c>
      <c r="W40" s="67">
        <v>4.09</v>
      </c>
      <c r="X40" s="70">
        <v>0.2863</v>
      </c>
      <c r="Y40" s="70"/>
      <c r="Z40" s="71"/>
      <c r="AA40" s="81">
        <v>4.09</v>
      </c>
      <c r="AB40" s="81"/>
      <c r="AC40" s="232"/>
      <c r="AD40" s="213"/>
      <c r="AH40" s="63"/>
    </row>
    <row r="41" spans="1:34" s="62" customFormat="1" x14ac:dyDescent="0.25">
      <c r="A41" s="57"/>
      <c r="B41" s="57"/>
      <c r="C41" s="57"/>
      <c r="D41" s="57"/>
      <c r="E41" s="57"/>
      <c r="F41" s="57"/>
      <c r="G41" s="57"/>
      <c r="H41" s="57"/>
      <c r="I41" s="58"/>
      <c r="J41" s="57"/>
      <c r="K41" s="57"/>
      <c r="L41" s="58"/>
      <c r="M41" s="57"/>
      <c r="N41" s="57"/>
      <c r="O41" s="57" t="s">
        <v>7088</v>
      </c>
      <c r="P41" s="59"/>
      <c r="Q41" s="61">
        <v>2.4900000000000002</v>
      </c>
      <c r="R41" s="60">
        <v>2.4900000000000002</v>
      </c>
      <c r="S41" s="60"/>
      <c r="T41" s="67"/>
      <c r="U41" s="67"/>
      <c r="V41" s="67"/>
      <c r="W41" s="67"/>
      <c r="X41" s="70"/>
      <c r="Y41" s="70"/>
      <c r="Z41" s="71"/>
      <c r="AA41" s="81">
        <v>2.4900000000000002</v>
      </c>
      <c r="AB41" s="81"/>
      <c r="AC41" s="232"/>
      <c r="AD41" s="213"/>
      <c r="AH41" s="63"/>
    </row>
    <row r="42" spans="1:34" s="62" customFormat="1" x14ac:dyDescent="0.25">
      <c r="A42" s="57"/>
      <c r="B42" s="57"/>
      <c r="C42" s="57"/>
      <c r="D42" s="57"/>
      <c r="E42" s="57"/>
      <c r="F42" s="57"/>
      <c r="G42" s="57"/>
      <c r="H42" s="57"/>
      <c r="I42" s="58"/>
      <c r="J42" s="57"/>
      <c r="K42" s="57"/>
      <c r="L42" s="58"/>
      <c r="M42" s="57"/>
      <c r="N42" s="57"/>
      <c r="O42" s="57" t="s">
        <v>7091</v>
      </c>
      <c r="P42" s="59"/>
      <c r="Q42" s="61">
        <v>3.29</v>
      </c>
      <c r="R42" s="60">
        <v>1.39</v>
      </c>
      <c r="S42" s="60"/>
      <c r="T42" s="67"/>
      <c r="U42" s="67">
        <v>1.2</v>
      </c>
      <c r="V42" s="67">
        <v>0.7</v>
      </c>
      <c r="W42" s="67"/>
      <c r="X42" s="70"/>
      <c r="Y42" s="70"/>
      <c r="Z42" s="71"/>
      <c r="AA42" s="81">
        <v>1.39</v>
      </c>
      <c r="AB42" s="81"/>
      <c r="AC42" s="232"/>
      <c r="AD42" s="213"/>
      <c r="AH42" s="63"/>
    </row>
    <row r="43" spans="1:34" s="62" customFormat="1" x14ac:dyDescent="0.25">
      <c r="A43" s="57"/>
      <c r="B43" s="57"/>
      <c r="C43" s="57"/>
      <c r="D43" s="57"/>
      <c r="E43" s="57"/>
      <c r="F43" s="57"/>
      <c r="G43" s="57"/>
      <c r="H43" s="57"/>
      <c r="I43" s="58"/>
      <c r="J43" s="57"/>
      <c r="K43" s="57"/>
      <c r="L43" s="58"/>
      <c r="M43" s="57"/>
      <c r="N43" s="57"/>
      <c r="O43" s="57" t="s">
        <v>7092</v>
      </c>
      <c r="P43" s="59"/>
      <c r="Q43" s="61">
        <v>0.99</v>
      </c>
      <c r="R43" s="60"/>
      <c r="S43" s="60"/>
      <c r="T43" s="67"/>
      <c r="U43" s="67"/>
      <c r="V43" s="67"/>
      <c r="W43" s="67"/>
      <c r="X43" s="70"/>
      <c r="Y43" s="70"/>
      <c r="Z43" s="71"/>
      <c r="AA43" s="81">
        <v>0.99</v>
      </c>
      <c r="AB43" s="81"/>
      <c r="AC43" s="232"/>
      <c r="AD43" s="213"/>
      <c r="AH43" s="63"/>
    </row>
    <row r="44" spans="1:34" s="62" customFormat="1" x14ac:dyDescent="0.25">
      <c r="A44" s="57"/>
      <c r="B44" s="57"/>
      <c r="C44" s="57"/>
      <c r="D44" s="57"/>
      <c r="E44" s="57"/>
      <c r="F44" s="57"/>
      <c r="G44" s="57"/>
      <c r="H44" s="57"/>
      <c r="I44" s="58"/>
      <c r="J44" s="57"/>
      <c r="K44" s="57"/>
      <c r="L44" s="58"/>
      <c r="M44" s="57"/>
      <c r="N44" s="57"/>
      <c r="O44" s="57" t="s">
        <v>7089</v>
      </c>
      <c r="P44" s="59"/>
      <c r="Q44" s="61">
        <v>2.65</v>
      </c>
      <c r="R44" s="60">
        <v>6.0000000000000053E-2</v>
      </c>
      <c r="S44" s="60"/>
      <c r="T44" s="67"/>
      <c r="U44" s="67">
        <v>2.59</v>
      </c>
      <c r="V44" s="67"/>
      <c r="W44" s="67"/>
      <c r="X44" s="70"/>
      <c r="Y44" s="70"/>
      <c r="Z44" s="71"/>
      <c r="AA44" s="81">
        <v>0.06</v>
      </c>
      <c r="AB44" s="81"/>
      <c r="AC44" s="232"/>
      <c r="AD44" s="213"/>
      <c r="AH44" s="63"/>
    </row>
    <row r="45" spans="1:34" s="62" customFormat="1" x14ac:dyDescent="0.25">
      <c r="A45" s="57"/>
      <c r="B45" s="57"/>
      <c r="C45" s="57"/>
      <c r="D45" s="57"/>
      <c r="E45" s="57"/>
      <c r="F45" s="57"/>
      <c r="G45" s="57"/>
      <c r="H45" s="57"/>
      <c r="I45" s="58"/>
      <c r="J45" s="57"/>
      <c r="K45" s="57"/>
      <c r="L45" s="58"/>
      <c r="M45" s="57"/>
      <c r="N45" s="57"/>
      <c r="O45" s="57" t="s">
        <v>7085</v>
      </c>
      <c r="P45" s="59"/>
      <c r="Q45" s="61">
        <v>2.25</v>
      </c>
      <c r="R45" s="60"/>
      <c r="S45" s="60"/>
      <c r="T45" s="67"/>
      <c r="U45" s="67">
        <v>1.2</v>
      </c>
      <c r="V45" s="67">
        <v>0.7</v>
      </c>
      <c r="W45" s="67">
        <v>0.35000000000000009</v>
      </c>
      <c r="X45" s="70">
        <v>2.4500000000000008E-2</v>
      </c>
      <c r="Y45" s="70"/>
      <c r="Z45" s="71"/>
      <c r="AA45" s="81">
        <v>0.35</v>
      </c>
      <c r="AB45" s="81"/>
      <c r="AC45" s="232"/>
      <c r="AD45" s="213"/>
      <c r="AH45" s="63"/>
    </row>
    <row r="46" spans="1:34" s="62" customFormat="1" x14ac:dyDescent="0.25">
      <c r="A46" s="57">
        <v>632</v>
      </c>
      <c r="B46" s="57" t="s">
        <v>4608</v>
      </c>
      <c r="C46" s="57" t="s">
        <v>4609</v>
      </c>
      <c r="D46" s="57" t="s">
        <v>2609</v>
      </c>
      <c r="E46" s="57"/>
      <c r="F46" s="57">
        <v>2010</v>
      </c>
      <c r="G46" s="57"/>
      <c r="H46" s="57" t="s">
        <v>1878</v>
      </c>
      <c r="I46" s="58" t="s">
        <v>1879</v>
      </c>
      <c r="J46" s="57"/>
      <c r="K46" s="57" t="s">
        <v>1881</v>
      </c>
      <c r="L46" s="58" t="s">
        <v>4610</v>
      </c>
      <c r="M46" s="57">
        <v>720</v>
      </c>
      <c r="N46" s="57"/>
      <c r="O46" s="57" t="s">
        <v>4549</v>
      </c>
      <c r="P46" s="59">
        <v>550</v>
      </c>
      <c r="Q46" s="61">
        <f>SUM(T46:X46)</f>
        <v>3.1382999999999996</v>
      </c>
      <c r="R46" s="60">
        <v>0.69</v>
      </c>
      <c r="S46" s="60"/>
      <c r="T46" s="67"/>
      <c r="U46" s="67">
        <v>1.7</v>
      </c>
      <c r="V46" s="67">
        <v>0.7</v>
      </c>
      <c r="W46" s="67">
        <f>IF(R46&gt;T46,R46,T46)</f>
        <v>0.69</v>
      </c>
      <c r="X46" s="70">
        <f>(T46+W46)/100*7</f>
        <v>4.8299999999999996E-2</v>
      </c>
      <c r="Y46" s="70"/>
      <c r="Z46" s="71"/>
      <c r="AA46" s="81">
        <v>0.99</v>
      </c>
      <c r="AB46" s="81"/>
      <c r="AC46" s="232"/>
      <c r="AD46" s="213"/>
      <c r="AH46" s="63"/>
    </row>
    <row r="47" spans="1:34" s="62" customFormat="1" x14ac:dyDescent="0.25">
      <c r="A47" s="57">
        <v>634</v>
      </c>
      <c r="B47" s="57" t="s">
        <v>5798</v>
      </c>
      <c r="C47" s="57" t="s">
        <v>5801</v>
      </c>
      <c r="D47" s="57" t="s">
        <v>1993</v>
      </c>
      <c r="E47" s="57"/>
      <c r="F47" s="57">
        <v>1999</v>
      </c>
      <c r="G47" s="57"/>
      <c r="H47" s="57" t="s">
        <v>1878</v>
      </c>
      <c r="I47" s="58" t="s">
        <v>1914</v>
      </c>
      <c r="J47" s="57"/>
      <c r="K47" s="57" t="s">
        <v>1881</v>
      </c>
      <c r="L47" s="58" t="s">
        <v>5802</v>
      </c>
      <c r="M47" s="57">
        <v>512</v>
      </c>
      <c r="N47" s="57"/>
      <c r="O47" s="57" t="s">
        <v>5165</v>
      </c>
      <c r="P47" s="59">
        <v>375</v>
      </c>
      <c r="Q47" s="61">
        <f>SUM(T47:X47)</f>
        <v>2.6917999999999997</v>
      </c>
      <c r="R47" s="60">
        <v>0.79</v>
      </c>
      <c r="S47" s="60"/>
      <c r="T47" s="67"/>
      <c r="U47" s="67">
        <v>1.2</v>
      </c>
      <c r="V47" s="67">
        <v>0.7</v>
      </c>
      <c r="W47" s="67">
        <v>0.74</v>
      </c>
      <c r="X47" s="70">
        <f>(T47+W47)/100*7</f>
        <v>5.1799999999999999E-2</v>
      </c>
      <c r="Y47" s="70"/>
      <c r="Z47" s="71"/>
      <c r="AA47" s="81">
        <v>0.74</v>
      </c>
      <c r="AB47" s="81"/>
      <c r="AC47" s="232"/>
      <c r="AD47" s="213"/>
      <c r="AH47" s="63"/>
    </row>
    <row r="48" spans="1:34" s="62" customFormat="1" x14ac:dyDescent="0.25">
      <c r="A48" s="57">
        <v>2898</v>
      </c>
      <c r="B48" s="57" t="s">
        <v>6521</v>
      </c>
      <c r="C48" s="57" t="s">
        <v>6522</v>
      </c>
      <c r="D48" s="57" t="s">
        <v>6523</v>
      </c>
      <c r="E48" s="57"/>
      <c r="F48" s="57"/>
      <c r="G48" s="57"/>
      <c r="H48" s="57" t="s">
        <v>2734</v>
      </c>
      <c r="I48" s="58" t="s">
        <v>1929</v>
      </c>
      <c r="J48" s="57"/>
      <c r="K48" s="57" t="s">
        <v>1881</v>
      </c>
      <c r="L48" s="58" t="s">
        <v>6524</v>
      </c>
      <c r="M48" s="57"/>
      <c r="N48" s="57"/>
      <c r="O48" s="57" t="s">
        <v>5413</v>
      </c>
      <c r="P48" s="59">
        <v>261</v>
      </c>
      <c r="Q48" s="61">
        <v>3.76</v>
      </c>
      <c r="R48" s="60">
        <v>2.79</v>
      </c>
      <c r="S48" s="60"/>
      <c r="T48" s="77">
        <v>0.3</v>
      </c>
      <c r="U48" s="67"/>
      <c r="V48" s="67">
        <v>0.7</v>
      </c>
      <c r="W48" s="67">
        <f>3.76-0.2</f>
        <v>3.5599999999999996</v>
      </c>
      <c r="X48" s="70">
        <f t="shared" ref="X48:X63" si="3">Q48/100*7</f>
        <v>0.26319999999999999</v>
      </c>
      <c r="Y48" s="70"/>
      <c r="Z48" s="71"/>
      <c r="AA48" s="83"/>
      <c r="AB48" s="81">
        <f t="shared" ref="AB48:AB54" si="4">Q48-X48</f>
        <v>3.4967999999999999</v>
      </c>
      <c r="AC48" s="234"/>
      <c r="AD48" s="83"/>
      <c r="AH48" s="63"/>
    </row>
    <row r="49" spans="1:38" s="62" customFormat="1" ht="12" customHeight="1" x14ac:dyDescent="0.25">
      <c r="A49" s="57">
        <v>1327</v>
      </c>
      <c r="B49" s="57" t="s">
        <v>1891</v>
      </c>
      <c r="C49" s="57" t="s">
        <v>1892</v>
      </c>
      <c r="D49" s="57" t="s">
        <v>1876</v>
      </c>
      <c r="E49" s="57" t="s">
        <v>1893</v>
      </c>
      <c r="F49" s="57">
        <v>2004</v>
      </c>
      <c r="G49" s="57"/>
      <c r="H49" s="57" t="s">
        <v>1878</v>
      </c>
      <c r="I49" s="58" t="s">
        <v>1879</v>
      </c>
      <c r="J49" s="79" t="s">
        <v>1894</v>
      </c>
      <c r="K49" s="57" t="s">
        <v>1881</v>
      </c>
      <c r="L49" s="58" t="s">
        <v>1895</v>
      </c>
      <c r="M49" s="57">
        <v>432</v>
      </c>
      <c r="N49" s="57"/>
      <c r="O49" s="57" t="s">
        <v>1896</v>
      </c>
      <c r="P49" s="59">
        <v>359</v>
      </c>
      <c r="Q49" s="61">
        <v>1.68</v>
      </c>
      <c r="R49" s="60">
        <v>1.1499999999999999</v>
      </c>
      <c r="S49" s="60"/>
      <c r="T49" s="67"/>
      <c r="U49" s="67">
        <v>1.2</v>
      </c>
      <c r="V49" s="67">
        <v>0.25</v>
      </c>
      <c r="W49" s="67">
        <f>IF(R49&gt;T49,R49)</f>
        <v>1.1499999999999999</v>
      </c>
      <c r="X49" s="70">
        <f t="shared" si="3"/>
        <v>0.1176</v>
      </c>
      <c r="Y49" s="70"/>
      <c r="Z49" s="71"/>
      <c r="AA49" s="81"/>
      <c r="AB49" s="81">
        <f t="shared" si="4"/>
        <v>1.5624</v>
      </c>
      <c r="AC49" s="232"/>
      <c r="AD49" s="213"/>
      <c r="AH49" s="63"/>
      <c r="AI49" s="62" t="s">
        <v>51</v>
      </c>
      <c r="AJ49" s="62" t="s">
        <v>51</v>
      </c>
      <c r="AK49" s="62" t="s">
        <v>51</v>
      </c>
      <c r="AL49" s="60"/>
    </row>
    <row r="50" spans="1:38" s="62" customFormat="1" x14ac:dyDescent="0.25">
      <c r="A50" s="57">
        <v>2522</v>
      </c>
      <c r="B50" s="57" t="s">
        <v>2252</v>
      </c>
      <c r="C50" s="57" t="s">
        <v>2253</v>
      </c>
      <c r="D50" s="57" t="s">
        <v>1912</v>
      </c>
      <c r="E50" s="57" t="s">
        <v>1913</v>
      </c>
      <c r="F50" s="57">
        <v>2006</v>
      </c>
      <c r="G50" s="57"/>
      <c r="H50" s="57" t="s">
        <v>1878</v>
      </c>
      <c r="I50" s="58" t="s">
        <v>1879</v>
      </c>
      <c r="J50" s="57"/>
      <c r="K50" s="57" t="s">
        <v>1881</v>
      </c>
      <c r="L50" s="58" t="s">
        <v>2254</v>
      </c>
      <c r="M50" s="57">
        <v>704</v>
      </c>
      <c r="N50" s="57"/>
      <c r="O50" s="57" t="s">
        <v>2247</v>
      </c>
      <c r="P50" s="59">
        <v>546</v>
      </c>
      <c r="Q50" s="61">
        <v>0.72</v>
      </c>
      <c r="R50" s="60">
        <v>0.25</v>
      </c>
      <c r="S50" s="60"/>
      <c r="T50" s="67"/>
      <c r="U50" s="67">
        <v>1.7</v>
      </c>
      <c r="V50" s="67">
        <v>0.25</v>
      </c>
      <c r="W50" s="67">
        <f t="shared" ref="W50:W62" si="5">IF(R50&gt;T50,R50,T50)</f>
        <v>0.25</v>
      </c>
      <c r="X50" s="70">
        <f t="shared" si="3"/>
        <v>5.04E-2</v>
      </c>
      <c r="Y50" s="70"/>
      <c r="Z50" s="71"/>
      <c r="AA50" s="81"/>
      <c r="AB50" s="81">
        <f t="shared" si="4"/>
        <v>0.66959999999999997</v>
      </c>
      <c r="AC50" s="232"/>
      <c r="AD50" s="213"/>
      <c r="AH50" s="63"/>
      <c r="AI50" s="62" t="s">
        <v>51</v>
      </c>
      <c r="AJ50" s="62" t="s">
        <v>51</v>
      </c>
      <c r="AK50" s="62" t="s">
        <v>51</v>
      </c>
      <c r="AL50" s="60"/>
    </row>
    <row r="51" spans="1:38" s="62" customFormat="1" x14ac:dyDescent="0.25">
      <c r="A51" s="57">
        <v>1325</v>
      </c>
      <c r="B51" s="57" t="s">
        <v>7735</v>
      </c>
      <c r="C51" s="57" t="s">
        <v>7736</v>
      </c>
      <c r="D51" s="57" t="s">
        <v>7737</v>
      </c>
      <c r="E51" s="57"/>
      <c r="F51" s="57">
        <v>2007</v>
      </c>
      <c r="G51" s="57"/>
      <c r="H51" s="57" t="s">
        <v>2734</v>
      </c>
      <c r="I51" s="58" t="s">
        <v>1929</v>
      </c>
      <c r="J51" s="57"/>
      <c r="K51" s="57" t="s">
        <v>1881</v>
      </c>
      <c r="L51" s="58" t="s">
        <v>7738</v>
      </c>
      <c r="M51" s="57">
        <v>320</v>
      </c>
      <c r="N51" s="57"/>
      <c r="O51" s="57" t="s">
        <v>5650</v>
      </c>
      <c r="P51" s="59">
        <v>413</v>
      </c>
      <c r="Q51" s="61">
        <v>2.78</v>
      </c>
      <c r="R51" s="60">
        <v>2.34</v>
      </c>
      <c r="S51" s="60"/>
      <c r="T51" s="67">
        <v>0.35</v>
      </c>
      <c r="U51" s="67"/>
      <c r="V51" s="67">
        <v>0.25</v>
      </c>
      <c r="W51" s="67">
        <f t="shared" si="5"/>
        <v>2.34</v>
      </c>
      <c r="X51" s="70">
        <f t="shared" si="3"/>
        <v>0.1946</v>
      </c>
      <c r="Y51" s="70"/>
      <c r="Z51" s="71"/>
      <c r="AA51" s="81"/>
      <c r="AB51" s="81">
        <f t="shared" si="4"/>
        <v>2.5853999999999999</v>
      </c>
      <c r="AC51" s="232"/>
      <c r="AD51" s="213"/>
      <c r="AH51" s="63"/>
    </row>
    <row r="52" spans="1:38" s="62" customFormat="1" x14ac:dyDescent="0.25">
      <c r="A52" s="57">
        <v>632</v>
      </c>
      <c r="B52" s="57" t="s">
        <v>2833</v>
      </c>
      <c r="C52" s="57" t="s">
        <v>2834</v>
      </c>
      <c r="D52" s="57" t="s">
        <v>2835</v>
      </c>
      <c r="E52" s="57" t="s">
        <v>1974</v>
      </c>
      <c r="F52" s="57">
        <v>1992</v>
      </c>
      <c r="G52" s="57"/>
      <c r="H52" s="57" t="s">
        <v>2734</v>
      </c>
      <c r="I52" s="58" t="s">
        <v>1929</v>
      </c>
      <c r="J52" s="57" t="s">
        <v>2836</v>
      </c>
      <c r="K52" s="57" t="s">
        <v>1881</v>
      </c>
      <c r="L52" s="58" t="s">
        <v>2837</v>
      </c>
      <c r="M52" s="57">
        <v>338</v>
      </c>
      <c r="N52" s="57"/>
      <c r="O52" s="57" t="s">
        <v>2767</v>
      </c>
      <c r="P52" s="59">
        <v>503</v>
      </c>
      <c r="Q52" s="61">
        <v>2.69</v>
      </c>
      <c r="R52" s="60">
        <v>0.69</v>
      </c>
      <c r="S52" s="60"/>
      <c r="T52" s="67"/>
      <c r="U52" s="67">
        <v>1.7</v>
      </c>
      <c r="V52" s="67">
        <v>0.25</v>
      </c>
      <c r="W52" s="67">
        <f t="shared" si="5"/>
        <v>0.69</v>
      </c>
      <c r="X52" s="70">
        <f t="shared" si="3"/>
        <v>0.1883</v>
      </c>
      <c r="Y52" s="70"/>
      <c r="Z52" s="71"/>
      <c r="AA52" s="81"/>
      <c r="AB52" s="81">
        <f t="shared" si="4"/>
        <v>2.5017</v>
      </c>
      <c r="AC52" s="232"/>
      <c r="AD52" s="213"/>
      <c r="AH52" s="63"/>
    </row>
    <row r="53" spans="1:38" s="62" customFormat="1" x14ac:dyDescent="0.25">
      <c r="A53" s="57">
        <v>2522</v>
      </c>
      <c r="B53" s="57" t="s">
        <v>7683</v>
      </c>
      <c r="C53" s="57" t="s">
        <v>7684</v>
      </c>
      <c r="D53" s="57" t="s">
        <v>2926</v>
      </c>
      <c r="E53" s="57"/>
      <c r="F53" s="57">
        <v>2012</v>
      </c>
      <c r="G53" s="57"/>
      <c r="H53" s="57" t="s">
        <v>1878</v>
      </c>
      <c r="I53" s="58" t="s">
        <v>1929</v>
      </c>
      <c r="J53" s="79" t="s">
        <v>3854</v>
      </c>
      <c r="K53" s="57" t="s">
        <v>1881</v>
      </c>
      <c r="L53" s="58" t="s">
        <v>7685</v>
      </c>
      <c r="M53" s="57">
        <v>352</v>
      </c>
      <c r="N53" s="57"/>
      <c r="O53" s="57" t="s">
        <v>5633</v>
      </c>
      <c r="P53" s="59">
        <v>450</v>
      </c>
      <c r="Q53" s="61">
        <v>0.59</v>
      </c>
      <c r="R53" s="60">
        <v>0.39</v>
      </c>
      <c r="S53" s="60"/>
      <c r="T53" s="67">
        <v>0.35</v>
      </c>
      <c r="U53" s="67"/>
      <c r="V53" s="67">
        <v>0.25</v>
      </c>
      <c r="W53" s="67">
        <f t="shared" si="5"/>
        <v>0.39</v>
      </c>
      <c r="X53" s="70">
        <f t="shared" si="3"/>
        <v>4.1299999999999996E-2</v>
      </c>
      <c r="Y53" s="70"/>
      <c r="Z53" s="71"/>
      <c r="AA53" s="81"/>
      <c r="AB53" s="81">
        <f t="shared" si="4"/>
        <v>0.54869999999999997</v>
      </c>
      <c r="AC53" s="232"/>
      <c r="AD53" s="213"/>
      <c r="AH53" s="63"/>
    </row>
    <row r="54" spans="1:38" s="62" customFormat="1" x14ac:dyDescent="0.25">
      <c r="A54" s="57">
        <v>688</v>
      </c>
      <c r="B54" s="57" t="s">
        <v>3712</v>
      </c>
      <c r="C54" s="57" t="s">
        <v>3713</v>
      </c>
      <c r="D54" s="57" t="s">
        <v>2209</v>
      </c>
      <c r="E54" s="57" t="s">
        <v>1877</v>
      </c>
      <c r="F54" s="57">
        <v>2004</v>
      </c>
      <c r="G54" s="57"/>
      <c r="H54" s="57" t="s">
        <v>1878</v>
      </c>
      <c r="I54" s="58" t="s">
        <v>1879</v>
      </c>
      <c r="J54" s="57" t="s">
        <v>3303</v>
      </c>
      <c r="K54" s="57" t="s">
        <v>1881</v>
      </c>
      <c r="L54" s="58" t="s">
        <v>3714</v>
      </c>
      <c r="M54" s="57">
        <v>912</v>
      </c>
      <c r="N54" s="57"/>
      <c r="O54" s="57" t="s">
        <v>3567</v>
      </c>
      <c r="P54" s="59">
        <v>937</v>
      </c>
      <c r="Q54" s="61">
        <v>2.2200000000000002</v>
      </c>
      <c r="R54" s="60">
        <v>0.25</v>
      </c>
      <c r="S54" s="60"/>
      <c r="T54" s="67"/>
      <c r="U54" s="67">
        <v>1.7</v>
      </c>
      <c r="V54" s="67">
        <v>0.25</v>
      </c>
      <c r="W54" s="67">
        <f t="shared" si="5"/>
        <v>0.25</v>
      </c>
      <c r="X54" s="70">
        <f t="shared" si="3"/>
        <v>0.15540000000000001</v>
      </c>
      <c r="Y54" s="70"/>
      <c r="Z54" s="71"/>
      <c r="AA54" s="81"/>
      <c r="AB54" s="81">
        <f t="shared" si="4"/>
        <v>2.0646</v>
      </c>
      <c r="AC54" s="232"/>
      <c r="AD54" s="213"/>
      <c r="AH54" s="63"/>
    </row>
    <row r="55" spans="1:38" s="62" customFormat="1" x14ac:dyDescent="0.25">
      <c r="A55" s="57">
        <v>2522</v>
      </c>
      <c r="B55" s="57" t="s">
        <v>2456</v>
      </c>
      <c r="C55" s="57" t="s">
        <v>2457</v>
      </c>
      <c r="D55" s="57" t="s">
        <v>1993</v>
      </c>
      <c r="E55" s="57" t="s">
        <v>1913</v>
      </c>
      <c r="F55" s="57">
        <v>2012</v>
      </c>
      <c r="G55" s="57"/>
      <c r="H55" s="57" t="s">
        <v>1878</v>
      </c>
      <c r="I55" s="58" t="s">
        <v>1879</v>
      </c>
      <c r="J55" s="57" t="s">
        <v>2458</v>
      </c>
      <c r="K55" s="57" t="s">
        <v>1881</v>
      </c>
      <c r="L55" s="58" t="s">
        <v>2459</v>
      </c>
      <c r="M55" s="57">
        <v>656</v>
      </c>
      <c r="N55" s="57"/>
      <c r="O55" s="57" t="s">
        <v>2429</v>
      </c>
      <c r="P55" s="59">
        <v>502</v>
      </c>
      <c r="Q55" s="61">
        <v>2</v>
      </c>
      <c r="R55" s="60">
        <v>0.25</v>
      </c>
      <c r="S55" s="60"/>
      <c r="T55" s="67"/>
      <c r="U55" s="67">
        <v>1.7</v>
      </c>
      <c r="V55" s="67">
        <v>0.25</v>
      </c>
      <c r="W55" s="67">
        <f t="shared" si="5"/>
        <v>0.25</v>
      </c>
      <c r="X55" s="70">
        <f t="shared" si="3"/>
        <v>0.14000000000000001</v>
      </c>
      <c r="Y55" s="70"/>
      <c r="Z55" s="71"/>
      <c r="AA55" s="81"/>
      <c r="AB55" s="81">
        <f>Q55-X55</f>
        <v>1.8599999999999999</v>
      </c>
      <c r="AC55" s="232"/>
      <c r="AD55" s="213"/>
      <c r="AH55" s="63"/>
    </row>
    <row r="56" spans="1:38" s="62" customFormat="1" x14ac:dyDescent="0.25">
      <c r="A56" s="57">
        <v>632</v>
      </c>
      <c r="B56" s="57" t="s">
        <v>2252</v>
      </c>
      <c r="C56" s="57" t="s">
        <v>2917</v>
      </c>
      <c r="D56" s="57" t="s">
        <v>1912</v>
      </c>
      <c r="E56" s="57" t="s">
        <v>2918</v>
      </c>
      <c r="F56" s="57">
        <v>2003</v>
      </c>
      <c r="G56" s="57"/>
      <c r="H56" s="57" t="s">
        <v>1878</v>
      </c>
      <c r="I56" s="58" t="s">
        <v>1879</v>
      </c>
      <c r="J56" s="57"/>
      <c r="K56" s="57" t="s">
        <v>1881</v>
      </c>
      <c r="L56" s="58" t="s">
        <v>2919</v>
      </c>
      <c r="M56" s="57">
        <v>512</v>
      </c>
      <c r="N56" s="57"/>
      <c r="O56" s="57" t="s">
        <v>2904</v>
      </c>
      <c r="P56" s="59">
        <v>400</v>
      </c>
      <c r="Q56" s="61">
        <v>1.55</v>
      </c>
      <c r="R56" s="60">
        <v>0.25</v>
      </c>
      <c r="S56" s="60"/>
      <c r="T56" s="67"/>
      <c r="U56" s="67">
        <v>1.2</v>
      </c>
      <c r="V56" s="67">
        <v>0.25</v>
      </c>
      <c r="W56" s="67">
        <f t="shared" si="5"/>
        <v>0.25</v>
      </c>
      <c r="X56" s="70">
        <f t="shared" si="3"/>
        <v>0.1085</v>
      </c>
      <c r="Y56" s="70"/>
      <c r="Z56" s="71"/>
      <c r="AA56" s="81"/>
      <c r="AB56" s="81">
        <f t="shared" ref="AB56:AB63" si="6">Q56-X56</f>
        <v>1.4415</v>
      </c>
      <c r="AC56" s="232"/>
      <c r="AD56" s="213"/>
      <c r="AH56" s="63"/>
    </row>
    <row r="57" spans="1:38" s="62" customFormat="1" x14ac:dyDescent="0.25">
      <c r="A57" s="57">
        <v>2522</v>
      </c>
      <c r="B57" s="57" t="s">
        <v>3941</v>
      </c>
      <c r="C57" s="57" t="s">
        <v>3942</v>
      </c>
      <c r="D57" s="57" t="s">
        <v>1912</v>
      </c>
      <c r="E57" s="57"/>
      <c r="F57" s="57">
        <v>1997</v>
      </c>
      <c r="G57" s="57"/>
      <c r="H57" s="57" t="s">
        <v>1878</v>
      </c>
      <c r="I57" s="58" t="s">
        <v>1879</v>
      </c>
      <c r="J57" s="57" t="s">
        <v>3943</v>
      </c>
      <c r="K57" s="57" t="s">
        <v>1881</v>
      </c>
      <c r="L57" s="58" t="s">
        <v>3944</v>
      </c>
      <c r="M57" s="57">
        <v>416</v>
      </c>
      <c r="N57" s="57"/>
      <c r="O57" s="57" t="s">
        <v>3887</v>
      </c>
      <c r="P57" s="59">
        <v>281</v>
      </c>
      <c r="Q57" s="61">
        <v>2.2599999999999998</v>
      </c>
      <c r="R57" s="60">
        <v>0.99</v>
      </c>
      <c r="S57" s="60"/>
      <c r="T57" s="67"/>
      <c r="U57" s="67">
        <v>1.2</v>
      </c>
      <c r="V57" s="67">
        <v>0.25</v>
      </c>
      <c r="W57" s="67">
        <f t="shared" si="5"/>
        <v>0.99</v>
      </c>
      <c r="X57" s="70">
        <f t="shared" si="3"/>
        <v>0.15819999999999998</v>
      </c>
      <c r="Y57" s="70"/>
      <c r="Z57" s="71"/>
      <c r="AA57" s="81"/>
      <c r="AB57" s="81">
        <f t="shared" si="6"/>
        <v>2.1017999999999999</v>
      </c>
      <c r="AC57" s="232"/>
      <c r="AD57" s="213"/>
      <c r="AH57" s="63"/>
    </row>
    <row r="58" spans="1:38" s="62" customFormat="1" x14ac:dyDescent="0.25">
      <c r="A58" s="57">
        <v>632</v>
      </c>
      <c r="B58" s="57" t="s">
        <v>2612</v>
      </c>
      <c r="C58" s="57" t="s">
        <v>4891</v>
      </c>
      <c r="D58" s="57" t="s">
        <v>2257</v>
      </c>
      <c r="E58" s="57"/>
      <c r="F58" s="57">
        <v>2006</v>
      </c>
      <c r="G58" s="57"/>
      <c r="H58" s="57" t="s">
        <v>1878</v>
      </c>
      <c r="I58" s="58" t="s">
        <v>1879</v>
      </c>
      <c r="J58" s="57"/>
      <c r="K58" s="57" t="s">
        <v>1881</v>
      </c>
      <c r="L58" s="58" t="s">
        <v>4892</v>
      </c>
      <c r="M58" s="57">
        <v>656</v>
      </c>
      <c r="N58" s="57"/>
      <c r="O58" s="57" t="s">
        <v>4775</v>
      </c>
      <c r="P58" s="59">
        <v>486</v>
      </c>
      <c r="Q58" s="61">
        <v>1.77</v>
      </c>
      <c r="R58" s="60">
        <v>0.49</v>
      </c>
      <c r="S58" s="60"/>
      <c r="T58" s="67"/>
      <c r="U58" s="67">
        <v>1.2</v>
      </c>
      <c r="V58" s="67">
        <v>0.25</v>
      </c>
      <c r="W58" s="67">
        <f t="shared" si="5"/>
        <v>0.49</v>
      </c>
      <c r="X58" s="70">
        <f t="shared" si="3"/>
        <v>0.12390000000000001</v>
      </c>
      <c r="Y58" s="70"/>
      <c r="Z58" s="71"/>
      <c r="AA58" s="81"/>
      <c r="AB58" s="81">
        <f t="shared" si="6"/>
        <v>1.6461000000000001</v>
      </c>
      <c r="AC58" s="232"/>
      <c r="AD58" s="213"/>
      <c r="AH58" s="63"/>
    </row>
    <row r="59" spans="1:38" s="62" customFormat="1" x14ac:dyDescent="0.25">
      <c r="A59" s="57">
        <v>632</v>
      </c>
      <c r="B59" s="57" t="s">
        <v>2612</v>
      </c>
      <c r="C59" s="57" t="s">
        <v>4896</v>
      </c>
      <c r="D59" s="57" t="s">
        <v>2257</v>
      </c>
      <c r="E59" s="57"/>
      <c r="F59" s="57">
        <v>2008</v>
      </c>
      <c r="G59" s="57"/>
      <c r="H59" s="57" t="s">
        <v>1878</v>
      </c>
      <c r="I59" s="58" t="s">
        <v>1879</v>
      </c>
      <c r="J59" s="57"/>
      <c r="K59" s="57" t="s">
        <v>1881</v>
      </c>
      <c r="L59" s="58" t="s">
        <v>4897</v>
      </c>
      <c r="M59" s="57">
        <v>672</v>
      </c>
      <c r="N59" s="57"/>
      <c r="O59" s="57" t="s">
        <v>4777</v>
      </c>
      <c r="P59" s="59">
        <v>512</v>
      </c>
      <c r="Q59" s="61">
        <v>2.52</v>
      </c>
      <c r="R59" s="60">
        <v>0.79</v>
      </c>
      <c r="S59" s="60"/>
      <c r="T59" s="67"/>
      <c r="U59" s="67">
        <v>1.7</v>
      </c>
      <c r="V59" s="67">
        <v>0.25</v>
      </c>
      <c r="W59" s="67">
        <f t="shared" si="5"/>
        <v>0.79</v>
      </c>
      <c r="X59" s="70">
        <f t="shared" si="3"/>
        <v>0.1764</v>
      </c>
      <c r="Y59" s="70"/>
      <c r="Z59" s="71"/>
      <c r="AA59" s="81"/>
      <c r="AB59" s="81">
        <f t="shared" si="6"/>
        <v>2.3435999999999999</v>
      </c>
      <c r="AC59" s="232"/>
      <c r="AD59" s="213"/>
      <c r="AH59" s="63"/>
    </row>
    <row r="60" spans="1:38" s="62" customFormat="1" x14ac:dyDescent="0.25">
      <c r="A60" s="57">
        <v>632</v>
      </c>
      <c r="B60" s="57" t="s">
        <v>2612</v>
      </c>
      <c r="C60" s="57" t="s">
        <v>2613</v>
      </c>
      <c r="D60" s="57" t="s">
        <v>2257</v>
      </c>
      <c r="E60" s="57"/>
      <c r="F60" s="57">
        <v>2008</v>
      </c>
      <c r="G60" s="57"/>
      <c r="H60" s="57" t="s">
        <v>1878</v>
      </c>
      <c r="I60" s="58" t="s">
        <v>1879</v>
      </c>
      <c r="J60" s="57"/>
      <c r="K60" s="57" t="s">
        <v>1881</v>
      </c>
      <c r="L60" s="58" t="s">
        <v>4899</v>
      </c>
      <c r="M60" s="57">
        <v>672</v>
      </c>
      <c r="N60" s="57"/>
      <c r="O60" s="57" t="s">
        <v>4778</v>
      </c>
      <c r="P60" s="59">
        <v>500</v>
      </c>
      <c r="Q60" s="61">
        <v>2.52</v>
      </c>
      <c r="R60" s="60">
        <v>0.79</v>
      </c>
      <c r="S60" s="60"/>
      <c r="T60" s="67"/>
      <c r="U60" s="67">
        <v>1.7</v>
      </c>
      <c r="V60" s="67">
        <v>0.25</v>
      </c>
      <c r="W60" s="67">
        <f t="shared" si="5"/>
        <v>0.79</v>
      </c>
      <c r="X60" s="70">
        <f t="shared" si="3"/>
        <v>0.1764</v>
      </c>
      <c r="Y60" s="70"/>
      <c r="Z60" s="71"/>
      <c r="AA60" s="81"/>
      <c r="AB60" s="81">
        <f t="shared" si="6"/>
        <v>2.3435999999999999</v>
      </c>
      <c r="AC60" s="232"/>
      <c r="AD60" s="213"/>
      <c r="AH60" s="63"/>
    </row>
    <row r="61" spans="1:38" s="62" customFormat="1" x14ac:dyDescent="0.25">
      <c r="A61" s="57">
        <v>1806</v>
      </c>
      <c r="B61" s="57" t="s">
        <v>7394</v>
      </c>
      <c r="C61" s="57" t="s">
        <v>7395</v>
      </c>
      <c r="D61" s="57" t="s">
        <v>1998</v>
      </c>
      <c r="E61" s="57" t="s">
        <v>3053</v>
      </c>
      <c r="F61" s="57">
        <v>2010</v>
      </c>
      <c r="G61" s="57"/>
      <c r="H61" s="57" t="s">
        <v>1878</v>
      </c>
      <c r="I61" s="58" t="s">
        <v>1929</v>
      </c>
      <c r="J61" s="57"/>
      <c r="K61" s="57" t="s">
        <v>1881</v>
      </c>
      <c r="L61" s="58" t="s">
        <v>7396</v>
      </c>
      <c r="M61" s="57">
        <v>160</v>
      </c>
      <c r="N61" s="57"/>
      <c r="O61" s="57" t="s">
        <v>5530</v>
      </c>
      <c r="P61" s="59">
        <v>172</v>
      </c>
      <c r="Q61" s="61">
        <v>0.59</v>
      </c>
      <c r="R61" s="60">
        <v>0.25</v>
      </c>
      <c r="S61" s="60"/>
      <c r="T61" s="67">
        <v>0.35</v>
      </c>
      <c r="U61" s="67"/>
      <c r="V61" s="67">
        <v>0.25</v>
      </c>
      <c r="W61" s="67">
        <f t="shared" si="5"/>
        <v>0.35</v>
      </c>
      <c r="X61" s="70">
        <f t="shared" si="3"/>
        <v>4.1299999999999996E-2</v>
      </c>
      <c r="Y61" s="70"/>
      <c r="Z61" s="71"/>
      <c r="AA61" s="81"/>
      <c r="AB61" s="81">
        <f t="shared" si="6"/>
        <v>0.54869999999999997</v>
      </c>
      <c r="AC61" s="232"/>
      <c r="AD61" s="213"/>
      <c r="AH61" s="63"/>
    </row>
    <row r="62" spans="1:38" s="62" customFormat="1" x14ac:dyDescent="0.25">
      <c r="A62" s="57">
        <v>2522</v>
      </c>
      <c r="B62" s="57" t="s">
        <v>7541</v>
      </c>
      <c r="C62" s="57" t="s">
        <v>7542</v>
      </c>
      <c r="D62" s="57" t="s">
        <v>2209</v>
      </c>
      <c r="E62" s="57"/>
      <c r="F62" s="57">
        <v>2002</v>
      </c>
      <c r="G62" s="57"/>
      <c r="H62" s="57" t="s">
        <v>1878</v>
      </c>
      <c r="I62" s="58" t="s">
        <v>7527</v>
      </c>
      <c r="J62" s="57"/>
      <c r="K62" s="57" t="s">
        <v>1881</v>
      </c>
      <c r="L62" s="58" t="s">
        <v>7543</v>
      </c>
      <c r="M62" s="57">
        <v>448</v>
      </c>
      <c r="N62" s="57"/>
      <c r="O62" s="57" t="s">
        <v>5578</v>
      </c>
      <c r="P62" s="59">
        <v>344</v>
      </c>
      <c r="Q62" s="61">
        <v>0.59</v>
      </c>
      <c r="R62" s="60">
        <v>0.25</v>
      </c>
      <c r="S62" s="60"/>
      <c r="T62" s="67">
        <v>0.35</v>
      </c>
      <c r="U62" s="67"/>
      <c r="V62" s="67">
        <v>0.25</v>
      </c>
      <c r="W62" s="67">
        <f t="shared" si="5"/>
        <v>0.35</v>
      </c>
      <c r="X62" s="70">
        <f t="shared" si="3"/>
        <v>4.1299999999999996E-2</v>
      </c>
      <c r="Y62" s="70"/>
      <c r="Z62" s="71"/>
      <c r="AA62" s="81"/>
      <c r="AB62" s="81">
        <f t="shared" si="6"/>
        <v>0.54869999999999997</v>
      </c>
      <c r="AC62" s="232"/>
      <c r="AD62" s="213"/>
      <c r="AH62" s="63"/>
    </row>
    <row r="63" spans="1:38" s="62" customFormat="1" x14ac:dyDescent="0.25">
      <c r="A63" s="57">
        <v>632</v>
      </c>
      <c r="B63" s="57" t="s">
        <v>7529</v>
      </c>
      <c r="C63" s="57" t="s">
        <v>7530</v>
      </c>
      <c r="D63" s="57" t="s">
        <v>3077</v>
      </c>
      <c r="E63" s="57" t="s">
        <v>1913</v>
      </c>
      <c r="F63" s="57">
        <v>2004</v>
      </c>
      <c r="G63" s="57"/>
      <c r="H63" s="57" t="s">
        <v>1878</v>
      </c>
      <c r="I63" s="58" t="s">
        <v>1879</v>
      </c>
      <c r="J63" s="57"/>
      <c r="K63" s="57" t="s">
        <v>1881</v>
      </c>
      <c r="L63" s="58" t="s">
        <v>7531</v>
      </c>
      <c r="M63" s="57">
        <v>1280</v>
      </c>
      <c r="N63" s="57"/>
      <c r="O63" s="57" t="s">
        <v>5574</v>
      </c>
      <c r="P63" s="59">
        <v>749</v>
      </c>
      <c r="Q63" s="61">
        <v>3.41</v>
      </c>
      <c r="R63" s="60">
        <v>2.5</v>
      </c>
      <c r="S63" s="60"/>
      <c r="T63" s="67"/>
      <c r="U63" s="67"/>
      <c r="V63" s="67">
        <v>0.25</v>
      </c>
      <c r="W63" s="67">
        <v>2.95</v>
      </c>
      <c r="X63" s="70">
        <f t="shared" si="3"/>
        <v>0.2387</v>
      </c>
      <c r="Y63" s="70"/>
      <c r="Z63" s="71"/>
      <c r="AA63" s="81"/>
      <c r="AB63" s="81">
        <f t="shared" si="6"/>
        <v>3.1713</v>
      </c>
      <c r="AC63" s="232"/>
      <c r="AD63" s="213"/>
      <c r="AH63" s="63"/>
    </row>
    <row r="64" spans="1:38" s="62" customFormat="1" x14ac:dyDescent="0.25">
      <c r="A64" s="57">
        <v>2523</v>
      </c>
      <c r="B64" s="57" t="s">
        <v>1991</v>
      </c>
      <c r="C64" s="57" t="s">
        <v>1992</v>
      </c>
      <c r="D64" s="57" t="s">
        <v>1993</v>
      </c>
      <c r="E64" s="57" t="s">
        <v>1877</v>
      </c>
      <c r="F64" s="57">
        <v>2017</v>
      </c>
      <c r="G64" s="57"/>
      <c r="H64" s="57" t="s">
        <v>1878</v>
      </c>
      <c r="I64" s="58" t="s">
        <v>1879</v>
      </c>
      <c r="J64" s="57" t="s">
        <v>1994</v>
      </c>
      <c r="K64" s="57" t="s">
        <v>1881</v>
      </c>
      <c r="L64" s="58" t="s">
        <v>1995</v>
      </c>
      <c r="M64" s="57">
        <v>464</v>
      </c>
      <c r="N64" s="57"/>
      <c r="O64" s="57" t="s">
        <v>1938</v>
      </c>
      <c r="P64" s="59">
        <v>378</v>
      </c>
      <c r="Q64" s="61">
        <v>1.69</v>
      </c>
      <c r="R64" s="60">
        <v>2.09</v>
      </c>
      <c r="S64" s="60"/>
      <c r="T64" s="67"/>
      <c r="U64" s="67">
        <v>1.2</v>
      </c>
      <c r="V64" s="67">
        <v>0.25</v>
      </c>
      <c r="W64" s="67">
        <v>1.69</v>
      </c>
      <c r="X64" s="70">
        <f>(T64+W64)/100*7</f>
        <v>0.11829999999999999</v>
      </c>
      <c r="Y64" s="70"/>
      <c r="Z64" s="71"/>
      <c r="AA64" s="81"/>
      <c r="AB64" s="81">
        <f>1.69*0.93</f>
        <v>1.5717000000000001</v>
      </c>
      <c r="AC64" s="232"/>
      <c r="AD64" s="213"/>
      <c r="AH64" s="63"/>
      <c r="AI64" s="62" t="s">
        <v>51</v>
      </c>
      <c r="AJ64" s="62" t="s">
        <v>51</v>
      </c>
      <c r="AK64" s="62" t="s">
        <v>51</v>
      </c>
      <c r="AL64" s="60"/>
    </row>
    <row r="65" spans="1:38" s="62" customFormat="1" ht="15.75" customHeight="1" x14ac:dyDescent="0.25">
      <c r="A65" s="57">
        <v>1386</v>
      </c>
      <c r="B65" s="57" t="s">
        <v>2011</v>
      </c>
      <c r="C65" s="57" t="s">
        <v>2012</v>
      </c>
      <c r="D65" s="57" t="s">
        <v>2013</v>
      </c>
      <c r="E65" s="57" t="s">
        <v>2014</v>
      </c>
      <c r="F65" s="57">
        <v>2014</v>
      </c>
      <c r="G65" s="57"/>
      <c r="H65" s="57" t="s">
        <v>1878</v>
      </c>
      <c r="I65" s="58" t="s">
        <v>1879</v>
      </c>
      <c r="J65" s="74" t="s">
        <v>2015</v>
      </c>
      <c r="K65" s="57" t="s">
        <v>1881</v>
      </c>
      <c r="L65" s="58" t="s">
        <v>2016</v>
      </c>
      <c r="M65" s="57">
        <v>640</v>
      </c>
      <c r="N65" s="57"/>
      <c r="O65" s="57" t="s">
        <v>1942</v>
      </c>
      <c r="P65" s="59">
        <v>423</v>
      </c>
      <c r="Q65" s="61">
        <f>SUM(T65:X65)</f>
        <v>2.4022999999999999</v>
      </c>
      <c r="R65" s="60">
        <v>0.89</v>
      </c>
      <c r="S65" s="60"/>
      <c r="T65" s="67"/>
      <c r="U65" s="67">
        <v>1.2</v>
      </c>
      <c r="V65" s="67">
        <v>0.25</v>
      </c>
      <c r="W65" s="67">
        <f t="shared" ref="W65:W73" si="7">IF(R65&gt;T65,R65,T65)</f>
        <v>0.89</v>
      </c>
      <c r="X65" s="70">
        <f>(T65+W65)/100*7</f>
        <v>6.2300000000000001E-2</v>
      </c>
      <c r="Y65" s="70"/>
      <c r="Z65" s="71"/>
      <c r="AA65" s="81"/>
      <c r="AB65" s="81">
        <f>1.19-0.06</f>
        <v>1.1299999999999999</v>
      </c>
      <c r="AC65" s="232"/>
      <c r="AD65" s="213"/>
      <c r="AH65" s="63"/>
      <c r="AI65" s="62" t="s">
        <v>51</v>
      </c>
      <c r="AJ65" s="62" t="s">
        <v>51</v>
      </c>
      <c r="AK65" s="62" t="s">
        <v>51</v>
      </c>
      <c r="AL65" s="60"/>
    </row>
    <row r="66" spans="1:38" s="62" customFormat="1" ht="15" customHeight="1" x14ac:dyDescent="0.25">
      <c r="A66" s="57">
        <v>639</v>
      </c>
      <c r="B66" s="57" t="s">
        <v>2039</v>
      </c>
      <c r="C66" s="57" t="s">
        <v>2040</v>
      </c>
      <c r="D66" s="57" t="s">
        <v>2041</v>
      </c>
      <c r="E66" s="57"/>
      <c r="F66" s="57"/>
      <c r="G66" s="57"/>
      <c r="H66" s="57" t="s">
        <v>1928</v>
      </c>
      <c r="I66" s="58" t="s">
        <v>1879</v>
      </c>
      <c r="J66" s="74" t="s">
        <v>2042</v>
      </c>
      <c r="K66" s="57" t="s">
        <v>1881</v>
      </c>
      <c r="L66" s="58" t="s">
        <v>2043</v>
      </c>
      <c r="M66" s="57">
        <v>394</v>
      </c>
      <c r="N66" s="57"/>
      <c r="O66" s="57" t="s">
        <v>1948</v>
      </c>
      <c r="P66" s="59">
        <v>1245</v>
      </c>
      <c r="Q66" s="61">
        <v>7.13</v>
      </c>
      <c r="R66" s="60">
        <v>2.89</v>
      </c>
      <c r="S66" s="60"/>
      <c r="T66" s="67"/>
      <c r="U66" s="67">
        <v>3.79</v>
      </c>
      <c r="V66" s="67">
        <v>0.25</v>
      </c>
      <c r="W66" s="67">
        <f t="shared" si="7"/>
        <v>2.89</v>
      </c>
      <c r="X66" s="70">
        <f>Q66/100*7</f>
        <v>0.49909999999999999</v>
      </c>
      <c r="Y66" s="70"/>
      <c r="Z66" s="71"/>
      <c r="AA66" s="81"/>
      <c r="AB66" s="81">
        <f>Q66-X66</f>
        <v>6.6308999999999996</v>
      </c>
      <c r="AC66" s="232"/>
      <c r="AD66" s="213"/>
      <c r="AH66" s="63"/>
      <c r="AI66" s="62" t="s">
        <v>51</v>
      </c>
      <c r="AJ66" s="62" t="s">
        <v>51</v>
      </c>
      <c r="AK66" s="62" t="s">
        <v>51</v>
      </c>
      <c r="AL66" s="60"/>
    </row>
    <row r="67" spans="1:38" s="62" customFormat="1" x14ac:dyDescent="0.25">
      <c r="A67" s="57">
        <v>632</v>
      </c>
      <c r="B67" s="57" t="s">
        <v>2106</v>
      </c>
      <c r="C67" s="57" t="s">
        <v>2107</v>
      </c>
      <c r="D67" s="57" t="s">
        <v>1920</v>
      </c>
      <c r="E67" s="57" t="s">
        <v>1921</v>
      </c>
      <c r="F67" s="57">
        <v>2003</v>
      </c>
      <c r="G67" s="57"/>
      <c r="H67" s="57" t="s">
        <v>1878</v>
      </c>
      <c r="I67" s="58" t="s">
        <v>1879</v>
      </c>
      <c r="J67" s="57" t="s">
        <v>2108</v>
      </c>
      <c r="K67" s="57" t="s">
        <v>1881</v>
      </c>
      <c r="L67" s="58" t="s">
        <v>2109</v>
      </c>
      <c r="M67" s="57">
        <v>528</v>
      </c>
      <c r="N67" s="57"/>
      <c r="O67" s="57" t="s">
        <v>1963</v>
      </c>
      <c r="P67" s="59">
        <v>389</v>
      </c>
      <c r="Q67" s="61">
        <f>SUM(T67:X67)</f>
        <v>1.9742999999999999</v>
      </c>
      <c r="R67" s="60">
        <v>0.49</v>
      </c>
      <c r="S67" s="60"/>
      <c r="T67" s="67"/>
      <c r="U67" s="67">
        <v>1.2</v>
      </c>
      <c r="V67" s="67">
        <v>0.25</v>
      </c>
      <c r="W67" s="67">
        <f t="shared" si="7"/>
        <v>0.49</v>
      </c>
      <c r="X67" s="70">
        <f>(T67+W67)/100*7</f>
        <v>3.4299999999999997E-2</v>
      </c>
      <c r="Y67" s="70"/>
      <c r="Z67" s="71"/>
      <c r="AA67" s="81"/>
      <c r="AB67" s="81">
        <f>1.97-0.03</f>
        <v>1.94</v>
      </c>
      <c r="AC67" s="232"/>
      <c r="AD67" s="213"/>
      <c r="AH67" s="63"/>
      <c r="AI67" s="62" t="s">
        <v>51</v>
      </c>
      <c r="AJ67" s="62" t="s">
        <v>51</v>
      </c>
      <c r="AK67" s="62" t="s">
        <v>51</v>
      </c>
      <c r="AL67" s="60"/>
    </row>
    <row r="68" spans="1:38" s="62" customFormat="1" ht="14.25" customHeight="1" x14ac:dyDescent="0.25">
      <c r="A68" s="57">
        <v>863</v>
      </c>
      <c r="B68" s="57" t="s">
        <v>2392</v>
      </c>
      <c r="C68" s="57" t="s">
        <v>2393</v>
      </c>
      <c r="D68" s="57" t="s">
        <v>2394</v>
      </c>
      <c r="E68" s="57"/>
      <c r="F68" s="57">
        <v>1980</v>
      </c>
      <c r="G68" s="57"/>
      <c r="H68" s="57" t="s">
        <v>2295</v>
      </c>
      <c r="I68" s="58" t="s">
        <v>1879</v>
      </c>
      <c r="J68" s="74" t="s">
        <v>2395</v>
      </c>
      <c r="K68" s="57" t="s">
        <v>1881</v>
      </c>
      <c r="L68" s="58" t="s">
        <v>2396</v>
      </c>
      <c r="M68" s="57">
        <v>546</v>
      </c>
      <c r="N68" s="57"/>
      <c r="O68" s="57" t="s">
        <v>2283</v>
      </c>
      <c r="P68" s="59">
        <v>699</v>
      </c>
      <c r="Q68" s="61">
        <f>SUM(T68:X68)</f>
        <v>2.5813000000000001</v>
      </c>
      <c r="R68" s="60">
        <v>0.59</v>
      </c>
      <c r="S68" s="60"/>
      <c r="T68" s="67"/>
      <c r="U68" s="67">
        <v>1.7</v>
      </c>
      <c r="V68" s="67">
        <v>0.25</v>
      </c>
      <c r="W68" s="67">
        <f t="shared" si="7"/>
        <v>0.59</v>
      </c>
      <c r="X68" s="70">
        <f>(T68+W68)/100*7</f>
        <v>4.1299999999999996E-2</v>
      </c>
      <c r="Y68" s="70"/>
      <c r="Z68" s="71"/>
      <c r="AA68" s="81"/>
      <c r="AB68" s="81">
        <f>2.58-0.04</f>
        <v>2.54</v>
      </c>
      <c r="AC68" s="232"/>
      <c r="AD68" s="213"/>
      <c r="AH68" s="63"/>
      <c r="AI68" s="62" t="s">
        <v>51</v>
      </c>
      <c r="AJ68" s="62" t="s">
        <v>51</v>
      </c>
      <c r="AK68" s="62" t="s">
        <v>51</v>
      </c>
      <c r="AL68" s="60"/>
    </row>
    <row r="69" spans="1:38" s="62" customFormat="1" x14ac:dyDescent="0.25">
      <c r="A69" s="57">
        <v>153</v>
      </c>
      <c r="B69" s="57"/>
      <c r="C69" s="57" t="s">
        <v>3699</v>
      </c>
      <c r="D69" s="57" t="s">
        <v>2007</v>
      </c>
      <c r="E69" s="57"/>
      <c r="F69" s="57">
        <v>2000</v>
      </c>
      <c r="G69" s="57"/>
      <c r="H69" s="57" t="s">
        <v>2008</v>
      </c>
      <c r="I69" s="58" t="s">
        <v>1929</v>
      </c>
      <c r="J69" s="57"/>
      <c r="K69" s="57" t="s">
        <v>1881</v>
      </c>
      <c r="L69" s="58" t="s">
        <v>3700</v>
      </c>
      <c r="M69" s="57">
        <v>128</v>
      </c>
      <c r="N69" s="57"/>
      <c r="O69" s="57" t="s">
        <v>3563</v>
      </c>
      <c r="P69" s="59">
        <v>69</v>
      </c>
      <c r="Q69" s="61">
        <v>2.4</v>
      </c>
      <c r="R69" s="60">
        <v>0.89</v>
      </c>
      <c r="S69" s="60"/>
      <c r="T69" s="67"/>
      <c r="U69" s="67">
        <v>1.2</v>
      </c>
      <c r="V69" s="67">
        <v>0.25</v>
      </c>
      <c r="W69" s="67">
        <f t="shared" si="7"/>
        <v>0.89</v>
      </c>
      <c r="X69" s="70">
        <f>2.4/100*7</f>
        <v>0.16800000000000001</v>
      </c>
      <c r="Y69" s="70"/>
      <c r="Z69" s="71"/>
      <c r="AA69" s="81"/>
      <c r="AB69" s="81">
        <f>Q69-X69</f>
        <v>2.2319999999999998</v>
      </c>
      <c r="AC69" s="232"/>
      <c r="AD69" s="213"/>
      <c r="AH69" s="63"/>
    </row>
    <row r="70" spans="1:38" s="62" customFormat="1" x14ac:dyDescent="0.25">
      <c r="A70" s="57">
        <v>2522</v>
      </c>
      <c r="B70" s="57" t="s">
        <v>3832</v>
      </c>
      <c r="C70" s="57" t="s">
        <v>3833</v>
      </c>
      <c r="D70" s="57" t="s">
        <v>1920</v>
      </c>
      <c r="E70" s="57" t="s">
        <v>2032</v>
      </c>
      <c r="F70" s="57">
        <v>2007</v>
      </c>
      <c r="G70" s="57"/>
      <c r="H70" s="57" t="s">
        <v>1878</v>
      </c>
      <c r="I70" s="58" t="s">
        <v>1879</v>
      </c>
      <c r="J70" s="57" t="s">
        <v>3649</v>
      </c>
      <c r="K70" s="57" t="s">
        <v>1881</v>
      </c>
      <c r="L70" s="58" t="s">
        <v>3834</v>
      </c>
      <c r="M70" s="57">
        <v>464</v>
      </c>
      <c r="N70" s="57"/>
      <c r="O70" s="57" t="s">
        <v>3752</v>
      </c>
      <c r="P70" s="59">
        <v>441</v>
      </c>
      <c r="Q70" s="61">
        <v>2.5099999999999998</v>
      </c>
      <c r="R70" s="60">
        <v>0.99</v>
      </c>
      <c r="S70" s="60"/>
      <c r="T70" s="67"/>
      <c r="U70" s="67">
        <v>1.2</v>
      </c>
      <c r="V70" s="67">
        <v>0.25</v>
      </c>
      <c r="W70" s="67">
        <f t="shared" si="7"/>
        <v>0.99</v>
      </c>
      <c r="X70" s="70">
        <f>Q70/100*7</f>
        <v>0.17569999999999997</v>
      </c>
      <c r="Y70" s="70"/>
      <c r="Z70" s="71"/>
      <c r="AA70" s="81"/>
      <c r="AB70" s="81">
        <f>Q70-X70</f>
        <v>2.3342999999999998</v>
      </c>
      <c r="AC70" s="232"/>
      <c r="AD70" s="213"/>
      <c r="AH70" s="63"/>
    </row>
    <row r="71" spans="1:38" s="62" customFormat="1" x14ac:dyDescent="0.25">
      <c r="A71" s="57">
        <v>1386</v>
      </c>
      <c r="B71" s="57" t="s">
        <v>4168</v>
      </c>
      <c r="C71" s="57" t="s">
        <v>4169</v>
      </c>
      <c r="D71" s="57" t="s">
        <v>4170</v>
      </c>
      <c r="E71" s="57" t="s">
        <v>1877</v>
      </c>
      <c r="F71" s="57">
        <v>2011</v>
      </c>
      <c r="G71" s="57"/>
      <c r="H71" s="57" t="s">
        <v>2734</v>
      </c>
      <c r="I71" s="58" t="s">
        <v>1879</v>
      </c>
      <c r="J71" s="57" t="s">
        <v>3303</v>
      </c>
      <c r="K71" s="57" t="s">
        <v>1881</v>
      </c>
      <c r="L71" s="58" t="s">
        <v>4171</v>
      </c>
      <c r="M71" s="57">
        <v>406</v>
      </c>
      <c r="N71" s="57"/>
      <c r="O71" s="57" t="s">
        <v>4138</v>
      </c>
      <c r="P71" s="59">
        <v>549</v>
      </c>
      <c r="Q71" s="61">
        <v>3.87</v>
      </c>
      <c r="R71" s="60">
        <v>1.79</v>
      </c>
      <c r="S71" s="60"/>
      <c r="T71" s="67"/>
      <c r="U71" s="67">
        <v>1.7</v>
      </c>
      <c r="V71" s="67">
        <v>0.25</v>
      </c>
      <c r="W71" s="67">
        <f t="shared" si="7"/>
        <v>1.79</v>
      </c>
      <c r="X71" s="70">
        <f>3.87/100*7</f>
        <v>0.27089999999999997</v>
      </c>
      <c r="Y71" s="70"/>
      <c r="Z71" s="71"/>
      <c r="AA71" s="81"/>
      <c r="AB71" s="81">
        <f>Q71-X71</f>
        <v>3.5991</v>
      </c>
      <c r="AC71" s="232"/>
      <c r="AD71" s="213"/>
      <c r="AH71" s="63"/>
    </row>
    <row r="72" spans="1:38" s="62" customFormat="1" x14ac:dyDescent="0.25">
      <c r="A72" s="57"/>
      <c r="B72" s="57"/>
      <c r="C72" s="57"/>
      <c r="D72" s="57"/>
      <c r="E72" s="57"/>
      <c r="F72" s="57"/>
      <c r="G72" s="57"/>
      <c r="H72" s="57"/>
      <c r="I72" s="58"/>
      <c r="J72" s="57"/>
      <c r="K72" s="57"/>
      <c r="L72" s="58"/>
      <c r="M72" s="57"/>
      <c r="N72" s="57"/>
      <c r="O72" s="57" t="s">
        <v>9019</v>
      </c>
      <c r="P72" s="59"/>
      <c r="Q72" s="61"/>
      <c r="R72" s="60">
        <v>2.25</v>
      </c>
      <c r="S72" s="60"/>
      <c r="T72" s="67"/>
      <c r="U72" s="67"/>
      <c r="V72" s="67"/>
      <c r="W72" s="67">
        <f t="shared" si="7"/>
        <v>2.25</v>
      </c>
      <c r="X72" s="70">
        <f>(T72+W72)/100*7</f>
        <v>0.1575</v>
      </c>
      <c r="Y72" s="70"/>
      <c r="Z72" s="71"/>
      <c r="AA72" s="81"/>
      <c r="AB72" s="81">
        <f>R72-X72</f>
        <v>2.0924999999999998</v>
      </c>
      <c r="AC72" s="232"/>
      <c r="AD72" s="213"/>
      <c r="AH72" s="63"/>
    </row>
    <row r="73" spans="1:38" s="62" customFormat="1" x14ac:dyDescent="0.25">
      <c r="A73" s="57">
        <v>593</v>
      </c>
      <c r="B73" s="57"/>
      <c r="C73" s="57" t="s">
        <v>6548</v>
      </c>
      <c r="D73" s="57" t="s">
        <v>6549</v>
      </c>
      <c r="E73" s="57" t="s">
        <v>2922</v>
      </c>
      <c r="F73" s="57">
        <v>2016</v>
      </c>
      <c r="G73" s="57"/>
      <c r="H73" s="57" t="s">
        <v>2734</v>
      </c>
      <c r="I73" s="58" t="s">
        <v>1929</v>
      </c>
      <c r="J73" s="79" t="s">
        <v>3854</v>
      </c>
      <c r="K73" s="57" t="s">
        <v>1881</v>
      </c>
      <c r="L73" s="58" t="s">
        <v>6550</v>
      </c>
      <c r="M73" s="57">
        <v>162</v>
      </c>
      <c r="N73" s="57"/>
      <c r="O73" s="57" t="s">
        <v>5421</v>
      </c>
      <c r="P73" s="59">
        <v>546</v>
      </c>
      <c r="Q73" s="61">
        <v>1.63</v>
      </c>
      <c r="R73" s="60">
        <v>0.99</v>
      </c>
      <c r="S73" s="60"/>
      <c r="T73" s="77">
        <v>0.3</v>
      </c>
      <c r="U73" s="67"/>
      <c r="V73" s="67">
        <v>0.25</v>
      </c>
      <c r="W73" s="67">
        <f t="shared" si="7"/>
        <v>0.99</v>
      </c>
      <c r="X73" s="70">
        <f>1.63/100*7</f>
        <v>0.11409999999999999</v>
      </c>
      <c r="Y73" s="70"/>
      <c r="Z73" s="71"/>
      <c r="AA73" s="83"/>
      <c r="AB73" s="83">
        <f>Q73-X73</f>
        <v>1.5158999999999998</v>
      </c>
      <c r="AC73" s="234"/>
      <c r="AD73" s="83"/>
      <c r="AH73" s="63"/>
    </row>
    <row r="74" spans="1:38" s="62" customFormat="1" x14ac:dyDescent="0.25">
      <c r="A74" s="57">
        <v>734</v>
      </c>
      <c r="B74" s="57" t="s">
        <v>7392</v>
      </c>
      <c r="C74" s="57" t="s">
        <v>7393</v>
      </c>
      <c r="D74" s="57" t="s">
        <v>2209</v>
      </c>
      <c r="E74" s="57"/>
      <c r="F74" s="57">
        <v>1992</v>
      </c>
      <c r="G74" s="57"/>
      <c r="H74" s="57" t="s">
        <v>1878</v>
      </c>
      <c r="I74" s="58" t="s">
        <v>1879</v>
      </c>
      <c r="J74" s="57"/>
      <c r="K74" s="57" t="s">
        <v>1881</v>
      </c>
      <c r="L74" s="58" t="s">
        <v>7391</v>
      </c>
      <c r="M74" s="57">
        <v>624</v>
      </c>
      <c r="N74" s="57"/>
      <c r="O74" s="57" t="s">
        <v>5529</v>
      </c>
      <c r="P74" s="59">
        <v>409</v>
      </c>
      <c r="Q74" s="61">
        <v>1.55</v>
      </c>
      <c r="R74" s="60">
        <v>1.39</v>
      </c>
      <c r="S74" s="60"/>
      <c r="T74" s="67">
        <v>0</v>
      </c>
      <c r="U74" s="67"/>
      <c r="V74" s="67">
        <v>0.25</v>
      </c>
      <c r="W74" s="67">
        <v>1.55</v>
      </c>
      <c r="X74" s="70">
        <f>(T74+W74)/100*7</f>
        <v>0.1085</v>
      </c>
      <c r="Y74" s="70"/>
      <c r="Z74" s="71"/>
      <c r="AA74" s="81"/>
      <c r="AB74" s="81">
        <v>1.44</v>
      </c>
      <c r="AC74" s="232"/>
      <c r="AD74" s="213"/>
      <c r="AH74" s="63"/>
    </row>
    <row r="75" spans="1:38" s="62" customFormat="1" x14ac:dyDescent="0.25">
      <c r="A75" s="57">
        <v>632</v>
      </c>
      <c r="B75" s="57" t="s">
        <v>3832</v>
      </c>
      <c r="C75" s="57" t="s">
        <v>7575</v>
      </c>
      <c r="D75" s="57" t="s">
        <v>1920</v>
      </c>
      <c r="E75" s="57" t="s">
        <v>7576</v>
      </c>
      <c r="F75" s="57">
        <v>2004</v>
      </c>
      <c r="G75" s="57"/>
      <c r="H75" s="57" t="s">
        <v>1878</v>
      </c>
      <c r="I75" s="58" t="s">
        <v>1929</v>
      </c>
      <c r="J75" s="57"/>
      <c r="K75" s="57" t="s">
        <v>1881</v>
      </c>
      <c r="L75" s="58" t="s">
        <v>7577</v>
      </c>
      <c r="M75" s="57">
        <v>416</v>
      </c>
      <c r="N75" s="57"/>
      <c r="O75" s="57" t="s">
        <v>5591</v>
      </c>
      <c r="P75" s="59">
        <v>354</v>
      </c>
      <c r="Q75" s="61">
        <v>0.65</v>
      </c>
      <c r="R75" s="60">
        <v>0.25</v>
      </c>
      <c r="S75" s="60"/>
      <c r="T75" s="67"/>
      <c r="U75" s="67"/>
      <c r="V75" s="67">
        <v>0.25</v>
      </c>
      <c r="W75" s="67">
        <v>0.65</v>
      </c>
      <c r="X75" s="70">
        <f>(T75+W75)/100*7</f>
        <v>4.5500000000000006E-2</v>
      </c>
      <c r="Y75" s="70"/>
      <c r="Z75" s="71"/>
      <c r="AA75" s="81"/>
      <c r="AB75" s="81">
        <f t="shared" ref="AB75:AB84" si="8">Q75-X75</f>
        <v>0.60450000000000004</v>
      </c>
      <c r="AC75" s="232"/>
      <c r="AD75" s="213"/>
      <c r="AH75" s="63"/>
    </row>
    <row r="76" spans="1:38" s="62" customFormat="1" x14ac:dyDescent="0.25">
      <c r="A76" s="57">
        <v>651</v>
      </c>
      <c r="B76" s="57" t="s">
        <v>6478</v>
      </c>
      <c r="C76" s="57" t="s">
        <v>7787</v>
      </c>
      <c r="D76" s="57" t="s">
        <v>2117</v>
      </c>
      <c r="E76" s="57" t="s">
        <v>1913</v>
      </c>
      <c r="F76" s="57">
        <v>2014</v>
      </c>
      <c r="G76" s="57"/>
      <c r="H76" s="57" t="s">
        <v>1878</v>
      </c>
      <c r="I76" s="58" t="s">
        <v>1929</v>
      </c>
      <c r="J76" s="57"/>
      <c r="K76" s="57" t="s">
        <v>1881</v>
      </c>
      <c r="L76" s="58" t="s">
        <v>6480</v>
      </c>
      <c r="M76" s="57">
        <v>32</v>
      </c>
      <c r="N76" s="57"/>
      <c r="O76" s="57" t="s">
        <v>5671</v>
      </c>
      <c r="P76" s="59">
        <v>188</v>
      </c>
      <c r="Q76" s="61">
        <v>1.76</v>
      </c>
      <c r="R76" s="60">
        <v>1.39</v>
      </c>
      <c r="S76" s="60"/>
      <c r="T76" s="67">
        <v>0.35</v>
      </c>
      <c r="U76" s="67"/>
      <c r="V76" s="67">
        <v>0.25</v>
      </c>
      <c r="W76" s="67">
        <f>IF(R76&gt;T76,R76,T76)</f>
        <v>1.39</v>
      </c>
      <c r="X76" s="70">
        <f>1.76/100*7</f>
        <v>0.1232</v>
      </c>
      <c r="Y76" s="70"/>
      <c r="Z76" s="71"/>
      <c r="AA76" s="81"/>
      <c r="AB76" s="81">
        <f t="shared" si="8"/>
        <v>1.6368</v>
      </c>
      <c r="AC76" s="232"/>
      <c r="AD76" s="213"/>
      <c r="AH76" s="63"/>
    </row>
    <row r="77" spans="1:38" s="62" customFormat="1" x14ac:dyDescent="0.25">
      <c r="A77" s="57">
        <v>852</v>
      </c>
      <c r="B77" s="57" t="s">
        <v>7837</v>
      </c>
      <c r="C77" s="57" t="s">
        <v>7838</v>
      </c>
      <c r="D77" s="57" t="s">
        <v>2309</v>
      </c>
      <c r="E77" s="57" t="s">
        <v>2922</v>
      </c>
      <c r="F77" s="57">
        <v>2008</v>
      </c>
      <c r="G77" s="57"/>
      <c r="H77" s="57" t="s">
        <v>1878</v>
      </c>
      <c r="I77" s="58" t="s">
        <v>1879</v>
      </c>
      <c r="J77" s="57"/>
      <c r="K77" s="57" t="s">
        <v>1881</v>
      </c>
      <c r="L77" s="58" t="s">
        <v>7839</v>
      </c>
      <c r="M77" s="57">
        <v>288</v>
      </c>
      <c r="N77" s="57"/>
      <c r="O77" s="57" t="s">
        <v>5690</v>
      </c>
      <c r="P77" s="59">
        <v>277</v>
      </c>
      <c r="Q77" s="61">
        <v>0.8</v>
      </c>
      <c r="R77" s="60">
        <v>0.49</v>
      </c>
      <c r="S77" s="60"/>
      <c r="T77" s="67">
        <v>0.35</v>
      </c>
      <c r="U77" s="67"/>
      <c r="V77" s="67">
        <v>0.25</v>
      </c>
      <c r="W77" s="67">
        <f>IF(R77&gt;T77,R77,T77)</f>
        <v>0.49</v>
      </c>
      <c r="X77" s="70">
        <f>Q77/100*7</f>
        <v>5.6000000000000001E-2</v>
      </c>
      <c r="Y77" s="70"/>
      <c r="Z77" s="71"/>
      <c r="AA77" s="81"/>
      <c r="AB77" s="81">
        <f t="shared" si="8"/>
        <v>0.74399999999999999</v>
      </c>
      <c r="AC77" s="232"/>
      <c r="AD77" s="213"/>
      <c r="AH77" s="63"/>
    </row>
    <row r="78" spans="1:38" s="62" customFormat="1" x14ac:dyDescent="0.25">
      <c r="A78" s="57">
        <v>2514</v>
      </c>
      <c r="B78" s="57" t="s">
        <v>7236</v>
      </c>
      <c r="C78" s="57" t="s">
        <v>7900</v>
      </c>
      <c r="D78" s="57" t="s">
        <v>2402</v>
      </c>
      <c r="E78" s="57"/>
      <c r="F78" s="57">
        <v>1974</v>
      </c>
      <c r="G78" s="57"/>
      <c r="H78" s="57" t="s">
        <v>2734</v>
      </c>
      <c r="I78" s="58" t="s">
        <v>1914</v>
      </c>
      <c r="J78" s="57"/>
      <c r="K78" s="57" t="s">
        <v>1881</v>
      </c>
      <c r="L78" s="58" t="s">
        <v>7901</v>
      </c>
      <c r="M78" s="57">
        <v>110</v>
      </c>
      <c r="N78" s="57"/>
      <c r="O78" s="57" t="s">
        <v>6573</v>
      </c>
      <c r="P78" s="59">
        <v>181</v>
      </c>
      <c r="Q78" s="61">
        <v>0.65</v>
      </c>
      <c r="R78" s="60">
        <v>0.25</v>
      </c>
      <c r="S78" s="60"/>
      <c r="T78" s="67">
        <v>0.35</v>
      </c>
      <c r="U78" s="67"/>
      <c r="V78" s="67">
        <v>0.25</v>
      </c>
      <c r="W78" s="67">
        <f>IF(R78&gt;T78,R78,T78)</f>
        <v>0.35</v>
      </c>
      <c r="X78" s="70">
        <f>Q78/100*7</f>
        <v>4.5500000000000006E-2</v>
      </c>
      <c r="Y78" s="70"/>
      <c r="Z78" s="71"/>
      <c r="AA78" s="81"/>
      <c r="AB78" s="81">
        <f t="shared" si="8"/>
        <v>0.60450000000000004</v>
      </c>
      <c r="AC78" s="232"/>
      <c r="AD78" s="213"/>
      <c r="AH78" s="63"/>
    </row>
    <row r="79" spans="1:38" s="62" customFormat="1" x14ac:dyDescent="0.25">
      <c r="A79" s="57">
        <v>2514</v>
      </c>
      <c r="B79" s="57" t="s">
        <v>7236</v>
      </c>
      <c r="C79" s="57" t="s">
        <v>7908</v>
      </c>
      <c r="D79" s="57" t="s">
        <v>2402</v>
      </c>
      <c r="E79" s="57"/>
      <c r="F79" s="57">
        <v>1973</v>
      </c>
      <c r="G79" s="57"/>
      <c r="H79" s="57" t="s">
        <v>2734</v>
      </c>
      <c r="I79" s="58" t="s">
        <v>1914</v>
      </c>
      <c r="J79" s="57"/>
      <c r="K79" s="57" t="s">
        <v>1881</v>
      </c>
      <c r="L79" s="58" t="s">
        <v>7909</v>
      </c>
      <c r="M79" s="57">
        <v>142</v>
      </c>
      <c r="N79" s="57"/>
      <c r="O79" s="57" t="s">
        <v>6577</v>
      </c>
      <c r="P79" s="59">
        <v>221</v>
      </c>
      <c r="Q79" s="61">
        <v>0.65</v>
      </c>
      <c r="R79" s="60">
        <v>0.25</v>
      </c>
      <c r="S79" s="60"/>
      <c r="T79" s="67">
        <v>0.35</v>
      </c>
      <c r="U79" s="67"/>
      <c r="V79" s="67">
        <v>0.25</v>
      </c>
      <c r="W79" s="67">
        <f>IF(R79&gt;T79,R79,T79)</f>
        <v>0.35</v>
      </c>
      <c r="X79" s="70">
        <f>(T79+W79)/100*7</f>
        <v>4.8999999999999995E-2</v>
      </c>
      <c r="Y79" s="70"/>
      <c r="Z79" s="71"/>
      <c r="AA79" s="81"/>
      <c r="AB79" s="81">
        <f t="shared" si="8"/>
        <v>0.60099999999999998</v>
      </c>
      <c r="AC79" s="232"/>
      <c r="AD79" s="213"/>
      <c r="AH79" s="63"/>
    </row>
    <row r="80" spans="1:38" s="62" customFormat="1" x14ac:dyDescent="0.25">
      <c r="A80" s="57">
        <v>796</v>
      </c>
      <c r="B80" s="57" t="s">
        <v>8060</v>
      </c>
      <c r="C80" s="57" t="s">
        <v>8061</v>
      </c>
      <c r="D80" s="57" t="s">
        <v>2309</v>
      </c>
      <c r="E80" s="57"/>
      <c r="F80" s="57">
        <v>2010</v>
      </c>
      <c r="G80" s="57"/>
      <c r="H80" s="57" t="s">
        <v>2734</v>
      </c>
      <c r="I80" s="58" t="s">
        <v>1929</v>
      </c>
      <c r="J80" s="57"/>
      <c r="K80" s="57" t="s">
        <v>1881</v>
      </c>
      <c r="L80" s="58" t="s">
        <v>8062</v>
      </c>
      <c r="M80" s="57">
        <v>194</v>
      </c>
      <c r="N80" s="57"/>
      <c r="O80" s="57" t="s">
        <v>6631</v>
      </c>
      <c r="P80" s="59">
        <v>322</v>
      </c>
      <c r="Q80" s="61">
        <v>1.02</v>
      </c>
      <c r="R80" s="60">
        <v>0.5</v>
      </c>
      <c r="S80" s="60"/>
      <c r="T80" s="67">
        <v>0.35</v>
      </c>
      <c r="U80" s="67">
        <v>0.37</v>
      </c>
      <c r="V80" s="67">
        <v>0.25</v>
      </c>
      <c r="W80" s="67"/>
      <c r="X80" s="70">
        <f>Q80/100*7</f>
        <v>7.1400000000000005E-2</v>
      </c>
      <c r="Y80" s="70"/>
      <c r="Z80" s="71"/>
      <c r="AA80" s="81"/>
      <c r="AB80" s="81">
        <f t="shared" si="8"/>
        <v>0.9486</v>
      </c>
      <c r="AC80" s="232"/>
      <c r="AD80" s="213"/>
      <c r="AH80" s="63"/>
    </row>
    <row r="81" spans="1:38" s="62" customFormat="1" x14ac:dyDescent="0.25">
      <c r="A81" s="57">
        <v>1327</v>
      </c>
      <c r="B81" s="57" t="s">
        <v>8067</v>
      </c>
      <c r="C81" s="57" t="s">
        <v>8068</v>
      </c>
      <c r="D81" s="57" t="s">
        <v>8069</v>
      </c>
      <c r="E81" s="57"/>
      <c r="F81" s="57">
        <v>2009</v>
      </c>
      <c r="G81" s="57"/>
      <c r="H81" s="57" t="s">
        <v>2734</v>
      </c>
      <c r="I81" s="58" t="s">
        <v>1929</v>
      </c>
      <c r="J81" s="57"/>
      <c r="K81" s="57" t="s">
        <v>1881</v>
      </c>
      <c r="L81" s="58" t="s">
        <v>8070</v>
      </c>
      <c r="M81" s="57">
        <v>290</v>
      </c>
      <c r="N81" s="57"/>
      <c r="O81" s="57" t="s">
        <v>6633</v>
      </c>
      <c r="P81" s="59">
        <v>330</v>
      </c>
      <c r="Q81" s="61">
        <v>2.86</v>
      </c>
      <c r="R81" s="60">
        <v>3</v>
      </c>
      <c r="S81" s="60"/>
      <c r="T81" s="67">
        <v>0.35</v>
      </c>
      <c r="U81" s="67">
        <v>2.09</v>
      </c>
      <c r="V81" s="67">
        <v>0.25</v>
      </c>
      <c r="W81" s="67"/>
      <c r="X81" s="70">
        <f>Q81/100*7</f>
        <v>0.20019999999999999</v>
      </c>
      <c r="Y81" s="70"/>
      <c r="Z81" s="71"/>
      <c r="AA81" s="81"/>
      <c r="AB81" s="81">
        <f t="shared" si="8"/>
        <v>2.6597999999999997</v>
      </c>
      <c r="AC81" s="232"/>
      <c r="AD81" s="213"/>
      <c r="AH81" s="63"/>
    </row>
    <row r="82" spans="1:38" s="62" customFormat="1" x14ac:dyDescent="0.25">
      <c r="A82" s="57">
        <v>1395</v>
      </c>
      <c r="B82" s="57" t="s">
        <v>8303</v>
      </c>
      <c r="C82" s="57" t="s">
        <v>8304</v>
      </c>
      <c r="D82" s="57" t="s">
        <v>1876</v>
      </c>
      <c r="E82" s="57"/>
      <c r="F82" s="57">
        <v>2016</v>
      </c>
      <c r="G82" s="57"/>
      <c r="H82" s="57" t="s">
        <v>1878</v>
      </c>
      <c r="I82" s="58" t="s">
        <v>1879</v>
      </c>
      <c r="J82" s="79" t="s">
        <v>3854</v>
      </c>
      <c r="K82" s="57" t="s">
        <v>1881</v>
      </c>
      <c r="L82" s="58" t="s">
        <v>8305</v>
      </c>
      <c r="M82" s="57">
        <v>288</v>
      </c>
      <c r="N82" s="57"/>
      <c r="O82" s="57" t="s">
        <v>6721</v>
      </c>
      <c r="P82" s="59">
        <v>280</v>
      </c>
      <c r="Q82" s="61">
        <v>2.5099999999999998</v>
      </c>
      <c r="R82" s="61">
        <f>IF(Y82&gt;Z82,Y82,Z82)</f>
        <v>3.7</v>
      </c>
      <c r="S82" s="60">
        <v>3.7</v>
      </c>
      <c r="T82" s="67">
        <v>0.13</v>
      </c>
      <c r="U82" s="67" t="str">
        <f>IF(P82&lt;501,"1,20","1,70")</f>
        <v>1,20</v>
      </c>
      <c r="V82" s="67">
        <f>0.08+0.09+0.17</f>
        <v>0.33999999999999997</v>
      </c>
      <c r="W82" s="67">
        <v>1.8</v>
      </c>
      <c r="X82" s="70">
        <f>2.51/100*7</f>
        <v>0.17569999999999997</v>
      </c>
      <c r="Y82" s="70">
        <f>S82</f>
        <v>3.7</v>
      </c>
      <c r="Z82" s="70">
        <f>T82+U82+V82+W82+X82</f>
        <v>3.6456999999999997</v>
      </c>
      <c r="AA82" s="81"/>
      <c r="AB82" s="81">
        <f t="shared" si="8"/>
        <v>2.3342999999999998</v>
      </c>
      <c r="AC82" s="232"/>
      <c r="AD82" s="213"/>
      <c r="AH82" s="63"/>
    </row>
    <row r="83" spans="1:38" s="62" customFormat="1" x14ac:dyDescent="0.25">
      <c r="A83" s="57">
        <v>2522</v>
      </c>
      <c r="B83" s="57" t="s">
        <v>8509</v>
      </c>
      <c r="C83" s="57" t="s">
        <v>8510</v>
      </c>
      <c r="D83" s="57" t="s">
        <v>1920</v>
      </c>
      <c r="E83" s="57"/>
      <c r="F83" s="57">
        <v>2017</v>
      </c>
      <c r="G83" s="57"/>
      <c r="H83" s="57" t="s">
        <v>1878</v>
      </c>
      <c r="I83" s="58" t="s">
        <v>1879</v>
      </c>
      <c r="J83" s="57"/>
      <c r="K83" s="57" t="s">
        <v>1881</v>
      </c>
      <c r="L83" s="58" t="s">
        <v>8511</v>
      </c>
      <c r="M83" s="57">
        <v>512</v>
      </c>
      <c r="N83" s="57"/>
      <c r="O83" s="57" t="s">
        <v>6794</v>
      </c>
      <c r="P83" s="59">
        <v>441</v>
      </c>
      <c r="Q83" s="61">
        <v>1.1000000000000001</v>
      </c>
      <c r="R83" s="61">
        <f>IF(Y83&gt;Z83,Y83,Z83)</f>
        <v>2.4</v>
      </c>
      <c r="S83" s="60">
        <v>2.4</v>
      </c>
      <c r="T83" s="67">
        <v>0.13</v>
      </c>
      <c r="U83" s="67" t="str">
        <f>IF(P83&lt;501,"1,20","1,70")</f>
        <v>1,20</v>
      </c>
      <c r="V83" s="67">
        <f>0.08+0.09+0.17</f>
        <v>0.33999999999999997</v>
      </c>
      <c r="W83" s="67">
        <v>0.6</v>
      </c>
      <c r="X83" s="70">
        <f>1.1/100*7</f>
        <v>7.7000000000000013E-2</v>
      </c>
      <c r="Y83" s="70">
        <f>S83</f>
        <v>2.4</v>
      </c>
      <c r="Z83" s="70">
        <f>T83+U83+V83+W83+X83</f>
        <v>2.347</v>
      </c>
      <c r="AA83" s="81"/>
      <c r="AB83" s="81">
        <f t="shared" si="8"/>
        <v>1.0230000000000001</v>
      </c>
      <c r="AC83" s="232"/>
      <c r="AD83" s="213"/>
      <c r="AH83" s="63"/>
    </row>
    <row r="84" spans="1:38" s="113" customFormat="1" x14ac:dyDescent="0.25">
      <c r="A84" s="104">
        <v>684</v>
      </c>
      <c r="B84" s="104" t="s">
        <v>3475</v>
      </c>
      <c r="C84" s="104" t="s">
        <v>3476</v>
      </c>
      <c r="D84" s="104" t="s">
        <v>3477</v>
      </c>
      <c r="E84" s="104" t="s">
        <v>2157</v>
      </c>
      <c r="F84" s="104">
        <v>2002</v>
      </c>
      <c r="G84" s="104"/>
      <c r="H84" s="104" t="s">
        <v>1878</v>
      </c>
      <c r="I84" s="105" t="s">
        <v>1879</v>
      </c>
      <c r="J84" s="104" t="s">
        <v>2237</v>
      </c>
      <c r="K84" s="104" t="s">
        <v>1881</v>
      </c>
      <c r="L84" s="105" t="s">
        <v>3478</v>
      </c>
      <c r="M84" s="104">
        <v>480</v>
      </c>
      <c r="N84" s="104"/>
      <c r="O84" s="104" t="s">
        <v>3423</v>
      </c>
      <c r="P84" s="106">
        <v>506</v>
      </c>
      <c r="Q84" s="107">
        <v>3.46</v>
      </c>
      <c r="R84" s="108">
        <v>0.99</v>
      </c>
      <c r="S84" s="108"/>
      <c r="T84" s="109"/>
      <c r="U84" s="109">
        <v>1.7</v>
      </c>
      <c r="V84" s="109">
        <v>0.25</v>
      </c>
      <c r="W84" s="109">
        <f>IF(R84&gt;T84,R84,T84)</f>
        <v>0.99</v>
      </c>
      <c r="X84" s="110">
        <f>Q84/100*7</f>
        <v>0.2422</v>
      </c>
      <c r="Y84" s="110"/>
      <c r="Z84" s="111"/>
      <c r="AA84" s="112"/>
      <c r="AB84" s="112">
        <f t="shared" si="8"/>
        <v>3.2178</v>
      </c>
      <c r="AC84" s="235"/>
      <c r="AD84" s="112"/>
      <c r="AH84" s="114"/>
    </row>
    <row r="85" spans="1:38" s="113" customFormat="1" x14ac:dyDescent="0.25">
      <c r="A85" s="104">
        <v>1317</v>
      </c>
      <c r="B85" s="104" t="s">
        <v>2674</v>
      </c>
      <c r="C85" s="104" t="s">
        <v>2675</v>
      </c>
      <c r="D85" s="104" t="s">
        <v>2676</v>
      </c>
      <c r="E85" s="104"/>
      <c r="F85" s="104">
        <v>2008</v>
      </c>
      <c r="G85" s="104"/>
      <c r="H85" s="104" t="s">
        <v>2295</v>
      </c>
      <c r="I85" s="105" t="s">
        <v>1929</v>
      </c>
      <c r="J85" s="104"/>
      <c r="K85" s="104" t="s">
        <v>1881</v>
      </c>
      <c r="L85" s="105" t="s">
        <v>2677</v>
      </c>
      <c r="M85" s="104">
        <v>174</v>
      </c>
      <c r="N85" s="104"/>
      <c r="O85" s="104" t="s">
        <v>2654</v>
      </c>
      <c r="P85" s="106">
        <v>468</v>
      </c>
      <c r="Q85" s="107">
        <v>2.85</v>
      </c>
      <c r="R85" s="108">
        <v>0.89</v>
      </c>
      <c r="S85" s="108"/>
      <c r="T85" s="109"/>
      <c r="U85" s="109">
        <v>1.2</v>
      </c>
      <c r="V85" s="109">
        <v>0.25</v>
      </c>
      <c r="W85" s="109">
        <f>IF(R85&gt;T85,R85,T85)</f>
        <v>0.89</v>
      </c>
      <c r="X85" s="110">
        <f t="shared" ref="X85:X95" si="9">Q85/100*7</f>
        <v>0.19950000000000001</v>
      </c>
      <c r="Y85" s="110"/>
      <c r="Z85" s="111"/>
      <c r="AA85" s="112"/>
      <c r="AB85" s="112">
        <f t="shared" ref="AB85:AB95" si="10">Q85-X85</f>
        <v>2.6505000000000001</v>
      </c>
      <c r="AC85" s="235"/>
      <c r="AD85" s="112"/>
      <c r="AH85" s="114"/>
    </row>
    <row r="86" spans="1:38" s="113" customFormat="1" x14ac:dyDescent="0.25">
      <c r="A86" s="104"/>
      <c r="B86" s="104"/>
      <c r="C86" s="104"/>
      <c r="D86" s="104"/>
      <c r="E86" s="104"/>
      <c r="F86" s="104"/>
      <c r="G86" s="104"/>
      <c r="H86" s="104"/>
      <c r="I86" s="105"/>
      <c r="J86" s="104"/>
      <c r="K86" s="104"/>
      <c r="L86" s="105"/>
      <c r="M86" s="104"/>
      <c r="N86" s="104"/>
      <c r="O86" s="104" t="s">
        <v>9020</v>
      </c>
      <c r="P86" s="106"/>
      <c r="Q86" s="107">
        <v>0.99</v>
      </c>
      <c r="R86" s="108"/>
      <c r="S86" s="108"/>
      <c r="T86" s="109"/>
      <c r="U86" s="109"/>
      <c r="V86" s="109"/>
      <c r="W86" s="109"/>
      <c r="X86" s="110">
        <f t="shared" si="9"/>
        <v>6.93E-2</v>
      </c>
      <c r="Y86" s="110"/>
      <c r="Z86" s="111"/>
      <c r="AA86" s="112"/>
      <c r="AB86" s="112">
        <f t="shared" si="10"/>
        <v>0.92069999999999996</v>
      </c>
      <c r="AC86" s="235"/>
      <c r="AD86" s="112"/>
      <c r="AH86" s="114"/>
    </row>
    <row r="87" spans="1:38" s="113" customFormat="1" x14ac:dyDescent="0.25">
      <c r="A87" s="104">
        <v>2522</v>
      </c>
      <c r="B87" s="104" t="s">
        <v>1986</v>
      </c>
      <c r="C87" s="104" t="s">
        <v>1987</v>
      </c>
      <c r="D87" s="104" t="s">
        <v>1988</v>
      </c>
      <c r="E87" s="104" t="s">
        <v>1921</v>
      </c>
      <c r="F87" s="104">
        <v>2012</v>
      </c>
      <c r="G87" s="104"/>
      <c r="H87" s="104" t="s">
        <v>1878</v>
      </c>
      <c r="I87" s="105" t="s">
        <v>1879</v>
      </c>
      <c r="J87" s="104" t="s">
        <v>1989</v>
      </c>
      <c r="K87" s="104" t="s">
        <v>1881</v>
      </c>
      <c r="L87" s="105" t="s">
        <v>1990</v>
      </c>
      <c r="M87" s="104">
        <v>564</v>
      </c>
      <c r="N87" s="104"/>
      <c r="O87" s="104" t="s">
        <v>1937</v>
      </c>
      <c r="P87" s="106">
        <v>707</v>
      </c>
      <c r="Q87" s="107">
        <v>0.99</v>
      </c>
      <c r="R87" s="108">
        <v>0.25</v>
      </c>
      <c r="S87" s="108"/>
      <c r="T87" s="109"/>
      <c r="U87" s="109">
        <v>1.7</v>
      </c>
      <c r="V87" s="109">
        <v>0.25</v>
      </c>
      <c r="W87" s="109">
        <f>IF(R87&gt;T87,R87,T87)</f>
        <v>0.25</v>
      </c>
      <c r="X87" s="110">
        <f t="shared" si="9"/>
        <v>6.93E-2</v>
      </c>
      <c r="Y87" s="110"/>
      <c r="Z87" s="111"/>
      <c r="AA87" s="112"/>
      <c r="AB87" s="112">
        <f t="shared" si="10"/>
        <v>0.92069999999999996</v>
      </c>
      <c r="AC87" s="235"/>
      <c r="AD87" s="112"/>
      <c r="AH87" s="114"/>
      <c r="AI87" s="113" t="s">
        <v>51</v>
      </c>
      <c r="AJ87" s="113" t="s">
        <v>51</v>
      </c>
      <c r="AK87" s="113" t="s">
        <v>51</v>
      </c>
      <c r="AL87" s="108"/>
    </row>
    <row r="88" spans="1:38" s="113" customFormat="1" x14ac:dyDescent="0.25">
      <c r="A88" s="104"/>
      <c r="B88" s="104"/>
      <c r="C88" s="104"/>
      <c r="D88" s="104"/>
      <c r="E88" s="104"/>
      <c r="F88" s="104"/>
      <c r="G88" s="104"/>
      <c r="H88" s="104"/>
      <c r="I88" s="105"/>
      <c r="J88" s="104"/>
      <c r="K88" s="104"/>
      <c r="L88" s="105"/>
      <c r="M88" s="104"/>
      <c r="N88" s="104"/>
      <c r="O88" s="104" t="s">
        <v>9021</v>
      </c>
      <c r="P88" s="106"/>
      <c r="Q88" s="107">
        <v>3.29</v>
      </c>
      <c r="R88" s="108"/>
      <c r="S88" s="108"/>
      <c r="T88" s="109"/>
      <c r="U88" s="109"/>
      <c r="V88" s="109"/>
      <c r="W88" s="109"/>
      <c r="X88" s="110">
        <f t="shared" si="9"/>
        <v>0.2303</v>
      </c>
      <c r="Y88" s="110"/>
      <c r="Z88" s="111"/>
      <c r="AA88" s="112"/>
      <c r="AB88" s="112">
        <f t="shared" si="10"/>
        <v>3.0596999999999999</v>
      </c>
      <c r="AC88" s="235"/>
      <c r="AD88" s="112"/>
      <c r="AH88" s="114"/>
    </row>
    <row r="89" spans="1:38" s="113" customFormat="1" x14ac:dyDescent="0.25">
      <c r="A89" s="104"/>
      <c r="B89" s="104"/>
      <c r="C89" s="104"/>
      <c r="D89" s="104"/>
      <c r="E89" s="104"/>
      <c r="F89" s="104"/>
      <c r="G89" s="104"/>
      <c r="H89" s="104"/>
      <c r="I89" s="105"/>
      <c r="J89" s="104"/>
      <c r="K89" s="104"/>
      <c r="L89" s="105"/>
      <c r="M89" s="104"/>
      <c r="N89" s="104"/>
      <c r="O89" s="104" t="s">
        <v>9022</v>
      </c>
      <c r="P89" s="106"/>
      <c r="Q89" s="107">
        <v>0.99</v>
      </c>
      <c r="R89" s="108"/>
      <c r="S89" s="108"/>
      <c r="T89" s="109"/>
      <c r="U89" s="109"/>
      <c r="V89" s="109"/>
      <c r="W89" s="109"/>
      <c r="X89" s="110">
        <f t="shared" si="9"/>
        <v>6.93E-2</v>
      </c>
      <c r="Y89" s="110"/>
      <c r="Z89" s="111"/>
      <c r="AA89" s="112"/>
      <c r="AB89" s="112">
        <f t="shared" si="10"/>
        <v>0.92069999999999996</v>
      </c>
      <c r="AC89" s="235"/>
      <c r="AD89" s="112"/>
      <c r="AH89" s="114"/>
    </row>
    <row r="90" spans="1:38" s="113" customFormat="1" x14ac:dyDescent="0.25">
      <c r="A90" s="104">
        <v>2518</v>
      </c>
      <c r="B90" s="104" t="s">
        <v>7746</v>
      </c>
      <c r="C90" s="104" t="s">
        <v>7747</v>
      </c>
      <c r="D90" s="104" t="s">
        <v>2257</v>
      </c>
      <c r="E90" s="104"/>
      <c r="F90" s="104">
        <v>2013</v>
      </c>
      <c r="G90" s="104"/>
      <c r="H90" s="104" t="s">
        <v>1878</v>
      </c>
      <c r="I90" s="105" t="s">
        <v>1879</v>
      </c>
      <c r="J90" s="104"/>
      <c r="K90" s="104" t="s">
        <v>1881</v>
      </c>
      <c r="L90" s="105" t="s">
        <v>7748</v>
      </c>
      <c r="M90" s="104">
        <v>510</v>
      </c>
      <c r="N90" s="104"/>
      <c r="O90" s="104" t="s">
        <v>5654</v>
      </c>
      <c r="P90" s="106">
        <v>398</v>
      </c>
      <c r="Q90" s="107">
        <v>1.1200000000000001</v>
      </c>
      <c r="R90" s="108">
        <v>0.79</v>
      </c>
      <c r="S90" s="108"/>
      <c r="T90" s="109">
        <v>0.35</v>
      </c>
      <c r="U90" s="109"/>
      <c r="V90" s="109">
        <v>0.25</v>
      </c>
      <c r="W90" s="109">
        <f t="shared" ref="W90:W95" si="11">IF(R90&gt;T90,R90,T90)</f>
        <v>0.79</v>
      </c>
      <c r="X90" s="110">
        <f t="shared" si="9"/>
        <v>7.8400000000000011E-2</v>
      </c>
      <c r="Y90" s="110"/>
      <c r="Z90" s="111"/>
      <c r="AA90" s="112"/>
      <c r="AB90" s="112">
        <f t="shared" si="10"/>
        <v>1.0416000000000001</v>
      </c>
      <c r="AC90" s="235"/>
      <c r="AD90" s="112"/>
      <c r="AH90" s="114"/>
    </row>
    <row r="91" spans="1:38" s="113" customFormat="1" x14ac:dyDescent="0.25">
      <c r="A91" s="104">
        <v>766</v>
      </c>
      <c r="B91" s="104" t="s">
        <v>7978</v>
      </c>
      <c r="C91" s="104" t="s">
        <v>7979</v>
      </c>
      <c r="D91" s="104" t="s">
        <v>1876</v>
      </c>
      <c r="E91" s="104" t="s">
        <v>2175</v>
      </c>
      <c r="F91" s="104">
        <v>2002</v>
      </c>
      <c r="G91" s="104"/>
      <c r="H91" s="104" t="s">
        <v>1878</v>
      </c>
      <c r="I91" s="105" t="s">
        <v>1879</v>
      </c>
      <c r="J91" s="104"/>
      <c r="K91" s="104" t="s">
        <v>1881</v>
      </c>
      <c r="L91" s="105" t="s">
        <v>7980</v>
      </c>
      <c r="M91" s="104">
        <v>384</v>
      </c>
      <c r="N91" s="104"/>
      <c r="O91" s="104" t="s">
        <v>6602</v>
      </c>
      <c r="P91" s="106">
        <v>326</v>
      </c>
      <c r="Q91" s="107">
        <v>1.18</v>
      </c>
      <c r="R91" s="108">
        <v>0.85</v>
      </c>
      <c r="S91" s="108"/>
      <c r="T91" s="109">
        <v>0.35</v>
      </c>
      <c r="U91" s="109"/>
      <c r="V91" s="109">
        <v>0.25</v>
      </c>
      <c r="W91" s="109">
        <f t="shared" si="11"/>
        <v>0.85</v>
      </c>
      <c r="X91" s="110">
        <f t="shared" si="9"/>
        <v>8.2599999999999993E-2</v>
      </c>
      <c r="Y91" s="110"/>
      <c r="Z91" s="111"/>
      <c r="AA91" s="112"/>
      <c r="AB91" s="112">
        <f t="shared" si="10"/>
        <v>1.0973999999999999</v>
      </c>
      <c r="AC91" s="235"/>
      <c r="AD91" s="112"/>
      <c r="AH91" s="114"/>
    </row>
    <row r="92" spans="1:38" s="113" customFormat="1" x14ac:dyDescent="0.25">
      <c r="A92" s="104">
        <v>689</v>
      </c>
      <c r="B92" s="104" t="s">
        <v>2173</v>
      </c>
      <c r="C92" s="104" t="s">
        <v>2174</v>
      </c>
      <c r="D92" s="104" t="s">
        <v>2176</v>
      </c>
      <c r="E92" s="104" t="s">
        <v>2175</v>
      </c>
      <c r="F92" s="104">
        <v>1995</v>
      </c>
      <c r="G92" s="104"/>
      <c r="H92" s="104" t="s">
        <v>1928</v>
      </c>
      <c r="I92" s="105" t="s">
        <v>1879</v>
      </c>
      <c r="J92" s="104" t="s">
        <v>2177</v>
      </c>
      <c r="K92" s="104" t="s">
        <v>1881</v>
      </c>
      <c r="L92" s="105" t="s">
        <v>2178</v>
      </c>
      <c r="M92" s="104">
        <v>962</v>
      </c>
      <c r="N92" s="104"/>
      <c r="O92" s="104" t="s">
        <v>2126</v>
      </c>
      <c r="P92" s="106">
        <v>1174</v>
      </c>
      <c r="Q92" s="107">
        <v>2.89</v>
      </c>
      <c r="R92" s="108">
        <v>1.85</v>
      </c>
      <c r="S92" s="108"/>
      <c r="T92" s="109"/>
      <c r="U92" s="109">
        <v>3.79</v>
      </c>
      <c r="V92" s="109">
        <v>0.25</v>
      </c>
      <c r="W92" s="109">
        <f t="shared" si="11"/>
        <v>1.85</v>
      </c>
      <c r="X92" s="110">
        <f t="shared" si="9"/>
        <v>0.20230000000000001</v>
      </c>
      <c r="Y92" s="110"/>
      <c r="Z92" s="111"/>
      <c r="AA92" s="112"/>
      <c r="AB92" s="112">
        <f t="shared" si="10"/>
        <v>2.6877</v>
      </c>
      <c r="AC92" s="235"/>
      <c r="AD92" s="112"/>
      <c r="AH92" s="114"/>
      <c r="AI92" s="113" t="s">
        <v>51</v>
      </c>
      <c r="AJ92" s="113" t="s">
        <v>51</v>
      </c>
      <c r="AK92" s="113" t="s">
        <v>51</v>
      </c>
      <c r="AL92" s="108"/>
    </row>
    <row r="93" spans="1:38" s="113" customFormat="1" x14ac:dyDescent="0.25">
      <c r="A93" s="104">
        <v>691</v>
      </c>
      <c r="B93" s="104" t="s">
        <v>7875</v>
      </c>
      <c r="C93" s="104" t="s">
        <v>7881</v>
      </c>
      <c r="D93" s="104" t="s">
        <v>7877</v>
      </c>
      <c r="E93" s="104" t="s">
        <v>7882</v>
      </c>
      <c r="F93" s="104">
        <v>2008</v>
      </c>
      <c r="G93" s="104"/>
      <c r="H93" s="104" t="s">
        <v>2734</v>
      </c>
      <c r="I93" s="105" t="s">
        <v>1879</v>
      </c>
      <c r="J93" s="104"/>
      <c r="K93" s="104" t="s">
        <v>1881</v>
      </c>
      <c r="L93" s="105" t="s">
        <v>7883</v>
      </c>
      <c r="M93" s="104">
        <v>30</v>
      </c>
      <c r="N93" s="104"/>
      <c r="O93" s="104" t="s">
        <v>6566</v>
      </c>
      <c r="P93" s="106">
        <v>232</v>
      </c>
      <c r="Q93" s="107">
        <v>2.5</v>
      </c>
      <c r="R93" s="108">
        <v>1.49</v>
      </c>
      <c r="S93" s="108"/>
      <c r="T93" s="109">
        <v>0.35</v>
      </c>
      <c r="U93" s="109"/>
      <c r="V93" s="109">
        <v>0.25</v>
      </c>
      <c r="W93" s="109">
        <f t="shared" si="11"/>
        <v>1.49</v>
      </c>
      <c r="X93" s="110">
        <f t="shared" si="9"/>
        <v>0.17500000000000002</v>
      </c>
      <c r="Y93" s="110"/>
      <c r="Z93" s="111"/>
      <c r="AA93" s="112"/>
      <c r="AB93" s="112">
        <f t="shared" si="10"/>
        <v>2.3250000000000002</v>
      </c>
      <c r="AC93" s="235"/>
      <c r="AD93" s="112"/>
      <c r="AH93" s="114"/>
    </row>
    <row r="94" spans="1:38" s="113" customFormat="1" x14ac:dyDescent="0.25">
      <c r="A94" s="104">
        <v>1327</v>
      </c>
      <c r="B94" s="104" t="s">
        <v>6161</v>
      </c>
      <c r="C94" s="104" t="s">
        <v>6162</v>
      </c>
      <c r="D94" s="104" t="s">
        <v>2300</v>
      </c>
      <c r="E94" s="104"/>
      <c r="F94" s="104">
        <v>2010</v>
      </c>
      <c r="G94" s="104"/>
      <c r="H94" s="104" t="s">
        <v>1878</v>
      </c>
      <c r="I94" s="105" t="s">
        <v>1879</v>
      </c>
      <c r="J94" s="115" t="s">
        <v>3854</v>
      </c>
      <c r="K94" s="104" t="s">
        <v>1881</v>
      </c>
      <c r="L94" s="105" t="s">
        <v>6163</v>
      </c>
      <c r="M94" s="104">
        <v>448</v>
      </c>
      <c r="N94" s="104"/>
      <c r="O94" s="104" t="s">
        <v>5293</v>
      </c>
      <c r="P94" s="106">
        <v>446</v>
      </c>
      <c r="Q94" s="107">
        <v>9.3800000000000008</v>
      </c>
      <c r="R94" s="108">
        <v>6.99</v>
      </c>
      <c r="S94" s="108"/>
      <c r="T94" s="109"/>
      <c r="U94" s="109">
        <v>1.2</v>
      </c>
      <c r="V94" s="109">
        <v>0.25</v>
      </c>
      <c r="W94" s="109">
        <f t="shared" si="11"/>
        <v>6.99</v>
      </c>
      <c r="X94" s="110">
        <f t="shared" si="9"/>
        <v>0.65660000000000007</v>
      </c>
      <c r="Y94" s="110"/>
      <c r="Z94" s="111"/>
      <c r="AA94" s="112"/>
      <c r="AB94" s="112">
        <f t="shared" si="10"/>
        <v>8.7234000000000016</v>
      </c>
      <c r="AC94" s="235"/>
      <c r="AD94" s="112"/>
      <c r="AH94" s="114"/>
    </row>
    <row r="95" spans="1:38" s="113" customFormat="1" x14ac:dyDescent="0.25">
      <c r="A95" s="104">
        <v>701</v>
      </c>
      <c r="B95" s="104" t="s">
        <v>2080</v>
      </c>
      <c r="C95" s="104" t="s">
        <v>2081</v>
      </c>
      <c r="D95" s="104" t="s">
        <v>2082</v>
      </c>
      <c r="E95" s="104"/>
      <c r="F95" s="104">
        <v>2016</v>
      </c>
      <c r="G95" s="104"/>
      <c r="H95" s="104" t="s">
        <v>1878</v>
      </c>
      <c r="I95" s="105" t="s">
        <v>1929</v>
      </c>
      <c r="J95" s="104" t="s">
        <v>2083</v>
      </c>
      <c r="K95" s="104" t="s">
        <v>1881</v>
      </c>
      <c r="L95" s="105" t="s">
        <v>2084</v>
      </c>
      <c r="M95" s="104">
        <v>160</v>
      </c>
      <c r="N95" s="104"/>
      <c r="O95" s="104" t="s">
        <v>1957</v>
      </c>
      <c r="P95" s="106">
        <v>177</v>
      </c>
      <c r="Q95" s="107">
        <v>2.69</v>
      </c>
      <c r="R95" s="108">
        <v>3.39</v>
      </c>
      <c r="S95" s="108"/>
      <c r="T95" s="109"/>
      <c r="U95" s="109">
        <v>1.2</v>
      </c>
      <c r="V95" s="109">
        <v>0.25</v>
      </c>
      <c r="W95" s="109">
        <f t="shared" si="11"/>
        <v>3.39</v>
      </c>
      <c r="X95" s="110">
        <f t="shared" si="9"/>
        <v>0.1883</v>
      </c>
      <c r="Y95" s="110"/>
      <c r="Z95" s="111"/>
      <c r="AA95" s="112"/>
      <c r="AB95" s="112">
        <f t="shared" si="10"/>
        <v>2.5017</v>
      </c>
      <c r="AC95" s="235"/>
      <c r="AD95" s="112"/>
      <c r="AH95" s="114"/>
      <c r="AI95" s="113" t="s">
        <v>51</v>
      </c>
      <c r="AJ95" s="113" t="s">
        <v>51</v>
      </c>
      <c r="AK95" s="113" t="s">
        <v>51</v>
      </c>
      <c r="AL95" s="108"/>
    </row>
    <row r="96" spans="1:38" s="62" customFormat="1" x14ac:dyDescent="0.25">
      <c r="A96" s="57">
        <v>1395</v>
      </c>
      <c r="B96" s="57" t="s">
        <v>4620</v>
      </c>
      <c r="C96" s="57" t="s">
        <v>4621</v>
      </c>
      <c r="D96" s="57" t="s">
        <v>1998</v>
      </c>
      <c r="E96" s="57" t="s">
        <v>4622</v>
      </c>
      <c r="F96" s="57">
        <v>2015</v>
      </c>
      <c r="G96" s="57"/>
      <c r="H96" s="57" t="s">
        <v>1878</v>
      </c>
      <c r="I96" s="58" t="s">
        <v>1879</v>
      </c>
      <c r="J96" s="57"/>
      <c r="K96" s="57" t="s">
        <v>1881</v>
      </c>
      <c r="L96" s="58" t="s">
        <v>4623</v>
      </c>
      <c r="M96" s="57">
        <v>336</v>
      </c>
      <c r="N96" s="57"/>
      <c r="O96" s="57" t="s">
        <v>4553</v>
      </c>
      <c r="P96" s="59">
        <v>258</v>
      </c>
      <c r="Q96" s="61">
        <f>SUM(T96:X96)</f>
        <v>3.2582999999999998</v>
      </c>
      <c r="R96" s="60">
        <v>1.69</v>
      </c>
      <c r="S96" s="60"/>
      <c r="T96" s="67"/>
      <c r="U96" s="67">
        <v>1.2</v>
      </c>
      <c r="V96" s="67">
        <v>0.25</v>
      </c>
      <c r="W96" s="67">
        <f>IF(R96&gt;T96,R96,T96)</f>
        <v>1.69</v>
      </c>
      <c r="X96" s="70">
        <f>(T96+W96)/100*7</f>
        <v>0.11829999999999999</v>
      </c>
      <c r="Y96" s="70"/>
      <c r="Z96" s="71"/>
      <c r="AA96" s="81"/>
      <c r="AB96" s="81">
        <f>2.09-(2.09/100*7)</f>
        <v>1.9436999999999998</v>
      </c>
      <c r="AC96" s="232"/>
      <c r="AD96" s="213"/>
      <c r="AH96" s="63"/>
    </row>
    <row r="97" spans="1:37" s="125" customFormat="1" x14ac:dyDescent="0.25">
      <c r="A97" s="116">
        <v>651</v>
      </c>
      <c r="B97" s="116"/>
      <c r="C97" s="116" t="s">
        <v>7105</v>
      </c>
      <c r="D97" s="116" t="s">
        <v>2117</v>
      </c>
      <c r="E97" s="116" t="s">
        <v>1913</v>
      </c>
      <c r="F97" s="116">
        <v>2014</v>
      </c>
      <c r="G97" s="116"/>
      <c r="H97" s="116" t="s">
        <v>2734</v>
      </c>
      <c r="I97" s="117" t="s">
        <v>1929</v>
      </c>
      <c r="J97" s="116"/>
      <c r="K97" s="116" t="s">
        <v>1881</v>
      </c>
      <c r="L97" s="117" t="s">
        <v>7106</v>
      </c>
      <c r="M97" s="116">
        <v>134</v>
      </c>
      <c r="N97" s="116"/>
      <c r="O97" s="116" t="s">
        <v>5427</v>
      </c>
      <c r="P97" s="118">
        <v>732</v>
      </c>
      <c r="Q97" s="119">
        <f>SUM(T97:X97)</f>
        <v>2.7217000000000002</v>
      </c>
      <c r="R97" s="120">
        <v>1.99</v>
      </c>
      <c r="S97" s="120"/>
      <c r="T97" s="121">
        <v>0.32</v>
      </c>
      <c r="U97" s="121"/>
      <c r="V97" s="121">
        <v>0.25</v>
      </c>
      <c r="W97" s="121">
        <f>IF(R97&gt;T97,R97,T97)</f>
        <v>1.99</v>
      </c>
      <c r="X97" s="122">
        <f>(T97+W97)/100*7</f>
        <v>0.16169999999999998</v>
      </c>
      <c r="Y97" s="122"/>
      <c r="Z97" s="123"/>
      <c r="AA97" s="124"/>
      <c r="AB97" s="124">
        <f>Q97-X97</f>
        <v>2.56</v>
      </c>
      <c r="AC97" s="236"/>
      <c r="AD97" s="124"/>
      <c r="AH97" s="126"/>
    </row>
    <row r="98" spans="1:37" s="125" customFormat="1" x14ac:dyDescent="0.25">
      <c r="A98" s="116">
        <v>691</v>
      </c>
      <c r="B98" s="116" t="s">
        <v>7875</v>
      </c>
      <c r="C98" s="116" t="s">
        <v>7876</v>
      </c>
      <c r="D98" s="116" t="s">
        <v>7877</v>
      </c>
      <c r="E98" s="116"/>
      <c r="F98" s="116">
        <v>2004</v>
      </c>
      <c r="G98" s="116"/>
      <c r="H98" s="116" t="s">
        <v>2734</v>
      </c>
      <c r="I98" s="117" t="s">
        <v>1914</v>
      </c>
      <c r="J98" s="116"/>
      <c r="K98" s="116" t="s">
        <v>1881</v>
      </c>
      <c r="L98" s="117" t="s">
        <v>7878</v>
      </c>
      <c r="M98" s="116"/>
      <c r="N98" s="116"/>
      <c r="O98" s="116" t="s">
        <v>6564</v>
      </c>
      <c r="P98" s="118">
        <v>242</v>
      </c>
      <c r="Q98" s="119">
        <f>SUM(U98:X98)</f>
        <v>2.9388000000000001</v>
      </c>
      <c r="R98" s="120">
        <v>2.4900000000000002</v>
      </c>
      <c r="S98" s="120"/>
      <c r="T98" s="121">
        <v>0.35</v>
      </c>
      <c r="U98" s="121"/>
      <c r="V98" s="121">
        <v>0.25</v>
      </c>
      <c r="W98" s="121">
        <f>IF(R98&gt;T98,R98,T98)</f>
        <v>2.4900000000000002</v>
      </c>
      <c r="X98" s="122">
        <f>(T98+W98)/100*7</f>
        <v>0.1988</v>
      </c>
      <c r="Y98" s="122"/>
      <c r="Z98" s="123"/>
      <c r="AA98" s="124"/>
      <c r="AB98" s="124">
        <f>Q98-X98</f>
        <v>2.74</v>
      </c>
      <c r="AC98" s="236"/>
      <c r="AD98" s="124"/>
      <c r="AH98" s="126"/>
    </row>
    <row r="99" spans="1:37" s="125" customFormat="1" x14ac:dyDescent="0.25">
      <c r="A99" s="116">
        <v>691</v>
      </c>
      <c r="B99" s="116" t="s">
        <v>4341</v>
      </c>
      <c r="C99" s="116" t="s">
        <v>4342</v>
      </c>
      <c r="D99" s="116" t="s">
        <v>2826</v>
      </c>
      <c r="E99" s="116"/>
      <c r="F99" s="116">
        <v>1999</v>
      </c>
      <c r="G99" s="116"/>
      <c r="H99" s="116" t="s">
        <v>2734</v>
      </c>
      <c r="I99" s="117" t="s">
        <v>1879</v>
      </c>
      <c r="J99" s="116" t="s">
        <v>4343</v>
      </c>
      <c r="K99" s="116" t="s">
        <v>1881</v>
      </c>
      <c r="L99" s="117" t="s">
        <v>4344</v>
      </c>
      <c r="M99" s="116"/>
      <c r="N99" s="116"/>
      <c r="O99" s="116" t="s">
        <v>4286</v>
      </c>
      <c r="P99" s="118">
        <v>501</v>
      </c>
      <c r="Q99" s="119">
        <f>SUM(T99:X99)</f>
        <v>4.6143000000000001</v>
      </c>
      <c r="R99" s="120">
        <v>2.4900000000000002</v>
      </c>
      <c r="S99" s="120"/>
      <c r="T99" s="121"/>
      <c r="U99" s="121">
        <v>1.7</v>
      </c>
      <c r="V99" s="121">
        <v>0.25</v>
      </c>
      <c r="W99" s="121">
        <f>IF(R99&gt;T99,R99,T99)</f>
        <v>2.4900000000000002</v>
      </c>
      <c r="X99" s="122">
        <f>(T99+W99)/100*7</f>
        <v>0.17430000000000001</v>
      </c>
      <c r="Y99" s="122"/>
      <c r="Z99" s="123"/>
      <c r="AA99" s="124"/>
      <c r="AB99" s="124">
        <f>Q99-X99</f>
        <v>4.4400000000000004</v>
      </c>
      <c r="AC99" s="236"/>
      <c r="AD99" s="124"/>
      <c r="AH99" s="126"/>
    </row>
    <row r="100" spans="1:37" s="62" customFormat="1" x14ac:dyDescent="0.25">
      <c r="A100" s="57"/>
      <c r="B100" s="57"/>
      <c r="C100" s="57"/>
      <c r="D100" s="57"/>
      <c r="E100" s="57"/>
      <c r="F100" s="57"/>
      <c r="G100" s="57"/>
      <c r="H100" s="57"/>
      <c r="I100" s="58"/>
      <c r="J100" s="57"/>
      <c r="K100" s="57"/>
      <c r="L100" s="58"/>
      <c r="M100" s="57"/>
      <c r="N100" s="57"/>
      <c r="O100" s="57" t="s">
        <v>9674</v>
      </c>
      <c r="P100" s="59"/>
      <c r="Q100" s="61"/>
      <c r="R100" s="60"/>
      <c r="S100" s="60"/>
      <c r="T100" s="67"/>
      <c r="U100" s="67"/>
      <c r="V100" s="67"/>
      <c r="W100" s="67"/>
      <c r="X100" s="70"/>
      <c r="Y100" s="70"/>
      <c r="Z100" s="71"/>
      <c r="AA100" s="81"/>
      <c r="AB100" s="81">
        <f>2.5-(2.5/100*7)</f>
        <v>2.3250000000000002</v>
      </c>
      <c r="AC100" s="232"/>
      <c r="AD100" s="213"/>
      <c r="AH100" s="63"/>
    </row>
    <row r="101" spans="1:37" s="209" customFormat="1" x14ac:dyDescent="0.25">
      <c r="A101" s="204">
        <v>701</v>
      </c>
      <c r="B101" s="204" t="s">
        <v>2356</v>
      </c>
      <c r="C101" s="204" t="s">
        <v>2357</v>
      </c>
      <c r="D101" s="204" t="s">
        <v>1920</v>
      </c>
      <c r="E101" s="204" t="s">
        <v>2358</v>
      </c>
      <c r="F101" s="204">
        <v>2013</v>
      </c>
      <c r="G101" s="204"/>
      <c r="H101" s="204" t="s">
        <v>1878</v>
      </c>
      <c r="I101" s="205" t="s">
        <v>1879</v>
      </c>
      <c r="J101" s="204" t="s">
        <v>2359</v>
      </c>
      <c r="K101" s="204" t="s">
        <v>1881</v>
      </c>
      <c r="L101" s="205" t="s">
        <v>2360</v>
      </c>
      <c r="M101" s="204">
        <v>368</v>
      </c>
      <c r="N101" s="204"/>
      <c r="O101" s="204" t="s">
        <v>2274</v>
      </c>
      <c r="P101" s="206">
        <v>366</v>
      </c>
      <c r="Q101" s="208">
        <v>1.9742999999999999</v>
      </c>
      <c r="R101" s="207">
        <v>0.49</v>
      </c>
      <c r="S101" s="207"/>
      <c r="T101" s="67"/>
      <c r="U101" s="67">
        <v>1.2</v>
      </c>
      <c r="V101" s="67">
        <v>0.25</v>
      </c>
      <c r="W101" s="67">
        <v>0.49</v>
      </c>
      <c r="X101" s="70">
        <v>3.4299999999999997E-2</v>
      </c>
      <c r="Y101" s="70"/>
      <c r="Z101" s="212"/>
      <c r="AA101" s="213"/>
      <c r="AB101" s="213">
        <f>Q101-X101</f>
        <v>1.94</v>
      </c>
      <c r="AC101" s="232"/>
      <c r="AD101" s="213"/>
      <c r="AH101" s="210"/>
      <c r="AI101" s="209" t="s">
        <v>51</v>
      </c>
      <c r="AJ101" s="209" t="s">
        <v>51</v>
      </c>
      <c r="AK101" s="209" t="s">
        <v>51</v>
      </c>
    </row>
    <row r="102" spans="1:37" s="62" customFormat="1" x14ac:dyDescent="0.25">
      <c r="A102" s="57">
        <v>2684</v>
      </c>
      <c r="B102" s="57" t="s">
        <v>3608</v>
      </c>
      <c r="C102" s="57" t="s">
        <v>3609</v>
      </c>
      <c r="D102" s="57" t="s">
        <v>2007</v>
      </c>
      <c r="E102" s="57"/>
      <c r="F102" s="57">
        <v>1998</v>
      </c>
      <c r="G102" s="57"/>
      <c r="H102" s="57" t="s">
        <v>2008</v>
      </c>
      <c r="I102" s="58" t="s">
        <v>1929</v>
      </c>
      <c r="J102" s="57" t="s">
        <v>2237</v>
      </c>
      <c r="K102" s="57" t="s">
        <v>1881</v>
      </c>
      <c r="L102" s="58" t="s">
        <v>3610</v>
      </c>
      <c r="M102" s="57">
        <v>144</v>
      </c>
      <c r="N102" s="57"/>
      <c r="O102" s="57" t="s">
        <v>3535</v>
      </c>
      <c r="P102" s="59">
        <v>75</v>
      </c>
      <c r="Q102" s="61">
        <v>3.7932999999999995</v>
      </c>
      <c r="R102" s="60">
        <v>2.19</v>
      </c>
      <c r="S102" s="60"/>
      <c r="T102" s="67"/>
      <c r="U102" s="67">
        <v>1.2</v>
      </c>
      <c r="V102" s="67">
        <v>0.25</v>
      </c>
      <c r="W102" s="67">
        <v>2.19</v>
      </c>
      <c r="X102" s="70">
        <v>0.15329999999999999</v>
      </c>
      <c r="Y102" s="70"/>
      <c r="Z102" s="71"/>
      <c r="AA102" s="81"/>
      <c r="AB102" s="213">
        <f>Q102-X102</f>
        <v>3.6399999999999997</v>
      </c>
      <c r="AC102" s="232"/>
      <c r="AD102" s="213"/>
      <c r="AH102" s="63"/>
    </row>
    <row r="103" spans="1:37" s="62" customFormat="1" x14ac:dyDescent="0.25">
      <c r="A103" s="57">
        <v>1972</v>
      </c>
      <c r="B103" s="57" t="s">
        <v>3795</v>
      </c>
      <c r="C103" s="57" t="s">
        <v>3796</v>
      </c>
      <c r="D103" s="57" t="s">
        <v>3797</v>
      </c>
      <c r="E103" s="57"/>
      <c r="F103" s="57">
        <v>2013</v>
      </c>
      <c r="G103" s="57"/>
      <c r="H103" s="57" t="s">
        <v>2295</v>
      </c>
      <c r="I103" s="58" t="s">
        <v>1879</v>
      </c>
      <c r="J103" s="57" t="s">
        <v>2237</v>
      </c>
      <c r="K103" s="57" t="s">
        <v>1881</v>
      </c>
      <c r="L103" s="58" t="s">
        <v>3798</v>
      </c>
      <c r="M103" s="57">
        <v>482</v>
      </c>
      <c r="N103" s="57"/>
      <c r="O103" s="57" t="s">
        <v>3590</v>
      </c>
      <c r="P103" s="59">
        <v>762</v>
      </c>
      <c r="Q103" s="61">
        <v>4.7213000000000003</v>
      </c>
      <c r="R103" s="60">
        <v>2.59</v>
      </c>
      <c r="S103" s="60"/>
      <c r="T103" s="67"/>
      <c r="U103" s="67">
        <v>1.7</v>
      </c>
      <c r="V103" s="67">
        <v>0.25</v>
      </c>
      <c r="W103" s="67">
        <v>2.59</v>
      </c>
      <c r="X103" s="70">
        <v>0.18129999999999999</v>
      </c>
      <c r="Y103" s="70"/>
      <c r="Z103" s="71"/>
      <c r="AA103" s="81"/>
      <c r="AB103" s="81">
        <f>5.17-(5.17/100*7)</f>
        <v>4.8080999999999996</v>
      </c>
      <c r="AC103" s="232"/>
      <c r="AD103" s="213"/>
      <c r="AH103" s="63"/>
    </row>
    <row r="104" spans="1:37" s="62" customFormat="1" x14ac:dyDescent="0.25">
      <c r="A104" s="57">
        <v>967</v>
      </c>
      <c r="B104" s="57" t="s">
        <v>4441</v>
      </c>
      <c r="C104" s="57" t="s">
        <v>4442</v>
      </c>
      <c r="D104" s="57" t="s">
        <v>4443</v>
      </c>
      <c r="E104" s="57" t="s">
        <v>4444</v>
      </c>
      <c r="F104" s="57">
        <v>2005</v>
      </c>
      <c r="G104" s="57"/>
      <c r="H104" s="57" t="s">
        <v>2734</v>
      </c>
      <c r="I104" s="58" t="s">
        <v>1879</v>
      </c>
      <c r="J104" s="57" t="s">
        <v>4198</v>
      </c>
      <c r="K104" s="57" t="s">
        <v>1881</v>
      </c>
      <c r="L104" s="58" t="s">
        <v>4445</v>
      </c>
      <c r="M104" s="57">
        <v>146</v>
      </c>
      <c r="N104" s="57"/>
      <c r="O104" s="57" t="s">
        <v>4394</v>
      </c>
      <c r="P104" s="59">
        <v>223</v>
      </c>
      <c r="Q104" s="61">
        <v>1.7175</v>
      </c>
      <c r="R104" s="60">
        <v>0.25</v>
      </c>
      <c r="S104" s="60"/>
      <c r="T104" s="67"/>
      <c r="U104" s="67">
        <v>1.2</v>
      </c>
      <c r="V104" s="67">
        <v>0.25</v>
      </c>
      <c r="W104" s="67">
        <v>0.25</v>
      </c>
      <c r="X104" s="70">
        <v>1.7500000000000002E-2</v>
      </c>
      <c r="Y104" s="70"/>
      <c r="Z104" s="71"/>
      <c r="AA104" s="81"/>
      <c r="AB104" s="213">
        <f>Q104-X104</f>
        <v>1.7</v>
      </c>
      <c r="AC104" s="232"/>
      <c r="AD104" s="213"/>
      <c r="AH104" s="63"/>
    </row>
    <row r="105" spans="1:37" s="62" customFormat="1" x14ac:dyDescent="0.25">
      <c r="A105" s="57">
        <v>632</v>
      </c>
      <c r="B105" s="57" t="s">
        <v>6034</v>
      </c>
      <c r="C105" s="57" t="s">
        <v>6035</v>
      </c>
      <c r="D105" s="57" t="s">
        <v>2036</v>
      </c>
      <c r="E105" s="57"/>
      <c r="F105" s="57">
        <v>1996</v>
      </c>
      <c r="G105" s="57"/>
      <c r="H105" s="57" t="s">
        <v>2734</v>
      </c>
      <c r="I105" s="58" t="s">
        <v>1879</v>
      </c>
      <c r="J105" s="57"/>
      <c r="K105" s="57" t="s">
        <v>1881</v>
      </c>
      <c r="L105" s="58" t="s">
        <v>6036</v>
      </c>
      <c r="M105" s="57">
        <v>546</v>
      </c>
      <c r="N105" s="57"/>
      <c r="O105" s="57" t="s">
        <v>5247</v>
      </c>
      <c r="P105" s="59">
        <v>576</v>
      </c>
      <c r="Q105" s="61">
        <v>4.1863000000000001</v>
      </c>
      <c r="R105" s="60">
        <v>2.09</v>
      </c>
      <c r="S105" s="60"/>
      <c r="T105" s="67"/>
      <c r="U105" s="67">
        <v>1.7</v>
      </c>
      <c r="V105" s="67">
        <v>0.25</v>
      </c>
      <c r="W105" s="67">
        <v>2.09</v>
      </c>
      <c r="X105" s="70">
        <v>0.14629999999999999</v>
      </c>
      <c r="Y105" s="70"/>
      <c r="Z105" s="71"/>
      <c r="AA105" s="81"/>
      <c r="AB105" s="81">
        <f>4.64-(4.64/100*7)</f>
        <v>4.3151999999999999</v>
      </c>
      <c r="AC105" s="232"/>
      <c r="AD105" s="213"/>
      <c r="AH105" s="63"/>
    </row>
    <row r="106" spans="1:37" s="62" customFormat="1" x14ac:dyDescent="0.25">
      <c r="A106" s="57">
        <v>704</v>
      </c>
      <c r="B106" s="57" t="s">
        <v>4695</v>
      </c>
      <c r="C106" s="57" t="s">
        <v>7518</v>
      </c>
      <c r="D106" s="57" t="s">
        <v>2309</v>
      </c>
      <c r="E106" s="57" t="s">
        <v>2358</v>
      </c>
      <c r="F106" s="57">
        <v>2004</v>
      </c>
      <c r="G106" s="57"/>
      <c r="H106" s="57" t="s">
        <v>1878</v>
      </c>
      <c r="I106" s="58" t="s">
        <v>1879</v>
      </c>
      <c r="J106" s="57"/>
      <c r="K106" s="57" t="s">
        <v>1881</v>
      </c>
      <c r="L106" s="58" t="s">
        <v>7519</v>
      </c>
      <c r="M106" s="57">
        <v>258</v>
      </c>
      <c r="N106" s="57"/>
      <c r="O106" s="57" t="s">
        <v>5570</v>
      </c>
      <c r="P106" s="59">
        <v>259</v>
      </c>
      <c r="Q106" s="61">
        <v>0.64900000000000002</v>
      </c>
      <c r="R106" s="60">
        <v>0.25</v>
      </c>
      <c r="S106" s="60"/>
      <c r="T106" s="67">
        <v>0.35</v>
      </c>
      <c r="U106" s="67"/>
      <c r="V106" s="67">
        <v>0.25</v>
      </c>
      <c r="W106" s="67">
        <v>0.35</v>
      </c>
      <c r="X106" s="70">
        <v>4.8999999999999995E-2</v>
      </c>
      <c r="Y106" s="70"/>
      <c r="Z106" s="71"/>
      <c r="AA106" s="81"/>
      <c r="AB106" s="81">
        <f t="shared" ref="AB106:AB111" si="12">Q106-X106</f>
        <v>0.6</v>
      </c>
      <c r="AC106" s="232"/>
      <c r="AD106" s="213"/>
      <c r="AH106" s="63"/>
    </row>
    <row r="107" spans="1:37" s="62" customFormat="1" x14ac:dyDescent="0.25">
      <c r="A107" s="57">
        <v>573</v>
      </c>
      <c r="B107" s="57" t="s">
        <v>7598</v>
      </c>
      <c r="C107" s="57" t="s">
        <v>7599</v>
      </c>
      <c r="D107" s="57" t="s">
        <v>7600</v>
      </c>
      <c r="E107" s="57" t="s">
        <v>7601</v>
      </c>
      <c r="F107" s="57">
        <v>2000</v>
      </c>
      <c r="G107" s="57"/>
      <c r="H107" s="57" t="s">
        <v>1878</v>
      </c>
      <c r="I107" s="58" t="s">
        <v>1914</v>
      </c>
      <c r="J107" s="57"/>
      <c r="K107" s="57" t="s">
        <v>1881</v>
      </c>
      <c r="L107" s="58" t="s">
        <v>7602</v>
      </c>
      <c r="M107" s="57">
        <v>144</v>
      </c>
      <c r="N107" s="57"/>
      <c r="O107" s="57" t="s">
        <v>5599</v>
      </c>
      <c r="P107" s="59">
        <v>124</v>
      </c>
      <c r="Q107" s="61">
        <v>2.4038000000000004</v>
      </c>
      <c r="R107" s="60">
        <v>1.99</v>
      </c>
      <c r="S107" s="60"/>
      <c r="T107" s="67">
        <v>0.35</v>
      </c>
      <c r="U107" s="67"/>
      <c r="V107" s="67">
        <v>0.25</v>
      </c>
      <c r="W107" s="67">
        <v>1.99</v>
      </c>
      <c r="X107" s="70">
        <v>0.16379999999999997</v>
      </c>
      <c r="Y107" s="70"/>
      <c r="Z107" s="71"/>
      <c r="AA107" s="81"/>
      <c r="AB107" s="213">
        <f t="shared" si="12"/>
        <v>2.2400000000000002</v>
      </c>
      <c r="AC107" s="232"/>
      <c r="AD107" s="213"/>
      <c r="AH107" s="63"/>
    </row>
    <row r="108" spans="1:37" s="62" customFormat="1" x14ac:dyDescent="0.25">
      <c r="A108" s="57">
        <v>2522</v>
      </c>
      <c r="B108" s="57" t="s">
        <v>4071</v>
      </c>
      <c r="C108" s="57" t="s">
        <v>7667</v>
      </c>
      <c r="D108" s="57" t="s">
        <v>1912</v>
      </c>
      <c r="E108" s="57"/>
      <c r="F108" s="57">
        <v>1998</v>
      </c>
      <c r="G108" s="57"/>
      <c r="H108" s="57" t="s">
        <v>1878</v>
      </c>
      <c r="I108" s="58" t="s">
        <v>1879</v>
      </c>
      <c r="J108" s="57"/>
      <c r="K108" s="57" t="s">
        <v>1881</v>
      </c>
      <c r="L108" s="58" t="s">
        <v>7668</v>
      </c>
      <c r="M108" s="57">
        <v>736</v>
      </c>
      <c r="N108" s="57"/>
      <c r="O108" s="57" t="s">
        <v>5626</v>
      </c>
      <c r="P108" s="59">
        <v>488</v>
      </c>
      <c r="Q108" s="61">
        <v>0.64900000000000002</v>
      </c>
      <c r="R108" s="60">
        <v>0.25</v>
      </c>
      <c r="S108" s="60"/>
      <c r="T108" s="67">
        <v>0.35</v>
      </c>
      <c r="U108" s="67"/>
      <c r="V108" s="67">
        <v>0.25</v>
      </c>
      <c r="W108" s="67">
        <v>0.35</v>
      </c>
      <c r="X108" s="70">
        <v>4.8999999999999995E-2</v>
      </c>
      <c r="Y108" s="70"/>
      <c r="Z108" s="71"/>
      <c r="AA108" s="81"/>
      <c r="AB108" s="213">
        <f t="shared" si="12"/>
        <v>0.6</v>
      </c>
      <c r="AC108" s="232"/>
      <c r="AD108" s="213"/>
      <c r="AH108" s="63"/>
    </row>
    <row r="109" spans="1:37" s="62" customFormat="1" x14ac:dyDescent="0.25">
      <c r="A109" s="57">
        <v>1386</v>
      </c>
      <c r="B109" s="57" t="s">
        <v>4309</v>
      </c>
      <c r="C109" s="57" t="s">
        <v>8001</v>
      </c>
      <c r="D109" s="57" t="s">
        <v>2835</v>
      </c>
      <c r="E109" s="57" t="s">
        <v>1913</v>
      </c>
      <c r="F109" s="57">
        <v>2012</v>
      </c>
      <c r="G109" s="57"/>
      <c r="H109" s="57" t="s">
        <v>1878</v>
      </c>
      <c r="I109" s="58" t="s">
        <v>7817</v>
      </c>
      <c r="J109" s="57" t="s">
        <v>3854</v>
      </c>
      <c r="K109" s="57" t="s">
        <v>1881</v>
      </c>
      <c r="L109" s="58" t="s">
        <v>8002</v>
      </c>
      <c r="M109" s="57">
        <v>240</v>
      </c>
      <c r="N109" s="57"/>
      <c r="O109" s="57" t="s">
        <v>6609</v>
      </c>
      <c r="P109" s="59">
        <v>230</v>
      </c>
      <c r="Q109" s="61">
        <v>1.7725</v>
      </c>
      <c r="R109" s="60">
        <v>1.49</v>
      </c>
      <c r="S109" s="60"/>
      <c r="T109" s="67">
        <v>0.35</v>
      </c>
      <c r="U109" s="67">
        <v>1.4</v>
      </c>
      <c r="V109" s="67">
        <v>0.25</v>
      </c>
      <c r="W109" s="67"/>
      <c r="X109" s="70">
        <v>0.12250000000000001</v>
      </c>
      <c r="Y109" s="70"/>
      <c r="Z109" s="71"/>
      <c r="AA109" s="81"/>
      <c r="AB109" s="213">
        <f t="shared" si="12"/>
        <v>1.65</v>
      </c>
      <c r="AC109" s="232"/>
      <c r="AD109" s="213"/>
      <c r="AH109" s="63"/>
    </row>
    <row r="110" spans="1:37" s="62" customFormat="1" x14ac:dyDescent="0.25">
      <c r="A110" s="57">
        <v>704</v>
      </c>
      <c r="B110" s="57"/>
      <c r="C110" s="57" t="s">
        <v>8411</v>
      </c>
      <c r="D110" s="57" t="s">
        <v>8412</v>
      </c>
      <c r="E110" s="57"/>
      <c r="F110" s="57">
        <v>2006</v>
      </c>
      <c r="G110" s="57"/>
      <c r="H110" s="57" t="s">
        <v>2734</v>
      </c>
      <c r="I110" s="58" t="s">
        <v>1929</v>
      </c>
      <c r="J110" s="57"/>
      <c r="K110" s="57" t="s">
        <v>1881</v>
      </c>
      <c r="L110" s="58" t="s">
        <v>8413</v>
      </c>
      <c r="M110" s="57">
        <v>322</v>
      </c>
      <c r="N110" s="57"/>
      <c r="O110" s="57" t="s">
        <v>6760</v>
      </c>
      <c r="P110" s="59">
        <v>731</v>
      </c>
      <c r="Q110" s="61">
        <v>0.88939999999999997</v>
      </c>
      <c r="R110" s="60">
        <v>2.5893999999999999</v>
      </c>
      <c r="S110" s="60">
        <v>2.5</v>
      </c>
      <c r="T110" s="67">
        <v>0.13</v>
      </c>
      <c r="U110" s="67" t="s">
        <v>9675</v>
      </c>
      <c r="V110" s="67">
        <v>0.33999999999999997</v>
      </c>
      <c r="W110" s="67">
        <v>0.25</v>
      </c>
      <c r="X110" s="70">
        <v>0.1694</v>
      </c>
      <c r="Y110" s="70">
        <v>2.5</v>
      </c>
      <c r="Z110" s="71">
        <v>2.5893999999999999</v>
      </c>
      <c r="AA110" s="81"/>
      <c r="AB110" s="213">
        <f t="shared" si="12"/>
        <v>0.72</v>
      </c>
      <c r="AC110" s="232"/>
      <c r="AD110" s="213"/>
      <c r="AH110" s="63"/>
    </row>
    <row r="111" spans="1:37" s="62" customFormat="1" x14ac:dyDescent="0.25">
      <c r="A111" s="57">
        <v>2943</v>
      </c>
      <c r="B111" s="57" t="s">
        <v>8484</v>
      </c>
      <c r="C111" s="57" t="s">
        <v>8485</v>
      </c>
      <c r="D111" s="57" t="s">
        <v>8486</v>
      </c>
      <c r="E111" s="57" t="s">
        <v>1877</v>
      </c>
      <c r="F111" s="57"/>
      <c r="G111" s="57"/>
      <c r="H111" s="57" t="s">
        <v>2734</v>
      </c>
      <c r="I111" s="58" t="s">
        <v>1929</v>
      </c>
      <c r="J111" s="57"/>
      <c r="K111" s="57" t="s">
        <v>1881</v>
      </c>
      <c r="L111" s="58" t="s">
        <v>8487</v>
      </c>
      <c r="M111" s="57">
        <v>98</v>
      </c>
      <c r="N111" s="57"/>
      <c r="O111" s="57" t="s">
        <v>6785</v>
      </c>
      <c r="P111" s="59">
        <v>207</v>
      </c>
      <c r="Q111" s="61">
        <v>2.79</v>
      </c>
      <c r="R111" s="60">
        <v>3.99</v>
      </c>
      <c r="S111" s="60">
        <v>3.99</v>
      </c>
      <c r="T111" s="67">
        <v>0.13</v>
      </c>
      <c r="U111" s="67" t="s">
        <v>9676</v>
      </c>
      <c r="V111" s="67">
        <v>0.33999999999999997</v>
      </c>
      <c r="W111" s="67">
        <v>2.0499999999999998</v>
      </c>
      <c r="X111" s="70">
        <v>0.26039999999999996</v>
      </c>
      <c r="Y111" s="70">
        <v>3.99</v>
      </c>
      <c r="Z111" s="71">
        <v>3.9803999999999995</v>
      </c>
      <c r="AA111" s="81"/>
      <c r="AB111" s="213">
        <f t="shared" si="12"/>
        <v>2.5296000000000003</v>
      </c>
      <c r="AC111" s="232"/>
      <c r="AD111" s="213"/>
      <c r="AH111" s="63"/>
    </row>
    <row r="112" spans="1:37" s="62" customFormat="1" x14ac:dyDescent="0.25">
      <c r="A112" s="57"/>
      <c r="B112" s="57"/>
      <c r="C112" s="57"/>
      <c r="D112" s="57"/>
      <c r="E112" s="57"/>
      <c r="F112" s="57"/>
      <c r="G112" s="57"/>
      <c r="H112" s="57"/>
      <c r="I112" s="58"/>
      <c r="J112" s="57"/>
      <c r="K112" s="57"/>
      <c r="L112" s="58"/>
      <c r="M112" s="57"/>
      <c r="N112" s="57"/>
      <c r="O112" s="57" t="s">
        <v>9677</v>
      </c>
      <c r="P112" s="59"/>
      <c r="Q112" s="61"/>
      <c r="R112" s="60"/>
      <c r="S112" s="60"/>
      <c r="T112" s="67"/>
      <c r="U112" s="67"/>
      <c r="V112" s="67"/>
      <c r="W112" s="67"/>
      <c r="X112" s="70"/>
      <c r="Y112" s="70"/>
      <c r="Z112" s="71"/>
      <c r="AA112" s="81"/>
      <c r="AB112" s="81">
        <f>3.55-(3.55/100*7)</f>
        <v>3.3014999999999999</v>
      </c>
      <c r="AC112" s="232"/>
      <c r="AD112" s="213"/>
      <c r="AH112" s="63"/>
    </row>
    <row r="113" spans="1:34" s="62" customFormat="1" x14ac:dyDescent="0.25">
      <c r="A113" s="57">
        <v>1386</v>
      </c>
      <c r="B113" s="57" t="s">
        <v>3143</v>
      </c>
      <c r="C113" s="57" t="s">
        <v>3144</v>
      </c>
      <c r="D113" s="57" t="s">
        <v>2609</v>
      </c>
      <c r="E113" s="57" t="s">
        <v>2358</v>
      </c>
      <c r="F113" s="57">
        <v>2007</v>
      </c>
      <c r="G113" s="57"/>
      <c r="H113" s="57" t="s">
        <v>1878</v>
      </c>
      <c r="I113" s="58" t="s">
        <v>1879</v>
      </c>
      <c r="J113" s="57"/>
      <c r="K113" s="57" t="s">
        <v>1881</v>
      </c>
      <c r="L113" s="58" t="s">
        <v>3221</v>
      </c>
      <c r="M113" s="57">
        <v>416</v>
      </c>
      <c r="N113" s="57"/>
      <c r="O113" s="57" t="s">
        <v>3179</v>
      </c>
      <c r="P113" s="59">
        <v>364</v>
      </c>
      <c r="Q113" s="61">
        <v>1.7175</v>
      </c>
      <c r="R113" s="60">
        <v>0.25</v>
      </c>
      <c r="S113" s="60"/>
      <c r="T113" s="67"/>
      <c r="U113" s="67">
        <v>1.2</v>
      </c>
      <c r="V113" s="67">
        <v>0.25</v>
      </c>
      <c r="W113" s="67">
        <v>0.25</v>
      </c>
      <c r="X113" s="70">
        <v>1.7500000000000002E-2</v>
      </c>
      <c r="Y113" s="70"/>
      <c r="Z113" s="71"/>
      <c r="AA113" s="81"/>
      <c r="AB113" s="81">
        <f>2.5*0.93</f>
        <v>2.3250000000000002</v>
      </c>
      <c r="AC113" s="232"/>
      <c r="AD113" s="213"/>
      <c r="AH113" s="63"/>
    </row>
    <row r="114" spans="1:34" s="62" customFormat="1" x14ac:dyDescent="0.25">
      <c r="A114" s="57">
        <v>692</v>
      </c>
      <c r="B114" s="57" t="s">
        <v>3729</v>
      </c>
      <c r="C114" s="57" t="s">
        <v>3730</v>
      </c>
      <c r="D114" s="57" t="s">
        <v>1912</v>
      </c>
      <c r="E114" s="57" t="s">
        <v>3731</v>
      </c>
      <c r="F114" s="57">
        <v>2009</v>
      </c>
      <c r="G114" s="57"/>
      <c r="H114" s="57" t="s">
        <v>1878</v>
      </c>
      <c r="I114" s="58" t="s">
        <v>1879</v>
      </c>
      <c r="J114" s="57" t="s">
        <v>3006</v>
      </c>
      <c r="K114" s="57" t="s">
        <v>1881</v>
      </c>
      <c r="L114" s="58" t="s">
        <v>3732</v>
      </c>
      <c r="M114" s="57">
        <v>384</v>
      </c>
      <c r="N114" s="57"/>
      <c r="O114" s="57" t="s">
        <v>3573</v>
      </c>
      <c r="P114" s="59">
        <v>315</v>
      </c>
      <c r="Q114" s="61">
        <v>1.7175</v>
      </c>
      <c r="R114" s="60">
        <v>0.25</v>
      </c>
      <c r="S114" s="60"/>
      <c r="T114" s="67"/>
      <c r="U114" s="67">
        <v>1.2</v>
      </c>
      <c r="V114" s="67">
        <v>0.25</v>
      </c>
      <c r="W114" s="67">
        <v>0.25</v>
      </c>
      <c r="X114" s="70">
        <v>1.7500000000000002E-2</v>
      </c>
      <c r="Y114" s="70"/>
      <c r="Z114" s="71"/>
      <c r="AA114" s="81"/>
      <c r="AB114" s="81">
        <f>2.5*0.93</f>
        <v>2.3250000000000002</v>
      </c>
      <c r="AC114" s="232"/>
      <c r="AD114" s="213"/>
      <c r="AH114" s="63"/>
    </row>
    <row r="115" spans="1:34" s="62" customFormat="1" x14ac:dyDescent="0.25">
      <c r="A115" s="57">
        <v>618</v>
      </c>
      <c r="B115" s="57" t="s">
        <v>3778</v>
      </c>
      <c r="C115" s="57" t="s">
        <v>3779</v>
      </c>
      <c r="D115" s="57" t="s">
        <v>2209</v>
      </c>
      <c r="E115" s="57" t="s">
        <v>2518</v>
      </c>
      <c r="F115" s="57">
        <v>1989</v>
      </c>
      <c r="G115" s="57"/>
      <c r="H115" s="57" t="s">
        <v>1878</v>
      </c>
      <c r="I115" s="58" t="s">
        <v>1879</v>
      </c>
      <c r="J115" s="57"/>
      <c r="K115" s="57" t="s">
        <v>1881</v>
      </c>
      <c r="L115" s="58" t="s">
        <v>3780</v>
      </c>
      <c r="M115" s="57">
        <v>446</v>
      </c>
      <c r="N115" s="57"/>
      <c r="O115" s="57" t="s">
        <v>3585</v>
      </c>
      <c r="P115" s="59">
        <v>301</v>
      </c>
      <c r="Q115" s="61">
        <v>3.4722999999999997</v>
      </c>
      <c r="R115" s="60">
        <v>1.89</v>
      </c>
      <c r="S115" s="60"/>
      <c r="T115" s="67"/>
      <c r="U115" s="67">
        <v>1.2</v>
      </c>
      <c r="V115" s="67">
        <v>0.25</v>
      </c>
      <c r="W115" s="67">
        <v>1.89</v>
      </c>
      <c r="X115" s="70">
        <v>0.1323</v>
      </c>
      <c r="Y115" s="70"/>
      <c r="Z115" s="71"/>
      <c r="AA115" s="81"/>
      <c r="AB115" s="81">
        <f>3.47*0.93</f>
        <v>3.2271000000000005</v>
      </c>
      <c r="AC115" s="232"/>
      <c r="AD115" s="213"/>
      <c r="AH115" s="63"/>
    </row>
    <row r="116" spans="1:34" s="62" customFormat="1" x14ac:dyDescent="0.25">
      <c r="A116" s="57">
        <v>1386</v>
      </c>
      <c r="B116" s="57" t="s">
        <v>3781</v>
      </c>
      <c r="C116" s="57" t="s">
        <v>3782</v>
      </c>
      <c r="D116" s="57" t="s">
        <v>2257</v>
      </c>
      <c r="E116" s="57"/>
      <c r="F116" s="57">
        <v>2017</v>
      </c>
      <c r="G116" s="57"/>
      <c r="H116" s="57" t="s">
        <v>1878</v>
      </c>
      <c r="I116" s="58" t="s">
        <v>1879</v>
      </c>
      <c r="J116" s="57" t="s">
        <v>3303</v>
      </c>
      <c r="K116" s="57" t="s">
        <v>1881</v>
      </c>
      <c r="L116" s="58" t="s">
        <v>3783</v>
      </c>
      <c r="M116" s="57">
        <v>304</v>
      </c>
      <c r="N116" s="57"/>
      <c r="O116" s="57" t="s">
        <v>3586</v>
      </c>
      <c r="P116" s="59">
        <v>235</v>
      </c>
      <c r="Q116" s="61">
        <v>3.3653000000000004</v>
      </c>
      <c r="R116" s="60">
        <v>1.79</v>
      </c>
      <c r="S116" s="60"/>
      <c r="T116" s="67"/>
      <c r="U116" s="67">
        <v>1.2</v>
      </c>
      <c r="V116" s="67">
        <v>0.25</v>
      </c>
      <c r="W116" s="67">
        <v>1.79</v>
      </c>
      <c r="X116" s="70">
        <v>0.12529999999999999</v>
      </c>
      <c r="Y116" s="70"/>
      <c r="Z116" s="71"/>
      <c r="AA116" s="81"/>
      <c r="AB116" s="81">
        <f>3.37*0.93</f>
        <v>3.1341000000000001</v>
      </c>
      <c r="AC116" s="232"/>
      <c r="AD116" s="213"/>
      <c r="AH116" s="63"/>
    </row>
    <row r="117" spans="1:34" s="62" customFormat="1" x14ac:dyDescent="0.25">
      <c r="A117" s="57">
        <v>1396</v>
      </c>
      <c r="B117" s="57" t="s">
        <v>3862</v>
      </c>
      <c r="C117" s="57" t="s">
        <v>3863</v>
      </c>
      <c r="D117" s="57" t="s">
        <v>3864</v>
      </c>
      <c r="E117" s="57"/>
      <c r="F117" s="57">
        <v>2018</v>
      </c>
      <c r="G117" s="57"/>
      <c r="H117" s="57" t="s">
        <v>2295</v>
      </c>
      <c r="I117" s="58" t="s">
        <v>1879</v>
      </c>
      <c r="J117" s="57" t="s">
        <v>3865</v>
      </c>
      <c r="K117" s="57" t="s">
        <v>1881</v>
      </c>
      <c r="L117" s="58" t="s">
        <v>3866</v>
      </c>
      <c r="M117" s="57">
        <v>306</v>
      </c>
      <c r="N117" s="57"/>
      <c r="O117" s="57" t="s">
        <v>3821</v>
      </c>
      <c r="P117" s="59">
        <v>368</v>
      </c>
      <c r="Q117" s="61">
        <v>4.9702999999999999</v>
      </c>
      <c r="R117" s="60">
        <v>3.29</v>
      </c>
      <c r="S117" s="60"/>
      <c r="T117" s="67"/>
      <c r="U117" s="67">
        <v>1.2</v>
      </c>
      <c r="V117" s="67">
        <v>0.25</v>
      </c>
      <c r="W117" s="67">
        <v>3.29</v>
      </c>
      <c r="X117" s="70">
        <v>0.2303</v>
      </c>
      <c r="Y117" s="70"/>
      <c r="Z117" s="71"/>
      <c r="AA117" s="81"/>
      <c r="AB117" s="81">
        <f>4.97*0.93</f>
        <v>4.6220999999999997</v>
      </c>
      <c r="AC117" s="232"/>
      <c r="AD117" s="213"/>
      <c r="AH117" s="63"/>
    </row>
    <row r="118" spans="1:34" s="62" customFormat="1" x14ac:dyDescent="0.25">
      <c r="A118" s="57">
        <v>632</v>
      </c>
      <c r="B118" s="57" t="s">
        <v>4059</v>
      </c>
      <c r="C118" s="57" t="s">
        <v>4060</v>
      </c>
      <c r="D118" s="57" t="s">
        <v>2300</v>
      </c>
      <c r="E118" s="57"/>
      <c r="F118" s="57">
        <v>1999</v>
      </c>
      <c r="G118" s="57"/>
      <c r="H118" s="57" t="s">
        <v>1878</v>
      </c>
      <c r="I118" s="58" t="s">
        <v>1879</v>
      </c>
      <c r="J118" s="57" t="s">
        <v>3006</v>
      </c>
      <c r="K118" s="57" t="s">
        <v>1881</v>
      </c>
      <c r="L118" s="58" t="s">
        <v>4061</v>
      </c>
      <c r="M118" s="57">
        <v>448</v>
      </c>
      <c r="N118" s="57"/>
      <c r="O118" s="57" t="s">
        <v>4011</v>
      </c>
      <c r="P118" s="59">
        <v>442</v>
      </c>
      <c r="Q118" s="61">
        <v>2.5093000000000001</v>
      </c>
      <c r="R118" s="60">
        <v>0.99</v>
      </c>
      <c r="S118" s="60"/>
      <c r="T118" s="67"/>
      <c r="U118" s="67">
        <v>1.2</v>
      </c>
      <c r="V118" s="67">
        <v>0.25</v>
      </c>
      <c r="W118" s="67">
        <v>0.99</v>
      </c>
      <c r="X118" s="70">
        <v>6.93E-2</v>
      </c>
      <c r="Y118" s="70"/>
      <c r="Z118" s="71"/>
      <c r="AA118" s="81"/>
      <c r="AB118" s="81">
        <f>2.51*0.93</f>
        <v>2.3342999999999998</v>
      </c>
      <c r="AC118" s="232"/>
      <c r="AD118" s="213"/>
      <c r="AH118" s="63"/>
    </row>
    <row r="119" spans="1:34" s="62" customFormat="1" x14ac:dyDescent="0.25">
      <c r="A119" s="57">
        <v>2522</v>
      </c>
      <c r="B119" s="57" t="s">
        <v>4446</v>
      </c>
      <c r="C119" s="57" t="s">
        <v>4447</v>
      </c>
      <c r="D119" s="57" t="s">
        <v>1988</v>
      </c>
      <c r="E119" s="57" t="s">
        <v>1921</v>
      </c>
      <c r="F119" s="57">
        <v>2017</v>
      </c>
      <c r="G119" s="57"/>
      <c r="H119" s="57" t="s">
        <v>1878</v>
      </c>
      <c r="I119" s="58" t="s">
        <v>1879</v>
      </c>
      <c r="J119" s="57" t="s">
        <v>4198</v>
      </c>
      <c r="K119" s="57" t="s">
        <v>1881</v>
      </c>
      <c r="L119" s="58" t="s">
        <v>4448</v>
      </c>
      <c r="M119" s="57">
        <v>384</v>
      </c>
      <c r="N119" s="57"/>
      <c r="O119" s="57" t="s">
        <v>4395</v>
      </c>
      <c r="P119" s="59">
        <v>475</v>
      </c>
      <c r="Q119" s="61">
        <v>2.4022999999999999</v>
      </c>
      <c r="R119" s="60">
        <v>0.89</v>
      </c>
      <c r="S119" s="60"/>
      <c r="T119" s="67"/>
      <c r="U119" s="67">
        <v>1.2</v>
      </c>
      <c r="V119" s="67">
        <v>0.25</v>
      </c>
      <c r="W119" s="67">
        <v>0.89</v>
      </c>
      <c r="X119" s="70">
        <v>6.2300000000000001E-2</v>
      </c>
      <c r="Y119" s="70"/>
      <c r="Z119" s="71"/>
      <c r="AA119" s="81"/>
      <c r="AB119" s="81">
        <f>2.5*0.93</f>
        <v>2.3250000000000002</v>
      </c>
      <c r="AC119" s="232"/>
      <c r="AD119" s="213"/>
      <c r="AH119" s="63"/>
    </row>
    <row r="120" spans="1:34" s="62" customFormat="1" x14ac:dyDescent="0.25">
      <c r="A120" s="57">
        <v>1395</v>
      </c>
      <c r="B120" s="57" t="s">
        <v>4695</v>
      </c>
      <c r="C120" s="57" t="s">
        <v>4696</v>
      </c>
      <c r="D120" s="57" t="s">
        <v>2309</v>
      </c>
      <c r="E120" s="57" t="s">
        <v>4697</v>
      </c>
      <c r="F120" s="57">
        <v>2006</v>
      </c>
      <c r="G120" s="57"/>
      <c r="H120" s="57" t="s">
        <v>1878</v>
      </c>
      <c r="I120" s="58" t="s">
        <v>1879</v>
      </c>
      <c r="J120" s="57"/>
      <c r="K120" s="57" t="s">
        <v>1881</v>
      </c>
      <c r="L120" s="58" t="s">
        <v>4698</v>
      </c>
      <c r="M120" s="57">
        <v>290</v>
      </c>
      <c r="N120" s="57"/>
      <c r="O120" s="57" t="s">
        <v>4578</v>
      </c>
      <c r="P120" s="59">
        <v>293</v>
      </c>
      <c r="Q120" s="61">
        <v>1.7175</v>
      </c>
      <c r="R120" s="60">
        <v>0.25</v>
      </c>
      <c r="S120" s="60"/>
      <c r="T120" s="67"/>
      <c r="U120" s="67">
        <v>1.2</v>
      </c>
      <c r="V120" s="67">
        <v>0.25</v>
      </c>
      <c r="W120" s="67">
        <v>0.25</v>
      </c>
      <c r="X120" s="70">
        <v>1.7500000000000002E-2</v>
      </c>
      <c r="Y120" s="70"/>
      <c r="Z120" s="71"/>
      <c r="AA120" s="81"/>
      <c r="AB120" s="81">
        <f>2.5*0.93</f>
        <v>2.3250000000000002</v>
      </c>
      <c r="AC120" s="232"/>
      <c r="AD120" s="213"/>
      <c r="AH120" s="63"/>
    </row>
    <row r="121" spans="1:34" s="62" customFormat="1" x14ac:dyDescent="0.25">
      <c r="A121" s="57">
        <v>774</v>
      </c>
      <c r="B121" s="57"/>
      <c r="C121" s="57" t="s">
        <v>7149</v>
      </c>
      <c r="D121" s="57" t="s">
        <v>6456</v>
      </c>
      <c r="E121" s="57"/>
      <c r="F121" s="57">
        <v>2004</v>
      </c>
      <c r="G121" s="57"/>
      <c r="H121" s="57" t="s">
        <v>1878</v>
      </c>
      <c r="I121" s="58" t="s">
        <v>1929</v>
      </c>
      <c r="J121" s="57"/>
      <c r="K121" s="57" t="s">
        <v>1881</v>
      </c>
      <c r="L121" s="58" t="s">
        <v>7150</v>
      </c>
      <c r="M121" s="57">
        <v>184</v>
      </c>
      <c r="N121" s="57"/>
      <c r="O121" s="57" t="s">
        <v>5443</v>
      </c>
      <c r="P121" s="59">
        <v>812</v>
      </c>
      <c r="Q121" s="61">
        <v>1.1167</v>
      </c>
      <c r="R121" s="60">
        <v>0.49</v>
      </c>
      <c r="S121" s="60"/>
      <c r="T121" s="67">
        <v>0.32</v>
      </c>
      <c r="U121" s="67"/>
      <c r="V121" s="67">
        <v>0.25</v>
      </c>
      <c r="W121" s="67">
        <v>0.49</v>
      </c>
      <c r="X121" s="70">
        <v>5.6700000000000007E-2</v>
      </c>
      <c r="Y121" s="70"/>
      <c r="Z121" s="71"/>
      <c r="AA121" s="81"/>
      <c r="AB121" s="81">
        <f>2.5*0.93</f>
        <v>2.3250000000000002</v>
      </c>
      <c r="AC121" s="232"/>
      <c r="AD121" s="213"/>
      <c r="AH121" s="63"/>
    </row>
    <row r="122" spans="1:34" s="62" customFormat="1" x14ac:dyDescent="0.25">
      <c r="A122" s="57">
        <v>2522</v>
      </c>
      <c r="B122" s="57" t="s">
        <v>7365</v>
      </c>
      <c r="C122" s="57" t="s">
        <v>7366</v>
      </c>
      <c r="D122" s="57" t="s">
        <v>1876</v>
      </c>
      <c r="E122" s="57" t="s">
        <v>1921</v>
      </c>
      <c r="F122" s="57">
        <v>2010</v>
      </c>
      <c r="G122" s="57"/>
      <c r="H122" s="57" t="s">
        <v>1878</v>
      </c>
      <c r="I122" s="58" t="s">
        <v>1879</v>
      </c>
      <c r="J122" s="57" t="s">
        <v>3854</v>
      </c>
      <c r="K122" s="57" t="s">
        <v>1881</v>
      </c>
      <c r="L122" s="58" t="s">
        <v>7367</v>
      </c>
      <c r="M122" s="57">
        <v>496</v>
      </c>
      <c r="N122" s="57"/>
      <c r="O122" s="57" t="s">
        <v>5520</v>
      </c>
      <c r="P122" s="59">
        <v>414</v>
      </c>
      <c r="Q122" s="61">
        <v>1.0127999999999999</v>
      </c>
      <c r="R122" s="60">
        <v>0.69</v>
      </c>
      <c r="S122" s="60"/>
      <c r="T122" s="67">
        <v>0.35</v>
      </c>
      <c r="U122" s="67"/>
      <c r="V122" s="67">
        <v>0.25</v>
      </c>
      <c r="W122" s="67">
        <v>0.69</v>
      </c>
      <c r="X122" s="70">
        <v>7.2800000000000004E-2</v>
      </c>
      <c r="Y122" s="70"/>
      <c r="Z122" s="71"/>
      <c r="AA122" s="81"/>
      <c r="AB122" s="81">
        <f>1.01*0.93</f>
        <v>0.93930000000000002</v>
      </c>
      <c r="AC122" s="232"/>
      <c r="AD122" s="213"/>
      <c r="AH122" s="63"/>
    </row>
    <row r="123" spans="1:34" s="62" customFormat="1" x14ac:dyDescent="0.25">
      <c r="A123" s="57">
        <v>704</v>
      </c>
      <c r="B123" s="57" t="s">
        <v>3035</v>
      </c>
      <c r="C123" s="57" t="s">
        <v>7557</v>
      </c>
      <c r="D123" s="57" t="s">
        <v>2300</v>
      </c>
      <c r="E123" s="57" t="s">
        <v>7558</v>
      </c>
      <c r="F123" s="57">
        <v>2009</v>
      </c>
      <c r="G123" s="57"/>
      <c r="H123" s="57" t="s">
        <v>1878</v>
      </c>
      <c r="I123" s="58" t="s">
        <v>1879</v>
      </c>
      <c r="J123" s="57"/>
      <c r="K123" s="57" t="s">
        <v>1881</v>
      </c>
      <c r="L123" s="58" t="s">
        <v>7559</v>
      </c>
      <c r="M123" s="57">
        <v>224</v>
      </c>
      <c r="N123" s="57"/>
      <c r="O123" s="57" t="s">
        <v>5585</v>
      </c>
      <c r="P123" s="59">
        <v>282</v>
      </c>
      <c r="Q123" s="61">
        <v>0.64900000000000002</v>
      </c>
      <c r="R123" s="60">
        <v>0.25</v>
      </c>
      <c r="S123" s="60"/>
      <c r="T123" s="67">
        <v>0.35</v>
      </c>
      <c r="U123" s="67"/>
      <c r="V123" s="67">
        <v>0.25</v>
      </c>
      <c r="W123" s="67">
        <v>0.35</v>
      </c>
      <c r="X123" s="70">
        <v>4.8999999999999995E-2</v>
      </c>
      <c r="Y123" s="70"/>
      <c r="Z123" s="71"/>
      <c r="AA123" s="81"/>
      <c r="AB123" s="81">
        <f t="shared" ref="AB123:AB128" si="13">2.5*0.93</f>
        <v>2.3250000000000002</v>
      </c>
      <c r="AC123" s="232"/>
      <c r="AD123" s="213"/>
      <c r="AH123" s="63"/>
    </row>
    <row r="124" spans="1:34" s="62" customFormat="1" x14ac:dyDescent="0.25">
      <c r="A124" s="57">
        <v>775</v>
      </c>
      <c r="B124" s="57" t="s">
        <v>7705</v>
      </c>
      <c r="C124" s="57" t="s">
        <v>7706</v>
      </c>
      <c r="D124" s="57" t="s">
        <v>2300</v>
      </c>
      <c r="E124" s="57" t="s">
        <v>7558</v>
      </c>
      <c r="F124" s="57">
        <v>2014</v>
      </c>
      <c r="G124" s="57"/>
      <c r="H124" s="57" t="s">
        <v>1878</v>
      </c>
      <c r="I124" s="58" t="s">
        <v>1914</v>
      </c>
      <c r="J124" s="57"/>
      <c r="K124" s="57" t="s">
        <v>1881</v>
      </c>
      <c r="L124" s="58" t="s">
        <v>7707</v>
      </c>
      <c r="M124" s="57">
        <v>254</v>
      </c>
      <c r="N124" s="57"/>
      <c r="O124" s="57" t="s">
        <v>5640</v>
      </c>
      <c r="P124" s="59">
        <v>211</v>
      </c>
      <c r="Q124" s="61">
        <v>1.8688</v>
      </c>
      <c r="R124" s="60">
        <v>1.49</v>
      </c>
      <c r="S124" s="60"/>
      <c r="T124" s="67">
        <v>0.35</v>
      </c>
      <c r="U124" s="67"/>
      <c r="V124" s="67">
        <v>0.25</v>
      </c>
      <c r="W124" s="67">
        <v>1.49</v>
      </c>
      <c r="X124" s="70">
        <v>0.1288</v>
      </c>
      <c r="Y124" s="70"/>
      <c r="Z124" s="71"/>
      <c r="AA124" s="81"/>
      <c r="AB124" s="81">
        <f t="shared" si="13"/>
        <v>2.3250000000000002</v>
      </c>
      <c r="AC124" s="232"/>
      <c r="AD124" s="213"/>
      <c r="AH124" s="63"/>
    </row>
    <row r="125" spans="1:34" s="62" customFormat="1" x14ac:dyDescent="0.25">
      <c r="A125" s="57">
        <v>2522</v>
      </c>
      <c r="B125" s="57" t="s">
        <v>8057</v>
      </c>
      <c r="C125" s="57" t="s">
        <v>8058</v>
      </c>
      <c r="D125" s="57" t="s">
        <v>2309</v>
      </c>
      <c r="E125" s="57" t="s">
        <v>7601</v>
      </c>
      <c r="F125" s="57">
        <v>2011</v>
      </c>
      <c r="G125" s="57"/>
      <c r="H125" s="57" t="s">
        <v>1878</v>
      </c>
      <c r="I125" s="58" t="s">
        <v>1879</v>
      </c>
      <c r="J125" s="57"/>
      <c r="K125" s="57" t="s">
        <v>1881</v>
      </c>
      <c r="L125" s="58" t="s">
        <v>8059</v>
      </c>
      <c r="M125" s="57">
        <v>512</v>
      </c>
      <c r="N125" s="57"/>
      <c r="O125" s="57" t="s">
        <v>6630</v>
      </c>
      <c r="P125" s="59">
        <v>363</v>
      </c>
      <c r="Q125" s="61">
        <v>1.0418000000000001</v>
      </c>
      <c r="R125" s="60">
        <v>0.7</v>
      </c>
      <c r="S125" s="60"/>
      <c r="T125" s="67">
        <v>0.35</v>
      </c>
      <c r="U125" s="67">
        <v>0.39</v>
      </c>
      <c r="V125" s="67">
        <v>0.25</v>
      </c>
      <c r="W125" s="67"/>
      <c r="X125" s="70">
        <v>5.1799999999999999E-2</v>
      </c>
      <c r="Y125" s="70"/>
      <c r="Z125" s="71"/>
      <c r="AA125" s="81"/>
      <c r="AB125" s="81">
        <f t="shared" si="13"/>
        <v>2.3250000000000002</v>
      </c>
      <c r="AC125" s="232"/>
      <c r="AD125" s="213"/>
      <c r="AH125" s="63"/>
    </row>
    <row r="126" spans="1:34" s="62" customFormat="1" x14ac:dyDescent="0.25">
      <c r="A126" s="57">
        <v>2522</v>
      </c>
      <c r="B126" s="57" t="s">
        <v>8506</v>
      </c>
      <c r="C126" s="57" t="s">
        <v>8507</v>
      </c>
      <c r="D126" s="57" t="s">
        <v>3077</v>
      </c>
      <c r="E126" s="57" t="s">
        <v>1913</v>
      </c>
      <c r="F126" s="57">
        <v>2017</v>
      </c>
      <c r="G126" s="57"/>
      <c r="H126" s="57" t="s">
        <v>1878</v>
      </c>
      <c r="I126" s="58" t="s">
        <v>1879</v>
      </c>
      <c r="J126" s="57"/>
      <c r="K126" s="57" t="s">
        <v>1881</v>
      </c>
      <c r="L126" s="58" t="s">
        <v>8508</v>
      </c>
      <c r="M126" s="57">
        <v>416</v>
      </c>
      <c r="N126" s="57"/>
      <c r="O126" s="57" t="s">
        <v>6793</v>
      </c>
      <c r="P126" s="59">
        <v>553</v>
      </c>
      <c r="Q126" s="61">
        <v>1.07</v>
      </c>
      <c r="R126" s="60">
        <v>2.77</v>
      </c>
      <c r="S126" s="60">
        <v>2.77</v>
      </c>
      <c r="T126" s="67">
        <v>0.13</v>
      </c>
      <c r="U126" s="67" t="s">
        <v>9675</v>
      </c>
      <c r="V126" s="67">
        <v>0.33999999999999997</v>
      </c>
      <c r="W126" s="67">
        <v>0.4</v>
      </c>
      <c r="X126" s="70">
        <v>0.17989999999999998</v>
      </c>
      <c r="Y126" s="70">
        <v>2.77</v>
      </c>
      <c r="Z126" s="71">
        <v>2.7498999999999998</v>
      </c>
      <c r="AA126" s="81"/>
      <c r="AB126" s="81">
        <f t="shared" si="13"/>
        <v>2.3250000000000002</v>
      </c>
      <c r="AC126" s="232"/>
      <c r="AD126" s="213"/>
      <c r="AH126" s="63"/>
    </row>
    <row r="127" spans="1:34" s="62" customFormat="1" x14ac:dyDescent="0.25">
      <c r="A127" s="57">
        <v>1231</v>
      </c>
      <c r="B127" s="57" t="s">
        <v>4662</v>
      </c>
      <c r="C127" s="57" t="s">
        <v>8611</v>
      </c>
      <c r="D127" s="57" t="s">
        <v>2232</v>
      </c>
      <c r="E127" s="57" t="s">
        <v>2175</v>
      </c>
      <c r="F127" s="57">
        <v>2001</v>
      </c>
      <c r="G127" s="57"/>
      <c r="H127" s="57" t="s">
        <v>1878</v>
      </c>
      <c r="I127" s="58" t="s">
        <v>1879</v>
      </c>
      <c r="J127" s="57"/>
      <c r="K127" s="57" t="s">
        <v>1881</v>
      </c>
      <c r="L127" s="58" t="s">
        <v>8612</v>
      </c>
      <c r="M127" s="57">
        <v>544</v>
      </c>
      <c r="N127" s="57"/>
      <c r="O127" s="57" t="s">
        <v>6830</v>
      </c>
      <c r="P127" s="59">
        <v>442</v>
      </c>
      <c r="Q127" s="61">
        <v>0.85439999999999983</v>
      </c>
      <c r="R127" s="60">
        <v>2.0543999999999998</v>
      </c>
      <c r="S127" s="60">
        <v>1.64</v>
      </c>
      <c r="T127" s="67">
        <v>0.13</v>
      </c>
      <c r="U127" s="67" t="s">
        <v>9676</v>
      </c>
      <c r="V127" s="67">
        <v>0.33999999999999997</v>
      </c>
      <c r="W127" s="67">
        <v>0.25</v>
      </c>
      <c r="X127" s="70">
        <v>0.13439999999999999</v>
      </c>
      <c r="Y127" s="70">
        <v>1.64</v>
      </c>
      <c r="Z127" s="71">
        <v>2.0543999999999998</v>
      </c>
      <c r="AA127" s="81"/>
      <c r="AB127" s="81">
        <f t="shared" si="13"/>
        <v>2.3250000000000002</v>
      </c>
      <c r="AC127" s="232"/>
      <c r="AD127" s="213"/>
      <c r="AH127" s="63"/>
    </row>
    <row r="128" spans="1:34" s="62" customFormat="1" x14ac:dyDescent="0.25">
      <c r="A128" s="57">
        <v>701</v>
      </c>
      <c r="B128" s="57" t="s">
        <v>9038</v>
      </c>
      <c r="C128" s="57" t="s">
        <v>9039</v>
      </c>
      <c r="D128" s="57" t="s">
        <v>9032</v>
      </c>
      <c r="E128" s="57"/>
      <c r="F128" s="57">
        <v>2014</v>
      </c>
      <c r="G128" s="57"/>
      <c r="H128" s="57" t="s">
        <v>1878</v>
      </c>
      <c r="I128" s="58" t="s">
        <v>1929</v>
      </c>
      <c r="J128" s="57"/>
      <c r="K128" s="57" t="s">
        <v>1881</v>
      </c>
      <c r="L128" s="58" t="s">
        <v>9040</v>
      </c>
      <c r="M128" s="57">
        <v>298</v>
      </c>
      <c r="N128" s="57"/>
      <c r="O128" s="57" t="s">
        <v>6898</v>
      </c>
      <c r="P128" s="59">
        <v>272</v>
      </c>
      <c r="Q128" s="61">
        <v>1.8472319999999998</v>
      </c>
      <c r="R128" s="60">
        <v>1.2</v>
      </c>
      <c r="S128" s="60">
        <v>2.38</v>
      </c>
      <c r="T128" s="67">
        <v>0.13</v>
      </c>
      <c r="U128" s="67" t="s">
        <v>9027</v>
      </c>
      <c r="V128" s="67">
        <v>0.33999999999999997</v>
      </c>
      <c r="W128" s="67">
        <v>0.35</v>
      </c>
      <c r="X128" s="70">
        <v>0.19039999999999999</v>
      </c>
      <c r="Y128" s="70">
        <v>2.38</v>
      </c>
      <c r="Z128" s="71">
        <v>2.9103999999999997</v>
      </c>
      <c r="AA128" s="81"/>
      <c r="AB128" s="81">
        <f t="shared" si="13"/>
        <v>2.3250000000000002</v>
      </c>
      <c r="AC128" s="232"/>
      <c r="AD128" s="213"/>
      <c r="AH128" s="63"/>
    </row>
    <row r="129" spans="1:34" s="62" customFormat="1" x14ac:dyDescent="0.25">
      <c r="A129" s="57">
        <v>2553</v>
      </c>
      <c r="B129" s="57" t="s">
        <v>5879</v>
      </c>
      <c r="C129" s="57" t="s">
        <v>9524</v>
      </c>
      <c r="D129" s="57" t="s">
        <v>9032</v>
      </c>
      <c r="E129" s="57" t="s">
        <v>2157</v>
      </c>
      <c r="F129" s="57">
        <v>2010</v>
      </c>
      <c r="G129" s="57"/>
      <c r="H129" s="57" t="s">
        <v>1878</v>
      </c>
      <c r="I129" s="58" t="s">
        <v>1879</v>
      </c>
      <c r="J129" s="57"/>
      <c r="K129" s="57" t="s">
        <v>1881</v>
      </c>
      <c r="L129" s="58" t="s">
        <v>9525</v>
      </c>
      <c r="M129" s="57">
        <v>508</v>
      </c>
      <c r="N129" s="57"/>
      <c r="O129" s="57" t="s">
        <v>7067</v>
      </c>
      <c r="P129" s="59">
        <v>358</v>
      </c>
      <c r="Q129" s="61">
        <v>1.7103999999999997</v>
      </c>
      <c r="R129" s="60">
        <v>1.2</v>
      </c>
      <c r="S129" s="60">
        <v>1.65</v>
      </c>
      <c r="T129" s="67">
        <v>0.13</v>
      </c>
      <c r="U129" s="67">
        <v>1.9</v>
      </c>
      <c r="V129" s="67">
        <v>0.33999999999999997</v>
      </c>
      <c r="W129" s="67">
        <v>0.35</v>
      </c>
      <c r="X129" s="70">
        <v>0.19039999999999999</v>
      </c>
      <c r="Y129" s="70">
        <v>1.65</v>
      </c>
      <c r="Z129" s="71">
        <v>2.9103999999999997</v>
      </c>
      <c r="AA129" s="81"/>
      <c r="AB129" s="81">
        <f>1.71*0.93</f>
        <v>1.5903</v>
      </c>
      <c r="AC129" s="232"/>
      <c r="AD129" s="213"/>
      <c r="AH129" s="63"/>
    </row>
    <row r="130" spans="1:34" s="209" customFormat="1" x14ac:dyDescent="0.25">
      <c r="A130" s="204">
        <v>796</v>
      </c>
      <c r="B130" s="204" t="s">
        <v>6253</v>
      </c>
      <c r="C130" s="204" t="s">
        <v>6254</v>
      </c>
      <c r="D130" s="204" t="s">
        <v>2609</v>
      </c>
      <c r="E130" s="204" t="s">
        <v>2032</v>
      </c>
      <c r="F130" s="204">
        <v>2007</v>
      </c>
      <c r="G130" s="204"/>
      <c r="H130" s="204" t="s">
        <v>1878</v>
      </c>
      <c r="I130" s="205" t="s">
        <v>1879</v>
      </c>
      <c r="J130" s="204"/>
      <c r="K130" s="204" t="s">
        <v>1881</v>
      </c>
      <c r="L130" s="205" t="s">
        <v>6255</v>
      </c>
      <c r="M130" s="204">
        <v>400</v>
      </c>
      <c r="N130" s="204"/>
      <c r="O130" s="204" t="s">
        <v>5324</v>
      </c>
      <c r="P130" s="206">
        <v>392</v>
      </c>
      <c r="Q130" s="208">
        <f>SUM(T130:X130)</f>
        <v>1.9742999999999999</v>
      </c>
      <c r="R130" s="207">
        <v>0.49</v>
      </c>
      <c r="S130" s="207"/>
      <c r="T130" s="67"/>
      <c r="U130" s="67">
        <v>1.2</v>
      </c>
      <c r="V130" s="67">
        <v>0.25</v>
      </c>
      <c r="W130" s="67">
        <f>IF(R130&gt;T130,R130,T130)</f>
        <v>0.49</v>
      </c>
      <c r="X130" s="70">
        <f>(T130+W130)/100*7</f>
        <v>3.4299999999999997E-2</v>
      </c>
      <c r="Y130" s="70"/>
      <c r="AA130" s="213"/>
      <c r="AB130" s="213">
        <f t="shared" ref="AB130:AB139" si="14">2.5*0.93</f>
        <v>2.3250000000000002</v>
      </c>
      <c r="AC130" s="233"/>
      <c r="AD130" s="213"/>
      <c r="AH130" s="210"/>
    </row>
    <row r="131" spans="1:34" s="209" customFormat="1" x14ac:dyDescent="0.25">
      <c r="A131" s="204">
        <v>2518</v>
      </c>
      <c r="B131" s="204" t="s">
        <v>6434</v>
      </c>
      <c r="C131" s="204" t="s">
        <v>6435</v>
      </c>
      <c r="D131" s="204" t="s">
        <v>1876</v>
      </c>
      <c r="E131" s="204" t="s">
        <v>4472</v>
      </c>
      <c r="F131" s="204">
        <v>2009</v>
      </c>
      <c r="G131" s="204"/>
      <c r="H131" s="204" t="s">
        <v>1878</v>
      </c>
      <c r="I131" s="205" t="s">
        <v>1879</v>
      </c>
      <c r="J131" s="204"/>
      <c r="K131" s="204" t="s">
        <v>1881</v>
      </c>
      <c r="L131" s="205" t="s">
        <v>6436</v>
      </c>
      <c r="M131" s="204">
        <v>320</v>
      </c>
      <c r="N131" s="204"/>
      <c r="O131" s="204" t="s">
        <v>5383</v>
      </c>
      <c r="P131" s="206">
        <v>270</v>
      </c>
      <c r="Q131" s="208">
        <f>SUM(T131:X131)</f>
        <v>0.51749999999999996</v>
      </c>
      <c r="R131" s="207">
        <v>0.25</v>
      </c>
      <c r="S131" s="207"/>
      <c r="T131" s="67"/>
      <c r="U131" s="67"/>
      <c r="V131" s="67">
        <v>0.25</v>
      </c>
      <c r="W131" s="67">
        <f>IF(R131&gt;T131,R131,T131)</f>
        <v>0.25</v>
      </c>
      <c r="X131" s="70">
        <f>(T131+W131)/100*7</f>
        <v>1.7500000000000002E-2</v>
      </c>
      <c r="Y131" s="70"/>
      <c r="Z131" s="212"/>
      <c r="AA131" s="213"/>
      <c r="AB131" s="213">
        <f t="shared" si="14"/>
        <v>2.3250000000000002</v>
      </c>
      <c r="AC131" s="233"/>
      <c r="AD131" s="213"/>
      <c r="AH131" s="210"/>
    </row>
    <row r="132" spans="1:34" s="62" customFormat="1" x14ac:dyDescent="0.25">
      <c r="A132" s="57"/>
      <c r="B132" s="57"/>
      <c r="C132" s="57"/>
      <c r="D132" s="57"/>
      <c r="E132" s="57"/>
      <c r="F132" s="57"/>
      <c r="G132" s="57"/>
      <c r="H132" s="57"/>
      <c r="I132" s="58"/>
      <c r="J132" s="57"/>
      <c r="K132" s="57"/>
      <c r="L132" s="58"/>
      <c r="M132" s="57"/>
      <c r="N132" s="57"/>
      <c r="O132" s="57" t="s">
        <v>2129</v>
      </c>
      <c r="P132" s="59"/>
      <c r="Q132" s="61"/>
      <c r="R132" s="60"/>
      <c r="S132" s="60"/>
      <c r="T132" s="67"/>
      <c r="U132" s="67"/>
      <c r="V132" s="67"/>
      <c r="W132" s="67"/>
      <c r="X132" s="70"/>
      <c r="Y132" s="70"/>
      <c r="Z132" s="71"/>
      <c r="AA132" s="81"/>
      <c r="AB132" s="81">
        <f t="shared" si="14"/>
        <v>2.3250000000000002</v>
      </c>
      <c r="AC132" s="232"/>
      <c r="AD132" s="213"/>
      <c r="AH132" s="63"/>
    </row>
    <row r="133" spans="1:34" s="209" customFormat="1" x14ac:dyDescent="0.25">
      <c r="A133" s="204">
        <v>2514</v>
      </c>
      <c r="B133" s="204" t="s">
        <v>7230</v>
      </c>
      <c r="C133" s="204" t="s">
        <v>7231</v>
      </c>
      <c r="D133" s="204" t="s">
        <v>2402</v>
      </c>
      <c r="E133" s="204"/>
      <c r="F133" s="204">
        <v>1992</v>
      </c>
      <c r="G133" s="204"/>
      <c r="H133" s="204" t="s">
        <v>2734</v>
      </c>
      <c r="I133" s="205" t="s">
        <v>1879</v>
      </c>
      <c r="J133" s="204"/>
      <c r="K133" s="204" t="s">
        <v>1881</v>
      </c>
      <c r="L133" s="205" t="s">
        <v>7232</v>
      </c>
      <c r="M133" s="204">
        <v>126</v>
      </c>
      <c r="N133" s="204"/>
      <c r="O133" s="204" t="s">
        <v>5473</v>
      </c>
      <c r="P133" s="206">
        <v>188</v>
      </c>
      <c r="Q133" s="208">
        <f>SUM(U133:X133)</f>
        <v>1.0106999999999999</v>
      </c>
      <c r="R133" s="207">
        <v>0.69</v>
      </c>
      <c r="S133" s="207"/>
      <c r="T133" s="67">
        <v>0.32</v>
      </c>
      <c r="U133" s="67"/>
      <c r="V133" s="67">
        <v>0.25</v>
      </c>
      <c r="W133" s="67">
        <f>IF(R133&gt;T133,R133,T133)</f>
        <v>0.69</v>
      </c>
      <c r="X133" s="70">
        <f>(T133+W133)/100*7</f>
        <v>7.0699999999999999E-2</v>
      </c>
      <c r="Y133" s="70"/>
      <c r="Z133" s="212"/>
      <c r="AA133" s="213"/>
      <c r="AB133" s="213">
        <f t="shared" si="14"/>
        <v>2.3250000000000002</v>
      </c>
      <c r="AC133" s="232"/>
      <c r="AD133" s="213"/>
      <c r="AH133" s="210"/>
    </row>
    <row r="134" spans="1:34" s="209" customFormat="1" x14ac:dyDescent="0.25">
      <c r="A134" s="204">
        <v>1365</v>
      </c>
      <c r="B134" s="204" t="s">
        <v>8551</v>
      </c>
      <c r="C134" s="204" t="s">
        <v>8552</v>
      </c>
      <c r="D134" s="204" t="s">
        <v>2609</v>
      </c>
      <c r="E134" s="204" t="s">
        <v>1877</v>
      </c>
      <c r="F134" s="204">
        <v>2013</v>
      </c>
      <c r="G134" s="204"/>
      <c r="H134" s="204" t="s">
        <v>1878</v>
      </c>
      <c r="I134" s="205" t="s">
        <v>1879</v>
      </c>
      <c r="J134" s="204"/>
      <c r="K134" s="204" t="s">
        <v>1881</v>
      </c>
      <c r="L134" s="205" t="s">
        <v>8553</v>
      </c>
      <c r="M134" s="204">
        <v>384</v>
      </c>
      <c r="N134" s="204"/>
      <c r="O134" s="204" t="s">
        <v>6809</v>
      </c>
      <c r="P134" s="206">
        <v>387</v>
      </c>
      <c r="Q134" s="208">
        <f>R134-U134</f>
        <v>0.85439999999999983</v>
      </c>
      <c r="R134" s="208">
        <f>IF(Y134&gt;Z134,Y134,Z134)</f>
        <v>2.0543999999999998</v>
      </c>
      <c r="S134" s="207">
        <v>1.8</v>
      </c>
      <c r="T134" s="67">
        <v>0.13</v>
      </c>
      <c r="U134" s="67" t="str">
        <f>IF(P134&lt;501,"1,20","1,70")</f>
        <v>1,20</v>
      </c>
      <c r="V134" s="67">
        <f>0.08+0.09+0.17</f>
        <v>0.33999999999999997</v>
      </c>
      <c r="W134" s="67">
        <v>0.25</v>
      </c>
      <c r="X134" s="70">
        <f>(T134+U134+V134+W134)/100*7</f>
        <v>0.13439999999999999</v>
      </c>
      <c r="Y134" s="70">
        <f>S134</f>
        <v>1.8</v>
      </c>
      <c r="Z134" s="70">
        <f>T134+U134+V134+W134+X134</f>
        <v>2.0543999999999998</v>
      </c>
      <c r="AA134" s="213"/>
      <c r="AB134" s="213">
        <f t="shared" si="14"/>
        <v>2.3250000000000002</v>
      </c>
      <c r="AC134" s="232"/>
      <c r="AD134" s="213"/>
      <c r="AH134" s="210"/>
    </row>
    <row r="135" spans="1:34" s="209" customFormat="1" x14ac:dyDescent="0.25">
      <c r="A135" s="204">
        <v>1875</v>
      </c>
      <c r="B135" s="204" t="s">
        <v>2187</v>
      </c>
      <c r="C135" s="204" t="s">
        <v>4486</v>
      </c>
      <c r="D135" s="204" t="s">
        <v>2050</v>
      </c>
      <c r="E135" s="204"/>
      <c r="F135" s="204">
        <v>2010</v>
      </c>
      <c r="G135" s="204"/>
      <c r="H135" s="204" t="s">
        <v>2734</v>
      </c>
      <c r="I135" s="205" t="s">
        <v>1879</v>
      </c>
      <c r="J135" s="204"/>
      <c r="K135" s="204" t="s">
        <v>1881</v>
      </c>
      <c r="L135" s="205" t="s">
        <v>2190</v>
      </c>
      <c r="M135" s="204">
        <v>146</v>
      </c>
      <c r="N135" s="204"/>
      <c r="O135" s="204" t="s">
        <v>4409</v>
      </c>
      <c r="P135" s="206">
        <v>207</v>
      </c>
      <c r="Q135" s="208">
        <f>SUM(T135:X135)</f>
        <v>1.8673</v>
      </c>
      <c r="R135" s="207">
        <v>0.39</v>
      </c>
      <c r="S135" s="207"/>
      <c r="T135" s="67"/>
      <c r="U135" s="67">
        <v>1.2</v>
      </c>
      <c r="V135" s="67">
        <v>0.25</v>
      </c>
      <c r="W135" s="67">
        <f>IF(R135&gt;T135,R135,T135)</f>
        <v>0.39</v>
      </c>
      <c r="X135" s="70">
        <f>(T135+W135)/100*7</f>
        <v>2.7300000000000001E-2</v>
      </c>
      <c r="Y135" s="70"/>
      <c r="Z135" s="212"/>
      <c r="AA135" s="213"/>
      <c r="AB135" s="213">
        <f t="shared" si="14"/>
        <v>2.3250000000000002</v>
      </c>
      <c r="AC135" s="232"/>
      <c r="AD135" s="213"/>
      <c r="AH135" s="210"/>
    </row>
    <row r="136" spans="1:34" s="62" customFormat="1" x14ac:dyDescent="0.25">
      <c r="A136" s="57"/>
      <c r="B136" s="57"/>
      <c r="C136" s="57"/>
      <c r="D136" s="57"/>
      <c r="E136" s="57"/>
      <c r="F136" s="57"/>
      <c r="G136" s="57"/>
      <c r="H136" s="57"/>
      <c r="I136" s="58"/>
      <c r="J136" s="57"/>
      <c r="K136" s="57"/>
      <c r="L136" s="58"/>
      <c r="M136" s="57"/>
      <c r="N136" s="57"/>
      <c r="O136" s="57" t="s">
        <v>9683</v>
      </c>
      <c r="P136" s="59"/>
      <c r="Q136" s="61"/>
      <c r="R136" s="60"/>
      <c r="S136" s="60"/>
      <c r="T136" s="67"/>
      <c r="U136" s="67"/>
      <c r="V136" s="67"/>
      <c r="W136" s="67"/>
      <c r="X136" s="70"/>
      <c r="Y136" s="70"/>
      <c r="Z136" s="71"/>
      <c r="AA136" s="81"/>
      <c r="AB136" s="81">
        <f t="shared" si="14"/>
        <v>2.3250000000000002</v>
      </c>
      <c r="AC136" s="232"/>
      <c r="AD136" s="213"/>
      <c r="AH136" s="63"/>
    </row>
    <row r="137" spans="1:34" s="209" customFormat="1" x14ac:dyDescent="0.25">
      <c r="A137" s="204">
        <v>2518</v>
      </c>
      <c r="B137" s="204" t="s">
        <v>6434</v>
      </c>
      <c r="C137" s="204" t="s">
        <v>7642</v>
      </c>
      <c r="D137" s="204" t="s">
        <v>1876</v>
      </c>
      <c r="E137" s="204"/>
      <c r="F137" s="204">
        <v>2012</v>
      </c>
      <c r="G137" s="204"/>
      <c r="H137" s="204" t="s">
        <v>1878</v>
      </c>
      <c r="I137" s="205" t="s">
        <v>1879</v>
      </c>
      <c r="J137" s="204"/>
      <c r="K137" s="204" t="s">
        <v>1881</v>
      </c>
      <c r="L137" s="205" t="s">
        <v>7643</v>
      </c>
      <c r="M137" s="204">
        <v>432</v>
      </c>
      <c r="N137" s="204"/>
      <c r="O137" s="204" t="s">
        <v>5616</v>
      </c>
      <c r="P137" s="206">
        <v>360</v>
      </c>
      <c r="Q137" s="208">
        <f>SUM(U137:X137)</f>
        <v>1.3338000000000001</v>
      </c>
      <c r="R137" s="207">
        <v>0.99</v>
      </c>
      <c r="S137" s="207"/>
      <c r="T137" s="67">
        <v>0.35</v>
      </c>
      <c r="U137" s="67"/>
      <c r="V137" s="67">
        <v>0.25</v>
      </c>
      <c r="W137" s="67">
        <f>IF(R137&gt;T137,R137,T137)</f>
        <v>0.99</v>
      </c>
      <c r="X137" s="70">
        <f>(T137+W137)/100*7</f>
        <v>9.3799999999999994E-2</v>
      </c>
      <c r="Y137" s="70"/>
      <c r="Z137" s="212"/>
      <c r="AA137" s="213"/>
      <c r="AB137" s="213">
        <f t="shared" si="14"/>
        <v>2.3250000000000002</v>
      </c>
      <c r="AC137" s="232"/>
      <c r="AD137" s="213"/>
      <c r="AH137" s="210"/>
    </row>
    <row r="138" spans="1:34" s="209" customFormat="1" x14ac:dyDescent="0.25">
      <c r="A138" s="204">
        <v>2522</v>
      </c>
      <c r="B138" s="204" t="s">
        <v>2191</v>
      </c>
      <c r="C138" s="204" t="s">
        <v>3768</v>
      </c>
      <c r="D138" s="204" t="s">
        <v>1912</v>
      </c>
      <c r="E138" s="204" t="s">
        <v>1913</v>
      </c>
      <c r="F138" s="204">
        <v>2013</v>
      </c>
      <c r="G138" s="204"/>
      <c r="H138" s="204" t="s">
        <v>1878</v>
      </c>
      <c r="I138" s="205" t="s">
        <v>1879</v>
      </c>
      <c r="J138" s="204" t="s">
        <v>3303</v>
      </c>
      <c r="K138" s="204" t="s">
        <v>1881</v>
      </c>
      <c r="L138" s="205" t="s">
        <v>3769</v>
      </c>
      <c r="M138" s="204">
        <v>384</v>
      </c>
      <c r="N138" s="204"/>
      <c r="O138" s="204" t="s">
        <v>3581</v>
      </c>
      <c r="P138" s="206">
        <v>331</v>
      </c>
      <c r="Q138" s="208">
        <f>SUM(T138:X138)</f>
        <v>1.7175</v>
      </c>
      <c r="R138" s="207">
        <v>0.25</v>
      </c>
      <c r="S138" s="207"/>
      <c r="T138" s="67"/>
      <c r="U138" s="67">
        <v>1.2</v>
      </c>
      <c r="V138" s="67">
        <v>0.25</v>
      </c>
      <c r="W138" s="67">
        <f>IF(R138&gt;T138,R138,T138)</f>
        <v>0.25</v>
      </c>
      <c r="X138" s="70">
        <f>(T138+W138)/100*7</f>
        <v>1.7500000000000002E-2</v>
      </c>
      <c r="Y138" s="70"/>
      <c r="Z138" s="212"/>
      <c r="AA138" s="213"/>
      <c r="AB138" s="213">
        <f t="shared" si="14"/>
        <v>2.3250000000000002</v>
      </c>
      <c r="AC138" s="232"/>
      <c r="AD138" s="213"/>
      <c r="AH138" s="210"/>
    </row>
    <row r="139" spans="1:34" s="209" customFormat="1" x14ac:dyDescent="0.25">
      <c r="A139" s="204">
        <v>634</v>
      </c>
      <c r="B139" s="204" t="s">
        <v>7849</v>
      </c>
      <c r="C139" s="204" t="s">
        <v>7850</v>
      </c>
      <c r="D139" s="204" t="s">
        <v>2209</v>
      </c>
      <c r="E139" s="204" t="s">
        <v>1899</v>
      </c>
      <c r="F139" s="204">
        <v>1999</v>
      </c>
      <c r="G139" s="204"/>
      <c r="H139" s="204" t="s">
        <v>1878</v>
      </c>
      <c r="I139" s="205" t="s">
        <v>1914</v>
      </c>
      <c r="J139" s="204"/>
      <c r="K139" s="204" t="s">
        <v>1881</v>
      </c>
      <c r="L139" s="205" t="s">
        <v>7851</v>
      </c>
      <c r="M139" s="204">
        <v>416</v>
      </c>
      <c r="N139" s="204"/>
      <c r="O139" s="204" t="s">
        <v>5694</v>
      </c>
      <c r="P139" s="206">
        <v>279</v>
      </c>
      <c r="Q139" s="208">
        <f>SUM(U139:X139)</f>
        <v>1.3338000000000001</v>
      </c>
      <c r="R139" s="207">
        <v>0.99</v>
      </c>
      <c r="S139" s="207"/>
      <c r="T139" s="67">
        <v>0.35</v>
      </c>
      <c r="U139" s="67"/>
      <c r="V139" s="67">
        <v>0.25</v>
      </c>
      <c r="W139" s="67">
        <f>IF(R139&gt;T139,R139,T139)</f>
        <v>0.99</v>
      </c>
      <c r="X139" s="70">
        <f>(T139+W139)/100*7</f>
        <v>9.3799999999999994E-2</v>
      </c>
      <c r="Y139" s="70"/>
      <c r="Z139" s="212"/>
      <c r="AA139" s="213"/>
      <c r="AB139" s="213">
        <f t="shared" si="14"/>
        <v>2.3250000000000002</v>
      </c>
      <c r="AC139" s="232"/>
      <c r="AD139" s="213"/>
      <c r="AH139" s="210"/>
    </row>
    <row r="140" spans="1:34" s="209" customFormat="1" x14ac:dyDescent="0.25">
      <c r="A140" s="204">
        <v>632</v>
      </c>
      <c r="B140" s="204" t="s">
        <v>3233</v>
      </c>
      <c r="C140" s="204" t="s">
        <v>3908</v>
      </c>
      <c r="D140" s="204" t="s">
        <v>2257</v>
      </c>
      <c r="E140" s="204"/>
      <c r="F140" s="204">
        <v>2005</v>
      </c>
      <c r="G140" s="204"/>
      <c r="H140" s="204" t="s">
        <v>1878</v>
      </c>
      <c r="I140" s="205" t="s">
        <v>1914</v>
      </c>
      <c r="J140" s="204"/>
      <c r="K140" s="204" t="s">
        <v>1881</v>
      </c>
      <c r="L140" s="205" t="s">
        <v>8430</v>
      </c>
      <c r="M140" s="204">
        <v>624</v>
      </c>
      <c r="N140" s="204"/>
      <c r="O140" s="204" t="s">
        <v>6767</v>
      </c>
      <c r="P140" s="206">
        <v>458</v>
      </c>
      <c r="Q140" s="208">
        <f>R140-U140</f>
        <v>0.85439999999999983</v>
      </c>
      <c r="R140" s="208">
        <f>IF(Y140&gt;Z140,Y140,Z140)</f>
        <v>2.0543999999999998</v>
      </c>
      <c r="S140" s="207">
        <v>1.65</v>
      </c>
      <c r="T140" s="67">
        <v>0.13</v>
      </c>
      <c r="U140" s="67" t="str">
        <f>IF(P140&lt;501,"1,20","1,70")</f>
        <v>1,20</v>
      </c>
      <c r="V140" s="67">
        <f>0.08+0.09+0.17</f>
        <v>0.33999999999999997</v>
      </c>
      <c r="W140" s="67">
        <v>0.25</v>
      </c>
      <c r="X140" s="70">
        <f>(T140+U140+V140+W140)/100*7</f>
        <v>0.13439999999999999</v>
      </c>
      <c r="Y140" s="70">
        <f>S140</f>
        <v>1.65</v>
      </c>
      <c r="Z140" s="70">
        <f>T140+U140+V140+W140+X140</f>
        <v>2.0543999999999998</v>
      </c>
      <c r="AA140" s="213"/>
      <c r="AB140" s="213">
        <v>2.5</v>
      </c>
      <c r="AC140" s="232"/>
      <c r="AD140" s="213"/>
      <c r="AH140" s="210"/>
    </row>
    <row r="141" spans="1:34" s="209" customFormat="1" x14ac:dyDescent="0.25">
      <c r="A141" s="204">
        <v>1872</v>
      </c>
      <c r="B141" s="204"/>
      <c r="C141" s="204" t="s">
        <v>9169</v>
      </c>
      <c r="D141" s="204" t="s">
        <v>5743</v>
      </c>
      <c r="E141" s="204"/>
      <c r="F141" s="204"/>
      <c r="G141" s="204"/>
      <c r="H141" s="204" t="s">
        <v>2734</v>
      </c>
      <c r="I141" s="205" t="s">
        <v>1929</v>
      </c>
      <c r="J141" s="204"/>
      <c r="K141" s="204" t="s">
        <v>1881</v>
      </c>
      <c r="L141" s="205" t="s">
        <v>9170</v>
      </c>
      <c r="M141" s="204">
        <v>64</v>
      </c>
      <c r="N141" s="204"/>
      <c r="O141" s="204" t="s">
        <v>6946</v>
      </c>
      <c r="P141" s="206">
        <v>281</v>
      </c>
      <c r="Q141" s="208">
        <f>IF(Y141&gt;Z141,Y141,Z141)-R141</f>
        <v>1.7103999999999997</v>
      </c>
      <c r="R141" s="207">
        <v>1.2</v>
      </c>
      <c r="S141" s="207">
        <v>2.4</v>
      </c>
      <c r="T141" s="67">
        <v>0.13</v>
      </c>
      <c r="U141" s="67" t="s">
        <v>9027</v>
      </c>
      <c r="V141" s="67">
        <v>0.33999999999999997</v>
      </c>
      <c r="W141" s="67">
        <v>0.35</v>
      </c>
      <c r="X141" s="70">
        <v>0.19039999999999999</v>
      </c>
      <c r="Y141" s="70">
        <f>S141</f>
        <v>2.4</v>
      </c>
      <c r="Z141" s="70">
        <v>2.9103999999999997</v>
      </c>
      <c r="AA141" s="213"/>
      <c r="AB141" s="213">
        <v>2.5</v>
      </c>
      <c r="AC141" s="232"/>
      <c r="AD141" s="213"/>
      <c r="AH141" s="210"/>
    </row>
    <row r="142" spans="1:34" s="209" customFormat="1" x14ac:dyDescent="0.25">
      <c r="A142" s="204">
        <v>1720</v>
      </c>
      <c r="B142" s="204" t="s">
        <v>4602</v>
      </c>
      <c r="C142" s="204" t="s">
        <v>4603</v>
      </c>
      <c r="D142" s="204" t="s">
        <v>2609</v>
      </c>
      <c r="E142" s="204"/>
      <c r="F142" s="204">
        <v>2009</v>
      </c>
      <c r="G142" s="204"/>
      <c r="H142" s="204" t="s">
        <v>1878</v>
      </c>
      <c r="I142" s="205" t="s">
        <v>1879</v>
      </c>
      <c r="J142" s="204"/>
      <c r="K142" s="204" t="s">
        <v>1881</v>
      </c>
      <c r="L142" s="205" t="s">
        <v>4604</v>
      </c>
      <c r="M142" s="204">
        <v>656</v>
      </c>
      <c r="N142" s="204"/>
      <c r="O142" s="204" t="s">
        <v>4547</v>
      </c>
      <c r="P142" s="206">
        <v>565</v>
      </c>
      <c r="Q142" s="208">
        <f>SUM(T142:X142)</f>
        <v>2.2175000000000002</v>
      </c>
      <c r="R142" s="207">
        <v>0.25</v>
      </c>
      <c r="S142" s="207"/>
      <c r="T142" s="67"/>
      <c r="U142" s="67">
        <v>1.7</v>
      </c>
      <c r="V142" s="67">
        <v>0.25</v>
      </c>
      <c r="W142" s="67">
        <f>IF(R142&gt;T142,R142,T142)</f>
        <v>0.25</v>
      </c>
      <c r="X142" s="70">
        <f>(T142+W142)/100*7</f>
        <v>1.7500000000000002E-2</v>
      </c>
      <c r="Y142" s="70"/>
      <c r="Z142" s="212"/>
      <c r="AA142" s="213"/>
      <c r="AB142" s="213">
        <v>2.5</v>
      </c>
      <c r="AC142" s="232"/>
      <c r="AD142" s="213"/>
      <c r="AH142" s="210"/>
    </row>
    <row r="143" spans="1:34" s="209" customFormat="1" x14ac:dyDescent="0.25">
      <c r="A143" s="204">
        <v>1395</v>
      </c>
      <c r="B143" s="204" t="s">
        <v>4216</v>
      </c>
      <c r="C143" s="204" t="s">
        <v>8337</v>
      </c>
      <c r="D143" s="204" t="s">
        <v>1912</v>
      </c>
      <c r="E143" s="204" t="s">
        <v>1899</v>
      </c>
      <c r="F143" s="204">
        <v>2009</v>
      </c>
      <c r="G143" s="204"/>
      <c r="H143" s="204" t="s">
        <v>1878</v>
      </c>
      <c r="I143" s="205" t="s">
        <v>1879</v>
      </c>
      <c r="J143" s="204"/>
      <c r="K143" s="204" t="s">
        <v>1881</v>
      </c>
      <c r="L143" s="205" t="s">
        <v>8338</v>
      </c>
      <c r="M143" s="204">
        <v>352</v>
      </c>
      <c r="N143" s="204"/>
      <c r="O143" s="204" t="s">
        <v>6733</v>
      </c>
      <c r="P143" s="206">
        <v>290</v>
      </c>
      <c r="Q143" s="208">
        <f>R143-U143</f>
        <v>0.85439999999999983</v>
      </c>
      <c r="R143" s="208">
        <f>IF(Y143&gt;Z143,Y143,Z143)</f>
        <v>2.0543999999999998</v>
      </c>
      <c r="S143" s="207">
        <v>1.55</v>
      </c>
      <c r="T143" s="67">
        <v>0.13</v>
      </c>
      <c r="U143" s="67" t="str">
        <f>IF(P143&lt;501,"1,20","1,70")</f>
        <v>1,20</v>
      </c>
      <c r="V143" s="67">
        <f>0.08+0.09+0.17</f>
        <v>0.33999999999999997</v>
      </c>
      <c r="W143" s="67">
        <v>0.25</v>
      </c>
      <c r="X143" s="70">
        <f>(T143+U143+V143+W143)/100*7</f>
        <v>0.13439999999999999</v>
      </c>
      <c r="Y143" s="70">
        <f>S143</f>
        <v>1.55</v>
      </c>
      <c r="Z143" s="70">
        <f>T143+U143+V143+W143+X143</f>
        <v>2.0543999999999998</v>
      </c>
      <c r="AA143" s="213"/>
      <c r="AB143" s="213">
        <v>2.5</v>
      </c>
      <c r="AC143" s="232"/>
      <c r="AD143" s="213"/>
      <c r="AH143" s="210"/>
    </row>
    <row r="144" spans="1:34" s="209" customFormat="1" x14ac:dyDescent="0.25">
      <c r="A144" s="204">
        <v>692</v>
      </c>
      <c r="B144" s="204" t="s">
        <v>3244</v>
      </c>
      <c r="C144" s="204" t="s">
        <v>3245</v>
      </c>
      <c r="D144" s="204" t="s">
        <v>2054</v>
      </c>
      <c r="E144" s="204"/>
      <c r="F144" s="204">
        <v>2011</v>
      </c>
      <c r="G144" s="204"/>
      <c r="H144" s="204" t="s">
        <v>1878</v>
      </c>
      <c r="I144" s="205" t="s">
        <v>1879</v>
      </c>
      <c r="J144" s="204"/>
      <c r="K144" s="204" t="s">
        <v>1881</v>
      </c>
      <c r="L144" s="205" t="s">
        <v>9777</v>
      </c>
      <c r="M144" s="204">
        <v>381</v>
      </c>
      <c r="N144" s="204"/>
      <c r="O144" s="204" t="s">
        <v>9778</v>
      </c>
      <c r="P144" s="206">
        <v>481</v>
      </c>
      <c r="Q144" s="208">
        <f>IF(Y144&gt;Z144,Y144,Z144)-R144</f>
        <v>2.7408099999999997</v>
      </c>
      <c r="R144" s="207">
        <v>1.2</v>
      </c>
      <c r="S144" s="207">
        <f>0.25+1.74</f>
        <v>1.99</v>
      </c>
      <c r="T144" s="207"/>
      <c r="U144" s="67">
        <v>2.2000000000000002</v>
      </c>
      <c r="V144" s="67">
        <v>0.34</v>
      </c>
      <c r="W144" s="67">
        <f>(T144+U144+V144)/100*45</f>
        <v>1.143</v>
      </c>
      <c r="X144" s="70">
        <f>(T144+U144+V144+W144)/100*7</f>
        <v>0.25780999999999998</v>
      </c>
      <c r="Y144" s="70">
        <f>S144</f>
        <v>1.99</v>
      </c>
      <c r="Z144" s="70">
        <f>SUM(T144:X144)</f>
        <v>3.9408099999999999</v>
      </c>
      <c r="AA144" s="213"/>
      <c r="AB144" s="213">
        <v>0.72</v>
      </c>
      <c r="AC144" s="232"/>
      <c r="AD144" s="213"/>
      <c r="AH144" s="210"/>
    </row>
    <row r="145" spans="1:34" s="209" customFormat="1" x14ac:dyDescent="0.25">
      <c r="A145" s="204">
        <v>689</v>
      </c>
      <c r="B145" s="204" t="s">
        <v>9136</v>
      </c>
      <c r="C145" s="204" t="s">
        <v>9152</v>
      </c>
      <c r="D145" s="204" t="s">
        <v>9138</v>
      </c>
      <c r="E145" s="204"/>
      <c r="F145" s="204">
        <v>2011</v>
      </c>
      <c r="G145" s="204"/>
      <c r="H145" s="204" t="s">
        <v>2734</v>
      </c>
      <c r="I145" s="205" t="s">
        <v>7817</v>
      </c>
      <c r="J145" s="204"/>
      <c r="K145" s="204" t="s">
        <v>1881</v>
      </c>
      <c r="L145" s="205" t="s">
        <v>9153</v>
      </c>
      <c r="M145" s="204">
        <v>539</v>
      </c>
      <c r="N145" s="204"/>
      <c r="O145" s="204" t="s">
        <v>6941</v>
      </c>
      <c r="P145" s="206">
        <v>719</v>
      </c>
      <c r="Q145" s="208">
        <f>IF(Y145&gt;Z145,Y145,Z145)-R145</f>
        <v>1.5313999999999999</v>
      </c>
      <c r="R145" s="207">
        <v>1.7</v>
      </c>
      <c r="S145" s="207">
        <v>3</v>
      </c>
      <c r="T145" s="67">
        <v>0.13</v>
      </c>
      <c r="U145" s="67" t="s">
        <v>9059</v>
      </c>
      <c r="V145" s="67">
        <v>0.33999999999999997</v>
      </c>
      <c r="W145" s="67">
        <v>0.35</v>
      </c>
      <c r="X145" s="70">
        <v>0.2114</v>
      </c>
      <c r="Y145" s="70">
        <f>S145</f>
        <v>3</v>
      </c>
      <c r="Z145" s="70">
        <v>3.2313999999999998</v>
      </c>
      <c r="AA145" s="213"/>
      <c r="AB145" s="213"/>
      <c r="AC145" s="232">
        <v>1.53</v>
      </c>
      <c r="AD145" s="213"/>
      <c r="AH145" s="210"/>
    </row>
    <row r="146" spans="1:34" s="209" customFormat="1" x14ac:dyDescent="0.25">
      <c r="A146" s="204">
        <v>796</v>
      </c>
      <c r="B146" s="204" t="s">
        <v>10074</v>
      </c>
      <c r="C146" s="204" t="s">
        <v>10075</v>
      </c>
      <c r="D146" s="204" t="s">
        <v>3077</v>
      </c>
      <c r="E146" s="204" t="s">
        <v>1913</v>
      </c>
      <c r="F146" s="204">
        <v>2019</v>
      </c>
      <c r="G146" s="204"/>
      <c r="H146" s="204" t="s">
        <v>1878</v>
      </c>
      <c r="I146" s="205" t="s">
        <v>1929</v>
      </c>
      <c r="J146" s="204"/>
      <c r="K146" s="204" t="s">
        <v>1881</v>
      </c>
      <c r="L146" s="205" t="s">
        <v>10076</v>
      </c>
      <c r="M146" s="204">
        <v>573</v>
      </c>
      <c r="N146" s="204"/>
      <c r="O146" s="204" t="s">
        <v>10077</v>
      </c>
      <c r="P146" s="206">
        <v>474</v>
      </c>
      <c r="Q146" s="208">
        <f>IF(Y146&gt;Z146,Y146,Z146)-R146</f>
        <v>3.2</v>
      </c>
      <c r="R146" s="207">
        <v>1.2</v>
      </c>
      <c r="S146" s="207">
        <v>4.4000000000000004</v>
      </c>
      <c r="T146" s="207"/>
      <c r="U146" s="77">
        <v>2.2000000000000002</v>
      </c>
      <c r="V146" s="77">
        <v>0.34</v>
      </c>
      <c r="W146" s="207">
        <f>(T146+U146+V146)/100*45</f>
        <v>1.143</v>
      </c>
      <c r="X146" s="70">
        <f>(T146+U146+V146+W146)/100*7</f>
        <v>0.25780999999999998</v>
      </c>
      <c r="Y146" s="228">
        <f>S146</f>
        <v>4.4000000000000004</v>
      </c>
      <c r="Z146" s="70">
        <f>SUM(T146:X146)</f>
        <v>3.9408099999999999</v>
      </c>
      <c r="AA146" s="213"/>
      <c r="AB146" s="213"/>
      <c r="AC146" s="232">
        <v>3.2</v>
      </c>
      <c r="AD146" s="213"/>
      <c r="AH146" s="210"/>
    </row>
    <row r="147" spans="1:34" s="209" customFormat="1" x14ac:dyDescent="0.25">
      <c r="A147" s="204">
        <v>2522</v>
      </c>
      <c r="B147" s="204" t="s">
        <v>7622</v>
      </c>
      <c r="C147" s="204" t="s">
        <v>7623</v>
      </c>
      <c r="D147" s="204" t="s">
        <v>1912</v>
      </c>
      <c r="E147" s="204" t="s">
        <v>1921</v>
      </c>
      <c r="F147" s="204">
        <v>2003</v>
      </c>
      <c r="G147" s="204"/>
      <c r="H147" s="204" t="s">
        <v>1878</v>
      </c>
      <c r="I147" s="205" t="s">
        <v>1879</v>
      </c>
      <c r="J147" s="204"/>
      <c r="K147" s="204" t="s">
        <v>1881</v>
      </c>
      <c r="L147" s="205" t="s">
        <v>7624</v>
      </c>
      <c r="M147" s="204">
        <v>480</v>
      </c>
      <c r="N147" s="204"/>
      <c r="O147" s="204" t="s">
        <v>5608</v>
      </c>
      <c r="P147" s="206">
        <v>421</v>
      </c>
      <c r="Q147" s="208">
        <f>SUM(U147:X147)</f>
        <v>0.64900000000000002</v>
      </c>
      <c r="R147" s="207">
        <v>0.28999999999999998</v>
      </c>
      <c r="S147" s="207"/>
      <c r="T147" s="67">
        <v>0.35</v>
      </c>
      <c r="U147" s="67"/>
      <c r="V147" s="67">
        <v>0.25</v>
      </c>
      <c r="W147" s="67">
        <f>IF(R147&gt;T147,R147,T147)</f>
        <v>0.35</v>
      </c>
      <c r="X147" s="70">
        <f>(T147+W147)/100*7</f>
        <v>4.8999999999999995E-2</v>
      </c>
      <c r="Y147" s="70"/>
      <c r="Z147" s="212"/>
      <c r="AA147" s="213"/>
      <c r="AB147" s="213">
        <v>0.65</v>
      </c>
      <c r="AC147" s="232"/>
      <c r="AD147" s="213"/>
      <c r="AH147" s="210"/>
    </row>
    <row r="148" spans="1:34" s="209" customFormat="1" x14ac:dyDescent="0.25">
      <c r="A148" s="204">
        <v>1031</v>
      </c>
      <c r="B148" s="204" t="s">
        <v>8299</v>
      </c>
      <c r="C148" s="204" t="s">
        <v>8298</v>
      </c>
      <c r="D148" s="204" t="s">
        <v>2054</v>
      </c>
      <c r="E148" s="204"/>
      <c r="F148" s="204">
        <v>2000</v>
      </c>
      <c r="G148" s="204"/>
      <c r="H148" s="204" t="s">
        <v>1878</v>
      </c>
      <c r="I148" s="205" t="s">
        <v>1929</v>
      </c>
      <c r="J148" s="204"/>
      <c r="K148" s="204" t="s">
        <v>1881</v>
      </c>
      <c r="L148" s="205" t="s">
        <v>8300</v>
      </c>
      <c r="M148" s="204">
        <v>178</v>
      </c>
      <c r="N148" s="204"/>
      <c r="O148" s="204" t="s">
        <v>6719</v>
      </c>
      <c r="P148" s="206">
        <v>308</v>
      </c>
      <c r="Q148" s="208">
        <f>R148-U148</f>
        <v>0.8899999999999999</v>
      </c>
      <c r="R148" s="208">
        <f>IF(Y148&gt;Z148,Y148,Z148)</f>
        <v>2.09</v>
      </c>
      <c r="S148" s="207">
        <v>2.09</v>
      </c>
      <c r="T148" s="67">
        <v>0.13</v>
      </c>
      <c r="U148" s="67" t="str">
        <f>IF(P148&lt;501,"1,20","1,70")</f>
        <v>1,20</v>
      </c>
      <c r="V148" s="67">
        <f>0.08+0.09+0.17</f>
        <v>0.33999999999999997</v>
      </c>
      <c r="W148" s="67">
        <v>0.25</v>
      </c>
      <c r="X148" s="70">
        <f>(T148+U148+V148+W148)/100*7</f>
        <v>0.13439999999999999</v>
      </c>
      <c r="Y148" s="70">
        <f>S148</f>
        <v>2.09</v>
      </c>
      <c r="Z148" s="70">
        <f>T148+U148+V148+W148+X148</f>
        <v>2.0543999999999998</v>
      </c>
      <c r="AA148" s="213"/>
      <c r="AB148" s="213">
        <v>0.89</v>
      </c>
      <c r="AC148" s="232"/>
      <c r="AD148" s="213"/>
      <c r="AH148" s="210"/>
    </row>
    <row r="149" spans="1:34" s="209" customFormat="1" x14ac:dyDescent="0.25">
      <c r="A149" s="204">
        <v>690</v>
      </c>
      <c r="B149" s="204" t="s">
        <v>8071</v>
      </c>
      <c r="C149" s="204" t="s">
        <v>8072</v>
      </c>
      <c r="D149" s="204" t="s">
        <v>2309</v>
      </c>
      <c r="E149" s="204" t="s">
        <v>1877</v>
      </c>
      <c r="F149" s="204">
        <v>2010</v>
      </c>
      <c r="G149" s="204"/>
      <c r="H149" s="204" t="s">
        <v>1878</v>
      </c>
      <c r="I149" s="205" t="s">
        <v>1879</v>
      </c>
      <c r="J149" s="204"/>
      <c r="K149" s="204" t="s">
        <v>1881</v>
      </c>
      <c r="L149" s="205" t="s">
        <v>8073</v>
      </c>
      <c r="M149" s="204">
        <v>210</v>
      </c>
      <c r="N149" s="204"/>
      <c r="O149" s="204" t="s">
        <v>6634</v>
      </c>
      <c r="P149" s="206">
        <v>373</v>
      </c>
      <c r="Q149" s="208">
        <f>SUM(T149:X149)</f>
        <v>1.0204</v>
      </c>
      <c r="R149" s="207">
        <v>0.5</v>
      </c>
      <c r="S149" s="207"/>
      <c r="T149" s="67">
        <v>0.35</v>
      </c>
      <c r="U149" s="67">
        <v>0.37</v>
      </c>
      <c r="V149" s="67">
        <v>0.25</v>
      </c>
      <c r="W149" s="67"/>
      <c r="X149" s="70">
        <f>(T149+U149)/100*7</f>
        <v>5.04E-2</v>
      </c>
      <c r="Y149" s="70"/>
      <c r="Z149" s="212"/>
      <c r="AA149" s="213"/>
      <c r="AB149" s="213">
        <v>1.02</v>
      </c>
      <c r="AC149" s="232"/>
      <c r="AD149" s="213"/>
      <c r="AH149" s="210"/>
    </row>
    <row r="150" spans="1:34" s="209" customFormat="1" x14ac:dyDescent="0.25">
      <c r="A150" s="74">
        <v>691</v>
      </c>
      <c r="B150" s="204" t="s">
        <v>9535</v>
      </c>
      <c r="C150" s="204" t="s">
        <v>9536</v>
      </c>
      <c r="D150" s="204" t="s">
        <v>9537</v>
      </c>
      <c r="E150" s="212"/>
      <c r="F150" s="204">
        <v>1996</v>
      </c>
      <c r="G150" s="212"/>
      <c r="H150" s="204" t="s">
        <v>2734</v>
      </c>
      <c r="I150" s="205" t="s">
        <v>1929</v>
      </c>
      <c r="J150" s="212"/>
      <c r="K150" s="204" t="s">
        <v>1881</v>
      </c>
      <c r="L150" s="205" t="s">
        <v>9538</v>
      </c>
      <c r="M150" s="212"/>
      <c r="N150" s="212"/>
      <c r="O150" s="204" t="s">
        <v>7071</v>
      </c>
      <c r="P150" s="206">
        <v>233</v>
      </c>
      <c r="Q150" s="208">
        <f>IF(Y150&gt;Z150,Y150,Z150)-R150</f>
        <v>3.58</v>
      </c>
      <c r="R150" s="207">
        <v>1.2</v>
      </c>
      <c r="S150" s="230">
        <f>1.79+2.99</f>
        <v>4.78</v>
      </c>
      <c r="T150" s="67">
        <v>0.13</v>
      </c>
      <c r="U150" s="67">
        <v>1.9</v>
      </c>
      <c r="V150" s="67">
        <v>0.33999999999999997</v>
      </c>
      <c r="W150" s="67">
        <v>0.35</v>
      </c>
      <c r="X150" s="70">
        <v>0.2114</v>
      </c>
      <c r="Y150" s="70">
        <f>S150</f>
        <v>4.78</v>
      </c>
      <c r="Z150" s="70">
        <f>SUM(T150:X150)</f>
        <v>2.9313999999999996</v>
      </c>
      <c r="AA150" s="213"/>
      <c r="AB150" s="213">
        <v>3.58</v>
      </c>
      <c r="AC150" s="232"/>
      <c r="AD150" s="213"/>
      <c r="AH150" s="210"/>
    </row>
    <row r="151" spans="1:34" s="209" customFormat="1" x14ac:dyDescent="0.25">
      <c r="A151" s="74">
        <v>692</v>
      </c>
      <c r="B151" s="204" t="s">
        <v>9220</v>
      </c>
      <c r="C151" s="204" t="s">
        <v>9221</v>
      </c>
      <c r="D151" s="204" t="s">
        <v>2424</v>
      </c>
      <c r="E151" s="204" t="s">
        <v>2518</v>
      </c>
      <c r="F151" s="204">
        <v>2001</v>
      </c>
      <c r="G151" s="204"/>
      <c r="H151" s="204" t="s">
        <v>1878</v>
      </c>
      <c r="I151" s="205" t="s">
        <v>7527</v>
      </c>
      <c r="J151" s="204"/>
      <c r="K151" s="204" t="s">
        <v>1881</v>
      </c>
      <c r="L151" s="205" t="s">
        <v>9222</v>
      </c>
      <c r="M151" s="204">
        <v>365</v>
      </c>
      <c r="N151" s="204"/>
      <c r="O151" s="204" t="s">
        <v>6959</v>
      </c>
      <c r="P151" s="206">
        <v>393</v>
      </c>
      <c r="Q151" s="208">
        <f>IF(Y151&gt;Z151,Y151,Z151)-R151</f>
        <v>1.7103999999999997</v>
      </c>
      <c r="R151" s="207">
        <v>1.2</v>
      </c>
      <c r="S151" s="231">
        <v>1.65</v>
      </c>
      <c r="T151" s="67">
        <v>0.13</v>
      </c>
      <c r="U151" s="67">
        <v>1.9</v>
      </c>
      <c r="V151" s="67">
        <v>0.33999999999999997</v>
      </c>
      <c r="W151" s="67">
        <v>0.35</v>
      </c>
      <c r="X151" s="70">
        <v>0.19039999999999999</v>
      </c>
      <c r="Y151" s="70">
        <f>S151</f>
        <v>1.65</v>
      </c>
      <c r="Z151" s="70">
        <f>SUM(T151:X151)</f>
        <v>2.9103999999999997</v>
      </c>
      <c r="AA151" s="213"/>
      <c r="AB151" s="213">
        <v>1.71</v>
      </c>
      <c r="AC151" s="232"/>
      <c r="AD151" s="213"/>
      <c r="AH151" s="210"/>
    </row>
    <row r="152" spans="1:34" s="209" customFormat="1" x14ac:dyDescent="0.25">
      <c r="A152" s="204">
        <v>1395</v>
      </c>
      <c r="B152" s="204" t="s">
        <v>7340</v>
      </c>
      <c r="C152" s="204" t="s">
        <v>7341</v>
      </c>
      <c r="D152" s="204" t="s">
        <v>7332</v>
      </c>
      <c r="E152" s="204" t="s">
        <v>2175</v>
      </c>
      <c r="F152" s="204">
        <v>2012</v>
      </c>
      <c r="G152" s="204"/>
      <c r="H152" s="204" t="s">
        <v>1878</v>
      </c>
      <c r="I152" s="205" t="s">
        <v>1879</v>
      </c>
      <c r="J152" s="204"/>
      <c r="K152" s="204" t="s">
        <v>1881</v>
      </c>
      <c r="L152" s="205" t="s">
        <v>7342</v>
      </c>
      <c r="M152" s="204">
        <v>480</v>
      </c>
      <c r="N152" s="204"/>
      <c r="O152" s="204" t="s">
        <v>5511</v>
      </c>
      <c r="P152" s="206">
        <v>512</v>
      </c>
      <c r="Q152" s="208">
        <f>SUM(U152:X152)</f>
        <v>0.79669999999999996</v>
      </c>
      <c r="R152" s="207">
        <v>0.49</v>
      </c>
      <c r="S152" s="207"/>
      <c r="T152" s="67">
        <v>0.32</v>
      </c>
      <c r="U152" s="67"/>
      <c r="V152" s="67">
        <v>0.25</v>
      </c>
      <c r="W152" s="67">
        <f>IF(R152&gt;T152,R152,T152)</f>
        <v>0.49</v>
      </c>
      <c r="X152" s="70">
        <f>(T152+W152)/100*7</f>
        <v>5.6700000000000007E-2</v>
      </c>
      <c r="Y152" s="70"/>
      <c r="Z152" s="212"/>
      <c r="AA152" s="213"/>
      <c r="AB152" s="213">
        <v>0.8</v>
      </c>
      <c r="AC152" s="232"/>
      <c r="AD152" s="213"/>
      <c r="AH152" s="210"/>
    </row>
    <row r="153" spans="1:34" s="209" customFormat="1" x14ac:dyDescent="0.25">
      <c r="A153" s="204">
        <v>2518</v>
      </c>
      <c r="B153" s="204" t="s">
        <v>3301</v>
      </c>
      <c r="C153" s="204" t="s">
        <v>4655</v>
      </c>
      <c r="D153" s="204" t="s">
        <v>2309</v>
      </c>
      <c r="E153" s="204" t="s">
        <v>2518</v>
      </c>
      <c r="F153" s="204">
        <v>2011</v>
      </c>
      <c r="G153" s="204"/>
      <c r="H153" s="204" t="s">
        <v>1878</v>
      </c>
      <c r="I153" s="205" t="s">
        <v>1879</v>
      </c>
      <c r="J153" s="204"/>
      <c r="K153" s="204" t="s">
        <v>1881</v>
      </c>
      <c r="L153" s="205" t="s">
        <v>8221</v>
      </c>
      <c r="M153" s="204">
        <v>560</v>
      </c>
      <c r="N153" s="204"/>
      <c r="O153" s="204" t="s">
        <v>6689</v>
      </c>
      <c r="P153" s="206">
        <v>598</v>
      </c>
      <c r="Q153" s="208">
        <f>R153-U153</f>
        <v>1.1569</v>
      </c>
      <c r="R153" s="208">
        <f>IF(Y153&gt;Z153,Y153,Z153)</f>
        <v>2.8569</v>
      </c>
      <c r="S153" s="207">
        <v>2.82</v>
      </c>
      <c r="T153" s="67">
        <v>0.13</v>
      </c>
      <c r="U153" s="67" t="str">
        <f>IF(P153&lt;501,"1,20","1,70")</f>
        <v>1,70</v>
      </c>
      <c r="V153" s="67">
        <f>0.08+0.09+0.17</f>
        <v>0.33999999999999997</v>
      </c>
      <c r="W153" s="67">
        <v>0.5</v>
      </c>
      <c r="X153" s="70">
        <f>(T153+U153+V153+W153)/100*7</f>
        <v>0.18689999999999998</v>
      </c>
      <c r="Y153" s="70">
        <f>S153</f>
        <v>2.82</v>
      </c>
      <c r="Z153" s="70">
        <f>T153+U153+V153+W153+X153</f>
        <v>2.8569</v>
      </c>
      <c r="AA153" s="213"/>
      <c r="AB153" s="213">
        <v>1.1599999999999999</v>
      </c>
      <c r="AC153" s="232"/>
      <c r="AD153" s="213"/>
      <c r="AH153" s="210"/>
    </row>
    <row r="154" spans="1:34" s="209" customFormat="1" x14ac:dyDescent="0.25">
      <c r="A154" s="74">
        <v>1396</v>
      </c>
      <c r="B154" s="204" t="s">
        <v>9337</v>
      </c>
      <c r="C154" s="204" t="s">
        <v>9338</v>
      </c>
      <c r="D154" s="204" t="s">
        <v>2054</v>
      </c>
      <c r="E154" s="212"/>
      <c r="F154" s="204">
        <v>2002</v>
      </c>
      <c r="G154" s="212"/>
      <c r="H154" s="204" t="s">
        <v>2734</v>
      </c>
      <c r="I154" s="205" t="s">
        <v>1879</v>
      </c>
      <c r="J154" s="212"/>
      <c r="K154" s="204" t="s">
        <v>1881</v>
      </c>
      <c r="L154" s="205" t="s">
        <v>9339</v>
      </c>
      <c r="M154" s="204">
        <v>498</v>
      </c>
      <c r="N154" s="212"/>
      <c r="O154" s="204" t="s">
        <v>6999</v>
      </c>
      <c r="P154" s="206">
        <v>575</v>
      </c>
      <c r="Q154" s="208">
        <f>IF(Y154&gt;Z154,Y154,Z154)-R154</f>
        <v>1.5313999999999999</v>
      </c>
      <c r="R154" s="207">
        <v>1.7</v>
      </c>
      <c r="S154" s="230">
        <v>2.7</v>
      </c>
      <c r="T154" s="67">
        <v>0.13</v>
      </c>
      <c r="U154" s="67">
        <v>2.2000000000000002</v>
      </c>
      <c r="V154" s="67">
        <v>0.33999999999999997</v>
      </c>
      <c r="W154" s="67">
        <v>0.35</v>
      </c>
      <c r="X154" s="70">
        <v>0.2114</v>
      </c>
      <c r="Y154" s="70">
        <f>S154</f>
        <v>2.7</v>
      </c>
      <c r="Z154" s="70">
        <f>SUM(T154:X154)</f>
        <v>3.2313999999999998</v>
      </c>
      <c r="AA154" s="213"/>
      <c r="AB154" s="213">
        <v>1.53</v>
      </c>
      <c r="AC154" s="232"/>
      <c r="AD154" s="213"/>
      <c r="AH154" s="210"/>
    </row>
    <row r="155" spans="1:34" s="209" customFormat="1" x14ac:dyDescent="0.25">
      <c r="A155" s="204">
        <v>689</v>
      </c>
      <c r="B155" s="204" t="s">
        <v>3737</v>
      </c>
      <c r="C155" s="204" t="s">
        <v>3738</v>
      </c>
      <c r="D155" s="204" t="s">
        <v>2257</v>
      </c>
      <c r="E155" s="204" t="s">
        <v>3739</v>
      </c>
      <c r="F155" s="204">
        <v>1999</v>
      </c>
      <c r="G155" s="204"/>
      <c r="H155" s="204" t="s">
        <v>1878</v>
      </c>
      <c r="I155" s="205" t="s">
        <v>1879</v>
      </c>
      <c r="J155" s="204"/>
      <c r="K155" s="204" t="s">
        <v>1881</v>
      </c>
      <c r="L155" s="205" t="s">
        <v>3740</v>
      </c>
      <c r="M155" s="204">
        <v>576</v>
      </c>
      <c r="N155" s="204"/>
      <c r="O155" s="204" t="s">
        <v>3575</v>
      </c>
      <c r="P155" s="206">
        <v>413</v>
      </c>
      <c r="Q155" s="208">
        <f>SUM(T155:X155)</f>
        <v>1.8244999999999998</v>
      </c>
      <c r="R155" s="207">
        <v>0.35</v>
      </c>
      <c r="S155" s="207"/>
      <c r="T155" s="67"/>
      <c r="U155" s="67">
        <v>1.2</v>
      </c>
      <c r="V155" s="67">
        <v>0.25</v>
      </c>
      <c r="W155" s="67">
        <f>IF(R155&gt;T155,R155,T155)</f>
        <v>0.35</v>
      </c>
      <c r="X155" s="70">
        <f>(T155+W155)/100*7</f>
        <v>2.4499999999999997E-2</v>
      </c>
      <c r="Y155" s="70"/>
      <c r="Z155" s="212"/>
      <c r="AA155" s="213"/>
      <c r="AB155" s="213">
        <v>2.27</v>
      </c>
      <c r="AC155" s="232"/>
      <c r="AD155" s="213"/>
      <c r="AH155" s="210"/>
    </row>
    <row r="156" spans="1:34" s="209" customFormat="1" x14ac:dyDescent="0.25">
      <c r="A156" s="204">
        <v>1386</v>
      </c>
      <c r="B156" s="204" t="s">
        <v>10256</v>
      </c>
      <c r="C156" s="204" t="s">
        <v>10257</v>
      </c>
      <c r="D156" s="204" t="s">
        <v>10258</v>
      </c>
      <c r="E156" s="204"/>
      <c r="F156" s="204">
        <v>2018</v>
      </c>
      <c r="G156" s="204"/>
      <c r="H156" s="204" t="s">
        <v>1878</v>
      </c>
      <c r="I156" s="205" t="s">
        <v>1879</v>
      </c>
      <c r="J156" s="204"/>
      <c r="K156" s="204" t="s">
        <v>1881</v>
      </c>
      <c r="L156" s="205" t="s">
        <v>10259</v>
      </c>
      <c r="M156" s="204">
        <v>359</v>
      </c>
      <c r="N156" s="204"/>
      <c r="O156" s="204" t="s">
        <v>10260</v>
      </c>
      <c r="P156" s="206">
        <v>428</v>
      </c>
      <c r="Q156" s="208">
        <f>IF(Y156&gt;Z156,Y156,Z156)-R156</f>
        <v>3.16</v>
      </c>
      <c r="R156" s="207">
        <v>1.2</v>
      </c>
      <c r="S156" s="207">
        <v>4.3600000000000003</v>
      </c>
      <c r="T156" s="207"/>
      <c r="U156" s="77">
        <v>2.2000000000000002</v>
      </c>
      <c r="V156" s="77">
        <v>0.34</v>
      </c>
      <c r="W156" s="207">
        <f>Q156-V156-X156</f>
        <v>2.5988000000000002</v>
      </c>
      <c r="X156" s="70">
        <f>Q156*0.07</f>
        <v>0.22120000000000004</v>
      </c>
      <c r="Y156" s="228">
        <f>S156</f>
        <v>4.3600000000000003</v>
      </c>
      <c r="Z156" s="212"/>
      <c r="AA156" s="212"/>
      <c r="AB156" s="212"/>
      <c r="AC156" s="232">
        <v>3.16</v>
      </c>
      <c r="AD156" s="212"/>
      <c r="AH156" s="210"/>
    </row>
    <row r="157" spans="1:34" s="209" customFormat="1" x14ac:dyDescent="0.25">
      <c r="A157" s="204">
        <v>692</v>
      </c>
      <c r="B157" s="204" t="s">
        <v>9854</v>
      </c>
      <c r="C157" s="204" t="s">
        <v>9855</v>
      </c>
      <c r="D157" s="204" t="s">
        <v>2309</v>
      </c>
      <c r="E157" s="204" t="s">
        <v>1913</v>
      </c>
      <c r="F157" s="204">
        <v>2016</v>
      </c>
      <c r="G157" s="204"/>
      <c r="H157" s="204" t="s">
        <v>1878</v>
      </c>
      <c r="I157" s="205" t="s">
        <v>1929</v>
      </c>
      <c r="J157" s="204"/>
      <c r="K157" s="204" t="s">
        <v>1881</v>
      </c>
      <c r="L157" s="205" t="s">
        <v>9856</v>
      </c>
      <c r="M157" s="204">
        <v>431</v>
      </c>
      <c r="N157" s="204"/>
      <c r="O157" s="204" t="s">
        <v>9857</v>
      </c>
      <c r="P157" s="206">
        <v>523</v>
      </c>
      <c r="Q157" s="208">
        <f>IF(Y157&gt;Z157,Y157,Z157)-R157</f>
        <v>2.2408099999999997</v>
      </c>
      <c r="R157" s="207">
        <v>1.7</v>
      </c>
      <c r="S157" s="207">
        <v>3.9</v>
      </c>
      <c r="T157" s="207"/>
      <c r="U157" s="67">
        <v>2.2000000000000002</v>
      </c>
      <c r="V157" s="67">
        <v>0.34</v>
      </c>
      <c r="W157" s="67">
        <f>(T157+U157+V157)/100*45</f>
        <v>1.143</v>
      </c>
      <c r="X157" s="70">
        <f>(T157+U157+V157+W157)/100*7</f>
        <v>0.25780999999999998</v>
      </c>
      <c r="Y157" s="70">
        <f>S157</f>
        <v>3.9</v>
      </c>
      <c r="Z157" s="70">
        <f>SUM(T157:X157)</f>
        <v>3.9408099999999999</v>
      </c>
      <c r="AA157" s="213"/>
      <c r="AB157" s="213"/>
      <c r="AC157" s="232">
        <v>3.57</v>
      </c>
      <c r="AD157" s="213"/>
      <c r="AH157" s="210"/>
    </row>
    <row r="158" spans="1:34" s="209" customFormat="1" x14ac:dyDescent="0.25">
      <c r="A158" s="204">
        <v>2518</v>
      </c>
      <c r="B158" s="204" t="s">
        <v>9935</v>
      </c>
      <c r="C158" s="204" t="s">
        <v>9942</v>
      </c>
      <c r="D158" s="204" t="s">
        <v>2609</v>
      </c>
      <c r="E158" s="204"/>
      <c r="F158" s="204">
        <v>2019</v>
      </c>
      <c r="G158" s="204"/>
      <c r="H158" s="204" t="s">
        <v>1878</v>
      </c>
      <c r="I158" s="205" t="s">
        <v>1929</v>
      </c>
      <c r="J158" s="204"/>
      <c r="K158" s="204" t="s">
        <v>1881</v>
      </c>
      <c r="L158" s="205" t="s">
        <v>9943</v>
      </c>
      <c r="M158" s="204">
        <v>381</v>
      </c>
      <c r="N158" s="204"/>
      <c r="O158" s="204" t="s">
        <v>9944</v>
      </c>
      <c r="P158" s="206">
        <v>341</v>
      </c>
      <c r="Q158" s="208">
        <f>IF(Y158&gt;Z158,Y158,Z158)-R158</f>
        <v>3.7</v>
      </c>
      <c r="R158" s="207">
        <v>1.2</v>
      </c>
      <c r="S158" s="207">
        <v>4.9000000000000004</v>
      </c>
      <c r="T158" s="207"/>
      <c r="U158" s="77">
        <v>2.2000000000000002</v>
      </c>
      <c r="V158" s="77">
        <v>0.34</v>
      </c>
      <c r="W158" s="207">
        <f>(T158+U158+V158)/100*45</f>
        <v>1.143</v>
      </c>
      <c r="X158" s="70">
        <f>(T158+U158+V158+W158)/100*7</f>
        <v>0.25780999999999998</v>
      </c>
      <c r="Y158" s="228">
        <f>S158</f>
        <v>4.9000000000000004</v>
      </c>
      <c r="Z158" s="70">
        <f>SUM(T158:X158)</f>
        <v>3.9408099999999999</v>
      </c>
      <c r="AA158" s="213"/>
      <c r="AB158" s="213"/>
      <c r="AC158" s="232">
        <v>3.7</v>
      </c>
      <c r="AD158" s="213"/>
      <c r="AH158" s="210"/>
    </row>
    <row r="159" spans="1:34" s="209" customFormat="1" x14ac:dyDescent="0.25">
      <c r="A159" s="204">
        <v>632</v>
      </c>
      <c r="B159" s="204" t="s">
        <v>9881</v>
      </c>
      <c r="C159" s="204" t="s">
        <v>9882</v>
      </c>
      <c r="D159" s="204" t="s">
        <v>3077</v>
      </c>
      <c r="E159" s="204" t="s">
        <v>1913</v>
      </c>
      <c r="F159" s="204">
        <v>2017</v>
      </c>
      <c r="G159" s="204"/>
      <c r="H159" s="204" t="s">
        <v>1878</v>
      </c>
      <c r="I159" s="205" t="s">
        <v>1879</v>
      </c>
      <c r="J159" s="204"/>
      <c r="K159" s="204" t="s">
        <v>1881</v>
      </c>
      <c r="L159" s="205" t="s">
        <v>9883</v>
      </c>
      <c r="M159" s="204">
        <v>539</v>
      </c>
      <c r="N159" s="204"/>
      <c r="O159" s="204" t="s">
        <v>9884</v>
      </c>
      <c r="P159" s="206">
        <v>446</v>
      </c>
      <c r="Q159" s="208">
        <f>IF(Y159&gt;Z159,Y159,Z159)-R159</f>
        <v>4.3</v>
      </c>
      <c r="R159" s="207">
        <v>1.2</v>
      </c>
      <c r="S159" s="207">
        <v>5.5</v>
      </c>
      <c r="T159" s="207"/>
      <c r="U159" s="67">
        <v>2.2000000000000002</v>
      </c>
      <c r="V159" s="67">
        <v>0.34</v>
      </c>
      <c r="W159" s="67">
        <f>(T159+U159+V159)/100*45</f>
        <v>1.143</v>
      </c>
      <c r="X159" s="70">
        <f>(T159+U159+V159+W159)/100*7</f>
        <v>0.25780999999999998</v>
      </c>
      <c r="Y159" s="70">
        <f>S159</f>
        <v>5.5</v>
      </c>
      <c r="Z159" s="70">
        <f>SUM(T159:X159)</f>
        <v>3.9408099999999999</v>
      </c>
      <c r="AA159" s="213"/>
      <c r="AB159" s="213"/>
      <c r="AC159" s="232">
        <v>4.3</v>
      </c>
      <c r="AD159" s="213"/>
      <c r="AH159" s="210"/>
    </row>
    <row r="160" spans="1:34" s="209" customFormat="1" x14ac:dyDescent="0.25">
      <c r="A160" s="204">
        <v>689</v>
      </c>
      <c r="B160" s="204" t="s">
        <v>4348</v>
      </c>
      <c r="C160" s="204" t="s">
        <v>4491</v>
      </c>
      <c r="D160" s="204" t="s">
        <v>3022</v>
      </c>
      <c r="E160" s="204"/>
      <c r="F160" s="204">
        <v>2001</v>
      </c>
      <c r="G160" s="204"/>
      <c r="H160" s="204" t="s">
        <v>2734</v>
      </c>
      <c r="I160" s="205" t="s">
        <v>1879</v>
      </c>
      <c r="J160" s="204" t="s">
        <v>4198</v>
      </c>
      <c r="K160" s="204" t="s">
        <v>1881</v>
      </c>
      <c r="L160" s="205" t="s">
        <v>4492</v>
      </c>
      <c r="M160" s="204">
        <v>470</v>
      </c>
      <c r="N160" s="204"/>
      <c r="O160" s="204" t="s">
        <v>4411</v>
      </c>
      <c r="P160" s="206">
        <v>667</v>
      </c>
      <c r="Q160" s="208">
        <f>SUM(T160:X160)</f>
        <v>2.4742999999999999</v>
      </c>
      <c r="R160" s="207">
        <v>0.49</v>
      </c>
      <c r="S160" s="207"/>
      <c r="T160" s="67"/>
      <c r="U160" s="67">
        <v>1.7</v>
      </c>
      <c r="V160" s="67">
        <v>0.25</v>
      </c>
      <c r="W160" s="67">
        <f>IF(R160&gt;T160,R160,T160)</f>
        <v>0.49</v>
      </c>
      <c r="X160" s="70">
        <f>(T160+W160)/100*7</f>
        <v>3.4299999999999997E-2</v>
      </c>
      <c r="Y160" s="70"/>
      <c r="Z160" s="212"/>
      <c r="AA160" s="213"/>
      <c r="AB160" s="213"/>
      <c r="AC160" s="232">
        <v>2.5</v>
      </c>
      <c r="AD160" s="213"/>
      <c r="AH160" s="210"/>
    </row>
    <row r="161" spans="1:38" s="209" customFormat="1" x14ac:dyDescent="0.25">
      <c r="A161" s="204">
        <v>2547</v>
      </c>
      <c r="B161" s="204" t="s">
        <v>9891</v>
      </c>
      <c r="C161" s="204" t="s">
        <v>9910</v>
      </c>
      <c r="D161" s="204" t="s">
        <v>9032</v>
      </c>
      <c r="E161" s="204" t="s">
        <v>2412</v>
      </c>
      <c r="F161" s="204">
        <v>2007</v>
      </c>
      <c r="G161" s="204"/>
      <c r="H161" s="204" t="s">
        <v>1878</v>
      </c>
      <c r="I161" s="205" t="s">
        <v>1929</v>
      </c>
      <c r="J161" s="204"/>
      <c r="K161" s="204" t="s">
        <v>1881</v>
      </c>
      <c r="L161" s="205" t="s">
        <v>9911</v>
      </c>
      <c r="M161" s="204">
        <v>429</v>
      </c>
      <c r="N161" s="204"/>
      <c r="O161" s="204" t="s">
        <v>9912</v>
      </c>
      <c r="P161" s="206">
        <v>296</v>
      </c>
      <c r="Q161" s="208">
        <f>IF(Y161&gt;Z161,Y161,Z161)-R161</f>
        <v>2.7408099999999997</v>
      </c>
      <c r="R161" s="207">
        <v>1.2</v>
      </c>
      <c r="S161" s="207">
        <v>2</v>
      </c>
      <c r="T161" s="207"/>
      <c r="U161" s="77">
        <v>2.2000000000000002</v>
      </c>
      <c r="V161" s="77">
        <v>0.34</v>
      </c>
      <c r="W161" s="207">
        <f>(T161+U161+V161)/100*45</f>
        <v>1.143</v>
      </c>
      <c r="X161" s="70">
        <f>(T161+U161+V161+W161)/100*7</f>
        <v>0.25780999999999998</v>
      </c>
      <c r="Y161" s="228">
        <f>S161</f>
        <v>2</v>
      </c>
      <c r="Z161" s="70">
        <f>SUM(T161:X161)</f>
        <v>3.9408099999999999</v>
      </c>
      <c r="AA161" s="213"/>
      <c r="AB161" s="213"/>
      <c r="AC161" s="232">
        <v>2.74</v>
      </c>
      <c r="AD161" s="213"/>
      <c r="AH161" s="210"/>
    </row>
    <row r="162" spans="1:38" s="209" customFormat="1" x14ac:dyDescent="0.25">
      <c r="A162" s="204"/>
      <c r="B162" s="204"/>
      <c r="C162" s="204" t="s">
        <v>10272</v>
      </c>
      <c r="D162" s="204"/>
      <c r="E162" s="204"/>
      <c r="F162" s="204"/>
      <c r="G162" s="204"/>
      <c r="H162" s="204"/>
      <c r="I162" s="205"/>
      <c r="J162" s="204"/>
      <c r="K162" s="204"/>
      <c r="L162" s="205"/>
      <c r="M162" s="204"/>
      <c r="N162" s="204"/>
      <c r="O162" s="204" t="s">
        <v>10271</v>
      </c>
      <c r="P162" s="206"/>
      <c r="Q162" s="208">
        <v>3.49</v>
      </c>
      <c r="R162" s="207"/>
      <c r="S162" s="207"/>
      <c r="T162" s="67"/>
      <c r="U162" s="67"/>
      <c r="V162" s="67"/>
      <c r="W162" s="67"/>
      <c r="X162" s="70"/>
      <c r="Y162" s="70"/>
      <c r="Z162" s="212"/>
      <c r="AA162" s="213"/>
      <c r="AB162" s="213"/>
      <c r="AC162" s="232">
        <v>3.49</v>
      </c>
      <c r="AD162" s="213"/>
      <c r="AH162" s="210"/>
    </row>
    <row r="163" spans="1:38" s="62" customFormat="1" x14ac:dyDescent="0.25">
      <c r="A163" s="57"/>
      <c r="B163" s="57"/>
      <c r="C163" s="57"/>
      <c r="D163" s="57"/>
      <c r="E163" s="57"/>
      <c r="F163" s="57"/>
      <c r="G163" s="57"/>
      <c r="H163" s="57"/>
      <c r="I163" s="58"/>
      <c r="J163" s="57"/>
      <c r="K163" s="57"/>
      <c r="L163" s="58"/>
      <c r="M163" s="57"/>
      <c r="N163" s="57"/>
      <c r="O163" s="57" t="s">
        <v>10273</v>
      </c>
      <c r="P163" s="59"/>
      <c r="Q163" s="61"/>
      <c r="R163" s="60"/>
      <c r="S163" s="60"/>
      <c r="T163" s="67"/>
      <c r="U163" s="67"/>
      <c r="V163" s="67"/>
      <c r="W163" s="67"/>
      <c r="X163" s="70"/>
      <c r="Y163" s="70"/>
      <c r="Z163" s="71"/>
      <c r="AA163" s="81"/>
      <c r="AB163" s="81"/>
      <c r="AC163" s="232">
        <v>0.89</v>
      </c>
      <c r="AD163" s="213"/>
      <c r="AH163" s="63"/>
    </row>
    <row r="164" spans="1:38" s="209" customFormat="1" x14ac:dyDescent="0.25">
      <c r="A164" s="204">
        <v>2851</v>
      </c>
      <c r="B164" s="204" t="s">
        <v>2510</v>
      </c>
      <c r="C164" s="204" t="s">
        <v>2511</v>
      </c>
      <c r="D164" s="204" t="s">
        <v>2512</v>
      </c>
      <c r="E164" s="204" t="s">
        <v>1913</v>
      </c>
      <c r="F164" s="204">
        <v>2013</v>
      </c>
      <c r="G164" s="204"/>
      <c r="H164" s="204" t="s">
        <v>2295</v>
      </c>
      <c r="I164" s="205" t="s">
        <v>1879</v>
      </c>
      <c r="J164" s="204" t="s">
        <v>2513</v>
      </c>
      <c r="K164" s="204" t="s">
        <v>1881</v>
      </c>
      <c r="L164" s="205" t="s">
        <v>2514</v>
      </c>
      <c r="M164" s="204">
        <v>450</v>
      </c>
      <c r="N164" s="204"/>
      <c r="O164" s="204" t="s">
        <v>2444</v>
      </c>
      <c r="P164" s="206">
        <v>717</v>
      </c>
      <c r="Q164" s="208">
        <f t="shared" ref="Q164:Q170" si="15">SUM(T164:X164)</f>
        <v>2.7953000000000001</v>
      </c>
      <c r="R164" s="207">
        <v>0.79</v>
      </c>
      <c r="S164" s="207"/>
      <c r="T164" s="67"/>
      <c r="U164" s="67">
        <v>1.7</v>
      </c>
      <c r="V164" s="67">
        <v>0.25</v>
      </c>
      <c r="W164" s="67">
        <f t="shared" ref="W164:W171" si="16">IF(R164&gt;T164,R164,T164)</f>
        <v>0.79</v>
      </c>
      <c r="X164" s="70">
        <f t="shared" ref="X164:X171" si="17">(T164+W164)/100*7</f>
        <v>5.5300000000000002E-2</v>
      </c>
      <c r="Y164" s="70"/>
      <c r="Z164" s="212"/>
      <c r="AA164" s="213"/>
      <c r="AB164" s="213"/>
      <c r="AC164" s="213">
        <v>2.52</v>
      </c>
      <c r="AD164" s="213"/>
      <c r="AH164" s="210"/>
    </row>
    <row r="165" spans="1:38" s="209" customFormat="1" x14ac:dyDescent="0.25">
      <c r="A165" s="204">
        <v>1395</v>
      </c>
      <c r="B165" s="204" t="s">
        <v>2510</v>
      </c>
      <c r="C165" s="204" t="s">
        <v>2624</v>
      </c>
      <c r="D165" s="204" t="s">
        <v>2512</v>
      </c>
      <c r="E165" s="204" t="s">
        <v>2627</v>
      </c>
      <c r="F165" s="204">
        <v>2011</v>
      </c>
      <c r="G165" s="204"/>
      <c r="H165" s="204" t="s">
        <v>1878</v>
      </c>
      <c r="I165" s="205" t="s">
        <v>1879</v>
      </c>
      <c r="J165" s="204"/>
      <c r="K165" s="204" t="s">
        <v>1881</v>
      </c>
      <c r="L165" s="205" t="s">
        <v>2626</v>
      </c>
      <c r="M165" s="204">
        <v>418</v>
      </c>
      <c r="N165" s="204"/>
      <c r="O165" s="204" t="s">
        <v>2556</v>
      </c>
      <c r="P165" s="206">
        <v>589</v>
      </c>
      <c r="Q165" s="208">
        <f t="shared" si="15"/>
        <v>2.2175000000000002</v>
      </c>
      <c r="R165" s="207">
        <v>0.25</v>
      </c>
      <c r="S165" s="207"/>
      <c r="T165" s="67"/>
      <c r="U165" s="67">
        <v>1.7</v>
      </c>
      <c r="V165" s="67">
        <v>0.25</v>
      </c>
      <c r="W165" s="67">
        <f t="shared" si="16"/>
        <v>0.25</v>
      </c>
      <c r="X165" s="70">
        <f t="shared" si="17"/>
        <v>1.7500000000000002E-2</v>
      </c>
      <c r="Y165" s="70"/>
      <c r="Z165" s="212"/>
      <c r="AA165" s="213"/>
      <c r="AB165" s="213"/>
      <c r="AC165" s="213">
        <v>2</v>
      </c>
      <c r="AD165" s="213"/>
      <c r="AH165" s="210"/>
    </row>
    <row r="166" spans="1:38" s="209" customFormat="1" x14ac:dyDescent="0.25">
      <c r="A166" s="204">
        <v>796</v>
      </c>
      <c r="B166" s="204" t="s">
        <v>3382</v>
      </c>
      <c r="C166" s="204" t="s">
        <v>3383</v>
      </c>
      <c r="D166" s="204" t="s">
        <v>1876</v>
      </c>
      <c r="E166" s="204"/>
      <c r="F166" s="204">
        <v>2016</v>
      </c>
      <c r="G166" s="204"/>
      <c r="H166" s="204" t="s">
        <v>1878</v>
      </c>
      <c r="I166" s="205" t="s">
        <v>1879</v>
      </c>
      <c r="J166" s="204" t="s">
        <v>3384</v>
      </c>
      <c r="K166" s="204" t="s">
        <v>1881</v>
      </c>
      <c r="L166" s="205" t="s">
        <v>3385</v>
      </c>
      <c r="M166" s="204">
        <v>304</v>
      </c>
      <c r="N166" s="204"/>
      <c r="O166" s="204" t="s">
        <v>3294</v>
      </c>
      <c r="P166" s="206">
        <v>293</v>
      </c>
      <c r="Q166" s="208">
        <f t="shared" si="15"/>
        <v>2.0813000000000001</v>
      </c>
      <c r="R166" s="207">
        <v>0.59</v>
      </c>
      <c r="S166" s="207"/>
      <c r="T166" s="67"/>
      <c r="U166" s="67">
        <v>1.2</v>
      </c>
      <c r="V166" s="67">
        <v>0.25</v>
      </c>
      <c r="W166" s="67">
        <f t="shared" si="16"/>
        <v>0.59</v>
      </c>
      <c r="X166" s="70">
        <f t="shared" si="17"/>
        <v>4.1299999999999996E-2</v>
      </c>
      <c r="Y166" s="70"/>
      <c r="Z166" s="212"/>
      <c r="AA166" s="213"/>
      <c r="AB166" s="213"/>
      <c r="AC166" s="213">
        <v>1.87</v>
      </c>
      <c r="AD166" s="213"/>
      <c r="AH166" s="210"/>
    </row>
    <row r="167" spans="1:38" s="209" customFormat="1" x14ac:dyDescent="0.25">
      <c r="A167" s="204">
        <v>852</v>
      </c>
      <c r="B167" s="204" t="s">
        <v>3397</v>
      </c>
      <c r="C167" s="204" t="s">
        <v>3398</v>
      </c>
      <c r="D167" s="204" t="s">
        <v>2257</v>
      </c>
      <c r="E167" s="204"/>
      <c r="F167" s="204">
        <v>2014</v>
      </c>
      <c r="G167" s="204"/>
      <c r="H167" s="204" t="s">
        <v>1878</v>
      </c>
      <c r="I167" s="205" t="s">
        <v>1879</v>
      </c>
      <c r="J167" s="204" t="s">
        <v>3303</v>
      </c>
      <c r="K167" s="204" t="s">
        <v>1881</v>
      </c>
      <c r="L167" s="205" t="s">
        <v>3399</v>
      </c>
      <c r="M167" s="204">
        <v>416</v>
      </c>
      <c r="N167" s="204"/>
      <c r="O167" s="204" t="s">
        <v>3298</v>
      </c>
      <c r="P167" s="206">
        <v>394</v>
      </c>
      <c r="Q167" s="208">
        <f t="shared" si="15"/>
        <v>2.1882999999999995</v>
      </c>
      <c r="R167" s="207">
        <v>0.69</v>
      </c>
      <c r="S167" s="207"/>
      <c r="T167" s="67"/>
      <c r="U167" s="67">
        <v>1.2</v>
      </c>
      <c r="V167" s="67">
        <v>0.25</v>
      </c>
      <c r="W167" s="67">
        <f t="shared" si="16"/>
        <v>0.69</v>
      </c>
      <c r="X167" s="70">
        <f t="shared" si="17"/>
        <v>4.8299999999999996E-2</v>
      </c>
      <c r="Y167" s="70"/>
      <c r="Z167" s="212"/>
      <c r="AA167" s="213"/>
      <c r="AB167" s="213"/>
      <c r="AC167" s="213">
        <v>1.97</v>
      </c>
      <c r="AD167" s="213"/>
      <c r="AH167" s="210"/>
    </row>
    <row r="168" spans="1:38" s="209" customFormat="1" x14ac:dyDescent="0.25">
      <c r="A168" s="204">
        <v>1395</v>
      </c>
      <c r="B168" s="204" t="s">
        <v>4470</v>
      </c>
      <c r="C168" s="204" t="s">
        <v>4471</v>
      </c>
      <c r="D168" s="204" t="s">
        <v>2309</v>
      </c>
      <c r="E168" s="204" t="s">
        <v>4472</v>
      </c>
      <c r="F168" s="204">
        <v>2011</v>
      </c>
      <c r="G168" s="204"/>
      <c r="H168" s="204" t="s">
        <v>1878</v>
      </c>
      <c r="I168" s="205" t="s">
        <v>1879</v>
      </c>
      <c r="J168" s="204" t="s">
        <v>4198</v>
      </c>
      <c r="K168" s="204" t="s">
        <v>1881</v>
      </c>
      <c r="L168" s="205" t="s">
        <v>4473</v>
      </c>
      <c r="M168" s="204">
        <v>288</v>
      </c>
      <c r="N168" s="204"/>
      <c r="O168" s="204" t="s">
        <v>4404</v>
      </c>
      <c r="P168" s="206">
        <v>480</v>
      </c>
      <c r="Q168" s="208">
        <f t="shared" si="15"/>
        <v>1.8673</v>
      </c>
      <c r="R168" s="207">
        <v>0.39</v>
      </c>
      <c r="S168" s="207"/>
      <c r="T168" s="67"/>
      <c r="U168" s="67">
        <v>1.2</v>
      </c>
      <c r="V168" s="67">
        <v>0.25</v>
      </c>
      <c r="W168" s="67">
        <f t="shared" si="16"/>
        <v>0.39</v>
      </c>
      <c r="X168" s="70">
        <f t="shared" si="17"/>
        <v>2.7300000000000001E-2</v>
      </c>
      <c r="Y168" s="70"/>
      <c r="Z168" s="212"/>
      <c r="AA168" s="213"/>
      <c r="AB168" s="213"/>
      <c r="AC168" s="213">
        <v>1.68</v>
      </c>
      <c r="AD168" s="213"/>
      <c r="AH168" s="210"/>
    </row>
    <row r="169" spans="1:38" s="209" customFormat="1" x14ac:dyDescent="0.25">
      <c r="A169" s="204">
        <v>1395</v>
      </c>
      <c r="B169" s="204" t="s">
        <v>6207</v>
      </c>
      <c r="C169" s="204" t="s">
        <v>6208</v>
      </c>
      <c r="D169" s="204" t="s">
        <v>1912</v>
      </c>
      <c r="E169" s="204" t="s">
        <v>2518</v>
      </c>
      <c r="F169" s="204">
        <v>2010</v>
      </c>
      <c r="G169" s="204"/>
      <c r="H169" s="204" t="s">
        <v>1878</v>
      </c>
      <c r="I169" s="205" t="s">
        <v>1914</v>
      </c>
      <c r="J169" s="204"/>
      <c r="K169" s="204" t="s">
        <v>1881</v>
      </c>
      <c r="L169" s="205" t="s">
        <v>6209</v>
      </c>
      <c r="M169" s="204">
        <v>288</v>
      </c>
      <c r="N169" s="204"/>
      <c r="O169" s="204" t="s">
        <v>5307</v>
      </c>
      <c r="P169" s="206">
        <v>239</v>
      </c>
      <c r="Q169" s="208">
        <f t="shared" si="15"/>
        <v>2.5093000000000001</v>
      </c>
      <c r="R169" s="207">
        <v>0.99</v>
      </c>
      <c r="S169" s="207"/>
      <c r="T169" s="67"/>
      <c r="U169" s="67">
        <v>1.2</v>
      </c>
      <c r="V169" s="67">
        <v>0.25</v>
      </c>
      <c r="W169" s="67">
        <f t="shared" si="16"/>
        <v>0.99</v>
      </c>
      <c r="X169" s="70">
        <f t="shared" si="17"/>
        <v>6.93E-2</v>
      </c>
      <c r="Y169" s="70"/>
      <c r="AA169" s="213"/>
      <c r="AB169" s="213"/>
      <c r="AC169" s="213">
        <v>2.2599999999999998</v>
      </c>
      <c r="AD169" s="213"/>
      <c r="AH169" s="210"/>
    </row>
    <row r="170" spans="1:38" s="209" customFormat="1" x14ac:dyDescent="0.25">
      <c r="A170" s="204">
        <v>1231</v>
      </c>
      <c r="B170" s="204" t="s">
        <v>7200</v>
      </c>
      <c r="C170" s="204" t="s">
        <v>7201</v>
      </c>
      <c r="D170" s="204" t="s">
        <v>1998</v>
      </c>
      <c r="E170" s="204" t="s">
        <v>1899</v>
      </c>
      <c r="F170" s="204">
        <v>2000</v>
      </c>
      <c r="G170" s="204"/>
      <c r="H170" s="204" t="s">
        <v>2734</v>
      </c>
      <c r="I170" s="205" t="s">
        <v>1929</v>
      </c>
      <c r="J170" s="204"/>
      <c r="K170" s="204" t="s">
        <v>1881</v>
      </c>
      <c r="L170" s="205" t="s">
        <v>7202</v>
      </c>
      <c r="M170" s="204">
        <v>258</v>
      </c>
      <c r="N170" s="204"/>
      <c r="O170" s="204" t="s">
        <v>5465</v>
      </c>
      <c r="P170" s="206">
        <v>474</v>
      </c>
      <c r="Q170" s="208">
        <f t="shared" si="15"/>
        <v>1.3307</v>
      </c>
      <c r="R170" s="207">
        <v>0.69</v>
      </c>
      <c r="S170" s="207"/>
      <c r="T170" s="67">
        <v>0.32</v>
      </c>
      <c r="U170" s="67"/>
      <c r="V170" s="67">
        <v>0.25</v>
      </c>
      <c r="W170" s="67">
        <f t="shared" si="16"/>
        <v>0.69</v>
      </c>
      <c r="X170" s="70">
        <f t="shared" si="17"/>
        <v>7.0699999999999999E-2</v>
      </c>
      <c r="Y170" s="70"/>
      <c r="Z170" s="212"/>
      <c r="AA170" s="213"/>
      <c r="AB170" s="213"/>
      <c r="AC170" s="213">
        <v>1.2</v>
      </c>
      <c r="AD170" s="213"/>
      <c r="AH170" s="210"/>
    </row>
    <row r="171" spans="1:38" s="209" customFormat="1" x14ac:dyDescent="0.25">
      <c r="A171" s="204">
        <v>2894</v>
      </c>
      <c r="B171" s="204" t="s">
        <v>7793</v>
      </c>
      <c r="C171" s="204" t="s">
        <v>7794</v>
      </c>
      <c r="D171" s="204" t="s">
        <v>2117</v>
      </c>
      <c r="E171" s="204" t="s">
        <v>1899</v>
      </c>
      <c r="F171" s="204">
        <v>2013</v>
      </c>
      <c r="G171" s="204"/>
      <c r="H171" s="204" t="s">
        <v>1878</v>
      </c>
      <c r="I171" s="205" t="s">
        <v>1929</v>
      </c>
      <c r="J171" s="204"/>
      <c r="K171" s="204" t="s">
        <v>1881</v>
      </c>
      <c r="L171" s="205" t="s">
        <v>7795</v>
      </c>
      <c r="M171" s="204">
        <v>48</v>
      </c>
      <c r="N171" s="204"/>
      <c r="O171" s="204" t="s">
        <v>5674</v>
      </c>
      <c r="P171" s="206">
        <v>207</v>
      </c>
      <c r="Q171" s="208">
        <f>SUM(U171:X171)</f>
        <v>0.70250000000000001</v>
      </c>
      <c r="R171" s="207">
        <v>0.4</v>
      </c>
      <c r="S171" s="207"/>
      <c r="T171" s="67">
        <v>0.35</v>
      </c>
      <c r="U171" s="67"/>
      <c r="V171" s="67">
        <v>0.25</v>
      </c>
      <c r="W171" s="67">
        <f t="shared" si="16"/>
        <v>0.4</v>
      </c>
      <c r="X171" s="70">
        <f t="shared" si="17"/>
        <v>5.2499999999999998E-2</v>
      </c>
      <c r="Y171" s="70"/>
      <c r="Z171" s="212"/>
      <c r="AA171" s="213"/>
      <c r="AB171" s="213"/>
      <c r="AC171" s="213">
        <v>0.63</v>
      </c>
      <c r="AD171" s="213"/>
      <c r="AH171" s="210"/>
    </row>
    <row r="172" spans="1:38" s="209" customFormat="1" x14ac:dyDescent="0.25">
      <c r="A172" s="204">
        <v>1374</v>
      </c>
      <c r="B172" s="204" t="s">
        <v>4365</v>
      </c>
      <c r="C172" s="204" t="s">
        <v>9930</v>
      </c>
      <c r="D172" s="204" t="s">
        <v>1920</v>
      </c>
      <c r="E172" s="204"/>
      <c r="F172" s="204">
        <v>2012</v>
      </c>
      <c r="G172" s="204"/>
      <c r="H172" s="204" t="s">
        <v>1878</v>
      </c>
      <c r="I172" s="205" t="s">
        <v>1879</v>
      </c>
      <c r="J172" s="204" t="s">
        <v>9196</v>
      </c>
      <c r="K172" s="204" t="s">
        <v>1881</v>
      </c>
      <c r="L172" s="205" t="s">
        <v>9931</v>
      </c>
      <c r="M172" s="204">
        <v>251</v>
      </c>
      <c r="N172" s="204"/>
      <c r="O172" s="204" t="s">
        <v>9932</v>
      </c>
      <c r="P172" s="206">
        <v>257</v>
      </c>
      <c r="Q172" s="208">
        <f>IF(Y172&gt;Z172,Y172,Z172)-R172</f>
        <v>2.7408099999999997</v>
      </c>
      <c r="R172" s="207">
        <v>1.2</v>
      </c>
      <c r="S172" s="207">
        <v>2.1</v>
      </c>
      <c r="T172" s="207"/>
      <c r="U172" s="77">
        <v>2.2000000000000002</v>
      </c>
      <c r="V172" s="77">
        <v>0.34</v>
      </c>
      <c r="W172" s="207">
        <f>(T172+U172+V172)/100*45</f>
        <v>1.143</v>
      </c>
      <c r="X172" s="70">
        <f>(T172+U172+V172+W172)/100*7</f>
        <v>0.25780999999999998</v>
      </c>
      <c r="Y172" s="228">
        <f>S172</f>
        <v>2.1</v>
      </c>
      <c r="Z172" s="70">
        <f>SUM(T172:X172)</f>
        <v>3.9408099999999999</v>
      </c>
      <c r="AA172" s="213"/>
      <c r="AB172" s="213"/>
      <c r="AC172" s="213">
        <v>2.4700000000000002</v>
      </c>
      <c r="AD172" s="213"/>
      <c r="AH172" s="210"/>
    </row>
    <row r="173" spans="1:38" s="209" customFormat="1" x14ac:dyDescent="0.25">
      <c r="A173" s="204">
        <v>634</v>
      </c>
      <c r="B173" s="204" t="s">
        <v>7852</v>
      </c>
      <c r="C173" s="204" t="s">
        <v>7853</v>
      </c>
      <c r="D173" s="204" t="s">
        <v>2209</v>
      </c>
      <c r="E173" s="204" t="s">
        <v>2032</v>
      </c>
      <c r="F173" s="204">
        <v>1999</v>
      </c>
      <c r="G173" s="204"/>
      <c r="H173" s="204" t="s">
        <v>1878</v>
      </c>
      <c r="I173" s="205" t="s">
        <v>1914</v>
      </c>
      <c r="J173" s="204"/>
      <c r="K173" s="204" t="s">
        <v>1881</v>
      </c>
      <c r="L173" s="205" t="s">
        <v>7854</v>
      </c>
      <c r="M173" s="204">
        <v>496</v>
      </c>
      <c r="N173" s="204"/>
      <c r="O173" s="204" t="s">
        <v>5695</v>
      </c>
      <c r="P173" s="206">
        <v>332</v>
      </c>
      <c r="Q173" s="208">
        <f>SUM(U173:X173)</f>
        <v>1.3338000000000001</v>
      </c>
      <c r="R173" s="207">
        <v>0.99</v>
      </c>
      <c r="S173" s="207"/>
      <c r="T173" s="67">
        <v>0.35</v>
      </c>
      <c r="U173" s="67"/>
      <c r="V173" s="67">
        <v>0.25</v>
      </c>
      <c r="W173" s="67">
        <f>IF(R173&gt;T173,R173,T173)</f>
        <v>0.99</v>
      </c>
      <c r="X173" s="70">
        <f>(T173+W173)/100*7</f>
        <v>9.3799999999999994E-2</v>
      </c>
      <c r="Y173" s="70"/>
      <c r="Z173" s="212"/>
      <c r="AA173" s="213"/>
      <c r="AB173" s="213"/>
      <c r="AC173" s="213">
        <v>1.33</v>
      </c>
      <c r="AD173" s="213"/>
      <c r="AH173" s="210"/>
    </row>
    <row r="174" spans="1:38" s="209" customFormat="1" x14ac:dyDescent="0.25">
      <c r="A174" s="237">
        <v>2851</v>
      </c>
      <c r="B174" s="204" t="s">
        <v>9526</v>
      </c>
      <c r="C174" s="204" t="s">
        <v>9527</v>
      </c>
      <c r="D174" s="204" t="s">
        <v>9528</v>
      </c>
      <c r="E174" s="204" t="s">
        <v>1913</v>
      </c>
      <c r="F174" s="204">
        <v>2008</v>
      </c>
      <c r="G174" s="212"/>
      <c r="H174" s="204" t="s">
        <v>1878</v>
      </c>
      <c r="I174" s="205" t="s">
        <v>1929</v>
      </c>
      <c r="J174" s="212"/>
      <c r="K174" s="204" t="s">
        <v>1881</v>
      </c>
      <c r="L174" s="205" t="s">
        <v>9529</v>
      </c>
      <c r="M174" s="204">
        <v>637</v>
      </c>
      <c r="N174" s="212"/>
      <c r="O174" s="204" t="s">
        <v>7068</v>
      </c>
      <c r="P174" s="206">
        <v>477</v>
      </c>
      <c r="Q174" s="208">
        <f>IF(Y174&gt;Z174,Y174,Z174)-R174</f>
        <v>10.8</v>
      </c>
      <c r="R174" s="207">
        <v>1.2</v>
      </c>
      <c r="S174" s="230">
        <v>12</v>
      </c>
      <c r="T174" s="67">
        <v>0.13</v>
      </c>
      <c r="U174" s="67">
        <v>1.9</v>
      </c>
      <c r="V174" s="67">
        <v>0.33999999999999997</v>
      </c>
      <c r="W174" s="67">
        <v>0.35</v>
      </c>
      <c r="X174" s="70">
        <v>0.19039999999999999</v>
      </c>
      <c r="Y174" s="70">
        <f>S174</f>
        <v>12</v>
      </c>
      <c r="Z174" s="70">
        <f>SUM(T174:X174)</f>
        <v>2.9103999999999997</v>
      </c>
      <c r="AA174" s="213"/>
      <c r="AB174" s="213"/>
      <c r="AC174" s="213">
        <v>10.8</v>
      </c>
      <c r="AD174" s="213"/>
      <c r="AH174" s="210"/>
    </row>
    <row r="175" spans="1:38" s="209" customFormat="1" x14ac:dyDescent="0.25">
      <c r="A175" s="204">
        <v>1339</v>
      </c>
      <c r="B175" s="204" t="s">
        <v>3905</v>
      </c>
      <c r="C175" s="204" t="s">
        <v>3906</v>
      </c>
      <c r="D175" s="204" t="s">
        <v>1876</v>
      </c>
      <c r="E175" s="204" t="s">
        <v>2922</v>
      </c>
      <c r="F175" s="204">
        <v>2013</v>
      </c>
      <c r="G175" s="204"/>
      <c r="H175" s="204" t="s">
        <v>1878</v>
      </c>
      <c r="I175" s="205" t="s">
        <v>1879</v>
      </c>
      <c r="J175" s="204" t="s">
        <v>3865</v>
      </c>
      <c r="K175" s="204" t="s">
        <v>1881</v>
      </c>
      <c r="L175" s="205" t="s">
        <v>3907</v>
      </c>
      <c r="M175" s="204">
        <v>336</v>
      </c>
      <c r="N175" s="204"/>
      <c r="O175" s="204" t="s">
        <v>3881</v>
      </c>
      <c r="P175" s="206">
        <v>295</v>
      </c>
      <c r="Q175" s="208">
        <f>SUM(T175:X175)</f>
        <v>4.1143000000000001</v>
      </c>
      <c r="R175" s="207">
        <v>2.4900000000000002</v>
      </c>
      <c r="S175" s="207"/>
      <c r="T175" s="67"/>
      <c r="U175" s="67">
        <v>1.2</v>
      </c>
      <c r="V175" s="67">
        <v>0.25</v>
      </c>
      <c r="W175" s="67">
        <f>IF(R175&gt;T175,R175,T175)</f>
        <v>2.4900000000000002</v>
      </c>
      <c r="X175" s="70">
        <f>(T175+W175)/100*7</f>
        <v>0.17430000000000001</v>
      </c>
      <c r="Y175" s="70"/>
      <c r="Z175" s="212"/>
      <c r="AA175" s="213"/>
      <c r="AB175" s="213"/>
      <c r="AC175" s="213">
        <v>4.1100000000000003</v>
      </c>
      <c r="AD175" s="213"/>
      <c r="AH175" s="210"/>
    </row>
    <row r="176" spans="1:38" s="209" customFormat="1" ht="12" customHeight="1" x14ac:dyDescent="0.25">
      <c r="A176" s="204">
        <v>1386</v>
      </c>
      <c r="B176" s="204" t="s">
        <v>2377</v>
      </c>
      <c r="C176" s="204" t="s">
        <v>2378</v>
      </c>
      <c r="D176" s="204" t="s">
        <v>2300</v>
      </c>
      <c r="E176" s="204" t="s">
        <v>1913</v>
      </c>
      <c r="F176" s="204">
        <v>2015</v>
      </c>
      <c r="G176" s="204"/>
      <c r="H176" s="204" t="s">
        <v>1878</v>
      </c>
      <c r="I176" s="205" t="s">
        <v>1929</v>
      </c>
      <c r="J176" s="74" t="s">
        <v>2379</v>
      </c>
      <c r="K176" s="204" t="s">
        <v>1881</v>
      </c>
      <c r="L176" s="205" t="s">
        <v>2380</v>
      </c>
      <c r="M176" s="204">
        <v>306</v>
      </c>
      <c r="N176" s="204"/>
      <c r="O176" s="204" t="s">
        <v>2279</v>
      </c>
      <c r="P176" s="206">
        <v>397</v>
      </c>
      <c r="Q176" s="208">
        <f>SUM(T176:X176)</f>
        <v>4.0072999999999999</v>
      </c>
      <c r="R176" s="207">
        <v>2.39</v>
      </c>
      <c r="S176" s="207"/>
      <c r="T176" s="67"/>
      <c r="U176" s="67">
        <v>1.2</v>
      </c>
      <c r="V176" s="67">
        <v>0.25</v>
      </c>
      <c r="W176" s="67">
        <f>IF(R176&gt;T176,R176,T176)</f>
        <v>2.39</v>
      </c>
      <c r="X176" s="70">
        <f>(T176+W176)/100*7</f>
        <v>0.1673</v>
      </c>
      <c r="Y176" s="70"/>
      <c r="Z176" s="212"/>
      <c r="AA176" s="213"/>
      <c r="AB176" s="213"/>
      <c r="AC176" s="213">
        <v>4.01</v>
      </c>
      <c r="AD176" s="213"/>
      <c r="AH176" s="210"/>
      <c r="AI176" s="209" t="s">
        <v>51</v>
      </c>
      <c r="AJ176" s="209" t="s">
        <v>51</v>
      </c>
      <c r="AK176" s="209" t="s">
        <v>51</v>
      </c>
      <c r="AL176" s="207"/>
    </row>
    <row r="177" spans="1:38" s="209" customFormat="1" x14ac:dyDescent="0.25">
      <c r="A177" s="204">
        <v>2522</v>
      </c>
      <c r="B177" s="204" t="s">
        <v>6439</v>
      </c>
      <c r="C177" s="204" t="s">
        <v>10146</v>
      </c>
      <c r="D177" s="204" t="s">
        <v>2850</v>
      </c>
      <c r="E177" s="204"/>
      <c r="F177" s="204">
        <v>2014</v>
      </c>
      <c r="G177" s="204"/>
      <c r="H177" s="204" t="s">
        <v>2734</v>
      </c>
      <c r="I177" s="205" t="s">
        <v>1879</v>
      </c>
      <c r="J177" s="204" t="s">
        <v>10147</v>
      </c>
      <c r="K177" s="204" t="s">
        <v>1881</v>
      </c>
      <c r="L177" s="205" t="s">
        <v>10148</v>
      </c>
      <c r="M177" s="204">
        <v>425</v>
      </c>
      <c r="N177" s="204"/>
      <c r="O177" s="204" t="s">
        <v>10149</v>
      </c>
      <c r="P177" s="206">
        <v>624</v>
      </c>
      <c r="Q177" s="208">
        <f>IF(Y177&gt;Z177,Y177,Z177)-R177</f>
        <v>4.0599999999999996</v>
      </c>
      <c r="R177" s="207">
        <v>1.2</v>
      </c>
      <c r="S177" s="207">
        <v>5.26</v>
      </c>
      <c r="T177" s="207"/>
      <c r="U177" s="77">
        <v>2.2000000000000002</v>
      </c>
      <c r="V177" s="77">
        <v>0.34</v>
      </c>
      <c r="W177" s="207">
        <f>Q177-V177-X177</f>
        <v>3.4357999999999995</v>
      </c>
      <c r="X177" s="70">
        <f>Q177*0.07</f>
        <v>0.28420000000000001</v>
      </c>
      <c r="Y177" s="228">
        <f>S177</f>
        <v>5.26</v>
      </c>
      <c r="Z177" s="212"/>
      <c r="AA177" s="212"/>
      <c r="AB177" s="212"/>
      <c r="AC177" s="212">
        <v>4.0599999999999996</v>
      </c>
      <c r="AD177" s="212"/>
      <c r="AH177" s="210"/>
    </row>
    <row r="178" spans="1:38" s="209" customFormat="1" x14ac:dyDescent="0.25">
      <c r="A178" s="204">
        <v>2522</v>
      </c>
      <c r="B178" s="204" t="s">
        <v>7651</v>
      </c>
      <c r="C178" s="204" t="s">
        <v>7652</v>
      </c>
      <c r="D178" s="204" t="s">
        <v>1993</v>
      </c>
      <c r="E178" s="204" t="s">
        <v>1913</v>
      </c>
      <c r="F178" s="204">
        <v>2012</v>
      </c>
      <c r="G178" s="204"/>
      <c r="H178" s="204" t="s">
        <v>1878</v>
      </c>
      <c r="I178" s="205" t="s">
        <v>1929</v>
      </c>
      <c r="J178" s="79" t="s">
        <v>3854</v>
      </c>
      <c r="K178" s="204" t="s">
        <v>1881</v>
      </c>
      <c r="L178" s="205" t="s">
        <v>7653</v>
      </c>
      <c r="M178" s="204">
        <v>416</v>
      </c>
      <c r="N178" s="204"/>
      <c r="O178" s="204" t="s">
        <v>5620</v>
      </c>
      <c r="P178" s="206">
        <v>344</v>
      </c>
      <c r="Q178" s="208">
        <f>SUM(U178:X178)</f>
        <v>0.8095</v>
      </c>
      <c r="R178" s="207">
        <v>0.5</v>
      </c>
      <c r="S178" s="207"/>
      <c r="T178" s="67">
        <v>0.35</v>
      </c>
      <c r="U178" s="67"/>
      <c r="V178" s="67">
        <v>0.25</v>
      </c>
      <c r="W178" s="67">
        <f>IF(R178&gt;T178,R178,T178)</f>
        <v>0.5</v>
      </c>
      <c r="X178" s="70">
        <f>(T178+W178)/100*7</f>
        <v>5.9500000000000004E-2</v>
      </c>
      <c r="Y178" s="70"/>
      <c r="Z178" s="212"/>
      <c r="AA178" s="213"/>
      <c r="AB178" s="213"/>
      <c r="AC178" s="213">
        <v>2.5</v>
      </c>
      <c r="AD178" s="213"/>
      <c r="AH178" s="210"/>
    </row>
    <row r="179" spans="1:38" s="209" customFormat="1" x14ac:dyDescent="0.25">
      <c r="A179" s="204">
        <v>2546</v>
      </c>
      <c r="B179" s="204" t="s">
        <v>9992</v>
      </c>
      <c r="C179" s="204" t="s">
        <v>9993</v>
      </c>
      <c r="D179" s="204" t="s">
        <v>2644</v>
      </c>
      <c r="E179" s="204"/>
      <c r="F179" s="204">
        <v>2010</v>
      </c>
      <c r="G179" s="204"/>
      <c r="H179" s="204" t="s">
        <v>1878</v>
      </c>
      <c r="I179" s="205" t="s">
        <v>1929</v>
      </c>
      <c r="J179" s="204"/>
      <c r="K179" s="204" t="s">
        <v>1881</v>
      </c>
      <c r="L179" s="205" t="s">
        <v>9994</v>
      </c>
      <c r="M179" s="204">
        <v>380</v>
      </c>
      <c r="N179" s="204"/>
      <c r="O179" s="204" t="s">
        <v>9995</v>
      </c>
      <c r="P179" s="206">
        <v>292</v>
      </c>
      <c r="Q179" s="208">
        <f>IF(Y179&gt;Z179,Y179,Z179)-R179</f>
        <v>3.0300000000000002</v>
      </c>
      <c r="R179" s="207">
        <v>1.2</v>
      </c>
      <c r="S179" s="207">
        <v>4.2300000000000004</v>
      </c>
      <c r="T179" s="207"/>
      <c r="U179" s="77">
        <v>2.2000000000000002</v>
      </c>
      <c r="V179" s="77">
        <v>0.34</v>
      </c>
      <c r="W179" s="207">
        <f>(T179+U179+V179)/100*45</f>
        <v>1.143</v>
      </c>
      <c r="X179" s="70">
        <f>(T179+U179+V179+W179)/100*7</f>
        <v>0.25780999999999998</v>
      </c>
      <c r="Y179" s="228">
        <f>S179</f>
        <v>4.2300000000000004</v>
      </c>
      <c r="Z179" s="70">
        <f>SUM(T179:X179)</f>
        <v>3.9408099999999999</v>
      </c>
      <c r="AA179" s="213"/>
      <c r="AB179" s="213"/>
      <c r="AC179" s="213">
        <v>3.03</v>
      </c>
      <c r="AD179" s="213"/>
      <c r="AH179" s="210"/>
    </row>
    <row r="180" spans="1:38" s="209" customFormat="1" x14ac:dyDescent="0.25">
      <c r="A180" s="204">
        <v>1324</v>
      </c>
      <c r="B180" s="204" t="s">
        <v>7532</v>
      </c>
      <c r="C180" s="204" t="s">
        <v>7533</v>
      </c>
      <c r="D180" s="204" t="s">
        <v>1912</v>
      </c>
      <c r="E180" s="204" t="s">
        <v>1913</v>
      </c>
      <c r="F180" s="204">
        <v>2019</v>
      </c>
      <c r="G180" s="204"/>
      <c r="H180" s="204" t="s">
        <v>1878</v>
      </c>
      <c r="I180" s="205" t="s">
        <v>1929</v>
      </c>
      <c r="J180" s="204"/>
      <c r="K180" s="204" t="s">
        <v>1881</v>
      </c>
      <c r="L180" s="205" t="s">
        <v>7534</v>
      </c>
      <c r="M180" s="204">
        <v>128</v>
      </c>
      <c r="N180" s="204"/>
      <c r="O180" s="204" t="s">
        <v>5575</v>
      </c>
      <c r="P180" s="206">
        <v>102</v>
      </c>
      <c r="Q180" s="208">
        <f>SUM(U180:X180)</f>
        <v>2.9388000000000001</v>
      </c>
      <c r="R180" s="207">
        <v>2.4900000000000002</v>
      </c>
      <c r="S180" s="207"/>
      <c r="T180" s="67">
        <v>0.35</v>
      </c>
      <c r="U180" s="67"/>
      <c r="V180" s="67">
        <v>0.25</v>
      </c>
      <c r="W180" s="67">
        <f>IF(R180&gt;T180,R180,T180)</f>
        <v>2.4900000000000002</v>
      </c>
      <c r="X180" s="70">
        <f>(T180+W180)/100*7</f>
        <v>0.1988</v>
      </c>
      <c r="Y180" s="70"/>
      <c r="Z180" s="212"/>
      <c r="AA180" s="213"/>
      <c r="AB180" s="213"/>
      <c r="AC180" s="213">
        <v>2.94</v>
      </c>
      <c r="AD180" s="213"/>
      <c r="AH180" s="210"/>
    </row>
    <row r="181" spans="1:38" s="209" customFormat="1" x14ac:dyDescent="0.25">
      <c r="A181" s="204">
        <v>692</v>
      </c>
      <c r="B181" s="204" t="s">
        <v>8232</v>
      </c>
      <c r="C181" s="204" t="s">
        <v>8233</v>
      </c>
      <c r="D181" s="204" t="s">
        <v>2232</v>
      </c>
      <c r="E181" s="204" t="s">
        <v>1913</v>
      </c>
      <c r="F181" s="204">
        <v>2003</v>
      </c>
      <c r="G181" s="204"/>
      <c r="H181" s="204" t="s">
        <v>1878</v>
      </c>
      <c r="I181" s="205" t="s">
        <v>1879</v>
      </c>
      <c r="J181" s="79" t="s">
        <v>3854</v>
      </c>
      <c r="K181" s="204" t="s">
        <v>1881</v>
      </c>
      <c r="L181" s="205" t="s">
        <v>8234</v>
      </c>
      <c r="M181" s="204">
        <v>160</v>
      </c>
      <c r="N181" s="204"/>
      <c r="O181" s="204" t="s">
        <v>6693</v>
      </c>
      <c r="P181" s="206">
        <v>183</v>
      </c>
      <c r="Q181" s="208">
        <f>R181-U181</f>
        <v>0.69389999999999996</v>
      </c>
      <c r="R181" s="208">
        <f>IF(Y181&gt;Z181,Y181,Z181)</f>
        <v>1.8938999999999999</v>
      </c>
      <c r="S181" s="207">
        <v>1.88</v>
      </c>
      <c r="T181" s="67">
        <v>0.13</v>
      </c>
      <c r="U181" s="67" t="str">
        <f>IF(P181&lt;501,"1,20","1,70")</f>
        <v>1,20</v>
      </c>
      <c r="V181" s="67">
        <f>0.08+0.09+0.17</f>
        <v>0.33999999999999997</v>
      </c>
      <c r="W181" s="67">
        <v>0.1</v>
      </c>
      <c r="X181" s="70">
        <f>(T181+U181+V181+W181)/100*7</f>
        <v>0.12390000000000001</v>
      </c>
      <c r="Y181" s="70">
        <f>S181</f>
        <v>1.88</v>
      </c>
      <c r="Z181" s="70">
        <f>T181+U181+V181+W181+X181</f>
        <v>1.8938999999999999</v>
      </c>
      <c r="AA181" s="213"/>
      <c r="AB181" s="213"/>
      <c r="AC181" s="213">
        <v>0.69</v>
      </c>
      <c r="AD181" s="213"/>
      <c r="AH181" s="210"/>
    </row>
    <row r="182" spans="1:38" s="209" customFormat="1" x14ac:dyDescent="0.25">
      <c r="A182" s="204">
        <v>1325</v>
      </c>
      <c r="B182" s="204" t="s">
        <v>2071</v>
      </c>
      <c r="C182" s="204" t="s">
        <v>2072</v>
      </c>
      <c r="D182" s="204" t="s">
        <v>1876</v>
      </c>
      <c r="E182" s="204" t="s">
        <v>1899</v>
      </c>
      <c r="F182" s="204">
        <v>2011</v>
      </c>
      <c r="G182" s="204"/>
      <c r="H182" s="204" t="s">
        <v>1878</v>
      </c>
      <c r="I182" s="205" t="s">
        <v>1929</v>
      </c>
      <c r="J182" s="204" t="s">
        <v>2073</v>
      </c>
      <c r="K182" s="204" t="s">
        <v>1881</v>
      </c>
      <c r="L182" s="205" t="s">
        <v>2074</v>
      </c>
      <c r="M182" s="204">
        <v>240</v>
      </c>
      <c r="N182" s="204"/>
      <c r="O182" s="204" t="s">
        <v>1955</v>
      </c>
      <c r="P182" s="206">
        <v>232</v>
      </c>
      <c r="Q182" s="208">
        <f>SUM(T182:X182)</f>
        <v>1.8673</v>
      </c>
      <c r="R182" s="207">
        <v>0.39</v>
      </c>
      <c r="S182" s="207"/>
      <c r="T182" s="67"/>
      <c r="U182" s="67">
        <v>1.2</v>
      </c>
      <c r="V182" s="67">
        <v>0.25</v>
      </c>
      <c r="W182" s="67">
        <f>IF(R182&gt;T182,R182,T182)</f>
        <v>0.39</v>
      </c>
      <c r="X182" s="70">
        <f>(T182+W182)/100*7</f>
        <v>2.7300000000000001E-2</v>
      </c>
      <c r="Y182" s="70"/>
      <c r="Z182" s="212"/>
      <c r="AA182" s="213"/>
      <c r="AB182" s="213"/>
      <c r="AC182" s="213">
        <v>1.0900000000000001</v>
      </c>
      <c r="AD182" s="213"/>
      <c r="AH182" s="210"/>
      <c r="AI182" s="209" t="s">
        <v>51</v>
      </c>
      <c r="AJ182" s="209" t="s">
        <v>51</v>
      </c>
      <c r="AK182" s="209" t="s">
        <v>51</v>
      </c>
      <c r="AL182" s="207"/>
    </row>
    <row r="183" spans="1:38" s="209" customFormat="1" x14ac:dyDescent="0.25">
      <c r="A183" s="204">
        <v>1385</v>
      </c>
      <c r="B183" s="204" t="s">
        <v>10871</v>
      </c>
      <c r="C183" s="204" t="s">
        <v>10872</v>
      </c>
      <c r="D183" s="204" t="s">
        <v>10873</v>
      </c>
      <c r="E183" s="204" t="s">
        <v>1913</v>
      </c>
      <c r="F183" s="204">
        <v>2009</v>
      </c>
      <c r="G183" s="204"/>
      <c r="H183" s="204" t="s">
        <v>2734</v>
      </c>
      <c r="I183" s="205" t="s">
        <v>1879</v>
      </c>
      <c r="J183" s="204"/>
      <c r="K183" s="204" t="s">
        <v>1881</v>
      </c>
      <c r="L183" s="205">
        <v>9783807710471</v>
      </c>
      <c r="M183" s="204">
        <v>322</v>
      </c>
      <c r="N183" s="204"/>
      <c r="O183" s="204" t="s">
        <v>10874</v>
      </c>
      <c r="P183" s="206">
        <v>444</v>
      </c>
      <c r="Q183" s="212">
        <v>7.79</v>
      </c>
      <c r="R183" s="207">
        <v>1.2</v>
      </c>
      <c r="S183" s="207">
        <v>8.99</v>
      </c>
      <c r="T183" s="207"/>
      <c r="U183" s="238"/>
      <c r="V183" s="238"/>
      <c r="W183" s="207"/>
      <c r="X183" s="212"/>
      <c r="Y183" s="212"/>
      <c r="Z183" s="212"/>
      <c r="AA183" s="212"/>
      <c r="AB183" s="212"/>
      <c r="AC183" s="212">
        <v>7.79</v>
      </c>
      <c r="AD183" s="212"/>
      <c r="AH183" s="210"/>
    </row>
    <row r="184" spans="1:38" s="209" customFormat="1" x14ac:dyDescent="0.25">
      <c r="A184" s="204">
        <v>1921</v>
      </c>
      <c r="B184" s="204" t="s">
        <v>9714</v>
      </c>
      <c r="C184" s="204" t="s">
        <v>9715</v>
      </c>
      <c r="D184" s="204" t="s">
        <v>9716</v>
      </c>
      <c r="E184" s="204"/>
      <c r="F184" s="204"/>
      <c r="G184" s="204"/>
      <c r="H184" s="204" t="s">
        <v>2734</v>
      </c>
      <c r="I184" s="205" t="s">
        <v>1929</v>
      </c>
      <c r="J184" s="204" t="s">
        <v>9706</v>
      </c>
      <c r="K184" s="204" t="s">
        <v>1881</v>
      </c>
      <c r="L184" s="205" t="s">
        <v>9717</v>
      </c>
      <c r="M184" s="204"/>
      <c r="N184" s="204"/>
      <c r="O184" s="204" t="s">
        <v>9718</v>
      </c>
      <c r="P184" s="206">
        <v>444</v>
      </c>
      <c r="Q184" s="208">
        <f>IF(Y184&gt;Z184,Y184,Z184)-R184</f>
        <v>3.88</v>
      </c>
      <c r="R184" s="207">
        <v>1.2</v>
      </c>
      <c r="S184" s="207">
        <v>5.08</v>
      </c>
      <c r="T184" s="207"/>
      <c r="U184" s="67">
        <v>2.2000000000000002</v>
      </c>
      <c r="V184" s="67">
        <v>0.34</v>
      </c>
      <c r="W184" s="67">
        <f>(T184+U184+V184)/100*45</f>
        <v>1.143</v>
      </c>
      <c r="X184" s="70">
        <f>(T184+U184+V184+W184)/100*7</f>
        <v>0.25780999999999998</v>
      </c>
      <c r="Y184" s="70">
        <f>S184</f>
        <v>5.08</v>
      </c>
      <c r="Z184" s="70">
        <f>SUM(T184:X184)</f>
        <v>3.9408099999999999</v>
      </c>
      <c r="AA184" s="213"/>
      <c r="AB184" s="213"/>
      <c r="AC184" s="213">
        <v>3.88</v>
      </c>
      <c r="AD184" s="213"/>
      <c r="AH184" s="210"/>
    </row>
    <row r="185" spans="1:38" s="209" customFormat="1" x14ac:dyDescent="0.25">
      <c r="A185" s="204">
        <v>689</v>
      </c>
      <c r="B185" s="204" t="s">
        <v>9127</v>
      </c>
      <c r="C185" s="204" t="s">
        <v>9128</v>
      </c>
      <c r="D185" s="204" t="s">
        <v>2209</v>
      </c>
      <c r="E185" s="204" t="s">
        <v>2412</v>
      </c>
      <c r="F185" s="204">
        <v>1995</v>
      </c>
      <c r="G185" s="204"/>
      <c r="H185" s="204" t="s">
        <v>1878</v>
      </c>
      <c r="I185" s="205" t="s">
        <v>7817</v>
      </c>
      <c r="J185" s="204"/>
      <c r="K185" s="204" t="s">
        <v>1881</v>
      </c>
      <c r="L185" s="205" t="s">
        <v>9129</v>
      </c>
      <c r="M185" s="204">
        <v>410</v>
      </c>
      <c r="N185" s="204"/>
      <c r="O185" s="204" t="s">
        <v>6931</v>
      </c>
      <c r="P185" s="206">
        <v>372</v>
      </c>
      <c r="Q185" s="208">
        <v>1.8472319999999998</v>
      </c>
      <c r="R185" s="207">
        <v>1.2</v>
      </c>
      <c r="S185" s="207">
        <v>1.7</v>
      </c>
      <c r="T185" s="67">
        <v>0.13</v>
      </c>
      <c r="U185" s="67" t="s">
        <v>9027</v>
      </c>
      <c r="V185" s="67">
        <v>0.33999999999999997</v>
      </c>
      <c r="W185" s="67">
        <v>0.35</v>
      </c>
      <c r="X185" s="70">
        <v>0.19039999999999999</v>
      </c>
      <c r="Y185" s="70">
        <v>1.7</v>
      </c>
      <c r="Z185" s="70">
        <v>2.9103999999999997</v>
      </c>
      <c r="AA185" s="213"/>
      <c r="AB185" s="213"/>
      <c r="AC185" s="213">
        <v>1.85</v>
      </c>
      <c r="AD185" s="213"/>
      <c r="AH185" s="210"/>
    </row>
    <row r="186" spans="1:38" s="209" customFormat="1" x14ac:dyDescent="0.25">
      <c r="A186" s="237">
        <v>632</v>
      </c>
      <c r="B186" s="204" t="s">
        <v>10298</v>
      </c>
      <c r="C186" s="204" t="s">
        <v>10299</v>
      </c>
      <c r="D186" s="204" t="s">
        <v>2209</v>
      </c>
      <c r="E186" s="204" t="s">
        <v>1877</v>
      </c>
      <c r="F186" s="204">
        <v>1999</v>
      </c>
      <c r="G186" s="204"/>
      <c r="H186" s="204" t="s">
        <v>1878</v>
      </c>
      <c r="I186" s="205" t="s">
        <v>1914</v>
      </c>
      <c r="J186" s="204"/>
      <c r="K186" s="204" t="s">
        <v>1881</v>
      </c>
      <c r="L186" s="205" t="s">
        <v>10300</v>
      </c>
      <c r="M186" s="204">
        <v>349</v>
      </c>
      <c r="N186" s="204"/>
      <c r="O186" s="204" t="s">
        <v>10301</v>
      </c>
      <c r="P186" s="206">
        <v>240</v>
      </c>
      <c r="Q186" s="229">
        <f>S186-R186</f>
        <v>3.63</v>
      </c>
      <c r="R186" s="207">
        <v>1.2</v>
      </c>
      <c r="S186" s="229">
        <v>4.83</v>
      </c>
      <c r="T186" s="207"/>
      <c r="U186" s="238"/>
      <c r="V186" s="238"/>
      <c r="W186" s="207"/>
      <c r="X186" s="212"/>
      <c r="Y186" s="212"/>
      <c r="Z186" s="212"/>
      <c r="AA186" s="212"/>
      <c r="AB186" s="212"/>
      <c r="AC186" s="212">
        <v>3.63</v>
      </c>
      <c r="AG186" s="210"/>
    </row>
    <row r="187" spans="1:38" s="209" customFormat="1" x14ac:dyDescent="0.25">
      <c r="A187" s="204">
        <v>1386</v>
      </c>
      <c r="B187" s="204" t="s">
        <v>2974</v>
      </c>
      <c r="C187" s="204" t="s">
        <v>2975</v>
      </c>
      <c r="D187" s="204" t="s">
        <v>2976</v>
      </c>
      <c r="E187" s="204"/>
      <c r="F187" s="204">
        <v>2016</v>
      </c>
      <c r="G187" s="204"/>
      <c r="H187" s="204" t="s">
        <v>2963</v>
      </c>
      <c r="I187" s="205" t="s">
        <v>1929</v>
      </c>
      <c r="J187" s="204"/>
      <c r="K187" s="204" t="s">
        <v>1881</v>
      </c>
      <c r="L187" s="205" t="s">
        <v>2977</v>
      </c>
      <c r="M187" s="204">
        <v>142</v>
      </c>
      <c r="N187" s="204"/>
      <c r="O187" s="204" t="s">
        <v>2948</v>
      </c>
      <c r="P187" s="206">
        <v>243</v>
      </c>
      <c r="Q187" s="208">
        <f>SUM(T187:X187)</f>
        <v>4.4352999999999998</v>
      </c>
      <c r="R187" s="207">
        <v>2.79</v>
      </c>
      <c r="S187" s="207"/>
      <c r="T187" s="67"/>
      <c r="U187" s="67">
        <v>1.2</v>
      </c>
      <c r="V187" s="67">
        <v>0.25</v>
      </c>
      <c r="W187" s="67">
        <f>IF(R187&gt;T187,R187,T187)</f>
        <v>2.79</v>
      </c>
      <c r="X187" s="70">
        <f>(T187+W187)/100*7</f>
        <v>0.1953</v>
      </c>
      <c r="Y187" s="70"/>
      <c r="Z187" s="212"/>
      <c r="AA187" s="213"/>
      <c r="AB187" s="213"/>
      <c r="AC187" s="213">
        <v>4.4400000000000004</v>
      </c>
      <c r="AD187" s="213"/>
      <c r="AH187" s="210"/>
    </row>
    <row r="188" spans="1:38" s="209" customFormat="1" x14ac:dyDescent="0.25">
      <c r="A188" s="237">
        <v>852</v>
      </c>
      <c r="B188" s="204" t="s">
        <v>10610</v>
      </c>
      <c r="C188" s="204" t="s">
        <v>10611</v>
      </c>
      <c r="D188" s="204" t="s">
        <v>9307</v>
      </c>
      <c r="E188" s="204" t="s">
        <v>1913</v>
      </c>
      <c r="F188" s="204">
        <v>2019</v>
      </c>
      <c r="G188" s="204"/>
      <c r="H188" s="204" t="s">
        <v>2734</v>
      </c>
      <c r="I188" s="205" t="s">
        <v>1929</v>
      </c>
      <c r="J188" s="204"/>
      <c r="K188" s="204" t="s">
        <v>1881</v>
      </c>
      <c r="L188" s="205" t="s">
        <v>10612</v>
      </c>
      <c r="M188" s="204">
        <v>221</v>
      </c>
      <c r="N188" s="204"/>
      <c r="O188" s="204" t="s">
        <v>10613</v>
      </c>
      <c r="P188" s="206">
        <v>404</v>
      </c>
      <c r="Q188" s="229">
        <f>S188-R188</f>
        <v>14.790000000000001</v>
      </c>
      <c r="R188" s="207">
        <v>1.2</v>
      </c>
      <c r="S188" s="207">
        <v>15.99</v>
      </c>
      <c r="T188" s="207"/>
      <c r="U188" s="238"/>
      <c r="V188" s="238"/>
      <c r="W188" s="207"/>
      <c r="X188" s="212"/>
      <c r="Y188" s="212"/>
      <c r="Z188" s="212"/>
      <c r="AA188" s="212"/>
      <c r="AB188" s="212"/>
      <c r="AC188" s="212">
        <v>14.79</v>
      </c>
      <c r="AG188" s="210"/>
    </row>
    <row r="189" spans="1:38" s="209" customFormat="1" x14ac:dyDescent="0.25">
      <c r="A189" s="204">
        <v>1325</v>
      </c>
      <c r="B189" s="204" t="s">
        <v>7431</v>
      </c>
      <c r="C189" s="204" t="s">
        <v>7432</v>
      </c>
      <c r="D189" s="204" t="s">
        <v>2424</v>
      </c>
      <c r="E189" s="204" t="s">
        <v>2375</v>
      </c>
      <c r="F189" s="204">
        <v>2003</v>
      </c>
      <c r="G189" s="204"/>
      <c r="H189" s="204" t="s">
        <v>1878</v>
      </c>
      <c r="I189" s="205" t="s">
        <v>1879</v>
      </c>
      <c r="J189" s="204"/>
      <c r="K189" s="204" t="s">
        <v>1881</v>
      </c>
      <c r="L189" s="205" t="s">
        <v>7433</v>
      </c>
      <c r="M189" s="204">
        <v>192</v>
      </c>
      <c r="N189" s="204"/>
      <c r="O189" s="204" t="s">
        <v>5542</v>
      </c>
      <c r="P189" s="206">
        <v>228</v>
      </c>
      <c r="Q189" s="208">
        <f>SUM(U189:X189)</f>
        <v>1.0127999999999999</v>
      </c>
      <c r="R189" s="207">
        <v>0.69</v>
      </c>
      <c r="S189" s="207"/>
      <c r="T189" s="67">
        <v>0.35</v>
      </c>
      <c r="U189" s="67"/>
      <c r="V189" s="67">
        <v>0.25</v>
      </c>
      <c r="W189" s="67">
        <f>IF(R189&gt;T189,R189,T189)</f>
        <v>0.69</v>
      </c>
      <c r="X189" s="70">
        <f>(T189+W189)/100*7</f>
        <v>7.2800000000000004E-2</v>
      </c>
      <c r="Y189" s="70"/>
      <c r="Z189" s="212"/>
      <c r="AA189" s="213"/>
      <c r="AB189" s="213"/>
      <c r="AC189" s="213">
        <v>1.01</v>
      </c>
      <c r="AD189" s="213"/>
      <c r="AH189" s="210"/>
    </row>
    <row r="190" spans="1:38" s="209" customFormat="1" x14ac:dyDescent="0.25">
      <c r="A190" s="204">
        <v>2547</v>
      </c>
      <c r="B190" s="204" t="s">
        <v>2052</v>
      </c>
      <c r="C190" s="204" t="s">
        <v>4931</v>
      </c>
      <c r="D190" s="204" t="s">
        <v>2926</v>
      </c>
      <c r="E190" s="204"/>
      <c r="F190" s="204">
        <v>1998</v>
      </c>
      <c r="G190" s="204"/>
      <c r="H190" s="204" t="s">
        <v>1878</v>
      </c>
      <c r="I190" s="205" t="s">
        <v>1879</v>
      </c>
      <c r="J190" s="204"/>
      <c r="K190" s="204" t="s">
        <v>1881</v>
      </c>
      <c r="L190" s="205" t="s">
        <v>4932</v>
      </c>
      <c r="M190" s="204">
        <v>198</v>
      </c>
      <c r="N190" s="204"/>
      <c r="O190" s="204" t="s">
        <v>4789</v>
      </c>
      <c r="P190" s="206">
        <v>171</v>
      </c>
      <c r="Q190" s="208">
        <f>SUM(T190:X190)</f>
        <v>4.3282999999999996</v>
      </c>
      <c r="R190" s="207">
        <v>2.69</v>
      </c>
      <c r="S190" s="207"/>
      <c r="T190" s="67"/>
      <c r="U190" s="67">
        <v>1.2</v>
      </c>
      <c r="V190" s="67">
        <v>0.25</v>
      </c>
      <c r="W190" s="67">
        <f>IF(R190&gt;T190,R190,T190)</f>
        <v>2.69</v>
      </c>
      <c r="X190" s="70">
        <f>(T190+W190)/100*7</f>
        <v>0.1883</v>
      </c>
      <c r="Y190" s="70"/>
      <c r="Z190" s="212"/>
      <c r="AA190" s="213"/>
      <c r="AB190" s="213"/>
      <c r="AC190" s="213">
        <v>4.33</v>
      </c>
      <c r="AD190" s="213"/>
      <c r="AH190" s="210"/>
    </row>
    <row r="191" spans="1:38" s="209" customFormat="1" x14ac:dyDescent="0.25">
      <c r="A191" s="204">
        <v>2514</v>
      </c>
      <c r="B191" s="204" t="s">
        <v>7219</v>
      </c>
      <c r="C191" s="204" t="s">
        <v>7220</v>
      </c>
      <c r="D191" s="204" t="s">
        <v>2402</v>
      </c>
      <c r="E191" s="204"/>
      <c r="F191" s="204">
        <v>1992</v>
      </c>
      <c r="G191" s="204"/>
      <c r="H191" s="204" t="s">
        <v>2734</v>
      </c>
      <c r="I191" s="205" t="s">
        <v>1914</v>
      </c>
      <c r="J191" s="204"/>
      <c r="K191" s="204" t="s">
        <v>1881</v>
      </c>
      <c r="L191" s="205" t="s">
        <v>7221</v>
      </c>
      <c r="M191" s="204">
        <v>126</v>
      </c>
      <c r="N191" s="204"/>
      <c r="O191" s="204" t="s">
        <v>5470</v>
      </c>
      <c r="P191" s="206">
        <v>189</v>
      </c>
      <c r="Q191" s="208">
        <f>SUM(U191:X191)</f>
        <v>0.79669999999999996</v>
      </c>
      <c r="R191" s="207">
        <v>0.49</v>
      </c>
      <c r="S191" s="207"/>
      <c r="T191" s="67">
        <v>0.32</v>
      </c>
      <c r="U191" s="67"/>
      <c r="V191" s="67">
        <v>0.25</v>
      </c>
      <c r="W191" s="67">
        <f>IF(R191&gt;T191,R191,T191)</f>
        <v>0.49</v>
      </c>
      <c r="X191" s="70">
        <f>(T191+W191)/100*7</f>
        <v>5.6700000000000007E-2</v>
      </c>
      <c r="Y191" s="70"/>
      <c r="Z191" s="212"/>
      <c r="AA191" s="213"/>
      <c r="AB191" s="213"/>
      <c r="AC191" s="213">
        <v>0.8</v>
      </c>
      <c r="AD191" s="213"/>
      <c r="AH191" s="210"/>
    </row>
    <row r="192" spans="1:38" s="209" customFormat="1" x14ac:dyDescent="0.25">
      <c r="A192" s="74">
        <v>2547</v>
      </c>
      <c r="B192" s="204" t="s">
        <v>9403</v>
      </c>
      <c r="C192" s="204" t="s">
        <v>9404</v>
      </c>
      <c r="D192" s="204" t="s">
        <v>1912</v>
      </c>
      <c r="E192" s="204" t="s">
        <v>6097</v>
      </c>
      <c r="F192" s="204">
        <v>1990</v>
      </c>
      <c r="G192" s="212"/>
      <c r="H192" s="204" t="s">
        <v>1878</v>
      </c>
      <c r="I192" s="205" t="s">
        <v>1914</v>
      </c>
      <c r="J192" s="212"/>
      <c r="K192" s="204" t="s">
        <v>1881</v>
      </c>
      <c r="L192" s="205" t="s">
        <v>9405</v>
      </c>
      <c r="M192" s="204">
        <v>224</v>
      </c>
      <c r="N192" s="212"/>
      <c r="O192" s="204" t="s">
        <v>7024</v>
      </c>
      <c r="P192" s="206">
        <v>128</v>
      </c>
      <c r="Q192" s="208">
        <f>IF(Y192&gt;Z192,Y192,Z192)-R192</f>
        <v>1.7103999999999997</v>
      </c>
      <c r="R192" s="207">
        <v>1.2</v>
      </c>
      <c r="S192" s="230">
        <v>1.55</v>
      </c>
      <c r="T192" s="67">
        <v>0.13</v>
      </c>
      <c r="U192" s="67">
        <v>1.9</v>
      </c>
      <c r="V192" s="67">
        <v>0.33999999999999997</v>
      </c>
      <c r="W192" s="67">
        <v>0.35</v>
      </c>
      <c r="X192" s="70">
        <v>0.19039999999999999</v>
      </c>
      <c r="Y192" s="70">
        <f>S192</f>
        <v>1.55</v>
      </c>
      <c r="Z192" s="70">
        <f>SUM(T192:X192)</f>
        <v>2.9103999999999997</v>
      </c>
      <c r="AA192" s="213"/>
      <c r="AB192" s="213"/>
      <c r="AC192" s="213">
        <v>1.71</v>
      </c>
      <c r="AD192" s="213"/>
      <c r="AH192" s="210"/>
    </row>
    <row r="193" spans="1:34" s="209" customFormat="1" x14ac:dyDescent="0.25">
      <c r="A193" s="204">
        <v>632</v>
      </c>
      <c r="B193" s="204" t="s">
        <v>3233</v>
      </c>
      <c r="C193" s="204" t="s">
        <v>10081</v>
      </c>
      <c r="D193" s="204" t="s">
        <v>2257</v>
      </c>
      <c r="E193" s="204" t="s">
        <v>1913</v>
      </c>
      <c r="F193" s="204">
        <v>2019</v>
      </c>
      <c r="G193" s="204"/>
      <c r="H193" s="204" t="s">
        <v>1878</v>
      </c>
      <c r="I193" s="205" t="s">
        <v>1929</v>
      </c>
      <c r="J193" s="204"/>
      <c r="K193" s="204" t="s">
        <v>1881</v>
      </c>
      <c r="L193" s="205" t="s">
        <v>10082</v>
      </c>
      <c r="M193" s="204">
        <v>523</v>
      </c>
      <c r="N193" s="204"/>
      <c r="O193" s="204" t="s">
        <v>10083</v>
      </c>
      <c r="P193" s="206">
        <v>398</v>
      </c>
      <c r="Q193" s="208">
        <f>IF(Y193&gt;Z193,Y193,Z193)-R193</f>
        <v>6.8</v>
      </c>
      <c r="R193" s="207">
        <v>1.2</v>
      </c>
      <c r="S193" s="207">
        <v>8</v>
      </c>
      <c r="T193" s="207"/>
      <c r="U193" s="77">
        <v>2.2000000000000002</v>
      </c>
      <c r="V193" s="77">
        <v>0.34</v>
      </c>
      <c r="W193" s="207">
        <f>(T193+U193+V193)/100*45</f>
        <v>1.143</v>
      </c>
      <c r="X193" s="70">
        <f>(T193+U193+V193+W193)/100*7</f>
        <v>0.25780999999999998</v>
      </c>
      <c r="Y193" s="228">
        <f>S193</f>
        <v>8</v>
      </c>
      <c r="Z193" s="70">
        <f>SUM(T193:X193)</f>
        <v>3.9408099999999999</v>
      </c>
      <c r="AA193" s="213"/>
      <c r="AB193" s="213"/>
      <c r="AC193" s="213">
        <v>6.8</v>
      </c>
      <c r="AD193" s="213"/>
      <c r="AH193" s="210"/>
    </row>
    <row r="194" spans="1:34" s="209" customFormat="1" x14ac:dyDescent="0.25">
      <c r="A194" s="204">
        <v>2518</v>
      </c>
      <c r="B194" s="204" t="s">
        <v>8292</v>
      </c>
      <c r="C194" s="204" t="s">
        <v>8293</v>
      </c>
      <c r="D194" s="204" t="s">
        <v>2054</v>
      </c>
      <c r="E194" s="204"/>
      <c r="F194" s="204">
        <v>2017</v>
      </c>
      <c r="G194" s="204"/>
      <c r="H194" s="204" t="s">
        <v>1878</v>
      </c>
      <c r="I194" s="205" t="s">
        <v>1929</v>
      </c>
      <c r="J194" s="204"/>
      <c r="K194" s="204" t="s">
        <v>1881</v>
      </c>
      <c r="L194" s="205" t="s">
        <v>8294</v>
      </c>
      <c r="M194" s="204">
        <v>414</v>
      </c>
      <c r="N194" s="204"/>
      <c r="O194" s="204" t="s">
        <v>6717</v>
      </c>
      <c r="P194" s="206">
        <v>412</v>
      </c>
      <c r="Q194" s="208">
        <f>R194-U194</f>
        <v>0.85439999999999983</v>
      </c>
      <c r="R194" s="208">
        <f>IF(Y194&gt;Z194,Y194,Z194)</f>
        <v>2.0543999999999998</v>
      </c>
      <c r="S194" s="207">
        <v>1.75</v>
      </c>
      <c r="T194" s="67">
        <v>0.13</v>
      </c>
      <c r="U194" s="67" t="str">
        <f>IF(P194&lt;501,"1,20","1,70")</f>
        <v>1,20</v>
      </c>
      <c r="V194" s="67">
        <f>0.08+0.09+0.17</f>
        <v>0.33999999999999997</v>
      </c>
      <c r="W194" s="67">
        <v>0.25</v>
      </c>
      <c r="X194" s="70">
        <f>(T194+U194+V194+W194)/100*7</f>
        <v>0.13439999999999999</v>
      </c>
      <c r="Y194" s="70">
        <f>S194</f>
        <v>1.75</v>
      </c>
      <c r="Z194" s="70">
        <f>T194+U194+V194+W194+X194</f>
        <v>2.0543999999999998</v>
      </c>
      <c r="AA194" s="213"/>
      <c r="AB194" s="213"/>
      <c r="AC194" s="213">
        <v>0.85</v>
      </c>
      <c r="AD194" s="213"/>
      <c r="AH194" s="210"/>
    </row>
    <row r="195" spans="1:34" s="209" customFormat="1" x14ac:dyDescent="0.25">
      <c r="A195" s="237">
        <v>941</v>
      </c>
      <c r="B195" s="204" t="s">
        <v>10590</v>
      </c>
      <c r="C195" s="204" t="s">
        <v>10591</v>
      </c>
      <c r="D195" s="204" t="s">
        <v>10592</v>
      </c>
      <c r="E195" s="204" t="s">
        <v>1913</v>
      </c>
      <c r="F195" s="204">
        <v>2018</v>
      </c>
      <c r="G195" s="204"/>
      <c r="H195" s="204" t="s">
        <v>1878</v>
      </c>
      <c r="I195" s="205" t="s">
        <v>1929</v>
      </c>
      <c r="J195" s="204"/>
      <c r="K195" s="204" t="s">
        <v>1881</v>
      </c>
      <c r="L195" s="205" t="s">
        <v>10593</v>
      </c>
      <c r="M195" s="204">
        <v>228</v>
      </c>
      <c r="N195" s="204"/>
      <c r="O195" s="204" t="s">
        <v>10594</v>
      </c>
      <c r="P195" s="206">
        <v>312</v>
      </c>
      <c r="Q195" s="229">
        <f>S195-R195</f>
        <v>6.3</v>
      </c>
      <c r="R195" s="207">
        <v>1.2</v>
      </c>
      <c r="S195" s="207">
        <v>7.5</v>
      </c>
      <c r="T195" s="207"/>
      <c r="U195" s="238"/>
      <c r="V195" s="238"/>
      <c r="W195" s="207"/>
      <c r="X195" s="212"/>
      <c r="Y195" s="212"/>
      <c r="Z195" s="212"/>
      <c r="AA195" s="212"/>
      <c r="AB195" s="212"/>
      <c r="AC195" s="212">
        <v>6.3</v>
      </c>
      <c r="AG195" s="210"/>
    </row>
    <row r="196" spans="1:34" s="209" customFormat="1" x14ac:dyDescent="0.25">
      <c r="A196" s="204">
        <v>1720</v>
      </c>
      <c r="B196" s="204" t="s">
        <v>7529</v>
      </c>
      <c r="C196" s="204" t="s">
        <v>9028</v>
      </c>
      <c r="D196" s="204" t="s">
        <v>3077</v>
      </c>
      <c r="E196" s="204"/>
      <c r="F196" s="204">
        <v>2008</v>
      </c>
      <c r="G196" s="204"/>
      <c r="H196" s="204" t="s">
        <v>1878</v>
      </c>
      <c r="I196" s="205" t="s">
        <v>1879</v>
      </c>
      <c r="J196" s="204"/>
      <c r="K196" s="204" t="s">
        <v>1881</v>
      </c>
      <c r="L196" s="205" t="s">
        <v>9029</v>
      </c>
      <c r="M196" s="204">
        <v>447</v>
      </c>
      <c r="N196" s="204"/>
      <c r="O196" s="204" t="s">
        <v>6895</v>
      </c>
      <c r="P196" s="206">
        <v>333</v>
      </c>
      <c r="Q196" s="208">
        <v>1.8472319999999998</v>
      </c>
      <c r="R196" s="207">
        <v>1.2</v>
      </c>
      <c r="S196" s="207">
        <v>2.9</v>
      </c>
      <c r="T196" s="67">
        <v>0.13</v>
      </c>
      <c r="U196" s="67" t="s">
        <v>9027</v>
      </c>
      <c r="V196" s="67">
        <v>0.33999999999999997</v>
      </c>
      <c r="W196" s="67">
        <v>0.35</v>
      </c>
      <c r="X196" s="70">
        <v>0.19039999999999999</v>
      </c>
      <c r="Y196" s="70">
        <v>2.9</v>
      </c>
      <c r="Z196" s="70">
        <v>2.9103999999999997</v>
      </c>
      <c r="AA196" s="213"/>
      <c r="AB196" s="213"/>
      <c r="AC196" s="213">
        <v>1.85</v>
      </c>
      <c r="AD196" s="213"/>
      <c r="AH196" s="210"/>
    </row>
    <row r="197" spans="1:34" s="209" customFormat="1" x14ac:dyDescent="0.25">
      <c r="A197" s="204">
        <v>692</v>
      </c>
      <c r="B197" s="204" t="s">
        <v>10575</v>
      </c>
      <c r="C197" s="204" t="s">
        <v>10576</v>
      </c>
      <c r="D197" s="204" t="s">
        <v>2609</v>
      </c>
      <c r="E197" s="204"/>
      <c r="F197" s="204">
        <v>2019</v>
      </c>
      <c r="G197" s="204"/>
      <c r="H197" s="204" t="s">
        <v>1878</v>
      </c>
      <c r="I197" s="205" t="s">
        <v>1929</v>
      </c>
      <c r="J197" s="204"/>
      <c r="K197" s="204" t="s">
        <v>1881</v>
      </c>
      <c r="L197" s="205" t="s">
        <v>10577</v>
      </c>
      <c r="M197" s="204">
        <v>283</v>
      </c>
      <c r="N197" s="204"/>
      <c r="O197" s="204" t="s">
        <v>10578</v>
      </c>
      <c r="P197" s="206">
        <v>294</v>
      </c>
      <c r="Q197" s="229">
        <f>S197-R197</f>
        <v>4.79</v>
      </c>
      <c r="R197" s="207">
        <v>1.2</v>
      </c>
      <c r="S197" s="207">
        <v>5.99</v>
      </c>
      <c r="T197" s="207"/>
      <c r="U197" s="238"/>
      <c r="V197" s="238"/>
      <c r="W197" s="207"/>
      <c r="X197" s="212"/>
      <c r="Y197" s="212"/>
      <c r="Z197" s="212"/>
      <c r="AA197" s="212"/>
      <c r="AB197" s="212"/>
      <c r="AC197" s="212">
        <v>4.79</v>
      </c>
      <c r="AG197" s="210"/>
    </row>
    <row r="198" spans="1:34" s="209" customFormat="1" x14ac:dyDescent="0.25">
      <c r="A198" s="204">
        <v>1386</v>
      </c>
      <c r="B198" s="204" t="s">
        <v>9976</v>
      </c>
      <c r="C198" s="204" t="s">
        <v>9977</v>
      </c>
      <c r="D198" s="204" t="s">
        <v>2609</v>
      </c>
      <c r="E198" s="204" t="s">
        <v>1899</v>
      </c>
      <c r="F198" s="204">
        <v>2018</v>
      </c>
      <c r="G198" s="204"/>
      <c r="H198" s="204" t="s">
        <v>1878</v>
      </c>
      <c r="I198" s="205" t="s">
        <v>1879</v>
      </c>
      <c r="J198" s="204" t="s">
        <v>9196</v>
      </c>
      <c r="K198" s="204" t="s">
        <v>1881</v>
      </c>
      <c r="L198" s="205" t="s">
        <v>9978</v>
      </c>
      <c r="M198" s="204">
        <v>682</v>
      </c>
      <c r="N198" s="204"/>
      <c r="O198" s="204" t="s">
        <v>9979</v>
      </c>
      <c r="P198" s="206">
        <v>531</v>
      </c>
      <c r="Q198" s="208">
        <f>IF(Y198&gt;Z198,Y198,Z198)-R198</f>
        <v>2.54</v>
      </c>
      <c r="R198" s="207">
        <v>1.7</v>
      </c>
      <c r="S198" s="207">
        <v>4.24</v>
      </c>
      <c r="T198" s="207"/>
      <c r="U198" s="77">
        <v>2.2000000000000002</v>
      </c>
      <c r="V198" s="77">
        <v>0.34</v>
      </c>
      <c r="W198" s="207">
        <f>(T198+U198+V198)/100*45</f>
        <v>1.143</v>
      </c>
      <c r="X198" s="70">
        <f>(T198+U198+V198+W198)/100*7</f>
        <v>0.25780999999999998</v>
      </c>
      <c r="Y198" s="228">
        <f>S198</f>
        <v>4.24</v>
      </c>
      <c r="Z198" s="70">
        <f>SUM(T198:X198)</f>
        <v>3.9408099999999999</v>
      </c>
      <c r="AA198" s="213"/>
      <c r="AB198" s="213"/>
      <c r="AC198" s="213">
        <v>2.2000000000000002</v>
      </c>
      <c r="AD198" s="213"/>
      <c r="AH198" s="210"/>
    </row>
    <row r="199" spans="1:34" s="209" customFormat="1" x14ac:dyDescent="0.25">
      <c r="A199" s="204">
        <v>1355</v>
      </c>
      <c r="B199" s="204" t="s">
        <v>8437</v>
      </c>
      <c r="C199" s="204" t="s">
        <v>8438</v>
      </c>
      <c r="D199" s="204"/>
      <c r="E199" s="204"/>
      <c r="F199" s="204"/>
      <c r="G199" s="204"/>
      <c r="H199" s="204" t="s">
        <v>8439</v>
      </c>
      <c r="I199" s="205" t="s">
        <v>1879</v>
      </c>
      <c r="J199" s="204"/>
      <c r="K199" s="204" t="s">
        <v>1881</v>
      </c>
      <c r="L199" s="205" t="s">
        <v>8440</v>
      </c>
      <c r="M199" s="204"/>
      <c r="N199" s="204"/>
      <c r="O199" s="204" t="s">
        <v>6770</v>
      </c>
      <c r="P199" s="206">
        <v>44</v>
      </c>
      <c r="Q199" s="208">
        <f>R199-U199</f>
        <v>1.78</v>
      </c>
      <c r="R199" s="208">
        <f>IF(Y199&gt;Z199,Y199,Z199)</f>
        <v>2.98</v>
      </c>
      <c r="S199" s="207">
        <v>2.98</v>
      </c>
      <c r="T199" s="67">
        <v>0.13</v>
      </c>
      <c r="U199" s="67" t="str">
        <f>IF(P199&lt;501,"1,20","1,70")</f>
        <v>1,20</v>
      </c>
      <c r="V199" s="67">
        <f>0.08+0.09+0.17</f>
        <v>0.33999999999999997</v>
      </c>
      <c r="W199" s="67">
        <v>1.1000000000000001</v>
      </c>
      <c r="X199" s="70">
        <f>(T199+U199+V199+W199)/100*7</f>
        <v>0.19389999999999999</v>
      </c>
      <c r="Y199" s="70">
        <f>S199</f>
        <v>2.98</v>
      </c>
      <c r="Z199" s="70">
        <f>T199+U199+V199+W199+X199</f>
        <v>2.9639000000000002</v>
      </c>
      <c r="AA199" s="213"/>
      <c r="AB199" s="213"/>
      <c r="AC199" s="213">
        <v>1.78</v>
      </c>
      <c r="AD199" s="213"/>
      <c r="AH199" s="210"/>
    </row>
    <row r="200" spans="1:34" s="209" customFormat="1" x14ac:dyDescent="0.25">
      <c r="A200" s="237">
        <v>765</v>
      </c>
      <c r="B200" s="204" t="s">
        <v>10341</v>
      </c>
      <c r="C200" s="204" t="s">
        <v>10342</v>
      </c>
      <c r="D200" s="204" t="s">
        <v>10343</v>
      </c>
      <c r="E200" s="204"/>
      <c r="F200" s="204">
        <v>2002</v>
      </c>
      <c r="G200" s="204"/>
      <c r="H200" s="204" t="s">
        <v>1878</v>
      </c>
      <c r="I200" s="205" t="s">
        <v>1929</v>
      </c>
      <c r="J200" s="204"/>
      <c r="K200" s="204" t="s">
        <v>1881</v>
      </c>
      <c r="L200" s="205" t="s">
        <v>10344</v>
      </c>
      <c r="M200" s="204">
        <v>143</v>
      </c>
      <c r="N200" s="204"/>
      <c r="O200" s="204" t="s">
        <v>10345</v>
      </c>
      <c r="P200" s="206">
        <v>212</v>
      </c>
      <c r="Q200" s="229">
        <f>S200-R200</f>
        <v>9.7600000000000016</v>
      </c>
      <c r="R200" s="207">
        <v>1.2</v>
      </c>
      <c r="S200" s="207">
        <v>10.96</v>
      </c>
      <c r="T200" s="207"/>
      <c r="U200" s="238"/>
      <c r="V200" s="238"/>
      <c r="W200" s="207"/>
      <c r="X200" s="212"/>
      <c r="Y200" s="212"/>
      <c r="Z200" s="212"/>
      <c r="AA200" s="212"/>
      <c r="AB200" s="212"/>
      <c r="AC200" s="212">
        <v>9.76</v>
      </c>
      <c r="AG200" s="210"/>
    </row>
    <row r="201" spans="1:34" s="209" customFormat="1" x14ac:dyDescent="0.25">
      <c r="A201" s="204">
        <v>1720</v>
      </c>
      <c r="B201" s="204" t="s">
        <v>9023</v>
      </c>
      <c r="C201" s="204" t="s">
        <v>9024</v>
      </c>
      <c r="D201" s="204" t="s">
        <v>1988</v>
      </c>
      <c r="E201" s="204"/>
      <c r="F201" s="204">
        <v>2002</v>
      </c>
      <c r="G201" s="204"/>
      <c r="H201" s="204" t="s">
        <v>1878</v>
      </c>
      <c r="I201" s="205" t="s">
        <v>7527</v>
      </c>
      <c r="J201" s="204" t="s">
        <v>9025</v>
      </c>
      <c r="K201" s="204" t="s">
        <v>1881</v>
      </c>
      <c r="L201" s="205" t="s">
        <v>9026</v>
      </c>
      <c r="M201" s="204">
        <v>267</v>
      </c>
      <c r="N201" s="204"/>
      <c r="O201" s="204" t="s">
        <v>6894</v>
      </c>
      <c r="P201" s="206">
        <v>235</v>
      </c>
      <c r="Q201" s="208">
        <v>3.3</v>
      </c>
      <c r="R201" s="207">
        <v>1.2</v>
      </c>
      <c r="S201" s="207">
        <v>4.5</v>
      </c>
      <c r="T201" s="67">
        <v>0.13</v>
      </c>
      <c r="U201" s="67" t="s">
        <v>9027</v>
      </c>
      <c r="V201" s="67">
        <v>0.33999999999999997</v>
      </c>
      <c r="W201" s="67">
        <v>0.35</v>
      </c>
      <c r="X201" s="70">
        <v>0.19039999999999999</v>
      </c>
      <c r="Y201" s="70">
        <v>4.5</v>
      </c>
      <c r="Z201" s="70">
        <v>2.9103999999999997</v>
      </c>
      <c r="AA201" s="213"/>
      <c r="AB201" s="213"/>
      <c r="AC201" s="213">
        <v>3.3</v>
      </c>
      <c r="AD201" s="213"/>
      <c r="AH201" s="210"/>
    </row>
    <row r="202" spans="1:34" s="209" customFormat="1" x14ac:dyDescent="0.25">
      <c r="A202" s="237">
        <v>633</v>
      </c>
      <c r="B202" s="204" t="s">
        <v>10329</v>
      </c>
      <c r="C202" s="204" t="s">
        <v>10330</v>
      </c>
      <c r="D202" s="204" t="s">
        <v>2232</v>
      </c>
      <c r="E202" s="204" t="s">
        <v>2032</v>
      </c>
      <c r="F202" s="204">
        <v>2014</v>
      </c>
      <c r="G202" s="204"/>
      <c r="H202" s="204" t="s">
        <v>1878</v>
      </c>
      <c r="I202" s="205" t="s">
        <v>1879</v>
      </c>
      <c r="J202" s="204"/>
      <c r="K202" s="204" t="s">
        <v>1881</v>
      </c>
      <c r="L202" s="262" t="s">
        <v>10331</v>
      </c>
      <c r="M202" s="204">
        <v>255</v>
      </c>
      <c r="N202" s="204"/>
      <c r="O202" s="204" t="s">
        <v>10332</v>
      </c>
      <c r="P202" s="206">
        <v>239</v>
      </c>
      <c r="Q202" s="229">
        <f>S202-R202</f>
        <v>5.0999999999999996</v>
      </c>
      <c r="R202" s="207">
        <v>1.2</v>
      </c>
      <c r="S202" s="207">
        <v>6.3</v>
      </c>
      <c r="T202" s="207"/>
      <c r="U202" s="238"/>
      <c r="V202" s="238"/>
      <c r="W202" s="207"/>
      <c r="X202" s="212"/>
      <c r="Y202" s="212"/>
      <c r="Z202" s="212"/>
      <c r="AA202" s="212"/>
      <c r="AB202" s="212"/>
      <c r="AC202" s="212">
        <v>5.0999999999999996</v>
      </c>
      <c r="AG202" s="210"/>
    </row>
    <row r="203" spans="1:34" s="209" customFormat="1" x14ac:dyDescent="0.25">
      <c r="A203" s="204">
        <v>1289</v>
      </c>
      <c r="B203" s="204" t="s">
        <v>8370</v>
      </c>
      <c r="C203" s="204" t="s">
        <v>8371</v>
      </c>
      <c r="D203" s="204" t="s">
        <v>2835</v>
      </c>
      <c r="E203" s="204" t="s">
        <v>1899</v>
      </c>
      <c r="F203" s="204">
        <v>1977</v>
      </c>
      <c r="G203" s="204"/>
      <c r="H203" s="204" t="s">
        <v>1878</v>
      </c>
      <c r="I203" s="205" t="s">
        <v>1914</v>
      </c>
      <c r="J203" s="204"/>
      <c r="K203" s="204" t="s">
        <v>1881</v>
      </c>
      <c r="L203" s="262"/>
      <c r="M203" s="204">
        <v>104</v>
      </c>
      <c r="N203" s="204"/>
      <c r="O203" s="204" t="s">
        <v>6745</v>
      </c>
      <c r="P203" s="206">
        <v>163</v>
      </c>
      <c r="Q203" s="208">
        <f>R203-U203</f>
        <v>1.7103999999999997</v>
      </c>
      <c r="R203" s="208">
        <f>IF(Y203&gt;Z203,Y203,Z203)</f>
        <v>2.9103999999999997</v>
      </c>
      <c r="S203" s="207">
        <v>2.87</v>
      </c>
      <c r="T203" s="67">
        <v>0.13</v>
      </c>
      <c r="U203" s="67" t="str">
        <f>IF(P203&lt;501,"1,20","1,70")</f>
        <v>1,20</v>
      </c>
      <c r="V203" s="67">
        <f t="shared" ref="V203:V1673" si="18">0.08+0.09+0.17</f>
        <v>0.33999999999999997</v>
      </c>
      <c r="W203" s="67">
        <v>1.05</v>
      </c>
      <c r="X203" s="70">
        <f>(T203+U203+V203+W203)/100*7</f>
        <v>0.19039999999999999</v>
      </c>
      <c r="Y203" s="70">
        <f>S203</f>
        <v>2.87</v>
      </c>
      <c r="Z203" s="70">
        <f>T203+U203+V203+W203+X203</f>
        <v>2.9103999999999997</v>
      </c>
      <c r="AA203" s="213"/>
      <c r="AB203" s="213"/>
      <c r="AC203" s="213">
        <v>1.71</v>
      </c>
      <c r="AD203" s="213"/>
      <c r="AH203" s="210"/>
    </row>
    <row r="204" spans="1:34" s="209" customFormat="1" x14ac:dyDescent="0.25">
      <c r="A204" s="74">
        <v>631</v>
      </c>
      <c r="B204" s="204" t="s">
        <v>9323</v>
      </c>
      <c r="C204" s="204" t="s">
        <v>9324</v>
      </c>
      <c r="D204" s="204" t="s">
        <v>2209</v>
      </c>
      <c r="E204" s="204" t="s">
        <v>9325</v>
      </c>
      <c r="F204" s="204">
        <v>2015</v>
      </c>
      <c r="G204" s="212"/>
      <c r="H204" s="204" t="s">
        <v>1878</v>
      </c>
      <c r="I204" s="205" t="s">
        <v>1914</v>
      </c>
      <c r="J204" s="212"/>
      <c r="K204" s="204" t="s">
        <v>1881</v>
      </c>
      <c r="L204" s="262" t="s">
        <v>9326</v>
      </c>
      <c r="M204" s="204">
        <v>768</v>
      </c>
      <c r="N204" s="212"/>
      <c r="O204" s="204" t="s">
        <v>6995</v>
      </c>
      <c r="P204" s="206">
        <v>776</v>
      </c>
      <c r="Q204" s="208">
        <f>IF(Y204&gt;Z204,Y204,Z204)-R204</f>
        <v>5.59</v>
      </c>
      <c r="R204" s="207">
        <v>1.7</v>
      </c>
      <c r="S204" s="230">
        <f>5.3+1.99</f>
        <v>7.29</v>
      </c>
      <c r="T204" s="67">
        <v>0.13</v>
      </c>
      <c r="U204" s="67">
        <v>2.2000000000000002</v>
      </c>
      <c r="V204" s="67">
        <v>0.33999999999999997</v>
      </c>
      <c r="W204" s="67">
        <v>0.35</v>
      </c>
      <c r="X204" s="70">
        <v>0.19039999999999999</v>
      </c>
      <c r="Y204" s="70">
        <f>S204</f>
        <v>7.29</v>
      </c>
      <c r="Z204" s="70">
        <f>SUM(T204:X204)</f>
        <v>3.2103999999999999</v>
      </c>
      <c r="AA204" s="213"/>
      <c r="AB204" s="213"/>
      <c r="AC204" s="213">
        <v>5.59</v>
      </c>
      <c r="AD204" s="213"/>
      <c r="AH204" s="210"/>
    </row>
    <row r="205" spans="1:34" s="209" customFormat="1" x14ac:dyDescent="0.25">
      <c r="A205" s="237">
        <v>692</v>
      </c>
      <c r="B205" s="204" t="s">
        <v>3193</v>
      </c>
      <c r="C205" s="204" t="s">
        <v>10564</v>
      </c>
      <c r="D205" s="204" t="s">
        <v>1912</v>
      </c>
      <c r="E205" s="204"/>
      <c r="F205" s="204">
        <v>1998</v>
      </c>
      <c r="G205" s="204"/>
      <c r="H205" s="204" t="s">
        <v>1878</v>
      </c>
      <c r="I205" s="205" t="s">
        <v>1929</v>
      </c>
      <c r="J205" s="204"/>
      <c r="K205" s="204" t="s">
        <v>1881</v>
      </c>
      <c r="L205" s="262" t="s">
        <v>10565</v>
      </c>
      <c r="M205" s="204">
        <v>251</v>
      </c>
      <c r="N205" s="204"/>
      <c r="O205" s="204" t="s">
        <v>10566</v>
      </c>
      <c r="P205" s="206">
        <v>230</v>
      </c>
      <c r="Q205" s="229">
        <f>S205-R205</f>
        <v>1.7900000000000003</v>
      </c>
      <c r="R205" s="207">
        <v>1.2</v>
      </c>
      <c r="S205" s="207">
        <v>2.99</v>
      </c>
      <c r="T205" s="207"/>
      <c r="U205" s="238"/>
      <c r="V205" s="238"/>
      <c r="W205" s="207"/>
      <c r="X205" s="212"/>
      <c r="Y205" s="212"/>
      <c r="Z205" s="212"/>
      <c r="AA205" s="212"/>
      <c r="AB205" s="212"/>
      <c r="AC205" s="212">
        <v>1.79</v>
      </c>
      <c r="AG205" s="210"/>
    </row>
    <row r="206" spans="1:34" s="209" customFormat="1" x14ac:dyDescent="0.25">
      <c r="A206" s="204">
        <v>2522</v>
      </c>
      <c r="B206" s="204" t="s">
        <v>6424</v>
      </c>
      <c r="C206" s="204" t="s">
        <v>6429</v>
      </c>
      <c r="D206" s="204" t="s">
        <v>1912</v>
      </c>
      <c r="E206" s="204" t="s">
        <v>1921</v>
      </c>
      <c r="F206" s="204">
        <v>2014</v>
      </c>
      <c r="G206" s="204"/>
      <c r="H206" s="204" t="s">
        <v>1878</v>
      </c>
      <c r="I206" s="205" t="s">
        <v>1879</v>
      </c>
      <c r="J206" s="204"/>
      <c r="K206" s="204" t="s">
        <v>1881</v>
      </c>
      <c r="L206" s="205" t="s">
        <v>6430</v>
      </c>
      <c r="M206" s="204">
        <v>448</v>
      </c>
      <c r="N206" s="204"/>
      <c r="O206" s="204" t="s">
        <v>5381</v>
      </c>
      <c r="P206" s="206">
        <v>582</v>
      </c>
      <c r="Q206" s="208">
        <f>SUM(T206:X206)</f>
        <v>1.8443000000000001</v>
      </c>
      <c r="R206" s="207">
        <v>1.49</v>
      </c>
      <c r="S206" s="207"/>
      <c r="T206" s="67"/>
      <c r="U206" s="67"/>
      <c r="V206" s="67">
        <v>0.25</v>
      </c>
      <c r="W206" s="67">
        <f>IF(R206&gt;T206,R206,T206)</f>
        <v>1.49</v>
      </c>
      <c r="X206" s="70">
        <f>(T206+W206)/100*7</f>
        <v>0.1043</v>
      </c>
      <c r="Y206" s="70"/>
      <c r="Z206" s="212"/>
      <c r="AA206" s="213"/>
      <c r="AB206" s="213"/>
      <c r="AC206" s="213">
        <v>1.84</v>
      </c>
      <c r="AD206" s="213"/>
      <c r="AH206" s="210"/>
    </row>
    <row r="207" spans="1:34" s="209" customFormat="1" x14ac:dyDescent="0.25">
      <c r="A207" s="204">
        <v>548</v>
      </c>
      <c r="B207" s="204" t="s">
        <v>10246</v>
      </c>
      <c r="C207" s="204" t="s">
        <v>10247</v>
      </c>
      <c r="D207" s="204" t="s">
        <v>10248</v>
      </c>
      <c r="E207" s="204" t="s">
        <v>1877</v>
      </c>
      <c r="F207" s="204">
        <v>2009</v>
      </c>
      <c r="G207" s="204"/>
      <c r="H207" s="204" t="s">
        <v>2734</v>
      </c>
      <c r="I207" s="205" t="s">
        <v>1929</v>
      </c>
      <c r="J207" s="204"/>
      <c r="K207" s="204" t="s">
        <v>1881</v>
      </c>
      <c r="L207" s="262" t="s">
        <v>10249</v>
      </c>
      <c r="M207" s="204">
        <v>443</v>
      </c>
      <c r="N207" s="204"/>
      <c r="O207" s="204" t="s">
        <v>10250</v>
      </c>
      <c r="P207" s="206">
        <v>984</v>
      </c>
      <c r="Q207" s="208">
        <f>IF(Y207&gt;Z207,Y207,Z207)-R207</f>
        <v>5.96</v>
      </c>
      <c r="R207" s="207">
        <v>1.2</v>
      </c>
      <c r="S207" s="207">
        <v>7.16</v>
      </c>
      <c r="T207" s="207"/>
      <c r="U207" s="77">
        <v>2.2000000000000002</v>
      </c>
      <c r="V207" s="77">
        <v>0.34</v>
      </c>
      <c r="W207" s="207">
        <f>Q207-V207-X207</f>
        <v>5.2027999999999999</v>
      </c>
      <c r="X207" s="70">
        <f>Q207*0.07</f>
        <v>0.41720000000000002</v>
      </c>
      <c r="Y207" s="228">
        <f>S207</f>
        <v>7.16</v>
      </c>
      <c r="Z207" s="212"/>
      <c r="AA207" s="212"/>
      <c r="AB207" s="212"/>
      <c r="AC207" s="212">
        <v>5.96</v>
      </c>
      <c r="AD207" s="212"/>
      <c r="AH207" s="210"/>
    </row>
    <row r="208" spans="1:34" s="209" customFormat="1" x14ac:dyDescent="0.25">
      <c r="A208" s="204">
        <v>689</v>
      </c>
      <c r="B208" s="204" t="s">
        <v>9136</v>
      </c>
      <c r="C208" s="204" t="s">
        <v>9144</v>
      </c>
      <c r="D208" s="204" t="s">
        <v>9138</v>
      </c>
      <c r="E208" s="204" t="s">
        <v>1877</v>
      </c>
      <c r="F208" s="204">
        <v>2010</v>
      </c>
      <c r="G208" s="204"/>
      <c r="H208" s="204" t="s">
        <v>2734</v>
      </c>
      <c r="I208" s="205" t="s">
        <v>1929</v>
      </c>
      <c r="J208" s="204"/>
      <c r="K208" s="204" t="s">
        <v>1881</v>
      </c>
      <c r="L208" s="262" t="s">
        <v>9145</v>
      </c>
      <c r="M208" s="204">
        <v>538</v>
      </c>
      <c r="N208" s="204"/>
      <c r="O208" s="204" t="s">
        <v>6937</v>
      </c>
      <c r="P208" s="206">
        <v>736</v>
      </c>
      <c r="Q208" s="208">
        <f>IF(Y208&gt;Z208,Y208,Z208)-R208</f>
        <v>1.5313999999999999</v>
      </c>
      <c r="R208" s="207">
        <v>1.7</v>
      </c>
      <c r="S208" s="207">
        <v>1.94</v>
      </c>
      <c r="T208" s="67">
        <v>0.13</v>
      </c>
      <c r="U208" s="67" t="s">
        <v>9059</v>
      </c>
      <c r="V208" s="67">
        <v>0.33999999999999997</v>
      </c>
      <c r="W208" s="67">
        <v>0.35</v>
      </c>
      <c r="X208" s="70">
        <v>0.2114</v>
      </c>
      <c r="Y208" s="70">
        <f>S208</f>
        <v>1.94</v>
      </c>
      <c r="Z208" s="70">
        <v>3.2313999999999998</v>
      </c>
      <c r="AA208" s="213"/>
      <c r="AB208" s="213"/>
      <c r="AC208" s="213">
        <v>1.53</v>
      </c>
      <c r="AD208" s="213"/>
      <c r="AH208" s="210"/>
    </row>
    <row r="209" spans="1:34" s="209" customFormat="1" x14ac:dyDescent="0.25">
      <c r="A209" s="74">
        <v>1396</v>
      </c>
      <c r="B209" s="204" t="s">
        <v>9542</v>
      </c>
      <c r="C209" s="204" t="s">
        <v>9543</v>
      </c>
      <c r="D209" s="204" t="s">
        <v>1920</v>
      </c>
      <c r="E209" s="212"/>
      <c r="F209" s="204">
        <v>2015</v>
      </c>
      <c r="G209" s="212"/>
      <c r="H209" s="204" t="s">
        <v>1878</v>
      </c>
      <c r="I209" s="205" t="s">
        <v>1879</v>
      </c>
      <c r="J209" s="212"/>
      <c r="K209" s="204" t="s">
        <v>1881</v>
      </c>
      <c r="L209" s="262" t="s">
        <v>9544</v>
      </c>
      <c r="M209" s="204">
        <v>832</v>
      </c>
      <c r="N209" s="212"/>
      <c r="O209" s="204" t="s">
        <v>7073</v>
      </c>
      <c r="P209" s="206">
        <v>563</v>
      </c>
      <c r="Q209" s="208">
        <f>IF(Y209&gt;Z209,Y209,Z209)-R209</f>
        <v>1.5104</v>
      </c>
      <c r="R209" s="207">
        <v>1.7</v>
      </c>
      <c r="S209" s="230">
        <f>0.75+1.39</f>
        <v>2.1399999999999997</v>
      </c>
      <c r="T209" s="67">
        <v>0.13</v>
      </c>
      <c r="U209" s="67">
        <v>2.2000000000000002</v>
      </c>
      <c r="V209" s="67">
        <v>0.33999999999999997</v>
      </c>
      <c r="W209" s="67">
        <v>0.35</v>
      </c>
      <c r="X209" s="70">
        <v>0.19039999999999999</v>
      </c>
      <c r="Y209" s="70">
        <f>S209</f>
        <v>2.1399999999999997</v>
      </c>
      <c r="Z209" s="70">
        <f>SUM(T209:X209)</f>
        <v>3.2103999999999999</v>
      </c>
      <c r="AA209" s="213"/>
      <c r="AB209" s="213"/>
      <c r="AC209" s="213">
        <v>1.51</v>
      </c>
      <c r="AD209" s="213"/>
      <c r="AH209" s="210"/>
    </row>
    <row r="210" spans="1:34" s="209" customFormat="1" x14ac:dyDescent="0.25">
      <c r="A210" s="204">
        <v>2548</v>
      </c>
      <c r="B210" s="204" t="s">
        <v>9288</v>
      </c>
      <c r="C210" s="204" t="s">
        <v>10745</v>
      </c>
      <c r="D210" s="204" t="s">
        <v>3010</v>
      </c>
      <c r="E210" s="204"/>
      <c r="F210" s="204">
        <v>2001</v>
      </c>
      <c r="G210" s="204"/>
      <c r="H210" s="204" t="s">
        <v>1878</v>
      </c>
      <c r="I210" s="205" t="s">
        <v>1879</v>
      </c>
      <c r="J210" s="204"/>
      <c r="K210" s="204" t="s">
        <v>1881</v>
      </c>
      <c r="L210" s="262" t="s">
        <v>10746</v>
      </c>
      <c r="M210" s="204">
        <v>320</v>
      </c>
      <c r="N210" s="204"/>
      <c r="O210" s="204" t="s">
        <v>10747</v>
      </c>
      <c r="P210" s="206">
        <v>348</v>
      </c>
      <c r="Q210" s="212">
        <v>2.9799999999999995</v>
      </c>
      <c r="R210" s="207">
        <v>1.2</v>
      </c>
      <c r="S210" s="207">
        <v>4.18</v>
      </c>
      <c r="T210" s="207"/>
      <c r="U210" s="238"/>
      <c r="V210" s="238"/>
      <c r="W210" s="207"/>
      <c r="X210" s="212"/>
      <c r="Y210" s="212"/>
      <c r="Z210" s="212"/>
      <c r="AA210" s="212"/>
      <c r="AB210" s="212"/>
      <c r="AC210" s="212"/>
      <c r="AD210" s="212"/>
      <c r="AH210" s="210"/>
    </row>
    <row r="211" spans="1:34" s="209" customFormat="1" x14ac:dyDescent="0.25">
      <c r="A211" s="204">
        <v>1327</v>
      </c>
      <c r="B211" s="204" t="s">
        <v>7372</v>
      </c>
      <c r="C211" s="204" t="s">
        <v>7373</v>
      </c>
      <c r="D211" s="204" t="s">
        <v>1920</v>
      </c>
      <c r="E211" s="204" t="s">
        <v>1913</v>
      </c>
      <c r="F211" s="204">
        <v>2004</v>
      </c>
      <c r="G211" s="204"/>
      <c r="H211" s="204" t="s">
        <v>1878</v>
      </c>
      <c r="I211" s="205" t="s">
        <v>1879</v>
      </c>
      <c r="J211" s="79" t="s">
        <v>3854</v>
      </c>
      <c r="K211" s="204" t="s">
        <v>1881</v>
      </c>
      <c r="L211" s="205" t="s">
        <v>7374</v>
      </c>
      <c r="M211" s="204">
        <v>400</v>
      </c>
      <c r="N211" s="204"/>
      <c r="O211" s="204" t="s">
        <v>5522</v>
      </c>
      <c r="P211" s="206">
        <v>349</v>
      </c>
      <c r="Q211" s="208">
        <f>SUM(U211:X211)</f>
        <v>1.0127999999999999</v>
      </c>
      <c r="R211" s="207">
        <v>0.69</v>
      </c>
      <c r="S211" s="207"/>
      <c r="T211" s="67">
        <v>0.35</v>
      </c>
      <c r="U211" s="67"/>
      <c r="V211" s="67">
        <v>0.25</v>
      </c>
      <c r="W211" s="67">
        <f>IF(R211&gt;T211,R211,T211)</f>
        <v>0.69</v>
      </c>
      <c r="X211" s="70">
        <f>(T211+W211)/100*7</f>
        <v>7.2800000000000004E-2</v>
      </c>
      <c r="Y211" s="70"/>
      <c r="Z211" s="212"/>
      <c r="AA211" s="213"/>
      <c r="AB211" s="213"/>
      <c r="AC211" s="213"/>
      <c r="AD211" s="213"/>
      <c r="AH211" s="210"/>
    </row>
    <row r="212" spans="1:34" s="209" customFormat="1" x14ac:dyDescent="0.25">
      <c r="A212" s="74">
        <v>2592</v>
      </c>
      <c r="B212" s="204" t="s">
        <v>9408</v>
      </c>
      <c r="C212" s="204" t="s">
        <v>9409</v>
      </c>
      <c r="D212" s="204" t="s">
        <v>9410</v>
      </c>
      <c r="E212" s="204" t="s">
        <v>1913</v>
      </c>
      <c r="F212" s="204">
        <v>2007</v>
      </c>
      <c r="G212" s="212"/>
      <c r="H212" s="204" t="s">
        <v>1878</v>
      </c>
      <c r="I212" s="205" t="s">
        <v>1914</v>
      </c>
      <c r="J212" s="212"/>
      <c r="K212" s="204" t="s">
        <v>1881</v>
      </c>
      <c r="L212" s="265"/>
      <c r="M212" s="204">
        <v>304</v>
      </c>
      <c r="N212" s="212"/>
      <c r="O212" s="204" t="s">
        <v>7026</v>
      </c>
      <c r="P212" s="206">
        <v>582</v>
      </c>
      <c r="Q212" s="208">
        <f>IF(Y212&gt;Z212,Y212,Z212)-R212</f>
        <v>1.5313999999999999</v>
      </c>
      <c r="R212" s="207">
        <v>1.7</v>
      </c>
      <c r="S212" s="230">
        <v>2.75</v>
      </c>
      <c r="T212" s="67">
        <v>0.13</v>
      </c>
      <c r="U212" s="67">
        <v>2.2000000000000002</v>
      </c>
      <c r="V212" s="67">
        <v>0.33999999999999997</v>
      </c>
      <c r="W212" s="67">
        <v>0.35</v>
      </c>
      <c r="X212" s="70">
        <v>0.2114</v>
      </c>
      <c r="Y212" s="70">
        <f>S212</f>
        <v>2.75</v>
      </c>
      <c r="Z212" s="70">
        <f>SUM(T212:X212)</f>
        <v>3.2313999999999998</v>
      </c>
      <c r="AA212" s="213"/>
      <c r="AB212" s="213"/>
      <c r="AC212" s="213">
        <f>3.78-2.2</f>
        <v>1.5799999999999996</v>
      </c>
      <c r="AD212" s="213"/>
      <c r="AH212" s="210"/>
    </row>
    <row r="213" spans="1:34" s="209" customFormat="1" x14ac:dyDescent="0.25">
      <c r="A213" s="204">
        <v>796</v>
      </c>
      <c r="B213" s="204" t="s">
        <v>10683</v>
      </c>
      <c r="C213" s="204" t="s">
        <v>10684</v>
      </c>
      <c r="D213" s="204" t="s">
        <v>1920</v>
      </c>
      <c r="E213" s="204" t="s">
        <v>1921</v>
      </c>
      <c r="F213" s="204">
        <v>2015</v>
      </c>
      <c r="G213" s="204"/>
      <c r="H213" s="204" t="s">
        <v>1878</v>
      </c>
      <c r="I213" s="205" t="s">
        <v>1879</v>
      </c>
      <c r="J213" s="204" t="s">
        <v>9092</v>
      </c>
      <c r="K213" s="204" t="s">
        <v>1881</v>
      </c>
      <c r="L213" s="262" t="s">
        <v>10685</v>
      </c>
      <c r="M213" s="204">
        <v>336</v>
      </c>
      <c r="N213" s="204"/>
      <c r="O213" s="204" t="s">
        <v>10686</v>
      </c>
      <c r="P213" s="206">
        <v>327</v>
      </c>
      <c r="Q213" s="212">
        <v>3.83</v>
      </c>
      <c r="R213" s="207">
        <v>1.2</v>
      </c>
      <c r="S213" s="207">
        <v>5.03</v>
      </c>
      <c r="T213" s="207"/>
      <c r="U213" s="238"/>
      <c r="V213" s="238"/>
      <c r="W213" s="207"/>
      <c r="X213" s="212"/>
      <c r="Y213" s="212"/>
      <c r="Z213" s="212"/>
      <c r="AA213" s="212"/>
      <c r="AB213" s="212"/>
      <c r="AC213" s="212">
        <f>5.84-1.9</f>
        <v>3.94</v>
      </c>
      <c r="AD213" s="212"/>
      <c r="AH213" s="210"/>
    </row>
    <row r="214" spans="1:34" s="209" customFormat="1" x14ac:dyDescent="0.25">
      <c r="A214" s="204">
        <v>649</v>
      </c>
      <c r="B214" s="204" t="s">
        <v>14282</v>
      </c>
      <c r="C214" s="204" t="s">
        <v>14283</v>
      </c>
      <c r="D214" s="204" t="s">
        <v>2050</v>
      </c>
      <c r="E214" s="204"/>
      <c r="F214" s="204">
        <v>2007</v>
      </c>
      <c r="G214" s="204"/>
      <c r="H214" s="204" t="s">
        <v>1878</v>
      </c>
      <c r="I214" s="205" t="s">
        <v>1879</v>
      </c>
      <c r="J214" s="204"/>
      <c r="K214" s="204" t="s">
        <v>1881</v>
      </c>
      <c r="L214" s="205" t="s">
        <v>14284</v>
      </c>
      <c r="M214" s="204">
        <v>126</v>
      </c>
      <c r="N214" s="204"/>
      <c r="O214" s="212" t="s">
        <v>12146</v>
      </c>
      <c r="P214" s="206">
        <v>342</v>
      </c>
      <c r="Q214" s="228">
        <f>S214-R214</f>
        <v>3</v>
      </c>
      <c r="R214" s="228">
        <v>2.2000000000000002</v>
      </c>
      <c r="S214" s="207">
        <v>5.2</v>
      </c>
      <c r="T214" s="207"/>
      <c r="U214" s="238"/>
      <c r="V214" s="238"/>
      <c r="W214" s="207"/>
      <c r="X214" s="212"/>
      <c r="Y214" s="212"/>
      <c r="Z214" s="212"/>
      <c r="AA214" s="212"/>
      <c r="AB214" s="212"/>
      <c r="AC214" s="212">
        <v>3</v>
      </c>
      <c r="AD214" s="212"/>
      <c r="AH214" s="210"/>
    </row>
    <row r="215" spans="1:34" s="62" customFormat="1" x14ac:dyDescent="0.25">
      <c r="A215" s="57"/>
      <c r="B215" s="57"/>
      <c r="C215" s="57"/>
      <c r="D215" s="57"/>
      <c r="E215" s="57"/>
      <c r="F215" s="57"/>
      <c r="G215" s="57"/>
      <c r="H215" s="57"/>
      <c r="I215" s="58"/>
      <c r="J215" s="57"/>
      <c r="K215" s="57"/>
      <c r="L215" s="58"/>
      <c r="M215" s="57"/>
      <c r="N215" s="57"/>
      <c r="O215" s="57"/>
      <c r="P215" s="59"/>
      <c r="Q215" s="61"/>
      <c r="R215" s="60"/>
      <c r="S215" s="60"/>
      <c r="T215" s="67"/>
      <c r="U215" s="67"/>
      <c r="V215" s="67"/>
      <c r="W215" s="67"/>
      <c r="X215" s="70"/>
      <c r="Y215" s="70"/>
      <c r="Z215" s="71"/>
      <c r="AA215" s="81"/>
      <c r="AB215" s="81"/>
      <c r="AC215" s="232"/>
      <c r="AD215" s="213"/>
      <c r="AH215" s="63"/>
    </row>
    <row r="216" spans="1:34" s="62" customFormat="1" x14ac:dyDescent="0.25">
      <c r="A216" s="57"/>
      <c r="B216" s="57"/>
      <c r="C216" s="57"/>
      <c r="D216" s="57"/>
      <c r="E216" s="57"/>
      <c r="F216" s="57"/>
      <c r="G216" s="57"/>
      <c r="H216" s="57"/>
      <c r="I216" s="58"/>
      <c r="J216" s="57"/>
      <c r="K216" s="57"/>
      <c r="L216" s="58"/>
      <c r="M216" s="57"/>
      <c r="N216" s="57"/>
      <c r="O216" s="57"/>
      <c r="P216" s="59"/>
      <c r="Q216" s="61"/>
      <c r="R216" s="60"/>
      <c r="S216" s="60"/>
      <c r="T216" s="67"/>
      <c r="U216" s="67"/>
      <c r="V216" s="67"/>
      <c r="W216" s="67"/>
      <c r="X216" s="70"/>
      <c r="Y216" s="70"/>
      <c r="Z216" s="71"/>
      <c r="AA216" s="81"/>
      <c r="AB216" s="81"/>
      <c r="AC216" s="232"/>
      <c r="AD216" s="213"/>
      <c r="AH216" s="63"/>
    </row>
    <row r="217" spans="1:34" s="62" customFormat="1" x14ac:dyDescent="0.25">
      <c r="A217" s="57"/>
      <c r="B217" s="57"/>
      <c r="C217" s="57"/>
      <c r="D217" s="57"/>
      <c r="E217" s="57"/>
      <c r="F217" s="57"/>
      <c r="G217" s="57"/>
      <c r="H217" s="57"/>
      <c r="I217" s="58"/>
      <c r="J217" s="57"/>
      <c r="K217" s="57"/>
      <c r="L217" s="58"/>
      <c r="M217" s="57"/>
      <c r="N217" s="57"/>
      <c r="O217" s="57"/>
      <c r="P217" s="59"/>
      <c r="Q217" s="61"/>
      <c r="R217" s="60"/>
      <c r="S217" s="60"/>
      <c r="T217" s="67"/>
      <c r="U217" s="67"/>
      <c r="V217" s="67"/>
      <c r="W217" s="67"/>
      <c r="X217" s="70"/>
      <c r="Y217" s="70"/>
      <c r="Z217" s="71"/>
      <c r="AA217" s="81"/>
      <c r="AB217" s="81"/>
      <c r="AC217" s="232"/>
      <c r="AD217" s="213"/>
      <c r="AH217" s="63"/>
    </row>
    <row r="218" spans="1:34" s="62" customFormat="1" x14ac:dyDescent="0.25">
      <c r="A218" s="57"/>
      <c r="B218" s="57"/>
      <c r="C218" s="57"/>
      <c r="D218" s="57"/>
      <c r="E218" s="57"/>
      <c r="F218" s="57"/>
      <c r="G218" s="57"/>
      <c r="H218" s="57"/>
      <c r="I218" s="58"/>
      <c r="J218" s="57"/>
      <c r="K218" s="57"/>
      <c r="L218" s="58"/>
      <c r="M218" s="57"/>
      <c r="N218" s="57"/>
      <c r="O218" s="57"/>
      <c r="P218" s="59"/>
      <c r="Q218" s="61"/>
      <c r="R218" s="60"/>
      <c r="S218" s="60"/>
      <c r="T218" s="67"/>
      <c r="U218" s="67"/>
      <c r="V218" s="67"/>
      <c r="W218" s="67"/>
      <c r="X218" s="70"/>
      <c r="Y218" s="70"/>
      <c r="Z218" s="71"/>
      <c r="AA218" s="81"/>
      <c r="AB218" s="81"/>
      <c r="AC218" s="232"/>
      <c r="AD218" s="213"/>
      <c r="AH218" s="63"/>
    </row>
    <row r="219" spans="1:34" s="62" customFormat="1" x14ac:dyDescent="0.25">
      <c r="A219" s="57"/>
      <c r="B219" s="57"/>
      <c r="C219" s="57"/>
      <c r="D219" s="57"/>
      <c r="E219" s="57"/>
      <c r="F219" s="57"/>
      <c r="G219" s="57"/>
      <c r="H219" s="57"/>
      <c r="I219" s="58"/>
      <c r="J219" s="57"/>
      <c r="K219" s="57"/>
      <c r="L219" s="58"/>
      <c r="M219" s="57"/>
      <c r="N219" s="57"/>
      <c r="O219" s="57"/>
      <c r="P219" s="59"/>
      <c r="Q219" s="61"/>
      <c r="R219" s="60"/>
      <c r="S219" s="60"/>
      <c r="T219" s="67"/>
      <c r="U219" s="67"/>
      <c r="V219" s="67"/>
      <c r="W219" s="67"/>
      <c r="X219" s="70"/>
      <c r="Y219" s="70"/>
      <c r="Z219" s="71"/>
      <c r="AA219" s="81"/>
      <c r="AB219" s="81"/>
      <c r="AC219" s="232"/>
      <c r="AD219" s="213"/>
      <c r="AH219" s="63"/>
    </row>
    <row r="220" spans="1:34" s="62" customFormat="1" x14ac:dyDescent="0.25">
      <c r="A220" s="57"/>
      <c r="B220" s="57"/>
      <c r="C220" s="57"/>
      <c r="D220" s="57"/>
      <c r="E220" s="57"/>
      <c r="F220" s="57"/>
      <c r="G220" s="57"/>
      <c r="H220" s="57"/>
      <c r="I220" s="58"/>
      <c r="J220" s="57"/>
      <c r="K220" s="57"/>
      <c r="L220" s="58"/>
      <c r="M220" s="57"/>
      <c r="N220" s="57"/>
      <c r="O220" s="57"/>
      <c r="P220" s="59"/>
      <c r="Q220" s="61"/>
      <c r="R220" s="60"/>
      <c r="S220" s="60"/>
      <c r="T220" s="67"/>
      <c r="U220" s="67"/>
      <c r="V220" s="67"/>
      <c r="W220" s="67"/>
      <c r="X220" s="70"/>
      <c r="Y220" s="70"/>
      <c r="Z220" s="71"/>
      <c r="AA220" s="81"/>
      <c r="AB220" s="81"/>
      <c r="AC220" s="232"/>
      <c r="AD220" s="213"/>
      <c r="AH220" s="63"/>
    </row>
    <row r="221" spans="1:34" s="62" customFormat="1" x14ac:dyDescent="0.25">
      <c r="A221" s="57"/>
      <c r="B221" s="57"/>
      <c r="C221" s="57"/>
      <c r="D221" s="57"/>
      <c r="E221" s="57"/>
      <c r="F221" s="57"/>
      <c r="G221" s="57"/>
      <c r="H221" s="57"/>
      <c r="I221" s="58"/>
      <c r="J221" s="57"/>
      <c r="K221" s="57"/>
      <c r="L221" s="58"/>
      <c r="M221" s="57"/>
      <c r="N221" s="57"/>
      <c r="O221" s="57"/>
      <c r="P221" s="59"/>
      <c r="Q221" s="61"/>
      <c r="R221" s="60"/>
      <c r="S221" s="60"/>
      <c r="T221" s="67"/>
      <c r="U221" s="67"/>
      <c r="V221" s="67"/>
      <c r="W221" s="67"/>
      <c r="X221" s="70"/>
      <c r="Y221" s="70"/>
      <c r="Z221" s="71"/>
      <c r="AA221" s="81"/>
      <c r="AB221" s="81"/>
      <c r="AC221" s="232"/>
      <c r="AD221" s="213"/>
      <c r="AH221" s="63"/>
    </row>
    <row r="222" spans="1:34" s="62" customFormat="1" x14ac:dyDescent="0.25">
      <c r="A222" s="57"/>
      <c r="B222" s="57"/>
      <c r="C222" s="57"/>
      <c r="D222" s="57"/>
      <c r="E222" s="57"/>
      <c r="F222" s="57"/>
      <c r="G222" s="57"/>
      <c r="H222" s="57"/>
      <c r="I222" s="58"/>
      <c r="J222" s="57"/>
      <c r="K222" s="57"/>
      <c r="L222" s="58"/>
      <c r="M222" s="57"/>
      <c r="N222" s="57"/>
      <c r="O222" s="57"/>
      <c r="P222" s="59"/>
      <c r="Q222" s="61"/>
      <c r="R222" s="60"/>
      <c r="S222" s="60"/>
      <c r="T222" s="67"/>
      <c r="U222" s="67"/>
      <c r="V222" s="67"/>
      <c r="W222" s="67"/>
      <c r="X222" s="70"/>
      <c r="Y222" s="70"/>
      <c r="Z222" s="71"/>
      <c r="AA222" s="81"/>
      <c r="AB222" s="81"/>
      <c r="AC222" s="232"/>
      <c r="AD222" s="213"/>
      <c r="AH222" s="63"/>
    </row>
    <row r="223" spans="1:34" s="146" customFormat="1" x14ac:dyDescent="0.25">
      <c r="A223" s="196"/>
      <c r="B223" s="196" t="s">
        <v>11462</v>
      </c>
      <c r="C223" s="196" t="s">
        <v>11470</v>
      </c>
      <c r="D223" s="196"/>
      <c r="E223" s="196"/>
      <c r="F223" s="196"/>
      <c r="G223" s="196"/>
      <c r="H223" s="196"/>
      <c r="I223" s="141"/>
      <c r="J223" s="196"/>
      <c r="K223" s="196"/>
      <c r="L223" s="247">
        <v>9783426513996</v>
      </c>
      <c r="M223" s="196"/>
      <c r="N223" s="196"/>
      <c r="O223" s="196" t="s">
        <v>11306</v>
      </c>
      <c r="P223" s="144"/>
      <c r="Q223" s="145"/>
      <c r="R223" s="203"/>
      <c r="S223" s="203"/>
      <c r="T223" s="151"/>
      <c r="U223" s="151"/>
      <c r="V223" s="151"/>
      <c r="W223" s="151"/>
      <c r="X223" s="152"/>
      <c r="Y223" s="152"/>
      <c r="Z223" s="148"/>
      <c r="AA223" s="153"/>
      <c r="AB223" s="153"/>
      <c r="AC223" s="246"/>
      <c r="AD223" s="153"/>
      <c r="AH223" s="147"/>
    </row>
    <row r="224" spans="1:34" s="146" customFormat="1" x14ac:dyDescent="0.25">
      <c r="A224" s="196"/>
      <c r="B224" s="196"/>
      <c r="C224" s="196" t="s">
        <v>11463</v>
      </c>
      <c r="D224" s="196"/>
      <c r="E224" s="196"/>
      <c r="F224" s="196"/>
      <c r="G224" s="196"/>
      <c r="H224" s="196"/>
      <c r="I224" s="141"/>
      <c r="J224" s="196"/>
      <c r="K224" s="196"/>
      <c r="L224" s="247">
        <v>9783129271650</v>
      </c>
      <c r="M224" s="196"/>
      <c r="N224" s="196"/>
      <c r="O224" s="196" t="s">
        <v>11307</v>
      </c>
      <c r="P224" s="144"/>
      <c r="Q224" s="145"/>
      <c r="R224" s="203"/>
      <c r="S224" s="203"/>
      <c r="T224" s="151"/>
      <c r="U224" s="151"/>
      <c r="V224" s="151"/>
      <c r="W224" s="151"/>
      <c r="X224" s="152"/>
      <c r="Y224" s="152"/>
      <c r="Z224" s="148"/>
      <c r="AA224" s="153"/>
      <c r="AB224" s="153"/>
      <c r="AC224" s="246"/>
      <c r="AD224" s="153"/>
      <c r="AH224" s="147"/>
    </row>
    <row r="225" spans="1:34" s="146" customFormat="1" x14ac:dyDescent="0.25">
      <c r="A225" s="196"/>
      <c r="B225" s="196" t="s">
        <v>11471</v>
      </c>
      <c r="C225" s="196" t="s">
        <v>11464</v>
      </c>
      <c r="D225" s="196"/>
      <c r="E225" s="196"/>
      <c r="F225" s="196"/>
      <c r="G225" s="196"/>
      <c r="H225" s="196"/>
      <c r="I225" s="141"/>
      <c r="J225" s="196"/>
      <c r="K225" s="196"/>
      <c r="L225" s="247">
        <v>3150092191</v>
      </c>
      <c r="M225" s="196"/>
      <c r="N225" s="196"/>
      <c r="O225" s="196" t="s">
        <v>11308</v>
      </c>
      <c r="P225" s="144"/>
      <c r="Q225" s="145"/>
      <c r="R225" s="203"/>
      <c r="S225" s="203"/>
      <c r="T225" s="151"/>
      <c r="U225" s="151"/>
      <c r="V225" s="151"/>
      <c r="W225" s="151"/>
      <c r="X225" s="152"/>
      <c r="Y225" s="152"/>
      <c r="Z225" s="148"/>
      <c r="AA225" s="153"/>
      <c r="AB225" s="153"/>
      <c r="AC225" s="246"/>
      <c r="AD225" s="153"/>
      <c r="AH225" s="147"/>
    </row>
    <row r="226" spans="1:34" s="146" customFormat="1" x14ac:dyDescent="0.25">
      <c r="A226" s="196"/>
      <c r="B226" s="196" t="s">
        <v>11472</v>
      </c>
      <c r="C226" s="196" t="s">
        <v>11465</v>
      </c>
      <c r="D226" s="196"/>
      <c r="E226" s="196"/>
      <c r="F226" s="196"/>
      <c r="G226" s="196"/>
      <c r="H226" s="196"/>
      <c r="I226" s="141"/>
      <c r="J226" s="196"/>
      <c r="K226" s="196"/>
      <c r="L226" s="247">
        <v>3453059166</v>
      </c>
      <c r="M226" s="196"/>
      <c r="N226" s="196"/>
      <c r="O226" s="196" t="s">
        <v>11309</v>
      </c>
      <c r="P226" s="144"/>
      <c r="Q226" s="145"/>
      <c r="R226" s="203"/>
      <c r="S226" s="203"/>
      <c r="T226" s="151"/>
      <c r="U226" s="151"/>
      <c r="V226" s="151"/>
      <c r="W226" s="151"/>
      <c r="X226" s="152"/>
      <c r="Y226" s="152"/>
      <c r="Z226" s="148"/>
      <c r="AA226" s="153"/>
      <c r="AB226" s="153"/>
      <c r="AC226" s="246"/>
      <c r="AD226" s="153"/>
      <c r="AH226" s="147"/>
    </row>
    <row r="227" spans="1:34" s="146" customFormat="1" x14ac:dyDescent="0.25">
      <c r="A227" s="196"/>
      <c r="B227" s="196" t="s">
        <v>11473</v>
      </c>
      <c r="C227" s="196" t="s">
        <v>11466</v>
      </c>
      <c r="D227" s="196"/>
      <c r="E227" s="196"/>
      <c r="F227" s="196"/>
      <c r="G227" s="196"/>
      <c r="H227" s="196"/>
      <c r="I227" s="141"/>
      <c r="J227" s="196"/>
      <c r="K227" s="196"/>
      <c r="L227" s="247">
        <v>9783596237876</v>
      </c>
      <c r="M227" s="196"/>
      <c r="N227" s="196"/>
      <c r="O227" s="196" t="s">
        <v>11310</v>
      </c>
      <c r="P227" s="144"/>
      <c r="Q227" s="145"/>
      <c r="R227" s="203"/>
      <c r="S227" s="203"/>
      <c r="T227" s="151"/>
      <c r="U227" s="151"/>
      <c r="V227" s="151"/>
      <c r="W227" s="151"/>
      <c r="X227" s="152"/>
      <c r="Y227" s="152"/>
      <c r="Z227" s="148"/>
      <c r="AA227" s="153"/>
      <c r="AB227" s="153"/>
      <c r="AC227" s="246"/>
      <c r="AD227" s="153"/>
      <c r="AH227" s="147"/>
    </row>
    <row r="228" spans="1:34" s="146" customFormat="1" x14ac:dyDescent="0.25">
      <c r="A228" s="196"/>
      <c r="B228" s="196" t="s">
        <v>11474</v>
      </c>
      <c r="C228" s="196" t="s">
        <v>11467</v>
      </c>
      <c r="D228" s="196"/>
      <c r="E228" s="196"/>
      <c r="F228" s="196"/>
      <c r="G228" s="196"/>
      <c r="H228" s="196"/>
      <c r="I228" s="141"/>
      <c r="J228" s="196"/>
      <c r="K228" s="196"/>
      <c r="L228" s="247">
        <v>9783442480135</v>
      </c>
      <c r="M228" s="196"/>
      <c r="N228" s="196"/>
      <c r="O228" s="196" t="s">
        <v>11311</v>
      </c>
      <c r="P228" s="144"/>
      <c r="Q228" s="145"/>
      <c r="R228" s="203"/>
      <c r="S228" s="203"/>
      <c r="T228" s="151"/>
      <c r="U228" s="151"/>
      <c r="V228" s="151"/>
      <c r="W228" s="151"/>
      <c r="X228" s="152"/>
      <c r="Y228" s="152"/>
      <c r="Z228" s="148"/>
      <c r="AA228" s="153"/>
      <c r="AB228" s="153"/>
      <c r="AC228" s="246"/>
      <c r="AD228" s="153"/>
      <c r="AH228" s="147"/>
    </row>
    <row r="229" spans="1:34" s="146" customFormat="1" x14ac:dyDescent="0.25">
      <c r="A229" s="196"/>
      <c r="B229" s="196" t="s">
        <v>11475</v>
      </c>
      <c r="C229" s="196" t="s">
        <v>11468</v>
      </c>
      <c r="D229" s="196"/>
      <c r="E229" s="196"/>
      <c r="F229" s="196"/>
      <c r="G229" s="196"/>
      <c r="H229" s="196"/>
      <c r="I229" s="141"/>
      <c r="J229" s="196"/>
      <c r="K229" s="196"/>
      <c r="L229" s="247">
        <v>9783442486656</v>
      </c>
      <c r="M229" s="196"/>
      <c r="N229" s="196"/>
      <c r="O229" s="196" t="s">
        <v>11312</v>
      </c>
      <c r="P229" s="144"/>
      <c r="Q229" s="145"/>
      <c r="R229" s="203"/>
      <c r="S229" s="203"/>
      <c r="T229" s="151"/>
      <c r="U229" s="151"/>
      <c r="V229" s="151"/>
      <c r="W229" s="151"/>
      <c r="X229" s="152"/>
      <c r="Y229" s="152"/>
      <c r="Z229" s="148"/>
      <c r="AA229" s="153"/>
      <c r="AB229" s="153"/>
      <c r="AC229" s="246"/>
      <c r="AD229" s="153"/>
      <c r="AH229" s="147"/>
    </row>
    <row r="230" spans="1:34" s="146" customFormat="1" x14ac:dyDescent="0.25">
      <c r="A230" s="196"/>
      <c r="B230" s="196" t="s">
        <v>11475</v>
      </c>
      <c r="C230" s="196" t="s">
        <v>11469</v>
      </c>
      <c r="D230" s="196"/>
      <c r="E230" s="196"/>
      <c r="F230" s="196"/>
      <c r="G230" s="196"/>
      <c r="H230" s="196"/>
      <c r="I230" s="141"/>
      <c r="J230" s="196"/>
      <c r="K230" s="196"/>
      <c r="L230" s="247">
        <v>3150093325</v>
      </c>
      <c r="M230" s="196"/>
      <c r="N230" s="196"/>
      <c r="O230" s="196" t="s">
        <v>11313</v>
      </c>
      <c r="P230" s="144"/>
      <c r="Q230" s="145"/>
      <c r="R230" s="203"/>
      <c r="S230" s="203"/>
      <c r="T230" s="151"/>
      <c r="U230" s="151"/>
      <c r="V230" s="151"/>
      <c r="W230" s="151"/>
      <c r="X230" s="152"/>
      <c r="Y230" s="152"/>
      <c r="Z230" s="148"/>
      <c r="AA230" s="153"/>
      <c r="AB230" s="153"/>
      <c r="AC230" s="246"/>
      <c r="AD230" s="153"/>
      <c r="AH230" s="147"/>
    </row>
    <row r="231" spans="1:34" s="146" customFormat="1" x14ac:dyDescent="0.25">
      <c r="A231" s="196"/>
      <c r="B231" s="196"/>
      <c r="C231" s="196" t="s">
        <v>11484</v>
      </c>
      <c r="D231" s="196"/>
      <c r="E231" s="196"/>
      <c r="F231" s="196"/>
      <c r="G231" s="196"/>
      <c r="H231" s="196"/>
      <c r="I231" s="141"/>
      <c r="J231" s="196"/>
      <c r="K231" s="196"/>
      <c r="L231" s="247">
        <v>9783453620025</v>
      </c>
      <c r="M231" s="196"/>
      <c r="N231" s="196"/>
      <c r="O231" s="196" t="s">
        <v>11314</v>
      </c>
      <c r="P231" s="144"/>
      <c r="Q231" s="145"/>
      <c r="R231" s="203"/>
      <c r="S231" s="203"/>
      <c r="T231" s="151"/>
      <c r="U231" s="151"/>
      <c r="V231" s="151"/>
      <c r="W231" s="151"/>
      <c r="X231" s="152"/>
      <c r="Y231" s="152"/>
      <c r="Z231" s="148"/>
      <c r="AA231" s="153"/>
      <c r="AB231" s="153"/>
      <c r="AC231" s="246"/>
      <c r="AD231" s="153"/>
      <c r="AH231" s="147"/>
    </row>
    <row r="232" spans="1:34" s="146" customFormat="1" x14ac:dyDescent="0.25">
      <c r="A232" s="196"/>
      <c r="B232" s="196" t="s">
        <v>11476</v>
      </c>
      <c r="C232" s="196" t="s">
        <v>11485</v>
      </c>
      <c r="D232" s="196"/>
      <c r="E232" s="196"/>
      <c r="F232" s="196"/>
      <c r="G232" s="196"/>
      <c r="H232" s="196"/>
      <c r="I232" s="141"/>
      <c r="J232" s="196"/>
      <c r="K232" s="196"/>
      <c r="L232" s="247">
        <v>3125604508</v>
      </c>
      <c r="M232" s="196"/>
      <c r="N232" s="196"/>
      <c r="O232" s="196" t="s">
        <v>11315</v>
      </c>
      <c r="P232" s="144"/>
      <c r="Q232" s="145"/>
      <c r="R232" s="203"/>
      <c r="S232" s="203"/>
      <c r="T232" s="151"/>
      <c r="U232" s="151"/>
      <c r="V232" s="151"/>
      <c r="W232" s="151"/>
      <c r="X232" s="152"/>
      <c r="Y232" s="152"/>
      <c r="Z232" s="148"/>
      <c r="AA232" s="153"/>
      <c r="AB232" s="153"/>
      <c r="AC232" s="246"/>
      <c r="AD232" s="153"/>
      <c r="AH232" s="147"/>
    </row>
    <row r="233" spans="1:34" s="146" customFormat="1" x14ac:dyDescent="0.25">
      <c r="A233" s="196"/>
      <c r="B233" s="196" t="s">
        <v>11477</v>
      </c>
      <c r="C233" s="196" t="s">
        <v>11486</v>
      </c>
      <c r="D233" s="196"/>
      <c r="E233" s="196"/>
      <c r="F233" s="196"/>
      <c r="G233" s="196"/>
      <c r="H233" s="196"/>
      <c r="I233" s="141"/>
      <c r="J233" s="196"/>
      <c r="K233" s="196"/>
      <c r="L233" s="247">
        <v>9783809415527</v>
      </c>
      <c r="M233" s="196"/>
      <c r="N233" s="196"/>
      <c r="O233" s="196" t="s">
        <v>11316</v>
      </c>
      <c r="P233" s="144"/>
      <c r="Q233" s="145"/>
      <c r="R233" s="203"/>
      <c r="S233" s="203"/>
      <c r="T233" s="151"/>
      <c r="U233" s="151"/>
      <c r="V233" s="151"/>
      <c r="W233" s="151"/>
      <c r="X233" s="152"/>
      <c r="Y233" s="152"/>
      <c r="Z233" s="148"/>
      <c r="AA233" s="153"/>
      <c r="AB233" s="153"/>
      <c r="AC233" s="246"/>
      <c r="AD233" s="153"/>
      <c r="AH233" s="147"/>
    </row>
    <row r="234" spans="1:34" s="146" customFormat="1" x14ac:dyDescent="0.25">
      <c r="A234" s="196"/>
      <c r="B234" s="196" t="s">
        <v>11478</v>
      </c>
      <c r="C234" s="196" t="s">
        <v>11487</v>
      </c>
      <c r="D234" s="196"/>
      <c r="E234" s="196"/>
      <c r="F234" s="196"/>
      <c r="G234" s="196"/>
      <c r="H234" s="196"/>
      <c r="I234" s="141"/>
      <c r="J234" s="196"/>
      <c r="K234" s="196"/>
      <c r="L234" s="247" t="s">
        <v>11373</v>
      </c>
      <c r="M234" s="196"/>
      <c r="N234" s="196"/>
      <c r="O234" s="196" t="s">
        <v>11317</v>
      </c>
      <c r="P234" s="144"/>
      <c r="Q234" s="145"/>
      <c r="R234" s="203"/>
      <c r="S234" s="203"/>
      <c r="T234" s="151"/>
      <c r="U234" s="151"/>
      <c r="V234" s="151"/>
      <c r="W234" s="151"/>
      <c r="X234" s="152"/>
      <c r="Y234" s="152"/>
      <c r="Z234" s="148"/>
      <c r="AA234" s="153"/>
      <c r="AB234" s="153"/>
      <c r="AC234" s="246"/>
      <c r="AD234" s="153"/>
      <c r="AH234" s="147"/>
    </row>
    <row r="235" spans="1:34" s="146" customFormat="1" x14ac:dyDescent="0.25">
      <c r="A235" s="196"/>
      <c r="B235" s="196" t="s">
        <v>11479</v>
      </c>
      <c r="C235" s="196" t="s">
        <v>11488</v>
      </c>
      <c r="D235" s="196"/>
      <c r="E235" s="196"/>
      <c r="F235" s="196"/>
      <c r="G235" s="196"/>
      <c r="H235" s="196"/>
      <c r="I235" s="141"/>
      <c r="J235" s="196"/>
      <c r="K235" s="196"/>
      <c r="L235" s="247">
        <v>9783802581694</v>
      </c>
      <c r="M235" s="196"/>
      <c r="N235" s="196"/>
      <c r="O235" s="196" t="s">
        <v>11318</v>
      </c>
      <c r="P235" s="144"/>
      <c r="Q235" s="145"/>
      <c r="R235" s="203"/>
      <c r="S235" s="203"/>
      <c r="T235" s="151"/>
      <c r="U235" s="151"/>
      <c r="V235" s="151"/>
      <c r="W235" s="151"/>
      <c r="X235" s="152"/>
      <c r="Y235" s="152"/>
      <c r="Z235" s="148"/>
      <c r="AA235" s="153"/>
      <c r="AB235" s="153"/>
      <c r="AC235" s="246"/>
      <c r="AD235" s="153"/>
      <c r="AH235" s="147"/>
    </row>
    <row r="236" spans="1:34" s="146" customFormat="1" x14ac:dyDescent="0.25">
      <c r="A236" s="196"/>
      <c r="B236" s="196" t="s">
        <v>11480</v>
      </c>
      <c r="C236" s="196" t="s">
        <v>11489</v>
      </c>
      <c r="D236" s="196"/>
      <c r="E236" s="196"/>
      <c r="F236" s="196"/>
      <c r="G236" s="196"/>
      <c r="H236" s="196"/>
      <c r="I236" s="141"/>
      <c r="J236" s="196"/>
      <c r="K236" s="196"/>
      <c r="L236" s="247">
        <v>9783505124013</v>
      </c>
      <c r="M236" s="196"/>
      <c r="N236" s="196"/>
      <c r="O236" s="196" t="s">
        <v>11319</v>
      </c>
      <c r="P236" s="144"/>
      <c r="Q236" s="145"/>
      <c r="R236" s="203"/>
      <c r="S236" s="203"/>
      <c r="T236" s="151"/>
      <c r="U236" s="151"/>
      <c r="V236" s="151"/>
      <c r="W236" s="151"/>
      <c r="X236" s="152"/>
      <c r="Y236" s="152"/>
      <c r="Z236" s="148"/>
      <c r="AA236" s="153"/>
      <c r="AB236" s="153"/>
      <c r="AC236" s="246"/>
      <c r="AD236" s="153"/>
      <c r="AH236" s="147"/>
    </row>
    <row r="237" spans="1:34" s="146" customFormat="1" x14ac:dyDescent="0.25">
      <c r="A237" s="196"/>
      <c r="B237" s="196" t="s">
        <v>11481</v>
      </c>
      <c r="C237" s="196" t="s">
        <v>11490</v>
      </c>
      <c r="D237" s="196"/>
      <c r="E237" s="196"/>
      <c r="F237" s="196"/>
      <c r="G237" s="196"/>
      <c r="H237" s="196"/>
      <c r="I237" s="141"/>
      <c r="J237" s="196"/>
      <c r="K237" s="196"/>
      <c r="L237" s="247">
        <v>9783505107153</v>
      </c>
      <c r="M237" s="196"/>
      <c r="N237" s="196"/>
      <c r="O237" s="196" t="s">
        <v>11320</v>
      </c>
      <c r="P237" s="144"/>
      <c r="Q237" s="145"/>
      <c r="R237" s="203"/>
      <c r="S237" s="203"/>
      <c r="T237" s="151"/>
      <c r="U237" s="151"/>
      <c r="V237" s="151"/>
      <c r="W237" s="151"/>
      <c r="X237" s="152"/>
      <c r="Y237" s="152"/>
      <c r="Z237" s="148"/>
      <c r="AA237" s="153"/>
      <c r="AB237" s="153"/>
      <c r="AC237" s="246"/>
      <c r="AD237" s="153"/>
      <c r="AH237" s="147"/>
    </row>
    <row r="238" spans="1:34" s="146" customFormat="1" x14ac:dyDescent="0.25">
      <c r="A238" s="196"/>
      <c r="B238" s="196" t="s">
        <v>11481</v>
      </c>
      <c r="C238" s="196" t="s">
        <v>11491</v>
      </c>
      <c r="D238" s="196"/>
      <c r="E238" s="196"/>
      <c r="F238" s="196"/>
      <c r="G238" s="196"/>
      <c r="H238" s="196"/>
      <c r="I238" s="141"/>
      <c r="J238" s="196"/>
      <c r="K238" s="196"/>
      <c r="L238" s="247">
        <v>9783570211311</v>
      </c>
      <c r="M238" s="196"/>
      <c r="N238" s="196"/>
      <c r="O238" s="196" t="s">
        <v>11321</v>
      </c>
      <c r="P238" s="144"/>
      <c r="Q238" s="145"/>
      <c r="R238" s="203"/>
      <c r="S238" s="203"/>
      <c r="T238" s="151"/>
      <c r="U238" s="151"/>
      <c r="V238" s="151"/>
      <c r="W238" s="151"/>
      <c r="X238" s="152"/>
      <c r="Y238" s="152"/>
      <c r="Z238" s="148"/>
      <c r="AA238" s="153"/>
      <c r="AB238" s="153"/>
      <c r="AC238" s="246"/>
      <c r="AD238" s="153"/>
      <c r="AH238" s="147"/>
    </row>
    <row r="239" spans="1:34" s="146" customFormat="1" x14ac:dyDescent="0.25">
      <c r="A239" s="196"/>
      <c r="B239" s="196" t="s">
        <v>11482</v>
      </c>
      <c r="C239" s="196" t="s">
        <v>11492</v>
      </c>
      <c r="D239" s="196"/>
      <c r="E239" s="196"/>
      <c r="F239" s="196"/>
      <c r="G239" s="196"/>
      <c r="H239" s="196"/>
      <c r="I239" s="141"/>
      <c r="J239" s="196"/>
      <c r="K239" s="196"/>
      <c r="L239" s="247">
        <v>9781407586601</v>
      </c>
      <c r="M239" s="196"/>
      <c r="N239" s="196"/>
      <c r="O239" s="196" t="s">
        <v>11322</v>
      </c>
      <c r="P239" s="144"/>
      <c r="Q239" s="145"/>
      <c r="R239" s="203"/>
      <c r="S239" s="203"/>
      <c r="T239" s="151"/>
      <c r="U239" s="151"/>
      <c r="V239" s="151"/>
      <c r="W239" s="151"/>
      <c r="X239" s="152"/>
      <c r="Y239" s="152"/>
      <c r="Z239" s="148"/>
      <c r="AA239" s="153"/>
      <c r="AB239" s="153"/>
      <c r="AC239" s="246"/>
      <c r="AD239" s="153"/>
      <c r="AH239" s="147"/>
    </row>
    <row r="240" spans="1:34" s="146" customFormat="1" x14ac:dyDescent="0.25">
      <c r="A240" s="196"/>
      <c r="B240" s="196"/>
      <c r="C240" s="196" t="s">
        <v>11493</v>
      </c>
      <c r="D240" s="196"/>
      <c r="E240" s="196"/>
      <c r="F240" s="196"/>
      <c r="G240" s="196"/>
      <c r="H240" s="196"/>
      <c r="I240" s="141"/>
      <c r="J240" s="196"/>
      <c r="K240" s="196"/>
      <c r="L240" s="247">
        <v>9781407586625</v>
      </c>
      <c r="M240" s="196"/>
      <c r="N240" s="196"/>
      <c r="O240" s="196" t="s">
        <v>11323</v>
      </c>
      <c r="P240" s="144"/>
      <c r="Q240" s="145"/>
      <c r="R240" s="203"/>
      <c r="S240" s="203"/>
      <c r="T240" s="151"/>
      <c r="U240" s="151"/>
      <c r="V240" s="151"/>
      <c r="W240" s="151"/>
      <c r="X240" s="152"/>
      <c r="Y240" s="152"/>
      <c r="Z240" s="148"/>
      <c r="AA240" s="153"/>
      <c r="AB240" s="153"/>
      <c r="AC240" s="246"/>
      <c r="AD240" s="153"/>
      <c r="AH240" s="147"/>
    </row>
    <row r="241" spans="1:34" s="146" customFormat="1" x14ac:dyDescent="0.25">
      <c r="A241" s="196"/>
      <c r="B241" s="196"/>
      <c r="C241" s="196" t="s">
        <v>11494</v>
      </c>
      <c r="D241" s="196"/>
      <c r="E241" s="196"/>
      <c r="F241" s="196"/>
      <c r="G241" s="196"/>
      <c r="H241" s="196"/>
      <c r="I241" s="141"/>
      <c r="J241" s="196"/>
      <c r="K241" s="196"/>
      <c r="L241" s="247">
        <v>9783453212596</v>
      </c>
      <c r="M241" s="196"/>
      <c r="N241" s="196"/>
      <c r="O241" s="196" t="s">
        <v>11324</v>
      </c>
      <c r="P241" s="144"/>
      <c r="Q241" s="145"/>
      <c r="R241" s="203"/>
      <c r="S241" s="203"/>
      <c r="T241" s="151"/>
      <c r="U241" s="151"/>
      <c r="V241" s="151"/>
      <c r="W241" s="151"/>
      <c r="X241" s="152"/>
      <c r="Y241" s="152"/>
      <c r="Z241" s="148"/>
      <c r="AA241" s="153"/>
      <c r="AB241" s="153"/>
      <c r="AC241" s="246"/>
      <c r="AD241" s="153"/>
      <c r="AH241" s="147"/>
    </row>
    <row r="242" spans="1:34" s="146" customFormat="1" x14ac:dyDescent="0.25">
      <c r="A242" s="196"/>
      <c r="B242" s="196" t="s">
        <v>11483</v>
      </c>
      <c r="C242" s="196"/>
      <c r="D242" s="196"/>
      <c r="E242" s="196"/>
      <c r="F242" s="196"/>
      <c r="G242" s="196"/>
      <c r="H242" s="196"/>
      <c r="I242" s="141"/>
      <c r="J242" s="196"/>
      <c r="K242" s="196"/>
      <c r="L242" s="247">
        <v>9783293204492</v>
      </c>
      <c r="M242" s="196"/>
      <c r="N242" s="196"/>
      <c r="O242" s="196" t="s">
        <v>11325</v>
      </c>
      <c r="P242" s="144"/>
      <c r="Q242" s="145"/>
      <c r="R242" s="203"/>
      <c r="S242" s="203"/>
      <c r="T242" s="151"/>
      <c r="U242" s="151"/>
      <c r="V242" s="151"/>
      <c r="W242" s="151"/>
      <c r="X242" s="152"/>
      <c r="Y242" s="152"/>
      <c r="Z242" s="148"/>
      <c r="AA242" s="153"/>
      <c r="AB242" s="153"/>
      <c r="AC242" s="246"/>
      <c r="AD242" s="153"/>
      <c r="AH242" s="147"/>
    </row>
    <row r="243" spans="1:34" s="146" customFormat="1" x14ac:dyDescent="0.25">
      <c r="A243" s="196"/>
      <c r="B243" s="196" t="s">
        <v>11426</v>
      </c>
      <c r="C243" s="196" t="s">
        <v>11442</v>
      </c>
      <c r="D243" s="196"/>
      <c r="E243" s="196"/>
      <c r="F243" s="196"/>
      <c r="G243" s="196"/>
      <c r="H243" s="196"/>
      <c r="I243" s="141"/>
      <c r="J243" s="196"/>
      <c r="K243" s="196"/>
      <c r="L243" s="247">
        <v>9783404602469</v>
      </c>
      <c r="M243" s="196"/>
      <c r="N243" s="196"/>
      <c r="O243" s="196" t="s">
        <v>11326</v>
      </c>
      <c r="P243" s="144"/>
      <c r="Q243" s="145"/>
      <c r="R243" s="203"/>
      <c r="S243" s="203"/>
      <c r="T243" s="151"/>
      <c r="U243" s="151"/>
      <c r="V243" s="151"/>
      <c r="W243" s="151"/>
      <c r="X243" s="152"/>
      <c r="Y243" s="152"/>
      <c r="Z243" s="148"/>
      <c r="AA243" s="153"/>
      <c r="AB243" s="153"/>
      <c r="AC243" s="246"/>
      <c r="AD243" s="153"/>
      <c r="AH243" s="147"/>
    </row>
    <row r="244" spans="1:34" s="146" customFormat="1" x14ac:dyDescent="0.25">
      <c r="A244" s="196"/>
      <c r="B244" s="196" t="s">
        <v>11427</v>
      </c>
      <c r="C244" s="196" t="s">
        <v>11443</v>
      </c>
      <c r="D244" s="196"/>
      <c r="E244" s="196"/>
      <c r="F244" s="196"/>
      <c r="G244" s="196"/>
      <c r="H244" s="196"/>
      <c r="I244" s="141"/>
      <c r="J244" s="196"/>
      <c r="K244" s="196"/>
      <c r="L244" s="247">
        <v>9783493587869</v>
      </c>
      <c r="M244" s="196"/>
      <c r="N244" s="196"/>
      <c r="O244" s="196" t="s">
        <v>11327</v>
      </c>
      <c r="P244" s="144"/>
      <c r="Q244" s="145"/>
      <c r="R244" s="203"/>
      <c r="S244" s="203"/>
      <c r="T244" s="151"/>
      <c r="U244" s="151"/>
      <c r="V244" s="151"/>
      <c r="W244" s="151"/>
      <c r="X244" s="152"/>
      <c r="Y244" s="152"/>
      <c r="Z244" s="148"/>
      <c r="AA244" s="153"/>
      <c r="AB244" s="153"/>
      <c r="AC244" s="246"/>
      <c r="AD244" s="153"/>
      <c r="AH244" s="147"/>
    </row>
    <row r="245" spans="1:34" s="146" customFormat="1" x14ac:dyDescent="0.25">
      <c r="A245" s="196"/>
      <c r="B245" s="196"/>
      <c r="C245" s="196" t="s">
        <v>1189</v>
      </c>
      <c r="D245" s="196"/>
      <c r="E245" s="196"/>
      <c r="F245" s="196"/>
      <c r="G245" s="196"/>
      <c r="H245" s="196"/>
      <c r="I245" s="141"/>
      <c r="J245" s="196"/>
      <c r="K245" s="196"/>
      <c r="L245" s="247">
        <v>9783939527077</v>
      </c>
      <c r="M245" s="196"/>
      <c r="N245" s="196"/>
      <c r="O245" s="196" t="s">
        <v>11328</v>
      </c>
      <c r="P245" s="144"/>
      <c r="Q245" s="145"/>
      <c r="R245" s="203"/>
      <c r="S245" s="203"/>
      <c r="T245" s="151"/>
      <c r="U245" s="151"/>
      <c r="V245" s="151"/>
      <c r="W245" s="151"/>
      <c r="X245" s="152"/>
      <c r="Y245" s="152"/>
      <c r="Z245" s="148"/>
      <c r="AA245" s="153"/>
      <c r="AB245" s="153"/>
      <c r="AC245" s="246"/>
      <c r="AD245" s="153"/>
      <c r="AH245" s="147"/>
    </row>
    <row r="246" spans="1:34" s="146" customFormat="1" x14ac:dyDescent="0.25">
      <c r="A246" s="196"/>
      <c r="B246" s="196"/>
      <c r="C246" s="196" t="s">
        <v>11444</v>
      </c>
      <c r="D246" s="196"/>
      <c r="E246" s="196"/>
      <c r="F246" s="196"/>
      <c r="G246" s="196"/>
      <c r="H246" s="196"/>
      <c r="I246" s="141"/>
      <c r="J246" s="196"/>
      <c r="K246" s="196"/>
      <c r="L246" s="247">
        <v>9783895610356</v>
      </c>
      <c r="M246" s="196"/>
      <c r="N246" s="196"/>
      <c r="O246" s="196" t="s">
        <v>11329</v>
      </c>
      <c r="P246" s="144"/>
      <c r="Q246" s="145"/>
      <c r="R246" s="203"/>
      <c r="S246" s="203"/>
      <c r="T246" s="151"/>
      <c r="U246" s="151"/>
      <c r="V246" s="151"/>
      <c r="W246" s="151"/>
      <c r="X246" s="152"/>
      <c r="Y246" s="152"/>
      <c r="Z246" s="148"/>
      <c r="AA246" s="153"/>
      <c r="AB246" s="153"/>
      <c r="AC246" s="246"/>
      <c r="AD246" s="153"/>
      <c r="AH246" s="147"/>
    </row>
    <row r="247" spans="1:34" s="146" customFormat="1" x14ac:dyDescent="0.25">
      <c r="A247" s="196"/>
      <c r="B247" s="196" t="s">
        <v>11428</v>
      </c>
      <c r="C247" s="196" t="s">
        <v>11445</v>
      </c>
      <c r="D247" s="196"/>
      <c r="E247" s="196"/>
      <c r="F247" s="196"/>
      <c r="G247" s="196"/>
      <c r="H247" s="196"/>
      <c r="I247" s="141"/>
      <c r="J247" s="196"/>
      <c r="K247" s="196"/>
      <c r="L247" s="247">
        <v>9783828934153</v>
      </c>
      <c r="M247" s="196"/>
      <c r="N247" s="196"/>
      <c r="O247" s="196" t="s">
        <v>11330</v>
      </c>
      <c r="P247" s="144"/>
      <c r="Q247" s="145"/>
      <c r="R247" s="203"/>
      <c r="S247" s="203"/>
      <c r="T247" s="151"/>
      <c r="U247" s="151"/>
      <c r="V247" s="151"/>
      <c r="W247" s="151"/>
      <c r="X247" s="152"/>
      <c r="Y247" s="152"/>
      <c r="Z247" s="148"/>
      <c r="AA247" s="153"/>
      <c r="AB247" s="153"/>
      <c r="AC247" s="246"/>
      <c r="AD247" s="153"/>
      <c r="AH247" s="147"/>
    </row>
    <row r="248" spans="1:34" s="146" customFormat="1" x14ac:dyDescent="0.25">
      <c r="A248" s="196"/>
      <c r="B248" s="196" t="s">
        <v>11429</v>
      </c>
      <c r="C248" s="196" t="s">
        <v>11446</v>
      </c>
      <c r="D248" s="196"/>
      <c r="E248" s="196"/>
      <c r="F248" s="196"/>
      <c r="G248" s="196"/>
      <c r="H248" s="196"/>
      <c r="I248" s="141"/>
      <c r="J248" s="196"/>
      <c r="K248" s="196"/>
      <c r="L248" s="247">
        <v>9783442458158</v>
      </c>
      <c r="M248" s="196"/>
      <c r="N248" s="196"/>
      <c r="O248" s="196" t="s">
        <v>11331</v>
      </c>
      <c r="P248" s="144"/>
      <c r="Q248" s="145"/>
      <c r="R248" s="203"/>
      <c r="S248" s="203"/>
      <c r="T248" s="151"/>
      <c r="U248" s="151"/>
      <c r="V248" s="151"/>
      <c r="W248" s="151"/>
      <c r="X248" s="152"/>
      <c r="Y248" s="152"/>
      <c r="Z248" s="148"/>
      <c r="AA248" s="153"/>
      <c r="AB248" s="153"/>
      <c r="AC248" s="246"/>
      <c r="AD248" s="153"/>
      <c r="AH248" s="147"/>
    </row>
    <row r="249" spans="1:34" s="146" customFormat="1" x14ac:dyDescent="0.25">
      <c r="A249" s="196"/>
      <c r="B249" s="196" t="s">
        <v>11430</v>
      </c>
      <c r="C249" s="196" t="s">
        <v>11447</v>
      </c>
      <c r="D249" s="196"/>
      <c r="E249" s="196"/>
      <c r="F249" s="196"/>
      <c r="G249" s="196"/>
      <c r="H249" s="196"/>
      <c r="I249" s="141"/>
      <c r="J249" s="196"/>
      <c r="K249" s="196"/>
      <c r="L249" s="247">
        <v>9783866381575</v>
      </c>
      <c r="M249" s="196"/>
      <c r="N249" s="196"/>
      <c r="O249" s="196" t="s">
        <v>11332</v>
      </c>
      <c r="P249" s="144"/>
      <c r="Q249" s="145"/>
      <c r="R249" s="203"/>
      <c r="S249" s="203"/>
      <c r="T249" s="151"/>
      <c r="U249" s="151"/>
      <c r="V249" s="151"/>
      <c r="W249" s="151"/>
      <c r="X249" s="152"/>
      <c r="Y249" s="152"/>
      <c r="Z249" s="148"/>
      <c r="AA249" s="153"/>
      <c r="AB249" s="153"/>
      <c r="AC249" s="246"/>
      <c r="AD249" s="153"/>
      <c r="AH249" s="147"/>
    </row>
    <row r="250" spans="1:34" s="146" customFormat="1" x14ac:dyDescent="0.25">
      <c r="A250" s="196"/>
      <c r="B250" s="196" t="s">
        <v>11431</v>
      </c>
      <c r="C250" s="196" t="s">
        <v>11448</v>
      </c>
      <c r="D250" s="196"/>
      <c r="E250" s="196"/>
      <c r="F250" s="196"/>
      <c r="G250" s="196"/>
      <c r="H250" s="196"/>
      <c r="I250" s="141"/>
      <c r="J250" s="196"/>
      <c r="K250" s="196"/>
      <c r="L250" s="247">
        <v>9783442449910</v>
      </c>
      <c r="M250" s="196"/>
      <c r="N250" s="196"/>
      <c r="O250" s="196" t="s">
        <v>11333</v>
      </c>
      <c r="P250" s="144"/>
      <c r="Q250" s="145"/>
      <c r="R250" s="203"/>
      <c r="S250" s="203"/>
      <c r="T250" s="151"/>
      <c r="U250" s="151"/>
      <c r="V250" s="151"/>
      <c r="W250" s="151"/>
      <c r="X250" s="152"/>
      <c r="Y250" s="152"/>
      <c r="Z250" s="148"/>
      <c r="AA250" s="153"/>
      <c r="AB250" s="153"/>
      <c r="AC250" s="246"/>
      <c r="AD250" s="153"/>
      <c r="AH250" s="147"/>
    </row>
    <row r="251" spans="1:34" s="146" customFormat="1" x14ac:dyDescent="0.25">
      <c r="A251" s="196"/>
      <c r="B251" s="196" t="s">
        <v>11432</v>
      </c>
      <c r="C251" s="196" t="s">
        <v>11449</v>
      </c>
      <c r="D251" s="196"/>
      <c r="E251" s="196"/>
      <c r="F251" s="196"/>
      <c r="G251" s="196"/>
      <c r="H251" s="196"/>
      <c r="I251" s="141"/>
      <c r="J251" s="196"/>
      <c r="K251" s="196"/>
      <c r="L251" s="247">
        <v>9783492215411</v>
      </c>
      <c r="M251" s="196"/>
      <c r="N251" s="196"/>
      <c r="O251" s="196" t="s">
        <v>11334</v>
      </c>
      <c r="P251" s="144"/>
      <c r="Q251" s="145"/>
      <c r="R251" s="203"/>
      <c r="S251" s="203"/>
      <c r="T251" s="151"/>
      <c r="U251" s="151"/>
      <c r="V251" s="151"/>
      <c r="W251" s="151"/>
      <c r="X251" s="152"/>
      <c r="Y251" s="152"/>
      <c r="Z251" s="148"/>
      <c r="AA251" s="153"/>
      <c r="AB251" s="153"/>
      <c r="AC251" s="246"/>
      <c r="AD251" s="153"/>
      <c r="AH251" s="147"/>
    </row>
    <row r="252" spans="1:34" s="146" customFormat="1" x14ac:dyDescent="0.25">
      <c r="A252" s="196"/>
      <c r="B252" s="196" t="s">
        <v>11433</v>
      </c>
      <c r="C252" s="196" t="s">
        <v>11450</v>
      </c>
      <c r="D252" s="196"/>
      <c r="E252" s="196"/>
      <c r="F252" s="196"/>
      <c r="G252" s="196"/>
      <c r="H252" s="196"/>
      <c r="I252" s="141"/>
      <c r="J252" s="196"/>
      <c r="K252" s="196"/>
      <c r="L252" s="247">
        <v>9783862824137</v>
      </c>
      <c r="M252" s="196"/>
      <c r="N252" s="196"/>
      <c r="O252" s="196" t="s">
        <v>11335</v>
      </c>
      <c r="P252" s="144"/>
      <c r="Q252" s="145"/>
      <c r="R252" s="203"/>
      <c r="S252" s="203"/>
      <c r="T252" s="151"/>
      <c r="U252" s="151"/>
      <c r="V252" s="151"/>
      <c r="W252" s="151"/>
      <c r="X252" s="152"/>
      <c r="Y252" s="152"/>
      <c r="Z252" s="148"/>
      <c r="AA252" s="153"/>
      <c r="AB252" s="153"/>
      <c r="AC252" s="246"/>
      <c r="AD252" s="153"/>
      <c r="AH252" s="147"/>
    </row>
    <row r="253" spans="1:34" s="146" customFormat="1" x14ac:dyDescent="0.25">
      <c r="A253" s="196"/>
      <c r="B253" s="196" t="s">
        <v>11434</v>
      </c>
      <c r="C253" s="196" t="s">
        <v>11451</v>
      </c>
      <c r="D253" s="196"/>
      <c r="E253" s="196"/>
      <c r="F253" s="196"/>
      <c r="G253" s="196"/>
      <c r="H253" s="196"/>
      <c r="I253" s="141"/>
      <c r="J253" s="196"/>
      <c r="K253" s="196"/>
      <c r="L253" s="247">
        <v>9783150176146</v>
      </c>
      <c r="M253" s="196"/>
      <c r="N253" s="196"/>
      <c r="O253" s="196" t="s">
        <v>11336</v>
      </c>
      <c r="P253" s="144"/>
      <c r="Q253" s="145"/>
      <c r="R253" s="203"/>
      <c r="S253" s="203"/>
      <c r="T253" s="151"/>
      <c r="U253" s="151"/>
      <c r="V253" s="151"/>
      <c r="W253" s="151"/>
      <c r="X253" s="152"/>
      <c r="Y253" s="152"/>
      <c r="Z253" s="148"/>
      <c r="AA253" s="153"/>
      <c r="AB253" s="153"/>
      <c r="AC253" s="246"/>
      <c r="AD253" s="153"/>
      <c r="AH253" s="147"/>
    </row>
    <row r="254" spans="1:34" s="146" customFormat="1" x14ac:dyDescent="0.25">
      <c r="A254" s="196"/>
      <c r="B254" s="196" t="s">
        <v>11454</v>
      </c>
      <c r="C254" s="196" t="s">
        <v>11452</v>
      </c>
      <c r="D254" s="196"/>
      <c r="E254" s="196"/>
      <c r="F254" s="196"/>
      <c r="G254" s="196"/>
      <c r="H254" s="196"/>
      <c r="I254" s="141"/>
      <c r="J254" s="196"/>
      <c r="K254" s="196"/>
      <c r="L254" s="247">
        <v>9783596193912</v>
      </c>
      <c r="M254" s="196"/>
      <c r="N254" s="196"/>
      <c r="O254" s="196" t="s">
        <v>11337</v>
      </c>
      <c r="P254" s="144"/>
      <c r="Q254" s="145"/>
      <c r="R254" s="203"/>
      <c r="S254" s="203"/>
      <c r="T254" s="151"/>
      <c r="U254" s="151"/>
      <c r="V254" s="151"/>
      <c r="W254" s="151"/>
      <c r="X254" s="152"/>
      <c r="Y254" s="152"/>
      <c r="Z254" s="148"/>
      <c r="AA254" s="153"/>
      <c r="AB254" s="153"/>
      <c r="AC254" s="246"/>
      <c r="AD254" s="153"/>
      <c r="AH254" s="147"/>
    </row>
    <row r="255" spans="1:34" s="146" customFormat="1" x14ac:dyDescent="0.25">
      <c r="A255" s="196"/>
      <c r="B255" s="196" t="s">
        <v>11435</v>
      </c>
      <c r="C255" s="196" t="s">
        <v>11453</v>
      </c>
      <c r="D255" s="196"/>
      <c r="E255" s="196"/>
      <c r="F255" s="196"/>
      <c r="G255" s="196"/>
      <c r="H255" s="196"/>
      <c r="I255" s="141"/>
      <c r="J255" s="196"/>
      <c r="K255" s="196"/>
      <c r="L255" s="247">
        <v>9783453116856</v>
      </c>
      <c r="M255" s="196"/>
      <c r="N255" s="196"/>
      <c r="O255" s="196" t="s">
        <v>11338</v>
      </c>
      <c r="P255" s="144"/>
      <c r="Q255" s="145"/>
      <c r="R255" s="203"/>
      <c r="S255" s="203"/>
      <c r="T255" s="151"/>
      <c r="U255" s="151"/>
      <c r="V255" s="151"/>
      <c r="W255" s="151"/>
      <c r="X255" s="152"/>
      <c r="Y255" s="152"/>
      <c r="Z255" s="148"/>
      <c r="AA255" s="153"/>
      <c r="AB255" s="153"/>
      <c r="AC255" s="246"/>
      <c r="AD255" s="153"/>
      <c r="AH255" s="147"/>
    </row>
    <row r="256" spans="1:34" s="146" customFormat="1" x14ac:dyDescent="0.25">
      <c r="A256" s="196"/>
      <c r="B256" s="196" t="s">
        <v>11436</v>
      </c>
      <c r="C256" s="196" t="s">
        <v>11455</v>
      </c>
      <c r="D256" s="196"/>
      <c r="E256" s="196"/>
      <c r="F256" s="196"/>
      <c r="G256" s="196"/>
      <c r="H256" s="196"/>
      <c r="I256" s="141"/>
      <c r="J256" s="196"/>
      <c r="K256" s="196"/>
      <c r="L256" s="247">
        <v>9783442375981</v>
      </c>
      <c r="M256" s="196"/>
      <c r="N256" s="196"/>
      <c r="O256" s="196" t="s">
        <v>11339</v>
      </c>
      <c r="P256" s="144"/>
      <c r="Q256" s="145"/>
      <c r="R256" s="203"/>
      <c r="S256" s="203"/>
      <c r="T256" s="151"/>
      <c r="U256" s="151"/>
      <c r="V256" s="151"/>
      <c r="W256" s="151"/>
      <c r="X256" s="152"/>
      <c r="Y256" s="152"/>
      <c r="Z256" s="148"/>
      <c r="AA256" s="153"/>
      <c r="AB256" s="153"/>
      <c r="AC256" s="246"/>
      <c r="AD256" s="153"/>
      <c r="AH256" s="147"/>
    </row>
    <row r="257" spans="1:34" s="146" customFormat="1" x14ac:dyDescent="0.25">
      <c r="A257" s="196"/>
      <c r="B257" s="196" t="s">
        <v>11437</v>
      </c>
      <c r="C257" s="196" t="s">
        <v>11456</v>
      </c>
      <c r="D257" s="196"/>
      <c r="E257" s="196"/>
      <c r="F257" s="196"/>
      <c r="G257" s="196"/>
      <c r="H257" s="196"/>
      <c r="I257" s="141"/>
      <c r="J257" s="196"/>
      <c r="K257" s="196"/>
      <c r="L257" s="247">
        <v>9783499272660</v>
      </c>
      <c r="M257" s="196"/>
      <c r="N257" s="196"/>
      <c r="O257" s="196" t="s">
        <v>11340</v>
      </c>
      <c r="P257" s="144"/>
      <c r="Q257" s="145"/>
      <c r="R257" s="203"/>
      <c r="S257" s="203"/>
      <c r="T257" s="151"/>
      <c r="U257" s="151"/>
      <c r="V257" s="151"/>
      <c r="W257" s="151"/>
      <c r="X257" s="152"/>
      <c r="Y257" s="152"/>
      <c r="Z257" s="148"/>
      <c r="AA257" s="153"/>
      <c r="AB257" s="153"/>
      <c r="AC257" s="246"/>
      <c r="AD257" s="153"/>
      <c r="AH257" s="147"/>
    </row>
    <row r="258" spans="1:34" s="146" customFormat="1" x14ac:dyDescent="0.25">
      <c r="A258" s="196"/>
      <c r="B258" s="196" t="s">
        <v>11438</v>
      </c>
      <c r="C258" s="196" t="s">
        <v>11457</v>
      </c>
      <c r="D258" s="196"/>
      <c r="E258" s="196"/>
      <c r="F258" s="196"/>
      <c r="G258" s="196"/>
      <c r="H258" s="196"/>
      <c r="I258" s="141"/>
      <c r="J258" s="196"/>
      <c r="K258" s="196"/>
      <c r="L258" s="247">
        <v>9783828993853</v>
      </c>
      <c r="M258" s="196"/>
      <c r="N258" s="196"/>
      <c r="O258" s="196" t="s">
        <v>11341</v>
      </c>
      <c r="P258" s="144"/>
      <c r="Q258" s="145"/>
      <c r="R258" s="203"/>
      <c r="S258" s="203"/>
      <c r="T258" s="151"/>
      <c r="U258" s="151"/>
      <c r="V258" s="151"/>
      <c r="W258" s="151"/>
      <c r="X258" s="152"/>
      <c r="Y258" s="152"/>
      <c r="Z258" s="148"/>
      <c r="AA258" s="153"/>
      <c r="AB258" s="153"/>
      <c r="AC258" s="246"/>
      <c r="AD258" s="153"/>
      <c r="AH258" s="147"/>
    </row>
    <row r="259" spans="1:34" s="146" customFormat="1" x14ac:dyDescent="0.25">
      <c r="A259" s="196"/>
      <c r="B259" s="196" t="s">
        <v>4135</v>
      </c>
      <c r="C259" s="196" t="s">
        <v>11458</v>
      </c>
      <c r="D259" s="196"/>
      <c r="E259" s="196"/>
      <c r="F259" s="196"/>
      <c r="G259" s="196"/>
      <c r="H259" s="196"/>
      <c r="I259" s="141"/>
      <c r="J259" s="196"/>
      <c r="K259" s="196"/>
      <c r="L259" s="247">
        <v>9783522178242</v>
      </c>
      <c r="M259" s="196"/>
      <c r="N259" s="196"/>
      <c r="O259" s="196" t="s">
        <v>11342</v>
      </c>
      <c r="P259" s="144"/>
      <c r="Q259" s="145"/>
      <c r="R259" s="203"/>
      <c r="S259" s="203"/>
      <c r="T259" s="151"/>
      <c r="U259" s="151"/>
      <c r="V259" s="151"/>
      <c r="W259" s="151"/>
      <c r="X259" s="152"/>
      <c r="Y259" s="152"/>
      <c r="Z259" s="148"/>
      <c r="AA259" s="153"/>
      <c r="AB259" s="153"/>
      <c r="AC259" s="246"/>
      <c r="AD259" s="153"/>
      <c r="AH259" s="147"/>
    </row>
    <row r="260" spans="1:34" s="146" customFormat="1" x14ac:dyDescent="0.25">
      <c r="A260" s="196"/>
      <c r="B260" s="196" t="s">
        <v>11439</v>
      </c>
      <c r="C260" s="196" t="s">
        <v>11459</v>
      </c>
      <c r="D260" s="196"/>
      <c r="E260" s="196"/>
      <c r="F260" s="196"/>
      <c r="G260" s="196"/>
      <c r="H260" s="196"/>
      <c r="I260" s="141"/>
      <c r="J260" s="196"/>
      <c r="K260" s="196"/>
      <c r="L260" s="247">
        <v>9783442265633</v>
      </c>
      <c r="M260" s="196"/>
      <c r="N260" s="196"/>
      <c r="O260" s="196" t="s">
        <v>11343</v>
      </c>
      <c r="P260" s="144"/>
      <c r="Q260" s="145"/>
      <c r="R260" s="203"/>
      <c r="S260" s="203"/>
      <c r="T260" s="151"/>
      <c r="U260" s="151"/>
      <c r="V260" s="151"/>
      <c r="W260" s="151"/>
      <c r="X260" s="152"/>
      <c r="Y260" s="152"/>
      <c r="Z260" s="148"/>
      <c r="AA260" s="153"/>
      <c r="AB260" s="153"/>
      <c r="AC260" s="246"/>
      <c r="AD260" s="153"/>
      <c r="AH260" s="147"/>
    </row>
    <row r="261" spans="1:34" s="146" customFormat="1" x14ac:dyDescent="0.25">
      <c r="A261" s="196"/>
      <c r="B261" s="196" t="s">
        <v>11440</v>
      </c>
      <c r="C261" s="196" t="s">
        <v>11460</v>
      </c>
      <c r="D261" s="196"/>
      <c r="E261" s="196"/>
      <c r="F261" s="196"/>
      <c r="G261" s="196"/>
      <c r="H261" s="196"/>
      <c r="I261" s="141"/>
      <c r="J261" s="196"/>
      <c r="K261" s="196"/>
      <c r="L261" s="247">
        <v>9783426774359</v>
      </c>
      <c r="M261" s="196"/>
      <c r="N261" s="196"/>
      <c r="O261" s="196" t="s">
        <v>11344</v>
      </c>
      <c r="P261" s="144"/>
      <c r="Q261" s="145"/>
      <c r="R261" s="203"/>
      <c r="S261" s="203"/>
      <c r="T261" s="151"/>
      <c r="U261" s="151"/>
      <c r="V261" s="151"/>
      <c r="W261" s="151"/>
      <c r="X261" s="152"/>
      <c r="Y261" s="152"/>
      <c r="Z261" s="148"/>
      <c r="AA261" s="153"/>
      <c r="AB261" s="153"/>
      <c r="AC261" s="246"/>
      <c r="AD261" s="153"/>
      <c r="AH261" s="147"/>
    </row>
    <row r="262" spans="1:34" s="146" customFormat="1" x14ac:dyDescent="0.25">
      <c r="A262" s="196"/>
      <c r="B262" s="196" t="s">
        <v>11441</v>
      </c>
      <c r="C262" s="196" t="s">
        <v>11461</v>
      </c>
      <c r="D262" s="196"/>
      <c r="E262" s="196"/>
      <c r="F262" s="196"/>
      <c r="G262" s="196"/>
      <c r="H262" s="196"/>
      <c r="I262" s="141"/>
      <c r="J262" s="196"/>
      <c r="K262" s="196"/>
      <c r="L262" s="247">
        <v>9783453149878</v>
      </c>
      <c r="M262" s="196"/>
      <c r="N262" s="196"/>
      <c r="O262" s="196" t="s">
        <v>11345</v>
      </c>
      <c r="P262" s="144"/>
      <c r="Q262" s="145"/>
      <c r="R262" s="203"/>
      <c r="S262" s="203"/>
      <c r="T262" s="151"/>
      <c r="U262" s="151"/>
      <c r="V262" s="151"/>
      <c r="W262" s="151"/>
      <c r="X262" s="152"/>
      <c r="Y262" s="152"/>
      <c r="Z262" s="148"/>
      <c r="AA262" s="153"/>
      <c r="AB262" s="153"/>
      <c r="AC262" s="246"/>
      <c r="AD262" s="153"/>
      <c r="AH262" s="147"/>
    </row>
    <row r="263" spans="1:34" s="146" customFormat="1" x14ac:dyDescent="0.25">
      <c r="A263" s="196"/>
      <c r="B263" s="196" t="s">
        <v>11388</v>
      </c>
      <c r="C263" s="196" t="s">
        <v>11396</v>
      </c>
      <c r="D263" s="196"/>
      <c r="E263" s="196"/>
      <c r="F263" s="196"/>
      <c r="G263" s="196"/>
      <c r="H263" s="196"/>
      <c r="I263" s="141"/>
      <c r="J263" s="196"/>
      <c r="K263" s="196"/>
      <c r="L263" s="247">
        <v>9783451048586</v>
      </c>
      <c r="M263" s="196"/>
      <c r="N263" s="196"/>
      <c r="O263" s="196" t="s">
        <v>11346</v>
      </c>
      <c r="P263" s="144"/>
      <c r="Q263" s="145"/>
      <c r="R263" s="203"/>
      <c r="S263" s="203"/>
      <c r="T263" s="151"/>
      <c r="U263" s="151"/>
      <c r="V263" s="151"/>
      <c r="W263" s="151"/>
      <c r="X263" s="152"/>
      <c r="Y263" s="152"/>
      <c r="Z263" s="148"/>
      <c r="AA263" s="153"/>
      <c r="AB263" s="153"/>
      <c r="AC263" s="246"/>
      <c r="AD263" s="153"/>
      <c r="AH263" s="147"/>
    </row>
    <row r="264" spans="1:34" s="146" customFormat="1" x14ac:dyDescent="0.25">
      <c r="A264" s="196"/>
      <c r="B264" s="196" t="s">
        <v>11389</v>
      </c>
      <c r="C264" s="196" t="s">
        <v>11397</v>
      </c>
      <c r="D264" s="196"/>
      <c r="E264" s="196"/>
      <c r="F264" s="196"/>
      <c r="G264" s="196"/>
      <c r="H264" s="196"/>
      <c r="I264" s="141"/>
      <c r="J264" s="196"/>
      <c r="K264" s="196"/>
      <c r="L264" s="247">
        <v>9783833905667</v>
      </c>
      <c r="M264" s="196"/>
      <c r="N264" s="196"/>
      <c r="O264" s="196" t="s">
        <v>11347</v>
      </c>
      <c r="P264" s="144"/>
      <c r="Q264" s="145"/>
      <c r="R264" s="203"/>
      <c r="S264" s="203"/>
      <c r="T264" s="151"/>
      <c r="U264" s="151"/>
      <c r="V264" s="151"/>
      <c r="W264" s="151"/>
      <c r="X264" s="152"/>
      <c r="Y264" s="152"/>
      <c r="Z264" s="148"/>
      <c r="AA264" s="153"/>
      <c r="AB264" s="153"/>
      <c r="AC264" s="246"/>
      <c r="AD264" s="153"/>
      <c r="AH264" s="147"/>
    </row>
    <row r="265" spans="1:34" s="146" customFormat="1" x14ac:dyDescent="0.25">
      <c r="A265" s="196"/>
      <c r="B265" s="196" t="s">
        <v>11390</v>
      </c>
      <c r="C265" s="196" t="s">
        <v>11398</v>
      </c>
      <c r="D265" s="196"/>
      <c r="E265" s="196"/>
      <c r="F265" s="196"/>
      <c r="G265" s="196"/>
      <c r="H265" s="196"/>
      <c r="I265" s="141"/>
      <c r="J265" s="196"/>
      <c r="K265" s="196"/>
      <c r="L265" s="247">
        <v>9783596147830</v>
      </c>
      <c r="M265" s="196"/>
      <c r="N265" s="196"/>
      <c r="O265" s="196" t="s">
        <v>11348</v>
      </c>
      <c r="P265" s="144"/>
      <c r="Q265" s="145"/>
      <c r="R265" s="203"/>
      <c r="S265" s="203"/>
      <c r="T265" s="151"/>
      <c r="U265" s="151"/>
      <c r="V265" s="151"/>
      <c r="W265" s="151"/>
      <c r="X265" s="152"/>
      <c r="Y265" s="152"/>
      <c r="Z265" s="148"/>
      <c r="AA265" s="153"/>
      <c r="AB265" s="153"/>
      <c r="AC265" s="246"/>
      <c r="AD265" s="153"/>
      <c r="AH265" s="147"/>
    </row>
    <row r="266" spans="1:34" s="146" customFormat="1" x14ac:dyDescent="0.25">
      <c r="A266" s="196"/>
      <c r="B266" s="196" t="s">
        <v>11391</v>
      </c>
      <c r="C266" s="196" t="s">
        <v>11399</v>
      </c>
      <c r="D266" s="196"/>
      <c r="E266" s="196"/>
      <c r="F266" s="196"/>
      <c r="G266" s="196"/>
      <c r="H266" s="196"/>
      <c r="I266" s="141"/>
      <c r="J266" s="196"/>
      <c r="K266" s="196"/>
      <c r="L266" s="247">
        <v>9783898979559</v>
      </c>
      <c r="M266" s="196"/>
      <c r="N266" s="196"/>
      <c r="O266" s="196" t="s">
        <v>11349</v>
      </c>
      <c r="P266" s="144"/>
      <c r="Q266" s="145"/>
      <c r="R266" s="203"/>
      <c r="S266" s="203"/>
      <c r="T266" s="151"/>
      <c r="U266" s="151"/>
      <c r="V266" s="151"/>
      <c r="W266" s="151"/>
      <c r="X266" s="152"/>
      <c r="Y266" s="152"/>
      <c r="Z266" s="148"/>
      <c r="AA266" s="153"/>
      <c r="AB266" s="153"/>
      <c r="AC266" s="246"/>
      <c r="AD266" s="153"/>
      <c r="AH266" s="147"/>
    </row>
    <row r="267" spans="1:34" s="146" customFormat="1" x14ac:dyDescent="0.25">
      <c r="A267" s="196"/>
      <c r="B267" s="196" t="s">
        <v>11392</v>
      </c>
      <c r="C267" s="196" t="s">
        <v>11400</v>
      </c>
      <c r="D267" s="196"/>
      <c r="E267" s="196"/>
      <c r="F267" s="196"/>
      <c r="G267" s="196"/>
      <c r="H267" s="196"/>
      <c r="I267" s="141"/>
      <c r="J267" s="196"/>
      <c r="K267" s="196"/>
      <c r="L267" s="247">
        <v>9783404771844</v>
      </c>
      <c r="M267" s="196"/>
      <c r="N267" s="196"/>
      <c r="O267" s="196" t="s">
        <v>11350</v>
      </c>
      <c r="P267" s="144"/>
      <c r="Q267" s="145"/>
      <c r="R267" s="203"/>
      <c r="S267" s="203"/>
      <c r="T267" s="151"/>
      <c r="U267" s="151"/>
      <c r="V267" s="151"/>
      <c r="W267" s="151"/>
      <c r="X267" s="152"/>
      <c r="Y267" s="152"/>
      <c r="Z267" s="148"/>
      <c r="AA267" s="153"/>
      <c r="AB267" s="153"/>
      <c r="AC267" s="246"/>
      <c r="AD267" s="153"/>
      <c r="AH267" s="147"/>
    </row>
    <row r="268" spans="1:34" s="146" customFormat="1" x14ac:dyDescent="0.25">
      <c r="A268" s="196"/>
      <c r="B268" s="196" t="s">
        <v>11393</v>
      </c>
      <c r="C268" s="196" t="s">
        <v>11401</v>
      </c>
      <c r="D268" s="196"/>
      <c r="E268" s="196"/>
      <c r="F268" s="196"/>
      <c r="G268" s="196"/>
      <c r="H268" s="196"/>
      <c r="I268" s="141"/>
      <c r="J268" s="196"/>
      <c r="K268" s="196"/>
      <c r="L268" s="247">
        <v>9783453127937</v>
      </c>
      <c r="M268" s="196"/>
      <c r="N268" s="196"/>
      <c r="O268" s="196" t="s">
        <v>11351</v>
      </c>
      <c r="P268" s="144"/>
      <c r="Q268" s="145"/>
      <c r="R268" s="203"/>
      <c r="S268" s="203"/>
      <c r="T268" s="151"/>
      <c r="U268" s="151"/>
      <c r="V268" s="151"/>
      <c r="W268" s="151"/>
      <c r="X268" s="152"/>
      <c r="Y268" s="152"/>
      <c r="Z268" s="148"/>
      <c r="AA268" s="153"/>
      <c r="AB268" s="153"/>
      <c r="AC268" s="246"/>
      <c r="AD268" s="153"/>
      <c r="AH268" s="147"/>
    </row>
    <row r="269" spans="1:34" s="146" customFormat="1" x14ac:dyDescent="0.25">
      <c r="A269" s="196"/>
      <c r="B269" s="196" t="s">
        <v>11394</v>
      </c>
      <c r="C269" s="196" t="s">
        <v>11402</v>
      </c>
      <c r="D269" s="196"/>
      <c r="E269" s="196"/>
      <c r="F269" s="196"/>
      <c r="G269" s="196"/>
      <c r="H269" s="196"/>
      <c r="I269" s="141"/>
      <c r="J269" s="196"/>
      <c r="K269" s="196"/>
      <c r="L269" s="247">
        <v>9783423248709</v>
      </c>
      <c r="M269" s="196"/>
      <c r="N269" s="196"/>
      <c r="O269" s="196" t="s">
        <v>11352</v>
      </c>
      <c r="P269" s="144"/>
      <c r="Q269" s="145"/>
      <c r="R269" s="203"/>
      <c r="S269" s="203"/>
      <c r="T269" s="151"/>
      <c r="U269" s="151"/>
      <c r="V269" s="151"/>
      <c r="W269" s="151"/>
      <c r="X269" s="152"/>
      <c r="Y269" s="152"/>
      <c r="Z269" s="148"/>
      <c r="AA269" s="153"/>
      <c r="AB269" s="153"/>
      <c r="AC269" s="246"/>
      <c r="AD269" s="153"/>
      <c r="AH269" s="147"/>
    </row>
    <row r="270" spans="1:34" s="146" customFormat="1" x14ac:dyDescent="0.25">
      <c r="A270" s="196"/>
      <c r="B270" s="196" t="s">
        <v>11395</v>
      </c>
      <c r="C270" s="196" t="s">
        <v>11403</v>
      </c>
      <c r="D270" s="196"/>
      <c r="E270" s="196"/>
      <c r="F270" s="196"/>
      <c r="G270" s="196"/>
      <c r="H270" s="196"/>
      <c r="I270" s="141"/>
      <c r="J270" s="196"/>
      <c r="K270" s="196"/>
      <c r="L270" s="247">
        <v>9783442439973</v>
      </c>
      <c r="M270" s="196"/>
      <c r="N270" s="196"/>
      <c r="O270" s="196" t="s">
        <v>11353</v>
      </c>
      <c r="P270" s="144"/>
      <c r="Q270" s="145"/>
      <c r="R270" s="203"/>
      <c r="S270" s="203"/>
      <c r="T270" s="151"/>
      <c r="U270" s="151"/>
      <c r="V270" s="151"/>
      <c r="W270" s="151"/>
      <c r="X270" s="152"/>
      <c r="Y270" s="152"/>
      <c r="Z270" s="148"/>
      <c r="AA270" s="153"/>
      <c r="AB270" s="153"/>
      <c r="AC270" s="246"/>
      <c r="AD270" s="153"/>
      <c r="AH270" s="147"/>
    </row>
    <row r="271" spans="1:34" s="146" customFormat="1" x14ac:dyDescent="0.25">
      <c r="A271" s="196"/>
      <c r="B271" s="196" t="s">
        <v>11404</v>
      </c>
      <c r="C271" s="196" t="s">
        <v>7807</v>
      </c>
      <c r="D271" s="196"/>
      <c r="E271" s="196"/>
      <c r="F271" s="196"/>
      <c r="G271" s="196"/>
      <c r="H271" s="196"/>
      <c r="I271" s="141"/>
      <c r="J271" s="196"/>
      <c r="K271" s="196"/>
      <c r="L271" s="247">
        <v>9783505044434</v>
      </c>
      <c r="M271" s="196"/>
      <c r="N271" s="196"/>
      <c r="O271" s="196" t="s">
        <v>11354</v>
      </c>
      <c r="P271" s="144"/>
      <c r="Q271" s="145"/>
      <c r="R271" s="203"/>
      <c r="S271" s="203"/>
      <c r="T271" s="151"/>
      <c r="U271" s="151"/>
      <c r="V271" s="151"/>
      <c r="W271" s="151"/>
      <c r="X271" s="152"/>
      <c r="Y271" s="152"/>
      <c r="Z271" s="148"/>
      <c r="AA271" s="153"/>
      <c r="AB271" s="153"/>
      <c r="AC271" s="246"/>
      <c r="AD271" s="153"/>
      <c r="AH271" s="147"/>
    </row>
    <row r="272" spans="1:34" s="146" customFormat="1" x14ac:dyDescent="0.25">
      <c r="A272" s="196"/>
      <c r="B272" s="196" t="s">
        <v>11405</v>
      </c>
      <c r="C272" s="196" t="s">
        <v>11416</v>
      </c>
      <c r="D272" s="196"/>
      <c r="E272" s="196"/>
      <c r="F272" s="196"/>
      <c r="G272" s="196"/>
      <c r="H272" s="196"/>
      <c r="I272" s="141"/>
      <c r="J272" s="196"/>
      <c r="K272" s="196"/>
      <c r="L272" s="247">
        <v>9783423134248</v>
      </c>
      <c r="M272" s="196"/>
      <c r="N272" s="196"/>
      <c r="O272" s="196" t="s">
        <v>11355</v>
      </c>
      <c r="P272" s="144"/>
      <c r="Q272" s="145"/>
      <c r="R272" s="203"/>
      <c r="S272" s="203"/>
      <c r="T272" s="151"/>
      <c r="U272" s="151"/>
      <c r="V272" s="151"/>
      <c r="W272" s="151"/>
      <c r="X272" s="152"/>
      <c r="Y272" s="152"/>
      <c r="Z272" s="148"/>
      <c r="AA272" s="153"/>
      <c r="AB272" s="153"/>
      <c r="AC272" s="246"/>
      <c r="AD272" s="153"/>
      <c r="AH272" s="147"/>
    </row>
    <row r="273" spans="1:34" s="146" customFormat="1" x14ac:dyDescent="0.25">
      <c r="A273" s="196"/>
      <c r="B273" s="196" t="s">
        <v>11406</v>
      </c>
      <c r="C273" s="196" t="s">
        <v>11417</v>
      </c>
      <c r="D273" s="196"/>
      <c r="E273" s="196"/>
      <c r="F273" s="196"/>
      <c r="G273" s="196"/>
      <c r="H273" s="196"/>
      <c r="I273" s="141"/>
      <c r="J273" s="196"/>
      <c r="K273" s="196"/>
      <c r="L273" s="247">
        <v>9783426626498</v>
      </c>
      <c r="M273" s="196"/>
      <c r="N273" s="196"/>
      <c r="O273" s="196" t="s">
        <v>11356</v>
      </c>
      <c r="P273" s="144"/>
      <c r="Q273" s="145"/>
      <c r="R273" s="203"/>
      <c r="S273" s="203"/>
      <c r="T273" s="151"/>
      <c r="U273" s="151"/>
      <c r="V273" s="151"/>
      <c r="W273" s="151"/>
      <c r="X273" s="152"/>
      <c r="Y273" s="152"/>
      <c r="Z273" s="148"/>
      <c r="AA273" s="153"/>
      <c r="AB273" s="153"/>
      <c r="AC273" s="246"/>
      <c r="AD273" s="153"/>
      <c r="AH273" s="147"/>
    </row>
    <row r="274" spans="1:34" s="146" customFormat="1" x14ac:dyDescent="0.25">
      <c r="A274" s="196"/>
      <c r="B274" s="196" t="s">
        <v>11407</v>
      </c>
      <c r="C274" s="196" t="s">
        <v>11418</v>
      </c>
      <c r="D274" s="196"/>
      <c r="E274" s="196"/>
      <c r="F274" s="196"/>
      <c r="G274" s="196"/>
      <c r="H274" s="196"/>
      <c r="I274" s="141"/>
      <c r="J274" s="196"/>
      <c r="K274" s="196"/>
      <c r="L274" s="247">
        <v>9783746631783</v>
      </c>
      <c r="M274" s="196"/>
      <c r="N274" s="196"/>
      <c r="O274" s="196" t="s">
        <v>11357</v>
      </c>
      <c r="P274" s="144"/>
      <c r="Q274" s="145"/>
      <c r="R274" s="203"/>
      <c r="S274" s="203"/>
      <c r="T274" s="151"/>
      <c r="U274" s="151"/>
      <c r="V274" s="151"/>
      <c r="W274" s="151"/>
      <c r="X274" s="152"/>
      <c r="Y274" s="152"/>
      <c r="Z274" s="148"/>
      <c r="AA274" s="153"/>
      <c r="AB274" s="153"/>
      <c r="AC274" s="246"/>
      <c r="AD274" s="153"/>
      <c r="AH274" s="147"/>
    </row>
    <row r="275" spans="1:34" s="146" customFormat="1" x14ac:dyDescent="0.25">
      <c r="A275" s="196"/>
      <c r="B275" s="196" t="s">
        <v>11408</v>
      </c>
      <c r="C275" s="196" t="s">
        <v>11419</v>
      </c>
      <c r="D275" s="196"/>
      <c r="E275" s="196"/>
      <c r="F275" s="196"/>
      <c r="G275" s="196"/>
      <c r="H275" s="196"/>
      <c r="I275" s="141"/>
      <c r="J275" s="196"/>
      <c r="K275" s="196"/>
      <c r="L275" s="247">
        <v>9783772425851</v>
      </c>
      <c r="M275" s="196"/>
      <c r="N275" s="196"/>
      <c r="O275" s="196" t="s">
        <v>11358</v>
      </c>
      <c r="P275" s="144"/>
      <c r="Q275" s="145"/>
      <c r="R275" s="203"/>
      <c r="S275" s="203"/>
      <c r="T275" s="151"/>
      <c r="U275" s="151"/>
      <c r="V275" s="151"/>
      <c r="W275" s="151"/>
      <c r="X275" s="152"/>
      <c r="Y275" s="152"/>
      <c r="Z275" s="148"/>
      <c r="AA275" s="153"/>
      <c r="AB275" s="153"/>
      <c r="AC275" s="246"/>
      <c r="AD275" s="153"/>
      <c r="AH275" s="147"/>
    </row>
    <row r="276" spans="1:34" s="146" customFormat="1" x14ac:dyDescent="0.25">
      <c r="A276" s="196"/>
      <c r="B276" s="196" t="s">
        <v>11409</v>
      </c>
      <c r="C276" s="196" t="s">
        <v>11420</v>
      </c>
      <c r="D276" s="196"/>
      <c r="E276" s="196"/>
      <c r="F276" s="196"/>
      <c r="G276" s="196"/>
      <c r="H276" s="196"/>
      <c r="I276" s="141"/>
      <c r="J276" s="196"/>
      <c r="K276" s="196"/>
      <c r="L276" s="247">
        <v>9783811829527</v>
      </c>
      <c r="M276" s="196"/>
      <c r="N276" s="196"/>
      <c r="O276" s="196" t="s">
        <v>11359</v>
      </c>
      <c r="P276" s="144"/>
      <c r="Q276" s="145"/>
      <c r="R276" s="203"/>
      <c r="S276" s="203"/>
      <c r="T276" s="151"/>
      <c r="U276" s="151"/>
      <c r="V276" s="151"/>
      <c r="W276" s="151"/>
      <c r="X276" s="152"/>
      <c r="Y276" s="152"/>
      <c r="Z276" s="148"/>
      <c r="AA276" s="153"/>
      <c r="AB276" s="153"/>
      <c r="AC276" s="246"/>
      <c r="AD276" s="153"/>
      <c r="AH276" s="147"/>
    </row>
    <row r="277" spans="1:34" s="146" customFormat="1" x14ac:dyDescent="0.25">
      <c r="A277" s="196"/>
      <c r="B277" s="196" t="s">
        <v>11410</v>
      </c>
      <c r="C277" s="196" t="s">
        <v>11421</v>
      </c>
      <c r="D277" s="196"/>
      <c r="E277" s="196"/>
      <c r="F277" s="196"/>
      <c r="G277" s="196"/>
      <c r="H277" s="196"/>
      <c r="I277" s="141"/>
      <c r="J277" s="196"/>
      <c r="K277" s="196"/>
      <c r="L277" s="247">
        <v>9783451302046</v>
      </c>
      <c r="M277" s="196"/>
      <c r="N277" s="196"/>
      <c r="O277" s="196" t="s">
        <v>11360</v>
      </c>
      <c r="P277" s="144"/>
      <c r="Q277" s="145"/>
      <c r="R277" s="203"/>
      <c r="S277" s="203"/>
      <c r="T277" s="151"/>
      <c r="U277" s="151"/>
      <c r="V277" s="151"/>
      <c r="W277" s="151"/>
      <c r="X277" s="152"/>
      <c r="Y277" s="152"/>
      <c r="Z277" s="148"/>
      <c r="AA277" s="153"/>
      <c r="AB277" s="153"/>
      <c r="AC277" s="246"/>
      <c r="AD277" s="153"/>
      <c r="AH277" s="147"/>
    </row>
    <row r="278" spans="1:34" s="146" customFormat="1" x14ac:dyDescent="0.25">
      <c r="A278" s="196"/>
      <c r="B278" s="196" t="s">
        <v>11411</v>
      </c>
      <c r="C278" s="196" t="s">
        <v>11422</v>
      </c>
      <c r="D278" s="196"/>
      <c r="E278" s="196"/>
      <c r="F278" s="196"/>
      <c r="G278" s="196"/>
      <c r="H278" s="196"/>
      <c r="I278" s="141"/>
      <c r="J278" s="196"/>
      <c r="K278" s="196"/>
      <c r="L278" s="247">
        <v>9783548610085</v>
      </c>
      <c r="M278" s="196"/>
      <c r="N278" s="196"/>
      <c r="O278" s="196" t="s">
        <v>11361</v>
      </c>
      <c r="P278" s="144"/>
      <c r="Q278" s="145"/>
      <c r="R278" s="203"/>
      <c r="S278" s="203"/>
      <c r="T278" s="151"/>
      <c r="U278" s="151"/>
      <c r="V278" s="151"/>
      <c r="W278" s="151"/>
      <c r="X278" s="152"/>
      <c r="Y278" s="152"/>
      <c r="Z278" s="148"/>
      <c r="AA278" s="153"/>
      <c r="AB278" s="153"/>
      <c r="AC278" s="246"/>
      <c r="AD278" s="153"/>
      <c r="AH278" s="147"/>
    </row>
    <row r="279" spans="1:34" s="146" customFormat="1" x14ac:dyDescent="0.25">
      <c r="A279" s="196"/>
      <c r="B279" s="196" t="s">
        <v>11412</v>
      </c>
      <c r="C279" s="196" t="s">
        <v>11423</v>
      </c>
      <c r="D279" s="196"/>
      <c r="E279" s="196"/>
      <c r="F279" s="196"/>
      <c r="G279" s="196"/>
      <c r="H279" s="196"/>
      <c r="I279" s="141"/>
      <c r="J279" s="196"/>
      <c r="K279" s="196"/>
      <c r="L279" s="247">
        <v>9783802599910</v>
      </c>
      <c r="M279" s="196"/>
      <c r="N279" s="196"/>
      <c r="O279" s="196" t="s">
        <v>11362</v>
      </c>
      <c r="P279" s="144"/>
      <c r="Q279" s="145"/>
      <c r="R279" s="203"/>
      <c r="S279" s="203"/>
      <c r="T279" s="151"/>
      <c r="U279" s="151"/>
      <c r="V279" s="151"/>
      <c r="W279" s="151"/>
      <c r="X279" s="152"/>
      <c r="Y279" s="152"/>
      <c r="Z279" s="148"/>
      <c r="AA279" s="153"/>
      <c r="AB279" s="153"/>
      <c r="AC279" s="246"/>
      <c r="AD279" s="153"/>
      <c r="AH279" s="147"/>
    </row>
    <row r="280" spans="1:34" s="146" customFormat="1" x14ac:dyDescent="0.25">
      <c r="A280" s="196"/>
      <c r="B280" s="196" t="s">
        <v>11413</v>
      </c>
      <c r="C280" s="196" t="s">
        <v>11424</v>
      </c>
      <c r="D280" s="196"/>
      <c r="E280" s="196"/>
      <c r="F280" s="196"/>
      <c r="G280" s="196"/>
      <c r="H280" s="196"/>
      <c r="I280" s="141"/>
      <c r="J280" s="196"/>
      <c r="K280" s="196"/>
      <c r="L280" s="247">
        <v>9783453189126</v>
      </c>
      <c r="M280" s="196"/>
      <c r="N280" s="196"/>
      <c r="O280" s="196" t="s">
        <v>11363</v>
      </c>
      <c r="P280" s="144"/>
      <c r="Q280" s="145"/>
      <c r="R280" s="203"/>
      <c r="S280" s="203"/>
      <c r="T280" s="151"/>
      <c r="U280" s="151"/>
      <c r="V280" s="151"/>
      <c r="W280" s="151"/>
      <c r="X280" s="152"/>
      <c r="Y280" s="152"/>
      <c r="Z280" s="148"/>
      <c r="AA280" s="153"/>
      <c r="AB280" s="153"/>
      <c r="AC280" s="246"/>
      <c r="AD280" s="153"/>
      <c r="AH280" s="147"/>
    </row>
    <row r="281" spans="1:34" s="146" customFormat="1" x14ac:dyDescent="0.25">
      <c r="A281" s="196"/>
      <c r="B281" s="196" t="s">
        <v>11414</v>
      </c>
      <c r="C281" s="196" t="s">
        <v>11425</v>
      </c>
      <c r="D281" s="196"/>
      <c r="E281" s="196"/>
      <c r="F281" s="196"/>
      <c r="G281" s="196"/>
      <c r="H281" s="196"/>
      <c r="I281" s="141"/>
      <c r="J281" s="196"/>
      <c r="K281" s="196"/>
      <c r="L281" s="247">
        <v>9783150087039</v>
      </c>
      <c r="M281" s="196"/>
      <c r="N281" s="196"/>
      <c r="O281" s="196" t="s">
        <v>11364</v>
      </c>
      <c r="P281" s="144"/>
      <c r="Q281" s="145"/>
      <c r="R281" s="203"/>
      <c r="S281" s="203"/>
      <c r="T281" s="151"/>
      <c r="U281" s="151"/>
      <c r="V281" s="151"/>
      <c r="W281" s="151"/>
      <c r="X281" s="152"/>
      <c r="Y281" s="152"/>
      <c r="Z281" s="148"/>
      <c r="AA281" s="153"/>
      <c r="AB281" s="153"/>
      <c r="AC281" s="246"/>
      <c r="AD281" s="153"/>
      <c r="AH281" s="147"/>
    </row>
    <row r="282" spans="1:34" s="146" customFormat="1" x14ac:dyDescent="0.25">
      <c r="A282" s="196"/>
      <c r="B282" s="196" t="s">
        <v>11415</v>
      </c>
      <c r="C282" s="196"/>
      <c r="D282" s="196"/>
      <c r="E282" s="196"/>
      <c r="F282" s="196"/>
      <c r="G282" s="196"/>
      <c r="H282" s="196"/>
      <c r="I282" s="141"/>
      <c r="J282" s="196"/>
      <c r="K282" s="196"/>
      <c r="L282" s="247">
        <v>9783499613227</v>
      </c>
      <c r="M282" s="196"/>
      <c r="N282" s="196"/>
      <c r="O282" s="196" t="s">
        <v>11365</v>
      </c>
      <c r="P282" s="144"/>
      <c r="Q282" s="145"/>
      <c r="R282" s="203"/>
      <c r="S282" s="203"/>
      <c r="T282" s="151"/>
      <c r="U282" s="151"/>
      <c r="V282" s="151"/>
      <c r="W282" s="151"/>
      <c r="X282" s="152"/>
      <c r="Y282" s="152"/>
      <c r="Z282" s="148"/>
      <c r="AA282" s="153"/>
      <c r="AB282" s="153"/>
      <c r="AC282" s="246"/>
      <c r="AD282" s="153"/>
      <c r="AH282" s="147"/>
    </row>
    <row r="283" spans="1:34" s="146" customFormat="1" x14ac:dyDescent="0.25">
      <c r="A283" s="196"/>
      <c r="B283" s="196" t="s">
        <v>11381</v>
      </c>
      <c r="C283" s="196" t="s">
        <v>11374</v>
      </c>
      <c r="D283" s="196"/>
      <c r="E283" s="196"/>
      <c r="F283" s="196"/>
      <c r="G283" s="196"/>
      <c r="H283" s="196"/>
      <c r="I283" s="141"/>
      <c r="J283" s="196"/>
      <c r="K283" s="196"/>
      <c r="L283" s="247">
        <v>9783453048522</v>
      </c>
      <c r="M283" s="196"/>
      <c r="N283" s="196"/>
      <c r="O283" s="196" t="s">
        <v>11366</v>
      </c>
      <c r="P283" s="144"/>
      <c r="Q283" s="145"/>
      <c r="R283" s="203"/>
      <c r="S283" s="203"/>
      <c r="T283" s="151"/>
      <c r="U283" s="151"/>
      <c r="V283" s="151"/>
      <c r="W283" s="151"/>
      <c r="X283" s="152"/>
      <c r="Y283" s="152"/>
      <c r="Z283" s="148"/>
      <c r="AA283" s="153"/>
      <c r="AB283" s="153"/>
      <c r="AC283" s="246"/>
      <c r="AD283" s="153"/>
      <c r="AH283" s="147"/>
    </row>
    <row r="284" spans="1:34" s="146" customFormat="1" x14ac:dyDescent="0.25">
      <c r="A284" s="196"/>
      <c r="B284" s="196" t="s">
        <v>11382</v>
      </c>
      <c r="C284" s="196" t="s">
        <v>11375</v>
      </c>
      <c r="D284" s="196"/>
      <c r="E284" s="196"/>
      <c r="F284" s="196"/>
      <c r="G284" s="196"/>
      <c r="H284" s="196"/>
      <c r="I284" s="141"/>
      <c r="J284" s="196"/>
      <c r="K284" s="196"/>
      <c r="L284" s="247">
        <v>9783505119729</v>
      </c>
      <c r="M284" s="196"/>
      <c r="N284" s="196"/>
      <c r="O284" s="196" t="s">
        <v>11367</v>
      </c>
      <c r="P284" s="144"/>
      <c r="Q284" s="145"/>
      <c r="R284" s="203"/>
      <c r="S284" s="203"/>
      <c r="T284" s="151"/>
      <c r="U284" s="151"/>
      <c r="V284" s="151"/>
      <c r="W284" s="151"/>
      <c r="X284" s="152"/>
      <c r="Y284" s="152"/>
      <c r="Z284" s="148"/>
      <c r="AA284" s="153"/>
      <c r="AB284" s="153"/>
      <c r="AC284" s="246"/>
      <c r="AD284" s="153"/>
      <c r="AH284" s="147"/>
    </row>
    <row r="285" spans="1:34" s="146" customFormat="1" x14ac:dyDescent="0.25">
      <c r="A285" s="196"/>
      <c r="B285" s="196" t="s">
        <v>11383</v>
      </c>
      <c r="C285" s="196" t="s">
        <v>11376</v>
      </c>
      <c r="D285" s="196"/>
      <c r="E285" s="196"/>
      <c r="F285" s="196"/>
      <c r="G285" s="196"/>
      <c r="H285" s="196"/>
      <c r="I285" s="141"/>
      <c r="J285" s="196"/>
      <c r="K285" s="196"/>
      <c r="L285" s="247">
        <v>9783442735280</v>
      </c>
      <c r="M285" s="196"/>
      <c r="N285" s="196"/>
      <c r="O285" s="196" t="s">
        <v>11368</v>
      </c>
      <c r="P285" s="144"/>
      <c r="Q285" s="145"/>
      <c r="R285" s="203"/>
      <c r="S285" s="203"/>
      <c r="T285" s="151"/>
      <c r="U285" s="151"/>
      <c r="V285" s="151"/>
      <c r="W285" s="151"/>
      <c r="X285" s="152"/>
      <c r="Y285" s="152"/>
      <c r="Z285" s="148"/>
      <c r="AA285" s="153"/>
      <c r="AB285" s="153"/>
      <c r="AC285" s="246"/>
      <c r="AD285" s="153"/>
      <c r="AH285" s="147"/>
    </row>
    <row r="286" spans="1:34" s="146" customFormat="1" x14ac:dyDescent="0.25">
      <c r="A286" s="196"/>
      <c r="B286" s="196" t="s">
        <v>11384</v>
      </c>
      <c r="C286" s="196" t="s">
        <v>11377</v>
      </c>
      <c r="D286" s="196"/>
      <c r="E286" s="196"/>
      <c r="F286" s="196"/>
      <c r="G286" s="196"/>
      <c r="H286" s="196"/>
      <c r="I286" s="141"/>
      <c r="J286" s="196"/>
      <c r="K286" s="196"/>
      <c r="L286" s="247">
        <v>9783404166305</v>
      </c>
      <c r="M286" s="196"/>
      <c r="N286" s="196"/>
      <c r="O286" s="196" t="s">
        <v>11369</v>
      </c>
      <c r="P286" s="144"/>
      <c r="Q286" s="145"/>
      <c r="R286" s="203"/>
      <c r="S286" s="203"/>
      <c r="T286" s="151"/>
      <c r="U286" s="151"/>
      <c r="V286" s="151"/>
      <c r="W286" s="151"/>
      <c r="X286" s="152"/>
      <c r="Y286" s="152"/>
      <c r="Z286" s="148"/>
      <c r="AA286" s="153"/>
      <c r="AB286" s="153"/>
      <c r="AC286" s="246"/>
      <c r="AD286" s="153"/>
      <c r="AH286" s="147"/>
    </row>
    <row r="287" spans="1:34" s="146" customFormat="1" x14ac:dyDescent="0.25">
      <c r="A287" s="196"/>
      <c r="B287" s="196" t="s">
        <v>11385</v>
      </c>
      <c r="C287" s="196" t="s">
        <v>11378</v>
      </c>
      <c r="D287" s="196"/>
      <c r="E287" s="196"/>
      <c r="F287" s="196"/>
      <c r="G287" s="196"/>
      <c r="H287" s="196"/>
      <c r="I287" s="141"/>
      <c r="J287" s="196"/>
      <c r="K287" s="196"/>
      <c r="L287" s="247">
        <v>9783442743988</v>
      </c>
      <c r="M287" s="196"/>
      <c r="N287" s="196"/>
      <c r="O287" s="196" t="s">
        <v>11370</v>
      </c>
      <c r="P287" s="144"/>
      <c r="Q287" s="145"/>
      <c r="R287" s="203"/>
      <c r="S287" s="203"/>
      <c r="T287" s="151"/>
      <c r="U287" s="151"/>
      <c r="V287" s="151"/>
      <c r="W287" s="151"/>
      <c r="X287" s="152"/>
      <c r="Y287" s="152"/>
      <c r="Z287" s="148"/>
      <c r="AA287" s="153"/>
      <c r="AB287" s="153"/>
      <c r="AC287" s="246"/>
      <c r="AD287" s="153"/>
      <c r="AH287" s="147"/>
    </row>
    <row r="288" spans="1:34" s="146" customFormat="1" x14ac:dyDescent="0.25">
      <c r="A288" s="196"/>
      <c r="B288" s="196" t="s">
        <v>11386</v>
      </c>
      <c r="C288" s="196" t="s">
        <v>11379</v>
      </c>
      <c r="D288" s="196"/>
      <c r="E288" s="196"/>
      <c r="F288" s="196"/>
      <c r="G288" s="196"/>
      <c r="H288" s="196"/>
      <c r="I288" s="141"/>
      <c r="J288" s="196"/>
      <c r="K288" s="196"/>
      <c r="L288" s="247">
        <v>9783551375797</v>
      </c>
      <c r="M288" s="196"/>
      <c r="N288" s="196"/>
      <c r="O288" s="196" t="s">
        <v>11371</v>
      </c>
      <c r="P288" s="144"/>
      <c r="Q288" s="145"/>
      <c r="R288" s="203"/>
      <c r="S288" s="203"/>
      <c r="T288" s="151"/>
      <c r="U288" s="151"/>
      <c r="V288" s="151"/>
      <c r="W288" s="151"/>
      <c r="X288" s="152"/>
      <c r="Y288" s="152"/>
      <c r="Z288" s="148"/>
      <c r="AA288" s="153"/>
      <c r="AB288" s="153"/>
      <c r="AC288" s="246"/>
      <c r="AD288" s="153"/>
      <c r="AH288" s="147"/>
    </row>
    <row r="289" spans="1:38" s="146" customFormat="1" x14ac:dyDescent="0.25">
      <c r="A289" s="196"/>
      <c r="B289" s="196" t="s">
        <v>11387</v>
      </c>
      <c r="C289" s="196" t="s">
        <v>11380</v>
      </c>
      <c r="D289" s="196"/>
      <c r="E289" s="196"/>
      <c r="F289" s="196"/>
      <c r="G289" s="196"/>
      <c r="H289" s="196"/>
      <c r="I289" s="141"/>
      <c r="J289" s="196"/>
      <c r="K289" s="196"/>
      <c r="L289" s="247">
        <v>9783517064666</v>
      </c>
      <c r="M289" s="196"/>
      <c r="N289" s="196"/>
      <c r="O289" s="196" t="s">
        <v>11372</v>
      </c>
      <c r="P289" s="144"/>
      <c r="Q289" s="145"/>
      <c r="R289" s="203"/>
      <c r="S289" s="203"/>
      <c r="T289" s="151"/>
      <c r="U289" s="151"/>
      <c r="V289" s="151"/>
      <c r="W289" s="151"/>
      <c r="X289" s="152"/>
      <c r="Y289" s="152"/>
      <c r="Z289" s="148"/>
      <c r="AA289" s="153"/>
      <c r="AB289" s="153"/>
      <c r="AC289" s="246"/>
      <c r="AD289" s="153"/>
      <c r="AH289" s="147"/>
    </row>
    <row r="290" spans="1:38" s="146" customFormat="1" ht="14.25" customHeight="1" x14ac:dyDescent="0.25">
      <c r="A290" s="196">
        <v>2215</v>
      </c>
      <c r="B290" s="196" t="s">
        <v>1874</v>
      </c>
      <c r="C290" s="196" t="s">
        <v>1875</v>
      </c>
      <c r="D290" s="196" t="s">
        <v>1876</v>
      </c>
      <c r="E290" s="196" t="s">
        <v>1877</v>
      </c>
      <c r="F290" s="196">
        <v>2001</v>
      </c>
      <c r="G290" s="196"/>
      <c r="H290" s="196" t="s">
        <v>1878</v>
      </c>
      <c r="I290" s="141" t="s">
        <v>1879</v>
      </c>
      <c r="J290" s="142" t="s">
        <v>1880</v>
      </c>
      <c r="K290" s="196" t="s">
        <v>1881</v>
      </c>
      <c r="L290" s="141" t="s">
        <v>1882</v>
      </c>
      <c r="M290" s="196">
        <v>448</v>
      </c>
      <c r="N290" s="196"/>
      <c r="O290" s="196" t="s">
        <v>1883</v>
      </c>
      <c r="P290" s="144">
        <v>384</v>
      </c>
      <c r="Q290" s="145">
        <f t="shared" ref="Q290:Q297" si="19">SUM(T290:X290)</f>
        <v>1.7175</v>
      </c>
      <c r="R290" s="203">
        <v>0.25</v>
      </c>
      <c r="S290" s="203"/>
      <c r="T290" s="151"/>
      <c r="U290" s="151">
        <v>1.2</v>
      </c>
      <c r="V290" s="151">
        <v>0.25</v>
      </c>
      <c r="W290" s="151">
        <f>IF(R290&gt;T290,R290)</f>
        <v>0.25</v>
      </c>
      <c r="X290" s="152">
        <f>(T290+W290)/100*7</f>
        <v>1.7500000000000002E-2</v>
      </c>
      <c r="Y290" s="152"/>
      <c r="Z290" s="148"/>
      <c r="AA290" s="153"/>
      <c r="AB290" s="153"/>
      <c r="AC290" s="153"/>
      <c r="AD290" s="153"/>
      <c r="AH290" s="147"/>
      <c r="AI290" s="146" t="s">
        <v>51</v>
      </c>
      <c r="AJ290" s="146" t="s">
        <v>51</v>
      </c>
      <c r="AK290" s="146" t="s">
        <v>51</v>
      </c>
      <c r="AL290" s="203"/>
    </row>
    <row r="291" spans="1:38" s="146" customFormat="1" ht="14.25" customHeight="1" x14ac:dyDescent="0.25">
      <c r="A291" s="196">
        <v>775</v>
      </c>
      <c r="B291" s="196" t="s">
        <v>1884</v>
      </c>
      <c r="C291" s="196" t="s">
        <v>1885</v>
      </c>
      <c r="D291" s="196" t="s">
        <v>1886</v>
      </c>
      <c r="E291" s="196" t="s">
        <v>1887</v>
      </c>
      <c r="F291" s="196">
        <v>2005</v>
      </c>
      <c r="G291" s="196"/>
      <c r="H291" s="196" t="s">
        <v>1878</v>
      </c>
      <c r="I291" s="141" t="s">
        <v>1879</v>
      </c>
      <c r="J291" s="142" t="s">
        <v>1888</v>
      </c>
      <c r="K291" s="196" t="s">
        <v>1881</v>
      </c>
      <c r="L291" s="141" t="s">
        <v>1889</v>
      </c>
      <c r="M291" s="196">
        <v>272</v>
      </c>
      <c r="N291" s="196"/>
      <c r="O291" s="196" t="s">
        <v>1890</v>
      </c>
      <c r="P291" s="144">
        <v>250</v>
      </c>
      <c r="Q291" s="145">
        <f t="shared" si="19"/>
        <v>1.9742999999999999</v>
      </c>
      <c r="R291" s="203">
        <v>0.49</v>
      </c>
      <c r="S291" s="203"/>
      <c r="T291" s="151"/>
      <c r="U291" s="151">
        <v>1.2</v>
      </c>
      <c r="V291" s="151">
        <v>0.25</v>
      </c>
      <c r="W291" s="151">
        <f t="shared" ref="W291:W297" si="20">IF(R291&gt;T291,R291)</f>
        <v>0.49</v>
      </c>
      <c r="X291" s="152">
        <f t="shared" ref="X291:X297" si="21">(T291+W291)/100*7</f>
        <v>3.4299999999999997E-2</v>
      </c>
      <c r="Y291" s="152"/>
      <c r="Z291" s="148"/>
      <c r="AA291" s="153"/>
      <c r="AB291" s="153"/>
      <c r="AC291" s="153"/>
      <c r="AD291" s="153"/>
      <c r="AH291" s="147"/>
      <c r="AI291" s="146" t="s">
        <v>51</v>
      </c>
      <c r="AJ291" s="146" t="s">
        <v>51</v>
      </c>
      <c r="AK291" s="146" t="s">
        <v>51</v>
      </c>
      <c r="AL291" s="203"/>
    </row>
    <row r="292" spans="1:38" s="146" customFormat="1" x14ac:dyDescent="0.25">
      <c r="A292" s="196">
        <v>764</v>
      </c>
      <c r="B292" s="196" t="s">
        <v>1901</v>
      </c>
      <c r="C292" s="196" t="s">
        <v>1897</v>
      </c>
      <c r="D292" s="196" t="s">
        <v>1898</v>
      </c>
      <c r="E292" s="196" t="s">
        <v>1899</v>
      </c>
      <c r="F292" s="196">
        <v>1998</v>
      </c>
      <c r="G292" s="196"/>
      <c r="H292" s="196" t="s">
        <v>1878</v>
      </c>
      <c r="I292" s="141" t="s">
        <v>1879</v>
      </c>
      <c r="J292" s="196" t="s">
        <v>1900</v>
      </c>
      <c r="K292" s="196" t="s">
        <v>1881</v>
      </c>
      <c r="L292" s="141" t="s">
        <v>1902</v>
      </c>
      <c r="M292" s="196">
        <v>120</v>
      </c>
      <c r="N292" s="196"/>
      <c r="O292" s="196" t="s">
        <v>1903</v>
      </c>
      <c r="P292" s="144">
        <v>196</v>
      </c>
      <c r="Q292" s="145">
        <f t="shared" si="19"/>
        <v>2.5093000000000001</v>
      </c>
      <c r="R292" s="203">
        <v>0.99</v>
      </c>
      <c r="S292" s="203"/>
      <c r="T292" s="151"/>
      <c r="U292" s="151">
        <v>1.2</v>
      </c>
      <c r="V292" s="151">
        <v>0.25</v>
      </c>
      <c r="W292" s="151">
        <f t="shared" si="20"/>
        <v>0.99</v>
      </c>
      <c r="X292" s="152">
        <f t="shared" si="21"/>
        <v>6.93E-2</v>
      </c>
      <c r="Y292" s="152"/>
      <c r="Z292" s="148"/>
      <c r="AA292" s="153"/>
      <c r="AB292" s="153"/>
      <c r="AC292" s="153"/>
      <c r="AD292" s="153"/>
      <c r="AH292" s="147"/>
      <c r="AI292" s="146" t="s">
        <v>51</v>
      </c>
      <c r="AJ292" s="146" t="s">
        <v>51</v>
      </c>
      <c r="AK292" s="146" t="s">
        <v>51</v>
      </c>
      <c r="AL292" s="203"/>
    </row>
    <row r="293" spans="1:38" s="146" customFormat="1" x14ac:dyDescent="0.25">
      <c r="A293" s="196">
        <v>632</v>
      </c>
      <c r="B293" s="196" t="s">
        <v>1904</v>
      </c>
      <c r="C293" s="196" t="s">
        <v>1905</v>
      </c>
      <c r="D293" s="196" t="s">
        <v>1906</v>
      </c>
      <c r="E293" s="196" t="s">
        <v>1899</v>
      </c>
      <c r="F293" s="196">
        <v>1998</v>
      </c>
      <c r="G293" s="196"/>
      <c r="H293" s="196" t="s">
        <v>1878</v>
      </c>
      <c r="I293" s="141" t="s">
        <v>1879</v>
      </c>
      <c r="J293" s="196" t="s">
        <v>1907</v>
      </c>
      <c r="K293" s="196" t="s">
        <v>1881</v>
      </c>
      <c r="L293" s="141" t="s">
        <v>1908</v>
      </c>
      <c r="M293" s="196">
        <v>576</v>
      </c>
      <c r="N293" s="196"/>
      <c r="O293" s="196" t="s">
        <v>1909</v>
      </c>
      <c r="P293" s="144">
        <v>580</v>
      </c>
      <c r="Q293" s="145">
        <f t="shared" si="19"/>
        <v>2.2175000000000002</v>
      </c>
      <c r="R293" s="203">
        <v>0.25</v>
      </c>
      <c r="S293" s="203"/>
      <c r="T293" s="151"/>
      <c r="U293" s="151">
        <v>1.7</v>
      </c>
      <c r="V293" s="151">
        <v>0.25</v>
      </c>
      <c r="W293" s="151">
        <f t="shared" si="20"/>
        <v>0.25</v>
      </c>
      <c r="X293" s="152">
        <f t="shared" si="21"/>
        <v>1.7500000000000002E-2</v>
      </c>
      <c r="Y293" s="152"/>
      <c r="Z293" s="148"/>
      <c r="AA293" s="153"/>
      <c r="AB293" s="153"/>
      <c r="AC293" s="153"/>
      <c r="AD293" s="153"/>
      <c r="AH293" s="147"/>
      <c r="AI293" s="146" t="s">
        <v>51</v>
      </c>
      <c r="AJ293" s="146" t="s">
        <v>51</v>
      </c>
      <c r="AK293" s="146" t="s">
        <v>51</v>
      </c>
      <c r="AL293" s="203"/>
    </row>
    <row r="294" spans="1:38" s="146" customFormat="1" ht="14.25" customHeight="1" x14ac:dyDescent="0.25">
      <c r="A294" s="196">
        <v>2547</v>
      </c>
      <c r="B294" s="196" t="s">
        <v>1910</v>
      </c>
      <c r="C294" s="196" t="s">
        <v>1911</v>
      </c>
      <c r="D294" s="196" t="s">
        <v>1912</v>
      </c>
      <c r="E294" s="196" t="s">
        <v>1913</v>
      </c>
      <c r="F294" s="196">
        <v>2007</v>
      </c>
      <c r="G294" s="196"/>
      <c r="H294" s="196" t="s">
        <v>1878</v>
      </c>
      <c r="I294" s="141" t="s">
        <v>1914</v>
      </c>
      <c r="J294" s="142" t="s">
        <v>1915</v>
      </c>
      <c r="K294" s="196" t="s">
        <v>1881</v>
      </c>
      <c r="L294" s="141" t="s">
        <v>1916</v>
      </c>
      <c r="M294" s="196">
        <v>320</v>
      </c>
      <c r="N294" s="196"/>
      <c r="O294" s="196" t="s">
        <v>1917</v>
      </c>
      <c r="P294" s="144">
        <v>279</v>
      </c>
      <c r="Q294" s="145">
        <f t="shared" si="19"/>
        <v>1.9742999999999999</v>
      </c>
      <c r="R294" s="203">
        <v>0.49</v>
      </c>
      <c r="S294" s="203"/>
      <c r="T294" s="151"/>
      <c r="U294" s="151">
        <v>1.2</v>
      </c>
      <c r="V294" s="151">
        <v>0.25</v>
      </c>
      <c r="W294" s="151">
        <f t="shared" si="20"/>
        <v>0.49</v>
      </c>
      <c r="X294" s="152">
        <f t="shared" si="21"/>
        <v>3.4299999999999997E-2</v>
      </c>
      <c r="Y294" s="152"/>
      <c r="Z294" s="148"/>
      <c r="AA294" s="153"/>
      <c r="AB294" s="153"/>
      <c r="AC294" s="153"/>
      <c r="AD294" s="153"/>
      <c r="AH294" s="147"/>
      <c r="AI294" s="146" t="s">
        <v>51</v>
      </c>
      <c r="AJ294" s="146" t="s">
        <v>51</v>
      </c>
      <c r="AK294" s="146" t="s">
        <v>51</v>
      </c>
      <c r="AL294" s="203"/>
    </row>
    <row r="295" spans="1:38" s="146" customFormat="1" ht="14.25" customHeight="1" x14ac:dyDescent="0.25">
      <c r="A295" s="196">
        <v>2523</v>
      </c>
      <c r="B295" s="196" t="s">
        <v>1918</v>
      </c>
      <c r="C295" s="196" t="s">
        <v>1919</v>
      </c>
      <c r="D295" s="196" t="s">
        <v>1920</v>
      </c>
      <c r="E295" s="196" t="s">
        <v>1921</v>
      </c>
      <c r="F295" s="196">
        <v>2015</v>
      </c>
      <c r="G295" s="196"/>
      <c r="H295" s="196" t="s">
        <v>1878</v>
      </c>
      <c r="I295" s="141" t="s">
        <v>1879</v>
      </c>
      <c r="J295" s="52" t="s">
        <v>1922</v>
      </c>
      <c r="K295" s="196" t="s">
        <v>1881</v>
      </c>
      <c r="L295" s="141" t="s">
        <v>1923</v>
      </c>
      <c r="M295" s="196">
        <v>352</v>
      </c>
      <c r="N295" s="196"/>
      <c r="O295" s="196" t="s">
        <v>1924</v>
      </c>
      <c r="P295" s="144">
        <v>361</v>
      </c>
      <c r="Q295" s="145">
        <f t="shared" si="19"/>
        <v>1.9742999999999999</v>
      </c>
      <c r="R295" s="203">
        <v>0.49</v>
      </c>
      <c r="S295" s="203"/>
      <c r="T295" s="151"/>
      <c r="U295" s="151">
        <v>1.2</v>
      </c>
      <c r="V295" s="151">
        <v>0.25</v>
      </c>
      <c r="W295" s="151">
        <f t="shared" si="20"/>
        <v>0.49</v>
      </c>
      <c r="X295" s="152">
        <f t="shared" si="21"/>
        <v>3.4299999999999997E-2</v>
      </c>
      <c r="Y295" s="152"/>
      <c r="Z295" s="148"/>
      <c r="AA295" s="153"/>
      <c r="AB295" s="153"/>
      <c r="AC295" s="153"/>
      <c r="AD295" s="153"/>
      <c r="AH295" s="147"/>
      <c r="AI295" s="146" t="s">
        <v>51</v>
      </c>
      <c r="AJ295" s="146" t="s">
        <v>51</v>
      </c>
      <c r="AK295" s="146" t="s">
        <v>51</v>
      </c>
      <c r="AL295" s="203"/>
    </row>
    <row r="296" spans="1:38" s="146" customFormat="1" ht="12" customHeight="1" x14ac:dyDescent="0.25">
      <c r="A296" s="196">
        <v>2898</v>
      </c>
      <c r="B296" s="196"/>
      <c r="C296" s="196" t="s">
        <v>1926</v>
      </c>
      <c r="D296" s="196" t="s">
        <v>1927</v>
      </c>
      <c r="E296" s="196"/>
      <c r="F296" s="196">
        <v>2004</v>
      </c>
      <c r="G296" s="196"/>
      <c r="H296" s="196" t="s">
        <v>1928</v>
      </c>
      <c r="I296" s="141" t="s">
        <v>1929</v>
      </c>
      <c r="J296" s="142" t="s">
        <v>1930</v>
      </c>
      <c r="K296" s="196" t="s">
        <v>1881</v>
      </c>
      <c r="L296" s="141" t="s">
        <v>1925</v>
      </c>
      <c r="M296" s="196">
        <v>28</v>
      </c>
      <c r="N296" s="196"/>
      <c r="O296" s="196" t="s">
        <v>1931</v>
      </c>
      <c r="P296" s="144">
        <v>314</v>
      </c>
      <c r="Q296" s="145">
        <f t="shared" si="19"/>
        <v>1.9742999999999999</v>
      </c>
      <c r="R296" s="203">
        <v>0.49</v>
      </c>
      <c r="S296" s="203"/>
      <c r="T296" s="151"/>
      <c r="U296" s="151">
        <v>1.2</v>
      </c>
      <c r="V296" s="151">
        <v>0.25</v>
      </c>
      <c r="W296" s="151">
        <f t="shared" si="20"/>
        <v>0.49</v>
      </c>
      <c r="X296" s="152">
        <f t="shared" si="21"/>
        <v>3.4299999999999997E-2</v>
      </c>
      <c r="Y296" s="152"/>
      <c r="Z296" s="148"/>
      <c r="AA296" s="153"/>
      <c r="AB296" s="153"/>
      <c r="AC296" s="153"/>
      <c r="AD296" s="153"/>
      <c r="AH296" s="147"/>
      <c r="AI296" s="146" t="s">
        <v>51</v>
      </c>
      <c r="AJ296" s="146" t="s">
        <v>51</v>
      </c>
      <c r="AK296" s="146" t="s">
        <v>51</v>
      </c>
      <c r="AL296" s="203"/>
    </row>
    <row r="297" spans="1:38" s="146" customFormat="1" ht="15" customHeight="1" x14ac:dyDescent="0.25">
      <c r="A297" s="196">
        <v>2547</v>
      </c>
      <c r="B297" s="196" t="s">
        <v>1966</v>
      </c>
      <c r="C297" s="196" t="s">
        <v>1967</v>
      </c>
      <c r="D297" s="196" t="s">
        <v>1968</v>
      </c>
      <c r="E297" s="196"/>
      <c r="F297" s="196">
        <v>2007</v>
      </c>
      <c r="G297" s="196"/>
      <c r="H297" s="196" t="s">
        <v>1878</v>
      </c>
      <c r="I297" s="141" t="s">
        <v>1879</v>
      </c>
      <c r="J297" s="52" t="s">
        <v>1969</v>
      </c>
      <c r="K297" s="196" t="s">
        <v>1881</v>
      </c>
      <c r="L297" s="141" t="s">
        <v>1932</v>
      </c>
      <c r="M297" s="196">
        <v>366</v>
      </c>
      <c r="N297" s="196"/>
      <c r="O297" s="196" t="s">
        <v>1933</v>
      </c>
      <c r="P297" s="144">
        <v>279</v>
      </c>
      <c r="Q297" s="145">
        <f t="shared" si="19"/>
        <v>1.7175</v>
      </c>
      <c r="R297" s="203">
        <v>0.25</v>
      </c>
      <c r="S297" s="203"/>
      <c r="T297" s="151"/>
      <c r="U297" s="151">
        <v>1.2</v>
      </c>
      <c r="V297" s="151">
        <v>0.25</v>
      </c>
      <c r="W297" s="151">
        <f t="shared" si="20"/>
        <v>0.25</v>
      </c>
      <c r="X297" s="152">
        <f t="shared" si="21"/>
        <v>1.7500000000000002E-2</v>
      </c>
      <c r="Y297" s="152"/>
      <c r="Z297" s="148"/>
      <c r="AA297" s="153"/>
      <c r="AB297" s="153"/>
      <c r="AC297" s="153"/>
      <c r="AD297" s="153"/>
      <c r="AH297" s="147"/>
      <c r="AI297" s="146" t="s">
        <v>51</v>
      </c>
      <c r="AJ297" s="146" t="s">
        <v>51</v>
      </c>
      <c r="AK297" s="146" t="s">
        <v>51</v>
      </c>
      <c r="AL297" s="203"/>
    </row>
    <row r="298" spans="1:38" s="146" customFormat="1" x14ac:dyDescent="0.25">
      <c r="A298" s="196">
        <v>1386</v>
      </c>
      <c r="B298" s="196" t="s">
        <v>1971</v>
      </c>
      <c r="C298" s="196" t="s">
        <v>1972</v>
      </c>
      <c r="D298" s="196" t="s">
        <v>1973</v>
      </c>
      <c r="E298" s="196" t="s">
        <v>1974</v>
      </c>
      <c r="F298" s="196">
        <v>2010</v>
      </c>
      <c r="G298" s="196"/>
      <c r="H298" s="196" t="s">
        <v>1928</v>
      </c>
      <c r="I298" s="141" t="s">
        <v>1879</v>
      </c>
      <c r="J298" s="196" t="s">
        <v>1975</v>
      </c>
      <c r="K298" s="196" t="s">
        <v>1881</v>
      </c>
      <c r="L298" s="141" t="s">
        <v>1970</v>
      </c>
      <c r="M298" s="196">
        <v>306</v>
      </c>
      <c r="N298" s="196"/>
      <c r="O298" s="196" t="s">
        <v>1934</v>
      </c>
      <c r="P298" s="144">
        <v>515</v>
      </c>
      <c r="Q298" s="145">
        <f t="shared" ref="Q298:Q349" si="22">SUM(T298:X298)</f>
        <v>4.6143000000000001</v>
      </c>
      <c r="R298" s="203">
        <v>2.4900000000000002</v>
      </c>
      <c r="S298" s="203"/>
      <c r="T298" s="151"/>
      <c r="U298" s="151">
        <v>1.7</v>
      </c>
      <c r="V298" s="151">
        <v>0.25</v>
      </c>
      <c r="W298" s="151">
        <f t="shared" ref="W298:W349" si="23">IF(R298&gt;T298,R298,T298)</f>
        <v>2.4900000000000002</v>
      </c>
      <c r="X298" s="152">
        <f t="shared" ref="X298:X349" si="24">(T298+W298)/100*7</f>
        <v>0.17430000000000001</v>
      </c>
      <c r="Y298" s="152"/>
      <c r="Z298" s="148"/>
      <c r="AA298" s="153"/>
      <c r="AB298" s="153"/>
      <c r="AC298" s="153"/>
      <c r="AD298" s="153"/>
      <c r="AH298" s="147"/>
      <c r="AI298" s="146" t="s">
        <v>51</v>
      </c>
      <c r="AJ298" s="146" t="s">
        <v>51</v>
      </c>
      <c r="AK298" s="146" t="s">
        <v>51</v>
      </c>
      <c r="AL298" s="203"/>
    </row>
    <row r="299" spans="1:38" s="146" customFormat="1" x14ac:dyDescent="0.25">
      <c r="A299" s="196">
        <v>634</v>
      </c>
      <c r="B299" s="196" t="s">
        <v>1977</v>
      </c>
      <c r="C299" s="196" t="s">
        <v>1978</v>
      </c>
      <c r="D299" s="196" t="s">
        <v>1979</v>
      </c>
      <c r="E299" s="196"/>
      <c r="F299" s="196">
        <v>1999</v>
      </c>
      <c r="G299" s="196"/>
      <c r="H299" s="196" t="s">
        <v>1878</v>
      </c>
      <c r="I299" s="141" t="s">
        <v>1914</v>
      </c>
      <c r="J299" s="196" t="s">
        <v>1980</v>
      </c>
      <c r="K299" s="196" t="s">
        <v>1881</v>
      </c>
      <c r="L299" s="141" t="s">
        <v>1976</v>
      </c>
      <c r="M299" s="196">
        <v>256</v>
      </c>
      <c r="N299" s="196"/>
      <c r="O299" s="196" t="s">
        <v>1935</v>
      </c>
      <c r="P299" s="144">
        <v>214</v>
      </c>
      <c r="Q299" s="145">
        <f t="shared" si="22"/>
        <v>1.8673</v>
      </c>
      <c r="R299" s="203">
        <v>0.39</v>
      </c>
      <c r="S299" s="203"/>
      <c r="T299" s="151"/>
      <c r="U299" s="151">
        <v>1.2</v>
      </c>
      <c r="V299" s="151">
        <v>0.25</v>
      </c>
      <c r="W299" s="151">
        <f t="shared" si="23"/>
        <v>0.39</v>
      </c>
      <c r="X299" s="152">
        <f t="shared" si="24"/>
        <v>2.7300000000000001E-2</v>
      </c>
      <c r="Y299" s="152"/>
      <c r="Z299" s="148"/>
      <c r="AA299" s="153"/>
      <c r="AB299" s="153"/>
      <c r="AC299" s="153"/>
      <c r="AD299" s="153"/>
      <c r="AH299" s="147"/>
      <c r="AI299" s="146" t="s">
        <v>51</v>
      </c>
      <c r="AJ299" s="146" t="s">
        <v>51</v>
      </c>
      <c r="AK299" s="146" t="s">
        <v>51</v>
      </c>
      <c r="AL299" s="203"/>
    </row>
    <row r="300" spans="1:38" s="146" customFormat="1" ht="15" customHeight="1" x14ac:dyDescent="0.25">
      <c r="A300" s="196">
        <v>1231</v>
      </c>
      <c r="B300" s="196" t="s">
        <v>1982</v>
      </c>
      <c r="C300" s="196" t="s">
        <v>1983</v>
      </c>
      <c r="D300" s="196" t="s">
        <v>1920</v>
      </c>
      <c r="E300" s="196" t="s">
        <v>1984</v>
      </c>
      <c r="F300" s="196">
        <v>1997</v>
      </c>
      <c r="G300" s="196"/>
      <c r="H300" s="196" t="s">
        <v>1878</v>
      </c>
      <c r="I300" s="141" t="s">
        <v>1879</v>
      </c>
      <c r="J300" s="142" t="s">
        <v>1985</v>
      </c>
      <c r="K300" s="196" t="s">
        <v>1881</v>
      </c>
      <c r="L300" s="141" t="s">
        <v>1981</v>
      </c>
      <c r="M300" s="196">
        <v>256</v>
      </c>
      <c r="N300" s="196"/>
      <c r="O300" s="196" t="s">
        <v>1936</v>
      </c>
      <c r="P300" s="144">
        <v>182</v>
      </c>
      <c r="Q300" s="145">
        <f t="shared" si="22"/>
        <v>1.7175</v>
      </c>
      <c r="R300" s="203">
        <v>0.25</v>
      </c>
      <c r="S300" s="203"/>
      <c r="T300" s="151"/>
      <c r="U300" s="151">
        <v>1.2</v>
      </c>
      <c r="V300" s="151">
        <v>0.25</v>
      </c>
      <c r="W300" s="151">
        <f t="shared" si="23"/>
        <v>0.25</v>
      </c>
      <c r="X300" s="152">
        <f t="shared" si="24"/>
        <v>1.7500000000000002E-2</v>
      </c>
      <c r="Y300" s="152"/>
      <c r="Z300" s="148"/>
      <c r="AA300" s="153"/>
      <c r="AB300" s="153"/>
      <c r="AC300" s="153"/>
      <c r="AD300" s="153"/>
      <c r="AH300" s="147"/>
      <c r="AI300" s="146" t="s">
        <v>51</v>
      </c>
      <c r="AJ300" s="146" t="s">
        <v>51</v>
      </c>
      <c r="AK300" s="146" t="s">
        <v>51</v>
      </c>
      <c r="AL300" s="203"/>
    </row>
    <row r="301" spans="1:38" s="146" customFormat="1" x14ac:dyDescent="0.25">
      <c r="A301" s="196">
        <v>2851</v>
      </c>
      <c r="B301" s="196" t="s">
        <v>1996</v>
      </c>
      <c r="C301" s="196" t="s">
        <v>1997</v>
      </c>
      <c r="D301" s="196" t="s">
        <v>1998</v>
      </c>
      <c r="E301" s="196" t="s">
        <v>1913</v>
      </c>
      <c r="F301" s="196">
        <v>2007</v>
      </c>
      <c r="G301" s="196"/>
      <c r="H301" s="196" t="s">
        <v>1928</v>
      </c>
      <c r="I301" s="141" t="s">
        <v>1879</v>
      </c>
      <c r="J301" s="196" t="s">
        <v>1999</v>
      </c>
      <c r="K301" s="196" t="s">
        <v>1881</v>
      </c>
      <c r="L301" s="141" t="s">
        <v>2000</v>
      </c>
      <c r="M301" s="196">
        <v>194</v>
      </c>
      <c r="N301" s="196"/>
      <c r="O301" s="196" t="s">
        <v>1939</v>
      </c>
      <c r="P301" s="144">
        <v>346</v>
      </c>
      <c r="Q301" s="145">
        <f t="shared" si="22"/>
        <v>1.8673</v>
      </c>
      <c r="R301" s="203">
        <v>0.39</v>
      </c>
      <c r="S301" s="203"/>
      <c r="T301" s="151"/>
      <c r="U301" s="151">
        <v>1.2</v>
      </c>
      <c r="V301" s="151">
        <v>0.25</v>
      </c>
      <c r="W301" s="151">
        <f t="shared" si="23"/>
        <v>0.39</v>
      </c>
      <c r="X301" s="152">
        <f t="shared" si="24"/>
        <v>2.7300000000000001E-2</v>
      </c>
      <c r="Y301" s="152"/>
      <c r="Z301" s="148"/>
      <c r="AA301" s="153"/>
      <c r="AB301" s="153"/>
      <c r="AC301" s="153"/>
      <c r="AD301" s="153"/>
      <c r="AH301" s="147"/>
      <c r="AI301" s="146" t="s">
        <v>51</v>
      </c>
      <c r="AJ301" s="146" t="s">
        <v>51</v>
      </c>
      <c r="AK301" s="146" t="s">
        <v>51</v>
      </c>
      <c r="AL301" s="203"/>
    </row>
    <row r="302" spans="1:38" s="146" customFormat="1" ht="14.25" customHeight="1" x14ac:dyDescent="0.25">
      <c r="A302" s="196">
        <v>721</v>
      </c>
      <c r="B302" s="196" t="s">
        <v>2001</v>
      </c>
      <c r="C302" s="196" t="s">
        <v>2002</v>
      </c>
      <c r="D302" s="196" t="s">
        <v>2003</v>
      </c>
      <c r="E302" s="196"/>
      <c r="F302" s="196">
        <v>2007</v>
      </c>
      <c r="G302" s="196"/>
      <c r="H302" s="196" t="s">
        <v>1878</v>
      </c>
      <c r="I302" s="141" t="s">
        <v>1879</v>
      </c>
      <c r="J302" s="142" t="s">
        <v>2004</v>
      </c>
      <c r="K302" s="196" t="s">
        <v>1881</v>
      </c>
      <c r="L302" s="141" t="s">
        <v>2005</v>
      </c>
      <c r="M302" s="196">
        <v>194</v>
      </c>
      <c r="N302" s="196"/>
      <c r="O302" s="196" t="s">
        <v>1940</v>
      </c>
      <c r="P302" s="144">
        <v>328</v>
      </c>
      <c r="Q302" s="145">
        <f t="shared" si="22"/>
        <v>2.5093000000000001</v>
      </c>
      <c r="R302" s="203">
        <v>0.99</v>
      </c>
      <c r="S302" s="203"/>
      <c r="T302" s="151"/>
      <c r="U302" s="151">
        <v>1.2</v>
      </c>
      <c r="V302" s="151">
        <v>0.25</v>
      </c>
      <c r="W302" s="151">
        <f t="shared" si="23"/>
        <v>0.99</v>
      </c>
      <c r="X302" s="152">
        <f t="shared" si="24"/>
        <v>6.93E-2</v>
      </c>
      <c r="Y302" s="152"/>
      <c r="Z302" s="148"/>
      <c r="AA302" s="153"/>
      <c r="AB302" s="153"/>
      <c r="AC302" s="153"/>
      <c r="AD302" s="153"/>
      <c r="AH302" s="147"/>
      <c r="AI302" s="146" t="s">
        <v>51</v>
      </c>
      <c r="AJ302" s="146" t="s">
        <v>51</v>
      </c>
      <c r="AK302" s="146" t="s">
        <v>51</v>
      </c>
      <c r="AL302" s="203"/>
    </row>
    <row r="303" spans="1:38" s="146" customFormat="1" x14ac:dyDescent="0.25">
      <c r="A303" s="196">
        <v>153</v>
      </c>
      <c r="B303" s="196"/>
      <c r="C303" s="196" t="s">
        <v>2006</v>
      </c>
      <c r="D303" s="196" t="s">
        <v>2007</v>
      </c>
      <c r="E303" s="196"/>
      <c r="F303" s="196">
        <v>1990</v>
      </c>
      <c r="G303" s="196"/>
      <c r="H303" s="196" t="s">
        <v>2008</v>
      </c>
      <c r="I303" s="141" t="s">
        <v>1879</v>
      </c>
      <c r="J303" s="196" t="s">
        <v>2009</v>
      </c>
      <c r="K303" s="196" t="s">
        <v>1881</v>
      </c>
      <c r="L303" s="141" t="s">
        <v>2010</v>
      </c>
      <c r="M303" s="196">
        <v>424</v>
      </c>
      <c r="N303" s="196"/>
      <c r="O303" s="196" t="s">
        <v>1941</v>
      </c>
      <c r="P303" s="144">
        <v>164</v>
      </c>
      <c r="Q303" s="145">
        <f t="shared" si="22"/>
        <v>2.8303000000000003</v>
      </c>
      <c r="R303" s="203">
        <v>1.29</v>
      </c>
      <c r="S303" s="203"/>
      <c r="T303" s="151"/>
      <c r="U303" s="151">
        <v>1.2</v>
      </c>
      <c r="V303" s="151">
        <v>0.25</v>
      </c>
      <c r="W303" s="151">
        <f t="shared" si="23"/>
        <v>1.29</v>
      </c>
      <c r="X303" s="152">
        <f t="shared" si="24"/>
        <v>9.0300000000000005E-2</v>
      </c>
      <c r="Y303" s="152"/>
      <c r="Z303" s="148"/>
      <c r="AA303" s="153"/>
      <c r="AB303" s="153"/>
      <c r="AC303" s="153"/>
      <c r="AD303" s="153"/>
      <c r="AH303" s="147"/>
      <c r="AI303" s="146" t="s">
        <v>51</v>
      </c>
      <c r="AJ303" s="146" t="s">
        <v>51</v>
      </c>
      <c r="AK303" s="146" t="s">
        <v>51</v>
      </c>
      <c r="AL303" s="203"/>
    </row>
    <row r="304" spans="1:38" s="146" customFormat="1" x14ac:dyDescent="0.25">
      <c r="A304" s="196">
        <v>1806</v>
      </c>
      <c r="B304" s="196"/>
      <c r="C304" s="196" t="s">
        <v>2017</v>
      </c>
      <c r="D304" s="196" t="s">
        <v>2018</v>
      </c>
      <c r="E304" s="196" t="s">
        <v>2014</v>
      </c>
      <c r="F304" s="196"/>
      <c r="G304" s="196"/>
      <c r="H304" s="196" t="s">
        <v>1878</v>
      </c>
      <c r="I304" s="141" t="s">
        <v>1929</v>
      </c>
      <c r="J304" s="196" t="s">
        <v>2019</v>
      </c>
      <c r="K304" s="196" t="s">
        <v>1881</v>
      </c>
      <c r="L304" s="141" t="s">
        <v>2020</v>
      </c>
      <c r="M304" s="196">
        <v>320</v>
      </c>
      <c r="N304" s="196"/>
      <c r="O304" s="196" t="s">
        <v>1943</v>
      </c>
      <c r="P304" s="144">
        <v>586</v>
      </c>
      <c r="Q304" s="145">
        <f t="shared" si="22"/>
        <v>5.6843000000000004</v>
      </c>
      <c r="R304" s="203">
        <v>3.49</v>
      </c>
      <c r="S304" s="203"/>
      <c r="T304" s="151"/>
      <c r="U304" s="151">
        <v>1.7</v>
      </c>
      <c r="V304" s="151">
        <v>0.25</v>
      </c>
      <c r="W304" s="151">
        <f t="shared" si="23"/>
        <v>3.49</v>
      </c>
      <c r="X304" s="152">
        <f t="shared" si="24"/>
        <v>0.24430000000000002</v>
      </c>
      <c r="Y304" s="152"/>
      <c r="Z304" s="148"/>
      <c r="AA304" s="153"/>
      <c r="AB304" s="153"/>
      <c r="AC304" s="153"/>
      <c r="AD304" s="153"/>
      <c r="AH304" s="147"/>
      <c r="AI304" s="146" t="s">
        <v>51</v>
      </c>
      <c r="AJ304" s="146" t="s">
        <v>51</v>
      </c>
      <c r="AK304" s="146" t="s">
        <v>51</v>
      </c>
      <c r="AL304" s="203"/>
    </row>
    <row r="305" spans="1:38" s="146" customFormat="1" x14ac:dyDescent="0.25">
      <c r="A305" s="196">
        <v>972</v>
      </c>
      <c r="B305" s="196" t="s">
        <v>2021</v>
      </c>
      <c r="C305" s="196" t="s">
        <v>2022</v>
      </c>
      <c r="D305" s="196" t="s">
        <v>2023</v>
      </c>
      <c r="E305" s="196"/>
      <c r="F305" s="196">
        <v>1996</v>
      </c>
      <c r="G305" s="196"/>
      <c r="H305" s="196" t="s">
        <v>1878</v>
      </c>
      <c r="I305" s="141" t="s">
        <v>1879</v>
      </c>
      <c r="J305" s="142" t="s">
        <v>2024</v>
      </c>
      <c r="K305" s="196" t="s">
        <v>2025</v>
      </c>
      <c r="L305" s="141" t="s">
        <v>2026</v>
      </c>
      <c r="M305" s="196">
        <v>548</v>
      </c>
      <c r="N305" s="196"/>
      <c r="O305" s="196" t="s">
        <v>1944</v>
      </c>
      <c r="P305" s="144">
        <v>282</v>
      </c>
      <c r="Q305" s="145">
        <f t="shared" si="22"/>
        <v>2.9373</v>
      </c>
      <c r="R305" s="203">
        <v>1.39</v>
      </c>
      <c r="S305" s="203"/>
      <c r="T305" s="151"/>
      <c r="U305" s="151">
        <v>1.2</v>
      </c>
      <c r="V305" s="151">
        <v>0.25</v>
      </c>
      <c r="W305" s="151">
        <f t="shared" si="23"/>
        <v>1.39</v>
      </c>
      <c r="X305" s="152">
        <f t="shared" si="24"/>
        <v>9.7299999999999998E-2</v>
      </c>
      <c r="Y305" s="152"/>
      <c r="Z305" s="148"/>
      <c r="AA305" s="153"/>
      <c r="AB305" s="153"/>
      <c r="AC305" s="153"/>
      <c r="AD305" s="153"/>
      <c r="AH305" s="147"/>
      <c r="AI305" s="146" t="s">
        <v>51</v>
      </c>
      <c r="AJ305" s="146" t="s">
        <v>51</v>
      </c>
      <c r="AK305" s="146" t="s">
        <v>51</v>
      </c>
      <c r="AL305" s="203"/>
    </row>
    <row r="306" spans="1:38" s="146" customFormat="1" ht="16.5" customHeight="1" x14ac:dyDescent="0.25">
      <c r="A306" s="196">
        <v>697</v>
      </c>
      <c r="B306" s="196" t="s">
        <v>2030</v>
      </c>
      <c r="C306" s="196" t="s">
        <v>2029</v>
      </c>
      <c r="D306" s="196" t="s">
        <v>2031</v>
      </c>
      <c r="E306" s="196" t="s">
        <v>2032</v>
      </c>
      <c r="F306" s="196">
        <v>2005</v>
      </c>
      <c r="G306" s="196"/>
      <c r="H306" s="196" t="s">
        <v>1928</v>
      </c>
      <c r="I306" s="141" t="s">
        <v>1929</v>
      </c>
      <c r="J306" s="142" t="s">
        <v>2033</v>
      </c>
      <c r="K306" s="196" t="s">
        <v>1881</v>
      </c>
      <c r="L306" s="141"/>
      <c r="M306" s="196">
        <v>146</v>
      </c>
      <c r="N306" s="196"/>
      <c r="O306" s="196" t="s">
        <v>1946</v>
      </c>
      <c r="P306" s="144">
        <v>613</v>
      </c>
      <c r="Q306" s="145">
        <f t="shared" si="22"/>
        <v>6.7543000000000006</v>
      </c>
      <c r="R306" s="203">
        <v>4.49</v>
      </c>
      <c r="S306" s="203"/>
      <c r="T306" s="151"/>
      <c r="U306" s="151">
        <v>1.7</v>
      </c>
      <c r="V306" s="151">
        <v>0.25</v>
      </c>
      <c r="W306" s="151">
        <f t="shared" si="23"/>
        <v>4.49</v>
      </c>
      <c r="X306" s="152">
        <f t="shared" si="24"/>
        <v>0.31430000000000002</v>
      </c>
      <c r="Y306" s="152"/>
      <c r="Z306" s="148"/>
      <c r="AA306" s="153"/>
      <c r="AB306" s="153"/>
      <c r="AC306" s="153"/>
      <c r="AD306" s="153"/>
      <c r="AH306" s="147"/>
      <c r="AI306" s="146" t="s">
        <v>51</v>
      </c>
      <c r="AJ306" s="146" t="s">
        <v>51</v>
      </c>
      <c r="AK306" s="146" t="s">
        <v>51</v>
      </c>
      <c r="AL306" s="203"/>
    </row>
    <row r="307" spans="1:38" s="146" customFormat="1" x14ac:dyDescent="0.25">
      <c r="A307" s="196">
        <v>609</v>
      </c>
      <c r="B307" s="196" t="s">
        <v>2034</v>
      </c>
      <c r="C307" s="196" t="s">
        <v>2035</v>
      </c>
      <c r="D307" s="196" t="s">
        <v>2036</v>
      </c>
      <c r="E307" s="196" t="s">
        <v>1921</v>
      </c>
      <c r="F307" s="196">
        <v>2002</v>
      </c>
      <c r="G307" s="196"/>
      <c r="H307" s="196" t="s">
        <v>1928</v>
      </c>
      <c r="I307" s="141" t="s">
        <v>1929</v>
      </c>
      <c r="J307" s="196" t="s">
        <v>2037</v>
      </c>
      <c r="K307" s="196" t="s">
        <v>1881</v>
      </c>
      <c r="L307" s="141" t="s">
        <v>2038</v>
      </c>
      <c r="M307" s="196">
        <v>82</v>
      </c>
      <c r="N307" s="196"/>
      <c r="O307" s="196" t="s">
        <v>1947</v>
      </c>
      <c r="P307" s="144">
        <v>381</v>
      </c>
      <c r="Q307" s="145">
        <f t="shared" si="22"/>
        <v>2.2953000000000001</v>
      </c>
      <c r="R307" s="203">
        <v>0.79</v>
      </c>
      <c r="S307" s="203"/>
      <c r="T307" s="151"/>
      <c r="U307" s="151">
        <v>1.2</v>
      </c>
      <c r="V307" s="151">
        <v>0.25</v>
      </c>
      <c r="W307" s="151">
        <f t="shared" si="23"/>
        <v>0.79</v>
      </c>
      <c r="X307" s="152">
        <f t="shared" si="24"/>
        <v>5.5300000000000002E-2</v>
      </c>
      <c r="Y307" s="152"/>
      <c r="Z307" s="148"/>
      <c r="AA307" s="153"/>
      <c r="AB307" s="153"/>
      <c r="AC307" s="153"/>
      <c r="AD307" s="153"/>
      <c r="AH307" s="147"/>
      <c r="AI307" s="146" t="s">
        <v>51</v>
      </c>
      <c r="AJ307" s="146" t="s">
        <v>51</v>
      </c>
      <c r="AK307" s="146" t="s">
        <v>51</v>
      </c>
      <c r="AL307" s="203"/>
    </row>
    <row r="308" spans="1:38" s="146" customFormat="1" x14ac:dyDescent="0.25">
      <c r="A308" s="196">
        <v>632</v>
      </c>
      <c r="B308" s="196" t="s">
        <v>2044</v>
      </c>
      <c r="C308" s="196" t="s">
        <v>2045</v>
      </c>
      <c r="D308" s="196" t="s">
        <v>2046</v>
      </c>
      <c r="E308" s="196"/>
      <c r="F308" s="196">
        <v>2006</v>
      </c>
      <c r="G308" s="196"/>
      <c r="H308" s="196" t="s">
        <v>1928</v>
      </c>
      <c r="I308" s="141" t="s">
        <v>1879</v>
      </c>
      <c r="J308" s="196" t="s">
        <v>2047</v>
      </c>
      <c r="K308" s="196" t="s">
        <v>1881</v>
      </c>
      <c r="L308" s="141"/>
      <c r="M308" s="196">
        <v>384</v>
      </c>
      <c r="N308" s="196"/>
      <c r="O308" s="196" t="s">
        <v>1949</v>
      </c>
      <c r="P308" s="144">
        <v>548</v>
      </c>
      <c r="Q308" s="145">
        <f t="shared" si="22"/>
        <v>2.4742999999999999</v>
      </c>
      <c r="R308" s="203">
        <v>0.49</v>
      </c>
      <c r="S308" s="203"/>
      <c r="T308" s="151"/>
      <c r="U308" s="151">
        <v>1.7</v>
      </c>
      <c r="V308" s="151">
        <v>0.25</v>
      </c>
      <c r="W308" s="151">
        <f t="shared" si="23"/>
        <v>0.49</v>
      </c>
      <c r="X308" s="152">
        <f t="shared" si="24"/>
        <v>3.4299999999999997E-2</v>
      </c>
      <c r="Y308" s="152"/>
      <c r="Z308" s="148"/>
      <c r="AA308" s="153"/>
      <c r="AB308" s="153"/>
      <c r="AC308" s="153"/>
      <c r="AD308" s="153"/>
      <c r="AH308" s="147"/>
      <c r="AI308" s="146" t="s">
        <v>51</v>
      </c>
      <c r="AJ308" s="146" t="s">
        <v>51</v>
      </c>
      <c r="AK308" s="146" t="s">
        <v>51</v>
      </c>
      <c r="AL308" s="203"/>
    </row>
    <row r="309" spans="1:38" s="146" customFormat="1" x14ac:dyDescent="0.25">
      <c r="A309" s="196">
        <v>630</v>
      </c>
      <c r="B309" s="196" t="s">
        <v>2048</v>
      </c>
      <c r="C309" s="196" t="s">
        <v>2049</v>
      </c>
      <c r="D309" s="196" t="s">
        <v>2050</v>
      </c>
      <c r="E309" s="196"/>
      <c r="F309" s="196">
        <v>2003</v>
      </c>
      <c r="G309" s="196"/>
      <c r="H309" s="196" t="s">
        <v>1928</v>
      </c>
      <c r="I309" s="141" t="s">
        <v>1879</v>
      </c>
      <c r="J309" s="196"/>
      <c r="K309" s="196" t="s">
        <v>1881</v>
      </c>
      <c r="L309" s="141" t="s">
        <v>2051</v>
      </c>
      <c r="M309" s="196">
        <v>1586</v>
      </c>
      <c r="N309" s="196"/>
      <c r="O309" s="196" t="s">
        <v>1950</v>
      </c>
      <c r="P309" s="144">
        <v>1685</v>
      </c>
      <c r="Q309" s="145">
        <f t="shared" si="22"/>
        <v>5.2062999999999997</v>
      </c>
      <c r="R309" s="203">
        <v>1.0900000000000001</v>
      </c>
      <c r="S309" s="203"/>
      <c r="T309" s="151"/>
      <c r="U309" s="151">
        <v>3.79</v>
      </c>
      <c r="V309" s="151">
        <v>0.25</v>
      </c>
      <c r="W309" s="151">
        <f t="shared" si="23"/>
        <v>1.0900000000000001</v>
      </c>
      <c r="X309" s="152">
        <f t="shared" si="24"/>
        <v>7.6300000000000007E-2</v>
      </c>
      <c r="Y309" s="152"/>
      <c r="Z309" s="148"/>
      <c r="AA309" s="153"/>
      <c r="AB309" s="153"/>
      <c r="AC309" s="153"/>
      <c r="AD309" s="153"/>
      <c r="AH309" s="147"/>
      <c r="AI309" s="146" t="s">
        <v>51</v>
      </c>
      <c r="AJ309" s="146" t="s">
        <v>51</v>
      </c>
      <c r="AK309" s="146" t="s">
        <v>51</v>
      </c>
      <c r="AL309" s="203"/>
    </row>
    <row r="310" spans="1:38" s="146" customFormat="1" x14ac:dyDescent="0.25">
      <c r="A310" s="196">
        <v>2571</v>
      </c>
      <c r="B310" s="196" t="s">
        <v>2052</v>
      </c>
      <c r="C310" s="196" t="s">
        <v>2053</v>
      </c>
      <c r="D310" s="196" t="s">
        <v>2054</v>
      </c>
      <c r="E310" s="196" t="s">
        <v>2055</v>
      </c>
      <c r="F310" s="196">
        <v>1957</v>
      </c>
      <c r="G310" s="196"/>
      <c r="H310" s="196" t="s">
        <v>1928</v>
      </c>
      <c r="I310" s="141" t="s">
        <v>1879</v>
      </c>
      <c r="J310" s="196" t="s">
        <v>2056</v>
      </c>
      <c r="K310" s="196" t="s">
        <v>1881</v>
      </c>
      <c r="L310" s="141" t="s">
        <v>2057</v>
      </c>
      <c r="M310" s="196">
        <v>200</v>
      </c>
      <c r="N310" s="196"/>
      <c r="O310" s="196" t="s">
        <v>1951</v>
      </c>
      <c r="P310" s="144">
        <v>238</v>
      </c>
      <c r="Q310" s="145">
        <f t="shared" si="22"/>
        <v>4.1143000000000001</v>
      </c>
      <c r="R310" s="203">
        <v>2.4900000000000002</v>
      </c>
      <c r="S310" s="203"/>
      <c r="T310" s="151"/>
      <c r="U310" s="151">
        <v>1.2</v>
      </c>
      <c r="V310" s="151">
        <v>0.25</v>
      </c>
      <c r="W310" s="151">
        <f t="shared" si="23"/>
        <v>2.4900000000000002</v>
      </c>
      <c r="X310" s="152">
        <f t="shared" si="24"/>
        <v>0.17430000000000001</v>
      </c>
      <c r="Y310" s="152"/>
      <c r="Z310" s="148"/>
      <c r="AA310" s="153"/>
      <c r="AB310" s="153"/>
      <c r="AC310" s="153"/>
      <c r="AD310" s="153"/>
      <c r="AH310" s="147"/>
      <c r="AI310" s="146" t="s">
        <v>51</v>
      </c>
      <c r="AJ310" s="146" t="s">
        <v>51</v>
      </c>
      <c r="AK310" s="146" t="s">
        <v>51</v>
      </c>
      <c r="AL310" s="203"/>
    </row>
    <row r="311" spans="1:38" s="146" customFormat="1" ht="12.75" customHeight="1" x14ac:dyDescent="0.25">
      <c r="A311" s="196">
        <v>701</v>
      </c>
      <c r="B311" s="196" t="s">
        <v>2058</v>
      </c>
      <c r="C311" s="196" t="s">
        <v>2059</v>
      </c>
      <c r="D311" s="196" t="s">
        <v>2050</v>
      </c>
      <c r="E311" s="196"/>
      <c r="F311" s="196">
        <v>2010</v>
      </c>
      <c r="G311" s="196"/>
      <c r="H311" s="196" t="s">
        <v>1928</v>
      </c>
      <c r="I311" s="141" t="s">
        <v>1879</v>
      </c>
      <c r="J311" s="142" t="s">
        <v>2060</v>
      </c>
      <c r="K311" s="196" t="s">
        <v>1881</v>
      </c>
      <c r="L311" s="141" t="s">
        <v>2061</v>
      </c>
      <c r="M311" s="196">
        <v>144</v>
      </c>
      <c r="N311" s="196"/>
      <c r="O311" s="196" t="s">
        <v>1952</v>
      </c>
      <c r="P311" s="144">
        <v>207</v>
      </c>
      <c r="Q311" s="145">
        <f t="shared" si="22"/>
        <v>1.9742999999999999</v>
      </c>
      <c r="R311" s="203">
        <v>0.49</v>
      </c>
      <c r="S311" s="203"/>
      <c r="T311" s="151"/>
      <c r="U311" s="151">
        <v>1.2</v>
      </c>
      <c r="V311" s="151">
        <v>0.25</v>
      </c>
      <c r="W311" s="151">
        <f t="shared" si="23"/>
        <v>0.49</v>
      </c>
      <c r="X311" s="152">
        <f t="shared" si="24"/>
        <v>3.4299999999999997E-2</v>
      </c>
      <c r="Y311" s="152"/>
      <c r="Z311" s="148"/>
      <c r="AA311" s="153"/>
      <c r="AB311" s="153"/>
      <c r="AC311" s="153"/>
      <c r="AD311" s="153"/>
      <c r="AH311" s="147"/>
      <c r="AI311" s="146" t="s">
        <v>51</v>
      </c>
      <c r="AJ311" s="146" t="s">
        <v>51</v>
      </c>
      <c r="AK311" s="146" t="s">
        <v>51</v>
      </c>
      <c r="AL311" s="203"/>
    </row>
    <row r="312" spans="1:38" s="146" customFormat="1" x14ac:dyDescent="0.25">
      <c r="A312" s="196">
        <v>182</v>
      </c>
      <c r="B312" s="196" t="s">
        <v>2062</v>
      </c>
      <c r="C312" s="196" t="s">
        <v>2063</v>
      </c>
      <c r="D312" s="196" t="s">
        <v>2064</v>
      </c>
      <c r="E312" s="196"/>
      <c r="F312" s="196">
        <v>1975</v>
      </c>
      <c r="G312" s="196"/>
      <c r="H312" s="196" t="s">
        <v>2008</v>
      </c>
      <c r="I312" s="141" t="s">
        <v>1879</v>
      </c>
      <c r="J312" s="196" t="s">
        <v>2065</v>
      </c>
      <c r="K312" s="196" t="s">
        <v>1881</v>
      </c>
      <c r="L312" s="141"/>
      <c r="M312" s="196">
        <v>252</v>
      </c>
      <c r="N312" s="196"/>
      <c r="O312" s="196" t="s">
        <v>1953</v>
      </c>
      <c r="P312" s="144">
        <v>163</v>
      </c>
      <c r="Q312" s="145">
        <f t="shared" si="22"/>
        <v>4.1143000000000001</v>
      </c>
      <c r="R312" s="203">
        <v>2.4900000000000002</v>
      </c>
      <c r="S312" s="203"/>
      <c r="T312" s="151"/>
      <c r="U312" s="151">
        <v>1.2</v>
      </c>
      <c r="V312" s="151">
        <v>0.25</v>
      </c>
      <c r="W312" s="151">
        <f t="shared" si="23"/>
        <v>2.4900000000000002</v>
      </c>
      <c r="X312" s="152">
        <f t="shared" si="24"/>
        <v>0.17430000000000001</v>
      </c>
      <c r="Y312" s="152"/>
      <c r="Z312" s="148"/>
      <c r="AA312" s="153"/>
      <c r="AB312" s="153"/>
      <c r="AC312" s="153"/>
      <c r="AD312" s="153"/>
      <c r="AH312" s="147"/>
      <c r="AI312" s="146" t="s">
        <v>51</v>
      </c>
      <c r="AJ312" s="146" t="s">
        <v>51</v>
      </c>
      <c r="AK312" s="146" t="s">
        <v>51</v>
      </c>
      <c r="AL312" s="203"/>
    </row>
    <row r="313" spans="1:38" s="146" customFormat="1" x14ac:dyDescent="0.25">
      <c r="A313" s="196">
        <v>639</v>
      </c>
      <c r="B313" s="196" t="s">
        <v>2066</v>
      </c>
      <c r="C313" s="196" t="s">
        <v>2067</v>
      </c>
      <c r="D313" s="196" t="s">
        <v>2068</v>
      </c>
      <c r="E313" s="196"/>
      <c r="F313" s="196">
        <v>1982</v>
      </c>
      <c r="G313" s="196"/>
      <c r="H313" s="196" t="s">
        <v>1878</v>
      </c>
      <c r="I313" s="141" t="s">
        <v>1879</v>
      </c>
      <c r="J313" s="196" t="s">
        <v>2069</v>
      </c>
      <c r="K313" s="196" t="s">
        <v>1881</v>
      </c>
      <c r="L313" s="141" t="s">
        <v>2070</v>
      </c>
      <c r="M313" s="196">
        <v>112</v>
      </c>
      <c r="N313" s="196"/>
      <c r="O313" s="196" t="s">
        <v>1954</v>
      </c>
      <c r="P313" s="144">
        <v>186</v>
      </c>
      <c r="Q313" s="145">
        <f t="shared" si="22"/>
        <v>1.45</v>
      </c>
      <c r="R313" s="203"/>
      <c r="S313" s="203"/>
      <c r="T313" s="151"/>
      <c r="U313" s="151">
        <v>1.2</v>
      </c>
      <c r="V313" s="151">
        <v>0.25</v>
      </c>
      <c r="W313" s="151">
        <f t="shared" si="23"/>
        <v>0</v>
      </c>
      <c r="X313" s="152">
        <f t="shared" si="24"/>
        <v>0</v>
      </c>
      <c r="Y313" s="152"/>
      <c r="AA313" s="85"/>
      <c r="AB313" s="85"/>
      <c r="AC313" s="85"/>
      <c r="AD313" s="85"/>
      <c r="AH313" s="203">
        <v>0.78</v>
      </c>
      <c r="AI313" s="146" t="s">
        <v>51</v>
      </c>
      <c r="AJ313" s="146" t="s">
        <v>51</v>
      </c>
      <c r="AK313" s="146" t="s">
        <v>51</v>
      </c>
      <c r="AL313" s="203"/>
    </row>
    <row r="314" spans="1:38" s="146" customFormat="1" x14ac:dyDescent="0.25">
      <c r="A314" s="196">
        <v>2948</v>
      </c>
      <c r="B314" s="196" t="s">
        <v>2075</v>
      </c>
      <c r="C314" s="196" t="s">
        <v>2076</v>
      </c>
      <c r="D314" s="196" t="s">
        <v>2077</v>
      </c>
      <c r="E314" s="196" t="s">
        <v>1921</v>
      </c>
      <c r="F314" s="196">
        <v>2000</v>
      </c>
      <c r="G314" s="196"/>
      <c r="H314" s="196" t="s">
        <v>1878</v>
      </c>
      <c r="I314" s="141" t="s">
        <v>1879</v>
      </c>
      <c r="J314" s="196" t="s">
        <v>2078</v>
      </c>
      <c r="K314" s="196" t="s">
        <v>1881</v>
      </c>
      <c r="L314" s="141" t="s">
        <v>2079</v>
      </c>
      <c r="M314" s="196">
        <v>224</v>
      </c>
      <c r="N314" s="196"/>
      <c r="O314" s="196" t="s">
        <v>1956</v>
      </c>
      <c r="P314" s="144">
        <v>282</v>
      </c>
      <c r="Q314" s="145">
        <f t="shared" si="22"/>
        <v>4.1143000000000001</v>
      </c>
      <c r="R314" s="203">
        <v>2.4900000000000002</v>
      </c>
      <c r="S314" s="203"/>
      <c r="T314" s="151"/>
      <c r="U314" s="151">
        <v>1.2</v>
      </c>
      <c r="V314" s="151">
        <v>0.25</v>
      </c>
      <c r="W314" s="151">
        <f t="shared" si="23"/>
        <v>2.4900000000000002</v>
      </c>
      <c r="X314" s="152">
        <f t="shared" si="24"/>
        <v>0.17430000000000001</v>
      </c>
      <c r="Y314" s="152"/>
      <c r="Z314" s="148"/>
      <c r="AA314" s="153"/>
      <c r="AB314" s="153"/>
      <c r="AC314" s="153"/>
      <c r="AD314" s="153"/>
      <c r="AH314" s="147"/>
      <c r="AI314" s="146" t="s">
        <v>51</v>
      </c>
      <c r="AJ314" s="146" t="s">
        <v>51</v>
      </c>
      <c r="AK314" s="146" t="s">
        <v>51</v>
      </c>
      <c r="AL314" s="203"/>
    </row>
    <row r="315" spans="1:38" s="146" customFormat="1" ht="15" customHeight="1" x14ac:dyDescent="0.25">
      <c r="A315" s="196">
        <v>718</v>
      </c>
      <c r="B315" s="196" t="s">
        <v>2086</v>
      </c>
      <c r="C315" s="196" t="s">
        <v>2087</v>
      </c>
      <c r="D315" s="196" t="s">
        <v>2050</v>
      </c>
      <c r="E315" s="196"/>
      <c r="F315" s="196">
        <v>2002</v>
      </c>
      <c r="G315" s="196"/>
      <c r="H315" s="196" t="s">
        <v>1928</v>
      </c>
      <c r="I315" s="141" t="s">
        <v>1929</v>
      </c>
      <c r="J315" s="142" t="s">
        <v>2088</v>
      </c>
      <c r="K315" s="196" t="s">
        <v>1881</v>
      </c>
      <c r="L315" s="141" t="s">
        <v>2085</v>
      </c>
      <c r="M315" s="196">
        <v>210</v>
      </c>
      <c r="N315" s="196"/>
      <c r="O315" s="196" t="s">
        <v>1958</v>
      </c>
      <c r="P315" s="144">
        <v>729</v>
      </c>
      <c r="Q315" s="145">
        <f t="shared" si="22"/>
        <v>2.6882999999999995</v>
      </c>
      <c r="R315" s="203">
        <v>0.69</v>
      </c>
      <c r="S315" s="203"/>
      <c r="T315" s="151"/>
      <c r="U315" s="151">
        <v>1.7</v>
      </c>
      <c r="V315" s="151">
        <v>0.25</v>
      </c>
      <c r="W315" s="151">
        <f t="shared" si="23"/>
        <v>0.69</v>
      </c>
      <c r="X315" s="152">
        <f t="shared" si="24"/>
        <v>4.8299999999999996E-2</v>
      </c>
      <c r="Y315" s="152"/>
      <c r="Z315" s="148"/>
      <c r="AA315" s="153"/>
      <c r="AB315" s="153"/>
      <c r="AC315" s="153"/>
      <c r="AD315" s="153"/>
      <c r="AH315" s="147"/>
      <c r="AI315" s="146" t="s">
        <v>51</v>
      </c>
      <c r="AJ315" s="146" t="s">
        <v>51</v>
      </c>
      <c r="AK315" s="146" t="s">
        <v>51</v>
      </c>
      <c r="AL315" s="203"/>
    </row>
    <row r="316" spans="1:38" s="146" customFormat="1" x14ac:dyDescent="0.25">
      <c r="A316" s="196">
        <v>1366</v>
      </c>
      <c r="B316" s="196" t="s">
        <v>2089</v>
      </c>
      <c r="C316" s="196" t="s">
        <v>2090</v>
      </c>
      <c r="D316" s="196" t="s">
        <v>2091</v>
      </c>
      <c r="E316" s="196"/>
      <c r="F316" s="196">
        <v>1960</v>
      </c>
      <c r="G316" s="196"/>
      <c r="H316" s="196" t="s">
        <v>1928</v>
      </c>
      <c r="I316" s="141" t="s">
        <v>1879</v>
      </c>
      <c r="J316" s="196"/>
      <c r="K316" s="196" t="s">
        <v>1881</v>
      </c>
      <c r="L316" s="141"/>
      <c r="M316" s="196">
        <v>162</v>
      </c>
      <c r="N316" s="196"/>
      <c r="O316" s="196" t="s">
        <v>1959</v>
      </c>
      <c r="P316" s="144">
        <v>207</v>
      </c>
      <c r="Q316" s="145">
        <f t="shared" si="22"/>
        <v>1.7175</v>
      </c>
      <c r="R316" s="203">
        <v>0.25</v>
      </c>
      <c r="S316" s="203"/>
      <c r="T316" s="151"/>
      <c r="U316" s="151">
        <v>1.2</v>
      </c>
      <c r="V316" s="151">
        <v>0.25</v>
      </c>
      <c r="W316" s="151">
        <f t="shared" si="23"/>
        <v>0.25</v>
      </c>
      <c r="X316" s="152">
        <f t="shared" si="24"/>
        <v>1.7500000000000002E-2</v>
      </c>
      <c r="Y316" s="152"/>
      <c r="Z316" s="148"/>
      <c r="AA316" s="153"/>
      <c r="AB316" s="153"/>
      <c r="AC316" s="153"/>
      <c r="AD316" s="153"/>
      <c r="AH316" s="147"/>
      <c r="AI316" s="146" t="s">
        <v>51</v>
      </c>
      <c r="AJ316" s="146" t="s">
        <v>51</v>
      </c>
      <c r="AK316" s="146" t="s">
        <v>51</v>
      </c>
      <c r="AL316" s="203"/>
    </row>
    <row r="317" spans="1:38" s="146" customFormat="1" x14ac:dyDescent="0.25">
      <c r="A317" s="196">
        <v>1327</v>
      </c>
      <c r="B317" s="196" t="s">
        <v>2092</v>
      </c>
      <c r="C317" s="196" t="s">
        <v>2093</v>
      </c>
      <c r="D317" s="196" t="s">
        <v>2054</v>
      </c>
      <c r="E317" s="196" t="s">
        <v>2094</v>
      </c>
      <c r="F317" s="196">
        <v>2008</v>
      </c>
      <c r="G317" s="196"/>
      <c r="H317" s="196" t="s">
        <v>1878</v>
      </c>
      <c r="I317" s="141" t="s">
        <v>1879</v>
      </c>
      <c r="J317" s="196" t="s">
        <v>2095</v>
      </c>
      <c r="K317" s="196" t="s">
        <v>1881</v>
      </c>
      <c r="L317" s="141" t="s">
        <v>2096</v>
      </c>
      <c r="M317" s="196">
        <v>496</v>
      </c>
      <c r="N317" s="196"/>
      <c r="O317" s="196" t="s">
        <v>1960</v>
      </c>
      <c r="P317" s="144">
        <v>472</v>
      </c>
      <c r="Q317" s="145">
        <f t="shared" si="22"/>
        <v>1.8673</v>
      </c>
      <c r="R317" s="203">
        <v>0.39</v>
      </c>
      <c r="S317" s="203"/>
      <c r="T317" s="151"/>
      <c r="U317" s="151">
        <v>1.2</v>
      </c>
      <c r="V317" s="151">
        <v>0.25</v>
      </c>
      <c r="W317" s="151">
        <f t="shared" si="23"/>
        <v>0.39</v>
      </c>
      <c r="X317" s="152">
        <f t="shared" si="24"/>
        <v>2.7300000000000001E-2</v>
      </c>
      <c r="Y317" s="152"/>
      <c r="Z317" s="148"/>
      <c r="AA317" s="153"/>
      <c r="AB317" s="153"/>
      <c r="AC317" s="153"/>
      <c r="AD317" s="153"/>
      <c r="AH317" s="147"/>
      <c r="AI317" s="146" t="s">
        <v>51</v>
      </c>
      <c r="AJ317" s="146" t="s">
        <v>51</v>
      </c>
      <c r="AK317" s="146" t="s">
        <v>51</v>
      </c>
      <c r="AL317" s="203"/>
    </row>
    <row r="318" spans="1:38" s="146" customFormat="1" x14ac:dyDescent="0.25">
      <c r="A318" s="196">
        <v>701</v>
      </c>
      <c r="B318" s="196" t="s">
        <v>2097</v>
      </c>
      <c r="C318" s="196" t="s">
        <v>2098</v>
      </c>
      <c r="D318" s="196" t="s">
        <v>1886</v>
      </c>
      <c r="E318" s="196"/>
      <c r="F318" s="196">
        <v>2007</v>
      </c>
      <c r="G318" s="196"/>
      <c r="H318" s="196" t="s">
        <v>1878</v>
      </c>
      <c r="I318" s="141" t="s">
        <v>1879</v>
      </c>
      <c r="J318" s="196" t="s">
        <v>2099</v>
      </c>
      <c r="K318" s="196" t="s">
        <v>1881</v>
      </c>
      <c r="L318" s="141" t="s">
        <v>2100</v>
      </c>
      <c r="M318" s="196">
        <v>192</v>
      </c>
      <c r="N318" s="196"/>
      <c r="O318" s="196" t="s">
        <v>1961</v>
      </c>
      <c r="P318" s="144">
        <v>287</v>
      </c>
      <c r="Q318" s="145">
        <f t="shared" si="22"/>
        <v>1.7175</v>
      </c>
      <c r="R318" s="203">
        <v>0.25</v>
      </c>
      <c r="S318" s="203"/>
      <c r="T318" s="151"/>
      <c r="U318" s="151">
        <v>1.2</v>
      </c>
      <c r="V318" s="151">
        <v>0.25</v>
      </c>
      <c r="W318" s="151">
        <f t="shared" si="23"/>
        <v>0.25</v>
      </c>
      <c r="X318" s="152">
        <f t="shared" si="24"/>
        <v>1.7500000000000002E-2</v>
      </c>
      <c r="Y318" s="152"/>
      <c r="Z318" s="148"/>
      <c r="AA318" s="153"/>
      <c r="AB318" s="153"/>
      <c r="AC318" s="153"/>
      <c r="AD318" s="153"/>
      <c r="AH318" s="147"/>
      <c r="AI318" s="146" t="s">
        <v>51</v>
      </c>
      <c r="AJ318" s="146" t="s">
        <v>51</v>
      </c>
      <c r="AK318" s="146" t="s">
        <v>51</v>
      </c>
      <c r="AL318" s="203"/>
    </row>
    <row r="319" spans="1:38" s="146" customFormat="1" ht="17.25" customHeight="1" x14ac:dyDescent="0.25">
      <c r="A319" s="196">
        <v>2952</v>
      </c>
      <c r="B319" s="196" t="s">
        <v>2101</v>
      </c>
      <c r="C319" s="196" t="s">
        <v>2102</v>
      </c>
      <c r="D319" s="196" t="s">
        <v>2103</v>
      </c>
      <c r="E319" s="196"/>
      <c r="F319" s="196">
        <v>2015</v>
      </c>
      <c r="G319" s="196"/>
      <c r="H319" s="196" t="s">
        <v>1878</v>
      </c>
      <c r="I319" s="141" t="s">
        <v>1879</v>
      </c>
      <c r="J319" s="142" t="s">
        <v>2104</v>
      </c>
      <c r="K319" s="196" t="s">
        <v>1881</v>
      </c>
      <c r="L319" s="141" t="s">
        <v>2105</v>
      </c>
      <c r="M319" s="196">
        <v>290</v>
      </c>
      <c r="N319" s="196"/>
      <c r="O319" s="196" t="s">
        <v>1962</v>
      </c>
      <c r="P319" s="144">
        <v>169</v>
      </c>
      <c r="Q319" s="145">
        <f t="shared" si="22"/>
        <v>2.6162999999999998</v>
      </c>
      <c r="R319" s="203">
        <v>1.0900000000000001</v>
      </c>
      <c r="S319" s="203"/>
      <c r="T319" s="151"/>
      <c r="U319" s="151">
        <v>1.2</v>
      </c>
      <c r="V319" s="151">
        <v>0.25</v>
      </c>
      <c r="W319" s="151">
        <f t="shared" si="23"/>
        <v>1.0900000000000001</v>
      </c>
      <c r="X319" s="152">
        <f t="shared" si="24"/>
        <v>7.6300000000000007E-2</v>
      </c>
      <c r="Y319" s="152"/>
      <c r="Z319" s="148"/>
      <c r="AA319" s="153"/>
      <c r="AB319" s="153"/>
      <c r="AC319" s="153"/>
      <c r="AD319" s="153"/>
      <c r="AH319" s="147"/>
      <c r="AI319" s="146" t="s">
        <v>51</v>
      </c>
      <c r="AJ319" s="146" t="s">
        <v>51</v>
      </c>
      <c r="AK319" s="146" t="s">
        <v>51</v>
      </c>
      <c r="AL319" s="203"/>
    </row>
    <row r="320" spans="1:38" s="146" customFormat="1" x14ac:dyDescent="0.25">
      <c r="A320" s="196">
        <v>8</v>
      </c>
      <c r="B320" s="196" t="s">
        <v>2110</v>
      </c>
      <c r="C320" s="196" t="s">
        <v>2111</v>
      </c>
      <c r="D320" s="196" t="s">
        <v>2112</v>
      </c>
      <c r="E320" s="196" t="s">
        <v>1877</v>
      </c>
      <c r="F320" s="196">
        <v>1985</v>
      </c>
      <c r="G320" s="196"/>
      <c r="H320" s="196" t="s">
        <v>1928</v>
      </c>
      <c r="I320" s="141" t="s">
        <v>1929</v>
      </c>
      <c r="J320" s="196"/>
      <c r="K320" s="196" t="s">
        <v>1881</v>
      </c>
      <c r="L320" s="141" t="s">
        <v>2113</v>
      </c>
      <c r="M320" s="196">
        <v>466</v>
      </c>
      <c r="N320" s="196"/>
      <c r="O320" s="196" t="s">
        <v>1964</v>
      </c>
      <c r="P320" s="144">
        <v>736</v>
      </c>
      <c r="Q320" s="145">
        <f t="shared" si="22"/>
        <v>2.6882999999999995</v>
      </c>
      <c r="R320" s="203">
        <v>0.69</v>
      </c>
      <c r="S320" s="203"/>
      <c r="T320" s="151"/>
      <c r="U320" s="151">
        <v>1.7</v>
      </c>
      <c r="V320" s="151">
        <v>0.25</v>
      </c>
      <c r="W320" s="151">
        <f t="shared" si="23"/>
        <v>0.69</v>
      </c>
      <c r="X320" s="152">
        <f t="shared" si="24"/>
        <v>4.8299999999999996E-2</v>
      </c>
      <c r="Y320" s="152"/>
      <c r="Z320" s="148"/>
      <c r="AA320" s="153"/>
      <c r="AB320" s="153"/>
      <c r="AC320" s="153"/>
      <c r="AD320" s="153"/>
      <c r="AH320" s="147"/>
      <c r="AI320" s="146" t="s">
        <v>51</v>
      </c>
      <c r="AJ320" s="146" t="s">
        <v>51</v>
      </c>
      <c r="AK320" s="146" t="s">
        <v>51</v>
      </c>
      <c r="AL320" s="203"/>
    </row>
    <row r="321" spans="1:38" s="146" customFormat="1" x14ac:dyDescent="0.25">
      <c r="A321" s="196">
        <v>651</v>
      </c>
      <c r="B321" s="196" t="s">
        <v>2115</v>
      </c>
      <c r="C321" s="196" t="s">
        <v>2114</v>
      </c>
      <c r="D321" s="196" t="s">
        <v>2117</v>
      </c>
      <c r="E321" s="196" t="s">
        <v>1974</v>
      </c>
      <c r="F321" s="196">
        <v>1994</v>
      </c>
      <c r="G321" s="196"/>
      <c r="H321" s="73" t="s">
        <v>2116</v>
      </c>
      <c r="I321" s="141" t="s">
        <v>1929</v>
      </c>
      <c r="J321" s="196" t="s">
        <v>2118</v>
      </c>
      <c r="K321" s="196" t="s">
        <v>1881</v>
      </c>
      <c r="L321" s="141" t="s">
        <v>2119</v>
      </c>
      <c r="M321" s="196">
        <v>32</v>
      </c>
      <c r="N321" s="196"/>
      <c r="O321" s="196" t="s">
        <v>1965</v>
      </c>
      <c r="P321" s="144">
        <v>99</v>
      </c>
      <c r="Q321" s="145">
        <f t="shared" si="22"/>
        <v>1.9315</v>
      </c>
      <c r="R321" s="203">
        <v>0.45</v>
      </c>
      <c r="S321" s="203"/>
      <c r="T321" s="151"/>
      <c r="U321" s="151">
        <v>1.2</v>
      </c>
      <c r="V321" s="151">
        <v>0.25</v>
      </c>
      <c r="W321" s="151">
        <f t="shared" si="23"/>
        <v>0.45</v>
      </c>
      <c r="X321" s="152">
        <f t="shared" si="24"/>
        <v>3.15E-2</v>
      </c>
      <c r="Y321" s="152"/>
      <c r="Z321" s="148"/>
      <c r="AA321" s="153"/>
      <c r="AB321" s="153"/>
      <c r="AC321" s="153"/>
      <c r="AD321" s="153"/>
      <c r="AH321" s="147"/>
      <c r="AI321" s="146" t="s">
        <v>51</v>
      </c>
      <c r="AJ321" s="146" t="s">
        <v>51</v>
      </c>
      <c r="AK321" s="146" t="s">
        <v>51</v>
      </c>
      <c r="AL321" s="203"/>
    </row>
    <row r="322" spans="1:38" s="146" customFormat="1" x14ac:dyDescent="0.25">
      <c r="A322" s="196">
        <v>691</v>
      </c>
      <c r="B322" s="196" t="s">
        <v>2144</v>
      </c>
      <c r="C322" s="196" t="s">
        <v>2145</v>
      </c>
      <c r="D322" s="196" t="s">
        <v>2146</v>
      </c>
      <c r="E322" s="196"/>
      <c r="F322" s="196"/>
      <c r="G322" s="196"/>
      <c r="H322" s="196" t="s">
        <v>1928</v>
      </c>
      <c r="I322" s="141" t="s">
        <v>1879</v>
      </c>
      <c r="J322" s="196" t="s">
        <v>2147</v>
      </c>
      <c r="K322" s="196" t="s">
        <v>1881</v>
      </c>
      <c r="L322" s="141" t="s">
        <v>2148</v>
      </c>
      <c r="M322" s="196">
        <v>20</v>
      </c>
      <c r="N322" s="196"/>
      <c r="O322" s="196" t="s">
        <v>2120</v>
      </c>
      <c r="P322" s="144">
        <v>410</v>
      </c>
      <c r="Q322" s="145">
        <f t="shared" si="22"/>
        <v>1.9742999999999999</v>
      </c>
      <c r="R322" s="203">
        <v>0.49</v>
      </c>
      <c r="S322" s="203"/>
      <c r="T322" s="151"/>
      <c r="U322" s="151">
        <v>1.2</v>
      </c>
      <c r="V322" s="151">
        <v>0.25</v>
      </c>
      <c r="W322" s="151">
        <f t="shared" si="23"/>
        <v>0.49</v>
      </c>
      <c r="X322" s="152">
        <f t="shared" si="24"/>
        <v>3.4299999999999997E-2</v>
      </c>
      <c r="Y322" s="152"/>
      <c r="Z322" s="148"/>
      <c r="AA322" s="153"/>
      <c r="AB322" s="153"/>
      <c r="AC322" s="153"/>
      <c r="AD322" s="153"/>
      <c r="AH322" s="147"/>
      <c r="AI322" s="146" t="s">
        <v>51</v>
      </c>
      <c r="AJ322" s="146" t="s">
        <v>51</v>
      </c>
      <c r="AK322" s="146" t="s">
        <v>51</v>
      </c>
      <c r="AL322" s="203"/>
    </row>
    <row r="323" spans="1:38" s="146" customFormat="1" x14ac:dyDescent="0.25">
      <c r="A323" s="196">
        <v>2571</v>
      </c>
      <c r="B323" s="196" t="s">
        <v>2149</v>
      </c>
      <c r="C323" s="196" t="s">
        <v>2150</v>
      </c>
      <c r="D323" s="196" t="s">
        <v>2151</v>
      </c>
      <c r="E323" s="196"/>
      <c r="F323" s="196">
        <v>1980</v>
      </c>
      <c r="G323" s="196"/>
      <c r="H323" s="196" t="s">
        <v>1878</v>
      </c>
      <c r="I323" s="141" t="s">
        <v>1914</v>
      </c>
      <c r="J323" s="196" t="s">
        <v>2152</v>
      </c>
      <c r="K323" s="196" t="s">
        <v>1881</v>
      </c>
      <c r="L323" s="141" t="s">
        <v>2153</v>
      </c>
      <c r="M323" s="196">
        <v>320</v>
      </c>
      <c r="N323" s="196"/>
      <c r="O323" s="196" t="s">
        <v>2121</v>
      </c>
      <c r="P323" s="144">
        <v>273</v>
      </c>
      <c r="Q323" s="145">
        <f t="shared" si="22"/>
        <v>1.7175</v>
      </c>
      <c r="R323" s="203">
        <v>0.25</v>
      </c>
      <c r="S323" s="203"/>
      <c r="T323" s="151"/>
      <c r="U323" s="151">
        <v>1.2</v>
      </c>
      <c r="V323" s="151">
        <v>0.25</v>
      </c>
      <c r="W323" s="151">
        <f t="shared" si="23"/>
        <v>0.25</v>
      </c>
      <c r="X323" s="152">
        <f t="shared" si="24"/>
        <v>1.7500000000000002E-2</v>
      </c>
      <c r="Y323" s="152"/>
      <c r="Z323" s="148"/>
      <c r="AA323" s="153"/>
      <c r="AB323" s="153"/>
      <c r="AC323" s="153"/>
      <c r="AD323" s="153"/>
      <c r="AH323" s="147"/>
      <c r="AI323" s="146" t="s">
        <v>51</v>
      </c>
      <c r="AJ323" s="146" t="s">
        <v>51</v>
      </c>
      <c r="AK323" s="146" t="s">
        <v>51</v>
      </c>
      <c r="AL323" s="203"/>
    </row>
    <row r="324" spans="1:38" s="146" customFormat="1" x14ac:dyDescent="0.25">
      <c r="A324" s="196">
        <v>1393</v>
      </c>
      <c r="B324" s="196" t="s">
        <v>2154</v>
      </c>
      <c r="C324" s="196" t="s">
        <v>2155</v>
      </c>
      <c r="D324" s="196" t="s">
        <v>2156</v>
      </c>
      <c r="E324" s="196" t="s">
        <v>2157</v>
      </c>
      <c r="F324" s="196">
        <v>1997</v>
      </c>
      <c r="G324" s="196"/>
      <c r="H324" s="196" t="s">
        <v>1878</v>
      </c>
      <c r="I324" s="141" t="s">
        <v>1879</v>
      </c>
      <c r="J324" s="196" t="s">
        <v>2158</v>
      </c>
      <c r="K324" s="196" t="s">
        <v>1881</v>
      </c>
      <c r="L324" s="141" t="s">
        <v>2159</v>
      </c>
      <c r="M324" s="196">
        <v>120</v>
      </c>
      <c r="N324" s="196"/>
      <c r="O324" s="196" t="s">
        <v>2122</v>
      </c>
      <c r="P324" s="144">
        <v>124</v>
      </c>
      <c r="Q324" s="145">
        <f t="shared" si="22"/>
        <v>2.2953000000000001</v>
      </c>
      <c r="R324" s="203">
        <v>0.79</v>
      </c>
      <c r="S324" s="203"/>
      <c r="T324" s="151"/>
      <c r="U324" s="151">
        <v>1.2</v>
      </c>
      <c r="V324" s="151">
        <v>0.25</v>
      </c>
      <c r="W324" s="151">
        <f t="shared" si="23"/>
        <v>0.79</v>
      </c>
      <c r="X324" s="152">
        <f t="shared" si="24"/>
        <v>5.5300000000000002E-2</v>
      </c>
      <c r="Y324" s="152"/>
      <c r="Z324" s="148"/>
      <c r="AA324" s="153"/>
      <c r="AB324" s="153"/>
      <c r="AC324" s="153"/>
      <c r="AD324" s="153"/>
      <c r="AH324" s="147"/>
      <c r="AI324" s="146" t="s">
        <v>51</v>
      </c>
      <c r="AJ324" s="146" t="s">
        <v>51</v>
      </c>
      <c r="AK324" s="146" t="s">
        <v>51</v>
      </c>
      <c r="AL324" s="203"/>
    </row>
    <row r="325" spans="1:38" s="146" customFormat="1" x14ac:dyDescent="0.25">
      <c r="A325" s="196">
        <v>701</v>
      </c>
      <c r="B325" s="196" t="s">
        <v>2089</v>
      </c>
      <c r="C325" s="196" t="s">
        <v>2160</v>
      </c>
      <c r="D325" s="196" t="s">
        <v>2054</v>
      </c>
      <c r="E325" s="196" t="s">
        <v>2055</v>
      </c>
      <c r="F325" s="196">
        <v>2000</v>
      </c>
      <c r="G325" s="196"/>
      <c r="H325" s="196" t="s">
        <v>1928</v>
      </c>
      <c r="I325" s="141" t="s">
        <v>1879</v>
      </c>
      <c r="J325" s="196" t="s">
        <v>2161</v>
      </c>
      <c r="K325" s="196" t="s">
        <v>1881</v>
      </c>
      <c r="L325" s="141" t="s">
        <v>2162</v>
      </c>
      <c r="M325" s="196">
        <v>226</v>
      </c>
      <c r="N325" s="196"/>
      <c r="O325" s="196" t="s">
        <v>2123</v>
      </c>
      <c r="P325" s="144">
        <v>398</v>
      </c>
      <c r="Q325" s="145">
        <f t="shared" si="22"/>
        <v>2.0385</v>
      </c>
      <c r="R325" s="203">
        <v>0.55000000000000004</v>
      </c>
      <c r="S325" s="203"/>
      <c r="T325" s="151"/>
      <c r="U325" s="151">
        <v>1.2</v>
      </c>
      <c r="V325" s="151">
        <v>0.25</v>
      </c>
      <c r="W325" s="151">
        <f t="shared" si="23"/>
        <v>0.55000000000000004</v>
      </c>
      <c r="X325" s="152">
        <f t="shared" si="24"/>
        <v>3.8500000000000006E-2</v>
      </c>
      <c r="Y325" s="152"/>
      <c r="Z325" s="148"/>
      <c r="AA325" s="153"/>
      <c r="AB325" s="153"/>
      <c r="AC325" s="153"/>
      <c r="AD325" s="153"/>
      <c r="AH325" s="147"/>
      <c r="AI325" s="146" t="s">
        <v>51</v>
      </c>
      <c r="AJ325" s="146" t="s">
        <v>51</v>
      </c>
      <c r="AK325" s="146" t="s">
        <v>51</v>
      </c>
      <c r="AL325" s="203"/>
    </row>
    <row r="326" spans="1:38" s="146" customFormat="1" ht="15" customHeight="1" x14ac:dyDescent="0.25">
      <c r="A326" s="196">
        <v>844</v>
      </c>
      <c r="B326" s="196" t="s">
        <v>2163</v>
      </c>
      <c r="C326" s="196" t="s">
        <v>2164</v>
      </c>
      <c r="D326" s="196" t="s">
        <v>2165</v>
      </c>
      <c r="E326" s="196"/>
      <c r="F326" s="196"/>
      <c r="G326" s="196"/>
      <c r="H326" s="196" t="s">
        <v>1928</v>
      </c>
      <c r="I326" s="141" t="s">
        <v>1879</v>
      </c>
      <c r="J326" s="142" t="s">
        <v>2166</v>
      </c>
      <c r="K326" s="196" t="s">
        <v>1881</v>
      </c>
      <c r="L326" s="141" t="s">
        <v>2167</v>
      </c>
      <c r="M326" s="196">
        <v>130</v>
      </c>
      <c r="N326" s="196"/>
      <c r="O326" s="196" t="s">
        <v>2124</v>
      </c>
      <c r="P326" s="144">
        <v>562</v>
      </c>
      <c r="Q326" s="145">
        <f t="shared" si="22"/>
        <v>2.9985999999999997</v>
      </c>
      <c r="R326" s="203">
        <v>0.98</v>
      </c>
      <c r="S326" s="203"/>
      <c r="T326" s="151"/>
      <c r="U326" s="151">
        <v>1.7</v>
      </c>
      <c r="V326" s="151">
        <v>0.25</v>
      </c>
      <c r="W326" s="151">
        <f t="shared" si="23"/>
        <v>0.98</v>
      </c>
      <c r="X326" s="152">
        <f t="shared" si="24"/>
        <v>6.8599999999999994E-2</v>
      </c>
      <c r="Y326" s="152"/>
      <c r="Z326" s="148"/>
      <c r="AA326" s="153"/>
      <c r="AB326" s="153"/>
      <c r="AC326" s="153"/>
      <c r="AD326" s="153"/>
      <c r="AH326" s="147"/>
      <c r="AI326" s="146" t="s">
        <v>51</v>
      </c>
      <c r="AJ326" s="146" t="s">
        <v>51</v>
      </c>
      <c r="AK326" s="146" t="s">
        <v>51</v>
      </c>
      <c r="AL326" s="203"/>
    </row>
    <row r="327" spans="1:38" s="146" customFormat="1" x14ac:dyDescent="0.25">
      <c r="A327" s="196">
        <v>689</v>
      </c>
      <c r="B327" s="196" t="s">
        <v>2168</v>
      </c>
      <c r="C327" s="196" t="s">
        <v>2169</v>
      </c>
      <c r="D327" s="196" t="s">
        <v>2170</v>
      </c>
      <c r="E327" s="196" t="s">
        <v>1974</v>
      </c>
      <c r="F327" s="196">
        <v>2004</v>
      </c>
      <c r="G327" s="196"/>
      <c r="H327" s="196" t="s">
        <v>1928</v>
      </c>
      <c r="I327" s="141" t="s">
        <v>1929</v>
      </c>
      <c r="J327" s="196" t="s">
        <v>2171</v>
      </c>
      <c r="K327" s="196" t="s">
        <v>1881</v>
      </c>
      <c r="L327" s="141" t="s">
        <v>2172</v>
      </c>
      <c r="M327" s="196">
        <v>298</v>
      </c>
      <c r="N327" s="196"/>
      <c r="O327" s="196" t="s">
        <v>2125</v>
      </c>
      <c r="P327" s="144">
        <v>755</v>
      </c>
      <c r="Q327" s="145">
        <f t="shared" si="22"/>
        <v>2.6882999999999995</v>
      </c>
      <c r="R327" s="203">
        <v>0.69</v>
      </c>
      <c r="S327" s="203"/>
      <c r="T327" s="151"/>
      <c r="U327" s="151">
        <v>1.7</v>
      </c>
      <c r="V327" s="151">
        <v>0.25</v>
      </c>
      <c r="W327" s="151">
        <f t="shared" si="23"/>
        <v>0.69</v>
      </c>
      <c r="X327" s="152">
        <f t="shared" si="24"/>
        <v>4.8299999999999996E-2</v>
      </c>
      <c r="Y327" s="152"/>
      <c r="Z327" s="148"/>
      <c r="AA327" s="153"/>
      <c r="AB327" s="153"/>
      <c r="AC327" s="153"/>
      <c r="AD327" s="153"/>
      <c r="AH327" s="147"/>
      <c r="AI327" s="146" t="s">
        <v>51</v>
      </c>
      <c r="AJ327" s="146" t="s">
        <v>51</v>
      </c>
      <c r="AK327" s="146" t="s">
        <v>51</v>
      </c>
      <c r="AL327" s="203"/>
    </row>
    <row r="328" spans="1:38" s="146" customFormat="1" x14ac:dyDescent="0.25">
      <c r="A328" s="196">
        <v>796</v>
      </c>
      <c r="B328" s="196" t="s">
        <v>2179</v>
      </c>
      <c r="C328" s="196" t="s">
        <v>2180</v>
      </c>
      <c r="D328" s="196" t="s">
        <v>1968</v>
      </c>
      <c r="E328" s="196"/>
      <c r="F328" s="196">
        <v>2002</v>
      </c>
      <c r="G328" s="196"/>
      <c r="H328" s="196" t="s">
        <v>1878</v>
      </c>
      <c r="I328" s="141" t="s">
        <v>1879</v>
      </c>
      <c r="J328" s="73" t="s">
        <v>2181</v>
      </c>
      <c r="K328" s="196" t="s">
        <v>1881</v>
      </c>
      <c r="L328" s="141" t="s">
        <v>2182</v>
      </c>
      <c r="M328" s="196">
        <v>592</v>
      </c>
      <c r="N328" s="196"/>
      <c r="O328" s="196" t="s">
        <v>2127</v>
      </c>
      <c r="P328" s="144">
        <v>449</v>
      </c>
      <c r="Q328" s="145">
        <f t="shared" si="22"/>
        <v>1.7175</v>
      </c>
      <c r="R328" s="203">
        <v>0.25</v>
      </c>
      <c r="S328" s="203"/>
      <c r="T328" s="151"/>
      <c r="U328" s="151">
        <v>1.2</v>
      </c>
      <c r="V328" s="151">
        <v>0.25</v>
      </c>
      <c r="W328" s="151">
        <f t="shared" si="23"/>
        <v>0.25</v>
      </c>
      <c r="X328" s="152">
        <f t="shared" si="24"/>
        <v>1.7500000000000002E-2</v>
      </c>
      <c r="Y328" s="152"/>
      <c r="Z328" s="148"/>
      <c r="AA328" s="153"/>
      <c r="AB328" s="153"/>
      <c r="AC328" s="153"/>
      <c r="AD328" s="153"/>
      <c r="AH328" s="147"/>
      <c r="AI328" s="146" t="s">
        <v>51</v>
      </c>
      <c r="AJ328" s="146" t="s">
        <v>51</v>
      </c>
      <c r="AK328" s="146" t="s">
        <v>51</v>
      </c>
      <c r="AL328" s="203"/>
    </row>
    <row r="329" spans="1:38" s="146" customFormat="1" x14ac:dyDescent="0.25">
      <c r="A329" s="196">
        <v>704</v>
      </c>
      <c r="B329" s="196" t="s">
        <v>2183</v>
      </c>
      <c r="C329" s="196" t="s">
        <v>2184</v>
      </c>
      <c r="D329" s="196" t="s">
        <v>2185</v>
      </c>
      <c r="E329" s="196" t="s">
        <v>2032</v>
      </c>
      <c r="F329" s="196">
        <v>2004</v>
      </c>
      <c r="G329" s="196"/>
      <c r="H329" s="196" t="s">
        <v>1878</v>
      </c>
      <c r="I329" s="141" t="s">
        <v>1879</v>
      </c>
      <c r="J329" s="196"/>
      <c r="K329" s="196" t="s">
        <v>2025</v>
      </c>
      <c r="L329" s="141" t="s">
        <v>2186</v>
      </c>
      <c r="M329" s="196">
        <v>282</v>
      </c>
      <c r="N329" s="196"/>
      <c r="O329" s="196" t="s">
        <v>2128</v>
      </c>
      <c r="P329" s="144">
        <v>175</v>
      </c>
      <c r="Q329" s="145">
        <f t="shared" si="22"/>
        <v>2.4022999999999999</v>
      </c>
      <c r="R329" s="203">
        <v>0.89</v>
      </c>
      <c r="S329" s="203"/>
      <c r="T329" s="151"/>
      <c r="U329" s="151">
        <v>1.2</v>
      </c>
      <c r="V329" s="151">
        <v>0.25</v>
      </c>
      <c r="W329" s="151">
        <f t="shared" si="23"/>
        <v>0.89</v>
      </c>
      <c r="X329" s="152">
        <f t="shared" si="24"/>
        <v>6.2300000000000001E-2</v>
      </c>
      <c r="Y329" s="152"/>
      <c r="Z329" s="148"/>
      <c r="AA329" s="153"/>
      <c r="AB329" s="153"/>
      <c r="AC329" s="153"/>
      <c r="AD329" s="153"/>
      <c r="AH329" s="147"/>
      <c r="AI329" s="146" t="s">
        <v>51</v>
      </c>
      <c r="AJ329" s="146" t="s">
        <v>51</v>
      </c>
      <c r="AK329" s="146" t="s">
        <v>51</v>
      </c>
      <c r="AL329" s="203"/>
    </row>
    <row r="330" spans="1:38" s="146" customFormat="1" x14ac:dyDescent="0.25">
      <c r="A330" s="196">
        <v>701</v>
      </c>
      <c r="B330" s="196" t="s">
        <v>2187</v>
      </c>
      <c r="C330" s="196" t="s">
        <v>2188</v>
      </c>
      <c r="D330" s="196" t="s">
        <v>2050</v>
      </c>
      <c r="E330" s="196"/>
      <c r="F330" s="196">
        <v>2009</v>
      </c>
      <c r="G330" s="196"/>
      <c r="H330" s="196" t="s">
        <v>1928</v>
      </c>
      <c r="I330" s="141" t="s">
        <v>1879</v>
      </c>
      <c r="J330" s="196" t="s">
        <v>2189</v>
      </c>
      <c r="K330" s="196" t="s">
        <v>1881</v>
      </c>
      <c r="L330" s="141" t="s">
        <v>2190</v>
      </c>
      <c r="M330" s="196">
        <v>146</v>
      </c>
      <c r="N330" s="196"/>
      <c r="O330" s="196" t="s">
        <v>2129</v>
      </c>
      <c r="P330" s="144">
        <v>211</v>
      </c>
      <c r="Q330" s="145">
        <f t="shared" si="22"/>
        <v>1.7175</v>
      </c>
      <c r="R330" s="203">
        <v>0.25</v>
      </c>
      <c r="S330" s="203"/>
      <c r="T330" s="151"/>
      <c r="U330" s="151">
        <v>1.2</v>
      </c>
      <c r="V330" s="151">
        <v>0.25</v>
      </c>
      <c r="W330" s="151">
        <f t="shared" si="23"/>
        <v>0.25</v>
      </c>
      <c r="X330" s="152">
        <f t="shared" si="24"/>
        <v>1.7500000000000002E-2</v>
      </c>
      <c r="Y330" s="152"/>
      <c r="Z330" s="148"/>
      <c r="AA330" s="153"/>
      <c r="AB330" s="153"/>
      <c r="AC330" s="153"/>
      <c r="AD330" s="153"/>
      <c r="AH330" s="147"/>
      <c r="AI330" s="146" t="s">
        <v>51</v>
      </c>
      <c r="AJ330" s="146" t="s">
        <v>51</v>
      </c>
      <c r="AK330" s="146" t="s">
        <v>51</v>
      </c>
      <c r="AL330" s="203"/>
    </row>
    <row r="331" spans="1:38" s="146" customFormat="1" x14ac:dyDescent="0.25">
      <c r="A331" s="196">
        <v>972</v>
      </c>
      <c r="B331" s="196" t="s">
        <v>2191</v>
      </c>
      <c r="C331" s="196" t="s">
        <v>2192</v>
      </c>
      <c r="D331" s="196" t="s">
        <v>2193</v>
      </c>
      <c r="E331" s="196"/>
      <c r="F331" s="196">
        <v>2010</v>
      </c>
      <c r="G331" s="196"/>
      <c r="H331" s="196" t="s">
        <v>1878</v>
      </c>
      <c r="I331" s="141" t="s">
        <v>1879</v>
      </c>
      <c r="J331" s="196"/>
      <c r="K331" s="196" t="s">
        <v>2025</v>
      </c>
      <c r="L331" s="141" t="s">
        <v>2194</v>
      </c>
      <c r="M331" s="196">
        <v>374</v>
      </c>
      <c r="N331" s="196"/>
      <c r="O331" s="196" t="s">
        <v>2130</v>
      </c>
      <c r="P331" s="144">
        <v>211</v>
      </c>
      <c r="Q331" s="145">
        <f t="shared" si="22"/>
        <v>2.4022999999999999</v>
      </c>
      <c r="R331" s="203">
        <v>0.89</v>
      </c>
      <c r="S331" s="203"/>
      <c r="T331" s="151"/>
      <c r="U331" s="151">
        <v>1.2</v>
      </c>
      <c r="V331" s="151">
        <v>0.25</v>
      </c>
      <c r="W331" s="151">
        <f t="shared" si="23"/>
        <v>0.89</v>
      </c>
      <c r="X331" s="152">
        <f t="shared" si="24"/>
        <v>6.2300000000000001E-2</v>
      </c>
      <c r="Y331" s="152"/>
      <c r="Z331" s="148"/>
      <c r="AA331" s="153"/>
      <c r="AB331" s="153"/>
      <c r="AC331" s="153"/>
      <c r="AD331" s="153"/>
      <c r="AH331" s="147"/>
      <c r="AI331" s="146" t="s">
        <v>51</v>
      </c>
      <c r="AJ331" s="146" t="s">
        <v>51</v>
      </c>
      <c r="AK331" s="146" t="s">
        <v>51</v>
      </c>
      <c r="AL331" s="203"/>
    </row>
    <row r="332" spans="1:38" s="146" customFormat="1" x14ac:dyDescent="0.25">
      <c r="A332" s="196">
        <v>8</v>
      </c>
      <c r="B332" s="196" t="s">
        <v>2195</v>
      </c>
      <c r="C332" s="196" t="s">
        <v>2196</v>
      </c>
      <c r="D332" s="196" t="s">
        <v>1988</v>
      </c>
      <c r="E332" s="196"/>
      <c r="F332" s="196">
        <v>1996</v>
      </c>
      <c r="G332" s="196"/>
      <c r="H332" s="196" t="s">
        <v>1878</v>
      </c>
      <c r="I332" s="141" t="s">
        <v>1879</v>
      </c>
      <c r="J332" s="196" t="s">
        <v>2197</v>
      </c>
      <c r="K332" s="196" t="s">
        <v>1881</v>
      </c>
      <c r="L332" s="141" t="s">
        <v>2198</v>
      </c>
      <c r="M332" s="196">
        <v>128</v>
      </c>
      <c r="N332" s="196"/>
      <c r="O332" s="196" t="s">
        <v>2131</v>
      </c>
      <c r="P332" s="144">
        <v>88</v>
      </c>
      <c r="Q332" s="145">
        <f t="shared" si="22"/>
        <v>1.9742999999999999</v>
      </c>
      <c r="R332" s="203">
        <v>0.49</v>
      </c>
      <c r="S332" s="203"/>
      <c r="T332" s="151"/>
      <c r="U332" s="151">
        <v>1.2</v>
      </c>
      <c r="V332" s="151">
        <v>0.25</v>
      </c>
      <c r="W332" s="151">
        <f t="shared" si="23"/>
        <v>0.49</v>
      </c>
      <c r="X332" s="152">
        <f t="shared" si="24"/>
        <v>3.4299999999999997E-2</v>
      </c>
      <c r="Y332" s="152"/>
      <c r="Z332" s="148"/>
      <c r="AA332" s="153"/>
      <c r="AB332" s="153"/>
      <c r="AC332" s="153"/>
      <c r="AD332" s="153"/>
      <c r="AH332" s="147"/>
      <c r="AI332" s="146" t="s">
        <v>51</v>
      </c>
      <c r="AJ332" s="146" t="s">
        <v>51</v>
      </c>
      <c r="AK332" s="146" t="s">
        <v>51</v>
      </c>
      <c r="AL332" s="203"/>
    </row>
    <row r="333" spans="1:38" s="146" customFormat="1" x14ac:dyDescent="0.25">
      <c r="A333" s="196">
        <v>1231</v>
      </c>
      <c r="B333" s="196" t="s">
        <v>2199</v>
      </c>
      <c r="C333" s="196" t="s">
        <v>2200</v>
      </c>
      <c r="D333" s="196" t="s">
        <v>1968</v>
      </c>
      <c r="E333" s="196"/>
      <c r="F333" s="196">
        <v>2005</v>
      </c>
      <c r="G333" s="196"/>
      <c r="H333" s="196" t="s">
        <v>1878</v>
      </c>
      <c r="I333" s="141" t="s">
        <v>1879</v>
      </c>
      <c r="J333" s="196" t="s">
        <v>2201</v>
      </c>
      <c r="K333" s="196" t="s">
        <v>1881</v>
      </c>
      <c r="L333" s="141" t="s">
        <v>2202</v>
      </c>
      <c r="M333" s="196">
        <v>272</v>
      </c>
      <c r="N333" s="196"/>
      <c r="O333" s="196" t="s">
        <v>2132</v>
      </c>
      <c r="P333" s="144">
        <v>283</v>
      </c>
      <c r="Q333" s="145">
        <f t="shared" si="22"/>
        <v>1.8673</v>
      </c>
      <c r="R333" s="203">
        <v>0.39</v>
      </c>
      <c r="S333" s="203"/>
      <c r="T333" s="151"/>
      <c r="U333" s="151">
        <v>1.2</v>
      </c>
      <c r="V333" s="151">
        <v>0.25</v>
      </c>
      <c r="W333" s="151">
        <f t="shared" si="23"/>
        <v>0.39</v>
      </c>
      <c r="X333" s="152">
        <f t="shared" si="24"/>
        <v>2.7300000000000001E-2</v>
      </c>
      <c r="Y333" s="152"/>
      <c r="Z333" s="148"/>
      <c r="AA333" s="153"/>
      <c r="AB333" s="153"/>
      <c r="AC333" s="153"/>
      <c r="AD333" s="153"/>
      <c r="AH333" s="147"/>
      <c r="AI333" s="146" t="s">
        <v>51</v>
      </c>
      <c r="AJ333" s="146" t="s">
        <v>51</v>
      </c>
      <c r="AK333" s="146" t="s">
        <v>51</v>
      </c>
      <c r="AL333" s="203"/>
    </row>
    <row r="334" spans="1:38" s="146" customFormat="1" x14ac:dyDescent="0.25">
      <c r="A334" s="196">
        <v>2522</v>
      </c>
      <c r="B334" s="196" t="s">
        <v>2203</v>
      </c>
      <c r="C334" s="196" t="s">
        <v>2204</v>
      </c>
      <c r="D334" s="196" t="s">
        <v>1920</v>
      </c>
      <c r="E334" s="196"/>
      <c r="F334" s="196">
        <v>1997</v>
      </c>
      <c r="G334" s="196"/>
      <c r="H334" s="196" t="s">
        <v>1878</v>
      </c>
      <c r="I334" s="141" t="s">
        <v>1879</v>
      </c>
      <c r="J334" s="143" t="s">
        <v>2205</v>
      </c>
      <c r="K334" s="196" t="s">
        <v>1881</v>
      </c>
      <c r="L334" s="141" t="s">
        <v>2206</v>
      </c>
      <c r="M334" s="196">
        <v>768</v>
      </c>
      <c r="N334" s="196"/>
      <c r="O334" s="196" t="s">
        <v>2133</v>
      </c>
      <c r="P334" s="144">
        <v>558</v>
      </c>
      <c r="Q334" s="145">
        <f t="shared" si="22"/>
        <v>2.2175000000000002</v>
      </c>
      <c r="R334" s="203">
        <v>0.25</v>
      </c>
      <c r="S334" s="203"/>
      <c r="T334" s="151"/>
      <c r="U334" s="151">
        <v>1.7</v>
      </c>
      <c r="V334" s="151">
        <v>0.25</v>
      </c>
      <c r="W334" s="151">
        <f t="shared" si="23"/>
        <v>0.25</v>
      </c>
      <c r="X334" s="152">
        <f t="shared" si="24"/>
        <v>1.7500000000000002E-2</v>
      </c>
      <c r="Y334" s="152"/>
      <c r="Z334" s="148"/>
      <c r="AA334" s="153"/>
      <c r="AB334" s="153"/>
      <c r="AC334" s="153"/>
      <c r="AD334" s="153"/>
      <c r="AH334" s="147"/>
      <c r="AI334" s="146" t="s">
        <v>51</v>
      </c>
      <c r="AJ334" s="146" t="s">
        <v>51</v>
      </c>
      <c r="AK334" s="146" t="s">
        <v>51</v>
      </c>
      <c r="AL334" s="203"/>
    </row>
    <row r="335" spans="1:38" s="146" customFormat="1" x14ac:dyDescent="0.25">
      <c r="A335" s="196">
        <v>637</v>
      </c>
      <c r="B335" s="196" t="s">
        <v>2207</v>
      </c>
      <c r="C335" s="196" t="s">
        <v>2208</v>
      </c>
      <c r="D335" s="196" t="s">
        <v>2209</v>
      </c>
      <c r="E335" s="196"/>
      <c r="F335" s="196">
        <v>1982</v>
      </c>
      <c r="G335" s="196"/>
      <c r="H335" s="196" t="s">
        <v>1878</v>
      </c>
      <c r="I335" s="141" t="s">
        <v>1879</v>
      </c>
      <c r="J335" s="143" t="s">
        <v>2205</v>
      </c>
      <c r="K335" s="196" t="s">
        <v>1881</v>
      </c>
      <c r="L335" s="141" t="s">
        <v>2210</v>
      </c>
      <c r="M335" s="196">
        <v>192</v>
      </c>
      <c r="N335" s="196"/>
      <c r="O335" s="196" t="s">
        <v>2134</v>
      </c>
      <c r="P335" s="144">
        <v>208</v>
      </c>
      <c r="Q335" s="145">
        <f t="shared" si="22"/>
        <v>1.8244999999999998</v>
      </c>
      <c r="R335" s="203">
        <v>0.35</v>
      </c>
      <c r="S335" s="203"/>
      <c r="T335" s="151"/>
      <c r="U335" s="151">
        <v>1.2</v>
      </c>
      <c r="V335" s="151">
        <v>0.25</v>
      </c>
      <c r="W335" s="151">
        <f t="shared" si="23"/>
        <v>0.35</v>
      </c>
      <c r="X335" s="152">
        <f t="shared" si="24"/>
        <v>2.4499999999999997E-2</v>
      </c>
      <c r="Y335" s="152"/>
      <c r="Z335" s="148"/>
      <c r="AA335" s="153"/>
      <c r="AB335" s="153"/>
      <c r="AC335" s="153"/>
      <c r="AD335" s="153"/>
      <c r="AH335" s="147"/>
      <c r="AI335" s="146" t="s">
        <v>51</v>
      </c>
      <c r="AJ335" s="146" t="s">
        <v>51</v>
      </c>
      <c r="AK335" s="146" t="s">
        <v>51</v>
      </c>
      <c r="AL335" s="203"/>
    </row>
    <row r="336" spans="1:38" s="146" customFormat="1" x14ac:dyDescent="0.25">
      <c r="A336" s="196">
        <v>1327</v>
      </c>
      <c r="B336" s="196" t="s">
        <v>2215</v>
      </c>
      <c r="C336" s="196" t="s">
        <v>2216</v>
      </c>
      <c r="D336" s="196" t="s">
        <v>2054</v>
      </c>
      <c r="E336" s="196"/>
      <c r="F336" s="196">
        <v>2007</v>
      </c>
      <c r="G336" s="196"/>
      <c r="H336" s="196" t="s">
        <v>2217</v>
      </c>
      <c r="I336" s="141" t="s">
        <v>1879</v>
      </c>
      <c r="J336" s="196"/>
      <c r="K336" s="196" t="s">
        <v>1881</v>
      </c>
      <c r="L336" s="141" t="s">
        <v>2218</v>
      </c>
      <c r="M336" s="196">
        <v>598</v>
      </c>
      <c r="N336" s="196"/>
      <c r="O336" s="196" t="s">
        <v>2136</v>
      </c>
      <c r="P336" s="144">
        <v>565</v>
      </c>
      <c r="Q336" s="145">
        <f t="shared" si="22"/>
        <v>3.0093000000000001</v>
      </c>
      <c r="R336" s="203">
        <v>0.99</v>
      </c>
      <c r="S336" s="203"/>
      <c r="T336" s="151"/>
      <c r="U336" s="151">
        <v>1.7</v>
      </c>
      <c r="V336" s="151">
        <v>0.25</v>
      </c>
      <c r="W336" s="151">
        <f t="shared" si="23"/>
        <v>0.99</v>
      </c>
      <c r="X336" s="152">
        <f t="shared" si="24"/>
        <v>6.93E-2</v>
      </c>
      <c r="Y336" s="152"/>
      <c r="Z336" s="148"/>
      <c r="AA336" s="153"/>
      <c r="AB336" s="153"/>
      <c r="AC336" s="153"/>
      <c r="AD336" s="153"/>
      <c r="AH336" s="147"/>
      <c r="AI336" s="146" t="s">
        <v>51</v>
      </c>
      <c r="AJ336" s="146" t="s">
        <v>51</v>
      </c>
      <c r="AK336" s="146" t="s">
        <v>51</v>
      </c>
      <c r="AL336" s="203"/>
    </row>
    <row r="337" spans="1:38" s="146" customFormat="1" x14ac:dyDescent="0.25">
      <c r="A337" s="196">
        <v>1386</v>
      </c>
      <c r="B337" s="196" t="s">
        <v>2219</v>
      </c>
      <c r="C337" s="196" t="s">
        <v>2220</v>
      </c>
      <c r="D337" s="196" t="s">
        <v>2221</v>
      </c>
      <c r="E337" s="196"/>
      <c r="F337" s="196">
        <v>2004</v>
      </c>
      <c r="G337" s="196"/>
      <c r="H337" s="196" t="s">
        <v>1928</v>
      </c>
      <c r="I337" s="141" t="s">
        <v>1879</v>
      </c>
      <c r="J337" s="196" t="s">
        <v>2222</v>
      </c>
      <c r="K337" s="196" t="s">
        <v>1881</v>
      </c>
      <c r="L337" s="141" t="s">
        <v>2223</v>
      </c>
      <c r="M337" s="196">
        <v>264</v>
      </c>
      <c r="N337" s="196"/>
      <c r="O337" s="196" t="s">
        <v>2137</v>
      </c>
      <c r="P337" s="144">
        <v>391</v>
      </c>
      <c r="Q337" s="145">
        <f t="shared" si="22"/>
        <v>2.6162999999999998</v>
      </c>
      <c r="R337" s="203">
        <v>1.0900000000000001</v>
      </c>
      <c r="S337" s="203"/>
      <c r="T337" s="151"/>
      <c r="U337" s="151">
        <v>1.2</v>
      </c>
      <c r="V337" s="151">
        <v>0.25</v>
      </c>
      <c r="W337" s="151">
        <f t="shared" si="23"/>
        <v>1.0900000000000001</v>
      </c>
      <c r="X337" s="152">
        <f t="shared" si="24"/>
        <v>7.6300000000000007E-2</v>
      </c>
      <c r="Y337" s="152"/>
      <c r="Z337" s="148"/>
      <c r="AA337" s="153"/>
      <c r="AB337" s="153"/>
      <c r="AC337" s="153"/>
      <c r="AD337" s="153"/>
      <c r="AH337" s="147"/>
      <c r="AI337" s="146" t="s">
        <v>51</v>
      </c>
      <c r="AJ337" s="146" t="s">
        <v>51</v>
      </c>
      <c r="AK337" s="146" t="s">
        <v>51</v>
      </c>
      <c r="AL337" s="203"/>
    </row>
    <row r="338" spans="1:38" s="146" customFormat="1" x14ac:dyDescent="0.25">
      <c r="A338" s="196">
        <v>684</v>
      </c>
      <c r="B338" s="196" t="s">
        <v>2224</v>
      </c>
      <c r="C338" s="196" t="s">
        <v>2225</v>
      </c>
      <c r="D338" s="196" t="s">
        <v>2176</v>
      </c>
      <c r="E338" s="196" t="s">
        <v>1899</v>
      </c>
      <c r="F338" s="196">
        <v>2003</v>
      </c>
      <c r="G338" s="196"/>
      <c r="H338" s="196" t="s">
        <v>1878</v>
      </c>
      <c r="I338" s="141" t="s">
        <v>1879</v>
      </c>
      <c r="J338" s="143" t="s">
        <v>2205</v>
      </c>
      <c r="K338" s="196" t="s">
        <v>1881</v>
      </c>
      <c r="L338" s="141" t="s">
        <v>2226</v>
      </c>
      <c r="M338" s="196">
        <v>256</v>
      </c>
      <c r="N338" s="196"/>
      <c r="O338" s="196" t="s">
        <v>2138</v>
      </c>
      <c r="P338" s="144">
        <v>368</v>
      </c>
      <c r="Q338" s="145">
        <f t="shared" si="22"/>
        <v>1.9315</v>
      </c>
      <c r="R338" s="203">
        <v>0.45</v>
      </c>
      <c r="S338" s="203"/>
      <c r="T338" s="151"/>
      <c r="U338" s="151">
        <v>1.2</v>
      </c>
      <c r="V338" s="151">
        <v>0.25</v>
      </c>
      <c r="W338" s="151">
        <f t="shared" si="23"/>
        <v>0.45</v>
      </c>
      <c r="X338" s="152">
        <f t="shared" si="24"/>
        <v>3.15E-2</v>
      </c>
      <c r="Y338" s="152"/>
      <c r="Z338" s="148"/>
      <c r="AA338" s="153"/>
      <c r="AB338" s="153"/>
      <c r="AC338" s="153"/>
      <c r="AD338" s="153"/>
      <c r="AH338" s="147"/>
      <c r="AI338" s="146" t="s">
        <v>51</v>
      </c>
      <c r="AJ338" s="146" t="s">
        <v>51</v>
      </c>
      <c r="AK338" s="146" t="s">
        <v>51</v>
      </c>
      <c r="AL338" s="203"/>
    </row>
    <row r="339" spans="1:38" s="146" customFormat="1" x14ac:dyDescent="0.25">
      <c r="A339" s="196">
        <v>2522</v>
      </c>
      <c r="B339" s="196" t="s">
        <v>2228</v>
      </c>
      <c r="C339" s="196" t="s">
        <v>2229</v>
      </c>
      <c r="D339" s="196" t="s">
        <v>1886</v>
      </c>
      <c r="E339" s="196"/>
      <c r="F339" s="196">
        <v>2006</v>
      </c>
      <c r="G339" s="196"/>
      <c r="H339" s="196" t="s">
        <v>1878</v>
      </c>
      <c r="I339" s="141" t="s">
        <v>1879</v>
      </c>
      <c r="J339" s="196"/>
      <c r="K339" s="196" t="s">
        <v>1881</v>
      </c>
      <c r="L339" s="141" t="s">
        <v>2227</v>
      </c>
      <c r="M339" s="196">
        <v>384</v>
      </c>
      <c r="N339" s="196"/>
      <c r="O339" s="196" t="s">
        <v>2139</v>
      </c>
      <c r="P339" s="144">
        <v>347</v>
      </c>
      <c r="Q339" s="145">
        <f t="shared" si="22"/>
        <v>2.1882999999999995</v>
      </c>
      <c r="R339" s="203">
        <v>0.69</v>
      </c>
      <c r="S339" s="203"/>
      <c r="T339" s="151"/>
      <c r="U339" s="151">
        <v>1.2</v>
      </c>
      <c r="V339" s="151">
        <v>0.25</v>
      </c>
      <c r="W339" s="151">
        <f t="shared" si="23"/>
        <v>0.69</v>
      </c>
      <c r="X339" s="152">
        <f t="shared" si="24"/>
        <v>4.8299999999999996E-2</v>
      </c>
      <c r="Y339" s="152"/>
      <c r="Z339" s="148"/>
      <c r="AA339" s="153"/>
      <c r="AB339" s="153"/>
      <c r="AC339" s="153"/>
      <c r="AD339" s="153"/>
      <c r="AH339" s="147"/>
      <c r="AI339" s="146" t="s">
        <v>51</v>
      </c>
      <c r="AJ339" s="146" t="s">
        <v>51</v>
      </c>
      <c r="AK339" s="146" t="s">
        <v>51</v>
      </c>
      <c r="AL339" s="203"/>
    </row>
    <row r="340" spans="1:38" s="146" customFormat="1" x14ac:dyDescent="0.25">
      <c r="A340" s="196">
        <v>1386</v>
      </c>
      <c r="B340" s="196" t="s">
        <v>2230</v>
      </c>
      <c r="C340" s="196" t="s">
        <v>2231</v>
      </c>
      <c r="D340" s="196" t="s">
        <v>2232</v>
      </c>
      <c r="E340" s="196" t="s">
        <v>2157</v>
      </c>
      <c r="F340" s="196">
        <v>2013</v>
      </c>
      <c r="G340" s="196"/>
      <c r="H340" s="196" t="s">
        <v>1878</v>
      </c>
      <c r="I340" s="141" t="s">
        <v>1879</v>
      </c>
      <c r="J340" s="196"/>
      <c r="K340" s="196" t="s">
        <v>1881</v>
      </c>
      <c r="L340" s="141" t="s">
        <v>2233</v>
      </c>
      <c r="M340" s="196">
        <v>480</v>
      </c>
      <c r="N340" s="196"/>
      <c r="O340" s="196" t="s">
        <v>2140</v>
      </c>
      <c r="P340" s="144">
        <v>395</v>
      </c>
      <c r="Q340" s="145">
        <f t="shared" si="22"/>
        <v>1.7175</v>
      </c>
      <c r="R340" s="203">
        <v>0.25</v>
      </c>
      <c r="S340" s="203"/>
      <c r="T340" s="151"/>
      <c r="U340" s="151">
        <v>1.2</v>
      </c>
      <c r="V340" s="151">
        <v>0.25</v>
      </c>
      <c r="W340" s="151">
        <f t="shared" si="23"/>
        <v>0.25</v>
      </c>
      <c r="X340" s="152">
        <f t="shared" si="24"/>
        <v>1.7500000000000002E-2</v>
      </c>
      <c r="Y340" s="152"/>
      <c r="Z340" s="148"/>
      <c r="AA340" s="153"/>
      <c r="AB340" s="153"/>
      <c r="AC340" s="153"/>
      <c r="AD340" s="153"/>
      <c r="AH340" s="147"/>
      <c r="AI340" s="146" t="s">
        <v>51</v>
      </c>
      <c r="AJ340" s="146" t="s">
        <v>51</v>
      </c>
      <c r="AK340" s="146" t="s">
        <v>51</v>
      </c>
      <c r="AL340" s="203"/>
    </row>
    <row r="341" spans="1:38" s="146" customFormat="1" x14ac:dyDescent="0.25">
      <c r="A341" s="196">
        <v>632</v>
      </c>
      <c r="B341" s="196" t="s">
        <v>2234</v>
      </c>
      <c r="C341" s="196" t="s">
        <v>2235</v>
      </c>
      <c r="D341" s="196" t="s">
        <v>2236</v>
      </c>
      <c r="E341" s="196"/>
      <c r="F341" s="196">
        <v>2010</v>
      </c>
      <c r="G341" s="196"/>
      <c r="H341" s="196" t="s">
        <v>1878</v>
      </c>
      <c r="I341" s="141" t="s">
        <v>1879</v>
      </c>
      <c r="J341" s="196" t="s">
        <v>2237</v>
      </c>
      <c r="K341" s="196" t="s">
        <v>1881</v>
      </c>
      <c r="L341" s="141" t="s">
        <v>2238</v>
      </c>
      <c r="M341" s="196">
        <v>328</v>
      </c>
      <c r="N341" s="196"/>
      <c r="O341" s="196" t="s">
        <v>2141</v>
      </c>
      <c r="P341" s="144">
        <v>320</v>
      </c>
      <c r="Q341" s="145">
        <f t="shared" si="22"/>
        <v>1.9742999999999999</v>
      </c>
      <c r="R341" s="203">
        <v>0.49</v>
      </c>
      <c r="S341" s="203"/>
      <c r="T341" s="151"/>
      <c r="U341" s="151">
        <v>1.2</v>
      </c>
      <c r="V341" s="151">
        <v>0.25</v>
      </c>
      <c r="W341" s="151">
        <f t="shared" si="23"/>
        <v>0.49</v>
      </c>
      <c r="X341" s="152">
        <f t="shared" si="24"/>
        <v>3.4299999999999997E-2</v>
      </c>
      <c r="Y341" s="152"/>
      <c r="Z341" s="148"/>
      <c r="AA341" s="153"/>
      <c r="AB341" s="153"/>
      <c r="AC341" s="153"/>
      <c r="AD341" s="153"/>
      <c r="AH341" s="147"/>
      <c r="AI341" s="146" t="s">
        <v>51</v>
      </c>
      <c r="AJ341" s="146" t="s">
        <v>51</v>
      </c>
      <c r="AK341" s="146" t="s">
        <v>51</v>
      </c>
      <c r="AL341" s="203"/>
    </row>
    <row r="342" spans="1:38" s="146" customFormat="1" x14ac:dyDescent="0.25">
      <c r="A342" s="196">
        <v>1324</v>
      </c>
      <c r="B342" s="196" t="s">
        <v>2239</v>
      </c>
      <c r="C342" s="196" t="s">
        <v>2240</v>
      </c>
      <c r="D342" s="196" t="s">
        <v>2209</v>
      </c>
      <c r="E342" s="196"/>
      <c r="F342" s="196">
        <v>2006</v>
      </c>
      <c r="G342" s="196"/>
      <c r="H342" s="196" t="s">
        <v>2217</v>
      </c>
      <c r="I342" s="141" t="s">
        <v>1879</v>
      </c>
      <c r="J342" s="196" t="s">
        <v>2237</v>
      </c>
      <c r="K342" s="196" t="s">
        <v>1881</v>
      </c>
      <c r="L342" s="141" t="s">
        <v>2241</v>
      </c>
      <c r="M342" s="196">
        <v>256</v>
      </c>
      <c r="N342" s="196"/>
      <c r="O342" s="196" t="s">
        <v>2142</v>
      </c>
      <c r="P342" s="144">
        <v>397</v>
      </c>
      <c r="Q342" s="145">
        <f t="shared" si="22"/>
        <v>2.4022999999999999</v>
      </c>
      <c r="R342" s="203">
        <v>0.89</v>
      </c>
      <c r="S342" s="203"/>
      <c r="T342" s="151"/>
      <c r="U342" s="151">
        <v>1.2</v>
      </c>
      <c r="V342" s="151">
        <v>0.25</v>
      </c>
      <c r="W342" s="151">
        <f t="shared" si="23"/>
        <v>0.89</v>
      </c>
      <c r="X342" s="152">
        <f t="shared" si="24"/>
        <v>6.2300000000000001E-2</v>
      </c>
      <c r="Y342" s="152"/>
      <c r="Z342" s="148"/>
      <c r="AA342" s="153"/>
      <c r="AB342" s="153"/>
      <c r="AC342" s="153"/>
      <c r="AD342" s="153"/>
      <c r="AH342" s="147"/>
      <c r="AI342" s="146" t="s">
        <v>51</v>
      </c>
      <c r="AJ342" s="146" t="s">
        <v>51</v>
      </c>
      <c r="AK342" s="146" t="s">
        <v>51</v>
      </c>
      <c r="AL342" s="203"/>
    </row>
    <row r="343" spans="1:38" s="146" customFormat="1" x14ac:dyDescent="0.25">
      <c r="A343" s="196">
        <v>632</v>
      </c>
      <c r="B343" s="196" t="s">
        <v>2242</v>
      </c>
      <c r="C343" s="196" t="s">
        <v>2243</v>
      </c>
      <c r="D343" s="196" t="s">
        <v>2244</v>
      </c>
      <c r="E343" s="196"/>
      <c r="F343" s="196">
        <v>2003</v>
      </c>
      <c r="G343" s="196"/>
      <c r="H343" s="196" t="s">
        <v>1928</v>
      </c>
      <c r="I343" s="141" t="s">
        <v>1929</v>
      </c>
      <c r="J343" s="196" t="s">
        <v>2237</v>
      </c>
      <c r="K343" s="196" t="s">
        <v>1881</v>
      </c>
      <c r="L343" s="141" t="s">
        <v>2245</v>
      </c>
      <c r="M343" s="196">
        <v>642</v>
      </c>
      <c r="N343" s="196"/>
      <c r="O343" s="196" t="s">
        <v>2143</v>
      </c>
      <c r="P343" s="144">
        <v>762</v>
      </c>
      <c r="Q343" s="145">
        <f t="shared" si="22"/>
        <v>2.3672999999999997</v>
      </c>
      <c r="R343" s="203">
        <v>0.39</v>
      </c>
      <c r="S343" s="203"/>
      <c r="T343" s="151"/>
      <c r="U343" s="151">
        <v>1.7</v>
      </c>
      <c r="V343" s="151">
        <v>0.25</v>
      </c>
      <c r="W343" s="151">
        <f t="shared" si="23"/>
        <v>0.39</v>
      </c>
      <c r="X343" s="152">
        <f t="shared" si="24"/>
        <v>2.7300000000000001E-2</v>
      </c>
      <c r="Y343" s="152"/>
      <c r="Z343" s="148"/>
      <c r="AA343" s="153"/>
      <c r="AB343" s="153"/>
      <c r="AC343" s="153"/>
      <c r="AD343" s="153"/>
      <c r="AH343" s="147"/>
      <c r="AI343" s="146" t="s">
        <v>51</v>
      </c>
      <c r="AJ343" s="146" t="s">
        <v>51</v>
      </c>
      <c r="AK343" s="146" t="s">
        <v>51</v>
      </c>
      <c r="AL343" s="203"/>
    </row>
    <row r="344" spans="1:38" s="146" customFormat="1" x14ac:dyDescent="0.25">
      <c r="A344" s="196">
        <v>1913</v>
      </c>
      <c r="B344" s="196" t="s">
        <v>2248</v>
      </c>
      <c r="C344" s="196" t="s">
        <v>2249</v>
      </c>
      <c r="D344" s="196" t="s">
        <v>2250</v>
      </c>
      <c r="E344" s="196" t="s">
        <v>2175</v>
      </c>
      <c r="F344" s="196">
        <v>2012</v>
      </c>
      <c r="G344" s="196"/>
      <c r="H344" s="196" t="s">
        <v>1878</v>
      </c>
      <c r="I344" s="141" t="s">
        <v>1879</v>
      </c>
      <c r="J344" s="196"/>
      <c r="K344" s="196" t="s">
        <v>1881</v>
      </c>
      <c r="L344" s="141" t="s">
        <v>2251</v>
      </c>
      <c r="M344" s="196">
        <v>256</v>
      </c>
      <c r="N344" s="196"/>
      <c r="O344" s="196" t="s">
        <v>2246</v>
      </c>
      <c r="P344" s="144">
        <v>248</v>
      </c>
      <c r="Q344" s="145">
        <f t="shared" si="22"/>
        <v>2.9373</v>
      </c>
      <c r="R344" s="203">
        <v>1.39</v>
      </c>
      <c r="S344" s="203"/>
      <c r="T344" s="151"/>
      <c r="U344" s="151">
        <v>1.2</v>
      </c>
      <c r="V344" s="151">
        <v>0.25</v>
      </c>
      <c r="W344" s="151">
        <f t="shared" si="23"/>
        <v>1.39</v>
      </c>
      <c r="X344" s="152">
        <f t="shared" si="24"/>
        <v>9.7299999999999998E-2</v>
      </c>
      <c r="Y344" s="152"/>
      <c r="Z344" s="148"/>
      <c r="AA344" s="153"/>
      <c r="AB344" s="153"/>
      <c r="AC344" s="153"/>
      <c r="AD344" s="153"/>
      <c r="AH344" s="147"/>
      <c r="AI344" s="146" t="s">
        <v>51</v>
      </c>
      <c r="AJ344" s="146" t="s">
        <v>51</v>
      </c>
      <c r="AK344" s="146" t="s">
        <v>51</v>
      </c>
      <c r="AL344" s="203"/>
    </row>
    <row r="345" spans="1:38" s="146" customFormat="1" ht="66" x14ac:dyDescent="0.25">
      <c r="A345" s="196">
        <v>2571</v>
      </c>
      <c r="B345" s="196" t="s">
        <v>2255</v>
      </c>
      <c r="C345" s="196" t="s">
        <v>2256</v>
      </c>
      <c r="D345" s="196" t="s">
        <v>2257</v>
      </c>
      <c r="E345" s="196"/>
      <c r="F345" s="196">
        <v>2005</v>
      </c>
      <c r="G345" s="196"/>
      <c r="H345" s="196" t="s">
        <v>1878</v>
      </c>
      <c r="I345" s="141" t="s">
        <v>1929</v>
      </c>
      <c r="J345" s="52" t="s">
        <v>2258</v>
      </c>
      <c r="K345" s="196" t="s">
        <v>1881</v>
      </c>
      <c r="L345" s="141" t="s">
        <v>2291</v>
      </c>
      <c r="M345" s="196">
        <v>528</v>
      </c>
      <c r="N345" s="196"/>
      <c r="O345" s="196" t="s">
        <v>2259</v>
      </c>
      <c r="P345" s="144">
        <v>394</v>
      </c>
      <c r="Q345" s="145">
        <f t="shared" si="22"/>
        <v>2.5093000000000001</v>
      </c>
      <c r="R345" s="203">
        <v>0.99</v>
      </c>
      <c r="S345" s="203"/>
      <c r="T345" s="151"/>
      <c r="U345" s="151">
        <v>1.2</v>
      </c>
      <c r="V345" s="151">
        <v>0.25</v>
      </c>
      <c r="W345" s="151">
        <f t="shared" si="23"/>
        <v>0.99</v>
      </c>
      <c r="X345" s="152">
        <f t="shared" si="24"/>
        <v>6.93E-2</v>
      </c>
      <c r="Y345" s="152"/>
      <c r="Z345" s="148"/>
      <c r="AA345" s="153"/>
      <c r="AB345" s="153"/>
      <c r="AC345" s="153"/>
      <c r="AD345" s="153"/>
      <c r="AH345" s="147"/>
      <c r="AI345" s="146" t="s">
        <v>51</v>
      </c>
      <c r="AJ345" s="146" t="s">
        <v>51</v>
      </c>
      <c r="AK345" s="146" t="s">
        <v>51</v>
      </c>
      <c r="AL345" s="203"/>
    </row>
    <row r="346" spans="1:38" s="146" customFormat="1" x14ac:dyDescent="0.25">
      <c r="A346" s="196">
        <v>2514</v>
      </c>
      <c r="B346" s="196" t="s">
        <v>2292</v>
      </c>
      <c r="C346" s="196" t="s">
        <v>2293</v>
      </c>
      <c r="D346" s="196" t="s">
        <v>2294</v>
      </c>
      <c r="E346" s="196"/>
      <c r="F346" s="196">
        <v>2004</v>
      </c>
      <c r="G346" s="196"/>
      <c r="H346" s="196" t="s">
        <v>2295</v>
      </c>
      <c r="I346" s="141" t="s">
        <v>1929</v>
      </c>
      <c r="J346" s="196" t="s">
        <v>2296</v>
      </c>
      <c r="K346" s="196" t="s">
        <v>1881</v>
      </c>
      <c r="L346" s="141" t="s">
        <v>2297</v>
      </c>
      <c r="M346" s="196">
        <v>34</v>
      </c>
      <c r="N346" s="196"/>
      <c r="O346" s="196" t="s">
        <v>2260</v>
      </c>
      <c r="P346" s="144">
        <v>250</v>
      </c>
      <c r="Q346" s="145">
        <f t="shared" si="22"/>
        <v>5.1843000000000004</v>
      </c>
      <c r="R346" s="203">
        <v>3.49</v>
      </c>
      <c r="S346" s="203"/>
      <c r="T346" s="151"/>
      <c r="U346" s="151">
        <v>1.2</v>
      </c>
      <c r="V346" s="151">
        <v>0.25</v>
      </c>
      <c r="W346" s="151">
        <f t="shared" si="23"/>
        <v>3.49</v>
      </c>
      <c r="X346" s="152">
        <f t="shared" si="24"/>
        <v>0.24430000000000002</v>
      </c>
      <c r="Y346" s="152"/>
      <c r="Z346" s="148"/>
      <c r="AA346" s="153"/>
      <c r="AB346" s="153"/>
      <c r="AC346" s="153"/>
      <c r="AD346" s="153"/>
      <c r="AH346" s="147"/>
      <c r="AI346" s="146" t="s">
        <v>51</v>
      </c>
      <c r="AJ346" s="146" t="s">
        <v>51</v>
      </c>
      <c r="AK346" s="146" t="s">
        <v>51</v>
      </c>
      <c r="AL346" s="203"/>
    </row>
    <row r="347" spans="1:38" s="146" customFormat="1" x14ac:dyDescent="0.25">
      <c r="A347" s="196">
        <v>1327</v>
      </c>
      <c r="B347" s="196" t="s">
        <v>2298</v>
      </c>
      <c r="C347" s="196" t="s">
        <v>2299</v>
      </c>
      <c r="D347" s="196" t="s">
        <v>2300</v>
      </c>
      <c r="E347" s="196"/>
      <c r="F347" s="196">
        <v>1992</v>
      </c>
      <c r="G347" s="196"/>
      <c r="H347" s="196" t="s">
        <v>1878</v>
      </c>
      <c r="I347" s="141" t="s">
        <v>1879</v>
      </c>
      <c r="J347" s="196" t="s">
        <v>2301</v>
      </c>
      <c r="K347" s="196" t="s">
        <v>1881</v>
      </c>
      <c r="L347" s="141" t="s">
        <v>2302</v>
      </c>
      <c r="M347" s="196">
        <v>288</v>
      </c>
      <c r="N347" s="196"/>
      <c r="O347" s="196" t="s">
        <v>2261</v>
      </c>
      <c r="P347" s="144">
        <v>288</v>
      </c>
      <c r="Q347" s="145">
        <f t="shared" si="22"/>
        <v>1.7175</v>
      </c>
      <c r="R347" s="203">
        <v>0.25</v>
      </c>
      <c r="S347" s="203"/>
      <c r="T347" s="151"/>
      <c r="U347" s="151">
        <v>1.2</v>
      </c>
      <c r="V347" s="151">
        <v>0.25</v>
      </c>
      <c r="W347" s="151">
        <f t="shared" si="23"/>
        <v>0.25</v>
      </c>
      <c r="X347" s="152">
        <f t="shared" si="24"/>
        <v>1.7500000000000002E-2</v>
      </c>
      <c r="Y347" s="152"/>
      <c r="Z347" s="148"/>
      <c r="AA347" s="153"/>
      <c r="AB347" s="153"/>
      <c r="AC347" s="153"/>
      <c r="AD347" s="153"/>
      <c r="AH347" s="147"/>
      <c r="AI347" s="146" t="s">
        <v>51</v>
      </c>
      <c r="AJ347" s="146" t="s">
        <v>51</v>
      </c>
      <c r="AK347" s="146" t="s">
        <v>51</v>
      </c>
      <c r="AL347" s="203"/>
    </row>
    <row r="348" spans="1:38" s="146" customFormat="1" x14ac:dyDescent="0.25">
      <c r="A348" s="196">
        <v>1818</v>
      </c>
      <c r="B348" s="196" t="s">
        <v>2303</v>
      </c>
      <c r="C348" s="196" t="s">
        <v>2304</v>
      </c>
      <c r="D348" s="196" t="s">
        <v>2176</v>
      </c>
      <c r="E348" s="196"/>
      <c r="F348" s="196">
        <v>2001</v>
      </c>
      <c r="G348" s="196"/>
      <c r="H348" s="196" t="s">
        <v>1878</v>
      </c>
      <c r="I348" s="141" t="s">
        <v>1879</v>
      </c>
      <c r="J348" s="196" t="s">
        <v>2305</v>
      </c>
      <c r="K348" s="196" t="s">
        <v>1881</v>
      </c>
      <c r="L348" s="141" t="s">
        <v>2306</v>
      </c>
      <c r="M348" s="196">
        <v>256</v>
      </c>
      <c r="N348" s="196"/>
      <c r="O348" s="196" t="s">
        <v>2262</v>
      </c>
      <c r="P348" s="144">
        <v>326</v>
      </c>
      <c r="Q348" s="145">
        <f t="shared" si="22"/>
        <v>2.1882999999999995</v>
      </c>
      <c r="R348" s="203">
        <v>0.69</v>
      </c>
      <c r="S348" s="203"/>
      <c r="T348" s="151"/>
      <c r="U348" s="151">
        <v>1.2</v>
      </c>
      <c r="V348" s="151">
        <v>0.25</v>
      </c>
      <c r="W348" s="151">
        <f t="shared" si="23"/>
        <v>0.69</v>
      </c>
      <c r="X348" s="152">
        <f t="shared" si="24"/>
        <v>4.8299999999999996E-2</v>
      </c>
      <c r="Y348" s="152"/>
      <c r="Z348" s="148"/>
      <c r="AA348" s="153"/>
      <c r="AB348" s="153"/>
      <c r="AC348" s="153"/>
      <c r="AD348" s="153"/>
      <c r="AH348" s="147"/>
      <c r="AI348" s="146" t="s">
        <v>51</v>
      </c>
      <c r="AJ348" s="146" t="s">
        <v>51</v>
      </c>
      <c r="AK348" s="146" t="s">
        <v>51</v>
      </c>
      <c r="AL348" s="203"/>
    </row>
    <row r="349" spans="1:38" s="146" customFormat="1" x14ac:dyDescent="0.25">
      <c r="A349" s="196">
        <v>1339</v>
      </c>
      <c r="B349" s="196" t="s">
        <v>2312</v>
      </c>
      <c r="C349" s="196" t="s">
        <v>2313</v>
      </c>
      <c r="D349" s="196" t="s">
        <v>2068</v>
      </c>
      <c r="E349" s="196"/>
      <c r="F349" s="196">
        <v>2000</v>
      </c>
      <c r="G349" s="196"/>
      <c r="H349" s="196" t="s">
        <v>2314</v>
      </c>
      <c r="I349" s="141" t="s">
        <v>1879</v>
      </c>
      <c r="J349" s="196" t="s">
        <v>2315</v>
      </c>
      <c r="K349" s="196" t="s">
        <v>1881</v>
      </c>
      <c r="L349" s="141" t="s">
        <v>2316</v>
      </c>
      <c r="M349" s="196">
        <v>80</v>
      </c>
      <c r="N349" s="196"/>
      <c r="O349" s="196" t="s">
        <v>2264</v>
      </c>
      <c r="P349" s="144">
        <v>194</v>
      </c>
      <c r="Q349" s="145">
        <f t="shared" si="22"/>
        <v>1.7175</v>
      </c>
      <c r="R349" s="203">
        <v>0.25</v>
      </c>
      <c r="S349" s="203"/>
      <c r="T349" s="151"/>
      <c r="U349" s="151">
        <v>1.2</v>
      </c>
      <c r="V349" s="151">
        <v>0.25</v>
      </c>
      <c r="W349" s="151">
        <f t="shared" si="23"/>
        <v>0.25</v>
      </c>
      <c r="X349" s="152">
        <f t="shared" si="24"/>
        <v>1.7500000000000002E-2</v>
      </c>
      <c r="Y349" s="152"/>
      <c r="Z349" s="148"/>
      <c r="AA349" s="153"/>
      <c r="AB349" s="153"/>
      <c r="AC349" s="153"/>
      <c r="AD349" s="153"/>
      <c r="AH349" s="147"/>
      <c r="AI349" s="146" t="s">
        <v>51</v>
      </c>
      <c r="AJ349" s="146" t="s">
        <v>51</v>
      </c>
      <c r="AK349" s="146" t="s">
        <v>51</v>
      </c>
      <c r="AL349" s="203"/>
    </row>
    <row r="350" spans="1:38" s="146" customFormat="1" x14ac:dyDescent="0.25">
      <c r="A350" s="196">
        <v>796</v>
      </c>
      <c r="B350" s="196" t="s">
        <v>2317</v>
      </c>
      <c r="C350" s="196" t="s">
        <v>2318</v>
      </c>
      <c r="D350" s="196" t="s">
        <v>2319</v>
      </c>
      <c r="E350" s="196"/>
      <c r="F350" s="196">
        <v>2008</v>
      </c>
      <c r="G350" s="196"/>
      <c r="H350" s="196" t="s">
        <v>1878</v>
      </c>
      <c r="I350" s="141" t="s">
        <v>1879</v>
      </c>
      <c r="J350" s="196" t="s">
        <v>2320</v>
      </c>
      <c r="K350" s="196" t="s">
        <v>1881</v>
      </c>
      <c r="L350" s="141"/>
      <c r="M350" s="196">
        <v>544</v>
      </c>
      <c r="N350" s="196"/>
      <c r="O350" s="196" t="s">
        <v>2265</v>
      </c>
      <c r="P350" s="144">
        <v>397</v>
      </c>
      <c r="Q350" s="145">
        <f t="shared" ref="Q350:Q408" si="25">SUM(T350:X350)</f>
        <v>1.9636</v>
      </c>
      <c r="R350" s="203">
        <v>0.48</v>
      </c>
      <c r="S350" s="203"/>
      <c r="T350" s="151"/>
      <c r="U350" s="151">
        <v>1.2</v>
      </c>
      <c r="V350" s="151">
        <v>0.25</v>
      </c>
      <c r="W350" s="151">
        <f t="shared" ref="W350:W408" si="26">IF(R350&gt;T350,R350,T350)</f>
        <v>0.48</v>
      </c>
      <c r="X350" s="152">
        <f t="shared" ref="X350:X408" si="27">(T350+W350)/100*7</f>
        <v>3.3599999999999998E-2</v>
      </c>
      <c r="Y350" s="152"/>
      <c r="Z350" s="148"/>
      <c r="AA350" s="153"/>
      <c r="AB350" s="153"/>
      <c r="AC350" s="153"/>
      <c r="AD350" s="153"/>
      <c r="AH350" s="147"/>
      <c r="AI350" s="146" t="s">
        <v>51</v>
      </c>
      <c r="AJ350" s="146" t="s">
        <v>51</v>
      </c>
      <c r="AK350" s="146" t="s">
        <v>51</v>
      </c>
      <c r="AL350" s="203"/>
    </row>
    <row r="351" spans="1:38" s="146" customFormat="1" x14ac:dyDescent="0.25">
      <c r="A351" s="196">
        <v>2522</v>
      </c>
      <c r="B351" s="196" t="s">
        <v>2321</v>
      </c>
      <c r="C351" s="196" t="s">
        <v>2322</v>
      </c>
      <c r="D351" s="196" t="s">
        <v>1912</v>
      </c>
      <c r="E351" s="196" t="s">
        <v>1877</v>
      </c>
      <c r="F351" s="196">
        <v>2006</v>
      </c>
      <c r="G351" s="196"/>
      <c r="H351" s="196" t="s">
        <v>1878</v>
      </c>
      <c r="I351" s="141" t="s">
        <v>1929</v>
      </c>
      <c r="J351" s="143" t="s">
        <v>2323</v>
      </c>
      <c r="K351" s="196" t="s">
        <v>1881</v>
      </c>
      <c r="L351" s="141" t="s">
        <v>2324</v>
      </c>
      <c r="M351" s="196">
        <v>512</v>
      </c>
      <c r="N351" s="196"/>
      <c r="O351" s="196" t="s">
        <v>2266</v>
      </c>
      <c r="P351" s="144">
        <v>399</v>
      </c>
      <c r="Q351" s="145">
        <f t="shared" si="25"/>
        <v>2.5093000000000001</v>
      </c>
      <c r="R351" s="203">
        <v>0.99</v>
      </c>
      <c r="S351" s="203"/>
      <c r="T351" s="151"/>
      <c r="U351" s="151">
        <v>1.2</v>
      </c>
      <c r="V351" s="151">
        <v>0.25</v>
      </c>
      <c r="W351" s="151">
        <f t="shared" si="26"/>
        <v>0.99</v>
      </c>
      <c r="X351" s="152">
        <f t="shared" si="27"/>
        <v>6.93E-2</v>
      </c>
      <c r="Y351" s="152"/>
      <c r="Z351" s="148"/>
      <c r="AA351" s="153"/>
      <c r="AB351" s="153"/>
      <c r="AC351" s="153"/>
      <c r="AD351" s="153"/>
      <c r="AH351" s="147"/>
      <c r="AI351" s="146" t="s">
        <v>51</v>
      </c>
      <c r="AJ351" s="146" t="s">
        <v>51</v>
      </c>
      <c r="AK351" s="146" t="s">
        <v>51</v>
      </c>
      <c r="AL351" s="203"/>
    </row>
    <row r="352" spans="1:38" s="146" customFormat="1" x14ac:dyDescent="0.25">
      <c r="A352" s="196">
        <v>853</v>
      </c>
      <c r="B352" s="196" t="s">
        <v>2325</v>
      </c>
      <c r="C352" s="196" t="s">
        <v>2326</v>
      </c>
      <c r="D352" s="196" t="s">
        <v>2327</v>
      </c>
      <c r="E352" s="196"/>
      <c r="F352" s="196">
        <v>1993</v>
      </c>
      <c r="G352" s="196"/>
      <c r="H352" s="196" t="s">
        <v>2295</v>
      </c>
      <c r="I352" s="141" t="s">
        <v>1879</v>
      </c>
      <c r="J352" s="196" t="s">
        <v>2328</v>
      </c>
      <c r="K352" s="196" t="s">
        <v>1881</v>
      </c>
      <c r="L352" s="141" t="s">
        <v>2329</v>
      </c>
      <c r="M352" s="196">
        <v>282</v>
      </c>
      <c r="N352" s="196"/>
      <c r="O352" s="196" t="s">
        <v>2267</v>
      </c>
      <c r="P352" s="144">
        <v>389</v>
      </c>
      <c r="Q352" s="145">
        <f t="shared" si="25"/>
        <v>3.0442999999999998</v>
      </c>
      <c r="R352" s="203">
        <v>1.49</v>
      </c>
      <c r="S352" s="203"/>
      <c r="T352" s="151"/>
      <c r="U352" s="151">
        <v>1.2</v>
      </c>
      <c r="V352" s="151">
        <v>0.25</v>
      </c>
      <c r="W352" s="151">
        <f t="shared" si="26"/>
        <v>1.49</v>
      </c>
      <c r="X352" s="152">
        <f t="shared" si="27"/>
        <v>0.1043</v>
      </c>
      <c r="Y352" s="152"/>
      <c r="Z352" s="148"/>
      <c r="AA352" s="153"/>
      <c r="AB352" s="153"/>
      <c r="AC352" s="153"/>
      <c r="AD352" s="153"/>
      <c r="AH352" s="147"/>
      <c r="AI352" s="146" t="s">
        <v>51</v>
      </c>
      <c r="AJ352" s="146" t="s">
        <v>51</v>
      </c>
      <c r="AK352" s="146" t="s">
        <v>51</v>
      </c>
      <c r="AL352" s="203"/>
    </row>
    <row r="353" spans="1:38" s="146" customFormat="1" x14ac:dyDescent="0.25">
      <c r="A353" s="196">
        <v>796</v>
      </c>
      <c r="B353" s="196" t="s">
        <v>2330</v>
      </c>
      <c r="C353" s="196" t="s">
        <v>2331</v>
      </c>
      <c r="D353" s="196" t="s">
        <v>2054</v>
      </c>
      <c r="E353" s="196"/>
      <c r="F353" s="196">
        <v>2014</v>
      </c>
      <c r="G353" s="196"/>
      <c r="H353" s="196" t="s">
        <v>1878</v>
      </c>
      <c r="I353" s="141" t="s">
        <v>1879</v>
      </c>
      <c r="J353" s="196" t="s">
        <v>2332</v>
      </c>
      <c r="K353" s="196" t="s">
        <v>1881</v>
      </c>
      <c r="L353" s="141" t="s">
        <v>2333</v>
      </c>
      <c r="M353" s="196">
        <v>416</v>
      </c>
      <c r="N353" s="196"/>
      <c r="O353" s="196" t="s">
        <v>2268</v>
      </c>
      <c r="P353" s="144">
        <v>411</v>
      </c>
      <c r="Q353" s="145">
        <f t="shared" si="25"/>
        <v>2.5093000000000001</v>
      </c>
      <c r="R353" s="203">
        <v>0.99</v>
      </c>
      <c r="S353" s="203"/>
      <c r="T353" s="151"/>
      <c r="U353" s="151">
        <v>1.2</v>
      </c>
      <c r="V353" s="151">
        <v>0.25</v>
      </c>
      <c r="W353" s="151">
        <f t="shared" si="26"/>
        <v>0.99</v>
      </c>
      <c r="X353" s="152">
        <f t="shared" si="27"/>
        <v>6.93E-2</v>
      </c>
      <c r="Y353" s="152"/>
      <c r="Z353" s="148"/>
      <c r="AA353" s="153"/>
      <c r="AB353" s="153"/>
      <c r="AC353" s="153"/>
      <c r="AD353" s="153"/>
      <c r="AH353" s="147"/>
      <c r="AI353" s="146" t="s">
        <v>51</v>
      </c>
      <c r="AJ353" s="146" t="s">
        <v>51</v>
      </c>
      <c r="AK353" s="146" t="s">
        <v>51</v>
      </c>
      <c r="AL353" s="203"/>
    </row>
    <row r="354" spans="1:38" s="146" customFormat="1" x14ac:dyDescent="0.25">
      <c r="A354" s="196">
        <v>2522</v>
      </c>
      <c r="B354" s="196" t="s">
        <v>2191</v>
      </c>
      <c r="C354" s="196" t="s">
        <v>2334</v>
      </c>
      <c r="D354" s="196" t="s">
        <v>1912</v>
      </c>
      <c r="E354" s="196" t="s">
        <v>2335</v>
      </c>
      <c r="F354" s="196">
        <v>2012</v>
      </c>
      <c r="G354" s="196"/>
      <c r="H354" s="196" t="s">
        <v>1878</v>
      </c>
      <c r="I354" s="141" t="s">
        <v>1929</v>
      </c>
      <c r="J354" s="196" t="s">
        <v>2336</v>
      </c>
      <c r="K354" s="196" t="s">
        <v>1881</v>
      </c>
      <c r="L354" s="141" t="s">
        <v>2337</v>
      </c>
      <c r="M354" s="196">
        <v>432</v>
      </c>
      <c r="N354" s="196"/>
      <c r="O354" s="196" t="s">
        <v>2269</v>
      </c>
      <c r="P354" s="144">
        <v>378</v>
      </c>
      <c r="Q354" s="145">
        <f t="shared" si="25"/>
        <v>2.6162999999999998</v>
      </c>
      <c r="R354" s="203">
        <v>1.0900000000000001</v>
      </c>
      <c r="S354" s="203"/>
      <c r="T354" s="151"/>
      <c r="U354" s="151">
        <v>1.2</v>
      </c>
      <c r="V354" s="151">
        <v>0.25</v>
      </c>
      <c r="W354" s="151">
        <f t="shared" si="26"/>
        <v>1.0900000000000001</v>
      </c>
      <c r="X354" s="152">
        <f t="shared" si="27"/>
        <v>7.6300000000000007E-2</v>
      </c>
      <c r="Y354" s="152"/>
      <c r="Z354" s="148"/>
      <c r="AA354" s="153"/>
      <c r="AB354" s="153"/>
      <c r="AC354" s="153"/>
      <c r="AD354" s="153"/>
      <c r="AH354" s="147"/>
      <c r="AI354" s="146" t="s">
        <v>51</v>
      </c>
      <c r="AJ354" s="146" t="s">
        <v>51</v>
      </c>
      <c r="AK354" s="146" t="s">
        <v>51</v>
      </c>
      <c r="AL354" s="203"/>
    </row>
    <row r="355" spans="1:38" s="146" customFormat="1" ht="105.6" x14ac:dyDescent="0.25">
      <c r="A355" s="196">
        <v>4</v>
      </c>
      <c r="B355" s="196" t="s">
        <v>2338</v>
      </c>
      <c r="C355" s="196" t="s">
        <v>2339</v>
      </c>
      <c r="D355" s="196" t="s">
        <v>2340</v>
      </c>
      <c r="E355" s="196" t="s">
        <v>1899</v>
      </c>
      <c r="F355" s="196">
        <v>1996</v>
      </c>
      <c r="G355" s="196"/>
      <c r="H355" s="196" t="s">
        <v>2295</v>
      </c>
      <c r="I355" s="141" t="s">
        <v>1879</v>
      </c>
      <c r="J355" s="142" t="s">
        <v>2341</v>
      </c>
      <c r="K355" s="196" t="s">
        <v>1881</v>
      </c>
      <c r="L355" s="141" t="s">
        <v>2342</v>
      </c>
      <c r="M355" s="196">
        <v>626</v>
      </c>
      <c r="N355" s="196"/>
      <c r="O355" s="196" t="s">
        <v>2270</v>
      </c>
      <c r="P355" s="144">
        <v>958</v>
      </c>
      <c r="Q355" s="145">
        <f t="shared" si="25"/>
        <v>8.3593000000000011</v>
      </c>
      <c r="R355" s="203">
        <v>5.99</v>
      </c>
      <c r="S355" s="203"/>
      <c r="T355" s="151"/>
      <c r="U355" s="151">
        <v>1.7</v>
      </c>
      <c r="V355" s="151">
        <v>0.25</v>
      </c>
      <c r="W355" s="151">
        <f t="shared" si="26"/>
        <v>5.99</v>
      </c>
      <c r="X355" s="152">
        <f t="shared" si="27"/>
        <v>0.41930000000000001</v>
      </c>
      <c r="Y355" s="152"/>
      <c r="Z355" s="148"/>
      <c r="AA355" s="153"/>
      <c r="AB355" s="153"/>
      <c r="AC355" s="153"/>
      <c r="AD355" s="153"/>
      <c r="AH355" s="147"/>
      <c r="AI355" s="146" t="s">
        <v>51</v>
      </c>
      <c r="AJ355" s="146" t="s">
        <v>51</v>
      </c>
      <c r="AK355" s="146" t="s">
        <v>51</v>
      </c>
      <c r="AL355" s="203"/>
    </row>
    <row r="356" spans="1:38" s="146" customFormat="1" x14ac:dyDescent="0.25">
      <c r="A356" s="196">
        <v>1913</v>
      </c>
      <c r="B356" s="196" t="s">
        <v>2343</v>
      </c>
      <c r="C356" s="196" t="s">
        <v>2344</v>
      </c>
      <c r="D356" s="196" t="s">
        <v>2345</v>
      </c>
      <c r="E356" s="196"/>
      <c r="F356" s="196">
        <v>1999</v>
      </c>
      <c r="G356" s="196"/>
      <c r="H356" s="196" t="s">
        <v>2295</v>
      </c>
      <c r="I356" s="141" t="s">
        <v>1929</v>
      </c>
      <c r="J356" s="143" t="s">
        <v>2346</v>
      </c>
      <c r="K356" s="196" t="s">
        <v>1881</v>
      </c>
      <c r="L356" s="141" t="s">
        <v>2347</v>
      </c>
      <c r="M356" s="196">
        <v>416</v>
      </c>
      <c r="N356" s="196"/>
      <c r="O356" s="196" t="s">
        <v>2271</v>
      </c>
      <c r="P356" s="144">
        <v>681</v>
      </c>
      <c r="Q356" s="145">
        <f t="shared" si="25"/>
        <v>2.4742999999999999</v>
      </c>
      <c r="R356" s="203">
        <v>0.49</v>
      </c>
      <c r="S356" s="203"/>
      <c r="T356" s="151"/>
      <c r="U356" s="151">
        <v>1.7</v>
      </c>
      <c r="V356" s="151">
        <v>0.25</v>
      </c>
      <c r="W356" s="151">
        <f t="shared" si="26"/>
        <v>0.49</v>
      </c>
      <c r="X356" s="152">
        <f t="shared" si="27"/>
        <v>3.4299999999999997E-2</v>
      </c>
      <c r="Y356" s="152"/>
      <c r="Z356" s="148"/>
      <c r="AA356" s="153"/>
      <c r="AB356" s="153"/>
      <c r="AC356" s="153"/>
      <c r="AD356" s="153"/>
      <c r="AH356" s="147"/>
      <c r="AI356" s="146" t="s">
        <v>51</v>
      </c>
      <c r="AJ356" s="146" t="s">
        <v>51</v>
      </c>
      <c r="AK356" s="146" t="s">
        <v>51</v>
      </c>
      <c r="AL356" s="203"/>
    </row>
    <row r="357" spans="1:38" s="146" customFormat="1" x14ac:dyDescent="0.25">
      <c r="A357" s="196">
        <v>614</v>
      </c>
      <c r="B357" s="196" t="s">
        <v>2348</v>
      </c>
      <c r="C357" s="196" t="s">
        <v>2349</v>
      </c>
      <c r="D357" s="196" t="s">
        <v>2300</v>
      </c>
      <c r="E357" s="196"/>
      <c r="F357" s="196">
        <v>1969</v>
      </c>
      <c r="G357" s="196"/>
      <c r="H357" s="196" t="s">
        <v>2008</v>
      </c>
      <c r="I357" s="141" t="s">
        <v>1879</v>
      </c>
      <c r="J357" s="196" t="s">
        <v>2350</v>
      </c>
      <c r="K357" s="196" t="s">
        <v>1881</v>
      </c>
      <c r="L357" s="141"/>
      <c r="M357" s="196">
        <v>192</v>
      </c>
      <c r="N357" s="196"/>
      <c r="O357" s="196" t="s">
        <v>2272</v>
      </c>
      <c r="P357" s="144">
        <v>140</v>
      </c>
      <c r="Q357" s="145">
        <f t="shared" si="25"/>
        <v>2.5093000000000001</v>
      </c>
      <c r="R357" s="203">
        <v>0.99</v>
      </c>
      <c r="S357" s="203"/>
      <c r="T357" s="151"/>
      <c r="U357" s="151">
        <v>1.2</v>
      </c>
      <c r="V357" s="151">
        <v>0.25</v>
      </c>
      <c r="W357" s="151">
        <f t="shared" si="26"/>
        <v>0.99</v>
      </c>
      <c r="X357" s="152">
        <f t="shared" si="27"/>
        <v>6.93E-2</v>
      </c>
      <c r="Y357" s="152"/>
      <c r="Z357" s="148"/>
      <c r="AA357" s="153"/>
      <c r="AB357" s="153"/>
      <c r="AC357" s="153"/>
      <c r="AD357" s="153"/>
      <c r="AH357" s="147"/>
      <c r="AI357" s="146" t="s">
        <v>51</v>
      </c>
      <c r="AJ357" s="146" t="s">
        <v>51</v>
      </c>
      <c r="AK357" s="146" t="s">
        <v>51</v>
      </c>
      <c r="AL357" s="203"/>
    </row>
    <row r="358" spans="1:38" s="146" customFormat="1" x14ac:dyDescent="0.25">
      <c r="A358" s="196">
        <v>1327</v>
      </c>
      <c r="B358" s="196" t="s">
        <v>2351</v>
      </c>
      <c r="C358" s="196" t="s">
        <v>2352</v>
      </c>
      <c r="D358" s="196" t="s">
        <v>2353</v>
      </c>
      <c r="E358" s="196"/>
      <c r="F358" s="196">
        <v>1997</v>
      </c>
      <c r="G358" s="196"/>
      <c r="H358" s="196" t="s">
        <v>2295</v>
      </c>
      <c r="I358" s="141" t="s">
        <v>1879</v>
      </c>
      <c r="J358" s="196" t="s">
        <v>2354</v>
      </c>
      <c r="K358" s="196" t="s">
        <v>1881</v>
      </c>
      <c r="L358" s="141" t="s">
        <v>2355</v>
      </c>
      <c r="M358" s="196">
        <v>326</v>
      </c>
      <c r="N358" s="196"/>
      <c r="O358" s="196" t="s">
        <v>2273</v>
      </c>
      <c r="P358" s="144">
        <v>478</v>
      </c>
      <c r="Q358" s="145">
        <f t="shared" si="25"/>
        <v>3.3653000000000004</v>
      </c>
      <c r="R358" s="203">
        <v>1.79</v>
      </c>
      <c r="S358" s="203"/>
      <c r="T358" s="151"/>
      <c r="U358" s="151">
        <v>1.2</v>
      </c>
      <c r="V358" s="151">
        <v>0.25</v>
      </c>
      <c r="W358" s="151">
        <f t="shared" si="26"/>
        <v>1.79</v>
      </c>
      <c r="X358" s="152">
        <f t="shared" si="27"/>
        <v>0.12529999999999999</v>
      </c>
      <c r="Y358" s="152"/>
      <c r="Z358" s="148"/>
      <c r="AA358" s="153"/>
      <c r="AB358" s="153"/>
      <c r="AC358" s="153"/>
      <c r="AD358" s="153"/>
      <c r="AH358" s="147"/>
      <c r="AI358" s="146" t="s">
        <v>51</v>
      </c>
      <c r="AJ358" s="146" t="s">
        <v>51</v>
      </c>
      <c r="AK358" s="146" t="s">
        <v>51</v>
      </c>
      <c r="AL358" s="203"/>
    </row>
    <row r="359" spans="1:38" s="146" customFormat="1" x14ac:dyDescent="0.25">
      <c r="A359" s="196">
        <v>852</v>
      </c>
      <c r="B359" s="196" t="s">
        <v>2361</v>
      </c>
      <c r="C359" s="196" t="s">
        <v>2362</v>
      </c>
      <c r="D359" s="196" t="s">
        <v>1912</v>
      </c>
      <c r="E359" s="196" t="s">
        <v>1913</v>
      </c>
      <c r="F359" s="196">
        <v>2001</v>
      </c>
      <c r="G359" s="196"/>
      <c r="H359" s="196" t="s">
        <v>1878</v>
      </c>
      <c r="I359" s="141" t="s">
        <v>1879</v>
      </c>
      <c r="J359" s="196" t="s">
        <v>2363</v>
      </c>
      <c r="K359" s="196" t="s">
        <v>1881</v>
      </c>
      <c r="L359" s="141" t="s">
        <v>2364</v>
      </c>
      <c r="M359" s="196">
        <v>224</v>
      </c>
      <c r="N359" s="196"/>
      <c r="O359" s="196" t="s">
        <v>2275</v>
      </c>
      <c r="P359" s="144">
        <v>213</v>
      </c>
      <c r="Q359" s="145">
        <f t="shared" si="25"/>
        <v>1.9742999999999999</v>
      </c>
      <c r="R359" s="203">
        <v>0.49</v>
      </c>
      <c r="S359" s="203"/>
      <c r="T359" s="151"/>
      <c r="U359" s="151">
        <v>1.2</v>
      </c>
      <c r="V359" s="151">
        <v>0.25</v>
      </c>
      <c r="W359" s="151">
        <f t="shared" si="26"/>
        <v>0.49</v>
      </c>
      <c r="X359" s="152">
        <f t="shared" si="27"/>
        <v>3.4299999999999997E-2</v>
      </c>
      <c r="Y359" s="152"/>
      <c r="Z359" s="148"/>
      <c r="AA359" s="153"/>
      <c r="AB359" s="153"/>
      <c r="AC359" s="153"/>
      <c r="AD359" s="153"/>
      <c r="AH359" s="147"/>
      <c r="AI359" s="146" t="s">
        <v>51</v>
      </c>
      <c r="AJ359" s="146" t="s">
        <v>51</v>
      </c>
      <c r="AK359" s="146" t="s">
        <v>51</v>
      </c>
      <c r="AL359" s="203"/>
    </row>
    <row r="360" spans="1:38" s="146" customFormat="1" x14ac:dyDescent="0.25">
      <c r="A360" s="196">
        <v>2522</v>
      </c>
      <c r="B360" s="196" t="s">
        <v>2366</v>
      </c>
      <c r="C360" s="196" t="s">
        <v>2367</v>
      </c>
      <c r="D360" s="196" t="s">
        <v>2368</v>
      </c>
      <c r="E360" s="196"/>
      <c r="F360" s="196"/>
      <c r="G360" s="196"/>
      <c r="H360" s="196" t="s">
        <v>1878</v>
      </c>
      <c r="I360" s="141" t="s">
        <v>1879</v>
      </c>
      <c r="J360" s="196" t="s">
        <v>2369</v>
      </c>
      <c r="K360" s="196" t="s">
        <v>1881</v>
      </c>
      <c r="L360" s="141" t="s">
        <v>2365</v>
      </c>
      <c r="M360" s="196">
        <v>320</v>
      </c>
      <c r="N360" s="196"/>
      <c r="O360" s="196" t="s">
        <v>2276</v>
      </c>
      <c r="P360" s="144">
        <v>280</v>
      </c>
      <c r="Q360" s="145">
        <f t="shared" si="25"/>
        <v>2.1882999999999995</v>
      </c>
      <c r="R360" s="203">
        <v>0.69</v>
      </c>
      <c r="S360" s="203"/>
      <c r="T360" s="151"/>
      <c r="U360" s="151">
        <v>1.2</v>
      </c>
      <c r="V360" s="151">
        <v>0.25</v>
      </c>
      <c r="W360" s="151">
        <f t="shared" si="26"/>
        <v>0.69</v>
      </c>
      <c r="X360" s="152">
        <f t="shared" si="27"/>
        <v>4.8299999999999996E-2</v>
      </c>
      <c r="Y360" s="152"/>
      <c r="Z360" s="148"/>
      <c r="AA360" s="153"/>
      <c r="AB360" s="153"/>
      <c r="AC360" s="153"/>
      <c r="AD360" s="153"/>
      <c r="AH360" s="147"/>
      <c r="AI360" s="146" t="s">
        <v>51</v>
      </c>
      <c r="AJ360" s="146" t="s">
        <v>51</v>
      </c>
      <c r="AK360" s="146" t="s">
        <v>51</v>
      </c>
      <c r="AL360" s="203"/>
    </row>
    <row r="361" spans="1:38" s="146" customFormat="1" x14ac:dyDescent="0.25">
      <c r="A361" s="196">
        <v>688</v>
      </c>
      <c r="B361" s="196" t="s">
        <v>2371</v>
      </c>
      <c r="C361" s="196" t="s">
        <v>2372</v>
      </c>
      <c r="D361" s="196" t="s">
        <v>1876</v>
      </c>
      <c r="E361" s="196" t="s">
        <v>1893</v>
      </c>
      <c r="F361" s="196">
        <v>1998</v>
      </c>
      <c r="G361" s="196"/>
      <c r="H361" s="196" t="s">
        <v>1878</v>
      </c>
      <c r="I361" s="141" t="s">
        <v>1879</v>
      </c>
      <c r="J361" s="196" t="s">
        <v>2363</v>
      </c>
      <c r="K361" s="196" t="s">
        <v>1881</v>
      </c>
      <c r="L361" s="141" t="s">
        <v>2370</v>
      </c>
      <c r="M361" s="196">
        <v>400</v>
      </c>
      <c r="N361" s="196"/>
      <c r="O361" s="196" t="s">
        <v>2277</v>
      </c>
      <c r="P361" s="144">
        <v>338</v>
      </c>
      <c r="Q361" s="145">
        <f t="shared" si="25"/>
        <v>1.8673</v>
      </c>
      <c r="R361" s="203">
        <v>0.39</v>
      </c>
      <c r="S361" s="203"/>
      <c r="T361" s="151"/>
      <c r="U361" s="151">
        <v>1.2</v>
      </c>
      <c r="V361" s="151">
        <v>0.25</v>
      </c>
      <c r="W361" s="151">
        <f t="shared" si="26"/>
        <v>0.39</v>
      </c>
      <c r="X361" s="152">
        <f t="shared" si="27"/>
        <v>2.7300000000000001E-2</v>
      </c>
      <c r="Y361" s="152"/>
      <c r="Z361" s="148"/>
      <c r="AA361" s="153"/>
      <c r="AB361" s="153"/>
      <c r="AC361" s="153"/>
      <c r="AD361" s="153"/>
      <c r="AH361" s="147"/>
      <c r="AI361" s="146" t="s">
        <v>51</v>
      </c>
      <c r="AJ361" s="146" t="s">
        <v>51</v>
      </c>
      <c r="AK361" s="146" t="s">
        <v>51</v>
      </c>
      <c r="AL361" s="203"/>
    </row>
    <row r="362" spans="1:38" s="146" customFormat="1" x14ac:dyDescent="0.25">
      <c r="A362" s="196"/>
      <c r="B362" s="196" t="s">
        <v>2381</v>
      </c>
      <c r="C362" s="196" t="s">
        <v>2382</v>
      </c>
      <c r="D362" s="196" t="s">
        <v>2309</v>
      </c>
      <c r="E362" s="196" t="s">
        <v>1913</v>
      </c>
      <c r="F362" s="196">
        <v>2004</v>
      </c>
      <c r="G362" s="196"/>
      <c r="H362" s="196" t="s">
        <v>1878</v>
      </c>
      <c r="I362" s="141" t="s">
        <v>1879</v>
      </c>
      <c r="J362" s="196"/>
      <c r="K362" s="196" t="s">
        <v>1881</v>
      </c>
      <c r="L362" s="141" t="s">
        <v>2383</v>
      </c>
      <c r="M362" s="196">
        <v>394</v>
      </c>
      <c r="N362" s="196"/>
      <c r="O362" s="196" t="s">
        <v>2280</v>
      </c>
      <c r="P362" s="144">
        <v>262</v>
      </c>
      <c r="Q362" s="145">
        <f t="shared" si="25"/>
        <v>2.5093000000000001</v>
      </c>
      <c r="R362" s="203">
        <v>0.99</v>
      </c>
      <c r="S362" s="203"/>
      <c r="T362" s="151"/>
      <c r="U362" s="151">
        <v>1.2</v>
      </c>
      <c r="V362" s="151">
        <v>0.25</v>
      </c>
      <c r="W362" s="151">
        <f t="shared" si="26"/>
        <v>0.99</v>
      </c>
      <c r="X362" s="152">
        <f t="shared" si="27"/>
        <v>6.93E-2</v>
      </c>
      <c r="Y362" s="152"/>
      <c r="Z362" s="148"/>
      <c r="AA362" s="153"/>
      <c r="AB362" s="153"/>
      <c r="AC362" s="153"/>
      <c r="AD362" s="153"/>
      <c r="AH362" s="147"/>
      <c r="AI362" s="146" t="s">
        <v>51</v>
      </c>
      <c r="AJ362" s="146" t="s">
        <v>51</v>
      </c>
      <c r="AK362" s="146" t="s">
        <v>51</v>
      </c>
      <c r="AL362" s="203"/>
    </row>
    <row r="363" spans="1:38" s="146" customFormat="1" x14ac:dyDescent="0.25">
      <c r="A363" s="196">
        <v>701</v>
      </c>
      <c r="B363" s="196" t="s">
        <v>2384</v>
      </c>
      <c r="C363" s="196" t="s">
        <v>2385</v>
      </c>
      <c r="D363" s="196" t="s">
        <v>2386</v>
      </c>
      <c r="E363" s="196"/>
      <c r="F363" s="196"/>
      <c r="G363" s="196"/>
      <c r="H363" s="196" t="s">
        <v>2295</v>
      </c>
      <c r="I363" s="141" t="s">
        <v>1914</v>
      </c>
      <c r="J363" s="196" t="s">
        <v>2387</v>
      </c>
      <c r="K363" s="196" t="s">
        <v>1881</v>
      </c>
      <c r="L363" s="141"/>
      <c r="M363" s="196">
        <v>226</v>
      </c>
      <c r="N363" s="196"/>
      <c r="O363" s="196" t="s">
        <v>2281</v>
      </c>
      <c r="P363" s="144">
        <v>383</v>
      </c>
      <c r="Q363" s="145">
        <f t="shared" si="25"/>
        <v>1.7175</v>
      </c>
      <c r="R363" s="203">
        <v>0.25</v>
      </c>
      <c r="S363" s="203"/>
      <c r="T363" s="151"/>
      <c r="U363" s="151">
        <v>1.2</v>
      </c>
      <c r="V363" s="151">
        <v>0.25</v>
      </c>
      <c r="W363" s="151">
        <f t="shared" si="26"/>
        <v>0.25</v>
      </c>
      <c r="X363" s="152">
        <f t="shared" si="27"/>
        <v>1.7500000000000002E-2</v>
      </c>
      <c r="Y363" s="152"/>
      <c r="Z363" s="148"/>
      <c r="AA363" s="153"/>
      <c r="AB363" s="153"/>
      <c r="AC363" s="153"/>
      <c r="AD363" s="153"/>
      <c r="AH363" s="147"/>
      <c r="AI363" s="146" t="s">
        <v>51</v>
      </c>
      <c r="AJ363" s="146" t="s">
        <v>51</v>
      </c>
      <c r="AK363" s="146" t="s">
        <v>51</v>
      </c>
      <c r="AL363" s="203"/>
    </row>
    <row r="364" spans="1:38" s="146" customFormat="1" ht="66" x14ac:dyDescent="0.25">
      <c r="A364" s="196">
        <v>632</v>
      </c>
      <c r="B364" s="196" t="s">
        <v>2388</v>
      </c>
      <c r="C364" s="196" t="s">
        <v>2389</v>
      </c>
      <c r="D364" s="196" t="s">
        <v>2054</v>
      </c>
      <c r="E364" s="196"/>
      <c r="F364" s="196">
        <v>2001</v>
      </c>
      <c r="G364" s="196"/>
      <c r="H364" s="196" t="s">
        <v>2295</v>
      </c>
      <c r="I364" s="141" t="s">
        <v>1879</v>
      </c>
      <c r="J364" s="142" t="s">
        <v>2390</v>
      </c>
      <c r="K364" s="196" t="s">
        <v>1881</v>
      </c>
      <c r="L364" s="141" t="s">
        <v>2391</v>
      </c>
      <c r="M364" s="196">
        <v>642</v>
      </c>
      <c r="N364" s="196"/>
      <c r="O364" s="196" t="s">
        <v>2282</v>
      </c>
      <c r="P364" s="144">
        <v>867</v>
      </c>
      <c r="Q364" s="145">
        <f t="shared" si="25"/>
        <v>3.1162999999999998</v>
      </c>
      <c r="R364" s="203">
        <v>1.0900000000000001</v>
      </c>
      <c r="S364" s="203"/>
      <c r="T364" s="151"/>
      <c r="U364" s="151">
        <v>1.7</v>
      </c>
      <c r="V364" s="151">
        <v>0.25</v>
      </c>
      <c r="W364" s="151">
        <f t="shared" si="26"/>
        <v>1.0900000000000001</v>
      </c>
      <c r="X364" s="152">
        <f t="shared" si="27"/>
        <v>7.6300000000000007E-2</v>
      </c>
      <c r="Y364" s="152"/>
      <c r="Z364" s="148"/>
      <c r="AA364" s="153"/>
      <c r="AB364" s="153"/>
      <c r="AC364" s="153"/>
      <c r="AD364" s="153"/>
      <c r="AH364" s="147"/>
      <c r="AI364" s="146" t="s">
        <v>51</v>
      </c>
      <c r="AJ364" s="146" t="s">
        <v>51</v>
      </c>
      <c r="AK364" s="146" t="s">
        <v>51</v>
      </c>
      <c r="AL364" s="203"/>
    </row>
    <row r="365" spans="1:38" s="146" customFormat="1" x14ac:dyDescent="0.25">
      <c r="A365" s="196">
        <v>1386</v>
      </c>
      <c r="B365" s="196" t="s">
        <v>2397</v>
      </c>
      <c r="C365" s="196" t="s">
        <v>2398</v>
      </c>
      <c r="D365" s="196" t="s">
        <v>2309</v>
      </c>
      <c r="E365" s="196"/>
      <c r="F365" s="196">
        <v>1996</v>
      </c>
      <c r="G365" s="196"/>
      <c r="H365" s="196" t="s">
        <v>1878</v>
      </c>
      <c r="I365" s="141" t="s">
        <v>1879</v>
      </c>
      <c r="J365" s="196"/>
      <c r="K365" s="196" t="s">
        <v>1881</v>
      </c>
      <c r="L365" s="141" t="s">
        <v>2399</v>
      </c>
      <c r="M365" s="196">
        <v>416</v>
      </c>
      <c r="N365" s="196"/>
      <c r="O365" s="196" t="s">
        <v>2284</v>
      </c>
      <c r="P365" s="144">
        <v>279</v>
      </c>
      <c r="Q365" s="145">
        <f t="shared" si="25"/>
        <v>1.9742999999999999</v>
      </c>
      <c r="R365" s="203">
        <v>0.49</v>
      </c>
      <c r="S365" s="203"/>
      <c r="T365" s="151"/>
      <c r="U365" s="151">
        <v>1.2</v>
      </c>
      <c r="V365" s="151">
        <v>0.25</v>
      </c>
      <c r="W365" s="151">
        <f t="shared" si="26"/>
        <v>0.49</v>
      </c>
      <c r="X365" s="152">
        <f t="shared" si="27"/>
        <v>3.4299999999999997E-2</v>
      </c>
      <c r="Y365" s="152"/>
      <c r="Z365" s="148"/>
      <c r="AA365" s="153"/>
      <c r="AB365" s="153"/>
      <c r="AC365" s="153"/>
      <c r="AD365" s="153"/>
      <c r="AH365" s="147"/>
      <c r="AI365" s="146" t="s">
        <v>51</v>
      </c>
      <c r="AJ365" s="146" t="s">
        <v>51</v>
      </c>
      <c r="AK365" s="146" t="s">
        <v>51</v>
      </c>
      <c r="AL365" s="203"/>
    </row>
    <row r="366" spans="1:38" s="146" customFormat="1" ht="145.19999999999999" x14ac:dyDescent="0.25">
      <c r="A366" s="196">
        <v>1809</v>
      </c>
      <c r="B366" s="196" t="s">
        <v>2400</v>
      </c>
      <c r="C366" s="196" t="s">
        <v>2401</v>
      </c>
      <c r="D366" s="196" t="s">
        <v>2402</v>
      </c>
      <c r="E366" s="196"/>
      <c r="F366" s="196">
        <v>1999</v>
      </c>
      <c r="G366" s="196"/>
      <c r="H366" s="196" t="s">
        <v>2295</v>
      </c>
      <c r="I366" s="141" t="s">
        <v>1879</v>
      </c>
      <c r="J366" s="142" t="s">
        <v>2404</v>
      </c>
      <c r="K366" s="196" t="s">
        <v>1881</v>
      </c>
      <c r="L366" s="141" t="s">
        <v>2403</v>
      </c>
      <c r="M366" s="196">
        <v>162</v>
      </c>
      <c r="N366" s="196"/>
      <c r="O366" s="196" t="s">
        <v>2285</v>
      </c>
      <c r="P366" s="144">
        <v>236</v>
      </c>
      <c r="Q366" s="145">
        <f t="shared" si="25"/>
        <v>1.7175</v>
      </c>
      <c r="R366" s="203">
        <v>0.25</v>
      </c>
      <c r="S366" s="203"/>
      <c r="T366" s="151"/>
      <c r="U366" s="151">
        <v>1.2</v>
      </c>
      <c r="V366" s="151">
        <v>0.25</v>
      </c>
      <c r="W366" s="151">
        <f t="shared" si="26"/>
        <v>0.25</v>
      </c>
      <c r="X366" s="152">
        <f t="shared" si="27"/>
        <v>1.7500000000000002E-2</v>
      </c>
      <c r="Y366" s="152"/>
      <c r="Z366" s="148"/>
      <c r="AA366" s="153"/>
      <c r="AB366" s="153"/>
      <c r="AC366" s="153"/>
      <c r="AD366" s="153"/>
      <c r="AH366" s="147"/>
      <c r="AI366" s="146" t="s">
        <v>51</v>
      </c>
      <c r="AJ366" s="146" t="s">
        <v>51</v>
      </c>
      <c r="AK366" s="146" t="s">
        <v>51</v>
      </c>
      <c r="AL366" s="203"/>
    </row>
    <row r="367" spans="1:38" s="146" customFormat="1" ht="92.4" x14ac:dyDescent="0.25">
      <c r="A367" s="196">
        <v>2571</v>
      </c>
      <c r="B367" s="196" t="s">
        <v>2405</v>
      </c>
      <c r="C367" s="196" t="s">
        <v>2406</v>
      </c>
      <c r="D367" s="196" t="s">
        <v>2407</v>
      </c>
      <c r="E367" s="196" t="s">
        <v>2094</v>
      </c>
      <c r="F367" s="196">
        <v>2019</v>
      </c>
      <c r="G367" s="196"/>
      <c r="H367" s="196" t="s">
        <v>1878</v>
      </c>
      <c r="I367" s="141" t="s">
        <v>1879</v>
      </c>
      <c r="J367" s="142" t="s">
        <v>2408</v>
      </c>
      <c r="K367" s="196" t="s">
        <v>1881</v>
      </c>
      <c r="L367" s="141" t="s">
        <v>2409</v>
      </c>
      <c r="M367" s="196">
        <v>304</v>
      </c>
      <c r="N367" s="196"/>
      <c r="O367" s="196" t="s">
        <v>2286</v>
      </c>
      <c r="P367" s="144">
        <v>302</v>
      </c>
      <c r="Q367" s="145">
        <f t="shared" si="25"/>
        <v>3.0442999999999998</v>
      </c>
      <c r="R367" s="203">
        <v>1.49</v>
      </c>
      <c r="S367" s="203"/>
      <c r="T367" s="151"/>
      <c r="U367" s="151">
        <v>1.2</v>
      </c>
      <c r="V367" s="151">
        <v>0.25</v>
      </c>
      <c r="W367" s="151">
        <f t="shared" si="26"/>
        <v>1.49</v>
      </c>
      <c r="X367" s="152">
        <f t="shared" si="27"/>
        <v>0.1043</v>
      </c>
      <c r="Y367" s="152"/>
      <c r="Z367" s="148"/>
      <c r="AA367" s="153"/>
      <c r="AB367" s="153"/>
      <c r="AC367" s="153"/>
      <c r="AD367" s="153"/>
      <c r="AH367" s="147"/>
      <c r="AI367" s="146" t="s">
        <v>51</v>
      </c>
      <c r="AJ367" s="146" t="s">
        <v>51</v>
      </c>
      <c r="AK367" s="146" t="s">
        <v>51</v>
      </c>
      <c r="AL367" s="203"/>
    </row>
    <row r="368" spans="1:38" s="146" customFormat="1" x14ac:dyDescent="0.25">
      <c r="A368" s="196">
        <v>2522</v>
      </c>
      <c r="B368" s="196" t="s">
        <v>2410</v>
      </c>
      <c r="C368" s="196" t="s">
        <v>2411</v>
      </c>
      <c r="D368" s="196" t="s">
        <v>2232</v>
      </c>
      <c r="E368" s="196" t="s">
        <v>2412</v>
      </c>
      <c r="F368" s="196">
        <v>2007</v>
      </c>
      <c r="G368" s="196"/>
      <c r="H368" s="196" t="s">
        <v>1878</v>
      </c>
      <c r="I368" s="141" t="s">
        <v>1929</v>
      </c>
      <c r="J368" s="196"/>
      <c r="K368" s="196" t="s">
        <v>1881</v>
      </c>
      <c r="L368" s="141" t="s">
        <v>2413</v>
      </c>
      <c r="M368" s="196">
        <v>352</v>
      </c>
      <c r="N368" s="196"/>
      <c r="O368" s="196" t="s">
        <v>2287</v>
      </c>
      <c r="P368" s="144">
        <v>332</v>
      </c>
      <c r="Q368" s="145">
        <f t="shared" si="25"/>
        <v>2.5093000000000001</v>
      </c>
      <c r="R368" s="203">
        <v>0.99</v>
      </c>
      <c r="S368" s="203"/>
      <c r="T368" s="151"/>
      <c r="U368" s="151">
        <v>1.2</v>
      </c>
      <c r="V368" s="151">
        <v>0.25</v>
      </c>
      <c r="W368" s="151">
        <f t="shared" si="26"/>
        <v>0.99</v>
      </c>
      <c r="X368" s="152">
        <f t="shared" si="27"/>
        <v>6.93E-2</v>
      </c>
      <c r="Y368" s="152"/>
      <c r="Z368" s="148"/>
      <c r="AA368" s="153"/>
      <c r="AB368" s="153"/>
      <c r="AC368" s="153"/>
      <c r="AD368" s="153"/>
      <c r="AH368" s="147"/>
      <c r="AI368" s="146" t="s">
        <v>51</v>
      </c>
      <c r="AJ368" s="146" t="s">
        <v>51</v>
      </c>
      <c r="AK368" s="146" t="s">
        <v>51</v>
      </c>
      <c r="AL368" s="203"/>
    </row>
    <row r="369" spans="1:38" s="146" customFormat="1" x14ac:dyDescent="0.25">
      <c r="A369" s="196">
        <v>690</v>
      </c>
      <c r="B369" s="196" t="s">
        <v>2414</v>
      </c>
      <c r="C369" s="196" t="s">
        <v>2415</v>
      </c>
      <c r="D369" s="196" t="s">
        <v>2156</v>
      </c>
      <c r="E369" s="196" t="s">
        <v>1893</v>
      </c>
      <c r="F369" s="196">
        <v>2001</v>
      </c>
      <c r="G369" s="196"/>
      <c r="H369" s="196" t="s">
        <v>1878</v>
      </c>
      <c r="I369" s="141" t="s">
        <v>1879</v>
      </c>
      <c r="J369" s="196"/>
      <c r="K369" s="196" t="s">
        <v>1881</v>
      </c>
      <c r="L369" s="141" t="s">
        <v>2416</v>
      </c>
      <c r="M369" s="196">
        <v>208</v>
      </c>
      <c r="N369" s="196"/>
      <c r="O369" s="196" t="s">
        <v>2288</v>
      </c>
      <c r="P369" s="144">
        <v>205</v>
      </c>
      <c r="Q369" s="145">
        <f t="shared" si="25"/>
        <v>2.2953000000000001</v>
      </c>
      <c r="R369" s="203">
        <v>0.79</v>
      </c>
      <c r="S369" s="203"/>
      <c r="T369" s="151"/>
      <c r="U369" s="151">
        <v>1.2</v>
      </c>
      <c r="V369" s="151">
        <v>0.25</v>
      </c>
      <c r="W369" s="151">
        <f t="shared" si="26"/>
        <v>0.79</v>
      </c>
      <c r="X369" s="152">
        <f t="shared" si="27"/>
        <v>5.5300000000000002E-2</v>
      </c>
      <c r="Y369" s="152"/>
      <c r="Z369" s="148"/>
      <c r="AA369" s="153"/>
      <c r="AB369" s="153"/>
      <c r="AC369" s="153"/>
      <c r="AD369" s="153"/>
      <c r="AH369" s="147"/>
      <c r="AI369" s="146" t="s">
        <v>51</v>
      </c>
      <c r="AJ369" s="146" t="s">
        <v>51</v>
      </c>
      <c r="AK369" s="146" t="s">
        <v>51</v>
      </c>
      <c r="AL369" s="203"/>
    </row>
    <row r="370" spans="1:38" s="146" customFormat="1" x14ac:dyDescent="0.25">
      <c r="A370" s="196">
        <v>610</v>
      </c>
      <c r="B370" s="196" t="s">
        <v>2417</v>
      </c>
      <c r="C370" s="196" t="s">
        <v>2418</v>
      </c>
      <c r="D370" s="196" t="s">
        <v>2419</v>
      </c>
      <c r="E370" s="196" t="s">
        <v>2055</v>
      </c>
      <c r="F370" s="196">
        <v>1989</v>
      </c>
      <c r="G370" s="196"/>
      <c r="H370" s="196" t="s">
        <v>1878</v>
      </c>
      <c r="I370" s="141" t="s">
        <v>1879</v>
      </c>
      <c r="J370" s="196" t="s">
        <v>2420</v>
      </c>
      <c r="K370" s="196" t="s">
        <v>1881</v>
      </c>
      <c r="L370" s="141" t="s">
        <v>2421</v>
      </c>
      <c r="M370" s="196">
        <v>200</v>
      </c>
      <c r="N370" s="196"/>
      <c r="O370" s="196" t="s">
        <v>2289</v>
      </c>
      <c r="P370" s="144">
        <v>138</v>
      </c>
      <c r="Q370" s="145">
        <f t="shared" si="25"/>
        <v>2.8303000000000003</v>
      </c>
      <c r="R370" s="203">
        <v>1.29</v>
      </c>
      <c r="S370" s="203"/>
      <c r="T370" s="151"/>
      <c r="U370" s="151">
        <v>1.2</v>
      </c>
      <c r="V370" s="151">
        <v>0.25</v>
      </c>
      <c r="W370" s="151">
        <f t="shared" si="26"/>
        <v>1.29</v>
      </c>
      <c r="X370" s="152">
        <f t="shared" si="27"/>
        <v>9.0300000000000005E-2</v>
      </c>
      <c r="Y370" s="152"/>
      <c r="Z370" s="148"/>
      <c r="AA370" s="153"/>
      <c r="AB370" s="153"/>
      <c r="AC370" s="153"/>
      <c r="AD370" s="153"/>
      <c r="AH370" s="147"/>
      <c r="AI370" s="146" t="s">
        <v>51</v>
      </c>
      <c r="AJ370" s="146" t="s">
        <v>51</v>
      </c>
      <c r="AK370" s="146" t="s">
        <v>51</v>
      </c>
      <c r="AL370" s="203"/>
    </row>
    <row r="371" spans="1:38" s="146" customFormat="1" x14ac:dyDescent="0.25">
      <c r="A371" s="196">
        <v>1386</v>
      </c>
      <c r="B371" s="196" t="s">
        <v>2422</v>
      </c>
      <c r="C371" s="196" t="s">
        <v>2423</v>
      </c>
      <c r="D371" s="196" t="s">
        <v>2424</v>
      </c>
      <c r="E371" s="196" t="s">
        <v>2175</v>
      </c>
      <c r="F371" s="196">
        <v>2010</v>
      </c>
      <c r="G371" s="196"/>
      <c r="H371" s="196" t="s">
        <v>1878</v>
      </c>
      <c r="I371" s="141" t="s">
        <v>1879</v>
      </c>
      <c r="J371" s="196" t="s">
        <v>2425</v>
      </c>
      <c r="K371" s="196" t="s">
        <v>1881</v>
      </c>
      <c r="L371" s="141" t="s">
        <v>2426</v>
      </c>
      <c r="M371" s="196">
        <v>640</v>
      </c>
      <c r="N371" s="196"/>
      <c r="O371" s="196" t="s">
        <v>2290</v>
      </c>
      <c r="P371" s="144">
        <v>519</v>
      </c>
      <c r="Q371" s="145">
        <f t="shared" si="25"/>
        <v>2.2175000000000002</v>
      </c>
      <c r="R371" s="203">
        <v>0.25</v>
      </c>
      <c r="S371" s="203"/>
      <c r="T371" s="151"/>
      <c r="U371" s="151">
        <v>1.7</v>
      </c>
      <c r="V371" s="151">
        <v>0.25</v>
      </c>
      <c r="W371" s="151">
        <f t="shared" si="26"/>
        <v>0.25</v>
      </c>
      <c r="X371" s="152">
        <f t="shared" si="27"/>
        <v>1.7500000000000002E-2</v>
      </c>
      <c r="Y371" s="152"/>
      <c r="Z371" s="148"/>
      <c r="AA371" s="153"/>
      <c r="AB371" s="153"/>
      <c r="AC371" s="153"/>
      <c r="AD371" s="153"/>
      <c r="AH371" s="147"/>
    </row>
    <row r="372" spans="1:38" s="146" customFormat="1" x14ac:dyDescent="0.25">
      <c r="A372" s="196">
        <v>1386</v>
      </c>
      <c r="B372" s="196" t="s">
        <v>2422</v>
      </c>
      <c r="C372" s="196" t="s">
        <v>2449</v>
      </c>
      <c r="D372" s="196" t="s">
        <v>2424</v>
      </c>
      <c r="E372" s="196"/>
      <c r="F372" s="196">
        <v>2012</v>
      </c>
      <c r="G372" s="196"/>
      <c r="H372" s="196" t="s">
        <v>1878</v>
      </c>
      <c r="I372" s="141" t="s">
        <v>1879</v>
      </c>
      <c r="J372" s="196" t="s">
        <v>2363</v>
      </c>
      <c r="K372" s="196" t="s">
        <v>1881</v>
      </c>
      <c r="L372" s="141" t="s">
        <v>2450</v>
      </c>
      <c r="M372" s="196">
        <v>736</v>
      </c>
      <c r="N372" s="196"/>
      <c r="O372" s="196" t="s">
        <v>2427</v>
      </c>
      <c r="P372" s="144">
        <v>518</v>
      </c>
      <c r="Q372" s="145">
        <f t="shared" si="25"/>
        <v>2.2175000000000002</v>
      </c>
      <c r="R372" s="203">
        <v>0.25</v>
      </c>
      <c r="S372" s="203"/>
      <c r="T372" s="151"/>
      <c r="U372" s="151">
        <v>1.7</v>
      </c>
      <c r="V372" s="151">
        <v>0.25</v>
      </c>
      <c r="W372" s="151">
        <f t="shared" si="26"/>
        <v>0.25</v>
      </c>
      <c r="X372" s="152">
        <f t="shared" si="27"/>
        <v>1.7500000000000002E-2</v>
      </c>
      <c r="Y372" s="152"/>
      <c r="Z372" s="148"/>
      <c r="AA372" s="153"/>
      <c r="AB372" s="153"/>
      <c r="AC372" s="153"/>
      <c r="AD372" s="153"/>
      <c r="AH372" s="147"/>
    </row>
    <row r="373" spans="1:38" s="146" customFormat="1" x14ac:dyDescent="0.25">
      <c r="A373" s="196">
        <v>690</v>
      </c>
      <c r="B373" s="196" t="s">
        <v>2451</v>
      </c>
      <c r="C373" s="196" t="s">
        <v>2452</v>
      </c>
      <c r="D373" s="196" t="s">
        <v>2453</v>
      </c>
      <c r="E373" s="196" t="s">
        <v>1899</v>
      </c>
      <c r="F373" s="196">
        <v>2014</v>
      </c>
      <c r="G373" s="196"/>
      <c r="H373" s="196" t="s">
        <v>1878</v>
      </c>
      <c r="I373" s="141" t="s">
        <v>1879</v>
      </c>
      <c r="J373" s="143" t="s">
        <v>2455</v>
      </c>
      <c r="K373" s="196" t="s">
        <v>1881</v>
      </c>
      <c r="L373" s="141" t="s">
        <v>2454</v>
      </c>
      <c r="M373" s="196">
        <v>416</v>
      </c>
      <c r="N373" s="196"/>
      <c r="O373" s="196" t="s">
        <v>2428</v>
      </c>
      <c r="P373" s="144">
        <v>446</v>
      </c>
      <c r="Q373" s="145">
        <f t="shared" si="25"/>
        <v>2.4022999999999999</v>
      </c>
      <c r="R373" s="203">
        <v>0.89</v>
      </c>
      <c r="S373" s="203"/>
      <c r="T373" s="151"/>
      <c r="U373" s="151">
        <v>1.2</v>
      </c>
      <c r="V373" s="151">
        <v>0.25</v>
      </c>
      <c r="W373" s="151">
        <f t="shared" si="26"/>
        <v>0.89</v>
      </c>
      <c r="X373" s="152">
        <f t="shared" si="27"/>
        <v>6.2300000000000001E-2</v>
      </c>
      <c r="Y373" s="152"/>
      <c r="Z373" s="148"/>
      <c r="AA373" s="153"/>
      <c r="AB373" s="153"/>
      <c r="AC373" s="153"/>
      <c r="AD373" s="153"/>
      <c r="AH373" s="147"/>
    </row>
    <row r="374" spans="1:38" s="146" customFormat="1" x14ac:dyDescent="0.25">
      <c r="A374" s="196">
        <v>1365</v>
      </c>
      <c r="B374" s="196" t="s">
        <v>2460</v>
      </c>
      <c r="C374" s="196" t="s">
        <v>2461</v>
      </c>
      <c r="D374" s="196" t="s">
        <v>2402</v>
      </c>
      <c r="E374" s="196"/>
      <c r="F374" s="196"/>
      <c r="G374" s="196"/>
      <c r="H374" s="196" t="s">
        <v>1878</v>
      </c>
      <c r="I374" s="141" t="s">
        <v>1879</v>
      </c>
      <c r="J374" s="196" t="s">
        <v>2463</v>
      </c>
      <c r="K374" s="196" t="s">
        <v>1881</v>
      </c>
      <c r="L374" s="141" t="s">
        <v>2462</v>
      </c>
      <c r="M374" s="196">
        <v>256</v>
      </c>
      <c r="N374" s="196"/>
      <c r="O374" s="196" t="s">
        <v>2430</v>
      </c>
      <c r="P374" s="144">
        <v>284</v>
      </c>
      <c r="Q374" s="145">
        <f t="shared" si="25"/>
        <v>1.7175</v>
      </c>
      <c r="R374" s="203">
        <v>0.25</v>
      </c>
      <c r="S374" s="203"/>
      <c r="T374" s="151"/>
      <c r="U374" s="151">
        <v>1.2</v>
      </c>
      <c r="V374" s="151">
        <v>0.25</v>
      </c>
      <c r="W374" s="151">
        <f t="shared" si="26"/>
        <v>0.25</v>
      </c>
      <c r="X374" s="152">
        <f t="shared" si="27"/>
        <v>1.7500000000000002E-2</v>
      </c>
      <c r="Y374" s="152"/>
      <c r="Z374" s="148"/>
      <c r="AA374" s="153"/>
      <c r="AB374" s="153"/>
      <c r="AC374" s="153"/>
      <c r="AD374" s="153"/>
      <c r="AH374" s="147"/>
    </row>
    <row r="375" spans="1:38" s="146" customFormat="1" x14ac:dyDescent="0.25">
      <c r="A375" s="196">
        <v>796</v>
      </c>
      <c r="B375" s="196" t="s">
        <v>2464</v>
      </c>
      <c r="C375" s="196" t="s">
        <v>2465</v>
      </c>
      <c r="D375" s="196" t="s">
        <v>1876</v>
      </c>
      <c r="E375" s="196" t="s">
        <v>1877</v>
      </c>
      <c r="F375" s="196">
        <v>2009</v>
      </c>
      <c r="G375" s="196"/>
      <c r="H375" s="196" t="s">
        <v>1878</v>
      </c>
      <c r="I375" s="141" t="s">
        <v>1879</v>
      </c>
      <c r="J375" s="196"/>
      <c r="K375" s="196" t="s">
        <v>1881</v>
      </c>
      <c r="L375" s="141" t="s">
        <v>2466</v>
      </c>
      <c r="M375" s="196">
        <v>256</v>
      </c>
      <c r="N375" s="196"/>
      <c r="O375" s="196" t="s">
        <v>2431</v>
      </c>
      <c r="P375" s="144">
        <v>278</v>
      </c>
      <c r="Q375" s="145">
        <f t="shared" si="25"/>
        <v>1.9742999999999999</v>
      </c>
      <c r="R375" s="203">
        <v>0.49</v>
      </c>
      <c r="S375" s="203"/>
      <c r="T375" s="151"/>
      <c r="U375" s="151">
        <v>1.2</v>
      </c>
      <c r="V375" s="151">
        <v>0.25</v>
      </c>
      <c r="W375" s="151">
        <f t="shared" si="26"/>
        <v>0.49</v>
      </c>
      <c r="X375" s="152">
        <f t="shared" si="27"/>
        <v>3.4299999999999997E-2</v>
      </c>
      <c r="Y375" s="152"/>
      <c r="Z375" s="148"/>
      <c r="AA375" s="153"/>
      <c r="AB375" s="153"/>
      <c r="AC375" s="153"/>
      <c r="AD375" s="153"/>
      <c r="AH375" s="147"/>
    </row>
    <row r="376" spans="1:38" s="146" customFormat="1" x14ac:dyDescent="0.25">
      <c r="A376" s="196">
        <v>1720</v>
      </c>
      <c r="B376" s="196" t="s">
        <v>2467</v>
      </c>
      <c r="C376" s="196" t="s">
        <v>2468</v>
      </c>
      <c r="D376" s="196" t="s">
        <v>2054</v>
      </c>
      <c r="E376" s="196"/>
      <c r="F376" s="196">
        <v>2008</v>
      </c>
      <c r="G376" s="196"/>
      <c r="H376" s="196" t="s">
        <v>1878</v>
      </c>
      <c r="I376" s="141" t="s">
        <v>1879</v>
      </c>
      <c r="J376" s="196"/>
      <c r="K376" s="196" t="s">
        <v>1881</v>
      </c>
      <c r="L376" s="141" t="s">
        <v>2469</v>
      </c>
      <c r="M376" s="196">
        <v>416</v>
      </c>
      <c r="N376" s="196"/>
      <c r="O376" s="196" t="s">
        <v>2432</v>
      </c>
      <c r="P376" s="144">
        <v>409</v>
      </c>
      <c r="Q376" s="145">
        <f t="shared" si="25"/>
        <v>1.9742999999999999</v>
      </c>
      <c r="R376" s="203">
        <v>0.49</v>
      </c>
      <c r="S376" s="203"/>
      <c r="T376" s="151"/>
      <c r="U376" s="151">
        <v>1.2</v>
      </c>
      <c r="V376" s="151">
        <v>0.25</v>
      </c>
      <c r="W376" s="151">
        <f t="shared" si="26"/>
        <v>0.49</v>
      </c>
      <c r="X376" s="152">
        <f t="shared" si="27"/>
        <v>3.4299999999999997E-2</v>
      </c>
      <c r="Y376" s="152"/>
      <c r="Z376" s="148"/>
      <c r="AA376" s="153"/>
      <c r="AB376" s="153"/>
      <c r="AC376" s="153"/>
      <c r="AD376" s="153"/>
      <c r="AH376" s="147"/>
    </row>
    <row r="377" spans="1:38" s="146" customFormat="1" x14ac:dyDescent="0.25">
      <c r="A377" s="196">
        <v>688</v>
      </c>
      <c r="B377" s="196" t="s">
        <v>2470</v>
      </c>
      <c r="C377" s="196" t="s">
        <v>2471</v>
      </c>
      <c r="D377" s="196" t="s">
        <v>2472</v>
      </c>
      <c r="E377" s="196"/>
      <c r="F377" s="196"/>
      <c r="G377" s="196"/>
      <c r="H377" s="196" t="s">
        <v>2295</v>
      </c>
      <c r="I377" s="141" t="s">
        <v>1929</v>
      </c>
      <c r="J377" s="196" t="s">
        <v>2473</v>
      </c>
      <c r="K377" s="196" t="s">
        <v>1881</v>
      </c>
      <c r="L377" s="141" t="s">
        <v>2474</v>
      </c>
      <c r="M377" s="196"/>
      <c r="N377" s="196"/>
      <c r="O377" s="196" t="s">
        <v>2433</v>
      </c>
      <c r="P377" s="144">
        <v>465</v>
      </c>
      <c r="Q377" s="145">
        <f t="shared" si="25"/>
        <v>2.7232999999999996</v>
      </c>
      <c r="R377" s="203">
        <v>1.19</v>
      </c>
      <c r="S377" s="203"/>
      <c r="T377" s="151"/>
      <c r="U377" s="151">
        <v>1.2</v>
      </c>
      <c r="V377" s="151">
        <v>0.25</v>
      </c>
      <c r="W377" s="151">
        <f t="shared" si="26"/>
        <v>1.19</v>
      </c>
      <c r="X377" s="152">
        <f t="shared" si="27"/>
        <v>8.3299999999999999E-2</v>
      </c>
      <c r="Y377" s="152"/>
      <c r="Z377" s="148"/>
      <c r="AA377" s="153"/>
      <c r="AB377" s="153"/>
      <c r="AC377" s="153"/>
      <c r="AD377" s="153"/>
      <c r="AH377" s="147"/>
    </row>
    <row r="378" spans="1:38" s="146" customFormat="1" x14ac:dyDescent="0.25">
      <c r="A378" s="196">
        <v>632</v>
      </c>
      <c r="B378" s="196" t="s">
        <v>2475</v>
      </c>
      <c r="C378" s="196" t="s">
        <v>2476</v>
      </c>
      <c r="D378" s="196" t="s">
        <v>2477</v>
      </c>
      <c r="E378" s="196" t="s">
        <v>1913</v>
      </c>
      <c r="F378" s="196">
        <v>2003</v>
      </c>
      <c r="G378" s="196"/>
      <c r="H378" s="196" t="s">
        <v>2295</v>
      </c>
      <c r="I378" s="141" t="s">
        <v>1879</v>
      </c>
      <c r="J378" s="143" t="s">
        <v>2205</v>
      </c>
      <c r="K378" s="196" t="s">
        <v>1881</v>
      </c>
      <c r="L378" s="141" t="s">
        <v>2478</v>
      </c>
      <c r="M378" s="196">
        <v>770</v>
      </c>
      <c r="N378" s="196"/>
      <c r="O378" s="196" t="s">
        <v>2434</v>
      </c>
      <c r="P378" s="144">
        <v>1017</v>
      </c>
      <c r="Q378" s="145">
        <f t="shared" si="25"/>
        <v>4.7783000000000007</v>
      </c>
      <c r="R378" s="203">
        <v>0.69</v>
      </c>
      <c r="S378" s="203"/>
      <c r="T378" s="151"/>
      <c r="U378" s="151">
        <v>3.79</v>
      </c>
      <c r="V378" s="151">
        <v>0.25</v>
      </c>
      <c r="W378" s="151">
        <f t="shared" si="26"/>
        <v>0.69</v>
      </c>
      <c r="X378" s="152">
        <f t="shared" si="27"/>
        <v>4.8299999999999996E-2</v>
      </c>
      <c r="Y378" s="152"/>
      <c r="Z378" s="148"/>
      <c r="AA378" s="153"/>
      <c r="AB378" s="153"/>
      <c r="AC378" s="153"/>
      <c r="AD378" s="153"/>
      <c r="AH378" s="147"/>
    </row>
    <row r="379" spans="1:38" s="146" customFormat="1" x14ac:dyDescent="0.25">
      <c r="A379" s="196">
        <v>688</v>
      </c>
      <c r="B379" s="196" t="s">
        <v>2479</v>
      </c>
      <c r="C379" s="196" t="s">
        <v>2480</v>
      </c>
      <c r="D379" s="196" t="s">
        <v>2481</v>
      </c>
      <c r="E379" s="196"/>
      <c r="F379" s="196">
        <v>2009</v>
      </c>
      <c r="G379" s="196"/>
      <c r="H379" s="196" t="s">
        <v>1878</v>
      </c>
      <c r="I379" s="141" t="s">
        <v>1879</v>
      </c>
      <c r="J379" s="196"/>
      <c r="K379" s="196" t="s">
        <v>1881</v>
      </c>
      <c r="L379" s="141" t="s">
        <v>2482</v>
      </c>
      <c r="M379" s="196">
        <v>576</v>
      </c>
      <c r="N379" s="196"/>
      <c r="O379" s="196" t="s">
        <v>2435</v>
      </c>
      <c r="P379" s="144">
        <v>711</v>
      </c>
      <c r="Q379" s="145">
        <f t="shared" si="25"/>
        <v>3.4373</v>
      </c>
      <c r="R379" s="203">
        <v>1.39</v>
      </c>
      <c r="S379" s="203"/>
      <c r="T379" s="151"/>
      <c r="U379" s="151">
        <v>1.7</v>
      </c>
      <c r="V379" s="151">
        <v>0.25</v>
      </c>
      <c r="W379" s="151">
        <f t="shared" si="26"/>
        <v>1.39</v>
      </c>
      <c r="X379" s="152">
        <f t="shared" si="27"/>
        <v>9.7299999999999998E-2</v>
      </c>
      <c r="Y379" s="152"/>
      <c r="Z379" s="148"/>
      <c r="AA379" s="153"/>
      <c r="AB379" s="153"/>
      <c r="AC379" s="153"/>
      <c r="AD379" s="153"/>
      <c r="AH379" s="147"/>
    </row>
    <row r="380" spans="1:38" s="146" customFormat="1" x14ac:dyDescent="0.25">
      <c r="A380" s="196">
        <v>614</v>
      </c>
      <c r="B380" s="196" t="s">
        <v>2483</v>
      </c>
      <c r="C380" s="196" t="s">
        <v>2484</v>
      </c>
      <c r="D380" s="196" t="s">
        <v>2300</v>
      </c>
      <c r="E380" s="196"/>
      <c r="F380" s="196">
        <v>1966</v>
      </c>
      <c r="G380" s="196"/>
      <c r="H380" s="196" t="s">
        <v>2008</v>
      </c>
      <c r="I380" s="141" t="s">
        <v>1879</v>
      </c>
      <c r="J380" s="196" t="s">
        <v>2420</v>
      </c>
      <c r="K380" s="196" t="s">
        <v>1881</v>
      </c>
      <c r="L380" s="141"/>
      <c r="M380" s="196">
        <v>190</v>
      </c>
      <c r="N380" s="196"/>
      <c r="O380" s="196" t="s">
        <v>2436</v>
      </c>
      <c r="P380" s="144">
        <v>136</v>
      </c>
      <c r="Q380" s="145">
        <f t="shared" si="25"/>
        <v>2.1882999999999995</v>
      </c>
      <c r="R380" s="203">
        <v>0.69</v>
      </c>
      <c r="S380" s="203"/>
      <c r="T380" s="151"/>
      <c r="U380" s="151">
        <v>1.2</v>
      </c>
      <c r="V380" s="151">
        <v>0.25</v>
      </c>
      <c r="W380" s="151">
        <f t="shared" si="26"/>
        <v>0.69</v>
      </c>
      <c r="X380" s="152">
        <f t="shared" si="27"/>
        <v>4.8299999999999996E-2</v>
      </c>
      <c r="Y380" s="152"/>
      <c r="Z380" s="148"/>
      <c r="AA380" s="153"/>
      <c r="AB380" s="153"/>
      <c r="AC380" s="153"/>
      <c r="AD380" s="153"/>
      <c r="AH380" s="147"/>
    </row>
    <row r="381" spans="1:38" s="146" customFormat="1" x14ac:dyDescent="0.25">
      <c r="A381" s="196">
        <v>690</v>
      </c>
      <c r="B381" s="196" t="s">
        <v>2485</v>
      </c>
      <c r="C381" s="196" t="s">
        <v>2486</v>
      </c>
      <c r="D381" s="196" t="s">
        <v>2487</v>
      </c>
      <c r="E381" s="196"/>
      <c r="F381" s="196">
        <v>2000</v>
      </c>
      <c r="G381" s="196"/>
      <c r="H381" s="196" t="s">
        <v>2295</v>
      </c>
      <c r="I381" s="141" t="s">
        <v>1879</v>
      </c>
      <c r="J381" s="196" t="s">
        <v>2488</v>
      </c>
      <c r="K381" s="196" t="s">
        <v>1881</v>
      </c>
      <c r="L381" s="141" t="s">
        <v>2489</v>
      </c>
      <c r="M381" s="196">
        <v>226</v>
      </c>
      <c r="N381" s="196"/>
      <c r="O381" s="196" t="s">
        <v>2437</v>
      </c>
      <c r="P381" s="144">
        <v>384</v>
      </c>
      <c r="Q381" s="145">
        <f t="shared" si="25"/>
        <v>2.6162999999999998</v>
      </c>
      <c r="R381" s="203">
        <v>1.0900000000000001</v>
      </c>
      <c r="S381" s="203"/>
      <c r="T381" s="151"/>
      <c r="U381" s="151">
        <v>1.2</v>
      </c>
      <c r="V381" s="151">
        <v>0.25</v>
      </c>
      <c r="W381" s="151">
        <f t="shared" si="26"/>
        <v>1.0900000000000001</v>
      </c>
      <c r="X381" s="152">
        <f t="shared" si="27"/>
        <v>7.6300000000000007E-2</v>
      </c>
      <c r="Y381" s="152"/>
      <c r="Z381" s="148"/>
      <c r="AA381" s="153"/>
      <c r="AB381" s="153"/>
      <c r="AC381" s="153"/>
      <c r="AD381" s="153"/>
      <c r="AH381" s="147"/>
    </row>
    <row r="382" spans="1:38" s="146" customFormat="1" x14ac:dyDescent="0.25">
      <c r="A382" s="196">
        <v>169</v>
      </c>
      <c r="B382" s="196" t="s">
        <v>2490</v>
      </c>
      <c r="C382" s="196" t="s">
        <v>2491</v>
      </c>
      <c r="D382" s="196" t="s">
        <v>2209</v>
      </c>
      <c r="E382" s="196"/>
      <c r="F382" s="196">
        <v>1990</v>
      </c>
      <c r="G382" s="196"/>
      <c r="H382" s="196" t="s">
        <v>1878</v>
      </c>
      <c r="I382" s="141" t="s">
        <v>1879</v>
      </c>
      <c r="J382" s="196"/>
      <c r="K382" s="196" t="s">
        <v>1881</v>
      </c>
      <c r="L382" s="141" t="s">
        <v>2492</v>
      </c>
      <c r="M382" s="196">
        <v>240</v>
      </c>
      <c r="N382" s="196"/>
      <c r="O382" s="196" t="s">
        <v>2438</v>
      </c>
      <c r="P382" s="144">
        <v>207</v>
      </c>
      <c r="Q382" s="145">
        <f t="shared" si="25"/>
        <v>1.8244999999999998</v>
      </c>
      <c r="R382" s="203">
        <v>0.35</v>
      </c>
      <c r="S382" s="203"/>
      <c r="T382" s="151"/>
      <c r="U382" s="151">
        <v>1.2</v>
      </c>
      <c r="V382" s="151">
        <v>0.25</v>
      </c>
      <c r="W382" s="151">
        <f t="shared" si="26"/>
        <v>0.35</v>
      </c>
      <c r="X382" s="152">
        <f t="shared" si="27"/>
        <v>2.4499999999999997E-2</v>
      </c>
      <c r="Y382" s="152"/>
      <c r="Z382" s="148"/>
      <c r="AA382" s="153"/>
      <c r="AB382" s="153"/>
      <c r="AC382" s="153"/>
      <c r="AD382" s="153"/>
      <c r="AH382" s="147"/>
    </row>
    <row r="383" spans="1:38" s="146" customFormat="1" x14ac:dyDescent="0.25">
      <c r="A383" s="196">
        <v>688</v>
      </c>
      <c r="B383" s="196" t="s">
        <v>2493</v>
      </c>
      <c r="C383" s="196" t="s">
        <v>2494</v>
      </c>
      <c r="D383" s="196" t="s">
        <v>1912</v>
      </c>
      <c r="E383" s="196" t="s">
        <v>1899</v>
      </c>
      <c r="F383" s="196">
        <v>1984</v>
      </c>
      <c r="G383" s="196"/>
      <c r="H383" s="196" t="s">
        <v>1878</v>
      </c>
      <c r="I383" s="141" t="s">
        <v>1914</v>
      </c>
      <c r="J383" s="196"/>
      <c r="K383" s="196" t="s">
        <v>1881</v>
      </c>
      <c r="L383" s="141" t="s">
        <v>2495</v>
      </c>
      <c r="M383" s="196">
        <v>192</v>
      </c>
      <c r="N383" s="196"/>
      <c r="O383" s="196" t="s">
        <v>2439</v>
      </c>
      <c r="P383" s="144">
        <v>144</v>
      </c>
      <c r="Q383" s="145">
        <f t="shared" si="25"/>
        <v>1.7175</v>
      </c>
      <c r="R383" s="203">
        <v>0.25</v>
      </c>
      <c r="S383" s="203"/>
      <c r="T383" s="151"/>
      <c r="U383" s="151">
        <v>1.2</v>
      </c>
      <c r="V383" s="151">
        <v>0.25</v>
      </c>
      <c r="W383" s="151">
        <f t="shared" si="26"/>
        <v>0.25</v>
      </c>
      <c r="X383" s="152">
        <f t="shared" si="27"/>
        <v>1.7500000000000002E-2</v>
      </c>
      <c r="Y383" s="152"/>
      <c r="Z383" s="148"/>
      <c r="AA383" s="153"/>
      <c r="AB383" s="153"/>
      <c r="AC383" s="153"/>
      <c r="AD383" s="153"/>
      <c r="AH383" s="147"/>
    </row>
    <row r="384" spans="1:38" s="146" customFormat="1" x14ac:dyDescent="0.25">
      <c r="A384" s="196">
        <v>2522</v>
      </c>
      <c r="B384" s="196" t="s">
        <v>2496</v>
      </c>
      <c r="C384" s="196" t="s">
        <v>2497</v>
      </c>
      <c r="D384" s="196" t="s">
        <v>1876</v>
      </c>
      <c r="E384" s="196" t="s">
        <v>1984</v>
      </c>
      <c r="F384" s="196">
        <v>2012</v>
      </c>
      <c r="G384" s="196"/>
      <c r="H384" s="196" t="s">
        <v>1878</v>
      </c>
      <c r="I384" s="141" t="s">
        <v>1879</v>
      </c>
      <c r="J384" s="143" t="s">
        <v>2205</v>
      </c>
      <c r="K384" s="196" t="s">
        <v>1881</v>
      </c>
      <c r="L384" s="141" t="s">
        <v>2498</v>
      </c>
      <c r="M384" s="196">
        <v>384</v>
      </c>
      <c r="N384" s="196"/>
      <c r="O384" s="196" t="s">
        <v>2440</v>
      </c>
      <c r="P384" s="144">
        <v>316</v>
      </c>
      <c r="Q384" s="145">
        <f t="shared" si="25"/>
        <v>2.0813000000000001</v>
      </c>
      <c r="R384" s="203">
        <v>0.59</v>
      </c>
      <c r="S384" s="203"/>
      <c r="T384" s="151"/>
      <c r="U384" s="151">
        <v>1.2</v>
      </c>
      <c r="V384" s="151">
        <v>0.25</v>
      </c>
      <c r="W384" s="151">
        <f t="shared" si="26"/>
        <v>0.59</v>
      </c>
      <c r="X384" s="152">
        <f t="shared" si="27"/>
        <v>4.1299999999999996E-2</v>
      </c>
      <c r="Y384" s="152"/>
      <c r="Z384" s="148"/>
      <c r="AA384" s="153"/>
      <c r="AB384" s="153"/>
      <c r="AC384" s="153"/>
      <c r="AD384" s="153"/>
      <c r="AH384" s="147"/>
    </row>
    <row r="385" spans="1:34" s="146" customFormat="1" x14ac:dyDescent="0.25">
      <c r="A385" s="196">
        <v>2952</v>
      </c>
      <c r="B385" s="196" t="s">
        <v>2499</v>
      </c>
      <c r="C385" s="196" t="s">
        <v>2500</v>
      </c>
      <c r="D385" s="196" t="s">
        <v>2091</v>
      </c>
      <c r="E385" s="196"/>
      <c r="F385" s="196">
        <v>2005</v>
      </c>
      <c r="G385" s="196"/>
      <c r="H385" s="196" t="s">
        <v>2295</v>
      </c>
      <c r="I385" s="141" t="s">
        <v>1929</v>
      </c>
      <c r="J385" s="196"/>
      <c r="K385" s="196" t="s">
        <v>1881</v>
      </c>
      <c r="L385" s="141" t="s">
        <v>2501</v>
      </c>
      <c r="M385" s="196">
        <v>146</v>
      </c>
      <c r="N385" s="196"/>
      <c r="O385" s="196" t="s">
        <v>2441</v>
      </c>
      <c r="P385" s="144">
        <v>307</v>
      </c>
      <c r="Q385" s="145">
        <f t="shared" si="25"/>
        <v>2.5093000000000001</v>
      </c>
      <c r="R385" s="203">
        <v>0.99</v>
      </c>
      <c r="S385" s="203"/>
      <c r="T385" s="151"/>
      <c r="U385" s="151">
        <v>1.2</v>
      </c>
      <c r="V385" s="151">
        <v>0.25</v>
      </c>
      <c r="W385" s="151">
        <f t="shared" si="26"/>
        <v>0.99</v>
      </c>
      <c r="X385" s="152">
        <f t="shared" si="27"/>
        <v>6.93E-2</v>
      </c>
      <c r="Y385" s="152"/>
      <c r="Z385" s="148"/>
      <c r="AA385" s="153"/>
      <c r="AB385" s="153"/>
      <c r="AC385" s="153"/>
      <c r="AD385" s="153"/>
      <c r="AH385" s="147"/>
    </row>
    <row r="386" spans="1:34" s="146" customFormat="1" x14ac:dyDescent="0.25">
      <c r="A386" s="196">
        <v>633</v>
      </c>
      <c r="B386" s="196" t="s">
        <v>2503</v>
      </c>
      <c r="C386" s="196" t="s">
        <v>2504</v>
      </c>
      <c r="D386" s="196" t="s">
        <v>2054</v>
      </c>
      <c r="E386" s="196"/>
      <c r="F386" s="196">
        <v>2003</v>
      </c>
      <c r="G386" s="196"/>
      <c r="H386" s="196" t="s">
        <v>2295</v>
      </c>
      <c r="I386" s="141" t="s">
        <v>1879</v>
      </c>
      <c r="J386" s="196" t="s">
        <v>2505</v>
      </c>
      <c r="K386" s="196" t="s">
        <v>1881</v>
      </c>
      <c r="L386" s="141" t="s">
        <v>2502</v>
      </c>
      <c r="M386" s="196">
        <v>610</v>
      </c>
      <c r="N386" s="196"/>
      <c r="O386" s="196" t="s">
        <v>2442</v>
      </c>
      <c r="P386" s="144">
        <v>556</v>
      </c>
      <c r="Q386" s="145">
        <f t="shared" si="25"/>
        <v>2.4742999999999999</v>
      </c>
      <c r="R386" s="203">
        <v>0.49</v>
      </c>
      <c r="S386" s="203"/>
      <c r="T386" s="151"/>
      <c r="U386" s="151">
        <v>1.7</v>
      </c>
      <c r="V386" s="151">
        <v>0.25</v>
      </c>
      <c r="W386" s="151">
        <f t="shared" si="26"/>
        <v>0.49</v>
      </c>
      <c r="X386" s="152">
        <f t="shared" si="27"/>
        <v>3.4299999999999997E-2</v>
      </c>
      <c r="Y386" s="152"/>
      <c r="Z386" s="148"/>
      <c r="AA386" s="153"/>
      <c r="AB386" s="153"/>
      <c r="AC386" s="153"/>
      <c r="AD386" s="153"/>
      <c r="AH386" s="147"/>
    </row>
    <row r="387" spans="1:34" s="146" customFormat="1" x14ac:dyDescent="0.25">
      <c r="A387" s="196">
        <v>591</v>
      </c>
      <c r="B387" s="196" t="s">
        <v>2506</v>
      </c>
      <c r="C387" s="196" t="s">
        <v>2507</v>
      </c>
      <c r="D387" s="196" t="s">
        <v>2257</v>
      </c>
      <c r="E387" s="196"/>
      <c r="F387" s="196">
        <v>1988</v>
      </c>
      <c r="G387" s="196"/>
      <c r="H387" s="196" t="s">
        <v>1878</v>
      </c>
      <c r="I387" s="141" t="s">
        <v>1879</v>
      </c>
      <c r="J387" s="196" t="s">
        <v>2508</v>
      </c>
      <c r="K387" s="196" t="s">
        <v>1881</v>
      </c>
      <c r="L387" s="141" t="s">
        <v>2509</v>
      </c>
      <c r="M387" s="196">
        <v>240</v>
      </c>
      <c r="N387" s="196"/>
      <c r="O387" s="196" t="s">
        <v>2443</v>
      </c>
      <c r="P387" s="144">
        <v>165</v>
      </c>
      <c r="Q387" s="145">
        <f t="shared" si="25"/>
        <v>3.5792999999999999</v>
      </c>
      <c r="R387" s="203">
        <v>1.99</v>
      </c>
      <c r="S387" s="203"/>
      <c r="T387" s="151"/>
      <c r="U387" s="151">
        <v>1.2</v>
      </c>
      <c r="V387" s="151">
        <v>0.25</v>
      </c>
      <c r="W387" s="151">
        <f t="shared" si="26"/>
        <v>1.99</v>
      </c>
      <c r="X387" s="152">
        <f t="shared" si="27"/>
        <v>0.13930000000000001</v>
      </c>
      <c r="Y387" s="152"/>
      <c r="Z387" s="148"/>
      <c r="AA387" s="153"/>
      <c r="AB387" s="153"/>
      <c r="AC387" s="153"/>
      <c r="AD387" s="153"/>
      <c r="AH387" s="147"/>
    </row>
    <row r="388" spans="1:34" s="146" customFormat="1" x14ac:dyDescent="0.25">
      <c r="A388" s="196"/>
      <c r="B388" s="196"/>
      <c r="C388" s="196"/>
      <c r="D388" s="196"/>
      <c r="E388" s="196"/>
      <c r="F388" s="196"/>
      <c r="G388" s="196"/>
      <c r="H388" s="196"/>
      <c r="I388" s="141"/>
      <c r="J388" s="196"/>
      <c r="K388" s="196"/>
      <c r="L388" s="141"/>
      <c r="M388" s="196"/>
      <c r="N388" s="196"/>
      <c r="O388" s="196"/>
      <c r="P388" s="144"/>
      <c r="Q388" s="148"/>
      <c r="R388" s="203"/>
      <c r="S388" s="203"/>
      <c r="T388" s="203"/>
      <c r="U388" s="103"/>
      <c r="V388" s="103"/>
      <c r="W388" s="203"/>
      <c r="X388" s="148"/>
      <c r="Y388" s="148"/>
      <c r="Z388" s="148"/>
      <c r="AA388" s="148"/>
      <c r="AB388" s="148"/>
      <c r="AC388" s="148"/>
      <c r="AD388" s="148"/>
      <c r="AH388" s="147"/>
    </row>
    <row r="389" spans="1:34" s="146" customFormat="1" x14ac:dyDescent="0.25">
      <c r="A389" s="196">
        <v>632</v>
      </c>
      <c r="B389" s="196" t="s">
        <v>2515</v>
      </c>
      <c r="C389" s="196" t="s">
        <v>2516</v>
      </c>
      <c r="D389" s="196" t="s">
        <v>2517</v>
      </c>
      <c r="E389" s="196" t="s">
        <v>2518</v>
      </c>
      <c r="F389" s="196">
        <v>2001</v>
      </c>
      <c r="G389" s="196"/>
      <c r="H389" s="196" t="s">
        <v>1878</v>
      </c>
      <c r="I389" s="141" t="s">
        <v>1879</v>
      </c>
      <c r="J389" s="196" t="s">
        <v>2513</v>
      </c>
      <c r="K389" s="196" t="s">
        <v>1881</v>
      </c>
      <c r="L389" s="141" t="s">
        <v>2519</v>
      </c>
      <c r="M389" s="196">
        <v>704</v>
      </c>
      <c r="N389" s="196"/>
      <c r="O389" s="196" t="s">
        <v>2445</v>
      </c>
      <c r="P389" s="144">
        <v>611</v>
      </c>
      <c r="Q389" s="145">
        <f t="shared" si="25"/>
        <v>2.2175000000000002</v>
      </c>
      <c r="R389" s="203">
        <v>0.25</v>
      </c>
      <c r="S389" s="203"/>
      <c r="T389" s="151"/>
      <c r="U389" s="151">
        <v>1.7</v>
      </c>
      <c r="V389" s="151">
        <v>0.25</v>
      </c>
      <c r="W389" s="151">
        <f t="shared" si="26"/>
        <v>0.25</v>
      </c>
      <c r="X389" s="152">
        <f t="shared" si="27"/>
        <v>1.7500000000000002E-2</v>
      </c>
      <c r="Y389" s="152"/>
      <c r="Z389" s="148"/>
      <c r="AA389" s="153"/>
      <c r="AB389" s="153"/>
      <c r="AC389" s="153"/>
      <c r="AD389" s="153"/>
      <c r="AH389" s="147"/>
    </row>
    <row r="390" spans="1:34" s="146" customFormat="1" x14ac:dyDescent="0.25">
      <c r="A390" s="196">
        <v>710</v>
      </c>
      <c r="B390" s="196"/>
      <c r="C390" s="196" t="s">
        <v>2520</v>
      </c>
      <c r="D390" s="196" t="s">
        <v>2521</v>
      </c>
      <c r="E390" s="196"/>
      <c r="F390" s="196">
        <v>2001</v>
      </c>
      <c r="G390" s="196"/>
      <c r="H390" s="196" t="s">
        <v>2217</v>
      </c>
      <c r="I390" s="141" t="s">
        <v>1879</v>
      </c>
      <c r="J390" s="196"/>
      <c r="K390" s="196" t="s">
        <v>2522</v>
      </c>
      <c r="L390" s="141" t="s">
        <v>2523</v>
      </c>
      <c r="M390" s="196">
        <v>578</v>
      </c>
      <c r="N390" s="196"/>
      <c r="O390" s="196" t="s">
        <v>2446</v>
      </c>
      <c r="P390" s="144">
        <v>291</v>
      </c>
      <c r="Q390" s="145">
        <f t="shared" si="25"/>
        <v>1.7175</v>
      </c>
      <c r="R390" s="203">
        <v>0.25</v>
      </c>
      <c r="S390" s="203"/>
      <c r="T390" s="151"/>
      <c r="U390" s="151">
        <v>1.2</v>
      </c>
      <c r="V390" s="151">
        <v>0.25</v>
      </c>
      <c r="W390" s="151">
        <f t="shared" si="26"/>
        <v>0.25</v>
      </c>
      <c r="X390" s="152">
        <f t="shared" si="27"/>
        <v>1.7500000000000002E-2</v>
      </c>
      <c r="Y390" s="152"/>
      <c r="Z390" s="148"/>
      <c r="AA390" s="153"/>
      <c r="AB390" s="153"/>
      <c r="AC390" s="153"/>
      <c r="AD390" s="153"/>
      <c r="AH390" s="147"/>
    </row>
    <row r="391" spans="1:34" s="146" customFormat="1" ht="66" x14ac:dyDescent="0.25">
      <c r="A391" s="196">
        <v>688</v>
      </c>
      <c r="B391" s="196" t="s">
        <v>2524</v>
      </c>
      <c r="C391" s="196" t="s">
        <v>2525</v>
      </c>
      <c r="D391" s="196" t="s">
        <v>1912</v>
      </c>
      <c r="E391" s="196"/>
      <c r="F391" s="196">
        <v>1993</v>
      </c>
      <c r="G391" s="196"/>
      <c r="H391" s="196" t="s">
        <v>1878</v>
      </c>
      <c r="I391" s="141" t="s">
        <v>1879</v>
      </c>
      <c r="J391" s="52" t="s">
        <v>2527</v>
      </c>
      <c r="K391" s="196" t="s">
        <v>1881</v>
      </c>
      <c r="L391" s="141" t="s">
        <v>2526</v>
      </c>
      <c r="M391" s="196">
        <v>288</v>
      </c>
      <c r="N391" s="196"/>
      <c r="O391" s="196" t="s">
        <v>2447</v>
      </c>
      <c r="P391" s="144">
        <v>236</v>
      </c>
      <c r="Q391" s="145">
        <f t="shared" si="25"/>
        <v>2.7232999999999996</v>
      </c>
      <c r="R391" s="203">
        <v>1.19</v>
      </c>
      <c r="S391" s="203"/>
      <c r="T391" s="151"/>
      <c r="U391" s="151">
        <v>1.2</v>
      </c>
      <c r="V391" s="151">
        <v>0.25</v>
      </c>
      <c r="W391" s="151">
        <f t="shared" si="26"/>
        <v>1.19</v>
      </c>
      <c r="X391" s="152">
        <f t="shared" si="27"/>
        <v>8.3299999999999999E-2</v>
      </c>
      <c r="Y391" s="152"/>
      <c r="Z391" s="148"/>
      <c r="AA391" s="153"/>
      <c r="AB391" s="153"/>
      <c r="AC391" s="153"/>
      <c r="AD391" s="153"/>
      <c r="AH391" s="147"/>
    </row>
    <row r="392" spans="1:34" s="146" customFormat="1" x14ac:dyDescent="0.25">
      <c r="A392" s="196">
        <v>633</v>
      </c>
      <c r="B392" s="196" t="s">
        <v>2528</v>
      </c>
      <c r="C392" s="196" t="s">
        <v>2529</v>
      </c>
      <c r="D392" s="196" t="s">
        <v>2530</v>
      </c>
      <c r="E392" s="196" t="s">
        <v>2531</v>
      </c>
      <c r="F392" s="196">
        <v>2016</v>
      </c>
      <c r="G392" s="196"/>
      <c r="H392" s="196" t="s">
        <v>1878</v>
      </c>
      <c r="I392" s="141" t="s">
        <v>1929</v>
      </c>
      <c r="J392" s="196"/>
      <c r="K392" s="196" t="s">
        <v>1881</v>
      </c>
      <c r="L392" s="141" t="s">
        <v>2532</v>
      </c>
      <c r="M392" s="196">
        <v>320</v>
      </c>
      <c r="N392" s="196"/>
      <c r="O392" s="196" t="s">
        <v>2448</v>
      </c>
      <c r="P392" s="144">
        <v>345</v>
      </c>
      <c r="Q392" s="145">
        <f t="shared" si="25"/>
        <v>2.5093000000000001</v>
      </c>
      <c r="R392" s="203">
        <v>0.99</v>
      </c>
      <c r="S392" s="203"/>
      <c r="T392" s="151"/>
      <c r="U392" s="151">
        <v>1.2</v>
      </c>
      <c r="V392" s="151">
        <v>0.25</v>
      </c>
      <c r="W392" s="151">
        <f t="shared" si="26"/>
        <v>0.99</v>
      </c>
      <c r="X392" s="152">
        <f t="shared" si="27"/>
        <v>6.93E-2</v>
      </c>
      <c r="Y392" s="152"/>
      <c r="Z392" s="148"/>
      <c r="AA392" s="153"/>
      <c r="AB392" s="153"/>
      <c r="AC392" s="153"/>
      <c r="AD392" s="153"/>
      <c r="AH392" s="147"/>
    </row>
    <row r="393" spans="1:34" s="146" customFormat="1" x14ac:dyDescent="0.25">
      <c r="A393" s="196">
        <v>632</v>
      </c>
      <c r="B393" s="196" t="s">
        <v>2467</v>
      </c>
      <c r="C393" s="196" t="s">
        <v>2533</v>
      </c>
      <c r="D393" s="196" t="s">
        <v>2257</v>
      </c>
      <c r="E393" s="196"/>
      <c r="F393" s="196">
        <v>2007</v>
      </c>
      <c r="G393" s="196"/>
      <c r="H393" s="196" t="s">
        <v>1878</v>
      </c>
      <c r="I393" s="141" t="s">
        <v>1879</v>
      </c>
      <c r="J393" s="196"/>
      <c r="K393" s="196" t="s">
        <v>1881</v>
      </c>
      <c r="L393" s="141" t="s">
        <v>2534</v>
      </c>
      <c r="M393" s="196">
        <v>704</v>
      </c>
      <c r="N393" s="196"/>
      <c r="O393" s="196" t="s">
        <v>2535</v>
      </c>
      <c r="P393" s="144">
        <v>520</v>
      </c>
      <c r="Q393" s="145">
        <f t="shared" si="25"/>
        <v>2.4742999999999999</v>
      </c>
      <c r="R393" s="203">
        <v>0.49</v>
      </c>
      <c r="S393" s="203"/>
      <c r="T393" s="151"/>
      <c r="U393" s="151">
        <v>1.7</v>
      </c>
      <c r="V393" s="151">
        <v>0.25</v>
      </c>
      <c r="W393" s="151">
        <f t="shared" si="26"/>
        <v>0.49</v>
      </c>
      <c r="X393" s="152">
        <f t="shared" si="27"/>
        <v>3.4299999999999997E-2</v>
      </c>
      <c r="Y393" s="152"/>
      <c r="Z393" s="148"/>
      <c r="AA393" s="153"/>
      <c r="AB393" s="153"/>
      <c r="AC393" s="153"/>
      <c r="AD393" s="153"/>
      <c r="AH393" s="147"/>
    </row>
    <row r="394" spans="1:34" s="146" customFormat="1" x14ac:dyDescent="0.25">
      <c r="A394" s="196"/>
      <c r="B394" s="196" t="s">
        <v>2562</v>
      </c>
      <c r="C394" s="196" t="s">
        <v>2563</v>
      </c>
      <c r="D394" s="196"/>
      <c r="E394" s="196" t="s">
        <v>1913</v>
      </c>
      <c r="F394" s="196">
        <v>2017</v>
      </c>
      <c r="G394" s="196"/>
      <c r="H394" s="196" t="s">
        <v>1878</v>
      </c>
      <c r="I394" s="141" t="s">
        <v>1929</v>
      </c>
      <c r="J394" s="196"/>
      <c r="K394" s="196" t="s">
        <v>1881</v>
      </c>
      <c r="L394" s="141" t="s">
        <v>2564</v>
      </c>
      <c r="M394" s="196">
        <v>200</v>
      </c>
      <c r="N394" s="196"/>
      <c r="O394" s="196" t="s">
        <v>2536</v>
      </c>
      <c r="P394" s="144">
        <v>229</v>
      </c>
      <c r="Q394" s="145">
        <f t="shared" si="25"/>
        <v>2.5093000000000001</v>
      </c>
      <c r="R394" s="203">
        <v>0.99</v>
      </c>
      <c r="S394" s="203"/>
      <c r="T394" s="151"/>
      <c r="U394" s="151">
        <v>1.2</v>
      </c>
      <c r="V394" s="151">
        <v>0.25</v>
      </c>
      <c r="W394" s="151">
        <f t="shared" si="26"/>
        <v>0.99</v>
      </c>
      <c r="X394" s="152">
        <f t="shared" si="27"/>
        <v>6.93E-2</v>
      </c>
      <c r="Y394" s="152"/>
      <c r="Z394" s="148"/>
      <c r="AA394" s="153"/>
      <c r="AB394" s="153"/>
      <c r="AC394" s="153"/>
      <c r="AD394" s="153"/>
      <c r="AH394" s="147"/>
    </row>
    <row r="395" spans="1:34" s="146" customFormat="1" ht="66" x14ac:dyDescent="0.25">
      <c r="A395" s="196">
        <v>2522</v>
      </c>
      <c r="B395" s="196" t="s">
        <v>2565</v>
      </c>
      <c r="C395" s="196" t="s">
        <v>2566</v>
      </c>
      <c r="D395" s="196" t="s">
        <v>1876</v>
      </c>
      <c r="E395" s="196" t="s">
        <v>1921</v>
      </c>
      <c r="F395" s="196">
        <v>2013</v>
      </c>
      <c r="G395" s="196"/>
      <c r="H395" s="196" t="s">
        <v>1878</v>
      </c>
      <c r="I395" s="141" t="s">
        <v>1879</v>
      </c>
      <c r="J395" s="52" t="s">
        <v>2527</v>
      </c>
      <c r="K395" s="196" t="s">
        <v>1881</v>
      </c>
      <c r="L395" s="141" t="s">
        <v>2567</v>
      </c>
      <c r="M395" s="196">
        <v>368</v>
      </c>
      <c r="N395" s="196"/>
      <c r="O395" s="196" t="s">
        <v>2537</v>
      </c>
      <c r="P395" s="144">
        <v>318</v>
      </c>
      <c r="Q395" s="145">
        <f t="shared" si="25"/>
        <v>1.9742999999999999</v>
      </c>
      <c r="R395" s="203">
        <v>0.49</v>
      </c>
      <c r="S395" s="203"/>
      <c r="T395" s="151"/>
      <c r="U395" s="151">
        <v>1.2</v>
      </c>
      <c r="V395" s="151">
        <v>0.25</v>
      </c>
      <c r="W395" s="151">
        <f t="shared" si="26"/>
        <v>0.49</v>
      </c>
      <c r="X395" s="152">
        <f t="shared" si="27"/>
        <v>3.4299999999999997E-2</v>
      </c>
      <c r="Y395" s="152"/>
      <c r="Z395" s="148"/>
      <c r="AA395" s="153"/>
      <c r="AB395" s="153"/>
      <c r="AC395" s="153"/>
      <c r="AD395" s="153"/>
      <c r="AH395" s="147"/>
    </row>
    <row r="396" spans="1:34" s="146" customFormat="1" x14ac:dyDescent="0.25">
      <c r="A396" s="196">
        <v>1913</v>
      </c>
      <c r="B396" s="196" t="s">
        <v>2568</v>
      </c>
      <c r="C396" s="196" t="s">
        <v>2569</v>
      </c>
      <c r="D396" s="196" t="s">
        <v>2209</v>
      </c>
      <c r="E396" s="196"/>
      <c r="F396" s="196">
        <v>2001</v>
      </c>
      <c r="G396" s="196"/>
      <c r="H396" s="196" t="s">
        <v>1878</v>
      </c>
      <c r="I396" s="141" t="s">
        <v>1879</v>
      </c>
      <c r="J396" s="196" t="s">
        <v>2570</v>
      </c>
      <c r="K396" s="196" t="s">
        <v>1881</v>
      </c>
      <c r="L396" s="141" t="s">
        <v>2571</v>
      </c>
      <c r="M396" s="196">
        <v>576</v>
      </c>
      <c r="N396" s="196"/>
      <c r="O396" s="196" t="s">
        <v>2538</v>
      </c>
      <c r="P396" s="144">
        <v>445</v>
      </c>
      <c r="Q396" s="145">
        <f t="shared" si="25"/>
        <v>1.8673</v>
      </c>
      <c r="R396" s="203">
        <v>0.39</v>
      </c>
      <c r="S396" s="203"/>
      <c r="T396" s="151"/>
      <c r="U396" s="151">
        <v>1.2</v>
      </c>
      <c r="V396" s="151">
        <v>0.25</v>
      </c>
      <c r="W396" s="151">
        <f t="shared" si="26"/>
        <v>0.39</v>
      </c>
      <c r="X396" s="152">
        <f t="shared" si="27"/>
        <v>2.7300000000000001E-2</v>
      </c>
      <c r="Y396" s="152"/>
      <c r="Z396" s="148"/>
      <c r="AA396" s="153"/>
      <c r="AB396" s="153"/>
      <c r="AC396" s="153"/>
      <c r="AD396" s="153"/>
      <c r="AH396" s="147"/>
    </row>
    <row r="397" spans="1:34" s="146" customFormat="1" ht="66" x14ac:dyDescent="0.25">
      <c r="A397" s="196">
        <v>688</v>
      </c>
      <c r="B397" s="196" t="s">
        <v>2572</v>
      </c>
      <c r="C397" s="196" t="s">
        <v>2573</v>
      </c>
      <c r="D397" s="196" t="s">
        <v>1876</v>
      </c>
      <c r="E397" s="196"/>
      <c r="F397" s="196">
        <v>2009</v>
      </c>
      <c r="G397" s="196"/>
      <c r="H397" s="196" t="s">
        <v>1878</v>
      </c>
      <c r="I397" s="141" t="s">
        <v>1879</v>
      </c>
      <c r="J397" s="52" t="s">
        <v>2527</v>
      </c>
      <c r="K397" s="196" t="s">
        <v>1881</v>
      </c>
      <c r="L397" s="141" t="s">
        <v>2574</v>
      </c>
      <c r="M397" s="196">
        <v>560</v>
      </c>
      <c r="N397" s="196"/>
      <c r="O397" s="196" t="s">
        <v>2539</v>
      </c>
      <c r="P397" s="144">
        <v>755</v>
      </c>
      <c r="Q397" s="145">
        <f t="shared" si="25"/>
        <v>3.2232999999999996</v>
      </c>
      <c r="R397" s="203">
        <v>1.19</v>
      </c>
      <c r="S397" s="203"/>
      <c r="T397" s="151"/>
      <c r="U397" s="151">
        <v>1.7</v>
      </c>
      <c r="V397" s="151">
        <v>0.25</v>
      </c>
      <c r="W397" s="151">
        <f t="shared" si="26"/>
        <v>1.19</v>
      </c>
      <c r="X397" s="152">
        <f t="shared" si="27"/>
        <v>8.3299999999999999E-2</v>
      </c>
      <c r="Y397" s="152"/>
      <c r="Z397" s="148"/>
      <c r="AA397" s="153"/>
      <c r="AB397" s="153"/>
      <c r="AC397" s="153"/>
      <c r="AD397" s="153"/>
      <c r="AH397" s="147"/>
    </row>
    <row r="398" spans="1:34" s="146" customFormat="1" x14ac:dyDescent="0.25">
      <c r="A398" s="196">
        <v>2522</v>
      </c>
      <c r="B398" s="196" t="s">
        <v>2575</v>
      </c>
      <c r="C398" s="196" t="s">
        <v>2576</v>
      </c>
      <c r="D398" s="196" t="s">
        <v>2300</v>
      </c>
      <c r="E398" s="196" t="s">
        <v>1877</v>
      </c>
      <c r="F398" s="196">
        <v>2005</v>
      </c>
      <c r="G398" s="196"/>
      <c r="H398" s="196" t="s">
        <v>1878</v>
      </c>
      <c r="I398" s="141" t="s">
        <v>1879</v>
      </c>
      <c r="J398" s="196"/>
      <c r="K398" s="196" t="s">
        <v>1881</v>
      </c>
      <c r="L398" s="141" t="s">
        <v>2577</v>
      </c>
      <c r="M398" s="196">
        <v>320</v>
      </c>
      <c r="N398" s="196"/>
      <c r="O398" s="196" t="s">
        <v>2540</v>
      </c>
      <c r="P398" s="144">
        <v>298</v>
      </c>
      <c r="Q398" s="145">
        <f t="shared" si="25"/>
        <v>1.7175</v>
      </c>
      <c r="R398" s="203">
        <v>0.25</v>
      </c>
      <c r="S398" s="203"/>
      <c r="T398" s="151"/>
      <c r="U398" s="151">
        <v>1.2</v>
      </c>
      <c r="V398" s="151">
        <v>0.25</v>
      </c>
      <c r="W398" s="151">
        <f t="shared" si="26"/>
        <v>0.25</v>
      </c>
      <c r="X398" s="152">
        <f t="shared" si="27"/>
        <v>1.7500000000000002E-2</v>
      </c>
      <c r="Y398" s="152"/>
      <c r="Z398" s="148"/>
      <c r="AA398" s="153"/>
      <c r="AB398" s="153"/>
      <c r="AC398" s="153"/>
      <c r="AD398" s="153"/>
      <c r="AH398" s="147"/>
    </row>
    <row r="399" spans="1:34" s="146" customFormat="1" ht="39.6" x14ac:dyDescent="0.25">
      <c r="A399" s="196">
        <v>632</v>
      </c>
      <c r="B399" s="196" t="s">
        <v>2578</v>
      </c>
      <c r="C399" s="196" t="s">
        <v>2579</v>
      </c>
      <c r="D399" s="196" t="s">
        <v>1912</v>
      </c>
      <c r="E399" s="196"/>
      <c r="F399" s="196">
        <v>1990</v>
      </c>
      <c r="G399" s="196"/>
      <c r="H399" s="196" t="s">
        <v>1878</v>
      </c>
      <c r="I399" s="141" t="s">
        <v>1879</v>
      </c>
      <c r="J399" s="142" t="s">
        <v>2580</v>
      </c>
      <c r="K399" s="196" t="s">
        <v>1881</v>
      </c>
      <c r="L399" s="141" t="s">
        <v>2581</v>
      </c>
      <c r="M399" s="196">
        <v>320</v>
      </c>
      <c r="N399" s="196"/>
      <c r="O399" s="196" t="s">
        <v>2541</v>
      </c>
      <c r="P399" s="144">
        <v>280</v>
      </c>
      <c r="Q399" s="145">
        <f t="shared" si="25"/>
        <v>1.7175</v>
      </c>
      <c r="R399" s="203">
        <v>0.25</v>
      </c>
      <c r="S399" s="203"/>
      <c r="T399" s="151"/>
      <c r="U399" s="151">
        <v>1.2</v>
      </c>
      <c r="V399" s="151">
        <v>0.25</v>
      </c>
      <c r="W399" s="151">
        <f t="shared" si="26"/>
        <v>0.25</v>
      </c>
      <c r="X399" s="152">
        <f t="shared" si="27"/>
        <v>1.7500000000000002E-2</v>
      </c>
      <c r="Y399" s="152"/>
      <c r="Z399" s="148"/>
      <c r="AA399" s="153"/>
      <c r="AB399" s="153"/>
      <c r="AC399" s="153"/>
      <c r="AD399" s="153"/>
      <c r="AH399" s="147"/>
    </row>
    <row r="400" spans="1:34" s="146" customFormat="1" x14ac:dyDescent="0.25">
      <c r="A400" s="196">
        <v>2522</v>
      </c>
      <c r="B400" s="196" t="s">
        <v>2582</v>
      </c>
      <c r="C400" s="196" t="s">
        <v>2583</v>
      </c>
      <c r="D400" s="196" t="s">
        <v>2584</v>
      </c>
      <c r="E400" s="196" t="s">
        <v>1921</v>
      </c>
      <c r="F400" s="196">
        <v>2007</v>
      </c>
      <c r="G400" s="196"/>
      <c r="H400" s="196" t="s">
        <v>1878</v>
      </c>
      <c r="I400" s="141" t="s">
        <v>1879</v>
      </c>
      <c r="J400" s="196" t="s">
        <v>2585</v>
      </c>
      <c r="K400" s="196" t="s">
        <v>1881</v>
      </c>
      <c r="L400" s="141" t="s">
        <v>2586</v>
      </c>
      <c r="M400" s="196">
        <v>384</v>
      </c>
      <c r="N400" s="196"/>
      <c r="O400" s="196" t="s">
        <v>2542</v>
      </c>
      <c r="P400" s="144">
        <v>292</v>
      </c>
      <c r="Q400" s="145">
        <f t="shared" si="25"/>
        <v>2.5093000000000001</v>
      </c>
      <c r="R400" s="203">
        <v>0.99</v>
      </c>
      <c r="S400" s="203"/>
      <c r="T400" s="151"/>
      <c r="U400" s="151">
        <v>1.2</v>
      </c>
      <c r="V400" s="151">
        <v>0.25</v>
      </c>
      <c r="W400" s="151">
        <f t="shared" si="26"/>
        <v>0.99</v>
      </c>
      <c r="X400" s="152">
        <f t="shared" si="27"/>
        <v>6.93E-2</v>
      </c>
      <c r="Y400" s="152"/>
      <c r="Z400" s="148"/>
      <c r="AA400" s="153"/>
      <c r="AB400" s="153"/>
      <c r="AC400" s="153"/>
      <c r="AD400" s="153"/>
      <c r="AH400" s="147"/>
    </row>
    <row r="401" spans="1:34" s="146" customFormat="1" x14ac:dyDescent="0.25">
      <c r="A401" s="196">
        <v>852</v>
      </c>
      <c r="B401" s="196" t="s">
        <v>2587</v>
      </c>
      <c r="C401" s="196" t="s">
        <v>2588</v>
      </c>
      <c r="D401" s="196" t="s">
        <v>2589</v>
      </c>
      <c r="E401" s="196" t="s">
        <v>1984</v>
      </c>
      <c r="F401" s="196">
        <v>2001</v>
      </c>
      <c r="G401" s="196"/>
      <c r="H401" s="196" t="s">
        <v>1878</v>
      </c>
      <c r="I401" s="141" t="s">
        <v>1929</v>
      </c>
      <c r="J401" s="196"/>
      <c r="K401" s="196" t="s">
        <v>1881</v>
      </c>
      <c r="L401" s="141" t="s">
        <v>2590</v>
      </c>
      <c r="M401" s="196">
        <v>192</v>
      </c>
      <c r="N401" s="196"/>
      <c r="O401" s="196" t="s">
        <v>2543</v>
      </c>
      <c r="P401" s="144">
        <v>279</v>
      </c>
      <c r="Q401" s="145">
        <f t="shared" si="25"/>
        <v>4.1143000000000001</v>
      </c>
      <c r="R401" s="203">
        <v>2.4900000000000002</v>
      </c>
      <c r="S401" s="203"/>
      <c r="T401" s="151"/>
      <c r="U401" s="151">
        <v>1.2</v>
      </c>
      <c r="V401" s="151">
        <v>0.25</v>
      </c>
      <c r="W401" s="151">
        <f t="shared" si="26"/>
        <v>2.4900000000000002</v>
      </c>
      <c r="X401" s="152">
        <f t="shared" si="27"/>
        <v>0.17430000000000001</v>
      </c>
      <c r="Y401" s="152"/>
      <c r="Z401" s="148"/>
      <c r="AA401" s="153"/>
      <c r="AB401" s="153"/>
      <c r="AC401" s="153"/>
      <c r="AD401" s="153"/>
      <c r="AH401" s="147"/>
    </row>
    <row r="402" spans="1:34" s="146" customFormat="1" x14ac:dyDescent="0.25">
      <c r="A402" s="196">
        <v>2522</v>
      </c>
      <c r="B402" s="196" t="s">
        <v>2591</v>
      </c>
      <c r="C402" s="196" t="s">
        <v>2592</v>
      </c>
      <c r="D402" s="196" t="s">
        <v>1979</v>
      </c>
      <c r="E402" s="196"/>
      <c r="F402" s="196">
        <v>2014</v>
      </c>
      <c r="G402" s="196"/>
      <c r="H402" s="196" t="s">
        <v>1878</v>
      </c>
      <c r="I402" s="141" t="s">
        <v>1879</v>
      </c>
      <c r="J402" s="196"/>
      <c r="K402" s="196" t="s">
        <v>1881</v>
      </c>
      <c r="L402" s="141" t="s">
        <v>2593</v>
      </c>
      <c r="M402" s="196">
        <v>320</v>
      </c>
      <c r="N402" s="196"/>
      <c r="O402" s="196" t="s">
        <v>2544</v>
      </c>
      <c r="P402" s="144">
        <v>263</v>
      </c>
      <c r="Q402" s="145">
        <f t="shared" si="25"/>
        <v>3.6863000000000001</v>
      </c>
      <c r="R402" s="203">
        <v>2.09</v>
      </c>
      <c r="S402" s="203"/>
      <c r="T402" s="151"/>
      <c r="U402" s="151">
        <v>1.2</v>
      </c>
      <c r="V402" s="151">
        <v>0.25</v>
      </c>
      <c r="W402" s="151">
        <f t="shared" si="26"/>
        <v>2.09</v>
      </c>
      <c r="X402" s="152">
        <f t="shared" si="27"/>
        <v>0.14629999999999999</v>
      </c>
      <c r="Y402" s="152"/>
      <c r="Z402" s="148"/>
      <c r="AA402" s="153"/>
      <c r="AB402" s="153"/>
      <c r="AC402" s="153"/>
      <c r="AD402" s="153"/>
      <c r="AH402" s="147"/>
    </row>
    <row r="403" spans="1:34" s="146" customFormat="1" x14ac:dyDescent="0.25">
      <c r="A403" s="196">
        <v>796</v>
      </c>
      <c r="B403" s="196" t="s">
        <v>2199</v>
      </c>
      <c r="C403" s="196" t="s">
        <v>2594</v>
      </c>
      <c r="D403" s="196" t="s">
        <v>2257</v>
      </c>
      <c r="E403" s="196"/>
      <c r="F403" s="196">
        <v>2000</v>
      </c>
      <c r="G403" s="196"/>
      <c r="H403" s="196" t="s">
        <v>1878</v>
      </c>
      <c r="I403" s="141" t="s">
        <v>1879</v>
      </c>
      <c r="J403" s="196"/>
      <c r="K403" s="196" t="s">
        <v>1881</v>
      </c>
      <c r="L403" s="141" t="s">
        <v>2595</v>
      </c>
      <c r="M403" s="196">
        <v>464</v>
      </c>
      <c r="N403" s="196"/>
      <c r="O403" s="196" t="s">
        <v>2545</v>
      </c>
      <c r="P403" s="144">
        <v>451</v>
      </c>
      <c r="Q403" s="145">
        <f t="shared" si="25"/>
        <v>1.7175</v>
      </c>
      <c r="R403" s="203">
        <v>0.25</v>
      </c>
      <c r="S403" s="203"/>
      <c r="T403" s="151"/>
      <c r="U403" s="151">
        <v>1.2</v>
      </c>
      <c r="V403" s="151">
        <v>0.25</v>
      </c>
      <c r="W403" s="151">
        <f t="shared" si="26"/>
        <v>0.25</v>
      </c>
      <c r="X403" s="152">
        <f t="shared" si="27"/>
        <v>1.7500000000000002E-2</v>
      </c>
      <c r="Y403" s="152"/>
      <c r="Z403" s="148"/>
      <c r="AA403" s="153"/>
      <c r="AB403" s="153"/>
      <c r="AC403" s="153"/>
      <c r="AD403" s="153"/>
      <c r="AH403" s="147"/>
    </row>
    <row r="404" spans="1:34" s="146" customFormat="1" x14ac:dyDescent="0.25">
      <c r="A404" s="196">
        <v>692</v>
      </c>
      <c r="B404" s="196" t="s">
        <v>2596</v>
      </c>
      <c r="C404" s="196" t="s">
        <v>2597</v>
      </c>
      <c r="D404" s="196" t="s">
        <v>1912</v>
      </c>
      <c r="E404" s="196"/>
      <c r="F404" s="196">
        <v>1994</v>
      </c>
      <c r="G404" s="196"/>
      <c r="H404" s="196" t="s">
        <v>1878</v>
      </c>
      <c r="I404" s="141" t="s">
        <v>1879</v>
      </c>
      <c r="J404" s="196" t="s">
        <v>2570</v>
      </c>
      <c r="K404" s="196" t="s">
        <v>1881</v>
      </c>
      <c r="L404" s="141" t="s">
        <v>2598</v>
      </c>
      <c r="M404" s="196">
        <v>416</v>
      </c>
      <c r="N404" s="196"/>
      <c r="O404" s="196" t="s">
        <v>2546</v>
      </c>
      <c r="P404" s="144">
        <v>276</v>
      </c>
      <c r="Q404" s="145">
        <f t="shared" si="25"/>
        <v>1.7175</v>
      </c>
      <c r="R404" s="203">
        <v>0.25</v>
      </c>
      <c r="S404" s="203"/>
      <c r="T404" s="151"/>
      <c r="U404" s="151">
        <v>1.2</v>
      </c>
      <c r="V404" s="151">
        <v>0.25</v>
      </c>
      <c r="W404" s="151">
        <f t="shared" si="26"/>
        <v>0.25</v>
      </c>
      <c r="X404" s="152">
        <f t="shared" si="27"/>
        <v>1.7500000000000002E-2</v>
      </c>
      <c r="Y404" s="152"/>
      <c r="Z404" s="148"/>
      <c r="AA404" s="153"/>
      <c r="AB404" s="153"/>
      <c r="AC404" s="153"/>
      <c r="AD404" s="153"/>
      <c r="AH404" s="147"/>
    </row>
    <row r="405" spans="1:34" s="146" customFormat="1" x14ac:dyDescent="0.25">
      <c r="A405" s="196">
        <v>2522</v>
      </c>
      <c r="B405" s="196" t="s">
        <v>2599</v>
      </c>
      <c r="C405" s="196" t="s">
        <v>2600</v>
      </c>
      <c r="D405" s="196" t="s">
        <v>2036</v>
      </c>
      <c r="E405" s="196"/>
      <c r="F405" s="196">
        <v>1997</v>
      </c>
      <c r="G405" s="196"/>
      <c r="H405" s="196" t="s">
        <v>2295</v>
      </c>
      <c r="I405" s="141" t="s">
        <v>1879</v>
      </c>
      <c r="J405" s="196" t="s">
        <v>2350</v>
      </c>
      <c r="K405" s="196" t="s">
        <v>1881</v>
      </c>
      <c r="L405" s="141" t="s">
        <v>2601</v>
      </c>
      <c r="M405" s="196">
        <v>578</v>
      </c>
      <c r="N405" s="196"/>
      <c r="O405" s="196" t="s">
        <v>2547</v>
      </c>
      <c r="P405" s="144">
        <v>562</v>
      </c>
      <c r="Q405" s="145">
        <f t="shared" si="25"/>
        <v>2.4742999999999999</v>
      </c>
      <c r="R405" s="203">
        <v>0.49</v>
      </c>
      <c r="S405" s="203"/>
      <c r="T405" s="151"/>
      <c r="U405" s="151">
        <v>1.7</v>
      </c>
      <c r="V405" s="151">
        <v>0.25</v>
      </c>
      <c r="W405" s="151">
        <f t="shared" si="26"/>
        <v>0.49</v>
      </c>
      <c r="X405" s="152">
        <f t="shared" si="27"/>
        <v>3.4299999999999997E-2</v>
      </c>
      <c r="Y405" s="152"/>
      <c r="Z405" s="148"/>
      <c r="AA405" s="153"/>
      <c r="AB405" s="153"/>
      <c r="AC405" s="153"/>
      <c r="AD405" s="153"/>
      <c r="AH405" s="147"/>
    </row>
    <row r="406" spans="1:34" s="146" customFormat="1" x14ac:dyDescent="0.25">
      <c r="A406" s="196">
        <v>2522</v>
      </c>
      <c r="B406" s="196" t="s">
        <v>2602</v>
      </c>
      <c r="C406" s="196" t="s">
        <v>2603</v>
      </c>
      <c r="D406" s="196" t="s">
        <v>2232</v>
      </c>
      <c r="E406" s="196" t="s">
        <v>1913</v>
      </c>
      <c r="F406" s="196">
        <v>1999</v>
      </c>
      <c r="G406" s="196"/>
      <c r="H406" s="196" t="s">
        <v>1878</v>
      </c>
      <c r="I406" s="141" t="s">
        <v>1879</v>
      </c>
      <c r="J406" s="196" t="s">
        <v>2604</v>
      </c>
      <c r="K406" s="196" t="s">
        <v>1881</v>
      </c>
      <c r="L406" s="141" t="s">
        <v>2605</v>
      </c>
      <c r="M406" s="196">
        <v>416</v>
      </c>
      <c r="N406" s="196"/>
      <c r="O406" s="196" t="s">
        <v>2548</v>
      </c>
      <c r="P406" s="144">
        <v>356</v>
      </c>
      <c r="Q406" s="145">
        <f t="shared" si="25"/>
        <v>1.7175</v>
      </c>
      <c r="R406" s="203">
        <v>0.25</v>
      </c>
      <c r="S406" s="203"/>
      <c r="T406" s="151"/>
      <c r="U406" s="151">
        <v>1.2</v>
      </c>
      <c r="V406" s="151">
        <v>0.25</v>
      </c>
      <c r="W406" s="151">
        <f t="shared" si="26"/>
        <v>0.25</v>
      </c>
      <c r="X406" s="152">
        <f t="shared" si="27"/>
        <v>1.7500000000000002E-2</v>
      </c>
      <c r="Y406" s="152"/>
      <c r="Z406" s="148"/>
      <c r="AA406" s="153"/>
      <c r="AB406" s="153"/>
      <c r="AC406" s="153"/>
      <c r="AD406" s="153"/>
      <c r="AH406" s="147"/>
    </row>
    <row r="407" spans="1:34" s="146" customFormat="1" x14ac:dyDescent="0.25">
      <c r="A407" s="196">
        <v>632</v>
      </c>
      <c r="B407" s="196" t="s">
        <v>1904</v>
      </c>
      <c r="C407" s="196" t="s">
        <v>1905</v>
      </c>
      <c r="D407" s="196" t="s">
        <v>2517</v>
      </c>
      <c r="E407" s="196" t="s">
        <v>2606</v>
      </c>
      <c r="F407" s="196">
        <v>1999</v>
      </c>
      <c r="G407" s="196"/>
      <c r="H407" s="196" t="s">
        <v>1878</v>
      </c>
      <c r="I407" s="141" t="s">
        <v>1879</v>
      </c>
      <c r="J407" s="196" t="s">
        <v>2604</v>
      </c>
      <c r="K407" s="196" t="s">
        <v>1881</v>
      </c>
      <c r="L407" s="141" t="s">
        <v>1908</v>
      </c>
      <c r="M407" s="196">
        <v>576</v>
      </c>
      <c r="N407" s="196"/>
      <c r="O407" s="196" t="s">
        <v>2549</v>
      </c>
      <c r="P407" s="144">
        <v>580</v>
      </c>
      <c r="Q407" s="145">
        <f t="shared" si="25"/>
        <v>2.2175000000000002</v>
      </c>
      <c r="R407" s="203">
        <v>0.25</v>
      </c>
      <c r="S407" s="203"/>
      <c r="T407" s="151"/>
      <c r="U407" s="151">
        <v>1.7</v>
      </c>
      <c r="V407" s="151">
        <v>0.25</v>
      </c>
      <c r="W407" s="151">
        <f t="shared" si="26"/>
        <v>0.25</v>
      </c>
      <c r="X407" s="152">
        <f t="shared" si="27"/>
        <v>1.7500000000000002E-2</v>
      </c>
      <c r="Y407" s="152"/>
      <c r="Z407" s="148"/>
      <c r="AA407" s="153"/>
      <c r="AB407" s="153"/>
      <c r="AC407" s="153"/>
      <c r="AD407" s="153"/>
      <c r="AH407" s="147"/>
    </row>
    <row r="408" spans="1:34" s="146" customFormat="1" ht="92.4" x14ac:dyDescent="0.25">
      <c r="A408" s="196">
        <v>688</v>
      </c>
      <c r="B408" s="196" t="s">
        <v>2607</v>
      </c>
      <c r="C408" s="196" t="s">
        <v>2608</v>
      </c>
      <c r="D408" s="196" t="s">
        <v>2609</v>
      </c>
      <c r="E408" s="196"/>
      <c r="F408" s="196">
        <v>1985</v>
      </c>
      <c r="G408" s="196"/>
      <c r="H408" s="196" t="s">
        <v>2295</v>
      </c>
      <c r="I408" s="141" t="s">
        <v>1879</v>
      </c>
      <c r="J408" s="142" t="s">
        <v>2610</v>
      </c>
      <c r="K408" s="196" t="s">
        <v>1881</v>
      </c>
      <c r="L408" s="141" t="s">
        <v>2611</v>
      </c>
      <c r="M408" s="196">
        <v>370</v>
      </c>
      <c r="N408" s="196"/>
      <c r="O408" s="196" t="s">
        <v>2550</v>
      </c>
      <c r="P408" s="144">
        <v>450</v>
      </c>
      <c r="Q408" s="145">
        <f t="shared" si="25"/>
        <v>2.5093000000000001</v>
      </c>
      <c r="R408" s="203">
        <v>0.99</v>
      </c>
      <c r="S408" s="203"/>
      <c r="T408" s="151"/>
      <c r="U408" s="151">
        <v>1.2</v>
      </c>
      <c r="V408" s="151">
        <v>0.25</v>
      </c>
      <c r="W408" s="151">
        <f t="shared" si="26"/>
        <v>0.99</v>
      </c>
      <c r="X408" s="152">
        <f t="shared" si="27"/>
        <v>6.93E-2</v>
      </c>
      <c r="Y408" s="152"/>
      <c r="Z408" s="148"/>
      <c r="AA408" s="153"/>
      <c r="AB408" s="153"/>
      <c r="AC408" s="153"/>
      <c r="AD408" s="153"/>
      <c r="AH408" s="147"/>
    </row>
    <row r="409" spans="1:34" s="146" customFormat="1" x14ac:dyDescent="0.25">
      <c r="A409" s="196">
        <v>632</v>
      </c>
      <c r="B409" s="196" t="s">
        <v>2612</v>
      </c>
      <c r="C409" s="196" t="s">
        <v>2613</v>
      </c>
      <c r="D409" s="196" t="s">
        <v>2054</v>
      </c>
      <c r="E409" s="196"/>
      <c r="F409" s="196">
        <v>2011</v>
      </c>
      <c r="G409" s="196"/>
      <c r="H409" s="196" t="s">
        <v>1878</v>
      </c>
      <c r="I409" s="141" t="s">
        <v>1879</v>
      </c>
      <c r="J409" s="196"/>
      <c r="K409" s="196" t="s">
        <v>1881</v>
      </c>
      <c r="L409" s="141" t="s">
        <v>2614</v>
      </c>
      <c r="M409" s="196">
        <v>608</v>
      </c>
      <c r="N409" s="196"/>
      <c r="O409" s="196" t="s">
        <v>2551</v>
      </c>
      <c r="P409" s="144">
        <v>449</v>
      </c>
      <c r="Q409" s="145">
        <f t="shared" ref="Q409:Q469" si="28">SUM(T409:X409)</f>
        <v>2.1882999999999995</v>
      </c>
      <c r="R409" s="203">
        <v>0.69</v>
      </c>
      <c r="S409" s="203"/>
      <c r="T409" s="151"/>
      <c r="U409" s="151">
        <v>1.2</v>
      </c>
      <c r="V409" s="151">
        <v>0.25</v>
      </c>
      <c r="W409" s="151">
        <f t="shared" ref="W409:W469" si="29">IF(R409&gt;T409,R409,T409)</f>
        <v>0.69</v>
      </c>
      <c r="X409" s="152">
        <f t="shared" ref="X409:X469" si="30">(T409+W409)/100*7</f>
        <v>4.8299999999999996E-2</v>
      </c>
      <c r="Y409" s="152"/>
      <c r="Z409" s="148"/>
      <c r="AA409" s="153"/>
      <c r="AB409" s="153"/>
      <c r="AC409" s="153"/>
      <c r="AD409" s="153"/>
      <c r="AH409" s="147"/>
    </row>
    <row r="410" spans="1:34" s="146" customFormat="1" x14ac:dyDescent="0.25">
      <c r="A410" s="196">
        <v>2956</v>
      </c>
      <c r="B410" s="196" t="s">
        <v>2615</v>
      </c>
      <c r="C410" s="196" t="s">
        <v>2616</v>
      </c>
      <c r="D410" s="196" t="s">
        <v>2007</v>
      </c>
      <c r="E410" s="196"/>
      <c r="F410" s="196">
        <v>1987</v>
      </c>
      <c r="G410" s="196"/>
      <c r="H410" s="196" t="s">
        <v>2008</v>
      </c>
      <c r="I410" s="141" t="s">
        <v>1879</v>
      </c>
      <c r="J410" s="196"/>
      <c r="K410" s="196" t="s">
        <v>1881</v>
      </c>
      <c r="L410" s="141" t="s">
        <v>2617</v>
      </c>
      <c r="M410" s="196">
        <v>48</v>
      </c>
      <c r="N410" s="196"/>
      <c r="O410" s="196" t="s">
        <v>2552</v>
      </c>
      <c r="P410" s="144">
        <v>22</v>
      </c>
      <c r="Q410" s="145">
        <f t="shared" si="28"/>
        <v>1.7175</v>
      </c>
      <c r="R410" s="203">
        <v>0.25</v>
      </c>
      <c r="S410" s="203"/>
      <c r="T410" s="151"/>
      <c r="U410" s="151">
        <v>1.2</v>
      </c>
      <c r="V410" s="151">
        <v>0.25</v>
      </c>
      <c r="W410" s="151">
        <f t="shared" si="29"/>
        <v>0.25</v>
      </c>
      <c r="X410" s="152">
        <f t="shared" si="30"/>
        <v>1.7500000000000002E-2</v>
      </c>
      <c r="Y410" s="152"/>
      <c r="Z410" s="148"/>
      <c r="AA410" s="153"/>
      <c r="AB410" s="153"/>
      <c r="AC410" s="153"/>
      <c r="AD410" s="153"/>
      <c r="AH410" s="147"/>
    </row>
    <row r="411" spans="1:34" s="146" customFormat="1" x14ac:dyDescent="0.25">
      <c r="A411" s="196">
        <v>701</v>
      </c>
      <c r="B411" s="196" t="s">
        <v>2618</v>
      </c>
      <c r="C411" s="196" t="s">
        <v>2619</v>
      </c>
      <c r="D411" s="196" t="s">
        <v>2394</v>
      </c>
      <c r="E411" s="196"/>
      <c r="F411" s="196">
        <v>2003</v>
      </c>
      <c r="G411" s="196"/>
      <c r="H411" s="196" t="s">
        <v>2295</v>
      </c>
      <c r="I411" s="141" t="s">
        <v>1929</v>
      </c>
      <c r="J411" s="143" t="s">
        <v>2205</v>
      </c>
      <c r="K411" s="196" t="s">
        <v>1881</v>
      </c>
      <c r="L411" s="141" t="s">
        <v>2620</v>
      </c>
      <c r="M411" s="196">
        <v>226</v>
      </c>
      <c r="N411" s="196"/>
      <c r="O411" s="196" t="s">
        <v>2553</v>
      </c>
      <c r="P411" s="144">
        <v>644</v>
      </c>
      <c r="Q411" s="145">
        <f t="shared" si="28"/>
        <v>2.2603</v>
      </c>
      <c r="R411" s="203">
        <v>0.28999999999999998</v>
      </c>
      <c r="S411" s="203"/>
      <c r="T411" s="151"/>
      <c r="U411" s="151">
        <v>1.7</v>
      </c>
      <c r="V411" s="151">
        <v>0.25</v>
      </c>
      <c r="W411" s="151">
        <f t="shared" si="29"/>
        <v>0.28999999999999998</v>
      </c>
      <c r="X411" s="152">
        <f t="shared" si="30"/>
        <v>2.0299999999999999E-2</v>
      </c>
      <c r="Y411" s="152"/>
      <c r="Z411" s="148"/>
      <c r="AA411" s="153"/>
      <c r="AB411" s="153"/>
      <c r="AC411" s="153"/>
      <c r="AD411" s="153"/>
      <c r="AH411" s="147"/>
    </row>
    <row r="412" spans="1:34" s="146" customFormat="1" x14ac:dyDescent="0.25">
      <c r="A412" s="196">
        <v>632</v>
      </c>
      <c r="B412" s="196" t="s">
        <v>2621</v>
      </c>
      <c r="C412" s="196" t="s">
        <v>2622</v>
      </c>
      <c r="D412" s="196" t="s">
        <v>2054</v>
      </c>
      <c r="E412" s="196"/>
      <c r="F412" s="196">
        <v>2010</v>
      </c>
      <c r="G412" s="196"/>
      <c r="H412" s="196" t="s">
        <v>2295</v>
      </c>
      <c r="I412" s="141" t="s">
        <v>1879</v>
      </c>
      <c r="J412" s="196"/>
      <c r="K412" s="196" t="s">
        <v>1881</v>
      </c>
      <c r="L412" s="141" t="s">
        <v>2623</v>
      </c>
      <c r="M412" s="196">
        <v>498</v>
      </c>
      <c r="N412" s="196"/>
      <c r="O412" s="196" t="s">
        <v>2554</v>
      </c>
      <c r="P412" s="144">
        <v>565</v>
      </c>
      <c r="Q412" s="145">
        <f t="shared" si="28"/>
        <v>2.9022999999999999</v>
      </c>
      <c r="R412" s="203">
        <v>0.89</v>
      </c>
      <c r="S412" s="203"/>
      <c r="T412" s="151"/>
      <c r="U412" s="151">
        <v>1.7</v>
      </c>
      <c r="V412" s="151">
        <v>0.25</v>
      </c>
      <c r="W412" s="151">
        <f t="shared" si="29"/>
        <v>0.89</v>
      </c>
      <c r="X412" s="152">
        <f t="shared" si="30"/>
        <v>6.2300000000000001E-2</v>
      </c>
      <c r="Y412" s="152"/>
      <c r="Z412" s="148"/>
      <c r="AA412" s="153"/>
      <c r="AB412" s="153"/>
      <c r="AC412" s="153"/>
      <c r="AD412" s="153"/>
      <c r="AH412" s="147"/>
    </row>
    <row r="413" spans="1:34" s="146" customFormat="1" x14ac:dyDescent="0.25">
      <c r="A413" s="196"/>
      <c r="B413" s="196"/>
      <c r="C413" s="196"/>
      <c r="D413" s="196"/>
      <c r="E413" s="196"/>
      <c r="F413" s="196"/>
      <c r="G413" s="196"/>
      <c r="H413" s="196"/>
      <c r="I413" s="141"/>
      <c r="J413" s="196"/>
      <c r="K413" s="196"/>
      <c r="L413" s="141"/>
      <c r="M413" s="196"/>
      <c r="N413" s="196"/>
      <c r="O413" s="196"/>
      <c r="P413" s="144"/>
      <c r="Q413" s="148"/>
      <c r="R413" s="203"/>
      <c r="S413" s="203"/>
      <c r="T413" s="203"/>
      <c r="U413" s="103"/>
      <c r="V413" s="103"/>
      <c r="W413" s="203"/>
      <c r="X413" s="148"/>
      <c r="Y413" s="148"/>
      <c r="Z413" s="148"/>
      <c r="AA413" s="148"/>
      <c r="AB413" s="148"/>
      <c r="AC413" s="148"/>
      <c r="AD413" s="148"/>
      <c r="AH413" s="147"/>
    </row>
    <row r="414" spans="1:34" s="146" customFormat="1" x14ac:dyDescent="0.25">
      <c r="A414" s="196">
        <v>1395</v>
      </c>
      <c r="B414" s="196" t="s">
        <v>2510</v>
      </c>
      <c r="C414" s="196" t="s">
        <v>2624</v>
      </c>
      <c r="D414" s="196" t="s">
        <v>2512</v>
      </c>
      <c r="E414" s="196" t="s">
        <v>2628</v>
      </c>
      <c r="F414" s="196">
        <v>2011</v>
      </c>
      <c r="G414" s="196"/>
      <c r="H414" s="196" t="s">
        <v>1878</v>
      </c>
      <c r="I414" s="141" t="s">
        <v>1879</v>
      </c>
      <c r="J414" s="196"/>
      <c r="K414" s="196" t="s">
        <v>1881</v>
      </c>
      <c r="L414" s="141" t="s">
        <v>2626</v>
      </c>
      <c r="M414" s="196">
        <v>418</v>
      </c>
      <c r="N414" s="196"/>
      <c r="O414" s="196" t="s">
        <v>2556</v>
      </c>
      <c r="P414" s="144">
        <v>589</v>
      </c>
      <c r="Q414" s="145">
        <f t="shared" si="28"/>
        <v>2.2175000000000002</v>
      </c>
      <c r="R414" s="203">
        <v>0.25</v>
      </c>
      <c r="S414" s="203"/>
      <c r="T414" s="151"/>
      <c r="U414" s="151">
        <v>1.7</v>
      </c>
      <c r="V414" s="151">
        <v>0.25</v>
      </c>
      <c r="W414" s="151">
        <f t="shared" si="29"/>
        <v>0.25</v>
      </c>
      <c r="X414" s="152">
        <f t="shared" si="30"/>
        <v>1.7500000000000002E-2</v>
      </c>
      <c r="Y414" s="152"/>
      <c r="Z414" s="148"/>
      <c r="AA414" s="153"/>
      <c r="AB414" s="153"/>
      <c r="AC414" s="153"/>
      <c r="AD414" s="153"/>
      <c r="AH414" s="147"/>
    </row>
    <row r="415" spans="1:34" s="146" customFormat="1" x14ac:dyDescent="0.25">
      <c r="A415" s="196">
        <v>796</v>
      </c>
      <c r="B415" s="196" t="s">
        <v>2629</v>
      </c>
      <c r="C415" s="196" t="s">
        <v>2630</v>
      </c>
      <c r="D415" s="196" t="s">
        <v>1876</v>
      </c>
      <c r="E415" s="196"/>
      <c r="F415" s="196">
        <v>2012</v>
      </c>
      <c r="G415" s="196"/>
      <c r="H415" s="196" t="s">
        <v>1878</v>
      </c>
      <c r="I415" s="141" t="s">
        <v>1879</v>
      </c>
      <c r="J415" s="196"/>
      <c r="K415" s="196" t="s">
        <v>1881</v>
      </c>
      <c r="L415" s="141" t="s">
        <v>2631</v>
      </c>
      <c r="M415" s="196">
        <v>560</v>
      </c>
      <c r="N415" s="196"/>
      <c r="O415" s="196" t="s">
        <v>2557</v>
      </c>
      <c r="P415" s="144">
        <v>398</v>
      </c>
      <c r="Q415" s="145">
        <f t="shared" si="28"/>
        <v>1.7175</v>
      </c>
      <c r="R415" s="203">
        <v>0.25</v>
      </c>
      <c r="S415" s="203"/>
      <c r="T415" s="151"/>
      <c r="U415" s="151">
        <v>1.2</v>
      </c>
      <c r="V415" s="151">
        <v>0.25</v>
      </c>
      <c r="W415" s="151">
        <f t="shared" si="29"/>
        <v>0.25</v>
      </c>
      <c r="X415" s="152">
        <f t="shared" si="30"/>
        <v>1.7500000000000002E-2</v>
      </c>
      <c r="Y415" s="152"/>
      <c r="Z415" s="148"/>
      <c r="AA415" s="153"/>
      <c r="AB415" s="153"/>
      <c r="AC415" s="153"/>
      <c r="AD415" s="153"/>
      <c r="AH415" s="147"/>
    </row>
    <row r="416" spans="1:34" s="146" customFormat="1" x14ac:dyDescent="0.25">
      <c r="A416" s="196">
        <v>796</v>
      </c>
      <c r="B416" s="196" t="s">
        <v>1991</v>
      </c>
      <c r="C416" s="196" t="s">
        <v>2632</v>
      </c>
      <c r="D416" s="196" t="s">
        <v>1993</v>
      </c>
      <c r="E416" s="196" t="s">
        <v>1913</v>
      </c>
      <c r="F416" s="196">
        <v>2006</v>
      </c>
      <c r="G416" s="196"/>
      <c r="H416" s="196" t="s">
        <v>1878</v>
      </c>
      <c r="I416" s="141" t="s">
        <v>1879</v>
      </c>
      <c r="J416" s="196"/>
      <c r="K416" s="196" t="s">
        <v>1881</v>
      </c>
      <c r="L416" s="141" t="s">
        <v>2633</v>
      </c>
      <c r="M416" s="196">
        <v>384</v>
      </c>
      <c r="N416" s="196"/>
      <c r="O416" s="196" t="s">
        <v>2558</v>
      </c>
      <c r="P416" s="144">
        <v>298</v>
      </c>
      <c r="Q416" s="145">
        <f t="shared" si="28"/>
        <v>1.7603</v>
      </c>
      <c r="R416" s="203">
        <v>0.28999999999999998</v>
      </c>
      <c r="S416" s="203"/>
      <c r="T416" s="151"/>
      <c r="U416" s="151">
        <v>1.2</v>
      </c>
      <c r="V416" s="151">
        <v>0.25</v>
      </c>
      <c r="W416" s="151">
        <f t="shared" si="29"/>
        <v>0.28999999999999998</v>
      </c>
      <c r="X416" s="152">
        <f t="shared" si="30"/>
        <v>2.0299999999999999E-2</v>
      </c>
      <c r="Y416" s="152"/>
      <c r="Z416" s="148"/>
      <c r="AA416" s="153"/>
      <c r="AB416" s="153"/>
      <c r="AC416" s="153"/>
      <c r="AD416" s="153"/>
      <c r="AH416" s="147"/>
    </row>
    <row r="417" spans="1:34" s="146" customFormat="1" x14ac:dyDescent="0.25">
      <c r="A417" s="196">
        <v>2522</v>
      </c>
      <c r="B417" s="196" t="s">
        <v>2634</v>
      </c>
      <c r="C417" s="196" t="s">
        <v>2635</v>
      </c>
      <c r="D417" s="196" t="s">
        <v>2636</v>
      </c>
      <c r="E417" s="196"/>
      <c r="F417" s="196">
        <v>2010</v>
      </c>
      <c r="G417" s="196"/>
      <c r="H417" s="196" t="s">
        <v>1878</v>
      </c>
      <c r="I417" s="141" t="s">
        <v>1879</v>
      </c>
      <c r="J417" s="196"/>
      <c r="K417" s="196" t="s">
        <v>1881</v>
      </c>
      <c r="L417" s="141" t="s">
        <v>2637</v>
      </c>
      <c r="M417" s="196">
        <v>320</v>
      </c>
      <c r="N417" s="196"/>
      <c r="O417" s="196" t="s">
        <v>2559</v>
      </c>
      <c r="P417" s="144">
        <v>188</v>
      </c>
      <c r="Q417" s="145">
        <f t="shared" si="28"/>
        <v>1.7175</v>
      </c>
      <c r="R417" s="203">
        <v>0.25</v>
      </c>
      <c r="S417" s="203"/>
      <c r="T417" s="151"/>
      <c r="U417" s="151">
        <v>1.2</v>
      </c>
      <c r="V417" s="151">
        <v>0.25</v>
      </c>
      <c r="W417" s="151">
        <f t="shared" si="29"/>
        <v>0.25</v>
      </c>
      <c r="X417" s="152">
        <f t="shared" si="30"/>
        <v>1.7500000000000002E-2</v>
      </c>
      <c r="Y417" s="152"/>
      <c r="Z417" s="148"/>
      <c r="AA417" s="153"/>
      <c r="AB417" s="153"/>
      <c r="AC417" s="153"/>
      <c r="AD417" s="153"/>
      <c r="AH417" s="147"/>
    </row>
    <row r="418" spans="1:34" s="146" customFormat="1" x14ac:dyDescent="0.25">
      <c r="A418" s="196">
        <v>968</v>
      </c>
      <c r="B418" s="196" t="s">
        <v>2638</v>
      </c>
      <c r="C418" s="196" t="s">
        <v>2639</v>
      </c>
      <c r="D418" s="196" t="s">
        <v>2640</v>
      </c>
      <c r="E418" s="196"/>
      <c r="F418" s="196">
        <v>2000</v>
      </c>
      <c r="G418" s="196"/>
      <c r="H418" s="196" t="s">
        <v>2295</v>
      </c>
      <c r="I418" s="141" t="s">
        <v>1879</v>
      </c>
      <c r="J418" s="196"/>
      <c r="K418" s="196" t="s">
        <v>2025</v>
      </c>
      <c r="L418" s="141" t="s">
        <v>2641</v>
      </c>
      <c r="M418" s="196">
        <v>362</v>
      </c>
      <c r="N418" s="196"/>
      <c r="O418" s="196" t="s">
        <v>2560</v>
      </c>
      <c r="P418" s="144">
        <v>680</v>
      </c>
      <c r="Q418" s="145">
        <f t="shared" si="28"/>
        <v>2.7953000000000001</v>
      </c>
      <c r="R418" s="203">
        <v>0.79</v>
      </c>
      <c r="S418" s="203"/>
      <c r="T418" s="151"/>
      <c r="U418" s="151">
        <v>1.7</v>
      </c>
      <c r="V418" s="151">
        <v>0.25</v>
      </c>
      <c r="W418" s="151">
        <f t="shared" si="29"/>
        <v>0.79</v>
      </c>
      <c r="X418" s="152">
        <f t="shared" si="30"/>
        <v>5.5300000000000002E-2</v>
      </c>
      <c r="Y418" s="152"/>
      <c r="Z418" s="148"/>
      <c r="AA418" s="153"/>
      <c r="AB418" s="153"/>
      <c r="AC418" s="153"/>
      <c r="AD418" s="153"/>
      <c r="AH418" s="147"/>
    </row>
    <row r="419" spans="1:34" s="146" customFormat="1" ht="132" x14ac:dyDescent="0.25">
      <c r="A419" s="196">
        <v>765</v>
      </c>
      <c r="B419" s="196" t="s">
        <v>2642</v>
      </c>
      <c r="C419" s="196" t="s">
        <v>2643</v>
      </c>
      <c r="D419" s="196" t="s">
        <v>2644</v>
      </c>
      <c r="E419" s="196"/>
      <c r="F419" s="196">
        <v>1987</v>
      </c>
      <c r="G419" s="196"/>
      <c r="H419" s="196" t="s">
        <v>2295</v>
      </c>
      <c r="I419" s="141" t="s">
        <v>1929</v>
      </c>
      <c r="J419" s="142" t="s">
        <v>2645</v>
      </c>
      <c r="K419" s="196" t="s">
        <v>1881</v>
      </c>
      <c r="L419" s="141" t="s">
        <v>2646</v>
      </c>
      <c r="M419" s="196">
        <v>98</v>
      </c>
      <c r="N419" s="196"/>
      <c r="O419" s="196" t="s">
        <v>2561</v>
      </c>
      <c r="P419" s="144">
        <v>120</v>
      </c>
      <c r="Q419" s="145">
        <f t="shared" si="28"/>
        <v>2.7232999999999996</v>
      </c>
      <c r="R419" s="203">
        <v>1.19</v>
      </c>
      <c r="S419" s="203"/>
      <c r="T419" s="151"/>
      <c r="U419" s="151">
        <v>1.2</v>
      </c>
      <c r="V419" s="151">
        <v>0.25</v>
      </c>
      <c r="W419" s="151">
        <f t="shared" si="29"/>
        <v>1.19</v>
      </c>
      <c r="X419" s="152">
        <f t="shared" si="30"/>
        <v>8.3299999999999999E-2</v>
      </c>
      <c r="Y419" s="152"/>
      <c r="Z419" s="148"/>
      <c r="AA419" s="153"/>
      <c r="AB419" s="153"/>
      <c r="AC419" s="153"/>
      <c r="AD419" s="153"/>
      <c r="AH419" s="147"/>
    </row>
    <row r="420" spans="1:34" s="146" customFormat="1" x14ac:dyDescent="0.25">
      <c r="A420" s="196">
        <v>765</v>
      </c>
      <c r="B420" s="196" t="s">
        <v>2647</v>
      </c>
      <c r="C420" s="196" t="s">
        <v>2648</v>
      </c>
      <c r="D420" s="196" t="s">
        <v>2649</v>
      </c>
      <c r="E420" s="196" t="s">
        <v>1899</v>
      </c>
      <c r="F420" s="196">
        <v>2015</v>
      </c>
      <c r="G420" s="196"/>
      <c r="H420" s="196" t="s">
        <v>1878</v>
      </c>
      <c r="I420" s="141" t="s">
        <v>1929</v>
      </c>
      <c r="J420" s="196" t="s">
        <v>2650</v>
      </c>
      <c r="K420" s="196" t="s">
        <v>1881</v>
      </c>
      <c r="L420" s="141" t="s">
        <v>2651</v>
      </c>
      <c r="M420" s="196">
        <v>240</v>
      </c>
      <c r="N420" s="196"/>
      <c r="O420" s="196" t="s">
        <v>2652</v>
      </c>
      <c r="P420" s="144">
        <v>334</v>
      </c>
      <c r="Q420" s="145">
        <f t="shared" si="28"/>
        <v>3.1513</v>
      </c>
      <c r="R420" s="203">
        <v>1.59</v>
      </c>
      <c r="S420" s="203"/>
      <c r="T420" s="151"/>
      <c r="U420" s="151">
        <v>1.2</v>
      </c>
      <c r="V420" s="151">
        <v>0.25</v>
      </c>
      <c r="W420" s="151">
        <f t="shared" si="29"/>
        <v>1.59</v>
      </c>
      <c r="X420" s="152">
        <f t="shared" si="30"/>
        <v>0.11130000000000001</v>
      </c>
      <c r="Y420" s="152"/>
      <c r="Z420" s="148"/>
      <c r="AA420" s="153"/>
      <c r="AB420" s="153"/>
      <c r="AC420" s="153"/>
      <c r="AD420" s="153"/>
      <c r="AH420" s="147"/>
    </row>
    <row r="421" spans="1:34" s="146" customFormat="1" ht="132" x14ac:dyDescent="0.25">
      <c r="A421" s="196">
        <v>765</v>
      </c>
      <c r="B421" s="196" t="s">
        <v>2669</v>
      </c>
      <c r="C421" s="196" t="s">
        <v>2670</v>
      </c>
      <c r="D421" s="196" t="s">
        <v>2671</v>
      </c>
      <c r="E421" s="196"/>
      <c r="F421" s="196">
        <v>1989</v>
      </c>
      <c r="G421" s="196"/>
      <c r="H421" s="196" t="s">
        <v>1878</v>
      </c>
      <c r="I421" s="141" t="s">
        <v>1879</v>
      </c>
      <c r="J421" s="142" t="s">
        <v>2672</v>
      </c>
      <c r="K421" s="196" t="s">
        <v>1881</v>
      </c>
      <c r="L421" s="141" t="s">
        <v>2673</v>
      </c>
      <c r="M421" s="196">
        <v>296</v>
      </c>
      <c r="N421" s="196"/>
      <c r="O421" s="196" t="s">
        <v>2653</v>
      </c>
      <c r="P421" s="144">
        <v>277</v>
      </c>
      <c r="Q421" s="145">
        <f t="shared" si="28"/>
        <v>3.1513</v>
      </c>
      <c r="R421" s="203">
        <v>1.59</v>
      </c>
      <c r="S421" s="203"/>
      <c r="T421" s="151"/>
      <c r="U421" s="151">
        <v>1.2</v>
      </c>
      <c r="V421" s="151">
        <v>0.25</v>
      </c>
      <c r="W421" s="151">
        <f t="shared" si="29"/>
        <v>1.59</v>
      </c>
      <c r="X421" s="152">
        <f t="shared" si="30"/>
        <v>0.11130000000000001</v>
      </c>
      <c r="Y421" s="152"/>
      <c r="Z421" s="148"/>
      <c r="AA421" s="153"/>
      <c r="AB421" s="153"/>
      <c r="AC421" s="153"/>
      <c r="AD421" s="153"/>
      <c r="AH421" s="147"/>
    </row>
    <row r="422" spans="1:34" s="146" customFormat="1" x14ac:dyDescent="0.25">
      <c r="A422" s="196">
        <v>1303</v>
      </c>
      <c r="B422" s="196"/>
      <c r="C422" s="196" t="s">
        <v>2678</v>
      </c>
      <c r="D422" s="196" t="s">
        <v>2679</v>
      </c>
      <c r="E422" s="196"/>
      <c r="F422" s="196">
        <v>2005</v>
      </c>
      <c r="G422" s="196"/>
      <c r="H422" s="196" t="s">
        <v>2295</v>
      </c>
      <c r="I422" s="141" t="s">
        <v>1929</v>
      </c>
      <c r="J422" s="196"/>
      <c r="K422" s="196" t="s">
        <v>1881</v>
      </c>
      <c r="L422" s="141"/>
      <c r="M422" s="196">
        <v>50</v>
      </c>
      <c r="N422" s="196"/>
      <c r="O422" s="196" t="s">
        <v>2655</v>
      </c>
      <c r="P422" s="144">
        <v>438</v>
      </c>
      <c r="Q422" s="145">
        <f t="shared" si="28"/>
        <v>2.2953000000000001</v>
      </c>
      <c r="R422" s="203">
        <v>0.79</v>
      </c>
      <c r="S422" s="203"/>
      <c r="T422" s="151"/>
      <c r="U422" s="151">
        <v>1.2</v>
      </c>
      <c r="V422" s="151">
        <v>0.25</v>
      </c>
      <c r="W422" s="151">
        <f t="shared" si="29"/>
        <v>0.79</v>
      </c>
      <c r="X422" s="152">
        <f t="shared" si="30"/>
        <v>5.5300000000000002E-2</v>
      </c>
      <c r="Y422" s="152"/>
      <c r="Z422" s="148"/>
      <c r="AA422" s="153"/>
      <c r="AB422" s="153"/>
      <c r="AC422" s="153"/>
      <c r="AD422" s="153"/>
      <c r="AH422" s="147"/>
    </row>
    <row r="423" spans="1:34" s="146" customFormat="1" x14ac:dyDescent="0.25">
      <c r="A423" s="196">
        <v>796</v>
      </c>
      <c r="B423" s="196" t="s">
        <v>2680</v>
      </c>
      <c r="C423" s="196" t="s">
        <v>2681</v>
      </c>
      <c r="D423" s="196" t="s">
        <v>1988</v>
      </c>
      <c r="E423" s="196" t="s">
        <v>2518</v>
      </c>
      <c r="F423" s="196">
        <v>2009</v>
      </c>
      <c r="G423" s="196"/>
      <c r="H423" s="196" t="s">
        <v>1878</v>
      </c>
      <c r="I423" s="141" t="s">
        <v>1879</v>
      </c>
      <c r="J423" s="196"/>
      <c r="K423" s="196" t="s">
        <v>1881</v>
      </c>
      <c r="L423" s="141" t="s">
        <v>2682</v>
      </c>
      <c r="M423" s="196">
        <v>560</v>
      </c>
      <c r="N423" s="196"/>
      <c r="O423" s="196" t="s">
        <v>2656</v>
      </c>
      <c r="P423" s="144">
        <v>341</v>
      </c>
      <c r="Q423" s="145">
        <f t="shared" si="28"/>
        <v>3.3653000000000004</v>
      </c>
      <c r="R423" s="203">
        <v>1.79</v>
      </c>
      <c r="S423" s="203"/>
      <c r="T423" s="151"/>
      <c r="U423" s="151">
        <v>1.2</v>
      </c>
      <c r="V423" s="151">
        <v>0.25</v>
      </c>
      <c r="W423" s="151">
        <f t="shared" si="29"/>
        <v>1.79</v>
      </c>
      <c r="X423" s="152">
        <f t="shared" si="30"/>
        <v>0.12529999999999999</v>
      </c>
      <c r="Y423" s="152"/>
      <c r="Z423" s="148"/>
      <c r="AA423" s="153"/>
      <c r="AB423" s="153"/>
      <c r="AC423" s="153"/>
      <c r="AD423" s="153"/>
      <c r="AH423" s="147"/>
    </row>
    <row r="424" spans="1:34" s="146" customFormat="1" x14ac:dyDescent="0.25">
      <c r="A424" s="196">
        <v>852</v>
      </c>
      <c r="B424" s="196" t="s">
        <v>2683</v>
      </c>
      <c r="C424" s="196" t="s">
        <v>2588</v>
      </c>
      <c r="D424" s="196" t="s">
        <v>2300</v>
      </c>
      <c r="E424" s="196"/>
      <c r="F424" s="196">
        <v>2001</v>
      </c>
      <c r="G424" s="196"/>
      <c r="H424" s="196" t="s">
        <v>1878</v>
      </c>
      <c r="I424" s="141" t="s">
        <v>1929</v>
      </c>
      <c r="J424" s="196"/>
      <c r="K424" s="196" t="s">
        <v>1881</v>
      </c>
      <c r="L424" s="141" t="s">
        <v>2684</v>
      </c>
      <c r="M424" s="196">
        <v>160</v>
      </c>
      <c r="N424" s="196"/>
      <c r="O424" s="196" t="s">
        <v>2657</v>
      </c>
      <c r="P424" s="144">
        <v>154</v>
      </c>
      <c r="Q424" s="145">
        <f t="shared" si="28"/>
        <v>4.5423</v>
      </c>
      <c r="R424" s="203">
        <v>2.89</v>
      </c>
      <c r="S424" s="203"/>
      <c r="T424" s="151"/>
      <c r="U424" s="151">
        <v>1.2</v>
      </c>
      <c r="V424" s="151">
        <v>0.25</v>
      </c>
      <c r="W424" s="151">
        <f t="shared" si="29"/>
        <v>2.89</v>
      </c>
      <c r="X424" s="152">
        <f t="shared" si="30"/>
        <v>0.20230000000000001</v>
      </c>
      <c r="Y424" s="152"/>
      <c r="Z424" s="148"/>
      <c r="AA424" s="153"/>
      <c r="AB424" s="153"/>
      <c r="AC424" s="153"/>
      <c r="AD424" s="153"/>
      <c r="AH424" s="147"/>
    </row>
    <row r="425" spans="1:34" s="146" customFormat="1" x14ac:dyDescent="0.25">
      <c r="A425" s="196">
        <v>8</v>
      </c>
      <c r="B425" s="196" t="s">
        <v>2686</v>
      </c>
      <c r="C425" s="196" t="s">
        <v>2687</v>
      </c>
      <c r="D425" s="196" t="s">
        <v>2688</v>
      </c>
      <c r="E425" s="196"/>
      <c r="F425" s="196">
        <v>1993</v>
      </c>
      <c r="G425" s="196"/>
      <c r="H425" s="196" t="s">
        <v>2295</v>
      </c>
      <c r="I425" s="141" t="s">
        <v>1879</v>
      </c>
      <c r="J425" s="196" t="s">
        <v>2505</v>
      </c>
      <c r="K425" s="196" t="s">
        <v>1881</v>
      </c>
      <c r="L425" s="141" t="s">
        <v>2685</v>
      </c>
      <c r="M425" s="196">
        <v>738</v>
      </c>
      <c r="N425" s="196"/>
      <c r="O425" s="196" t="s">
        <v>2658</v>
      </c>
      <c r="P425" s="144">
        <v>866</v>
      </c>
      <c r="Q425" s="145">
        <f t="shared" si="28"/>
        <v>2.2603</v>
      </c>
      <c r="R425" s="203">
        <v>0.28999999999999998</v>
      </c>
      <c r="S425" s="203"/>
      <c r="T425" s="151"/>
      <c r="U425" s="151">
        <v>1.7</v>
      </c>
      <c r="V425" s="151">
        <v>0.25</v>
      </c>
      <c r="W425" s="151">
        <f t="shared" si="29"/>
        <v>0.28999999999999998</v>
      </c>
      <c r="X425" s="152">
        <f t="shared" si="30"/>
        <v>2.0299999999999999E-2</v>
      </c>
      <c r="Y425" s="152"/>
      <c r="Z425" s="148"/>
      <c r="AA425" s="153"/>
      <c r="AB425" s="153"/>
      <c r="AC425" s="153"/>
      <c r="AD425" s="153"/>
      <c r="AH425" s="147"/>
    </row>
    <row r="426" spans="1:34" s="146" customFormat="1" x14ac:dyDescent="0.25">
      <c r="A426" s="196">
        <v>968</v>
      </c>
      <c r="B426" s="196" t="s">
        <v>2691</v>
      </c>
      <c r="C426" s="196" t="s">
        <v>2690</v>
      </c>
      <c r="D426" s="196"/>
      <c r="E426" s="196"/>
      <c r="F426" s="196">
        <v>2002</v>
      </c>
      <c r="G426" s="196"/>
      <c r="H426" s="196" t="s">
        <v>2295</v>
      </c>
      <c r="I426" s="141" t="s">
        <v>1929</v>
      </c>
      <c r="J426" s="196"/>
      <c r="K426" s="196" t="s">
        <v>2025</v>
      </c>
      <c r="L426" s="141" t="s">
        <v>2689</v>
      </c>
      <c r="M426" s="196">
        <v>310</v>
      </c>
      <c r="N426" s="196"/>
      <c r="O426" s="196" t="s">
        <v>2659</v>
      </c>
      <c r="P426" s="144">
        <v>508</v>
      </c>
      <c r="Q426" s="145">
        <f t="shared" si="28"/>
        <v>4.0792999999999999</v>
      </c>
      <c r="R426" s="203">
        <v>1.99</v>
      </c>
      <c r="S426" s="203"/>
      <c r="T426" s="151"/>
      <c r="U426" s="151">
        <v>1.7</v>
      </c>
      <c r="V426" s="151">
        <v>0.25</v>
      </c>
      <c r="W426" s="151">
        <f t="shared" si="29"/>
        <v>1.99</v>
      </c>
      <c r="X426" s="152">
        <f t="shared" si="30"/>
        <v>0.13930000000000001</v>
      </c>
      <c r="Y426" s="152"/>
      <c r="Z426" s="148"/>
      <c r="AA426" s="153"/>
      <c r="AB426" s="153"/>
      <c r="AC426" s="153"/>
      <c r="AD426" s="153"/>
      <c r="AH426" s="147"/>
    </row>
    <row r="427" spans="1:34" s="146" customFormat="1" x14ac:dyDescent="0.25">
      <c r="A427" s="196">
        <v>1395</v>
      </c>
      <c r="B427" s="196" t="s">
        <v>2692</v>
      </c>
      <c r="C427" s="196" t="s">
        <v>2693</v>
      </c>
      <c r="D427" s="196" t="s">
        <v>1988</v>
      </c>
      <c r="E427" s="196" t="s">
        <v>2375</v>
      </c>
      <c r="F427" s="196">
        <v>2010</v>
      </c>
      <c r="G427" s="196"/>
      <c r="H427" s="196" t="s">
        <v>1878</v>
      </c>
      <c r="I427" s="141" t="s">
        <v>1879</v>
      </c>
      <c r="J427" s="196"/>
      <c r="K427" s="196" t="s">
        <v>1881</v>
      </c>
      <c r="L427" s="141" t="s">
        <v>2694</v>
      </c>
      <c r="M427" s="196">
        <v>368</v>
      </c>
      <c r="N427" s="196"/>
      <c r="O427" s="196" t="s">
        <v>2660</v>
      </c>
      <c r="P427" s="144">
        <v>278</v>
      </c>
      <c r="Q427" s="145">
        <f t="shared" si="28"/>
        <v>1.7175</v>
      </c>
      <c r="R427" s="203">
        <v>0.25</v>
      </c>
      <c r="S427" s="203"/>
      <c r="T427" s="151"/>
      <c r="U427" s="151">
        <v>1.2</v>
      </c>
      <c r="V427" s="151">
        <v>0.25</v>
      </c>
      <c r="W427" s="151">
        <f t="shared" si="29"/>
        <v>0.25</v>
      </c>
      <c r="X427" s="152">
        <f t="shared" si="30"/>
        <v>1.7500000000000002E-2</v>
      </c>
      <c r="Y427" s="152"/>
      <c r="Z427" s="148"/>
      <c r="AA427" s="153"/>
      <c r="AB427" s="153"/>
      <c r="AC427" s="153"/>
      <c r="AD427" s="153"/>
      <c r="AH427" s="147"/>
    </row>
    <row r="428" spans="1:34" s="146" customFormat="1" x14ac:dyDescent="0.25">
      <c r="A428" s="196">
        <v>692</v>
      </c>
      <c r="B428" s="196" t="s">
        <v>2695</v>
      </c>
      <c r="C428" s="196" t="s">
        <v>2696</v>
      </c>
      <c r="D428" s="196" t="s">
        <v>2609</v>
      </c>
      <c r="E428" s="196"/>
      <c r="F428" s="196">
        <v>1995</v>
      </c>
      <c r="G428" s="196"/>
      <c r="H428" s="196" t="s">
        <v>1878</v>
      </c>
      <c r="I428" s="141" t="s">
        <v>1879</v>
      </c>
      <c r="J428" s="196"/>
      <c r="K428" s="196" t="s">
        <v>1881</v>
      </c>
      <c r="L428" s="141" t="s">
        <v>2697</v>
      </c>
      <c r="M428" s="196">
        <v>144</v>
      </c>
      <c r="N428" s="196"/>
      <c r="O428" s="196" t="s">
        <v>2661</v>
      </c>
      <c r="P428" s="144">
        <v>106</v>
      </c>
      <c r="Q428" s="145">
        <f t="shared" si="28"/>
        <v>1.7175</v>
      </c>
      <c r="R428" s="203">
        <v>0.25</v>
      </c>
      <c r="S428" s="203"/>
      <c r="T428" s="151"/>
      <c r="U428" s="151">
        <v>1.2</v>
      </c>
      <c r="V428" s="151">
        <v>0.25</v>
      </c>
      <c r="W428" s="151">
        <f t="shared" si="29"/>
        <v>0.25</v>
      </c>
      <c r="X428" s="152">
        <f t="shared" si="30"/>
        <v>1.7500000000000002E-2</v>
      </c>
      <c r="Y428" s="152"/>
      <c r="Z428" s="148"/>
      <c r="AA428" s="153"/>
      <c r="AB428" s="153"/>
      <c r="AC428" s="153"/>
      <c r="AD428" s="153"/>
      <c r="AH428" s="147"/>
    </row>
    <row r="429" spans="1:34" s="146" customFormat="1" x14ac:dyDescent="0.25">
      <c r="A429" s="196">
        <v>775</v>
      </c>
      <c r="B429" s="196" t="s">
        <v>2698</v>
      </c>
      <c r="C429" s="196" t="s">
        <v>2699</v>
      </c>
      <c r="D429" s="196" t="s">
        <v>1876</v>
      </c>
      <c r="E429" s="196"/>
      <c r="F429" s="196">
        <v>2006</v>
      </c>
      <c r="G429" s="196"/>
      <c r="H429" s="196" t="s">
        <v>1878</v>
      </c>
      <c r="I429" s="141" t="s">
        <v>1929</v>
      </c>
      <c r="J429" s="196"/>
      <c r="K429" s="196" t="s">
        <v>1881</v>
      </c>
      <c r="L429" s="141" t="s">
        <v>2700</v>
      </c>
      <c r="M429" s="196">
        <v>320</v>
      </c>
      <c r="N429" s="196"/>
      <c r="O429" s="196" t="s">
        <v>2662</v>
      </c>
      <c r="P429" s="144">
        <v>267</v>
      </c>
      <c r="Q429" s="145">
        <f t="shared" si="28"/>
        <v>2.2953000000000001</v>
      </c>
      <c r="R429" s="203">
        <v>0.79</v>
      </c>
      <c r="S429" s="203"/>
      <c r="T429" s="151"/>
      <c r="U429" s="151">
        <v>1.2</v>
      </c>
      <c r="V429" s="151">
        <v>0.25</v>
      </c>
      <c r="W429" s="151">
        <f t="shared" si="29"/>
        <v>0.79</v>
      </c>
      <c r="X429" s="152">
        <f t="shared" si="30"/>
        <v>5.5300000000000002E-2</v>
      </c>
      <c r="Y429" s="152"/>
      <c r="Z429" s="148"/>
      <c r="AA429" s="153"/>
      <c r="AB429" s="153"/>
      <c r="AC429" s="153"/>
      <c r="AD429" s="153"/>
      <c r="AH429" s="147"/>
    </row>
    <row r="430" spans="1:34" s="146" customFormat="1" x14ac:dyDescent="0.25">
      <c r="A430" s="196">
        <v>775</v>
      </c>
      <c r="B430" s="196" t="s">
        <v>2701</v>
      </c>
      <c r="C430" s="196" t="s">
        <v>2702</v>
      </c>
      <c r="D430" s="196" t="s">
        <v>2703</v>
      </c>
      <c r="E430" s="196" t="s">
        <v>1913</v>
      </c>
      <c r="F430" s="196">
        <v>2012</v>
      </c>
      <c r="G430" s="196"/>
      <c r="H430" s="196" t="s">
        <v>2295</v>
      </c>
      <c r="I430" s="141" t="s">
        <v>1929</v>
      </c>
      <c r="J430" s="196"/>
      <c r="K430" s="196" t="s">
        <v>1881</v>
      </c>
      <c r="L430" s="141" t="s">
        <v>2704</v>
      </c>
      <c r="M430" s="196">
        <v>434</v>
      </c>
      <c r="N430" s="196"/>
      <c r="O430" s="196" t="s">
        <v>2663</v>
      </c>
      <c r="P430" s="144">
        <v>595</v>
      </c>
      <c r="Q430" s="145">
        <f t="shared" si="28"/>
        <v>3.4373</v>
      </c>
      <c r="R430" s="203">
        <v>1.39</v>
      </c>
      <c r="S430" s="203"/>
      <c r="T430" s="151"/>
      <c r="U430" s="151">
        <v>1.7</v>
      </c>
      <c r="V430" s="151">
        <v>0.25</v>
      </c>
      <c r="W430" s="151">
        <f t="shared" si="29"/>
        <v>1.39</v>
      </c>
      <c r="X430" s="152">
        <f t="shared" si="30"/>
        <v>9.7299999999999998E-2</v>
      </c>
      <c r="Y430" s="152"/>
      <c r="Z430" s="148"/>
      <c r="AA430" s="153"/>
      <c r="AB430" s="153"/>
      <c r="AC430" s="153"/>
      <c r="AD430" s="153"/>
      <c r="AH430" s="147"/>
    </row>
    <row r="431" spans="1:34" s="146" customFormat="1" x14ac:dyDescent="0.25">
      <c r="A431" s="196">
        <v>968</v>
      </c>
      <c r="B431" s="196" t="s">
        <v>2705</v>
      </c>
      <c r="C431" s="196" t="s">
        <v>2706</v>
      </c>
      <c r="D431" s="196" t="s">
        <v>1979</v>
      </c>
      <c r="E431" s="196"/>
      <c r="F431" s="196">
        <v>2013</v>
      </c>
      <c r="G431" s="196"/>
      <c r="H431" s="196" t="s">
        <v>1878</v>
      </c>
      <c r="I431" s="141" t="s">
        <v>1879</v>
      </c>
      <c r="J431" s="196" t="s">
        <v>2650</v>
      </c>
      <c r="K431" s="196" t="s">
        <v>1881</v>
      </c>
      <c r="L431" s="141" t="s">
        <v>2707</v>
      </c>
      <c r="M431" s="196">
        <v>96</v>
      </c>
      <c r="N431" s="196"/>
      <c r="O431" s="196" t="s">
        <v>2664</v>
      </c>
      <c r="P431" s="144">
        <v>99</v>
      </c>
      <c r="Q431" s="145">
        <f t="shared" si="28"/>
        <v>1.9315</v>
      </c>
      <c r="R431" s="203">
        <v>0.45</v>
      </c>
      <c r="S431" s="203"/>
      <c r="T431" s="151"/>
      <c r="U431" s="151">
        <v>1.2</v>
      </c>
      <c r="V431" s="151">
        <v>0.25</v>
      </c>
      <c r="W431" s="151">
        <f t="shared" si="29"/>
        <v>0.45</v>
      </c>
      <c r="X431" s="152">
        <f t="shared" si="30"/>
        <v>3.15E-2</v>
      </c>
      <c r="Y431" s="152"/>
      <c r="Z431" s="148"/>
      <c r="AA431" s="153"/>
      <c r="AB431" s="153"/>
      <c r="AC431" s="153"/>
      <c r="AD431" s="153"/>
      <c r="AH431" s="147"/>
    </row>
    <row r="432" spans="1:34" s="146" customFormat="1" x14ac:dyDescent="0.25">
      <c r="A432" s="196">
        <v>2571</v>
      </c>
      <c r="B432" s="196" t="s">
        <v>2708</v>
      </c>
      <c r="C432" s="196" t="s">
        <v>2709</v>
      </c>
      <c r="D432" s="196" t="s">
        <v>2710</v>
      </c>
      <c r="E432" s="196"/>
      <c r="F432" s="196">
        <v>2000</v>
      </c>
      <c r="G432" s="196"/>
      <c r="H432" s="196" t="s">
        <v>1878</v>
      </c>
      <c r="I432" s="141" t="s">
        <v>1879</v>
      </c>
      <c r="J432" s="196" t="s">
        <v>2363</v>
      </c>
      <c r="K432" s="196" t="s">
        <v>1881</v>
      </c>
      <c r="L432" s="141" t="s">
        <v>2711</v>
      </c>
      <c r="M432" s="196">
        <v>256</v>
      </c>
      <c r="N432" s="196"/>
      <c r="O432" s="196" t="s">
        <v>2665</v>
      </c>
      <c r="P432" s="144">
        <v>253</v>
      </c>
      <c r="Q432" s="145">
        <f t="shared" si="28"/>
        <v>1.7175</v>
      </c>
      <c r="R432" s="203">
        <v>0.25</v>
      </c>
      <c r="S432" s="203"/>
      <c r="T432" s="151"/>
      <c r="U432" s="151">
        <v>1.2</v>
      </c>
      <c r="V432" s="151">
        <v>0.25</v>
      </c>
      <c r="W432" s="151">
        <f t="shared" si="29"/>
        <v>0.25</v>
      </c>
      <c r="X432" s="152">
        <f t="shared" si="30"/>
        <v>1.7500000000000002E-2</v>
      </c>
      <c r="Y432" s="152"/>
      <c r="Z432" s="148"/>
      <c r="AA432" s="153"/>
      <c r="AB432" s="153"/>
      <c r="AC432" s="153"/>
      <c r="AD432" s="153"/>
      <c r="AH432" s="147"/>
    </row>
    <row r="433" spans="1:34" s="146" customFormat="1" x14ac:dyDescent="0.25">
      <c r="A433" s="196">
        <v>634</v>
      </c>
      <c r="B433" s="196" t="s">
        <v>2712</v>
      </c>
      <c r="C433" s="196" t="s">
        <v>2713</v>
      </c>
      <c r="D433" s="196" t="s">
        <v>2209</v>
      </c>
      <c r="E433" s="196" t="s">
        <v>1877</v>
      </c>
      <c r="F433" s="196">
        <v>2006</v>
      </c>
      <c r="G433" s="196"/>
      <c r="H433" s="196" t="s">
        <v>1878</v>
      </c>
      <c r="I433" s="141" t="s">
        <v>1879</v>
      </c>
      <c r="J433" s="196"/>
      <c r="K433" s="196" t="s">
        <v>1881</v>
      </c>
      <c r="L433" s="141" t="s">
        <v>2714</v>
      </c>
      <c r="M433" s="196">
        <v>560</v>
      </c>
      <c r="N433" s="196"/>
      <c r="O433" s="196" t="s">
        <v>2666</v>
      </c>
      <c r="P433" s="144">
        <v>458</v>
      </c>
      <c r="Q433" s="145">
        <f t="shared" si="28"/>
        <v>2.6162999999999998</v>
      </c>
      <c r="R433" s="203">
        <v>1.0900000000000001</v>
      </c>
      <c r="S433" s="203"/>
      <c r="T433" s="151"/>
      <c r="U433" s="151">
        <v>1.2</v>
      </c>
      <c r="V433" s="151">
        <v>0.25</v>
      </c>
      <c r="W433" s="151">
        <f t="shared" si="29"/>
        <v>1.0900000000000001</v>
      </c>
      <c r="X433" s="152">
        <f t="shared" si="30"/>
        <v>7.6300000000000007E-2</v>
      </c>
      <c r="Y433" s="152"/>
      <c r="Z433" s="148"/>
      <c r="AA433" s="153"/>
      <c r="AB433" s="153"/>
      <c r="AC433" s="153"/>
      <c r="AD433" s="153"/>
      <c r="AH433" s="147"/>
    </row>
    <row r="434" spans="1:34" s="146" customFormat="1" x14ac:dyDescent="0.25">
      <c r="A434" s="196">
        <v>692</v>
      </c>
      <c r="B434" s="196" t="s">
        <v>2715</v>
      </c>
      <c r="C434" s="196" t="s">
        <v>2716</v>
      </c>
      <c r="D434" s="196" t="s">
        <v>1993</v>
      </c>
      <c r="E434" s="196" t="s">
        <v>1877</v>
      </c>
      <c r="F434" s="196">
        <v>2016</v>
      </c>
      <c r="G434" s="196"/>
      <c r="H434" s="196" t="s">
        <v>1878</v>
      </c>
      <c r="I434" s="141" t="s">
        <v>1879</v>
      </c>
      <c r="J434" s="143" t="s">
        <v>2717</v>
      </c>
      <c r="K434" s="196" t="s">
        <v>1881</v>
      </c>
      <c r="L434" s="141" t="s">
        <v>2718</v>
      </c>
      <c r="M434" s="196">
        <v>448</v>
      </c>
      <c r="N434" s="196"/>
      <c r="O434" s="196" t="s">
        <v>2667</v>
      </c>
      <c r="P434" s="144">
        <v>399</v>
      </c>
      <c r="Q434" s="145">
        <f t="shared" si="28"/>
        <v>1.9742999999999999</v>
      </c>
      <c r="R434" s="203">
        <v>0.49</v>
      </c>
      <c r="S434" s="203"/>
      <c r="T434" s="151"/>
      <c r="U434" s="151">
        <v>1.2</v>
      </c>
      <c r="V434" s="151">
        <v>0.25</v>
      </c>
      <c r="W434" s="151">
        <f t="shared" si="29"/>
        <v>0.49</v>
      </c>
      <c r="X434" s="152">
        <f t="shared" si="30"/>
        <v>3.4299999999999997E-2</v>
      </c>
      <c r="Y434" s="152"/>
      <c r="Z434" s="148"/>
      <c r="AA434" s="153"/>
      <c r="AB434" s="153"/>
      <c r="AC434" s="153"/>
      <c r="AD434" s="153"/>
      <c r="AH434" s="147"/>
    </row>
    <row r="435" spans="1:34" s="146" customFormat="1" x14ac:dyDescent="0.25">
      <c r="A435" s="196">
        <v>765</v>
      </c>
      <c r="B435" s="196" t="s">
        <v>2719</v>
      </c>
      <c r="C435" s="196" t="s">
        <v>2720</v>
      </c>
      <c r="D435" s="196" t="s">
        <v>2054</v>
      </c>
      <c r="E435" s="196"/>
      <c r="F435" s="196">
        <v>2011</v>
      </c>
      <c r="G435" s="196"/>
      <c r="H435" s="196" t="s">
        <v>1878</v>
      </c>
      <c r="I435" s="141" t="s">
        <v>1879</v>
      </c>
      <c r="J435" s="196" t="s">
        <v>2650</v>
      </c>
      <c r="K435" s="196" t="s">
        <v>1881</v>
      </c>
      <c r="L435" s="141" t="s">
        <v>2721</v>
      </c>
      <c r="M435" s="196">
        <v>160</v>
      </c>
      <c r="N435" s="196"/>
      <c r="O435" s="196" t="s">
        <v>2668</v>
      </c>
      <c r="P435" s="144">
        <v>165</v>
      </c>
      <c r="Q435" s="145">
        <f t="shared" si="28"/>
        <v>9.571299999999999</v>
      </c>
      <c r="R435" s="203">
        <v>7.59</v>
      </c>
      <c r="S435" s="203"/>
      <c r="T435" s="151"/>
      <c r="U435" s="151">
        <v>1.2</v>
      </c>
      <c r="V435" s="151">
        <v>0.25</v>
      </c>
      <c r="W435" s="151">
        <f t="shared" si="29"/>
        <v>7.59</v>
      </c>
      <c r="X435" s="152">
        <f t="shared" si="30"/>
        <v>0.53129999999999999</v>
      </c>
      <c r="Y435" s="152"/>
      <c r="Z435" s="148"/>
      <c r="AA435" s="153"/>
      <c r="AB435" s="153"/>
      <c r="AC435" s="153"/>
      <c r="AD435" s="153"/>
      <c r="AH435" s="147"/>
    </row>
    <row r="436" spans="1:34" s="146" customFormat="1" x14ac:dyDescent="0.25">
      <c r="A436" s="196">
        <v>2571</v>
      </c>
      <c r="B436" s="196" t="s">
        <v>2723</v>
      </c>
      <c r="C436" s="196" t="s">
        <v>2724</v>
      </c>
      <c r="D436" s="196" t="s">
        <v>2725</v>
      </c>
      <c r="E436" s="196"/>
      <c r="F436" s="196">
        <v>2002</v>
      </c>
      <c r="G436" s="196"/>
      <c r="H436" s="196" t="s">
        <v>1878</v>
      </c>
      <c r="I436" s="141" t="s">
        <v>1879</v>
      </c>
      <c r="J436" s="196" t="s">
        <v>2726</v>
      </c>
      <c r="K436" s="196" t="s">
        <v>1881</v>
      </c>
      <c r="L436" s="141" t="s">
        <v>2727</v>
      </c>
      <c r="M436" s="196">
        <v>174</v>
      </c>
      <c r="N436" s="196"/>
      <c r="O436" s="196" t="s">
        <v>2722</v>
      </c>
      <c r="P436" s="144">
        <v>193</v>
      </c>
      <c r="Q436" s="145">
        <f t="shared" si="28"/>
        <v>5.0773000000000001</v>
      </c>
      <c r="R436" s="203">
        <v>3.39</v>
      </c>
      <c r="S436" s="203"/>
      <c r="T436" s="151"/>
      <c r="U436" s="151">
        <v>1.2</v>
      </c>
      <c r="V436" s="151">
        <v>0.25</v>
      </c>
      <c r="W436" s="151">
        <f t="shared" si="29"/>
        <v>3.39</v>
      </c>
      <c r="X436" s="152">
        <f t="shared" si="30"/>
        <v>0.23730000000000001</v>
      </c>
      <c r="Y436" s="152"/>
      <c r="Z436" s="148"/>
      <c r="AA436" s="153"/>
      <c r="AB436" s="153"/>
      <c r="AC436" s="153"/>
      <c r="AD436" s="153"/>
      <c r="AH436" s="147"/>
    </row>
    <row r="437" spans="1:34" s="146" customFormat="1" x14ac:dyDescent="0.25">
      <c r="A437" s="196">
        <v>2522</v>
      </c>
      <c r="B437" s="196" t="s">
        <v>2728</v>
      </c>
      <c r="C437" s="196" t="s">
        <v>2729</v>
      </c>
      <c r="D437" s="196" t="s">
        <v>1920</v>
      </c>
      <c r="E437" s="196" t="s">
        <v>1921</v>
      </c>
      <c r="F437" s="196">
        <v>2008</v>
      </c>
      <c r="G437" s="196"/>
      <c r="H437" s="196" t="s">
        <v>1878</v>
      </c>
      <c r="I437" s="141" t="s">
        <v>1879</v>
      </c>
      <c r="J437" s="196" t="s">
        <v>2730</v>
      </c>
      <c r="K437" s="196" t="s">
        <v>1881</v>
      </c>
      <c r="L437" s="141" t="s">
        <v>2731</v>
      </c>
      <c r="M437" s="196">
        <v>528</v>
      </c>
      <c r="N437" s="196"/>
      <c r="O437" s="196" t="s">
        <v>2744</v>
      </c>
      <c r="P437" s="144">
        <v>447</v>
      </c>
      <c r="Q437" s="145">
        <f t="shared" si="28"/>
        <v>1.7175</v>
      </c>
      <c r="R437" s="203">
        <v>0.25</v>
      </c>
      <c r="S437" s="203"/>
      <c r="T437" s="151"/>
      <c r="U437" s="151">
        <v>1.2</v>
      </c>
      <c r="V437" s="151">
        <v>0.25</v>
      </c>
      <c r="W437" s="151">
        <f t="shared" si="29"/>
        <v>0.25</v>
      </c>
      <c r="X437" s="152">
        <f t="shared" si="30"/>
        <v>1.7500000000000002E-2</v>
      </c>
      <c r="Y437" s="152"/>
      <c r="Z437" s="148"/>
      <c r="AA437" s="153"/>
      <c r="AB437" s="153"/>
      <c r="AC437" s="153"/>
      <c r="AD437" s="153"/>
      <c r="AH437" s="147"/>
    </row>
    <row r="438" spans="1:34" s="146" customFormat="1" ht="39.6" x14ac:dyDescent="0.25">
      <c r="A438" s="196">
        <v>2518</v>
      </c>
      <c r="B438" s="196" t="s">
        <v>2732</v>
      </c>
      <c r="C438" s="196" t="s">
        <v>2733</v>
      </c>
      <c r="D438" s="196" t="s">
        <v>2221</v>
      </c>
      <c r="E438" s="196"/>
      <c r="F438" s="196">
        <v>2003</v>
      </c>
      <c r="G438" s="196"/>
      <c r="H438" s="196" t="s">
        <v>2734</v>
      </c>
      <c r="I438" s="141" t="s">
        <v>1879</v>
      </c>
      <c r="J438" s="52" t="s">
        <v>2726</v>
      </c>
      <c r="K438" s="196" t="s">
        <v>1881</v>
      </c>
      <c r="L438" s="141" t="s">
        <v>2735</v>
      </c>
      <c r="M438" s="196">
        <v>226</v>
      </c>
      <c r="N438" s="196"/>
      <c r="O438" s="196" t="s">
        <v>2745</v>
      </c>
      <c r="P438" s="144">
        <v>344</v>
      </c>
      <c r="Q438" s="145">
        <f t="shared" si="28"/>
        <v>1.8673</v>
      </c>
      <c r="R438" s="203">
        <v>0.39</v>
      </c>
      <c r="S438" s="203"/>
      <c r="T438" s="151"/>
      <c r="U438" s="151">
        <v>1.2</v>
      </c>
      <c r="V438" s="151">
        <v>0.25</v>
      </c>
      <c r="W438" s="151">
        <f t="shared" si="29"/>
        <v>0.39</v>
      </c>
      <c r="X438" s="152">
        <f t="shared" si="30"/>
        <v>2.7300000000000001E-2</v>
      </c>
      <c r="Y438" s="152"/>
      <c r="Z438" s="148"/>
      <c r="AA438" s="153"/>
      <c r="AB438" s="153"/>
      <c r="AC438" s="153"/>
      <c r="AD438" s="153"/>
      <c r="AH438" s="147"/>
    </row>
    <row r="439" spans="1:34" s="146" customFormat="1" x14ac:dyDescent="0.25">
      <c r="A439" s="196">
        <v>614</v>
      </c>
      <c r="B439" s="196" t="s">
        <v>2736</v>
      </c>
      <c r="C439" s="196" t="s">
        <v>2737</v>
      </c>
      <c r="D439" s="196" t="s">
        <v>2300</v>
      </c>
      <c r="E439" s="196" t="s">
        <v>2738</v>
      </c>
      <c r="F439" s="196">
        <v>1968</v>
      </c>
      <c r="G439" s="196"/>
      <c r="H439" s="196" t="s">
        <v>2008</v>
      </c>
      <c r="I439" s="141" t="s">
        <v>1879</v>
      </c>
      <c r="J439" s="196" t="s">
        <v>2739</v>
      </c>
      <c r="K439" s="196" t="s">
        <v>1881</v>
      </c>
      <c r="L439" s="141"/>
      <c r="M439" s="196">
        <v>158</v>
      </c>
      <c r="N439" s="196"/>
      <c r="O439" s="196" t="s">
        <v>2746</v>
      </c>
      <c r="P439" s="144">
        <v>122</v>
      </c>
      <c r="Q439" s="145">
        <f t="shared" si="28"/>
        <v>1.9742999999999999</v>
      </c>
      <c r="R439" s="203">
        <v>0.49</v>
      </c>
      <c r="S439" s="203"/>
      <c r="T439" s="151"/>
      <c r="U439" s="151">
        <v>1.2</v>
      </c>
      <c r="V439" s="151">
        <v>0.25</v>
      </c>
      <c r="W439" s="151">
        <f t="shared" si="29"/>
        <v>0.49</v>
      </c>
      <c r="X439" s="152">
        <f t="shared" si="30"/>
        <v>3.4299999999999997E-2</v>
      </c>
      <c r="Y439" s="152"/>
      <c r="Z439" s="148"/>
      <c r="AA439" s="153"/>
      <c r="AB439" s="153"/>
      <c r="AC439" s="153"/>
      <c r="AD439" s="153"/>
      <c r="AH439" s="147"/>
    </row>
    <row r="440" spans="1:34" s="146" customFormat="1" x14ac:dyDescent="0.25">
      <c r="A440" s="196">
        <v>651</v>
      </c>
      <c r="B440" s="196" t="s">
        <v>2740</v>
      </c>
      <c r="C440" s="196" t="s">
        <v>2741</v>
      </c>
      <c r="D440" s="196" t="s">
        <v>2742</v>
      </c>
      <c r="E440" s="196" t="s">
        <v>1913</v>
      </c>
      <c r="F440" s="196">
        <v>1999</v>
      </c>
      <c r="G440" s="196"/>
      <c r="H440" s="196" t="s">
        <v>2314</v>
      </c>
      <c r="I440" s="141" t="s">
        <v>1929</v>
      </c>
      <c r="J440" s="196"/>
      <c r="K440" s="196" t="s">
        <v>1881</v>
      </c>
      <c r="L440" s="141" t="s">
        <v>2743</v>
      </c>
      <c r="M440" s="196">
        <v>32</v>
      </c>
      <c r="N440" s="196"/>
      <c r="O440" s="196" t="s">
        <v>2747</v>
      </c>
      <c r="P440" s="144">
        <v>116</v>
      </c>
      <c r="Q440" s="145">
        <f t="shared" si="28"/>
        <v>1.7175</v>
      </c>
      <c r="R440" s="203">
        <v>0.25</v>
      </c>
      <c r="S440" s="203"/>
      <c r="T440" s="151"/>
      <c r="U440" s="151">
        <v>1.2</v>
      </c>
      <c r="V440" s="151">
        <v>0.25</v>
      </c>
      <c r="W440" s="151">
        <f t="shared" si="29"/>
        <v>0.25</v>
      </c>
      <c r="X440" s="152">
        <f t="shared" si="30"/>
        <v>1.7500000000000002E-2</v>
      </c>
      <c r="Y440" s="152"/>
      <c r="Z440" s="148"/>
      <c r="AA440" s="153"/>
      <c r="AB440" s="153"/>
      <c r="AC440" s="153"/>
      <c r="AD440" s="153"/>
      <c r="AH440" s="147"/>
    </row>
    <row r="441" spans="1:34" s="146" customFormat="1" x14ac:dyDescent="0.25">
      <c r="A441" s="196">
        <v>632</v>
      </c>
      <c r="B441" s="196" t="s">
        <v>2774</v>
      </c>
      <c r="C441" s="196" t="s">
        <v>2775</v>
      </c>
      <c r="D441" s="196" t="s">
        <v>1920</v>
      </c>
      <c r="E441" s="196"/>
      <c r="F441" s="196">
        <v>1998</v>
      </c>
      <c r="G441" s="196"/>
      <c r="H441" s="196" t="s">
        <v>1878</v>
      </c>
      <c r="I441" s="141" t="s">
        <v>1879</v>
      </c>
      <c r="J441" s="196" t="s">
        <v>2776</v>
      </c>
      <c r="K441" s="196" t="s">
        <v>1881</v>
      </c>
      <c r="L441" s="141" t="s">
        <v>2777</v>
      </c>
      <c r="M441" s="196">
        <v>1006</v>
      </c>
      <c r="N441" s="196"/>
      <c r="O441" s="196" t="s">
        <v>2748</v>
      </c>
      <c r="P441" s="144">
        <v>639</v>
      </c>
      <c r="Q441" s="145">
        <f t="shared" si="28"/>
        <v>2.3245</v>
      </c>
      <c r="R441" s="203">
        <v>0.35</v>
      </c>
      <c r="S441" s="203"/>
      <c r="T441" s="151"/>
      <c r="U441" s="151">
        <v>1.7</v>
      </c>
      <c r="V441" s="151">
        <v>0.25</v>
      </c>
      <c r="W441" s="151">
        <f t="shared" si="29"/>
        <v>0.35</v>
      </c>
      <c r="X441" s="152">
        <f t="shared" si="30"/>
        <v>2.4499999999999997E-2</v>
      </c>
      <c r="Y441" s="152"/>
      <c r="Z441" s="148"/>
      <c r="AA441" s="153"/>
      <c r="AB441" s="153"/>
      <c r="AC441" s="153"/>
      <c r="AD441" s="153"/>
      <c r="AH441" s="147"/>
    </row>
    <row r="442" spans="1:34" s="146" customFormat="1" x14ac:dyDescent="0.25">
      <c r="A442" s="196">
        <v>2434</v>
      </c>
      <c r="B442" s="196"/>
      <c r="C442" s="196" t="s">
        <v>2778</v>
      </c>
      <c r="D442" s="196" t="s">
        <v>2779</v>
      </c>
      <c r="E442" s="196"/>
      <c r="F442" s="196">
        <v>2005</v>
      </c>
      <c r="G442" s="196"/>
      <c r="H442" s="196" t="s">
        <v>2314</v>
      </c>
      <c r="I442" s="141" t="s">
        <v>1879</v>
      </c>
      <c r="J442" s="143"/>
      <c r="K442" s="196" t="s">
        <v>1881</v>
      </c>
      <c r="L442" s="141" t="s">
        <v>2780</v>
      </c>
      <c r="M442" s="196">
        <v>242</v>
      </c>
      <c r="N442" s="196"/>
      <c r="O442" s="196" t="s">
        <v>2749</v>
      </c>
      <c r="P442" s="144">
        <v>452</v>
      </c>
      <c r="Q442" s="145">
        <f t="shared" si="28"/>
        <v>1.9742999999999999</v>
      </c>
      <c r="R442" s="203">
        <v>0.49</v>
      </c>
      <c r="S442" s="203"/>
      <c r="T442" s="151"/>
      <c r="U442" s="151">
        <v>1.2</v>
      </c>
      <c r="V442" s="151">
        <v>0.25</v>
      </c>
      <c r="W442" s="151">
        <f t="shared" si="29"/>
        <v>0.49</v>
      </c>
      <c r="X442" s="152">
        <f t="shared" si="30"/>
        <v>3.4299999999999997E-2</v>
      </c>
      <c r="Y442" s="152"/>
      <c r="Z442" s="148"/>
      <c r="AA442" s="153"/>
      <c r="AB442" s="153"/>
      <c r="AC442" s="153"/>
      <c r="AD442" s="153"/>
      <c r="AH442" s="147"/>
    </row>
    <row r="443" spans="1:34" s="146" customFormat="1" x14ac:dyDescent="0.25">
      <c r="A443" s="196">
        <v>618</v>
      </c>
      <c r="B443" s="196"/>
      <c r="C443" s="196" t="s">
        <v>2781</v>
      </c>
      <c r="D443" s="196" t="s">
        <v>2077</v>
      </c>
      <c r="E443" s="196"/>
      <c r="F443" s="196">
        <v>1997</v>
      </c>
      <c r="G443" s="196"/>
      <c r="H443" s="196" t="s">
        <v>1878</v>
      </c>
      <c r="I443" s="141" t="s">
        <v>1879</v>
      </c>
      <c r="J443" s="196" t="s">
        <v>2782</v>
      </c>
      <c r="K443" s="196" t="s">
        <v>1881</v>
      </c>
      <c r="L443" s="141" t="s">
        <v>2783</v>
      </c>
      <c r="M443" s="196">
        <v>122</v>
      </c>
      <c r="N443" s="196"/>
      <c r="O443" s="196" t="s">
        <v>2750</v>
      </c>
      <c r="P443" s="144">
        <v>302</v>
      </c>
      <c r="Q443" s="145">
        <f t="shared" si="28"/>
        <v>1.7175</v>
      </c>
      <c r="R443" s="203">
        <v>0.25</v>
      </c>
      <c r="S443" s="203"/>
      <c r="T443" s="151"/>
      <c r="U443" s="151">
        <v>1.2</v>
      </c>
      <c r="V443" s="151">
        <v>0.25</v>
      </c>
      <c r="W443" s="151">
        <f t="shared" si="29"/>
        <v>0.25</v>
      </c>
      <c r="X443" s="152">
        <f t="shared" si="30"/>
        <v>1.7500000000000002E-2</v>
      </c>
      <c r="Y443" s="152"/>
      <c r="Z443" s="148"/>
      <c r="AA443" s="153"/>
      <c r="AB443" s="153"/>
      <c r="AC443" s="153"/>
      <c r="AD443" s="153"/>
      <c r="AH443" s="147"/>
    </row>
    <row r="444" spans="1:34" s="146" customFormat="1" x14ac:dyDescent="0.25">
      <c r="A444" s="196">
        <v>1315</v>
      </c>
      <c r="B444" s="196" t="s">
        <v>2784</v>
      </c>
      <c r="C444" s="196" t="s">
        <v>2785</v>
      </c>
      <c r="D444" s="196" t="s">
        <v>2156</v>
      </c>
      <c r="E444" s="196" t="s">
        <v>2175</v>
      </c>
      <c r="F444" s="196">
        <v>2002</v>
      </c>
      <c r="G444" s="196"/>
      <c r="H444" s="196" t="s">
        <v>1878</v>
      </c>
      <c r="I444" s="141" t="s">
        <v>1879</v>
      </c>
      <c r="J444" s="196" t="s">
        <v>2786</v>
      </c>
      <c r="K444" s="196" t="s">
        <v>1881</v>
      </c>
      <c r="L444" s="141" t="s">
        <v>2787</v>
      </c>
      <c r="M444" s="196">
        <v>272</v>
      </c>
      <c r="N444" s="196"/>
      <c r="O444" s="196" t="s">
        <v>2751</v>
      </c>
      <c r="P444" s="144">
        <v>296</v>
      </c>
      <c r="Q444" s="145">
        <f t="shared" si="28"/>
        <v>1.7175</v>
      </c>
      <c r="R444" s="203">
        <v>0.25</v>
      </c>
      <c r="S444" s="203"/>
      <c r="T444" s="151"/>
      <c r="U444" s="151">
        <v>1.2</v>
      </c>
      <c r="V444" s="151">
        <v>0.25</v>
      </c>
      <c r="W444" s="151">
        <f t="shared" si="29"/>
        <v>0.25</v>
      </c>
      <c r="X444" s="152">
        <f t="shared" si="30"/>
        <v>1.7500000000000002E-2</v>
      </c>
      <c r="Y444" s="152"/>
      <c r="Z444" s="148"/>
      <c r="AA444" s="153"/>
      <c r="AB444" s="153"/>
      <c r="AC444" s="153"/>
      <c r="AD444" s="153"/>
      <c r="AH444" s="147"/>
    </row>
    <row r="445" spans="1:34" s="146" customFormat="1" x14ac:dyDescent="0.25">
      <c r="A445" s="196">
        <v>565</v>
      </c>
      <c r="B445" s="196" t="s">
        <v>2788</v>
      </c>
      <c r="C445" s="196" t="s">
        <v>2789</v>
      </c>
      <c r="D445" s="196" t="s">
        <v>2790</v>
      </c>
      <c r="E445" s="196"/>
      <c r="F445" s="196">
        <v>2009</v>
      </c>
      <c r="G445" s="196"/>
      <c r="H445" s="196" t="s">
        <v>2314</v>
      </c>
      <c r="I445" s="141" t="s">
        <v>1879</v>
      </c>
      <c r="J445" s="143" t="s">
        <v>2791</v>
      </c>
      <c r="K445" s="196" t="s">
        <v>1881</v>
      </c>
      <c r="L445" s="141" t="s">
        <v>2792</v>
      </c>
      <c r="M445" s="196">
        <v>264</v>
      </c>
      <c r="N445" s="196"/>
      <c r="O445" s="196" t="s">
        <v>2752</v>
      </c>
      <c r="P445" s="144">
        <v>505</v>
      </c>
      <c r="Q445" s="145">
        <f t="shared" si="28"/>
        <v>3.6513</v>
      </c>
      <c r="R445" s="203">
        <v>1.59</v>
      </c>
      <c r="S445" s="203"/>
      <c r="T445" s="151"/>
      <c r="U445" s="151">
        <v>1.7</v>
      </c>
      <c r="V445" s="151">
        <v>0.25</v>
      </c>
      <c r="W445" s="151">
        <f t="shared" si="29"/>
        <v>1.59</v>
      </c>
      <c r="X445" s="152">
        <f t="shared" si="30"/>
        <v>0.11130000000000001</v>
      </c>
      <c r="Y445" s="152"/>
      <c r="Z445" s="148"/>
      <c r="AA445" s="153"/>
      <c r="AB445" s="153"/>
      <c r="AC445" s="153"/>
      <c r="AD445" s="153"/>
      <c r="AH445" s="147"/>
    </row>
    <row r="446" spans="1:34" s="146" customFormat="1" x14ac:dyDescent="0.25">
      <c r="A446" s="196">
        <v>1984</v>
      </c>
      <c r="B446" s="196" t="s">
        <v>2793</v>
      </c>
      <c r="C446" s="196" t="s">
        <v>2794</v>
      </c>
      <c r="D446" s="196" t="s">
        <v>2054</v>
      </c>
      <c r="E446" s="196"/>
      <c r="F446" s="196">
        <v>2005</v>
      </c>
      <c r="G446" s="196"/>
      <c r="H446" s="196" t="s">
        <v>2734</v>
      </c>
      <c r="I446" s="141" t="s">
        <v>1929</v>
      </c>
      <c r="J446" s="196"/>
      <c r="K446" s="196" t="s">
        <v>1881</v>
      </c>
      <c r="L446" s="141" t="s">
        <v>2795</v>
      </c>
      <c r="M446" s="196">
        <v>76</v>
      </c>
      <c r="N446" s="196"/>
      <c r="O446" s="196" t="s">
        <v>2753</v>
      </c>
      <c r="P446" s="144">
        <v>238</v>
      </c>
      <c r="Q446" s="145">
        <f t="shared" si="28"/>
        <v>4.1143000000000001</v>
      </c>
      <c r="R446" s="203">
        <v>2.4900000000000002</v>
      </c>
      <c r="S446" s="203"/>
      <c r="T446" s="151"/>
      <c r="U446" s="151">
        <v>1.2</v>
      </c>
      <c r="V446" s="151">
        <v>0.25</v>
      </c>
      <c r="W446" s="151">
        <f t="shared" si="29"/>
        <v>2.4900000000000002</v>
      </c>
      <c r="X446" s="152">
        <f t="shared" si="30"/>
        <v>0.17430000000000001</v>
      </c>
      <c r="Y446" s="152"/>
      <c r="Z446" s="148"/>
      <c r="AA446" s="153"/>
      <c r="AB446" s="153"/>
      <c r="AC446" s="153"/>
      <c r="AD446" s="153"/>
      <c r="AH446" s="147"/>
    </row>
    <row r="447" spans="1:34" s="146" customFormat="1" x14ac:dyDescent="0.25">
      <c r="A447" s="196">
        <v>1984</v>
      </c>
      <c r="B447" s="196" t="s">
        <v>2796</v>
      </c>
      <c r="C447" s="196" t="s">
        <v>2797</v>
      </c>
      <c r="D447" s="196" t="s">
        <v>2054</v>
      </c>
      <c r="E447" s="196"/>
      <c r="F447" s="196">
        <v>2004</v>
      </c>
      <c r="G447" s="196"/>
      <c r="H447" s="196" t="s">
        <v>2734</v>
      </c>
      <c r="I447" s="141" t="s">
        <v>1929</v>
      </c>
      <c r="J447" s="196"/>
      <c r="K447" s="196" t="s">
        <v>1881</v>
      </c>
      <c r="L447" s="141" t="s">
        <v>2798</v>
      </c>
      <c r="M447" s="196">
        <v>92</v>
      </c>
      <c r="N447" s="196"/>
      <c r="O447" s="196" t="s">
        <v>2754</v>
      </c>
      <c r="P447" s="144">
        <v>266</v>
      </c>
      <c r="Q447" s="145">
        <f t="shared" si="28"/>
        <v>3.0442999999999998</v>
      </c>
      <c r="R447" s="203">
        <v>1.49</v>
      </c>
      <c r="S447" s="203"/>
      <c r="T447" s="151"/>
      <c r="U447" s="151">
        <v>1.2</v>
      </c>
      <c r="V447" s="151">
        <v>0.25</v>
      </c>
      <c r="W447" s="151">
        <f t="shared" si="29"/>
        <v>1.49</v>
      </c>
      <c r="X447" s="152">
        <f t="shared" si="30"/>
        <v>0.1043</v>
      </c>
      <c r="Y447" s="152"/>
      <c r="Z447" s="148"/>
      <c r="AA447" s="153"/>
      <c r="AB447" s="153"/>
      <c r="AC447" s="153"/>
      <c r="AD447" s="153"/>
      <c r="AH447" s="147"/>
    </row>
    <row r="448" spans="1:34" s="146" customFormat="1" x14ac:dyDescent="0.25">
      <c r="A448" s="196">
        <v>1984</v>
      </c>
      <c r="B448" s="196" t="s">
        <v>2793</v>
      </c>
      <c r="C448" s="196" t="s">
        <v>2799</v>
      </c>
      <c r="D448" s="196" t="s">
        <v>2054</v>
      </c>
      <c r="E448" s="196"/>
      <c r="F448" s="196">
        <v>2006</v>
      </c>
      <c r="G448" s="196"/>
      <c r="H448" s="196" t="s">
        <v>2734</v>
      </c>
      <c r="I448" s="141" t="s">
        <v>1929</v>
      </c>
      <c r="J448" s="196"/>
      <c r="K448" s="196" t="s">
        <v>1881</v>
      </c>
      <c r="L448" s="141" t="s">
        <v>2800</v>
      </c>
      <c r="M448" s="196">
        <v>76</v>
      </c>
      <c r="N448" s="196"/>
      <c r="O448" s="196" t="s">
        <v>2755</v>
      </c>
      <c r="P448" s="144">
        <v>238</v>
      </c>
      <c r="Q448" s="145">
        <f t="shared" si="28"/>
        <v>3.7932999999999995</v>
      </c>
      <c r="R448" s="203">
        <v>2.19</v>
      </c>
      <c r="S448" s="203"/>
      <c r="T448" s="151"/>
      <c r="U448" s="151">
        <v>1.2</v>
      </c>
      <c r="V448" s="151">
        <v>0.25</v>
      </c>
      <c r="W448" s="151">
        <f t="shared" si="29"/>
        <v>2.19</v>
      </c>
      <c r="X448" s="152">
        <f t="shared" si="30"/>
        <v>0.15329999999999999</v>
      </c>
      <c r="Y448" s="152"/>
      <c r="Z448" s="148"/>
      <c r="AA448" s="153"/>
      <c r="AB448" s="153"/>
      <c r="AC448" s="153"/>
      <c r="AD448" s="153"/>
      <c r="AH448" s="147"/>
    </row>
    <row r="449" spans="1:34" s="146" customFormat="1" x14ac:dyDescent="0.25">
      <c r="A449" s="196">
        <v>1984</v>
      </c>
      <c r="B449" s="196" t="s">
        <v>2801</v>
      </c>
      <c r="C449" s="196" t="s">
        <v>2802</v>
      </c>
      <c r="D449" s="196" t="s">
        <v>2054</v>
      </c>
      <c r="E449" s="196"/>
      <c r="F449" s="196">
        <v>2004</v>
      </c>
      <c r="G449" s="196"/>
      <c r="H449" s="196" t="s">
        <v>2734</v>
      </c>
      <c r="I449" s="141" t="s">
        <v>1929</v>
      </c>
      <c r="J449" s="142"/>
      <c r="K449" s="196" t="s">
        <v>1881</v>
      </c>
      <c r="L449" s="141" t="s">
        <v>2803</v>
      </c>
      <c r="M449" s="196">
        <v>92</v>
      </c>
      <c r="N449" s="196"/>
      <c r="O449" s="196" t="s">
        <v>2756</v>
      </c>
      <c r="P449" s="144">
        <v>261</v>
      </c>
      <c r="Q449" s="145">
        <f t="shared" si="28"/>
        <v>3.5792999999999999</v>
      </c>
      <c r="R449" s="203">
        <v>1.99</v>
      </c>
      <c r="S449" s="203"/>
      <c r="T449" s="151"/>
      <c r="U449" s="151">
        <v>1.2</v>
      </c>
      <c r="V449" s="151">
        <v>0.25</v>
      </c>
      <c r="W449" s="151">
        <f t="shared" si="29"/>
        <v>1.99</v>
      </c>
      <c r="X449" s="152">
        <f t="shared" si="30"/>
        <v>0.13930000000000001</v>
      </c>
      <c r="Y449" s="152"/>
      <c r="Z449" s="148"/>
      <c r="AA449" s="153"/>
      <c r="AB449" s="153"/>
      <c r="AC449" s="153"/>
      <c r="AD449" s="153"/>
      <c r="AH449" s="147"/>
    </row>
    <row r="450" spans="1:34" s="146" customFormat="1" x14ac:dyDescent="0.25">
      <c r="A450" s="196">
        <v>1984</v>
      </c>
      <c r="B450" s="196" t="s">
        <v>2804</v>
      </c>
      <c r="C450" s="196" t="s">
        <v>2805</v>
      </c>
      <c r="D450" s="196" t="s">
        <v>2054</v>
      </c>
      <c r="E450" s="196"/>
      <c r="F450" s="196">
        <v>2006</v>
      </c>
      <c r="G450" s="196"/>
      <c r="H450" s="196" t="s">
        <v>2734</v>
      </c>
      <c r="I450" s="141" t="s">
        <v>1929</v>
      </c>
      <c r="J450" s="143"/>
      <c r="K450" s="196" t="s">
        <v>1881</v>
      </c>
      <c r="L450" s="141" t="s">
        <v>2806</v>
      </c>
      <c r="M450" s="196">
        <v>76</v>
      </c>
      <c r="N450" s="196"/>
      <c r="O450" s="196" t="s">
        <v>2757</v>
      </c>
      <c r="P450" s="144">
        <v>234</v>
      </c>
      <c r="Q450" s="145">
        <f t="shared" si="28"/>
        <v>4.3282999999999996</v>
      </c>
      <c r="R450" s="203">
        <v>2.69</v>
      </c>
      <c r="S450" s="203"/>
      <c r="T450" s="151"/>
      <c r="U450" s="151">
        <v>1.2</v>
      </c>
      <c r="V450" s="151">
        <v>0.25</v>
      </c>
      <c r="W450" s="151">
        <f t="shared" si="29"/>
        <v>2.69</v>
      </c>
      <c r="X450" s="152">
        <f t="shared" si="30"/>
        <v>0.1883</v>
      </c>
      <c r="Y450" s="152"/>
      <c r="Z450" s="148"/>
      <c r="AA450" s="153"/>
      <c r="AB450" s="153"/>
      <c r="AC450" s="153"/>
      <c r="AD450" s="153"/>
      <c r="AH450" s="147"/>
    </row>
    <row r="451" spans="1:34" s="146" customFormat="1" x14ac:dyDescent="0.25">
      <c r="A451" s="196">
        <v>1984</v>
      </c>
      <c r="B451" s="196" t="s">
        <v>2793</v>
      </c>
      <c r="C451" s="196" t="s">
        <v>2807</v>
      </c>
      <c r="D451" s="196" t="s">
        <v>2054</v>
      </c>
      <c r="E451" s="196"/>
      <c r="F451" s="196">
        <v>2006</v>
      </c>
      <c r="G451" s="196"/>
      <c r="H451" s="196" t="s">
        <v>2734</v>
      </c>
      <c r="I451" s="141" t="s">
        <v>1929</v>
      </c>
      <c r="J451" s="196"/>
      <c r="K451" s="196" t="s">
        <v>1881</v>
      </c>
      <c r="L451" s="141" t="s">
        <v>2808</v>
      </c>
      <c r="M451" s="196">
        <v>76</v>
      </c>
      <c r="N451" s="196"/>
      <c r="O451" s="196" t="s">
        <v>2758</v>
      </c>
      <c r="P451" s="144">
        <v>236</v>
      </c>
      <c r="Q451" s="145">
        <f t="shared" si="28"/>
        <v>4.3282999999999996</v>
      </c>
      <c r="R451" s="203">
        <v>2.69</v>
      </c>
      <c r="S451" s="203"/>
      <c r="T451" s="151"/>
      <c r="U451" s="151">
        <v>1.2</v>
      </c>
      <c r="V451" s="151">
        <v>0.25</v>
      </c>
      <c r="W451" s="151">
        <f t="shared" si="29"/>
        <v>2.69</v>
      </c>
      <c r="X451" s="152">
        <f t="shared" si="30"/>
        <v>0.1883</v>
      </c>
      <c r="Y451" s="152"/>
      <c r="Z451" s="148"/>
      <c r="AA451" s="153"/>
      <c r="AB451" s="153"/>
      <c r="AC451" s="153"/>
      <c r="AD451" s="153"/>
      <c r="AH451" s="147"/>
    </row>
    <row r="452" spans="1:34" s="146" customFormat="1" x14ac:dyDescent="0.25">
      <c r="A452" s="196">
        <v>1984</v>
      </c>
      <c r="B452" s="196" t="s">
        <v>2801</v>
      </c>
      <c r="C452" s="196" t="s">
        <v>2809</v>
      </c>
      <c r="D452" s="196" t="s">
        <v>2054</v>
      </c>
      <c r="E452" s="196"/>
      <c r="F452" s="196">
        <v>2004</v>
      </c>
      <c r="G452" s="196"/>
      <c r="H452" s="196" t="s">
        <v>2734</v>
      </c>
      <c r="I452" s="141" t="s">
        <v>1929</v>
      </c>
      <c r="J452" s="196"/>
      <c r="K452" s="196" t="s">
        <v>1881</v>
      </c>
      <c r="L452" s="141" t="s">
        <v>2810</v>
      </c>
      <c r="M452" s="196">
        <v>92</v>
      </c>
      <c r="N452" s="196"/>
      <c r="O452" s="196" t="s">
        <v>2759</v>
      </c>
      <c r="P452" s="144">
        <v>263</v>
      </c>
      <c r="Q452" s="145">
        <f t="shared" si="28"/>
        <v>4.3282999999999996</v>
      </c>
      <c r="R452" s="203">
        <v>2.69</v>
      </c>
      <c r="S452" s="203"/>
      <c r="T452" s="151"/>
      <c r="U452" s="151">
        <v>1.2</v>
      </c>
      <c r="V452" s="151">
        <v>0.25</v>
      </c>
      <c r="W452" s="151">
        <f t="shared" si="29"/>
        <v>2.69</v>
      </c>
      <c r="X452" s="152">
        <f t="shared" si="30"/>
        <v>0.1883</v>
      </c>
      <c r="Y452" s="152"/>
      <c r="Z452" s="148"/>
      <c r="AA452" s="153"/>
      <c r="AB452" s="153"/>
      <c r="AC452" s="153"/>
      <c r="AD452" s="153"/>
      <c r="AH452" s="147"/>
    </row>
    <row r="453" spans="1:34" s="146" customFormat="1" x14ac:dyDescent="0.25">
      <c r="A453" s="196">
        <v>1984</v>
      </c>
      <c r="B453" s="196" t="s">
        <v>2801</v>
      </c>
      <c r="C453" s="196" t="s">
        <v>2811</v>
      </c>
      <c r="D453" s="196" t="s">
        <v>2054</v>
      </c>
      <c r="E453" s="196"/>
      <c r="F453" s="196">
        <v>2004</v>
      </c>
      <c r="G453" s="196"/>
      <c r="H453" s="196" t="s">
        <v>2734</v>
      </c>
      <c r="I453" s="141" t="s">
        <v>1929</v>
      </c>
      <c r="J453" s="196"/>
      <c r="K453" s="196" t="s">
        <v>1881</v>
      </c>
      <c r="L453" s="141" t="s">
        <v>2812</v>
      </c>
      <c r="M453" s="196">
        <v>92</v>
      </c>
      <c r="N453" s="196"/>
      <c r="O453" s="196" t="s">
        <v>2760</v>
      </c>
      <c r="P453" s="144">
        <v>266</v>
      </c>
      <c r="Q453" s="145">
        <f t="shared" si="28"/>
        <v>4.3282999999999996</v>
      </c>
      <c r="R453" s="203">
        <v>2.69</v>
      </c>
      <c r="S453" s="203"/>
      <c r="T453" s="151"/>
      <c r="U453" s="151">
        <v>1.2</v>
      </c>
      <c r="V453" s="151">
        <v>0.25</v>
      </c>
      <c r="W453" s="151">
        <f t="shared" si="29"/>
        <v>2.69</v>
      </c>
      <c r="X453" s="152">
        <f t="shared" si="30"/>
        <v>0.1883</v>
      </c>
      <c r="Y453" s="152"/>
      <c r="Z453" s="148"/>
      <c r="AA453" s="153"/>
      <c r="AB453" s="153"/>
      <c r="AC453" s="153"/>
      <c r="AD453" s="153"/>
      <c r="AH453" s="147"/>
    </row>
    <row r="454" spans="1:34" s="146" customFormat="1" x14ac:dyDescent="0.25">
      <c r="A454" s="196">
        <v>2706</v>
      </c>
      <c r="B454" s="196"/>
      <c r="C454" s="196" t="s">
        <v>2813</v>
      </c>
      <c r="D454" s="196" t="s">
        <v>2814</v>
      </c>
      <c r="E454" s="196"/>
      <c r="F454" s="196">
        <v>2006</v>
      </c>
      <c r="G454" s="196"/>
      <c r="H454" s="196" t="s">
        <v>2314</v>
      </c>
      <c r="I454" s="141" t="s">
        <v>1879</v>
      </c>
      <c r="J454" s="196" t="s">
        <v>2815</v>
      </c>
      <c r="K454" s="196" t="s">
        <v>1881</v>
      </c>
      <c r="L454" s="141" t="s">
        <v>2816</v>
      </c>
      <c r="M454" s="196">
        <v>192</v>
      </c>
      <c r="N454" s="196"/>
      <c r="O454" s="196" t="s">
        <v>2761</v>
      </c>
      <c r="P454" s="144">
        <v>682</v>
      </c>
      <c r="Q454" s="145">
        <f t="shared" si="28"/>
        <v>4.0792999999999999</v>
      </c>
      <c r="R454" s="203">
        <v>1.99</v>
      </c>
      <c r="S454" s="203"/>
      <c r="T454" s="151"/>
      <c r="U454" s="151">
        <v>1.7</v>
      </c>
      <c r="V454" s="151">
        <v>0.25</v>
      </c>
      <c r="W454" s="151">
        <f t="shared" si="29"/>
        <v>1.99</v>
      </c>
      <c r="X454" s="152">
        <f t="shared" si="30"/>
        <v>0.13930000000000001</v>
      </c>
      <c r="Y454" s="152"/>
      <c r="Z454" s="148"/>
      <c r="AA454" s="153"/>
      <c r="AB454" s="153"/>
      <c r="AC454" s="153"/>
      <c r="AD454" s="153"/>
      <c r="AH454" s="147"/>
    </row>
    <row r="455" spans="1:34" s="146" customFormat="1" x14ac:dyDescent="0.25">
      <c r="A455" s="196">
        <v>1312</v>
      </c>
      <c r="B455" s="196"/>
      <c r="C455" s="196" t="s">
        <v>2817</v>
      </c>
      <c r="D455" s="196" t="s">
        <v>2818</v>
      </c>
      <c r="E455" s="196"/>
      <c r="F455" s="196">
        <v>1985</v>
      </c>
      <c r="G455" s="196"/>
      <c r="H455" s="196" t="s">
        <v>2734</v>
      </c>
      <c r="I455" s="141" t="s">
        <v>1879</v>
      </c>
      <c r="J455" s="196" t="s">
        <v>2604</v>
      </c>
      <c r="K455" s="196" t="s">
        <v>1881</v>
      </c>
      <c r="L455" s="141" t="s">
        <v>2819</v>
      </c>
      <c r="M455" s="196">
        <v>258</v>
      </c>
      <c r="N455" s="196"/>
      <c r="O455" s="196" t="s">
        <v>2762</v>
      </c>
      <c r="P455" s="144">
        <v>579</v>
      </c>
      <c r="Q455" s="145">
        <f t="shared" si="28"/>
        <v>2.2175000000000002</v>
      </c>
      <c r="R455" s="203">
        <v>0.25</v>
      </c>
      <c r="S455" s="203"/>
      <c r="T455" s="151"/>
      <c r="U455" s="151">
        <v>1.7</v>
      </c>
      <c r="V455" s="151">
        <v>0.25</v>
      </c>
      <c r="W455" s="151">
        <f t="shared" si="29"/>
        <v>0.25</v>
      </c>
      <c r="X455" s="152">
        <f t="shared" si="30"/>
        <v>1.7500000000000002E-2</v>
      </c>
      <c r="Y455" s="152"/>
      <c r="Z455" s="148"/>
      <c r="AA455" s="153"/>
      <c r="AB455" s="153"/>
      <c r="AC455" s="153"/>
      <c r="AD455" s="153"/>
      <c r="AH455" s="147"/>
    </row>
    <row r="456" spans="1:34" s="146" customFormat="1" x14ac:dyDescent="0.25">
      <c r="A456" s="196">
        <v>690</v>
      </c>
      <c r="B456" s="196" t="s">
        <v>2820</v>
      </c>
      <c r="C456" s="196" t="s">
        <v>2821</v>
      </c>
      <c r="D456" s="196" t="s">
        <v>2822</v>
      </c>
      <c r="E456" s="196"/>
      <c r="F456" s="196">
        <v>2004</v>
      </c>
      <c r="G456" s="196"/>
      <c r="H456" s="196" t="s">
        <v>1878</v>
      </c>
      <c r="I456" s="141" t="s">
        <v>1929</v>
      </c>
      <c r="J456" s="196"/>
      <c r="K456" s="196" t="s">
        <v>1881</v>
      </c>
      <c r="L456" s="141" t="s">
        <v>2823</v>
      </c>
      <c r="M456" s="196">
        <v>208</v>
      </c>
      <c r="N456" s="196"/>
      <c r="O456" s="196" t="s">
        <v>2763</v>
      </c>
      <c r="P456" s="144">
        <v>305</v>
      </c>
      <c r="Q456" s="145">
        <f t="shared" si="28"/>
        <v>1.9742999999999999</v>
      </c>
      <c r="R456" s="203">
        <v>0.49</v>
      </c>
      <c r="S456" s="203"/>
      <c r="T456" s="151"/>
      <c r="U456" s="151">
        <v>1.2</v>
      </c>
      <c r="V456" s="151">
        <v>0.25</v>
      </c>
      <c r="W456" s="151">
        <f t="shared" si="29"/>
        <v>0.49</v>
      </c>
      <c r="X456" s="152">
        <f t="shared" si="30"/>
        <v>3.4299999999999997E-2</v>
      </c>
      <c r="Y456" s="152"/>
      <c r="Z456" s="148"/>
      <c r="AA456" s="153"/>
      <c r="AB456" s="153"/>
      <c r="AC456" s="153"/>
      <c r="AD456" s="153"/>
      <c r="AH456" s="147"/>
    </row>
    <row r="457" spans="1:34" s="146" customFormat="1" x14ac:dyDescent="0.25">
      <c r="A457" s="196">
        <v>691</v>
      </c>
      <c r="B457" s="196" t="s">
        <v>2824</v>
      </c>
      <c r="C457" s="196" t="s">
        <v>2825</v>
      </c>
      <c r="D457" s="196" t="s">
        <v>2826</v>
      </c>
      <c r="E457" s="196"/>
      <c r="F457" s="196">
        <v>2002</v>
      </c>
      <c r="G457" s="196"/>
      <c r="H457" s="196" t="s">
        <v>2734</v>
      </c>
      <c r="I457" s="141" t="s">
        <v>1879</v>
      </c>
      <c r="J457" s="196"/>
      <c r="K457" s="196" t="s">
        <v>1881</v>
      </c>
      <c r="L457" s="141" t="s">
        <v>2827</v>
      </c>
      <c r="M457" s="196">
        <v>162</v>
      </c>
      <c r="N457" s="196"/>
      <c r="O457" s="196" t="s">
        <v>2764</v>
      </c>
      <c r="P457" s="144">
        <v>311</v>
      </c>
      <c r="Q457" s="145">
        <f t="shared" si="28"/>
        <v>1.9742999999999999</v>
      </c>
      <c r="R457" s="203">
        <v>0.49</v>
      </c>
      <c r="S457" s="203"/>
      <c r="T457" s="151"/>
      <c r="U457" s="151">
        <v>1.2</v>
      </c>
      <c r="V457" s="151">
        <v>0.25</v>
      </c>
      <c r="W457" s="151">
        <f t="shared" si="29"/>
        <v>0.49</v>
      </c>
      <c r="X457" s="152">
        <f t="shared" si="30"/>
        <v>3.4299999999999997E-2</v>
      </c>
      <c r="Y457" s="152"/>
      <c r="Z457" s="148"/>
      <c r="AA457" s="153"/>
      <c r="AB457" s="153"/>
      <c r="AC457" s="153"/>
      <c r="AD457" s="153"/>
      <c r="AH457" s="147"/>
    </row>
    <row r="458" spans="1:34" s="146" customFormat="1" ht="39.6" x14ac:dyDescent="0.25">
      <c r="A458" s="196">
        <v>690</v>
      </c>
      <c r="B458" s="196" t="s">
        <v>2828</v>
      </c>
      <c r="C458" s="196" t="s">
        <v>2829</v>
      </c>
      <c r="D458" s="196" t="s">
        <v>2822</v>
      </c>
      <c r="E458" s="196"/>
      <c r="F458" s="196">
        <v>2000</v>
      </c>
      <c r="G458" s="196"/>
      <c r="H458" s="196" t="s">
        <v>1878</v>
      </c>
      <c r="I458" s="141" t="s">
        <v>1879</v>
      </c>
      <c r="J458" s="142" t="s">
        <v>2359</v>
      </c>
      <c r="K458" s="196" t="s">
        <v>1881</v>
      </c>
      <c r="L458" s="141" t="s">
        <v>2830</v>
      </c>
      <c r="M458" s="196">
        <v>176</v>
      </c>
      <c r="N458" s="196"/>
      <c r="O458" s="196" t="s">
        <v>2765</v>
      </c>
      <c r="P458" s="144">
        <v>263</v>
      </c>
      <c r="Q458" s="145">
        <f t="shared" si="28"/>
        <v>1.8673</v>
      </c>
      <c r="R458" s="203">
        <v>0.39</v>
      </c>
      <c r="S458" s="203"/>
      <c r="T458" s="151"/>
      <c r="U458" s="151">
        <v>1.2</v>
      </c>
      <c r="V458" s="151">
        <v>0.25</v>
      </c>
      <c r="W458" s="151">
        <f t="shared" si="29"/>
        <v>0.39</v>
      </c>
      <c r="X458" s="152">
        <f t="shared" si="30"/>
        <v>2.7300000000000001E-2</v>
      </c>
      <c r="Y458" s="152"/>
      <c r="Z458" s="148"/>
      <c r="AA458" s="153"/>
      <c r="AB458" s="153"/>
      <c r="AC458" s="153"/>
      <c r="AD458" s="153"/>
      <c r="AH458" s="147"/>
    </row>
    <row r="459" spans="1:34" s="146" customFormat="1" x14ac:dyDescent="0.25">
      <c r="A459" s="196">
        <v>690</v>
      </c>
      <c r="B459" s="196" t="s">
        <v>2820</v>
      </c>
      <c r="C459" s="196" t="s">
        <v>2831</v>
      </c>
      <c r="D459" s="196" t="s">
        <v>2822</v>
      </c>
      <c r="E459" s="196"/>
      <c r="F459" s="196">
        <v>2008</v>
      </c>
      <c r="G459" s="196"/>
      <c r="H459" s="196" t="s">
        <v>1878</v>
      </c>
      <c r="I459" s="141" t="s">
        <v>1879</v>
      </c>
      <c r="J459" s="196"/>
      <c r="K459" s="196" t="s">
        <v>1881</v>
      </c>
      <c r="L459" s="141" t="s">
        <v>2832</v>
      </c>
      <c r="M459" s="196">
        <v>208</v>
      </c>
      <c r="N459" s="196"/>
      <c r="O459" s="196" t="s">
        <v>2766</v>
      </c>
      <c r="P459" s="144">
        <v>336</v>
      </c>
      <c r="Q459" s="145">
        <f t="shared" si="28"/>
        <v>1.7709999999999999</v>
      </c>
      <c r="R459" s="203">
        <v>0.3</v>
      </c>
      <c r="S459" s="203"/>
      <c r="T459" s="151"/>
      <c r="U459" s="151">
        <v>1.2</v>
      </c>
      <c r="V459" s="151">
        <v>0.25</v>
      </c>
      <c r="W459" s="151">
        <f t="shared" si="29"/>
        <v>0.3</v>
      </c>
      <c r="X459" s="152">
        <f t="shared" si="30"/>
        <v>2.1000000000000001E-2</v>
      </c>
      <c r="Y459" s="152"/>
      <c r="Z459" s="148"/>
      <c r="AA459" s="153"/>
      <c r="AB459" s="153"/>
      <c r="AC459" s="153"/>
      <c r="AD459" s="153"/>
      <c r="AH459" s="147"/>
    </row>
    <row r="460" spans="1:34" s="146" customFormat="1" ht="39.6" x14ac:dyDescent="0.25">
      <c r="A460" s="196">
        <v>690</v>
      </c>
      <c r="B460" s="196" t="s">
        <v>2838</v>
      </c>
      <c r="C460" s="196" t="s">
        <v>2839</v>
      </c>
      <c r="D460" s="196" t="s">
        <v>2822</v>
      </c>
      <c r="E460" s="196"/>
      <c r="F460" s="196">
        <v>2003</v>
      </c>
      <c r="G460" s="196"/>
      <c r="H460" s="196" t="s">
        <v>1878</v>
      </c>
      <c r="I460" s="141" t="s">
        <v>1929</v>
      </c>
      <c r="J460" s="142" t="s">
        <v>2359</v>
      </c>
      <c r="K460" s="196" t="s">
        <v>1881</v>
      </c>
      <c r="L460" s="141" t="s">
        <v>2840</v>
      </c>
      <c r="M460" s="196">
        <v>192</v>
      </c>
      <c r="N460" s="196"/>
      <c r="O460" s="196" t="s">
        <v>2768</v>
      </c>
      <c r="P460" s="144">
        <v>288</v>
      </c>
      <c r="Q460" s="145">
        <f t="shared" si="28"/>
        <v>1.9742999999999999</v>
      </c>
      <c r="R460" s="203">
        <v>0.49</v>
      </c>
      <c r="S460" s="203"/>
      <c r="T460" s="151"/>
      <c r="U460" s="151">
        <v>1.2</v>
      </c>
      <c r="V460" s="151">
        <v>0.25</v>
      </c>
      <c r="W460" s="151">
        <f t="shared" si="29"/>
        <v>0.49</v>
      </c>
      <c r="X460" s="152">
        <f t="shared" si="30"/>
        <v>3.4299999999999997E-2</v>
      </c>
      <c r="Y460" s="152"/>
      <c r="Z460" s="148"/>
      <c r="AA460" s="153"/>
      <c r="AB460" s="153"/>
      <c r="AC460" s="153"/>
      <c r="AD460" s="153"/>
      <c r="AH460" s="147"/>
    </row>
    <row r="461" spans="1:34" s="146" customFormat="1" x14ac:dyDescent="0.25">
      <c r="A461" s="196">
        <v>691</v>
      </c>
      <c r="B461" s="196" t="s">
        <v>2841</v>
      </c>
      <c r="C461" s="196" t="s">
        <v>2842</v>
      </c>
      <c r="D461" s="196" t="s">
        <v>2676</v>
      </c>
      <c r="E461" s="196"/>
      <c r="F461" s="196">
        <v>2006</v>
      </c>
      <c r="G461" s="196"/>
      <c r="H461" s="196" t="s">
        <v>2734</v>
      </c>
      <c r="I461" s="141" t="s">
        <v>1929</v>
      </c>
      <c r="J461" s="142"/>
      <c r="K461" s="196" t="s">
        <v>1881</v>
      </c>
      <c r="L461" s="141" t="s">
        <v>2843</v>
      </c>
      <c r="M461" s="196">
        <v>90</v>
      </c>
      <c r="N461" s="196"/>
      <c r="O461" s="196" t="s">
        <v>2769</v>
      </c>
      <c r="P461" s="144">
        <v>355</v>
      </c>
      <c r="Q461" s="145">
        <f t="shared" si="28"/>
        <v>4.5423</v>
      </c>
      <c r="R461" s="203">
        <v>2.89</v>
      </c>
      <c r="S461" s="203"/>
      <c r="T461" s="151"/>
      <c r="U461" s="151">
        <v>1.2</v>
      </c>
      <c r="V461" s="151">
        <v>0.25</v>
      </c>
      <c r="W461" s="151">
        <f t="shared" si="29"/>
        <v>2.89</v>
      </c>
      <c r="X461" s="152">
        <f t="shared" si="30"/>
        <v>0.20230000000000001</v>
      </c>
      <c r="Y461" s="152"/>
      <c r="Z461" s="148"/>
      <c r="AA461" s="153"/>
      <c r="AB461" s="153"/>
      <c r="AC461" s="153"/>
      <c r="AD461" s="153"/>
      <c r="AH461" s="147"/>
    </row>
    <row r="462" spans="1:34" s="146" customFormat="1" ht="52.8" x14ac:dyDescent="0.25">
      <c r="A462" s="196">
        <v>1395</v>
      </c>
      <c r="B462" s="196" t="s">
        <v>2844</v>
      </c>
      <c r="C462" s="196" t="s">
        <v>2845</v>
      </c>
      <c r="D462" s="196" t="s">
        <v>2232</v>
      </c>
      <c r="E462" s="196" t="s">
        <v>1913</v>
      </c>
      <c r="F462" s="196">
        <v>2014</v>
      </c>
      <c r="G462" s="196"/>
      <c r="H462" s="196" t="s">
        <v>1878</v>
      </c>
      <c r="I462" s="141" t="s">
        <v>1929</v>
      </c>
      <c r="J462" s="142" t="s">
        <v>2846</v>
      </c>
      <c r="K462" s="196" t="s">
        <v>1881</v>
      </c>
      <c r="L462" s="141" t="s">
        <v>2847</v>
      </c>
      <c r="M462" s="196">
        <v>272</v>
      </c>
      <c r="N462" s="196"/>
      <c r="O462" s="196" t="s">
        <v>2770</v>
      </c>
      <c r="P462" s="144">
        <v>257</v>
      </c>
      <c r="Q462" s="145">
        <f t="shared" si="28"/>
        <v>2.4022999999999999</v>
      </c>
      <c r="R462" s="203">
        <v>0.89</v>
      </c>
      <c r="S462" s="203"/>
      <c r="T462" s="151"/>
      <c r="U462" s="151">
        <v>1.2</v>
      </c>
      <c r="V462" s="151">
        <v>0.25</v>
      </c>
      <c r="W462" s="151">
        <f t="shared" si="29"/>
        <v>0.89</v>
      </c>
      <c r="X462" s="152">
        <f t="shared" si="30"/>
        <v>6.2300000000000001E-2</v>
      </c>
      <c r="Y462" s="152"/>
      <c r="Z462" s="148"/>
      <c r="AA462" s="153"/>
      <c r="AB462" s="153"/>
      <c r="AC462" s="153"/>
      <c r="AD462" s="153"/>
      <c r="AH462" s="147"/>
    </row>
    <row r="463" spans="1:34" s="146" customFormat="1" ht="26.4" x14ac:dyDescent="0.25">
      <c r="A463" s="196">
        <v>1231</v>
      </c>
      <c r="B463" s="196" t="s">
        <v>2848</v>
      </c>
      <c r="C463" s="196" t="s">
        <v>2849</v>
      </c>
      <c r="D463" s="196" t="s">
        <v>2850</v>
      </c>
      <c r="E463" s="196"/>
      <c r="F463" s="196">
        <v>2002</v>
      </c>
      <c r="G463" s="196"/>
      <c r="H463" s="196" t="s">
        <v>2734</v>
      </c>
      <c r="I463" s="141" t="s">
        <v>1929</v>
      </c>
      <c r="J463" s="142" t="s">
        <v>2851</v>
      </c>
      <c r="K463" s="196" t="s">
        <v>1881</v>
      </c>
      <c r="L463" s="141" t="s">
        <v>2852</v>
      </c>
      <c r="M463" s="196">
        <v>274</v>
      </c>
      <c r="N463" s="196"/>
      <c r="O463" s="196" t="s">
        <v>2771</v>
      </c>
      <c r="P463" s="144">
        <v>400</v>
      </c>
      <c r="Q463" s="145">
        <f t="shared" si="28"/>
        <v>2.1882999999999995</v>
      </c>
      <c r="R463" s="203">
        <v>0.69</v>
      </c>
      <c r="S463" s="203"/>
      <c r="T463" s="151"/>
      <c r="U463" s="151">
        <v>1.2</v>
      </c>
      <c r="V463" s="151">
        <v>0.25</v>
      </c>
      <c r="W463" s="151">
        <f t="shared" si="29"/>
        <v>0.69</v>
      </c>
      <c r="X463" s="152">
        <f t="shared" si="30"/>
        <v>4.8299999999999996E-2</v>
      </c>
      <c r="Y463" s="152"/>
      <c r="Z463" s="148"/>
      <c r="AA463" s="153"/>
      <c r="AB463" s="153"/>
      <c r="AC463" s="153"/>
      <c r="AD463" s="153"/>
      <c r="AH463" s="147"/>
    </row>
    <row r="464" spans="1:34" s="146" customFormat="1" ht="79.2" x14ac:dyDescent="0.25">
      <c r="A464" s="196">
        <v>691</v>
      </c>
      <c r="B464" s="196" t="s">
        <v>2853</v>
      </c>
      <c r="C464" s="196" t="s">
        <v>2854</v>
      </c>
      <c r="D464" s="196" t="s">
        <v>2855</v>
      </c>
      <c r="E464" s="196"/>
      <c r="F464" s="196"/>
      <c r="G464" s="196"/>
      <c r="H464" s="196" t="s">
        <v>2734</v>
      </c>
      <c r="I464" s="141" t="s">
        <v>1879</v>
      </c>
      <c r="J464" s="142" t="s">
        <v>2856</v>
      </c>
      <c r="K464" s="196" t="s">
        <v>1881</v>
      </c>
      <c r="L464" s="141"/>
      <c r="M464" s="196">
        <v>258</v>
      </c>
      <c r="N464" s="196"/>
      <c r="O464" s="196" t="s">
        <v>2772</v>
      </c>
      <c r="P464" s="144">
        <v>588</v>
      </c>
      <c r="Q464" s="145">
        <f t="shared" si="28"/>
        <v>3.7582999999999998</v>
      </c>
      <c r="R464" s="203">
        <v>1.69</v>
      </c>
      <c r="S464" s="203"/>
      <c r="T464" s="151"/>
      <c r="U464" s="151">
        <v>1.7</v>
      </c>
      <c r="V464" s="151">
        <v>0.25</v>
      </c>
      <c r="W464" s="151">
        <f t="shared" si="29"/>
        <v>1.69</v>
      </c>
      <c r="X464" s="152">
        <f t="shared" si="30"/>
        <v>0.11829999999999999</v>
      </c>
      <c r="Y464" s="152"/>
      <c r="Z464" s="148"/>
      <c r="AA464" s="153"/>
      <c r="AB464" s="153"/>
      <c r="AC464" s="153"/>
      <c r="AD464" s="153"/>
      <c r="AH464" s="147"/>
    </row>
    <row r="465" spans="1:34" s="146" customFormat="1" ht="39.6" x14ac:dyDescent="0.25">
      <c r="A465" s="196">
        <v>796</v>
      </c>
      <c r="B465" s="196" t="s">
        <v>2867</v>
      </c>
      <c r="C465" s="196" t="s">
        <v>2868</v>
      </c>
      <c r="D465" s="196" t="s">
        <v>1993</v>
      </c>
      <c r="E465" s="196"/>
      <c r="F465" s="196">
        <v>2008</v>
      </c>
      <c r="G465" s="196"/>
      <c r="H465" s="196" t="s">
        <v>1878</v>
      </c>
      <c r="I465" s="141" t="s">
        <v>1879</v>
      </c>
      <c r="J465" s="52" t="s">
        <v>2205</v>
      </c>
      <c r="K465" s="196" t="s">
        <v>1881</v>
      </c>
      <c r="L465" s="141" t="s">
        <v>2869</v>
      </c>
      <c r="M465" s="196">
        <v>608</v>
      </c>
      <c r="N465" s="196"/>
      <c r="O465" s="196" t="s">
        <v>2773</v>
      </c>
      <c r="P465" s="144">
        <v>477</v>
      </c>
      <c r="Q465" s="145">
        <f t="shared" si="28"/>
        <v>1.8673</v>
      </c>
      <c r="R465" s="203">
        <v>0.39</v>
      </c>
      <c r="S465" s="203"/>
      <c r="T465" s="151"/>
      <c r="U465" s="151">
        <v>1.2</v>
      </c>
      <c r="V465" s="151">
        <v>0.25</v>
      </c>
      <c r="W465" s="151">
        <f t="shared" si="29"/>
        <v>0.39</v>
      </c>
      <c r="X465" s="152">
        <f t="shared" si="30"/>
        <v>2.7300000000000001E-2</v>
      </c>
      <c r="Y465" s="152"/>
      <c r="Z465" s="148"/>
      <c r="AA465" s="153"/>
      <c r="AB465" s="153"/>
      <c r="AC465" s="153"/>
      <c r="AD465" s="153"/>
      <c r="AH465" s="147"/>
    </row>
    <row r="466" spans="1:34" s="146" customFormat="1" x14ac:dyDescent="0.25">
      <c r="A466" s="196">
        <v>689</v>
      </c>
      <c r="B466" s="196" t="s">
        <v>2870</v>
      </c>
      <c r="C466" s="196" t="s">
        <v>2871</v>
      </c>
      <c r="D466" s="196" t="s">
        <v>2609</v>
      </c>
      <c r="E466" s="196" t="s">
        <v>2872</v>
      </c>
      <c r="F466" s="196">
        <v>1993</v>
      </c>
      <c r="G466" s="196"/>
      <c r="H466" s="196" t="s">
        <v>1878</v>
      </c>
      <c r="I466" s="141" t="s">
        <v>1879</v>
      </c>
      <c r="J466" s="196"/>
      <c r="K466" s="196" t="s">
        <v>1881</v>
      </c>
      <c r="L466" s="141" t="s">
        <v>2873</v>
      </c>
      <c r="M466" s="196">
        <v>288</v>
      </c>
      <c r="N466" s="196"/>
      <c r="O466" s="196" t="s">
        <v>2857</v>
      </c>
      <c r="P466" s="144">
        <v>186</v>
      </c>
      <c r="Q466" s="145">
        <f t="shared" si="28"/>
        <v>1.8244999999999998</v>
      </c>
      <c r="R466" s="203">
        <v>0.35</v>
      </c>
      <c r="S466" s="203"/>
      <c r="T466" s="151"/>
      <c r="U466" s="151">
        <v>1.2</v>
      </c>
      <c r="V466" s="151">
        <v>0.25</v>
      </c>
      <c r="W466" s="151">
        <f t="shared" si="29"/>
        <v>0.35</v>
      </c>
      <c r="X466" s="152">
        <f t="shared" si="30"/>
        <v>2.4499999999999997E-2</v>
      </c>
      <c r="Y466" s="152"/>
      <c r="Z466" s="148"/>
      <c r="AA466" s="153"/>
      <c r="AB466" s="153"/>
      <c r="AC466" s="153"/>
      <c r="AD466" s="153"/>
      <c r="AH466" s="147"/>
    </row>
    <row r="467" spans="1:34" s="146" customFormat="1" x14ac:dyDescent="0.25">
      <c r="A467" s="196">
        <v>690</v>
      </c>
      <c r="B467" s="196" t="s">
        <v>2874</v>
      </c>
      <c r="C467" s="196" t="s">
        <v>2875</v>
      </c>
      <c r="D467" s="196" t="s">
        <v>2236</v>
      </c>
      <c r="E467" s="196"/>
      <c r="F467" s="196">
        <v>1998</v>
      </c>
      <c r="G467" s="196"/>
      <c r="H467" s="196" t="s">
        <v>1878</v>
      </c>
      <c r="I467" s="141" t="s">
        <v>1879</v>
      </c>
      <c r="J467" s="196"/>
      <c r="K467" s="196" t="s">
        <v>1881</v>
      </c>
      <c r="L467" s="141" t="s">
        <v>2876</v>
      </c>
      <c r="M467" s="196">
        <v>160</v>
      </c>
      <c r="N467" s="196"/>
      <c r="O467" s="196" t="s">
        <v>2858</v>
      </c>
      <c r="P467" s="144">
        <v>168</v>
      </c>
      <c r="Q467" s="145">
        <f t="shared" si="28"/>
        <v>1.8244999999999998</v>
      </c>
      <c r="R467" s="203">
        <v>0.35</v>
      </c>
      <c r="S467" s="203"/>
      <c r="T467" s="151"/>
      <c r="U467" s="151">
        <v>1.2</v>
      </c>
      <c r="V467" s="151">
        <v>0.25</v>
      </c>
      <c r="W467" s="151">
        <f t="shared" si="29"/>
        <v>0.35</v>
      </c>
      <c r="X467" s="152">
        <f t="shared" si="30"/>
        <v>2.4499999999999997E-2</v>
      </c>
      <c r="Y467" s="152"/>
      <c r="Z467" s="148"/>
      <c r="AA467" s="153"/>
      <c r="AB467" s="153"/>
      <c r="AC467" s="153"/>
      <c r="AD467" s="153"/>
      <c r="AH467" s="147"/>
    </row>
    <row r="468" spans="1:34" s="146" customFormat="1" x14ac:dyDescent="0.25">
      <c r="A468" s="196">
        <v>796</v>
      </c>
      <c r="B468" s="196" t="s">
        <v>2877</v>
      </c>
      <c r="C468" s="196" t="s">
        <v>2878</v>
      </c>
      <c r="D468" s="196" t="s">
        <v>1988</v>
      </c>
      <c r="E468" s="196"/>
      <c r="F468" s="196">
        <v>2008</v>
      </c>
      <c r="G468" s="196"/>
      <c r="H468" s="196" t="s">
        <v>1878</v>
      </c>
      <c r="I468" s="141" t="s">
        <v>1879</v>
      </c>
      <c r="J468" s="196" t="s">
        <v>2879</v>
      </c>
      <c r="K468" s="196" t="s">
        <v>1881</v>
      </c>
      <c r="L468" s="141" t="s">
        <v>2880</v>
      </c>
      <c r="M468" s="196">
        <v>320</v>
      </c>
      <c r="N468" s="196"/>
      <c r="O468" s="196" t="s">
        <v>2859</v>
      </c>
      <c r="P468" s="144">
        <v>236</v>
      </c>
      <c r="Q468" s="145">
        <f t="shared" si="28"/>
        <v>1.9742999999999999</v>
      </c>
      <c r="R468" s="203">
        <v>0.49</v>
      </c>
      <c r="S468" s="203"/>
      <c r="T468" s="151"/>
      <c r="U468" s="151">
        <v>1.2</v>
      </c>
      <c r="V468" s="151">
        <v>0.25</v>
      </c>
      <c r="W468" s="151">
        <f t="shared" si="29"/>
        <v>0.49</v>
      </c>
      <c r="X468" s="152">
        <f t="shared" si="30"/>
        <v>3.4299999999999997E-2</v>
      </c>
      <c r="Y468" s="152"/>
      <c r="Z468" s="148"/>
      <c r="AA468" s="153"/>
      <c r="AB468" s="153"/>
      <c r="AC468" s="153"/>
      <c r="AD468" s="153"/>
      <c r="AH468" s="147"/>
    </row>
    <row r="469" spans="1:34" s="146" customFormat="1" x14ac:dyDescent="0.25">
      <c r="A469" s="196">
        <v>689</v>
      </c>
      <c r="B469" s="196" t="s">
        <v>2881</v>
      </c>
      <c r="C469" s="196" t="s">
        <v>2882</v>
      </c>
      <c r="D469" s="196" t="s">
        <v>2883</v>
      </c>
      <c r="E469" s="196"/>
      <c r="F469" s="196">
        <v>2008</v>
      </c>
      <c r="G469" s="196"/>
      <c r="H469" s="196" t="s">
        <v>1878</v>
      </c>
      <c r="I469" s="141" t="s">
        <v>1929</v>
      </c>
      <c r="J469" s="196" t="s">
        <v>2884</v>
      </c>
      <c r="K469" s="196" t="s">
        <v>1881</v>
      </c>
      <c r="L469" s="141" t="s">
        <v>2885</v>
      </c>
      <c r="M469" s="196">
        <v>236</v>
      </c>
      <c r="N469" s="196"/>
      <c r="O469" s="196" t="s">
        <v>2860</v>
      </c>
      <c r="P469" s="144">
        <v>240</v>
      </c>
      <c r="Q469" s="145">
        <f t="shared" si="28"/>
        <v>5.1843000000000004</v>
      </c>
      <c r="R469" s="203">
        <v>3.49</v>
      </c>
      <c r="S469" s="203"/>
      <c r="T469" s="151"/>
      <c r="U469" s="151">
        <v>1.2</v>
      </c>
      <c r="V469" s="151">
        <v>0.25</v>
      </c>
      <c r="W469" s="151">
        <f t="shared" si="29"/>
        <v>3.49</v>
      </c>
      <c r="X469" s="152">
        <f t="shared" si="30"/>
        <v>0.24430000000000002</v>
      </c>
      <c r="Y469" s="152"/>
      <c r="Z469" s="148"/>
      <c r="AA469" s="153"/>
      <c r="AB469" s="153"/>
      <c r="AC469" s="153"/>
      <c r="AD469" s="153"/>
      <c r="AH469" s="147"/>
    </row>
    <row r="470" spans="1:34" s="146" customFormat="1" x14ac:dyDescent="0.25">
      <c r="A470" s="196">
        <v>690</v>
      </c>
      <c r="B470" s="196" t="s">
        <v>2886</v>
      </c>
      <c r="C470" s="196" t="s">
        <v>2887</v>
      </c>
      <c r="D470" s="196" t="s">
        <v>2300</v>
      </c>
      <c r="E470" s="196"/>
      <c r="F470" s="196">
        <v>2006</v>
      </c>
      <c r="G470" s="196"/>
      <c r="H470" s="196" t="s">
        <v>1878</v>
      </c>
      <c r="I470" s="141" t="s">
        <v>1879</v>
      </c>
      <c r="J470" s="143"/>
      <c r="K470" s="196" t="s">
        <v>1881</v>
      </c>
      <c r="L470" s="141" t="s">
        <v>2888</v>
      </c>
      <c r="M470" s="196">
        <v>192</v>
      </c>
      <c r="N470" s="196"/>
      <c r="O470" s="196" t="s">
        <v>2861</v>
      </c>
      <c r="P470" s="144">
        <v>219</v>
      </c>
      <c r="Q470" s="145">
        <f t="shared" ref="Q470:Q527" si="31">SUM(T470:X470)</f>
        <v>1.8673</v>
      </c>
      <c r="R470" s="203">
        <v>0.39</v>
      </c>
      <c r="S470" s="203"/>
      <c r="T470" s="151"/>
      <c r="U470" s="151">
        <v>1.2</v>
      </c>
      <c r="V470" s="151">
        <v>0.25</v>
      </c>
      <c r="W470" s="151">
        <f t="shared" ref="W470:W527" si="32">IF(R470&gt;T470,R470,T470)</f>
        <v>0.39</v>
      </c>
      <c r="X470" s="152">
        <f t="shared" ref="X470:X527" si="33">(T470+W470)/100*7</f>
        <v>2.7300000000000001E-2</v>
      </c>
      <c r="Y470" s="152"/>
      <c r="Z470" s="148"/>
      <c r="AA470" s="153"/>
      <c r="AB470" s="153"/>
      <c r="AC470" s="153"/>
      <c r="AD470" s="153"/>
      <c r="AH470" s="147"/>
    </row>
    <row r="471" spans="1:34" s="146" customFormat="1" x14ac:dyDescent="0.25">
      <c r="A471" s="196">
        <v>796</v>
      </c>
      <c r="B471" s="196" t="s">
        <v>2889</v>
      </c>
      <c r="C471" s="196" t="s">
        <v>2890</v>
      </c>
      <c r="D471" s="196" t="s">
        <v>2054</v>
      </c>
      <c r="E471" s="196" t="s">
        <v>2032</v>
      </c>
      <c r="F471" s="196">
        <v>2008</v>
      </c>
      <c r="G471" s="196"/>
      <c r="H471" s="196" t="s">
        <v>1878</v>
      </c>
      <c r="I471" s="141" t="s">
        <v>1879</v>
      </c>
      <c r="J471" s="196"/>
      <c r="K471" s="196" t="s">
        <v>1881</v>
      </c>
      <c r="L471" s="141" t="s">
        <v>2891</v>
      </c>
      <c r="M471" s="196">
        <v>336</v>
      </c>
      <c r="N471" s="196"/>
      <c r="O471" s="196" t="s">
        <v>2862</v>
      </c>
      <c r="P471" s="144">
        <v>254</v>
      </c>
      <c r="Q471" s="145">
        <f t="shared" si="31"/>
        <v>1.8673</v>
      </c>
      <c r="R471" s="203">
        <v>0.39</v>
      </c>
      <c r="S471" s="203"/>
      <c r="T471" s="151"/>
      <c r="U471" s="151">
        <v>1.2</v>
      </c>
      <c r="V471" s="151">
        <v>0.25</v>
      </c>
      <c r="W471" s="151">
        <f t="shared" si="32"/>
        <v>0.39</v>
      </c>
      <c r="X471" s="152">
        <f t="shared" si="33"/>
        <v>2.7300000000000001E-2</v>
      </c>
      <c r="Y471" s="152"/>
      <c r="Z471" s="148"/>
      <c r="AA471" s="153"/>
      <c r="AB471" s="153"/>
      <c r="AC471" s="153"/>
      <c r="AD471" s="153"/>
      <c r="AH471" s="147"/>
    </row>
    <row r="472" spans="1:34" s="146" customFormat="1" x14ac:dyDescent="0.25">
      <c r="A472" s="196">
        <v>294</v>
      </c>
      <c r="B472" s="196" t="s">
        <v>2892</v>
      </c>
      <c r="C472" s="196" t="s">
        <v>2893</v>
      </c>
      <c r="D472" s="196" t="s">
        <v>2209</v>
      </c>
      <c r="E472" s="196" t="s">
        <v>1877</v>
      </c>
      <c r="F472" s="196">
        <v>1999</v>
      </c>
      <c r="G472" s="196"/>
      <c r="H472" s="196" t="s">
        <v>2314</v>
      </c>
      <c r="I472" s="141" t="s">
        <v>1879</v>
      </c>
      <c r="J472" s="196"/>
      <c r="K472" s="196" t="s">
        <v>1881</v>
      </c>
      <c r="L472" s="141" t="s">
        <v>2894</v>
      </c>
      <c r="M472" s="196">
        <v>440</v>
      </c>
      <c r="N472" s="196"/>
      <c r="O472" s="196" t="s">
        <v>2863</v>
      </c>
      <c r="P472" s="144">
        <v>590</v>
      </c>
      <c r="Q472" s="145">
        <f t="shared" si="31"/>
        <v>2.6882999999999995</v>
      </c>
      <c r="R472" s="203">
        <v>0.69</v>
      </c>
      <c r="S472" s="203"/>
      <c r="T472" s="151"/>
      <c r="U472" s="151">
        <v>1.7</v>
      </c>
      <c r="V472" s="151">
        <v>0.25</v>
      </c>
      <c r="W472" s="151">
        <f t="shared" si="32"/>
        <v>0.69</v>
      </c>
      <c r="X472" s="152">
        <f t="shared" si="33"/>
        <v>4.8299999999999996E-2</v>
      </c>
      <c r="Y472" s="152"/>
      <c r="Z472" s="148"/>
      <c r="AA472" s="153"/>
      <c r="AB472" s="153"/>
      <c r="AC472" s="153"/>
      <c r="AD472" s="153"/>
      <c r="AH472" s="147"/>
    </row>
    <row r="473" spans="1:34" s="146" customFormat="1" x14ac:dyDescent="0.25">
      <c r="A473" s="196">
        <v>8</v>
      </c>
      <c r="B473" s="196" t="s">
        <v>2895</v>
      </c>
      <c r="C473" s="196" t="s">
        <v>2896</v>
      </c>
      <c r="D473" s="196" t="s">
        <v>2897</v>
      </c>
      <c r="E473" s="196" t="s">
        <v>2358</v>
      </c>
      <c r="F473" s="196">
        <v>2004</v>
      </c>
      <c r="G473" s="196"/>
      <c r="H473" s="196" t="s">
        <v>2734</v>
      </c>
      <c r="I473" s="141" t="s">
        <v>1879</v>
      </c>
      <c r="J473" s="196"/>
      <c r="K473" s="196" t="s">
        <v>1881</v>
      </c>
      <c r="L473" s="141" t="s">
        <v>2898</v>
      </c>
      <c r="M473" s="196">
        <v>224</v>
      </c>
      <c r="N473" s="196"/>
      <c r="O473" s="196" t="s">
        <v>2864</v>
      </c>
      <c r="P473" s="144">
        <v>405</v>
      </c>
      <c r="Q473" s="145">
        <f t="shared" si="31"/>
        <v>1.7175</v>
      </c>
      <c r="R473" s="203">
        <v>0.25</v>
      </c>
      <c r="S473" s="203"/>
      <c r="T473" s="151"/>
      <c r="U473" s="151">
        <v>1.2</v>
      </c>
      <c r="V473" s="151">
        <v>0.25</v>
      </c>
      <c r="W473" s="151">
        <f t="shared" si="32"/>
        <v>0.25</v>
      </c>
      <c r="X473" s="152">
        <f t="shared" si="33"/>
        <v>1.7500000000000002E-2</v>
      </c>
      <c r="Y473" s="152"/>
      <c r="Z473" s="148"/>
      <c r="AA473" s="153"/>
      <c r="AB473" s="153"/>
      <c r="AC473" s="153"/>
      <c r="AD473" s="153"/>
      <c r="AH473" s="147"/>
    </row>
    <row r="474" spans="1:34" s="146" customFormat="1" x14ac:dyDescent="0.25">
      <c r="A474" s="196">
        <v>67</v>
      </c>
      <c r="B474" s="196" t="s">
        <v>2899</v>
      </c>
      <c r="C474" s="196" t="s">
        <v>2900</v>
      </c>
      <c r="D474" s="196" t="s">
        <v>2901</v>
      </c>
      <c r="E474" s="196"/>
      <c r="F474" s="196">
        <v>1959</v>
      </c>
      <c r="G474" s="196"/>
      <c r="H474" s="196" t="s">
        <v>2734</v>
      </c>
      <c r="I474" s="141" t="s">
        <v>1879</v>
      </c>
      <c r="J474" s="196" t="s">
        <v>2902</v>
      </c>
      <c r="K474" s="196" t="s">
        <v>1881</v>
      </c>
      <c r="L474" s="141"/>
      <c r="M474" s="196">
        <v>282</v>
      </c>
      <c r="N474" s="196"/>
      <c r="O474" s="196" t="s">
        <v>2865</v>
      </c>
      <c r="P474" s="144">
        <v>472</v>
      </c>
      <c r="Q474" s="145">
        <f t="shared" si="31"/>
        <v>1.9742999999999999</v>
      </c>
      <c r="R474" s="203">
        <v>0.49</v>
      </c>
      <c r="S474" s="203"/>
      <c r="T474" s="151"/>
      <c r="U474" s="151">
        <v>1.2</v>
      </c>
      <c r="V474" s="151">
        <v>0.25</v>
      </c>
      <c r="W474" s="151">
        <f t="shared" si="32"/>
        <v>0.49</v>
      </c>
      <c r="X474" s="152">
        <f t="shared" si="33"/>
        <v>3.4299999999999997E-2</v>
      </c>
      <c r="Y474" s="152"/>
      <c r="Z474" s="148"/>
      <c r="AA474" s="153"/>
      <c r="AB474" s="153"/>
      <c r="AC474" s="153"/>
      <c r="AD474" s="153"/>
      <c r="AH474" s="147"/>
    </row>
    <row r="475" spans="1:34" s="146" customFormat="1" x14ac:dyDescent="0.25">
      <c r="A475" s="196">
        <v>1396</v>
      </c>
      <c r="B475" s="196" t="s">
        <v>2912</v>
      </c>
      <c r="C475" s="196" t="s">
        <v>2913</v>
      </c>
      <c r="D475" s="196" t="s">
        <v>2609</v>
      </c>
      <c r="E475" s="196"/>
      <c r="F475" s="196">
        <v>2010</v>
      </c>
      <c r="G475" s="196"/>
      <c r="H475" s="196" t="s">
        <v>2734</v>
      </c>
      <c r="I475" s="141" t="s">
        <v>1879</v>
      </c>
      <c r="J475" s="196"/>
      <c r="K475" s="196" t="s">
        <v>1881</v>
      </c>
      <c r="L475" s="141" t="s">
        <v>2914</v>
      </c>
      <c r="M475" s="196">
        <v>352</v>
      </c>
      <c r="N475" s="196"/>
      <c r="O475" s="196" t="s">
        <v>2866</v>
      </c>
      <c r="P475" s="144">
        <v>510</v>
      </c>
      <c r="Q475" s="145">
        <f t="shared" si="31"/>
        <v>2.3672999999999997</v>
      </c>
      <c r="R475" s="203">
        <v>0.39</v>
      </c>
      <c r="S475" s="203"/>
      <c r="T475" s="151"/>
      <c r="U475" s="151">
        <v>1.7</v>
      </c>
      <c r="V475" s="151">
        <v>0.25</v>
      </c>
      <c r="W475" s="151">
        <f t="shared" si="32"/>
        <v>0.39</v>
      </c>
      <c r="X475" s="152">
        <f t="shared" si="33"/>
        <v>2.7300000000000001E-2</v>
      </c>
      <c r="Y475" s="152"/>
      <c r="Z475" s="148"/>
      <c r="AA475" s="153"/>
      <c r="AB475" s="153"/>
      <c r="AC475" s="153"/>
      <c r="AD475" s="153"/>
      <c r="AH475" s="147"/>
    </row>
    <row r="476" spans="1:34" s="146" customFormat="1" x14ac:dyDescent="0.25">
      <c r="A476" s="196">
        <v>2508</v>
      </c>
      <c r="B476" s="196"/>
      <c r="C476" s="196" t="s">
        <v>1182</v>
      </c>
      <c r="D476" s="196" t="s">
        <v>2915</v>
      </c>
      <c r="E476" s="196"/>
      <c r="F476" s="196"/>
      <c r="G476" s="196"/>
      <c r="H476" s="196" t="s">
        <v>1878</v>
      </c>
      <c r="I476" s="141" t="s">
        <v>1879</v>
      </c>
      <c r="J476" s="143"/>
      <c r="K476" s="196" t="s">
        <v>1881</v>
      </c>
      <c r="L476" s="141" t="s">
        <v>2916</v>
      </c>
      <c r="M476" s="196">
        <v>892</v>
      </c>
      <c r="N476" s="196"/>
      <c r="O476" s="196" t="s">
        <v>2903</v>
      </c>
      <c r="P476" s="144">
        <v>742</v>
      </c>
      <c r="Q476" s="145">
        <f t="shared" si="31"/>
        <v>3.1162999999999998</v>
      </c>
      <c r="R476" s="203">
        <v>1.0900000000000001</v>
      </c>
      <c r="S476" s="203"/>
      <c r="T476" s="151"/>
      <c r="U476" s="151">
        <v>1.7</v>
      </c>
      <c r="V476" s="151">
        <v>0.25</v>
      </c>
      <c r="W476" s="151">
        <f t="shared" si="32"/>
        <v>1.0900000000000001</v>
      </c>
      <c r="X476" s="152">
        <f t="shared" si="33"/>
        <v>7.6300000000000007E-2</v>
      </c>
      <c r="Y476" s="152"/>
      <c r="Z476" s="148"/>
      <c r="AA476" s="153"/>
      <c r="AB476" s="153"/>
      <c r="AC476" s="153"/>
      <c r="AD476" s="153"/>
      <c r="AH476" s="147"/>
    </row>
    <row r="477" spans="1:34" s="146" customFormat="1" x14ac:dyDescent="0.25">
      <c r="A477" s="196">
        <v>689</v>
      </c>
      <c r="B477" s="196" t="s">
        <v>2920</v>
      </c>
      <c r="C477" s="196" t="s">
        <v>2921</v>
      </c>
      <c r="D477" s="196" t="s">
        <v>2013</v>
      </c>
      <c r="E477" s="196" t="s">
        <v>2922</v>
      </c>
      <c r="F477" s="196">
        <v>2009</v>
      </c>
      <c r="G477" s="196"/>
      <c r="H477" s="196" t="s">
        <v>1878</v>
      </c>
      <c r="I477" s="141" t="s">
        <v>1879</v>
      </c>
      <c r="J477" s="196"/>
      <c r="K477" s="196" t="s">
        <v>1881</v>
      </c>
      <c r="L477" s="141" t="s">
        <v>2923</v>
      </c>
      <c r="M477" s="196">
        <v>384</v>
      </c>
      <c r="N477" s="196"/>
      <c r="O477" s="196" t="s">
        <v>2905</v>
      </c>
      <c r="P477" s="144">
        <v>521</v>
      </c>
      <c r="Q477" s="145">
        <f t="shared" si="31"/>
        <v>2.2175000000000002</v>
      </c>
      <c r="R477" s="203">
        <v>0.25</v>
      </c>
      <c r="S477" s="203"/>
      <c r="T477" s="151"/>
      <c r="U477" s="151">
        <v>1.7</v>
      </c>
      <c r="V477" s="151">
        <v>0.25</v>
      </c>
      <c r="W477" s="151">
        <f t="shared" si="32"/>
        <v>0.25</v>
      </c>
      <c r="X477" s="152">
        <f t="shared" si="33"/>
        <v>1.7500000000000002E-2</v>
      </c>
      <c r="Y477" s="152"/>
      <c r="Z477" s="148"/>
      <c r="AA477" s="153"/>
      <c r="AB477" s="153"/>
      <c r="AC477" s="153"/>
      <c r="AD477" s="153"/>
      <c r="AH477" s="147"/>
    </row>
    <row r="478" spans="1:34" s="146" customFormat="1" x14ac:dyDescent="0.25">
      <c r="A478" s="196">
        <v>2522</v>
      </c>
      <c r="B478" s="196" t="s">
        <v>2924</v>
      </c>
      <c r="C478" s="196" t="s">
        <v>2925</v>
      </c>
      <c r="D478" s="196" t="s">
        <v>2926</v>
      </c>
      <c r="E478" s="196"/>
      <c r="F478" s="196">
        <v>2017</v>
      </c>
      <c r="G478" s="196"/>
      <c r="H478" s="196" t="s">
        <v>1878</v>
      </c>
      <c r="I478" s="141" t="s">
        <v>1929</v>
      </c>
      <c r="J478" s="196"/>
      <c r="K478" s="196" t="s">
        <v>1881</v>
      </c>
      <c r="L478" s="141" t="s">
        <v>2927</v>
      </c>
      <c r="M478" s="196">
        <v>384</v>
      </c>
      <c r="N478" s="196"/>
      <c r="O478" s="196" t="s">
        <v>2906</v>
      </c>
      <c r="P478" s="144">
        <v>477</v>
      </c>
      <c r="Q478" s="145">
        <f t="shared" si="31"/>
        <v>3.5792999999999999</v>
      </c>
      <c r="R478" s="203">
        <v>1.99</v>
      </c>
      <c r="S478" s="203"/>
      <c r="T478" s="151"/>
      <c r="U478" s="151">
        <v>1.2</v>
      </c>
      <c r="V478" s="151">
        <v>0.25</v>
      </c>
      <c r="W478" s="151">
        <f t="shared" si="32"/>
        <v>1.99</v>
      </c>
      <c r="X478" s="152">
        <f t="shared" si="33"/>
        <v>0.13930000000000001</v>
      </c>
      <c r="Y478" s="152"/>
      <c r="Z478" s="148"/>
      <c r="AA478" s="153"/>
      <c r="AB478" s="153"/>
      <c r="AC478" s="153"/>
      <c r="AD478" s="153"/>
      <c r="AH478" s="147"/>
    </row>
    <row r="479" spans="1:34" s="146" customFormat="1" x14ac:dyDescent="0.25">
      <c r="A479" s="196">
        <v>2518</v>
      </c>
      <c r="B479" s="196" t="s">
        <v>2931</v>
      </c>
      <c r="C479" s="196" t="s">
        <v>2932</v>
      </c>
      <c r="D479" s="196" t="s">
        <v>2933</v>
      </c>
      <c r="E479" s="196" t="s">
        <v>1877</v>
      </c>
      <c r="F479" s="196">
        <v>2007</v>
      </c>
      <c r="G479" s="196"/>
      <c r="H479" s="196" t="s">
        <v>1878</v>
      </c>
      <c r="I479" s="141" t="s">
        <v>1879</v>
      </c>
      <c r="J479" s="196"/>
      <c r="K479" s="196" t="s">
        <v>1881</v>
      </c>
      <c r="L479" s="141" t="s">
        <v>2934</v>
      </c>
      <c r="M479" s="196">
        <v>334</v>
      </c>
      <c r="N479" s="196"/>
      <c r="O479" s="196" t="s">
        <v>2908</v>
      </c>
      <c r="P479" s="144">
        <v>281</v>
      </c>
      <c r="Q479" s="145">
        <f t="shared" si="31"/>
        <v>2.6162999999999998</v>
      </c>
      <c r="R479" s="203">
        <v>1.0900000000000001</v>
      </c>
      <c r="S479" s="203"/>
      <c r="T479" s="151"/>
      <c r="U479" s="151">
        <v>1.2</v>
      </c>
      <c r="V479" s="151">
        <v>0.25</v>
      </c>
      <c r="W479" s="151">
        <f t="shared" si="32"/>
        <v>1.0900000000000001</v>
      </c>
      <c r="X479" s="152">
        <f t="shared" si="33"/>
        <v>7.6300000000000007E-2</v>
      </c>
      <c r="Y479" s="152"/>
      <c r="Z479" s="148"/>
      <c r="AA479" s="153"/>
      <c r="AB479" s="153"/>
      <c r="AC479" s="153"/>
      <c r="AD479" s="153"/>
      <c r="AH479" s="147"/>
    </row>
    <row r="480" spans="1:34" s="146" customFormat="1" x14ac:dyDescent="0.25">
      <c r="A480" s="196">
        <v>1339</v>
      </c>
      <c r="B480" s="196" t="s">
        <v>2935</v>
      </c>
      <c r="C480" s="196" t="s">
        <v>2936</v>
      </c>
      <c r="D480" s="196" t="s">
        <v>2609</v>
      </c>
      <c r="E480" s="196" t="s">
        <v>2937</v>
      </c>
      <c r="F480" s="196">
        <v>2004</v>
      </c>
      <c r="G480" s="196"/>
      <c r="H480" s="196" t="s">
        <v>2314</v>
      </c>
      <c r="I480" s="141" t="s">
        <v>1879</v>
      </c>
      <c r="J480" s="143"/>
      <c r="K480" s="196" t="s">
        <v>1881</v>
      </c>
      <c r="L480" s="141" t="s">
        <v>2938</v>
      </c>
      <c r="M480" s="196">
        <v>272</v>
      </c>
      <c r="N480" s="196"/>
      <c r="O480" s="196" t="s">
        <v>2909</v>
      </c>
      <c r="P480" s="144">
        <v>337</v>
      </c>
      <c r="Q480" s="145">
        <f t="shared" si="31"/>
        <v>1.7175</v>
      </c>
      <c r="R480" s="203">
        <v>0.25</v>
      </c>
      <c r="S480" s="203"/>
      <c r="T480" s="151"/>
      <c r="U480" s="151">
        <v>1.2</v>
      </c>
      <c r="V480" s="151">
        <v>0.25</v>
      </c>
      <c r="W480" s="151">
        <f t="shared" si="32"/>
        <v>0.25</v>
      </c>
      <c r="X480" s="152">
        <f t="shared" si="33"/>
        <v>1.7500000000000002E-2</v>
      </c>
      <c r="Y480" s="152"/>
      <c r="Z480" s="148"/>
      <c r="AA480" s="153"/>
      <c r="AB480" s="153"/>
      <c r="AC480" s="153"/>
      <c r="AD480" s="153"/>
      <c r="AH480" s="147"/>
    </row>
    <row r="481" spans="1:34" s="146" customFormat="1" x14ac:dyDescent="0.25">
      <c r="A481" s="196">
        <v>926</v>
      </c>
      <c r="B481" s="196" t="s">
        <v>2939</v>
      </c>
      <c r="C481" s="196" t="s">
        <v>2940</v>
      </c>
      <c r="D481" s="196" t="s">
        <v>2941</v>
      </c>
      <c r="E481" s="196" t="s">
        <v>2518</v>
      </c>
      <c r="F481" s="196">
        <v>1988</v>
      </c>
      <c r="G481" s="196"/>
      <c r="H481" s="196" t="s">
        <v>2734</v>
      </c>
      <c r="I481" s="141" t="s">
        <v>1879</v>
      </c>
      <c r="J481" s="196"/>
      <c r="K481" s="196" t="s">
        <v>1881</v>
      </c>
      <c r="L481" s="141"/>
      <c r="M481" s="196">
        <v>256</v>
      </c>
      <c r="N481" s="196"/>
      <c r="O481" s="196" t="s">
        <v>2910</v>
      </c>
      <c r="P481" s="144">
        <v>595</v>
      </c>
      <c r="Q481" s="145">
        <f t="shared" si="31"/>
        <v>2.2175000000000002</v>
      </c>
      <c r="R481" s="203">
        <v>0.25</v>
      </c>
      <c r="S481" s="203"/>
      <c r="T481" s="151"/>
      <c r="U481" s="151">
        <v>1.7</v>
      </c>
      <c r="V481" s="151">
        <v>0.25</v>
      </c>
      <c r="W481" s="151">
        <f t="shared" si="32"/>
        <v>0.25</v>
      </c>
      <c r="X481" s="152">
        <f t="shared" si="33"/>
        <v>1.7500000000000002E-2</v>
      </c>
      <c r="Y481" s="152"/>
      <c r="Z481" s="148"/>
      <c r="AA481" s="153"/>
      <c r="AB481" s="153"/>
      <c r="AC481" s="153"/>
      <c r="AD481" s="153"/>
      <c r="AH481" s="147"/>
    </row>
    <row r="482" spans="1:34" s="146" customFormat="1" x14ac:dyDescent="0.25">
      <c r="A482" s="196">
        <v>958</v>
      </c>
      <c r="B482" s="196" t="s">
        <v>2942</v>
      </c>
      <c r="C482" s="196" t="s">
        <v>2943</v>
      </c>
      <c r="D482" s="196"/>
      <c r="E482" s="196" t="s">
        <v>1913</v>
      </c>
      <c r="F482" s="196">
        <v>2010</v>
      </c>
      <c r="G482" s="196"/>
      <c r="H482" s="196" t="s">
        <v>2314</v>
      </c>
      <c r="I482" s="141" t="s">
        <v>1929</v>
      </c>
      <c r="J482" s="196"/>
      <c r="K482" s="196" t="s">
        <v>1881</v>
      </c>
      <c r="L482" s="141" t="s">
        <v>2944</v>
      </c>
      <c r="M482" s="196">
        <v>408</v>
      </c>
      <c r="N482" s="196"/>
      <c r="O482" s="196" t="s">
        <v>2911</v>
      </c>
      <c r="P482" s="144">
        <v>1115</v>
      </c>
      <c r="Q482" s="145">
        <f t="shared" si="31"/>
        <v>6.2763</v>
      </c>
      <c r="R482" s="203">
        <v>2.09</v>
      </c>
      <c r="S482" s="203"/>
      <c r="T482" s="151"/>
      <c r="U482" s="151">
        <v>3.79</v>
      </c>
      <c r="V482" s="151">
        <v>0.25</v>
      </c>
      <c r="W482" s="151">
        <f t="shared" si="32"/>
        <v>2.09</v>
      </c>
      <c r="X482" s="152">
        <f t="shared" si="33"/>
        <v>0.14629999999999999</v>
      </c>
      <c r="Y482" s="152"/>
      <c r="Z482" s="148"/>
      <c r="AA482" s="153"/>
      <c r="AB482" s="153"/>
      <c r="AC482" s="153"/>
      <c r="AD482" s="153"/>
      <c r="AH482" s="147"/>
    </row>
    <row r="483" spans="1:34" s="146" customFormat="1" x14ac:dyDescent="0.25">
      <c r="A483" s="196">
        <v>2851</v>
      </c>
      <c r="B483" s="196" t="s">
        <v>2961</v>
      </c>
      <c r="C483" s="196" t="s">
        <v>2962</v>
      </c>
      <c r="D483" s="196" t="s">
        <v>2897</v>
      </c>
      <c r="E483" s="196" t="s">
        <v>1899</v>
      </c>
      <c r="F483" s="196">
        <v>1998</v>
      </c>
      <c r="G483" s="196"/>
      <c r="H483" s="196" t="s">
        <v>2963</v>
      </c>
      <c r="I483" s="141" t="s">
        <v>1879</v>
      </c>
      <c r="J483" s="196"/>
      <c r="K483" s="196" t="s">
        <v>1881</v>
      </c>
      <c r="L483" s="141" t="s">
        <v>2964</v>
      </c>
      <c r="M483" s="196">
        <v>352</v>
      </c>
      <c r="N483" s="196"/>
      <c r="O483" s="196" t="s">
        <v>2945</v>
      </c>
      <c r="P483" s="144">
        <v>581</v>
      </c>
      <c r="Q483" s="145">
        <f t="shared" si="31"/>
        <v>2.4742999999999999</v>
      </c>
      <c r="R483" s="203">
        <v>0.49</v>
      </c>
      <c r="S483" s="203"/>
      <c r="T483" s="151"/>
      <c r="U483" s="151">
        <v>1.7</v>
      </c>
      <c r="V483" s="151">
        <v>0.25</v>
      </c>
      <c r="W483" s="151">
        <f t="shared" si="32"/>
        <v>0.49</v>
      </c>
      <c r="X483" s="152">
        <f t="shared" si="33"/>
        <v>3.4299999999999997E-2</v>
      </c>
      <c r="Y483" s="152"/>
      <c r="Z483" s="148"/>
      <c r="AA483" s="153"/>
      <c r="AB483" s="153"/>
      <c r="AC483" s="153"/>
      <c r="AD483" s="153"/>
      <c r="AH483" s="147"/>
    </row>
    <row r="484" spans="1:34" s="146" customFormat="1" x14ac:dyDescent="0.25">
      <c r="A484" s="196">
        <v>690</v>
      </c>
      <c r="B484" s="196" t="s">
        <v>2965</v>
      </c>
      <c r="C484" s="196" t="s">
        <v>2966</v>
      </c>
      <c r="D484" s="196" t="s">
        <v>2822</v>
      </c>
      <c r="E484" s="196"/>
      <c r="F484" s="196">
        <v>1999</v>
      </c>
      <c r="G484" s="196"/>
      <c r="H484" s="196" t="s">
        <v>2314</v>
      </c>
      <c r="I484" s="141" t="s">
        <v>1879</v>
      </c>
      <c r="J484" s="196" t="s">
        <v>2967</v>
      </c>
      <c r="K484" s="196" t="s">
        <v>1881</v>
      </c>
      <c r="L484" s="141" t="s">
        <v>2968</v>
      </c>
      <c r="M484" s="196">
        <v>176</v>
      </c>
      <c r="N484" s="196"/>
      <c r="O484" s="196" t="s">
        <v>2946</v>
      </c>
      <c r="P484" s="144">
        <v>256</v>
      </c>
      <c r="Q484" s="145">
        <f t="shared" si="31"/>
        <v>1.7175</v>
      </c>
      <c r="R484" s="203">
        <v>0.25</v>
      </c>
      <c r="S484" s="203"/>
      <c r="T484" s="151"/>
      <c r="U484" s="151">
        <v>1.2</v>
      </c>
      <c r="V484" s="151">
        <v>0.25</v>
      </c>
      <c r="W484" s="151">
        <f t="shared" si="32"/>
        <v>0.25</v>
      </c>
      <c r="X484" s="152">
        <f t="shared" si="33"/>
        <v>1.7500000000000002E-2</v>
      </c>
      <c r="Y484" s="152"/>
      <c r="Z484" s="148"/>
      <c r="AA484" s="153"/>
      <c r="AB484" s="153"/>
      <c r="AC484" s="153"/>
      <c r="AD484" s="153"/>
      <c r="AH484" s="147"/>
    </row>
    <row r="485" spans="1:34" s="146" customFormat="1" x14ac:dyDescent="0.25">
      <c r="A485" s="196">
        <v>1321</v>
      </c>
      <c r="B485" s="196" t="s">
        <v>2969</v>
      </c>
      <c r="C485" s="196" t="s">
        <v>2970</v>
      </c>
      <c r="D485" s="196" t="s">
        <v>2971</v>
      </c>
      <c r="E485" s="196"/>
      <c r="F485" s="196">
        <v>1995</v>
      </c>
      <c r="G485" s="196"/>
      <c r="H485" s="196" t="s">
        <v>2963</v>
      </c>
      <c r="I485" s="141" t="s">
        <v>1879</v>
      </c>
      <c r="J485" s="196" t="s">
        <v>2973</v>
      </c>
      <c r="K485" s="196" t="s">
        <v>1881</v>
      </c>
      <c r="L485" s="141" t="s">
        <v>2972</v>
      </c>
      <c r="M485" s="196">
        <v>130</v>
      </c>
      <c r="N485" s="196"/>
      <c r="O485" s="196" t="s">
        <v>2947</v>
      </c>
      <c r="P485" s="144">
        <v>241</v>
      </c>
      <c r="Q485" s="145">
        <f t="shared" si="31"/>
        <v>2.2953000000000001</v>
      </c>
      <c r="R485" s="203">
        <v>0.79</v>
      </c>
      <c r="S485" s="203"/>
      <c r="T485" s="151"/>
      <c r="U485" s="151">
        <v>1.2</v>
      </c>
      <c r="V485" s="151">
        <v>0.25</v>
      </c>
      <c r="W485" s="151">
        <f t="shared" si="32"/>
        <v>0.79</v>
      </c>
      <c r="X485" s="152">
        <f t="shared" si="33"/>
        <v>5.5300000000000002E-2</v>
      </c>
      <c r="Y485" s="152"/>
      <c r="Z485" s="148"/>
      <c r="AA485" s="153"/>
      <c r="AB485" s="153"/>
      <c r="AC485" s="153"/>
      <c r="AD485" s="153"/>
      <c r="AH485" s="147"/>
    </row>
    <row r="486" spans="1:34" s="146" customFormat="1" x14ac:dyDescent="0.25">
      <c r="A486" s="196"/>
      <c r="B486" s="196"/>
      <c r="C486" s="196"/>
      <c r="D486" s="196"/>
      <c r="E486" s="196"/>
      <c r="F486" s="196"/>
      <c r="G486" s="196"/>
      <c r="H486" s="196"/>
      <c r="I486" s="141"/>
      <c r="J486" s="196"/>
      <c r="K486" s="196"/>
      <c r="L486" s="141"/>
      <c r="M486" s="196"/>
      <c r="N486" s="196"/>
      <c r="O486" s="196"/>
      <c r="P486" s="144"/>
      <c r="Q486" s="148"/>
      <c r="R486" s="203"/>
      <c r="S486" s="203"/>
      <c r="T486" s="203"/>
      <c r="U486" s="103"/>
      <c r="V486" s="103"/>
      <c r="W486" s="203"/>
      <c r="X486" s="148"/>
      <c r="Y486" s="148"/>
      <c r="Z486" s="148"/>
      <c r="AA486" s="148"/>
      <c r="AB486" s="148"/>
      <c r="AC486" s="148"/>
      <c r="AD486" s="148"/>
      <c r="AH486" s="147"/>
    </row>
    <row r="487" spans="1:34" s="146" customFormat="1" x14ac:dyDescent="0.25">
      <c r="A487" s="196">
        <v>765</v>
      </c>
      <c r="B487" s="196" t="s">
        <v>2978</v>
      </c>
      <c r="C487" s="196" t="s">
        <v>2979</v>
      </c>
      <c r="D487" s="196" t="s">
        <v>2980</v>
      </c>
      <c r="E487" s="196" t="s">
        <v>1913</v>
      </c>
      <c r="F487" s="196">
        <v>2004</v>
      </c>
      <c r="G487" s="196"/>
      <c r="H487" s="196" t="s">
        <v>1878</v>
      </c>
      <c r="I487" s="141" t="s">
        <v>1879</v>
      </c>
      <c r="J487" s="52"/>
      <c r="K487" s="196" t="s">
        <v>1881</v>
      </c>
      <c r="L487" s="141" t="s">
        <v>2981</v>
      </c>
      <c r="M487" s="196">
        <v>198</v>
      </c>
      <c r="N487" s="196"/>
      <c r="O487" s="196" t="s">
        <v>2949</v>
      </c>
      <c r="P487" s="144">
        <v>215</v>
      </c>
      <c r="Q487" s="145">
        <f t="shared" si="31"/>
        <v>2.2953000000000001</v>
      </c>
      <c r="R487" s="203">
        <v>0.79</v>
      </c>
      <c r="S487" s="203"/>
      <c r="T487" s="151"/>
      <c r="U487" s="151">
        <v>1.2</v>
      </c>
      <c r="V487" s="151">
        <v>0.25</v>
      </c>
      <c r="W487" s="151">
        <f t="shared" si="32"/>
        <v>0.79</v>
      </c>
      <c r="X487" s="152">
        <f t="shared" si="33"/>
        <v>5.5300000000000002E-2</v>
      </c>
      <c r="Y487" s="152"/>
      <c r="Z487" s="148"/>
      <c r="AA487" s="153"/>
      <c r="AB487" s="153"/>
      <c r="AC487" s="153"/>
      <c r="AD487" s="153"/>
      <c r="AH487" s="147"/>
    </row>
    <row r="488" spans="1:34" s="146" customFormat="1" x14ac:dyDescent="0.25">
      <c r="A488" s="196">
        <v>634</v>
      </c>
      <c r="B488" s="196"/>
      <c r="C488" s="196" t="s">
        <v>2988</v>
      </c>
      <c r="D488" s="196" t="s">
        <v>1920</v>
      </c>
      <c r="E488" s="196"/>
      <c r="F488" s="196">
        <v>1986</v>
      </c>
      <c r="G488" s="196"/>
      <c r="H488" s="196" t="s">
        <v>1878</v>
      </c>
      <c r="I488" s="141" t="s">
        <v>1879</v>
      </c>
      <c r="J488" s="196"/>
      <c r="K488" s="196" t="s">
        <v>1881</v>
      </c>
      <c r="L488" s="141" t="s">
        <v>2989</v>
      </c>
      <c r="M488" s="196">
        <v>208</v>
      </c>
      <c r="N488" s="196"/>
      <c r="O488" s="196" t="s">
        <v>2952</v>
      </c>
      <c r="P488" s="144">
        <v>121</v>
      </c>
      <c r="Q488" s="145">
        <f t="shared" si="31"/>
        <v>3.2582999999999998</v>
      </c>
      <c r="R488" s="203">
        <v>1.69</v>
      </c>
      <c r="S488" s="203"/>
      <c r="T488" s="151"/>
      <c r="U488" s="151">
        <v>1.2</v>
      </c>
      <c r="V488" s="151">
        <v>0.25</v>
      </c>
      <c r="W488" s="151">
        <f t="shared" si="32"/>
        <v>1.69</v>
      </c>
      <c r="X488" s="152">
        <f t="shared" si="33"/>
        <v>0.11829999999999999</v>
      </c>
      <c r="Y488" s="152"/>
      <c r="Z488" s="148"/>
      <c r="AA488" s="153"/>
      <c r="AB488" s="153"/>
      <c r="AC488" s="153"/>
      <c r="AD488" s="153"/>
      <c r="AH488" s="147"/>
    </row>
    <row r="489" spans="1:34" s="146" customFormat="1" ht="26.4" x14ac:dyDescent="0.25">
      <c r="A489" s="196">
        <v>1386</v>
      </c>
      <c r="B489" s="196" t="s">
        <v>2990</v>
      </c>
      <c r="C489" s="196" t="s">
        <v>2991</v>
      </c>
      <c r="D489" s="196" t="s">
        <v>1920</v>
      </c>
      <c r="E489" s="196" t="s">
        <v>2992</v>
      </c>
      <c r="F489" s="196">
        <v>2012</v>
      </c>
      <c r="G489" s="196"/>
      <c r="H489" s="196" t="s">
        <v>1878</v>
      </c>
      <c r="I489" s="141" t="s">
        <v>1879</v>
      </c>
      <c r="J489" s="52" t="s">
        <v>2237</v>
      </c>
      <c r="K489" s="196" t="s">
        <v>1881</v>
      </c>
      <c r="L489" s="141"/>
      <c r="M489" s="196">
        <v>720</v>
      </c>
      <c r="N489" s="196"/>
      <c r="O489" s="196" t="s">
        <v>2953</v>
      </c>
      <c r="P489" s="144">
        <v>516</v>
      </c>
      <c r="Q489" s="145">
        <f t="shared" si="31"/>
        <v>2.2175000000000002</v>
      </c>
      <c r="R489" s="203">
        <v>0.25</v>
      </c>
      <c r="S489" s="203"/>
      <c r="T489" s="151"/>
      <c r="U489" s="151">
        <v>1.7</v>
      </c>
      <c r="V489" s="151">
        <v>0.25</v>
      </c>
      <c r="W489" s="151">
        <f t="shared" si="32"/>
        <v>0.25</v>
      </c>
      <c r="X489" s="152">
        <f t="shared" si="33"/>
        <v>1.7500000000000002E-2</v>
      </c>
      <c r="Y489" s="152"/>
      <c r="Z489" s="148"/>
      <c r="AA489" s="153"/>
      <c r="AB489" s="153"/>
      <c r="AC489" s="153"/>
      <c r="AD489" s="153"/>
      <c r="AH489" s="147"/>
    </row>
    <row r="490" spans="1:34" s="146" customFormat="1" x14ac:dyDescent="0.25">
      <c r="A490" s="196">
        <v>632</v>
      </c>
      <c r="B490" s="196" t="s">
        <v>2993</v>
      </c>
      <c r="C490" s="196" t="s">
        <v>2994</v>
      </c>
      <c r="D490" s="196" t="s">
        <v>2054</v>
      </c>
      <c r="E490" s="196"/>
      <c r="F490" s="196">
        <v>2002</v>
      </c>
      <c r="G490" s="196"/>
      <c r="H490" s="196" t="s">
        <v>2963</v>
      </c>
      <c r="I490" s="141" t="s">
        <v>1879</v>
      </c>
      <c r="J490" s="196" t="s">
        <v>2237</v>
      </c>
      <c r="K490" s="196" t="s">
        <v>1881</v>
      </c>
      <c r="L490" s="141" t="s">
        <v>2995</v>
      </c>
      <c r="M490" s="196">
        <v>704</v>
      </c>
      <c r="N490" s="196"/>
      <c r="O490" s="196" t="s">
        <v>2954</v>
      </c>
      <c r="P490" s="144">
        <v>947</v>
      </c>
      <c r="Q490" s="145">
        <f t="shared" si="31"/>
        <v>2.4742999999999999</v>
      </c>
      <c r="R490" s="203">
        <v>0.49</v>
      </c>
      <c r="S490" s="203"/>
      <c r="T490" s="151"/>
      <c r="U490" s="151">
        <v>1.7</v>
      </c>
      <c r="V490" s="151">
        <v>0.25</v>
      </c>
      <c r="W490" s="151">
        <f t="shared" si="32"/>
        <v>0.49</v>
      </c>
      <c r="X490" s="152">
        <f t="shared" si="33"/>
        <v>3.4299999999999997E-2</v>
      </c>
      <c r="Y490" s="152"/>
      <c r="Z490" s="148"/>
      <c r="AA490" s="153"/>
      <c r="AB490" s="153"/>
      <c r="AC490" s="153"/>
      <c r="AD490" s="153"/>
      <c r="AH490" s="147"/>
    </row>
    <row r="491" spans="1:34" s="146" customFormat="1" x14ac:dyDescent="0.25">
      <c r="A491" s="196">
        <v>634</v>
      </c>
      <c r="B491" s="196" t="s">
        <v>3001</v>
      </c>
      <c r="C491" s="196" t="s">
        <v>3002</v>
      </c>
      <c r="D491" s="196" t="s">
        <v>2300</v>
      </c>
      <c r="E491" s="196"/>
      <c r="F491" s="196">
        <v>1997</v>
      </c>
      <c r="G491" s="196"/>
      <c r="H491" s="196" t="s">
        <v>1878</v>
      </c>
      <c r="I491" s="141" t="s">
        <v>1879</v>
      </c>
      <c r="J491" s="52"/>
      <c r="K491" s="196" t="s">
        <v>1881</v>
      </c>
      <c r="L491" s="141" t="s">
        <v>3003</v>
      </c>
      <c r="M491" s="196">
        <v>544</v>
      </c>
      <c r="N491" s="196"/>
      <c r="O491" s="196" t="s">
        <v>2955</v>
      </c>
      <c r="P491" s="144">
        <v>351</v>
      </c>
      <c r="Q491" s="145">
        <f t="shared" si="31"/>
        <v>4.5423</v>
      </c>
      <c r="R491" s="203">
        <v>2.89</v>
      </c>
      <c r="S491" s="203"/>
      <c r="T491" s="151"/>
      <c r="U491" s="151">
        <v>1.2</v>
      </c>
      <c r="V491" s="151">
        <v>0.25</v>
      </c>
      <c r="W491" s="151">
        <f t="shared" si="32"/>
        <v>2.89</v>
      </c>
      <c r="X491" s="152">
        <f t="shared" si="33"/>
        <v>0.20230000000000001</v>
      </c>
      <c r="Y491" s="152"/>
      <c r="Z491" s="148"/>
      <c r="AA491" s="153"/>
      <c r="AB491" s="153"/>
      <c r="AC491" s="153"/>
      <c r="AD491" s="153"/>
      <c r="AH491" s="147"/>
    </row>
    <row r="492" spans="1:34" s="146" customFormat="1" x14ac:dyDescent="0.25">
      <c r="A492" s="196">
        <v>701</v>
      </c>
      <c r="B492" s="196" t="s">
        <v>3004</v>
      </c>
      <c r="C492" s="196" t="s">
        <v>3005</v>
      </c>
      <c r="D492" s="196" t="s">
        <v>2300</v>
      </c>
      <c r="E492" s="196" t="s">
        <v>1984</v>
      </c>
      <c r="F492" s="196">
        <v>2007</v>
      </c>
      <c r="G492" s="196"/>
      <c r="H492" s="196" t="s">
        <v>1878</v>
      </c>
      <c r="I492" s="141" t="s">
        <v>1879</v>
      </c>
      <c r="J492" s="196" t="s">
        <v>3006</v>
      </c>
      <c r="K492" s="196" t="s">
        <v>1881</v>
      </c>
      <c r="L492" s="141" t="s">
        <v>3007</v>
      </c>
      <c r="M492" s="196">
        <v>304</v>
      </c>
      <c r="N492" s="196"/>
      <c r="O492" s="196" t="s">
        <v>2956</v>
      </c>
      <c r="P492" s="144">
        <v>372</v>
      </c>
      <c r="Q492" s="145">
        <f t="shared" si="31"/>
        <v>1.9742999999999999</v>
      </c>
      <c r="R492" s="203">
        <v>0.49</v>
      </c>
      <c r="S492" s="203"/>
      <c r="T492" s="151"/>
      <c r="U492" s="151">
        <v>1.2</v>
      </c>
      <c r="V492" s="151">
        <v>0.25</v>
      </c>
      <c r="W492" s="151">
        <f t="shared" si="32"/>
        <v>0.49</v>
      </c>
      <c r="X492" s="152">
        <f t="shared" si="33"/>
        <v>3.4299999999999997E-2</v>
      </c>
      <c r="Y492" s="152"/>
      <c r="Z492" s="148"/>
      <c r="AA492" s="153"/>
      <c r="AB492" s="153"/>
      <c r="AC492" s="153"/>
      <c r="AD492" s="153"/>
      <c r="AH492" s="147"/>
    </row>
    <row r="493" spans="1:34" s="146" customFormat="1" ht="66" x14ac:dyDescent="0.25">
      <c r="A493" s="196">
        <v>775</v>
      </c>
      <c r="B493" s="196" t="s">
        <v>3008</v>
      </c>
      <c r="C493" s="196" t="s">
        <v>3009</v>
      </c>
      <c r="D493" s="196" t="s">
        <v>3010</v>
      </c>
      <c r="E493" s="196" t="s">
        <v>3011</v>
      </c>
      <c r="F493" s="196">
        <v>1999</v>
      </c>
      <c r="G493" s="196"/>
      <c r="H493" s="196" t="s">
        <v>1878</v>
      </c>
      <c r="I493" s="141" t="s">
        <v>1879</v>
      </c>
      <c r="J493" s="52" t="s">
        <v>3012</v>
      </c>
      <c r="K493" s="196" t="s">
        <v>1881</v>
      </c>
      <c r="L493" s="141" t="s">
        <v>3013</v>
      </c>
      <c r="M493" s="196">
        <v>576</v>
      </c>
      <c r="N493" s="196"/>
      <c r="O493" s="196" t="s">
        <v>2957</v>
      </c>
      <c r="P493" s="144">
        <v>560</v>
      </c>
      <c r="Q493" s="145">
        <f t="shared" si="31"/>
        <v>2.2603</v>
      </c>
      <c r="R493" s="203">
        <v>0.28999999999999998</v>
      </c>
      <c r="S493" s="203"/>
      <c r="T493" s="151"/>
      <c r="U493" s="151">
        <v>1.7</v>
      </c>
      <c r="V493" s="151">
        <v>0.25</v>
      </c>
      <c r="W493" s="151">
        <f t="shared" si="32"/>
        <v>0.28999999999999998</v>
      </c>
      <c r="X493" s="152">
        <f t="shared" si="33"/>
        <v>2.0299999999999999E-2</v>
      </c>
      <c r="Y493" s="152"/>
      <c r="Z493" s="148"/>
      <c r="AA493" s="153"/>
      <c r="AB493" s="153"/>
      <c r="AC493" s="153"/>
      <c r="AD493" s="153"/>
      <c r="AH493" s="147"/>
    </row>
    <row r="494" spans="1:34" s="146" customFormat="1" x14ac:dyDescent="0.25">
      <c r="A494" s="196">
        <v>701</v>
      </c>
      <c r="B494" s="196" t="s">
        <v>3014</v>
      </c>
      <c r="C494" s="196" t="s">
        <v>3015</v>
      </c>
      <c r="D494" s="196" t="s">
        <v>3017</v>
      </c>
      <c r="E494" s="196" t="s">
        <v>3016</v>
      </c>
      <c r="F494" s="196">
        <v>1978</v>
      </c>
      <c r="G494" s="196"/>
      <c r="H494" s="196" t="s">
        <v>2963</v>
      </c>
      <c r="I494" s="141" t="s">
        <v>1879</v>
      </c>
      <c r="J494" s="196" t="s">
        <v>3018</v>
      </c>
      <c r="K494" s="196" t="s">
        <v>1881</v>
      </c>
      <c r="L494" s="141" t="s">
        <v>3019</v>
      </c>
      <c r="M494" s="196">
        <v>162</v>
      </c>
      <c r="N494" s="196"/>
      <c r="O494" s="196" t="s">
        <v>2958</v>
      </c>
      <c r="P494" s="144">
        <v>242</v>
      </c>
      <c r="Q494" s="145">
        <f t="shared" si="31"/>
        <v>1.7175</v>
      </c>
      <c r="R494" s="203">
        <v>0.25</v>
      </c>
      <c r="S494" s="203"/>
      <c r="T494" s="151"/>
      <c r="U494" s="151">
        <v>1.2</v>
      </c>
      <c r="V494" s="151">
        <v>0.25</v>
      </c>
      <c r="W494" s="151">
        <f t="shared" si="32"/>
        <v>0.25</v>
      </c>
      <c r="X494" s="152">
        <f t="shared" si="33"/>
        <v>1.7500000000000002E-2</v>
      </c>
      <c r="Y494" s="152"/>
      <c r="Z494" s="148"/>
      <c r="AA494" s="153"/>
      <c r="AB494" s="153"/>
      <c r="AC494" s="153"/>
      <c r="AD494" s="153"/>
      <c r="AH494" s="147"/>
    </row>
    <row r="495" spans="1:34" s="146" customFormat="1" x14ac:dyDescent="0.25">
      <c r="A495" s="196">
        <v>1386</v>
      </c>
      <c r="B495" s="196" t="s">
        <v>3020</v>
      </c>
      <c r="C495" s="196" t="s">
        <v>3021</v>
      </c>
      <c r="D495" s="196" t="s">
        <v>3022</v>
      </c>
      <c r="E495" s="196"/>
      <c r="F495" s="196">
        <v>1997</v>
      </c>
      <c r="G495" s="196"/>
      <c r="H495" s="196" t="s">
        <v>2963</v>
      </c>
      <c r="I495" s="141" t="s">
        <v>1879</v>
      </c>
      <c r="J495" s="196"/>
      <c r="K495" s="196" t="s">
        <v>1881</v>
      </c>
      <c r="L495" s="141" t="s">
        <v>3023</v>
      </c>
      <c r="M495" s="196">
        <v>146</v>
      </c>
      <c r="N495" s="196"/>
      <c r="O495" s="196" t="s">
        <v>2959</v>
      </c>
      <c r="P495" s="144">
        <v>304</v>
      </c>
      <c r="Q495" s="145">
        <f t="shared" si="31"/>
        <v>1.8673</v>
      </c>
      <c r="R495" s="203">
        <v>0.39</v>
      </c>
      <c r="S495" s="203"/>
      <c r="T495" s="151"/>
      <c r="U495" s="151">
        <v>1.2</v>
      </c>
      <c r="V495" s="151">
        <v>0.25</v>
      </c>
      <c r="W495" s="151">
        <f t="shared" si="32"/>
        <v>0.39</v>
      </c>
      <c r="X495" s="152">
        <f t="shared" si="33"/>
        <v>2.7300000000000001E-2</v>
      </c>
      <c r="Y495" s="152"/>
      <c r="Z495" s="148"/>
      <c r="AA495" s="153"/>
      <c r="AB495" s="153"/>
      <c r="AC495" s="153"/>
      <c r="AD495" s="153"/>
      <c r="AH495" s="147"/>
    </row>
    <row r="496" spans="1:34" s="146" customFormat="1" x14ac:dyDescent="0.25">
      <c r="A496" s="196">
        <v>2002</v>
      </c>
      <c r="B496" s="196" t="s">
        <v>3024</v>
      </c>
      <c r="C496" s="196" t="s">
        <v>3025</v>
      </c>
      <c r="D496" s="196" t="s">
        <v>3026</v>
      </c>
      <c r="E496" s="196" t="s">
        <v>1877</v>
      </c>
      <c r="F496" s="196">
        <v>2009</v>
      </c>
      <c r="G496" s="196"/>
      <c r="H496" s="196" t="s">
        <v>1878</v>
      </c>
      <c r="I496" s="141" t="s">
        <v>1879</v>
      </c>
      <c r="J496" s="196"/>
      <c r="K496" s="196" t="s">
        <v>1881</v>
      </c>
      <c r="L496" s="141" t="s">
        <v>3027</v>
      </c>
      <c r="M496" s="196">
        <v>336</v>
      </c>
      <c r="N496" s="196"/>
      <c r="O496" s="196" t="s">
        <v>2960</v>
      </c>
      <c r="P496" s="144">
        <v>371</v>
      </c>
      <c r="Q496" s="145">
        <f t="shared" si="31"/>
        <v>1.7175</v>
      </c>
      <c r="R496" s="203">
        <v>0.25</v>
      </c>
      <c r="S496" s="203"/>
      <c r="T496" s="151"/>
      <c r="U496" s="151">
        <v>1.2</v>
      </c>
      <c r="V496" s="151">
        <v>0.25</v>
      </c>
      <c r="W496" s="151">
        <f t="shared" si="32"/>
        <v>0.25</v>
      </c>
      <c r="X496" s="152">
        <f t="shared" si="33"/>
        <v>1.7500000000000002E-2</v>
      </c>
      <c r="Y496" s="152"/>
      <c r="Z496" s="148"/>
      <c r="AA496" s="153"/>
      <c r="AB496" s="153"/>
      <c r="AC496" s="153"/>
      <c r="AD496" s="153"/>
      <c r="AH496" s="147"/>
    </row>
    <row r="497" spans="1:34" s="146" customFormat="1" x14ac:dyDescent="0.25">
      <c r="A497" s="196">
        <v>1386</v>
      </c>
      <c r="B497" s="196" t="s">
        <v>3032</v>
      </c>
      <c r="C497" s="196" t="s">
        <v>3033</v>
      </c>
      <c r="D497" s="196" t="s">
        <v>2300</v>
      </c>
      <c r="E497" s="196" t="s">
        <v>2335</v>
      </c>
      <c r="F497" s="196">
        <v>1997</v>
      </c>
      <c r="G497" s="196"/>
      <c r="H497" s="196" t="s">
        <v>1878</v>
      </c>
      <c r="I497" s="141" t="s">
        <v>1879</v>
      </c>
      <c r="J497" s="143" t="s">
        <v>2205</v>
      </c>
      <c r="K497" s="196" t="s">
        <v>1881</v>
      </c>
      <c r="L497" s="141" t="s">
        <v>3034</v>
      </c>
      <c r="M497" s="196">
        <v>288</v>
      </c>
      <c r="N497" s="196"/>
      <c r="O497" s="196" t="s">
        <v>2997</v>
      </c>
      <c r="P497" s="144">
        <v>234</v>
      </c>
      <c r="Q497" s="145">
        <f t="shared" si="31"/>
        <v>1.8244999999999998</v>
      </c>
      <c r="R497" s="203">
        <v>0.35</v>
      </c>
      <c r="S497" s="203"/>
      <c r="T497" s="151"/>
      <c r="U497" s="151">
        <v>1.2</v>
      </c>
      <c r="V497" s="151">
        <v>0.25</v>
      </c>
      <c r="W497" s="151">
        <f t="shared" si="32"/>
        <v>0.35</v>
      </c>
      <c r="X497" s="152">
        <f t="shared" si="33"/>
        <v>2.4499999999999997E-2</v>
      </c>
      <c r="Y497" s="152"/>
      <c r="Z497" s="148"/>
      <c r="AA497" s="153"/>
      <c r="AB497" s="153"/>
      <c r="AC497" s="153"/>
      <c r="AD497" s="153"/>
      <c r="AH497" s="147"/>
    </row>
    <row r="498" spans="1:34" s="146" customFormat="1" x14ac:dyDescent="0.25">
      <c r="A498" s="196">
        <v>763</v>
      </c>
      <c r="B498" s="196" t="s">
        <v>3035</v>
      </c>
      <c r="C498" s="196" t="s">
        <v>3036</v>
      </c>
      <c r="D498" s="196" t="s">
        <v>2300</v>
      </c>
      <c r="E498" s="196"/>
      <c r="F498" s="196">
        <v>2018</v>
      </c>
      <c r="G498" s="196"/>
      <c r="H498" s="196" t="s">
        <v>1878</v>
      </c>
      <c r="I498" s="141" t="s">
        <v>1929</v>
      </c>
      <c r="J498" s="196"/>
      <c r="K498" s="196" t="s">
        <v>1881</v>
      </c>
      <c r="L498" s="141" t="s">
        <v>3037</v>
      </c>
      <c r="M498" s="196">
        <v>508</v>
      </c>
      <c r="N498" s="196"/>
      <c r="O498" s="196" t="s">
        <v>2998</v>
      </c>
      <c r="P498" s="144">
        <v>841</v>
      </c>
      <c r="Q498" s="145">
        <f t="shared" si="31"/>
        <v>5.1493000000000002</v>
      </c>
      <c r="R498" s="203">
        <v>2.99</v>
      </c>
      <c r="S498" s="203"/>
      <c r="T498" s="151"/>
      <c r="U498" s="151">
        <v>1.7</v>
      </c>
      <c r="V498" s="151">
        <v>0.25</v>
      </c>
      <c r="W498" s="151">
        <f t="shared" si="32"/>
        <v>2.99</v>
      </c>
      <c r="X498" s="152">
        <f t="shared" si="33"/>
        <v>0.20930000000000001</v>
      </c>
      <c r="Y498" s="152"/>
      <c r="Z498" s="148"/>
      <c r="AA498" s="153"/>
      <c r="AB498" s="153"/>
      <c r="AC498" s="153"/>
      <c r="AD498" s="153"/>
      <c r="AH498" s="147"/>
    </row>
    <row r="499" spans="1:34" s="146" customFormat="1" x14ac:dyDescent="0.25">
      <c r="A499" s="196">
        <v>1809</v>
      </c>
      <c r="B499" s="196" t="s">
        <v>3051</v>
      </c>
      <c r="C499" s="196" t="s">
        <v>3052</v>
      </c>
      <c r="D499" s="196" t="s">
        <v>2609</v>
      </c>
      <c r="E499" s="196" t="s">
        <v>3053</v>
      </c>
      <c r="F499" s="196">
        <v>2009</v>
      </c>
      <c r="G499" s="196"/>
      <c r="H499" s="196" t="s">
        <v>2963</v>
      </c>
      <c r="I499" s="141" t="s">
        <v>1879</v>
      </c>
      <c r="J499" s="143" t="s">
        <v>3054</v>
      </c>
      <c r="K499" s="196" t="s">
        <v>1881</v>
      </c>
      <c r="L499" s="141" t="s">
        <v>3055</v>
      </c>
      <c r="M499" s="196">
        <v>258</v>
      </c>
      <c r="N499" s="196"/>
      <c r="O499" s="196" t="s">
        <v>3000</v>
      </c>
      <c r="P499" s="144">
        <v>433</v>
      </c>
      <c r="Q499" s="145">
        <f t="shared" si="31"/>
        <v>1.9315</v>
      </c>
      <c r="R499" s="203">
        <v>0.45</v>
      </c>
      <c r="S499" s="203"/>
      <c r="T499" s="151"/>
      <c r="U499" s="151">
        <v>1.2</v>
      </c>
      <c r="V499" s="151">
        <v>0.25</v>
      </c>
      <c r="W499" s="151">
        <f t="shared" si="32"/>
        <v>0.45</v>
      </c>
      <c r="X499" s="152">
        <f t="shared" si="33"/>
        <v>3.15E-2</v>
      </c>
      <c r="Y499" s="152"/>
      <c r="Z499" s="148"/>
      <c r="AA499" s="153"/>
      <c r="AB499" s="153"/>
      <c r="AC499" s="153"/>
      <c r="AD499" s="153"/>
      <c r="AH499" s="147"/>
    </row>
    <row r="500" spans="1:34" s="146" customFormat="1" x14ac:dyDescent="0.25">
      <c r="A500" s="196">
        <v>1809</v>
      </c>
      <c r="B500" s="196"/>
      <c r="C500" s="196" t="s">
        <v>3056</v>
      </c>
      <c r="D500" s="196" t="s">
        <v>3057</v>
      </c>
      <c r="E500" s="196"/>
      <c r="F500" s="196">
        <v>2010</v>
      </c>
      <c r="G500" s="196"/>
      <c r="H500" s="196" t="s">
        <v>2963</v>
      </c>
      <c r="I500" s="141" t="s">
        <v>1929</v>
      </c>
      <c r="J500" s="142"/>
      <c r="K500" s="196" t="s">
        <v>1881</v>
      </c>
      <c r="L500" s="141" t="s">
        <v>3058</v>
      </c>
      <c r="M500" s="196">
        <v>298</v>
      </c>
      <c r="N500" s="196"/>
      <c r="O500" s="196" t="s">
        <v>3041</v>
      </c>
      <c r="P500" s="144">
        <v>476</v>
      </c>
      <c r="Q500" s="145">
        <f t="shared" si="31"/>
        <v>3.6863000000000001</v>
      </c>
      <c r="R500" s="203">
        <v>2.09</v>
      </c>
      <c r="S500" s="203"/>
      <c r="T500" s="151"/>
      <c r="U500" s="151">
        <v>1.2</v>
      </c>
      <c r="V500" s="151">
        <v>0.25</v>
      </c>
      <c r="W500" s="151">
        <f t="shared" si="32"/>
        <v>2.09</v>
      </c>
      <c r="X500" s="152">
        <f t="shared" si="33"/>
        <v>0.14629999999999999</v>
      </c>
      <c r="Y500" s="152"/>
      <c r="Z500" s="148"/>
      <c r="AA500" s="153"/>
      <c r="AB500" s="153"/>
      <c r="AC500" s="153"/>
      <c r="AD500" s="153"/>
      <c r="AH500" s="147"/>
    </row>
    <row r="501" spans="1:34" s="146" customFormat="1" x14ac:dyDescent="0.25">
      <c r="A501" s="196">
        <v>632</v>
      </c>
      <c r="B501" s="196" t="s">
        <v>3059</v>
      </c>
      <c r="C501" s="196" t="s">
        <v>3060</v>
      </c>
      <c r="D501" s="196" t="s">
        <v>1920</v>
      </c>
      <c r="E501" s="196" t="s">
        <v>1913</v>
      </c>
      <c r="F501" s="196">
        <v>2006</v>
      </c>
      <c r="G501" s="196"/>
      <c r="H501" s="196" t="s">
        <v>1878</v>
      </c>
      <c r="I501" s="141" t="s">
        <v>1879</v>
      </c>
      <c r="J501" s="196"/>
      <c r="K501" s="196" t="s">
        <v>1881</v>
      </c>
      <c r="L501" s="141" t="s">
        <v>3061</v>
      </c>
      <c r="M501" s="196">
        <v>512</v>
      </c>
      <c r="N501" s="196"/>
      <c r="O501" s="196" t="s">
        <v>3042</v>
      </c>
      <c r="P501" s="144">
        <v>440</v>
      </c>
      <c r="Q501" s="145">
        <f t="shared" si="31"/>
        <v>1.7603</v>
      </c>
      <c r="R501" s="203">
        <v>0.28999999999999998</v>
      </c>
      <c r="S501" s="203"/>
      <c r="T501" s="151"/>
      <c r="U501" s="151">
        <v>1.2</v>
      </c>
      <c r="V501" s="151">
        <v>0.25</v>
      </c>
      <c r="W501" s="151">
        <f t="shared" si="32"/>
        <v>0.28999999999999998</v>
      </c>
      <c r="X501" s="152">
        <f t="shared" si="33"/>
        <v>2.0299999999999999E-2</v>
      </c>
      <c r="Y501" s="152"/>
      <c r="Z501" s="148"/>
      <c r="AA501" s="153"/>
      <c r="AB501" s="153"/>
      <c r="AC501" s="153"/>
      <c r="AD501" s="153"/>
      <c r="AH501" s="147"/>
    </row>
    <row r="502" spans="1:34" s="146" customFormat="1" x14ac:dyDescent="0.25">
      <c r="A502" s="196">
        <v>2522</v>
      </c>
      <c r="B502" s="196" t="s">
        <v>3062</v>
      </c>
      <c r="C502" s="196" t="s">
        <v>3063</v>
      </c>
      <c r="D502" s="196" t="s">
        <v>2300</v>
      </c>
      <c r="E502" s="196" t="s">
        <v>1921</v>
      </c>
      <c r="F502" s="196">
        <v>2007</v>
      </c>
      <c r="G502" s="196"/>
      <c r="H502" s="196" t="s">
        <v>1878</v>
      </c>
      <c r="I502" s="141" t="s">
        <v>1879</v>
      </c>
      <c r="J502" s="143" t="s">
        <v>3054</v>
      </c>
      <c r="K502" s="196" t="s">
        <v>1881</v>
      </c>
      <c r="L502" s="141" t="s">
        <v>3064</v>
      </c>
      <c r="M502" s="196">
        <v>384</v>
      </c>
      <c r="N502" s="196"/>
      <c r="O502" s="196" t="s">
        <v>3043</v>
      </c>
      <c r="P502" s="144">
        <v>349</v>
      </c>
      <c r="Q502" s="145">
        <f t="shared" si="31"/>
        <v>1.7603</v>
      </c>
      <c r="R502" s="203">
        <v>0.28999999999999998</v>
      </c>
      <c r="S502" s="203"/>
      <c r="T502" s="151"/>
      <c r="U502" s="151">
        <v>1.2</v>
      </c>
      <c r="V502" s="151">
        <v>0.25</v>
      </c>
      <c r="W502" s="151">
        <f t="shared" si="32"/>
        <v>0.28999999999999998</v>
      </c>
      <c r="X502" s="152">
        <f t="shared" si="33"/>
        <v>2.0299999999999999E-2</v>
      </c>
      <c r="Y502" s="152"/>
      <c r="Z502" s="148"/>
      <c r="AA502" s="153"/>
      <c r="AB502" s="153"/>
      <c r="AC502" s="153"/>
      <c r="AD502" s="153"/>
      <c r="AH502" s="147"/>
    </row>
    <row r="503" spans="1:34" s="146" customFormat="1" x14ac:dyDescent="0.25">
      <c r="A503" s="196">
        <v>2522</v>
      </c>
      <c r="B503" s="196" t="s">
        <v>3065</v>
      </c>
      <c r="C503" s="196" t="s">
        <v>3066</v>
      </c>
      <c r="D503" s="196" t="s">
        <v>2209</v>
      </c>
      <c r="E503" s="196" t="s">
        <v>3067</v>
      </c>
      <c r="F503" s="196">
        <v>2010</v>
      </c>
      <c r="G503" s="196"/>
      <c r="H503" s="196" t="s">
        <v>1878</v>
      </c>
      <c r="I503" s="141" t="s">
        <v>1879</v>
      </c>
      <c r="J503" s="143"/>
      <c r="K503" s="196" t="s">
        <v>1881</v>
      </c>
      <c r="L503" s="141" t="s">
        <v>3068</v>
      </c>
      <c r="M503" s="196">
        <v>700</v>
      </c>
      <c r="N503" s="196"/>
      <c r="O503" s="196" t="s">
        <v>3044</v>
      </c>
      <c r="P503" s="144">
        <v>421</v>
      </c>
      <c r="Q503" s="145">
        <f t="shared" si="31"/>
        <v>1.7603</v>
      </c>
      <c r="R503" s="203">
        <v>0.28999999999999998</v>
      </c>
      <c r="S503" s="203"/>
      <c r="T503" s="151"/>
      <c r="U503" s="151">
        <v>1.2</v>
      </c>
      <c r="V503" s="151">
        <v>0.25</v>
      </c>
      <c r="W503" s="151">
        <f t="shared" si="32"/>
        <v>0.28999999999999998</v>
      </c>
      <c r="X503" s="152">
        <f t="shared" si="33"/>
        <v>2.0299999999999999E-2</v>
      </c>
      <c r="Y503" s="152"/>
      <c r="Z503" s="148"/>
      <c r="AA503" s="153"/>
      <c r="AB503" s="153"/>
      <c r="AC503" s="153"/>
      <c r="AD503" s="153"/>
      <c r="AH503" s="147"/>
    </row>
    <row r="504" spans="1:34" s="146" customFormat="1" x14ac:dyDescent="0.25">
      <c r="A504" s="196">
        <v>1327</v>
      </c>
      <c r="B504" s="196" t="s">
        <v>3069</v>
      </c>
      <c r="C504" s="196" t="s">
        <v>3070</v>
      </c>
      <c r="D504" s="196" t="s">
        <v>2818</v>
      </c>
      <c r="E504" s="196"/>
      <c r="F504" s="196">
        <v>2008</v>
      </c>
      <c r="G504" s="196"/>
      <c r="H504" s="196" t="s">
        <v>2963</v>
      </c>
      <c r="I504" s="141" t="s">
        <v>1879</v>
      </c>
      <c r="J504" s="196"/>
      <c r="K504" s="196" t="s">
        <v>1881</v>
      </c>
      <c r="L504" s="141" t="s">
        <v>3071</v>
      </c>
      <c r="M504" s="196">
        <v>290</v>
      </c>
      <c r="N504" s="196"/>
      <c r="O504" s="196" t="s">
        <v>3045</v>
      </c>
      <c r="P504" s="144">
        <v>478</v>
      </c>
      <c r="Q504" s="145">
        <f t="shared" si="31"/>
        <v>1.9742999999999999</v>
      </c>
      <c r="R504" s="203">
        <v>0.49</v>
      </c>
      <c r="S504" s="203"/>
      <c r="T504" s="151"/>
      <c r="U504" s="151">
        <v>1.2</v>
      </c>
      <c r="V504" s="151">
        <v>0.25</v>
      </c>
      <c r="W504" s="151">
        <f t="shared" si="32"/>
        <v>0.49</v>
      </c>
      <c r="X504" s="152">
        <f t="shared" si="33"/>
        <v>3.4299999999999997E-2</v>
      </c>
      <c r="Y504" s="152"/>
      <c r="Z504" s="148"/>
      <c r="AA504" s="153"/>
      <c r="AB504" s="153"/>
      <c r="AC504" s="153"/>
      <c r="AD504" s="153"/>
      <c r="AH504" s="147"/>
    </row>
    <row r="505" spans="1:34" s="146" customFormat="1" x14ac:dyDescent="0.25">
      <c r="A505" s="196">
        <v>632</v>
      </c>
      <c r="B505" s="196" t="s">
        <v>3072</v>
      </c>
      <c r="C505" s="196" t="s">
        <v>3073</v>
      </c>
      <c r="D505" s="196" t="s">
        <v>2054</v>
      </c>
      <c r="E505" s="196"/>
      <c r="F505" s="196">
        <v>2004</v>
      </c>
      <c r="G505" s="196"/>
      <c r="H505" s="196" t="s">
        <v>1878</v>
      </c>
      <c r="I505" s="141" t="s">
        <v>1879</v>
      </c>
      <c r="J505" s="196"/>
      <c r="K505" s="196" t="s">
        <v>1881</v>
      </c>
      <c r="L505" s="141" t="s">
        <v>3074</v>
      </c>
      <c r="M505" s="196">
        <v>544</v>
      </c>
      <c r="N505" s="196"/>
      <c r="O505" s="196" t="s">
        <v>3046</v>
      </c>
      <c r="P505" s="144">
        <v>404</v>
      </c>
      <c r="Q505" s="145">
        <f t="shared" si="31"/>
        <v>3.0442999999999998</v>
      </c>
      <c r="R505" s="203">
        <v>1.49</v>
      </c>
      <c r="S505" s="203"/>
      <c r="T505" s="151"/>
      <c r="U505" s="151">
        <v>1.2</v>
      </c>
      <c r="V505" s="151">
        <v>0.25</v>
      </c>
      <c r="W505" s="151">
        <f t="shared" si="32"/>
        <v>1.49</v>
      </c>
      <c r="X505" s="152">
        <f t="shared" si="33"/>
        <v>0.1043</v>
      </c>
      <c r="Y505" s="152"/>
      <c r="Z505" s="148"/>
      <c r="AA505" s="153"/>
      <c r="AB505" s="153"/>
      <c r="AC505" s="153"/>
      <c r="AD505" s="153"/>
      <c r="AH505" s="147"/>
    </row>
    <row r="506" spans="1:34" s="146" customFormat="1" x14ac:dyDescent="0.25">
      <c r="A506" s="196">
        <v>689</v>
      </c>
      <c r="B506" s="196" t="s">
        <v>3075</v>
      </c>
      <c r="C506" s="196" t="s">
        <v>3076</v>
      </c>
      <c r="D506" s="196" t="s">
        <v>3077</v>
      </c>
      <c r="E506" s="196" t="s">
        <v>1913</v>
      </c>
      <c r="F506" s="196">
        <v>2005</v>
      </c>
      <c r="G506" s="196"/>
      <c r="H506" s="196" t="s">
        <v>1878</v>
      </c>
      <c r="I506" s="141" t="s">
        <v>1879</v>
      </c>
      <c r="J506" s="143" t="s">
        <v>3078</v>
      </c>
      <c r="K506" s="196" t="s">
        <v>1881</v>
      </c>
      <c r="L506" s="141" t="s">
        <v>3079</v>
      </c>
      <c r="M506" s="196">
        <v>448</v>
      </c>
      <c r="N506" s="196"/>
      <c r="O506" s="196" t="s">
        <v>3047</v>
      </c>
      <c r="P506" s="144">
        <v>298</v>
      </c>
      <c r="Q506" s="145">
        <f t="shared" si="31"/>
        <v>1.9742999999999999</v>
      </c>
      <c r="R506" s="203">
        <v>0.49</v>
      </c>
      <c r="S506" s="203"/>
      <c r="T506" s="151"/>
      <c r="U506" s="151">
        <v>1.2</v>
      </c>
      <c r="V506" s="151">
        <v>0.25</v>
      </c>
      <c r="W506" s="151">
        <f t="shared" si="32"/>
        <v>0.49</v>
      </c>
      <c r="X506" s="152">
        <f t="shared" si="33"/>
        <v>3.4299999999999997E-2</v>
      </c>
      <c r="Y506" s="152"/>
      <c r="Z506" s="148"/>
      <c r="AA506" s="153"/>
      <c r="AB506" s="153"/>
      <c r="AC506" s="153"/>
      <c r="AD506" s="153"/>
      <c r="AH506" s="147"/>
    </row>
    <row r="507" spans="1:34" s="146" customFormat="1" x14ac:dyDescent="0.25">
      <c r="A507" s="196">
        <v>796</v>
      </c>
      <c r="B507" s="196" t="s">
        <v>3080</v>
      </c>
      <c r="C507" s="196" t="s">
        <v>3081</v>
      </c>
      <c r="D507" s="196" t="s">
        <v>2209</v>
      </c>
      <c r="E507" s="196" t="s">
        <v>1877</v>
      </c>
      <c r="F507" s="196">
        <v>2000</v>
      </c>
      <c r="G507" s="196"/>
      <c r="H507" s="196" t="s">
        <v>1878</v>
      </c>
      <c r="I507" s="141" t="s">
        <v>1879</v>
      </c>
      <c r="J507" s="196"/>
      <c r="K507" s="196" t="s">
        <v>1881</v>
      </c>
      <c r="L507" s="141" t="s">
        <v>3082</v>
      </c>
      <c r="M507" s="196">
        <v>224</v>
      </c>
      <c r="N507" s="196"/>
      <c r="O507" s="196" t="s">
        <v>3048</v>
      </c>
      <c r="P507" s="144">
        <v>203</v>
      </c>
      <c r="Q507" s="145">
        <f t="shared" si="31"/>
        <v>1.7175</v>
      </c>
      <c r="R507" s="203">
        <v>0.25</v>
      </c>
      <c r="S507" s="203"/>
      <c r="T507" s="151"/>
      <c r="U507" s="151">
        <v>1.2</v>
      </c>
      <c r="V507" s="151">
        <v>0.25</v>
      </c>
      <c r="W507" s="151">
        <f t="shared" si="32"/>
        <v>0.25</v>
      </c>
      <c r="X507" s="152">
        <f t="shared" si="33"/>
        <v>1.7500000000000002E-2</v>
      </c>
      <c r="Y507" s="152"/>
      <c r="Z507" s="148"/>
      <c r="AA507" s="153"/>
      <c r="AB507" s="153"/>
      <c r="AC507" s="153"/>
      <c r="AD507" s="153"/>
      <c r="AH507" s="147"/>
    </row>
    <row r="508" spans="1:34" s="146" customFormat="1" x14ac:dyDescent="0.25">
      <c r="A508" s="196">
        <v>767</v>
      </c>
      <c r="B508" s="196" t="s">
        <v>3083</v>
      </c>
      <c r="C508" s="196" t="s">
        <v>3084</v>
      </c>
      <c r="D508" s="196" t="s">
        <v>2257</v>
      </c>
      <c r="E508" s="196"/>
      <c r="F508" s="196">
        <v>2009</v>
      </c>
      <c r="G508" s="196"/>
      <c r="H508" s="196" t="s">
        <v>1878</v>
      </c>
      <c r="I508" s="141" t="s">
        <v>1879</v>
      </c>
      <c r="J508" s="196"/>
      <c r="K508" s="196" t="s">
        <v>1881</v>
      </c>
      <c r="L508" s="141" t="s">
        <v>3085</v>
      </c>
      <c r="M508" s="196">
        <v>380</v>
      </c>
      <c r="N508" s="196"/>
      <c r="O508" s="196" t="s">
        <v>3049</v>
      </c>
      <c r="P508" s="144">
        <v>323</v>
      </c>
      <c r="Q508" s="145">
        <f t="shared" si="31"/>
        <v>1.7175</v>
      </c>
      <c r="R508" s="203">
        <v>0.25</v>
      </c>
      <c r="S508" s="203"/>
      <c r="T508" s="151"/>
      <c r="U508" s="151">
        <v>1.2</v>
      </c>
      <c r="V508" s="151">
        <v>0.25</v>
      </c>
      <c r="W508" s="151">
        <f t="shared" si="32"/>
        <v>0.25</v>
      </c>
      <c r="X508" s="152">
        <f t="shared" si="33"/>
        <v>1.7500000000000002E-2</v>
      </c>
      <c r="Y508" s="152"/>
      <c r="Z508" s="148"/>
      <c r="AA508" s="153"/>
      <c r="AB508" s="153"/>
      <c r="AC508" s="153"/>
      <c r="AD508" s="153"/>
      <c r="AH508" s="147"/>
    </row>
    <row r="509" spans="1:34" s="146" customFormat="1" x14ac:dyDescent="0.25">
      <c r="A509" s="196">
        <v>1386</v>
      </c>
      <c r="B509" s="196" t="s">
        <v>2422</v>
      </c>
      <c r="C509" s="196" t="s">
        <v>2423</v>
      </c>
      <c r="D509" s="196" t="s">
        <v>2424</v>
      </c>
      <c r="E509" s="196" t="s">
        <v>2375</v>
      </c>
      <c r="F509" s="196">
        <v>2010</v>
      </c>
      <c r="G509" s="196"/>
      <c r="H509" s="196" t="s">
        <v>1878</v>
      </c>
      <c r="I509" s="141" t="s">
        <v>1879</v>
      </c>
      <c r="J509" s="196" t="s">
        <v>3006</v>
      </c>
      <c r="K509" s="196" t="s">
        <v>1881</v>
      </c>
      <c r="L509" s="141" t="s">
        <v>2426</v>
      </c>
      <c r="M509" s="196">
        <v>640</v>
      </c>
      <c r="N509" s="196"/>
      <c r="O509" s="196" t="s">
        <v>3050</v>
      </c>
      <c r="P509" s="144">
        <v>508</v>
      </c>
      <c r="Q509" s="145">
        <f t="shared" si="31"/>
        <v>2.2175000000000002</v>
      </c>
      <c r="R509" s="203">
        <v>0.25</v>
      </c>
      <c r="S509" s="203"/>
      <c r="T509" s="151"/>
      <c r="U509" s="151">
        <v>1.7</v>
      </c>
      <c r="V509" s="151">
        <v>0.25</v>
      </c>
      <c r="W509" s="151">
        <f t="shared" si="32"/>
        <v>0.25</v>
      </c>
      <c r="X509" s="152">
        <f t="shared" si="33"/>
        <v>1.7500000000000002E-2</v>
      </c>
      <c r="Y509" s="152"/>
      <c r="Z509" s="148"/>
      <c r="AA509" s="153"/>
      <c r="AB509" s="153"/>
      <c r="AC509" s="153"/>
      <c r="AD509" s="153"/>
      <c r="AH509" s="147"/>
    </row>
    <row r="510" spans="1:34" s="146" customFormat="1" x14ac:dyDescent="0.25">
      <c r="A510" s="196">
        <v>1386</v>
      </c>
      <c r="B510" s="196" t="s">
        <v>3096</v>
      </c>
      <c r="C510" s="196" t="s">
        <v>3097</v>
      </c>
      <c r="D510" s="196" t="s">
        <v>2407</v>
      </c>
      <c r="E510" s="196" t="s">
        <v>2094</v>
      </c>
      <c r="F510" s="196">
        <v>2019</v>
      </c>
      <c r="G510" s="196"/>
      <c r="H510" s="196" t="s">
        <v>1878</v>
      </c>
      <c r="I510" s="141" t="s">
        <v>1879</v>
      </c>
      <c r="J510" s="196" t="s">
        <v>3098</v>
      </c>
      <c r="K510" s="196" t="s">
        <v>1881</v>
      </c>
      <c r="L510" s="141" t="s">
        <v>3099</v>
      </c>
      <c r="M510" s="196">
        <v>304</v>
      </c>
      <c r="N510" s="196"/>
      <c r="O510" s="196" t="s">
        <v>3086</v>
      </c>
      <c r="P510" s="144">
        <v>302</v>
      </c>
      <c r="Q510" s="145">
        <f t="shared" si="31"/>
        <v>1.9742999999999999</v>
      </c>
      <c r="R510" s="203">
        <v>0.49</v>
      </c>
      <c r="S510" s="203"/>
      <c r="T510" s="151"/>
      <c r="U510" s="151">
        <v>1.2</v>
      </c>
      <c r="V510" s="151">
        <v>0.25</v>
      </c>
      <c r="W510" s="151">
        <f t="shared" si="32"/>
        <v>0.49</v>
      </c>
      <c r="X510" s="152">
        <f t="shared" si="33"/>
        <v>3.4299999999999997E-2</v>
      </c>
      <c r="Y510" s="152"/>
      <c r="Z510" s="148"/>
      <c r="AA510" s="153"/>
      <c r="AB510" s="153"/>
      <c r="AC510" s="153"/>
      <c r="AD510" s="153"/>
      <c r="AH510" s="147"/>
    </row>
    <row r="511" spans="1:34" s="146" customFormat="1" x14ac:dyDescent="0.25">
      <c r="A511" s="196">
        <v>2851</v>
      </c>
      <c r="B511" s="196" t="s">
        <v>3100</v>
      </c>
      <c r="C511" s="196" t="s">
        <v>3101</v>
      </c>
      <c r="D511" s="196" t="s">
        <v>1988</v>
      </c>
      <c r="E511" s="196" t="s">
        <v>1921</v>
      </c>
      <c r="F511" s="196">
        <v>2004</v>
      </c>
      <c r="G511" s="196"/>
      <c r="H511" s="196" t="s">
        <v>2314</v>
      </c>
      <c r="I511" s="141" t="s">
        <v>1929</v>
      </c>
      <c r="J511" s="196"/>
      <c r="K511" s="196" t="s">
        <v>1881</v>
      </c>
      <c r="L511" s="141" t="s">
        <v>3102</v>
      </c>
      <c r="M511" s="196">
        <v>120</v>
      </c>
      <c r="N511" s="196"/>
      <c r="O511" s="196" t="s">
        <v>3087</v>
      </c>
      <c r="P511" s="144">
        <v>198</v>
      </c>
      <c r="Q511" s="145">
        <f t="shared" si="31"/>
        <v>1.8673</v>
      </c>
      <c r="R511" s="203">
        <v>0.39</v>
      </c>
      <c r="S511" s="203"/>
      <c r="T511" s="151"/>
      <c r="U511" s="151">
        <v>1.2</v>
      </c>
      <c r="V511" s="151">
        <v>0.25</v>
      </c>
      <c r="W511" s="151">
        <f t="shared" si="32"/>
        <v>0.39</v>
      </c>
      <c r="X511" s="152">
        <f t="shared" si="33"/>
        <v>2.7300000000000001E-2</v>
      </c>
      <c r="Y511" s="152"/>
      <c r="Z511" s="148"/>
      <c r="AA511" s="153"/>
      <c r="AB511" s="153"/>
      <c r="AC511" s="153"/>
      <c r="AD511" s="153"/>
      <c r="AH511" s="147"/>
    </row>
    <row r="512" spans="1:34" s="146" customFormat="1" x14ac:dyDescent="0.25">
      <c r="A512" s="196">
        <v>1395</v>
      </c>
      <c r="B512" s="196" t="s">
        <v>3103</v>
      </c>
      <c r="C512" s="196" t="s">
        <v>3104</v>
      </c>
      <c r="D512" s="196" t="s">
        <v>2368</v>
      </c>
      <c r="E512" s="196"/>
      <c r="F512" s="196">
        <v>2009</v>
      </c>
      <c r="G512" s="196"/>
      <c r="H512" s="196" t="s">
        <v>2314</v>
      </c>
      <c r="I512" s="141" t="s">
        <v>1929</v>
      </c>
      <c r="J512" s="142"/>
      <c r="K512" s="196" t="s">
        <v>1881</v>
      </c>
      <c r="L512" s="141" t="s">
        <v>3105</v>
      </c>
      <c r="M512" s="196">
        <v>240</v>
      </c>
      <c r="N512" s="196"/>
      <c r="O512" s="196" t="s">
        <v>3088</v>
      </c>
      <c r="P512" s="144">
        <v>342</v>
      </c>
      <c r="Q512" s="145">
        <f t="shared" si="31"/>
        <v>1.7175</v>
      </c>
      <c r="R512" s="203">
        <v>0.25</v>
      </c>
      <c r="S512" s="203"/>
      <c r="T512" s="151"/>
      <c r="U512" s="151">
        <v>1.2</v>
      </c>
      <c r="V512" s="151">
        <v>0.25</v>
      </c>
      <c r="W512" s="151">
        <f t="shared" si="32"/>
        <v>0.25</v>
      </c>
      <c r="X512" s="152">
        <f t="shared" si="33"/>
        <v>1.7500000000000002E-2</v>
      </c>
      <c r="Y512" s="152"/>
      <c r="Z512" s="148"/>
      <c r="AA512" s="153"/>
      <c r="AB512" s="153"/>
      <c r="AC512" s="153"/>
      <c r="AD512" s="153"/>
      <c r="AH512" s="147"/>
    </row>
    <row r="513" spans="1:34" s="146" customFormat="1" x14ac:dyDescent="0.25">
      <c r="A513" s="196">
        <v>796</v>
      </c>
      <c r="B513" s="196" t="s">
        <v>3106</v>
      </c>
      <c r="C513" s="196" t="s">
        <v>3107</v>
      </c>
      <c r="D513" s="196" t="s">
        <v>2407</v>
      </c>
      <c r="E513" s="196" t="s">
        <v>2094</v>
      </c>
      <c r="F513" s="196">
        <v>2019</v>
      </c>
      <c r="G513" s="196"/>
      <c r="H513" s="196" t="s">
        <v>1878</v>
      </c>
      <c r="I513" s="141" t="s">
        <v>1879</v>
      </c>
      <c r="J513" s="196"/>
      <c r="K513" s="196" t="s">
        <v>1881</v>
      </c>
      <c r="L513" s="141" t="s">
        <v>3108</v>
      </c>
      <c r="M513" s="196">
        <v>304</v>
      </c>
      <c r="N513" s="196"/>
      <c r="O513" s="196" t="s">
        <v>3089</v>
      </c>
      <c r="P513" s="144">
        <v>303</v>
      </c>
      <c r="Q513" s="145">
        <f t="shared" si="31"/>
        <v>3.5792999999999999</v>
      </c>
      <c r="R513" s="203">
        <v>1.99</v>
      </c>
      <c r="S513" s="203"/>
      <c r="T513" s="151"/>
      <c r="U513" s="151">
        <v>1.2</v>
      </c>
      <c r="V513" s="151">
        <v>0.25</v>
      </c>
      <c r="W513" s="151">
        <f t="shared" si="32"/>
        <v>1.99</v>
      </c>
      <c r="X513" s="152">
        <f t="shared" si="33"/>
        <v>0.13930000000000001</v>
      </c>
      <c r="Y513" s="152"/>
      <c r="Z513" s="148"/>
      <c r="AA513" s="153"/>
      <c r="AB513" s="153"/>
      <c r="AC513" s="153"/>
      <c r="AD513" s="153"/>
      <c r="AH513" s="147"/>
    </row>
    <row r="514" spans="1:34" s="146" customFormat="1" x14ac:dyDescent="0.25">
      <c r="A514" s="196">
        <v>1321</v>
      </c>
      <c r="B514" s="196" t="s">
        <v>3109</v>
      </c>
      <c r="C514" s="196" t="s">
        <v>3110</v>
      </c>
      <c r="D514" s="196" t="s">
        <v>1912</v>
      </c>
      <c r="E514" s="196" t="s">
        <v>1913</v>
      </c>
      <c r="F514" s="196">
        <v>2012</v>
      </c>
      <c r="G514" s="196"/>
      <c r="H514" s="196" t="s">
        <v>1878</v>
      </c>
      <c r="I514" s="141" t="s">
        <v>1879</v>
      </c>
      <c r="J514" s="142"/>
      <c r="K514" s="196" t="s">
        <v>1881</v>
      </c>
      <c r="L514" s="141" t="s">
        <v>3111</v>
      </c>
      <c r="M514" s="196">
        <v>224</v>
      </c>
      <c r="N514" s="196"/>
      <c r="O514" s="196" t="s">
        <v>3090</v>
      </c>
      <c r="P514" s="144">
        <v>197</v>
      </c>
      <c r="Q514" s="145">
        <f t="shared" si="31"/>
        <v>1.9742999999999999</v>
      </c>
      <c r="R514" s="203">
        <v>0.49</v>
      </c>
      <c r="S514" s="203"/>
      <c r="T514" s="151"/>
      <c r="U514" s="151">
        <v>1.2</v>
      </c>
      <c r="V514" s="151">
        <v>0.25</v>
      </c>
      <c r="W514" s="151">
        <f t="shared" si="32"/>
        <v>0.49</v>
      </c>
      <c r="X514" s="152">
        <f t="shared" si="33"/>
        <v>3.4299999999999997E-2</v>
      </c>
      <c r="Y514" s="152"/>
      <c r="Z514" s="148"/>
      <c r="AA514" s="153"/>
      <c r="AB514" s="153"/>
      <c r="AC514" s="153"/>
      <c r="AD514" s="153"/>
      <c r="AH514" s="147"/>
    </row>
    <row r="515" spans="1:34" s="146" customFormat="1" x14ac:dyDescent="0.25">
      <c r="A515" s="196">
        <v>2522</v>
      </c>
      <c r="B515" s="196" t="s">
        <v>2575</v>
      </c>
      <c r="C515" s="196" t="s">
        <v>3112</v>
      </c>
      <c r="D515" s="196" t="s">
        <v>2300</v>
      </c>
      <c r="E515" s="196"/>
      <c r="F515" s="196">
        <v>2001</v>
      </c>
      <c r="G515" s="196"/>
      <c r="H515" s="196" t="s">
        <v>1878</v>
      </c>
      <c r="I515" s="141" t="s">
        <v>1879</v>
      </c>
      <c r="J515" s="196"/>
      <c r="K515" s="196" t="s">
        <v>1881</v>
      </c>
      <c r="L515" s="141" t="s">
        <v>3113</v>
      </c>
      <c r="M515" s="196">
        <v>400</v>
      </c>
      <c r="N515" s="196"/>
      <c r="O515" s="196" t="s">
        <v>3091</v>
      </c>
      <c r="P515" s="144">
        <v>368</v>
      </c>
      <c r="Q515" s="145">
        <f t="shared" si="31"/>
        <v>1.7175</v>
      </c>
      <c r="R515" s="203">
        <v>0.25</v>
      </c>
      <c r="S515" s="203"/>
      <c r="T515" s="151"/>
      <c r="U515" s="151">
        <v>1.2</v>
      </c>
      <c r="V515" s="151">
        <v>0.25</v>
      </c>
      <c r="W515" s="151">
        <f t="shared" si="32"/>
        <v>0.25</v>
      </c>
      <c r="X515" s="152">
        <f t="shared" si="33"/>
        <v>1.7500000000000002E-2</v>
      </c>
      <c r="Y515" s="152"/>
      <c r="Z515" s="148"/>
      <c r="AA515" s="153"/>
      <c r="AB515" s="153"/>
      <c r="AC515" s="153"/>
      <c r="AD515" s="153"/>
      <c r="AH515" s="147"/>
    </row>
    <row r="516" spans="1:34" s="146" customFormat="1" x14ac:dyDescent="0.25">
      <c r="A516" s="196">
        <v>1394</v>
      </c>
      <c r="B516" s="196" t="s">
        <v>3114</v>
      </c>
      <c r="C516" s="196" t="s">
        <v>3115</v>
      </c>
      <c r="D516" s="196" t="s">
        <v>3116</v>
      </c>
      <c r="E516" s="196" t="s">
        <v>1913</v>
      </c>
      <c r="F516" s="196">
        <v>2002</v>
      </c>
      <c r="G516" s="196"/>
      <c r="H516" s="196" t="s">
        <v>1878</v>
      </c>
      <c r="I516" s="141" t="s">
        <v>1879</v>
      </c>
      <c r="J516" s="196"/>
      <c r="K516" s="196" t="s">
        <v>1881</v>
      </c>
      <c r="L516" s="141" t="s">
        <v>3117</v>
      </c>
      <c r="M516" s="196">
        <v>188</v>
      </c>
      <c r="N516" s="196"/>
      <c r="O516" s="196" t="s">
        <v>3092</v>
      </c>
      <c r="P516" s="144">
        <v>555</v>
      </c>
      <c r="Q516" s="145">
        <f t="shared" si="31"/>
        <v>2.2175000000000002</v>
      </c>
      <c r="R516" s="203">
        <v>0.25</v>
      </c>
      <c r="S516" s="203"/>
      <c r="T516" s="151"/>
      <c r="U516" s="151">
        <v>1.7</v>
      </c>
      <c r="V516" s="151">
        <v>0.25</v>
      </c>
      <c r="W516" s="151">
        <f t="shared" si="32"/>
        <v>0.25</v>
      </c>
      <c r="X516" s="152">
        <f t="shared" si="33"/>
        <v>1.7500000000000002E-2</v>
      </c>
      <c r="Y516" s="152"/>
      <c r="Z516" s="148"/>
      <c r="AA516" s="153"/>
      <c r="AB516" s="153"/>
      <c r="AC516" s="153"/>
      <c r="AD516" s="153"/>
      <c r="AH516" s="147"/>
    </row>
    <row r="517" spans="1:34" s="146" customFormat="1" x14ac:dyDescent="0.25">
      <c r="A517" s="196">
        <v>1395</v>
      </c>
      <c r="B517" s="196" t="s">
        <v>3118</v>
      </c>
      <c r="C517" s="196" t="s">
        <v>3119</v>
      </c>
      <c r="D517" s="196" t="s">
        <v>2054</v>
      </c>
      <c r="E517" s="196"/>
      <c r="F517" s="196">
        <v>2016</v>
      </c>
      <c r="G517" s="196"/>
      <c r="H517" s="196" t="s">
        <v>1878</v>
      </c>
      <c r="I517" s="141" t="s">
        <v>1879</v>
      </c>
      <c r="J517" s="196"/>
      <c r="K517" s="196" t="s">
        <v>1881</v>
      </c>
      <c r="L517" s="141" t="s">
        <v>3120</v>
      </c>
      <c r="M517" s="196">
        <v>368</v>
      </c>
      <c r="N517" s="196"/>
      <c r="O517" s="196" t="s">
        <v>3093</v>
      </c>
      <c r="P517" s="144">
        <v>371</v>
      </c>
      <c r="Q517" s="145">
        <f t="shared" si="31"/>
        <v>3.5792999999999999</v>
      </c>
      <c r="R517" s="203">
        <v>1.99</v>
      </c>
      <c r="S517" s="203"/>
      <c r="T517" s="151"/>
      <c r="U517" s="151">
        <v>1.2</v>
      </c>
      <c r="V517" s="151">
        <v>0.25</v>
      </c>
      <c r="W517" s="151">
        <f t="shared" si="32"/>
        <v>1.99</v>
      </c>
      <c r="X517" s="152">
        <f t="shared" si="33"/>
        <v>0.13930000000000001</v>
      </c>
      <c r="Y517" s="152"/>
      <c r="Z517" s="148"/>
      <c r="AA517" s="153"/>
      <c r="AB517" s="153"/>
      <c r="AC517" s="153"/>
      <c r="AD517" s="153"/>
      <c r="AH517" s="147"/>
    </row>
    <row r="518" spans="1:34" s="146" customFormat="1" x14ac:dyDescent="0.25">
      <c r="A518" s="196">
        <v>1327</v>
      </c>
      <c r="B518" s="196" t="s">
        <v>3121</v>
      </c>
      <c r="C518" s="196" t="s">
        <v>3122</v>
      </c>
      <c r="D518" s="196" t="s">
        <v>2309</v>
      </c>
      <c r="E518" s="196"/>
      <c r="F518" s="196">
        <v>2001</v>
      </c>
      <c r="G518" s="196"/>
      <c r="H518" s="196" t="s">
        <v>1878</v>
      </c>
      <c r="I518" s="141" t="s">
        <v>1879</v>
      </c>
      <c r="J518" s="196"/>
      <c r="K518" s="196" t="s">
        <v>1881</v>
      </c>
      <c r="L518" s="141" t="s">
        <v>3123</v>
      </c>
      <c r="M518" s="196">
        <v>592</v>
      </c>
      <c r="N518" s="196"/>
      <c r="O518" s="196" t="s">
        <v>3094</v>
      </c>
      <c r="P518" s="144">
        <v>325</v>
      </c>
      <c r="Q518" s="145">
        <f t="shared" si="31"/>
        <v>1.8673</v>
      </c>
      <c r="R518" s="203">
        <v>0.39</v>
      </c>
      <c r="S518" s="203"/>
      <c r="T518" s="151"/>
      <c r="U518" s="151">
        <v>1.2</v>
      </c>
      <c r="V518" s="151">
        <v>0.25</v>
      </c>
      <c r="W518" s="151">
        <f t="shared" si="32"/>
        <v>0.39</v>
      </c>
      <c r="X518" s="152">
        <f t="shared" si="33"/>
        <v>2.7300000000000001E-2</v>
      </c>
      <c r="Y518" s="152"/>
      <c r="Z518" s="148"/>
      <c r="AA518" s="153"/>
      <c r="AB518" s="153"/>
      <c r="AC518" s="153"/>
      <c r="AD518" s="153"/>
      <c r="AH518" s="147"/>
    </row>
    <row r="519" spans="1:34" s="146" customFormat="1" x14ac:dyDescent="0.25">
      <c r="A519" s="196">
        <v>1386</v>
      </c>
      <c r="B519" s="196" t="s">
        <v>3134</v>
      </c>
      <c r="C519" s="196" t="s">
        <v>3135</v>
      </c>
      <c r="D519" s="196" t="s">
        <v>3136</v>
      </c>
      <c r="E519" s="196"/>
      <c r="F519" s="196">
        <v>2012</v>
      </c>
      <c r="G519" s="196"/>
      <c r="H519" s="196" t="s">
        <v>2963</v>
      </c>
      <c r="I519" s="141" t="s">
        <v>1879</v>
      </c>
      <c r="J519" s="196"/>
      <c r="K519" s="196" t="s">
        <v>1881</v>
      </c>
      <c r="L519" s="141" t="s">
        <v>3137</v>
      </c>
      <c r="M519" s="196">
        <v>274</v>
      </c>
      <c r="N519" s="196"/>
      <c r="O519" s="196" t="s">
        <v>3095</v>
      </c>
      <c r="P519" s="144">
        <v>515</v>
      </c>
      <c r="Q519" s="145">
        <f t="shared" si="31"/>
        <v>2.9022999999999999</v>
      </c>
      <c r="R519" s="203">
        <v>0.89</v>
      </c>
      <c r="S519" s="203"/>
      <c r="T519" s="151"/>
      <c r="U519" s="151">
        <v>1.7</v>
      </c>
      <c r="V519" s="151">
        <v>0.25</v>
      </c>
      <c r="W519" s="151">
        <f t="shared" si="32"/>
        <v>0.89</v>
      </c>
      <c r="X519" s="152">
        <f t="shared" si="33"/>
        <v>6.2300000000000001E-2</v>
      </c>
      <c r="Y519" s="152"/>
      <c r="Z519" s="148"/>
      <c r="AA519" s="153"/>
      <c r="AB519" s="153"/>
      <c r="AC519" s="153"/>
      <c r="AD519" s="153"/>
      <c r="AH519" s="147"/>
    </row>
    <row r="520" spans="1:34" s="146" customFormat="1" x14ac:dyDescent="0.25">
      <c r="A520" s="196">
        <v>1386</v>
      </c>
      <c r="B520" s="196" t="s">
        <v>3138</v>
      </c>
      <c r="C520" s="196" t="s">
        <v>3139</v>
      </c>
      <c r="D520" s="196" t="s">
        <v>3140</v>
      </c>
      <c r="E520" s="196" t="s">
        <v>3141</v>
      </c>
      <c r="F520" s="196"/>
      <c r="G520" s="196"/>
      <c r="H520" s="196" t="s">
        <v>1878</v>
      </c>
      <c r="I520" s="141" t="s">
        <v>1879</v>
      </c>
      <c r="J520" s="196"/>
      <c r="K520" s="196" t="s">
        <v>1881</v>
      </c>
      <c r="L520" s="141" t="s">
        <v>3142</v>
      </c>
      <c r="M520" s="196">
        <v>320</v>
      </c>
      <c r="N520" s="196"/>
      <c r="O520" s="196" t="s">
        <v>3124</v>
      </c>
      <c r="P520" s="144">
        <v>282</v>
      </c>
      <c r="Q520" s="145">
        <f t="shared" si="31"/>
        <v>3.2582999999999998</v>
      </c>
      <c r="R520" s="203">
        <v>1.69</v>
      </c>
      <c r="S520" s="203"/>
      <c r="T520" s="151"/>
      <c r="U520" s="151">
        <v>1.2</v>
      </c>
      <c r="V520" s="151">
        <v>0.25</v>
      </c>
      <c r="W520" s="151">
        <f t="shared" si="32"/>
        <v>1.69</v>
      </c>
      <c r="X520" s="152">
        <f t="shared" si="33"/>
        <v>0.11829999999999999</v>
      </c>
      <c r="Y520" s="152"/>
      <c r="Z520" s="148"/>
      <c r="AA520" s="153"/>
      <c r="AB520" s="153"/>
      <c r="AC520" s="153"/>
      <c r="AD520" s="153"/>
      <c r="AH520" s="147"/>
    </row>
    <row r="521" spans="1:34" s="146" customFormat="1" x14ac:dyDescent="0.25">
      <c r="A521" s="196">
        <v>1386</v>
      </c>
      <c r="B521" s="196" t="s">
        <v>3143</v>
      </c>
      <c r="C521" s="196" t="s">
        <v>3144</v>
      </c>
      <c r="D521" s="196" t="s">
        <v>2609</v>
      </c>
      <c r="E521" s="196" t="s">
        <v>3145</v>
      </c>
      <c r="F521" s="196">
        <v>2009</v>
      </c>
      <c r="G521" s="196"/>
      <c r="H521" s="196" t="s">
        <v>1878</v>
      </c>
      <c r="I521" s="141" t="s">
        <v>1879</v>
      </c>
      <c r="J521" s="196"/>
      <c r="K521" s="196" t="s">
        <v>1881</v>
      </c>
      <c r="L521" s="141" t="s">
        <v>3146</v>
      </c>
      <c r="M521" s="196">
        <v>416</v>
      </c>
      <c r="N521" s="196"/>
      <c r="O521" s="196" t="s">
        <v>3125</v>
      </c>
      <c r="P521" s="144">
        <v>368</v>
      </c>
      <c r="Q521" s="145">
        <f t="shared" si="31"/>
        <v>1.7175</v>
      </c>
      <c r="R521" s="203">
        <v>0.25</v>
      </c>
      <c r="S521" s="203"/>
      <c r="T521" s="151"/>
      <c r="U521" s="151">
        <v>1.2</v>
      </c>
      <c r="V521" s="151">
        <v>0.25</v>
      </c>
      <c r="W521" s="151">
        <f t="shared" si="32"/>
        <v>0.25</v>
      </c>
      <c r="X521" s="152">
        <f t="shared" si="33"/>
        <v>1.7500000000000002E-2</v>
      </c>
      <c r="Y521" s="152"/>
      <c r="Z521" s="148"/>
      <c r="AA521" s="153"/>
      <c r="AB521" s="153"/>
      <c r="AC521" s="153"/>
      <c r="AD521" s="153"/>
      <c r="AH521" s="147"/>
    </row>
    <row r="522" spans="1:34" s="146" customFormat="1" x14ac:dyDescent="0.25">
      <c r="A522" s="196">
        <v>2571</v>
      </c>
      <c r="B522" s="196" t="s">
        <v>3147</v>
      </c>
      <c r="C522" s="196" t="s">
        <v>3148</v>
      </c>
      <c r="D522" s="196" t="s">
        <v>3149</v>
      </c>
      <c r="E522" s="196"/>
      <c r="F522" s="196">
        <v>2012</v>
      </c>
      <c r="G522" s="196"/>
      <c r="H522" s="196" t="s">
        <v>1878</v>
      </c>
      <c r="I522" s="141" t="s">
        <v>1879</v>
      </c>
      <c r="J522" s="196"/>
      <c r="K522" s="196" t="s">
        <v>1881</v>
      </c>
      <c r="L522" s="141" t="s">
        <v>3150</v>
      </c>
      <c r="M522" s="196">
        <v>288</v>
      </c>
      <c r="N522" s="196"/>
      <c r="O522" s="196" t="s">
        <v>3126</v>
      </c>
      <c r="P522" s="144">
        <v>169</v>
      </c>
      <c r="Q522" s="145">
        <f t="shared" si="31"/>
        <v>1.8673</v>
      </c>
      <c r="R522" s="203">
        <v>0.39</v>
      </c>
      <c r="S522" s="203"/>
      <c r="T522" s="151"/>
      <c r="U522" s="151">
        <v>1.2</v>
      </c>
      <c r="V522" s="151">
        <v>0.25</v>
      </c>
      <c r="W522" s="151">
        <f t="shared" si="32"/>
        <v>0.39</v>
      </c>
      <c r="X522" s="152">
        <f t="shared" si="33"/>
        <v>2.7300000000000001E-2</v>
      </c>
      <c r="Y522" s="152"/>
      <c r="Z522" s="148"/>
      <c r="AA522" s="153"/>
      <c r="AB522" s="153"/>
      <c r="AC522" s="153"/>
      <c r="AD522" s="153"/>
      <c r="AH522" s="147"/>
    </row>
    <row r="523" spans="1:34" s="146" customFormat="1" x14ac:dyDescent="0.25">
      <c r="A523" s="196">
        <v>689</v>
      </c>
      <c r="B523" s="196" t="s">
        <v>3151</v>
      </c>
      <c r="C523" s="196" t="s">
        <v>3152</v>
      </c>
      <c r="D523" s="196" t="s">
        <v>2209</v>
      </c>
      <c r="E523" s="196"/>
      <c r="F523" s="196">
        <v>2002</v>
      </c>
      <c r="G523" s="196"/>
      <c r="H523" s="196" t="s">
        <v>1878</v>
      </c>
      <c r="I523" s="141" t="s">
        <v>1879</v>
      </c>
      <c r="J523" s="196"/>
      <c r="K523" s="196" t="s">
        <v>1881</v>
      </c>
      <c r="L523" s="141" t="s">
        <v>3153</v>
      </c>
      <c r="M523" s="196">
        <v>256</v>
      </c>
      <c r="N523" s="196"/>
      <c r="O523" s="196" t="s">
        <v>3127</v>
      </c>
      <c r="P523" s="144">
        <v>205</v>
      </c>
      <c r="Q523" s="145">
        <f t="shared" si="31"/>
        <v>2.1882999999999995</v>
      </c>
      <c r="R523" s="203">
        <v>0.69</v>
      </c>
      <c r="S523" s="203"/>
      <c r="T523" s="151"/>
      <c r="U523" s="151">
        <v>1.2</v>
      </c>
      <c r="V523" s="151">
        <v>0.25</v>
      </c>
      <c r="W523" s="151">
        <f t="shared" si="32"/>
        <v>0.69</v>
      </c>
      <c r="X523" s="152">
        <f t="shared" si="33"/>
        <v>4.8299999999999996E-2</v>
      </c>
      <c r="Y523" s="152"/>
      <c r="Z523" s="148"/>
      <c r="AA523" s="153"/>
      <c r="AB523" s="153"/>
      <c r="AC523" s="153"/>
      <c r="AD523" s="153"/>
      <c r="AH523" s="147"/>
    </row>
    <row r="524" spans="1:34" s="146" customFormat="1" x14ac:dyDescent="0.25">
      <c r="A524" s="196">
        <v>632</v>
      </c>
      <c r="B524" s="196" t="s">
        <v>3154</v>
      </c>
      <c r="C524" s="196" t="s">
        <v>3155</v>
      </c>
      <c r="D524" s="196" t="s">
        <v>2209</v>
      </c>
      <c r="E524" s="196"/>
      <c r="F524" s="196">
        <v>2005</v>
      </c>
      <c r="G524" s="196"/>
      <c r="H524" s="196" t="s">
        <v>1878</v>
      </c>
      <c r="I524" s="141" t="s">
        <v>1879</v>
      </c>
      <c r="J524" s="196" t="s">
        <v>2237</v>
      </c>
      <c r="K524" s="196" t="s">
        <v>1881</v>
      </c>
      <c r="L524" s="141" t="s">
        <v>3156</v>
      </c>
      <c r="M524" s="196">
        <v>384</v>
      </c>
      <c r="N524" s="196"/>
      <c r="O524" s="196" t="s">
        <v>3128</v>
      </c>
      <c r="P524" s="144">
        <v>361</v>
      </c>
      <c r="Q524" s="145">
        <f t="shared" si="31"/>
        <v>1.9742999999999999</v>
      </c>
      <c r="R524" s="203">
        <v>0.49</v>
      </c>
      <c r="S524" s="203"/>
      <c r="T524" s="151"/>
      <c r="U524" s="151">
        <v>1.2</v>
      </c>
      <c r="V524" s="151">
        <v>0.25</v>
      </c>
      <c r="W524" s="151">
        <f t="shared" si="32"/>
        <v>0.49</v>
      </c>
      <c r="X524" s="152">
        <f t="shared" si="33"/>
        <v>3.4299999999999997E-2</v>
      </c>
      <c r="Y524" s="152"/>
      <c r="Z524" s="148"/>
      <c r="AA524" s="153"/>
      <c r="AB524" s="153"/>
      <c r="AC524" s="153"/>
      <c r="AD524" s="153"/>
      <c r="AH524" s="147"/>
    </row>
    <row r="525" spans="1:34" s="146" customFormat="1" x14ac:dyDescent="0.25">
      <c r="A525" s="196">
        <v>689</v>
      </c>
      <c r="B525" s="196" t="s">
        <v>3157</v>
      </c>
      <c r="C525" s="196" t="s">
        <v>3158</v>
      </c>
      <c r="D525" s="196" t="s">
        <v>2209</v>
      </c>
      <c r="E525" s="196" t="s">
        <v>1921</v>
      </c>
      <c r="F525" s="196">
        <v>2007</v>
      </c>
      <c r="G525" s="196"/>
      <c r="H525" s="196" t="s">
        <v>1878</v>
      </c>
      <c r="I525" s="141" t="s">
        <v>1879</v>
      </c>
      <c r="J525" s="143" t="s">
        <v>3159</v>
      </c>
      <c r="K525" s="196" t="s">
        <v>1881</v>
      </c>
      <c r="L525" s="141" t="s">
        <v>3160</v>
      </c>
      <c r="M525" s="196">
        <v>798</v>
      </c>
      <c r="N525" s="196"/>
      <c r="O525" s="196" t="s">
        <v>3129</v>
      </c>
      <c r="P525" s="144">
        <v>642</v>
      </c>
      <c r="Q525" s="145">
        <f t="shared" si="31"/>
        <v>2.4742999999999999</v>
      </c>
      <c r="R525" s="203">
        <v>0.49</v>
      </c>
      <c r="S525" s="203"/>
      <c r="T525" s="151"/>
      <c r="U525" s="151">
        <v>1.7</v>
      </c>
      <c r="V525" s="151">
        <v>0.25</v>
      </c>
      <c r="W525" s="151">
        <f t="shared" si="32"/>
        <v>0.49</v>
      </c>
      <c r="X525" s="152">
        <f t="shared" si="33"/>
        <v>3.4299999999999997E-2</v>
      </c>
      <c r="Y525" s="152"/>
      <c r="Z525" s="148"/>
      <c r="AA525" s="153"/>
      <c r="AB525" s="153"/>
      <c r="AC525" s="153"/>
      <c r="AD525" s="153"/>
      <c r="AH525" s="147"/>
    </row>
    <row r="526" spans="1:34" s="146" customFormat="1" x14ac:dyDescent="0.25">
      <c r="A526" s="196">
        <v>1809</v>
      </c>
      <c r="B526" s="196" t="s">
        <v>3161</v>
      </c>
      <c r="C526" s="196" t="s">
        <v>3162</v>
      </c>
      <c r="D526" s="196" t="s">
        <v>2300</v>
      </c>
      <c r="E526" s="196" t="s">
        <v>2175</v>
      </c>
      <c r="F526" s="196">
        <v>2005</v>
      </c>
      <c r="G526" s="196"/>
      <c r="H526" s="196" t="s">
        <v>1878</v>
      </c>
      <c r="I526" s="141" t="s">
        <v>1879</v>
      </c>
      <c r="J526" s="196"/>
      <c r="K526" s="196" t="s">
        <v>1881</v>
      </c>
      <c r="L526" s="141" t="s">
        <v>3163</v>
      </c>
      <c r="M526" s="196">
        <v>192</v>
      </c>
      <c r="N526" s="196"/>
      <c r="O526" s="196" t="s">
        <v>3130</v>
      </c>
      <c r="P526" s="144">
        <v>221</v>
      </c>
      <c r="Q526" s="145">
        <f t="shared" si="31"/>
        <v>1.7175</v>
      </c>
      <c r="R526" s="203">
        <v>0.25</v>
      </c>
      <c r="S526" s="203"/>
      <c r="T526" s="151"/>
      <c r="U526" s="151">
        <v>1.2</v>
      </c>
      <c r="V526" s="151">
        <v>0.25</v>
      </c>
      <c r="W526" s="151">
        <f t="shared" si="32"/>
        <v>0.25</v>
      </c>
      <c r="X526" s="152">
        <f t="shared" si="33"/>
        <v>1.7500000000000002E-2</v>
      </c>
      <c r="Y526" s="152"/>
      <c r="Z526" s="148"/>
      <c r="AA526" s="153"/>
      <c r="AB526" s="153"/>
      <c r="AC526" s="153"/>
      <c r="AD526" s="153"/>
      <c r="AH526" s="147"/>
    </row>
    <row r="527" spans="1:34" s="146" customFormat="1" x14ac:dyDescent="0.25">
      <c r="A527" s="196">
        <v>689</v>
      </c>
      <c r="B527" s="196" t="s">
        <v>3164</v>
      </c>
      <c r="C527" s="196" t="s">
        <v>3165</v>
      </c>
      <c r="D527" s="196" t="s">
        <v>2209</v>
      </c>
      <c r="E527" s="196"/>
      <c r="F527" s="196">
        <v>1996</v>
      </c>
      <c r="G527" s="196"/>
      <c r="H527" s="196" t="s">
        <v>1878</v>
      </c>
      <c r="I527" s="141" t="s">
        <v>1879</v>
      </c>
      <c r="J527" s="196"/>
      <c r="K527" s="196" t="s">
        <v>1881</v>
      </c>
      <c r="L527" s="141" t="s">
        <v>3166</v>
      </c>
      <c r="M527" s="196">
        <v>288</v>
      </c>
      <c r="N527" s="196"/>
      <c r="O527" s="196" t="s">
        <v>3131</v>
      </c>
      <c r="P527" s="144">
        <v>193</v>
      </c>
      <c r="Q527" s="145">
        <f t="shared" si="31"/>
        <v>1.8673</v>
      </c>
      <c r="R527" s="203">
        <v>0.39</v>
      </c>
      <c r="S527" s="203"/>
      <c r="T527" s="151"/>
      <c r="U527" s="151">
        <v>1.2</v>
      </c>
      <c r="V527" s="151">
        <v>0.25</v>
      </c>
      <c r="W527" s="151">
        <f t="shared" si="32"/>
        <v>0.39</v>
      </c>
      <c r="X527" s="152">
        <f t="shared" si="33"/>
        <v>2.7300000000000001E-2</v>
      </c>
      <c r="Y527" s="152"/>
      <c r="Z527" s="148"/>
      <c r="AA527" s="153"/>
      <c r="AB527" s="153"/>
      <c r="AC527" s="153"/>
      <c r="AD527" s="153"/>
      <c r="AH527" s="147"/>
    </row>
    <row r="528" spans="1:34" s="146" customFormat="1" x14ac:dyDescent="0.25">
      <c r="A528" s="196">
        <v>632</v>
      </c>
      <c r="B528" s="196" t="s">
        <v>3167</v>
      </c>
      <c r="C528" s="196" t="s">
        <v>3168</v>
      </c>
      <c r="D528" s="196" t="s">
        <v>1199</v>
      </c>
      <c r="E528" s="196" t="s">
        <v>1877</v>
      </c>
      <c r="F528" s="196">
        <v>1997</v>
      </c>
      <c r="G528" s="196"/>
      <c r="H528" s="196" t="s">
        <v>1878</v>
      </c>
      <c r="I528" s="141" t="s">
        <v>1879</v>
      </c>
      <c r="J528" s="143"/>
      <c r="K528" s="196" t="s">
        <v>1881</v>
      </c>
      <c r="L528" s="141" t="s">
        <v>3169</v>
      </c>
      <c r="M528" s="196">
        <v>614</v>
      </c>
      <c r="N528" s="196"/>
      <c r="O528" s="196" t="s">
        <v>3132</v>
      </c>
      <c r="P528" s="144">
        <v>834</v>
      </c>
      <c r="Q528" s="145">
        <f t="shared" ref="Q528:Q582" si="34">SUM(T528:X528)</f>
        <v>2.2175000000000002</v>
      </c>
      <c r="R528" s="203">
        <v>0.25</v>
      </c>
      <c r="S528" s="203"/>
      <c r="T528" s="151"/>
      <c r="U528" s="151">
        <v>1.7</v>
      </c>
      <c r="V528" s="151">
        <v>0.25</v>
      </c>
      <c r="W528" s="151">
        <f t="shared" ref="W528:W582" si="35">IF(R528&gt;T528,R528,T528)</f>
        <v>0.25</v>
      </c>
      <c r="X528" s="152">
        <f t="shared" ref="X528:X582" si="36">(T528+W528)/100*7</f>
        <v>1.7500000000000002E-2</v>
      </c>
      <c r="Y528" s="152"/>
      <c r="Z528" s="148"/>
      <c r="AA528" s="153"/>
      <c r="AB528" s="153"/>
      <c r="AC528" s="153"/>
      <c r="AD528" s="153"/>
      <c r="AH528" s="147"/>
    </row>
    <row r="529" spans="1:34" s="146" customFormat="1" x14ac:dyDescent="0.25">
      <c r="A529" s="196">
        <v>796</v>
      </c>
      <c r="B529" s="196" t="s">
        <v>3186</v>
      </c>
      <c r="C529" s="196" t="s">
        <v>3187</v>
      </c>
      <c r="D529" s="196" t="s">
        <v>2257</v>
      </c>
      <c r="E529" s="196" t="s">
        <v>1921</v>
      </c>
      <c r="F529" s="196">
        <v>2006</v>
      </c>
      <c r="G529" s="196"/>
      <c r="H529" s="196" t="s">
        <v>1878</v>
      </c>
      <c r="I529" s="141" t="s">
        <v>1879</v>
      </c>
      <c r="J529" s="196"/>
      <c r="K529" s="196" t="s">
        <v>1881</v>
      </c>
      <c r="L529" s="141" t="s">
        <v>3188</v>
      </c>
      <c r="M529" s="196">
        <v>544</v>
      </c>
      <c r="N529" s="196"/>
      <c r="O529" s="196" t="s">
        <v>3133</v>
      </c>
      <c r="P529" s="144">
        <v>358</v>
      </c>
      <c r="Q529" s="145">
        <f t="shared" si="34"/>
        <v>1.8673</v>
      </c>
      <c r="R529" s="203">
        <v>0.39</v>
      </c>
      <c r="S529" s="203"/>
      <c r="T529" s="151"/>
      <c r="U529" s="151">
        <v>1.2</v>
      </c>
      <c r="V529" s="151">
        <v>0.25</v>
      </c>
      <c r="W529" s="151">
        <f t="shared" si="35"/>
        <v>0.39</v>
      </c>
      <c r="X529" s="152">
        <f t="shared" si="36"/>
        <v>2.7300000000000001E-2</v>
      </c>
      <c r="Y529" s="152"/>
      <c r="Z529" s="148"/>
      <c r="AA529" s="153"/>
      <c r="AB529" s="153"/>
      <c r="AC529" s="153"/>
      <c r="AD529" s="153"/>
      <c r="AH529" s="147"/>
    </row>
    <row r="530" spans="1:34" s="146" customFormat="1" x14ac:dyDescent="0.25">
      <c r="A530" s="196">
        <v>632</v>
      </c>
      <c r="B530" s="196" t="s">
        <v>3189</v>
      </c>
      <c r="C530" s="196" t="s">
        <v>3190</v>
      </c>
      <c r="D530" s="196" t="s">
        <v>2424</v>
      </c>
      <c r="E530" s="196" t="s">
        <v>1877</v>
      </c>
      <c r="F530" s="196">
        <v>2017</v>
      </c>
      <c r="G530" s="196"/>
      <c r="H530" s="196" t="s">
        <v>1878</v>
      </c>
      <c r="I530" s="141" t="s">
        <v>1929</v>
      </c>
      <c r="J530" s="196" t="s">
        <v>3191</v>
      </c>
      <c r="K530" s="196" t="s">
        <v>1881</v>
      </c>
      <c r="L530" s="141" t="s">
        <v>3192</v>
      </c>
      <c r="M530" s="196">
        <v>432</v>
      </c>
      <c r="N530" s="196"/>
      <c r="O530" s="196" t="s">
        <v>3170</v>
      </c>
      <c r="P530" s="144">
        <v>362</v>
      </c>
      <c r="Q530" s="145">
        <f t="shared" si="34"/>
        <v>2.5093000000000001</v>
      </c>
      <c r="R530" s="203">
        <v>0.99</v>
      </c>
      <c r="S530" s="203"/>
      <c r="T530" s="151"/>
      <c r="U530" s="151">
        <v>1.2</v>
      </c>
      <c r="V530" s="151">
        <v>0.25</v>
      </c>
      <c r="W530" s="151">
        <f t="shared" si="35"/>
        <v>0.99</v>
      </c>
      <c r="X530" s="152">
        <f t="shared" si="36"/>
        <v>6.93E-2</v>
      </c>
      <c r="Y530" s="152"/>
      <c r="Z530" s="148"/>
      <c r="AA530" s="153"/>
      <c r="AB530" s="153"/>
      <c r="AC530" s="153"/>
      <c r="AD530" s="153"/>
      <c r="AH530" s="147"/>
    </row>
    <row r="531" spans="1:34" s="146" customFormat="1" x14ac:dyDescent="0.25">
      <c r="A531" s="196">
        <v>631</v>
      </c>
      <c r="B531" s="196" t="s">
        <v>3197</v>
      </c>
      <c r="C531" s="196" t="s">
        <v>3198</v>
      </c>
      <c r="D531" s="196" t="s">
        <v>3199</v>
      </c>
      <c r="E531" s="196"/>
      <c r="F531" s="196">
        <v>2005</v>
      </c>
      <c r="G531" s="196"/>
      <c r="H531" s="196" t="s">
        <v>1878</v>
      </c>
      <c r="I531" s="141" t="s">
        <v>1879</v>
      </c>
      <c r="J531" s="196"/>
      <c r="K531" s="196" t="s">
        <v>1881</v>
      </c>
      <c r="L531" s="141" t="s">
        <v>3200</v>
      </c>
      <c r="M531" s="196">
        <v>336</v>
      </c>
      <c r="N531" s="196"/>
      <c r="O531" s="196" t="s">
        <v>3172</v>
      </c>
      <c r="P531" s="144">
        <v>228</v>
      </c>
      <c r="Q531" s="145">
        <f t="shared" si="34"/>
        <v>5.7193000000000005</v>
      </c>
      <c r="R531" s="203">
        <v>3.99</v>
      </c>
      <c r="S531" s="203"/>
      <c r="T531" s="151"/>
      <c r="U531" s="151">
        <v>1.2</v>
      </c>
      <c r="V531" s="151">
        <v>0.25</v>
      </c>
      <c r="W531" s="151">
        <f t="shared" si="35"/>
        <v>3.99</v>
      </c>
      <c r="X531" s="152">
        <f t="shared" si="36"/>
        <v>0.27930000000000005</v>
      </c>
      <c r="Y531" s="152"/>
      <c r="Z531" s="148"/>
      <c r="AA531" s="153"/>
      <c r="AB531" s="153"/>
      <c r="AC531" s="153"/>
      <c r="AD531" s="153"/>
      <c r="AH531" s="147"/>
    </row>
    <row r="532" spans="1:34" s="146" customFormat="1" x14ac:dyDescent="0.25">
      <c r="A532" s="196">
        <v>767</v>
      </c>
      <c r="B532" s="196" t="s">
        <v>3201</v>
      </c>
      <c r="C532" s="196" t="s">
        <v>3084</v>
      </c>
      <c r="D532" s="196" t="s">
        <v>2309</v>
      </c>
      <c r="E532" s="196" t="s">
        <v>2375</v>
      </c>
      <c r="F532" s="196">
        <v>2000</v>
      </c>
      <c r="G532" s="196"/>
      <c r="H532" s="196" t="s">
        <v>1878</v>
      </c>
      <c r="I532" s="141" t="s">
        <v>1879</v>
      </c>
      <c r="J532" s="196" t="s">
        <v>3202</v>
      </c>
      <c r="K532" s="196" t="s">
        <v>1881</v>
      </c>
      <c r="L532" s="141" t="s">
        <v>3203</v>
      </c>
      <c r="M532" s="196">
        <v>284</v>
      </c>
      <c r="N532" s="196"/>
      <c r="O532" s="196" t="s">
        <v>3173</v>
      </c>
      <c r="P532" s="144">
        <v>244</v>
      </c>
      <c r="Q532" s="145">
        <f t="shared" si="34"/>
        <v>1.7175</v>
      </c>
      <c r="R532" s="203">
        <v>0.25</v>
      </c>
      <c r="S532" s="203"/>
      <c r="T532" s="151"/>
      <c r="U532" s="151">
        <v>1.2</v>
      </c>
      <c r="V532" s="151">
        <v>0.25</v>
      </c>
      <c r="W532" s="151">
        <f t="shared" si="35"/>
        <v>0.25</v>
      </c>
      <c r="X532" s="152">
        <f t="shared" si="36"/>
        <v>1.7500000000000002E-2</v>
      </c>
      <c r="Y532" s="152"/>
      <c r="Z532" s="148"/>
      <c r="AA532" s="153"/>
      <c r="AB532" s="153"/>
      <c r="AC532" s="153"/>
      <c r="AD532" s="153"/>
      <c r="AH532" s="147"/>
    </row>
    <row r="533" spans="1:34" s="146" customFormat="1" x14ac:dyDescent="0.25">
      <c r="A533" s="196">
        <v>1809</v>
      </c>
      <c r="B533" s="196" t="s">
        <v>2820</v>
      </c>
      <c r="C533" s="196" t="s">
        <v>3204</v>
      </c>
      <c r="D533" s="196" t="s">
        <v>2822</v>
      </c>
      <c r="E533" s="196"/>
      <c r="F533" s="196">
        <v>1999</v>
      </c>
      <c r="G533" s="196"/>
      <c r="H533" s="196" t="s">
        <v>1878</v>
      </c>
      <c r="I533" s="141" t="s">
        <v>1879</v>
      </c>
      <c r="J533" s="196" t="s">
        <v>3006</v>
      </c>
      <c r="K533" s="196" t="s">
        <v>1881</v>
      </c>
      <c r="L533" s="141" t="s">
        <v>3205</v>
      </c>
      <c r="M533" s="196">
        <v>192</v>
      </c>
      <c r="N533" s="196"/>
      <c r="O533" s="196" t="s">
        <v>3174</v>
      </c>
      <c r="P533" s="144">
        <v>285</v>
      </c>
      <c r="Q533" s="145">
        <f t="shared" si="34"/>
        <v>1.7175</v>
      </c>
      <c r="R533" s="203">
        <v>0.25</v>
      </c>
      <c r="S533" s="203"/>
      <c r="T533" s="151"/>
      <c r="U533" s="151">
        <v>1.2</v>
      </c>
      <c r="V533" s="151">
        <v>0.25</v>
      </c>
      <c r="W533" s="151">
        <f t="shared" si="35"/>
        <v>0.25</v>
      </c>
      <c r="X533" s="152">
        <f t="shared" si="36"/>
        <v>1.7500000000000002E-2</v>
      </c>
      <c r="Y533" s="152"/>
      <c r="Z533" s="148"/>
      <c r="AA533" s="153"/>
      <c r="AB533" s="153"/>
      <c r="AC533" s="153"/>
      <c r="AD533" s="153"/>
      <c r="AH533" s="147"/>
    </row>
    <row r="534" spans="1:34" s="146" customFormat="1" x14ac:dyDescent="0.25">
      <c r="A534" s="196">
        <v>2522</v>
      </c>
      <c r="B534" s="196" t="s">
        <v>3206</v>
      </c>
      <c r="C534" s="196" t="s">
        <v>3207</v>
      </c>
      <c r="D534" s="196" t="s">
        <v>3208</v>
      </c>
      <c r="E534" s="196" t="s">
        <v>1877</v>
      </c>
      <c r="F534" s="196">
        <v>2010</v>
      </c>
      <c r="G534" s="196"/>
      <c r="H534" s="196" t="s">
        <v>2963</v>
      </c>
      <c r="I534" s="141" t="s">
        <v>1929</v>
      </c>
      <c r="J534" s="196"/>
      <c r="K534" s="196" t="s">
        <v>1881</v>
      </c>
      <c r="L534" s="141" t="s">
        <v>3209</v>
      </c>
      <c r="M534" s="196">
        <v>290</v>
      </c>
      <c r="N534" s="196"/>
      <c r="O534" s="196" t="s">
        <v>3175</v>
      </c>
      <c r="P534" s="144">
        <v>405</v>
      </c>
      <c r="Q534" s="145">
        <f t="shared" si="34"/>
        <v>4.1143000000000001</v>
      </c>
      <c r="R534" s="203">
        <v>2.4900000000000002</v>
      </c>
      <c r="S534" s="203"/>
      <c r="T534" s="151"/>
      <c r="U534" s="151">
        <v>1.2</v>
      </c>
      <c r="V534" s="151">
        <v>0.25</v>
      </c>
      <c r="W534" s="151">
        <f t="shared" si="35"/>
        <v>2.4900000000000002</v>
      </c>
      <c r="X534" s="152">
        <f t="shared" si="36"/>
        <v>0.17430000000000001</v>
      </c>
      <c r="Y534" s="152"/>
      <c r="Z534" s="148"/>
      <c r="AA534" s="153"/>
      <c r="AB534" s="153"/>
      <c r="AC534" s="153"/>
      <c r="AD534" s="153"/>
      <c r="AH534" s="147"/>
    </row>
    <row r="535" spans="1:34" s="146" customFormat="1" x14ac:dyDescent="0.25">
      <c r="A535" s="196">
        <v>1304</v>
      </c>
      <c r="B535" s="196" t="s">
        <v>3210</v>
      </c>
      <c r="C535" s="196" t="s">
        <v>3211</v>
      </c>
      <c r="D535" s="196" t="s">
        <v>3212</v>
      </c>
      <c r="E535" s="196"/>
      <c r="F535" s="196">
        <v>2009</v>
      </c>
      <c r="G535" s="196"/>
      <c r="H535" s="196" t="s">
        <v>2963</v>
      </c>
      <c r="I535" s="141" t="s">
        <v>1929</v>
      </c>
      <c r="J535" s="196" t="s">
        <v>3213</v>
      </c>
      <c r="K535" s="196" t="s">
        <v>1881</v>
      </c>
      <c r="L535" s="141" t="s">
        <v>3214</v>
      </c>
      <c r="M535" s="196">
        <v>210</v>
      </c>
      <c r="N535" s="196"/>
      <c r="O535" s="196" t="s">
        <v>3176</v>
      </c>
      <c r="P535" s="144">
        <v>477</v>
      </c>
      <c r="Q535" s="145">
        <f t="shared" si="34"/>
        <v>3.6863000000000001</v>
      </c>
      <c r="R535" s="203">
        <v>2.09</v>
      </c>
      <c r="S535" s="203"/>
      <c r="T535" s="151"/>
      <c r="U535" s="151">
        <v>1.2</v>
      </c>
      <c r="V535" s="151">
        <v>0.25</v>
      </c>
      <c r="W535" s="151">
        <f t="shared" si="35"/>
        <v>2.09</v>
      </c>
      <c r="X535" s="152">
        <f t="shared" si="36"/>
        <v>0.14629999999999999</v>
      </c>
      <c r="Y535" s="152"/>
      <c r="Z535" s="148"/>
      <c r="AA535" s="153"/>
      <c r="AB535" s="153"/>
      <c r="AC535" s="153"/>
      <c r="AD535" s="153"/>
      <c r="AH535" s="147"/>
    </row>
    <row r="536" spans="1:34" s="146" customFormat="1" x14ac:dyDescent="0.25">
      <c r="A536" s="196">
        <v>796</v>
      </c>
      <c r="B536" s="196" t="s">
        <v>3215</v>
      </c>
      <c r="C536" s="196" t="s">
        <v>3216</v>
      </c>
      <c r="D536" s="196" t="s">
        <v>3010</v>
      </c>
      <c r="E536" s="196"/>
      <c r="F536" s="196">
        <v>2008</v>
      </c>
      <c r="G536" s="196"/>
      <c r="H536" s="196" t="s">
        <v>1878</v>
      </c>
      <c r="I536" s="141" t="s">
        <v>1879</v>
      </c>
      <c r="J536" s="196"/>
      <c r="K536" s="196" t="s">
        <v>1881</v>
      </c>
      <c r="L536" s="141" t="s">
        <v>3217</v>
      </c>
      <c r="M536" s="196">
        <v>448</v>
      </c>
      <c r="N536" s="196"/>
      <c r="O536" s="196" t="s">
        <v>3177</v>
      </c>
      <c r="P536" s="144">
        <v>378</v>
      </c>
      <c r="Q536" s="145">
        <f t="shared" si="34"/>
        <v>3.0442999999999998</v>
      </c>
      <c r="R536" s="203">
        <v>1.49</v>
      </c>
      <c r="S536" s="203"/>
      <c r="T536" s="151"/>
      <c r="U536" s="151">
        <v>1.2</v>
      </c>
      <c r="V536" s="151">
        <v>0.25</v>
      </c>
      <c r="W536" s="151">
        <f t="shared" si="35"/>
        <v>1.49</v>
      </c>
      <c r="X536" s="152">
        <f t="shared" si="36"/>
        <v>0.1043</v>
      </c>
      <c r="Y536" s="152"/>
      <c r="Z536" s="148"/>
      <c r="AA536" s="153"/>
      <c r="AB536" s="153"/>
      <c r="AC536" s="153"/>
      <c r="AD536" s="153"/>
      <c r="AH536" s="147"/>
    </row>
    <row r="537" spans="1:34" s="146" customFormat="1" x14ac:dyDescent="0.25">
      <c r="A537" s="196">
        <v>692</v>
      </c>
      <c r="B537" s="196" t="s">
        <v>3218</v>
      </c>
      <c r="C537" s="196" t="s">
        <v>3219</v>
      </c>
      <c r="D537" s="196" t="s">
        <v>2419</v>
      </c>
      <c r="E537" s="196"/>
      <c r="F537" s="196">
        <v>1997</v>
      </c>
      <c r="G537" s="196"/>
      <c r="H537" s="196" t="s">
        <v>1878</v>
      </c>
      <c r="I537" s="141" t="s">
        <v>1879</v>
      </c>
      <c r="J537" s="196"/>
      <c r="K537" s="196" t="s">
        <v>1881</v>
      </c>
      <c r="L537" s="141" t="s">
        <v>3220</v>
      </c>
      <c r="M537" s="196">
        <v>504</v>
      </c>
      <c r="N537" s="196"/>
      <c r="O537" s="196" t="s">
        <v>3178</v>
      </c>
      <c r="P537" s="144">
        <v>339</v>
      </c>
      <c r="Q537" s="145">
        <f t="shared" si="34"/>
        <v>1.9742999999999999</v>
      </c>
      <c r="R537" s="203">
        <v>0.49</v>
      </c>
      <c r="S537" s="203"/>
      <c r="T537" s="151"/>
      <c r="U537" s="151">
        <v>1.2</v>
      </c>
      <c r="V537" s="151">
        <v>0.25</v>
      </c>
      <c r="W537" s="151">
        <f t="shared" si="35"/>
        <v>0.49</v>
      </c>
      <c r="X537" s="152">
        <f t="shared" si="36"/>
        <v>3.4299999999999997E-2</v>
      </c>
      <c r="Y537" s="152"/>
      <c r="Z537" s="148"/>
      <c r="AA537" s="153"/>
      <c r="AB537" s="153"/>
      <c r="AC537" s="153"/>
      <c r="AD537" s="153"/>
      <c r="AH537" s="147"/>
    </row>
    <row r="538" spans="1:34" s="146" customFormat="1" x14ac:dyDescent="0.25">
      <c r="A538" s="196">
        <v>2663</v>
      </c>
      <c r="B538" s="196"/>
      <c r="C538" s="196" t="s">
        <v>3222</v>
      </c>
      <c r="D538" s="196" t="s">
        <v>3223</v>
      </c>
      <c r="E538" s="196"/>
      <c r="F538" s="196">
        <v>1984</v>
      </c>
      <c r="G538" s="196"/>
      <c r="H538" s="196" t="s">
        <v>2963</v>
      </c>
      <c r="I538" s="141" t="s">
        <v>1879</v>
      </c>
      <c r="J538" s="196"/>
      <c r="K538" s="196" t="s">
        <v>1881</v>
      </c>
      <c r="L538" s="141"/>
      <c r="M538" s="196"/>
      <c r="N538" s="196"/>
      <c r="O538" s="196" t="s">
        <v>3180</v>
      </c>
      <c r="P538" s="144">
        <v>955</v>
      </c>
      <c r="Q538" s="145">
        <f t="shared" si="34"/>
        <v>2.2175000000000002</v>
      </c>
      <c r="R538" s="203">
        <v>0.25</v>
      </c>
      <c r="S538" s="203"/>
      <c r="T538" s="151"/>
      <c r="U538" s="151">
        <v>1.7</v>
      </c>
      <c r="V538" s="151">
        <v>0.25</v>
      </c>
      <c r="W538" s="151">
        <f t="shared" si="35"/>
        <v>0.25</v>
      </c>
      <c r="X538" s="152">
        <f t="shared" si="36"/>
        <v>1.7500000000000002E-2</v>
      </c>
      <c r="Y538" s="152"/>
      <c r="Z538" s="148"/>
      <c r="AA538" s="153"/>
      <c r="AB538" s="153"/>
      <c r="AC538" s="153"/>
      <c r="AD538" s="153"/>
      <c r="AH538" s="147"/>
    </row>
    <row r="539" spans="1:34" s="146" customFormat="1" x14ac:dyDescent="0.25">
      <c r="A539" s="196">
        <v>632</v>
      </c>
      <c r="B539" s="196" t="s">
        <v>3224</v>
      </c>
      <c r="C539" s="196" t="s">
        <v>3225</v>
      </c>
      <c r="D539" s="196" t="s">
        <v>2054</v>
      </c>
      <c r="E539" s="196"/>
      <c r="F539" s="196">
        <v>1994</v>
      </c>
      <c r="G539" s="196"/>
      <c r="H539" s="196" t="s">
        <v>2963</v>
      </c>
      <c r="I539" s="141" t="s">
        <v>1879</v>
      </c>
      <c r="J539" s="196"/>
      <c r="K539" s="196" t="s">
        <v>1881</v>
      </c>
      <c r="L539" s="141" t="s">
        <v>3226</v>
      </c>
      <c r="M539" s="196">
        <v>690</v>
      </c>
      <c r="N539" s="196"/>
      <c r="O539" s="196" t="s">
        <v>3181</v>
      </c>
      <c r="P539" s="144">
        <v>753</v>
      </c>
      <c r="Q539" s="145">
        <f t="shared" si="34"/>
        <v>3.1162999999999998</v>
      </c>
      <c r="R539" s="203">
        <v>1.0900000000000001</v>
      </c>
      <c r="S539" s="203"/>
      <c r="T539" s="151"/>
      <c r="U539" s="151">
        <v>1.7</v>
      </c>
      <c r="V539" s="151">
        <v>0.25</v>
      </c>
      <c r="W539" s="151">
        <f t="shared" si="35"/>
        <v>1.0900000000000001</v>
      </c>
      <c r="X539" s="152">
        <f t="shared" si="36"/>
        <v>7.6300000000000007E-2</v>
      </c>
      <c r="Y539" s="152"/>
      <c r="Z539" s="148"/>
      <c r="AA539" s="153"/>
      <c r="AB539" s="153"/>
      <c r="AC539" s="153"/>
      <c r="AD539" s="153"/>
      <c r="AH539" s="147"/>
    </row>
    <row r="540" spans="1:34" s="146" customFormat="1" x14ac:dyDescent="0.25">
      <c r="A540" s="196">
        <v>689</v>
      </c>
      <c r="B540" s="196" t="s">
        <v>3227</v>
      </c>
      <c r="C540" s="196" t="s">
        <v>3228</v>
      </c>
      <c r="D540" s="196" t="s">
        <v>3229</v>
      </c>
      <c r="E540" s="196"/>
      <c r="F540" s="196">
        <v>2005</v>
      </c>
      <c r="G540" s="196"/>
      <c r="H540" s="196" t="s">
        <v>2963</v>
      </c>
      <c r="I540" s="141" t="s">
        <v>1879</v>
      </c>
      <c r="J540" s="196" t="s">
        <v>3202</v>
      </c>
      <c r="K540" s="196" t="s">
        <v>1881</v>
      </c>
      <c r="L540" s="141" t="s">
        <v>3230</v>
      </c>
      <c r="M540" s="196">
        <v>282</v>
      </c>
      <c r="N540" s="196"/>
      <c r="O540" s="196" t="s">
        <v>3182</v>
      </c>
      <c r="P540" s="144">
        <v>605</v>
      </c>
      <c r="Q540" s="145">
        <f t="shared" si="34"/>
        <v>2.4742999999999999</v>
      </c>
      <c r="R540" s="203">
        <v>0.49</v>
      </c>
      <c r="S540" s="203"/>
      <c r="T540" s="151"/>
      <c r="U540" s="151">
        <v>1.7</v>
      </c>
      <c r="V540" s="151">
        <v>0.25</v>
      </c>
      <c r="W540" s="151">
        <f t="shared" si="35"/>
        <v>0.49</v>
      </c>
      <c r="X540" s="152">
        <f t="shared" si="36"/>
        <v>3.4299999999999997E-2</v>
      </c>
      <c r="Y540" s="152"/>
      <c r="Z540" s="148"/>
      <c r="AA540" s="153"/>
      <c r="AB540" s="153"/>
      <c r="AC540" s="153"/>
      <c r="AD540" s="153"/>
      <c r="AH540" s="147"/>
    </row>
    <row r="541" spans="1:34" s="146" customFormat="1" x14ac:dyDescent="0.25">
      <c r="A541" s="196">
        <v>1720</v>
      </c>
      <c r="B541" s="196" t="s">
        <v>2467</v>
      </c>
      <c r="C541" s="196" t="s">
        <v>3231</v>
      </c>
      <c r="D541" s="196" t="s">
        <v>2054</v>
      </c>
      <c r="E541" s="196"/>
      <c r="F541" s="196">
        <v>2007</v>
      </c>
      <c r="G541" s="196"/>
      <c r="H541" s="196" t="s">
        <v>1878</v>
      </c>
      <c r="I541" s="141" t="s">
        <v>1879</v>
      </c>
      <c r="J541" s="196"/>
      <c r="K541" s="196" t="s">
        <v>1881</v>
      </c>
      <c r="L541" s="141" t="s">
        <v>3232</v>
      </c>
      <c r="M541" s="196">
        <v>416</v>
      </c>
      <c r="N541" s="196"/>
      <c r="O541" s="196" t="s">
        <v>3183</v>
      </c>
      <c r="P541" s="144">
        <v>414</v>
      </c>
      <c r="Q541" s="145">
        <f t="shared" si="34"/>
        <v>1.7175</v>
      </c>
      <c r="R541" s="203">
        <v>0.25</v>
      </c>
      <c r="S541" s="203"/>
      <c r="T541" s="151"/>
      <c r="U541" s="151">
        <v>1.2</v>
      </c>
      <c r="V541" s="151">
        <v>0.25</v>
      </c>
      <c r="W541" s="151">
        <f t="shared" si="35"/>
        <v>0.25</v>
      </c>
      <c r="X541" s="152">
        <f t="shared" si="36"/>
        <v>1.7500000000000002E-2</v>
      </c>
      <c r="Y541" s="152"/>
      <c r="Z541" s="148"/>
      <c r="AA541" s="153"/>
      <c r="AB541" s="153"/>
      <c r="AC541" s="153"/>
      <c r="AD541" s="153"/>
      <c r="AH541" s="147"/>
    </row>
    <row r="542" spans="1:34" s="146" customFormat="1" x14ac:dyDescent="0.25">
      <c r="A542" s="196">
        <v>632</v>
      </c>
      <c r="B542" s="196" t="s">
        <v>3233</v>
      </c>
      <c r="C542" s="196" t="s">
        <v>3234</v>
      </c>
      <c r="D542" s="196" t="s">
        <v>2257</v>
      </c>
      <c r="E542" s="196"/>
      <c r="F542" s="196">
        <v>2011</v>
      </c>
      <c r="G542" s="196"/>
      <c r="H542" s="196" t="s">
        <v>1878</v>
      </c>
      <c r="I542" s="141" t="s">
        <v>1879</v>
      </c>
      <c r="J542" s="196" t="s">
        <v>3202</v>
      </c>
      <c r="K542" s="196" t="s">
        <v>1881</v>
      </c>
      <c r="L542" s="141" t="s">
        <v>3235</v>
      </c>
      <c r="M542" s="196">
        <v>800</v>
      </c>
      <c r="N542" s="196"/>
      <c r="O542" s="196" t="s">
        <v>3184</v>
      </c>
      <c r="P542" s="144">
        <v>584</v>
      </c>
      <c r="Q542" s="145">
        <f t="shared" si="34"/>
        <v>2.2175000000000002</v>
      </c>
      <c r="R542" s="203">
        <v>0.25</v>
      </c>
      <c r="S542" s="203"/>
      <c r="T542" s="151"/>
      <c r="U542" s="151">
        <v>1.7</v>
      </c>
      <c r="V542" s="151">
        <v>0.25</v>
      </c>
      <c r="W542" s="151">
        <f t="shared" si="35"/>
        <v>0.25</v>
      </c>
      <c r="X542" s="152">
        <f t="shared" si="36"/>
        <v>1.7500000000000002E-2</v>
      </c>
      <c r="Y542" s="152"/>
      <c r="Z542" s="148"/>
      <c r="AA542" s="153"/>
      <c r="AB542" s="153"/>
      <c r="AC542" s="153"/>
      <c r="AD542" s="153"/>
      <c r="AH542" s="147"/>
    </row>
    <row r="543" spans="1:34" s="146" customFormat="1" x14ac:dyDescent="0.25">
      <c r="A543" s="196">
        <v>1809</v>
      </c>
      <c r="B543" s="196"/>
      <c r="C543" s="196" t="s">
        <v>3239</v>
      </c>
      <c r="D543" s="196" t="s">
        <v>2822</v>
      </c>
      <c r="E543" s="196"/>
      <c r="F543" s="196">
        <v>2006</v>
      </c>
      <c r="G543" s="196"/>
      <c r="H543" s="196" t="s">
        <v>2314</v>
      </c>
      <c r="I543" s="141" t="s">
        <v>1929</v>
      </c>
      <c r="J543" s="196"/>
      <c r="K543" s="196" t="s">
        <v>1881</v>
      </c>
      <c r="L543" s="141" t="s">
        <v>3240</v>
      </c>
      <c r="M543" s="196">
        <v>352</v>
      </c>
      <c r="N543" s="196"/>
      <c r="O543" s="196" t="s">
        <v>3185</v>
      </c>
      <c r="P543" s="144">
        <v>443</v>
      </c>
      <c r="Q543" s="145">
        <f t="shared" si="34"/>
        <v>1.8673</v>
      </c>
      <c r="R543" s="203">
        <v>0.39</v>
      </c>
      <c r="S543" s="203"/>
      <c r="T543" s="151"/>
      <c r="U543" s="151">
        <v>1.2</v>
      </c>
      <c r="V543" s="151">
        <v>0.25</v>
      </c>
      <c r="W543" s="151">
        <f t="shared" si="35"/>
        <v>0.39</v>
      </c>
      <c r="X543" s="152">
        <f t="shared" si="36"/>
        <v>2.7300000000000001E-2</v>
      </c>
      <c r="Y543" s="152"/>
      <c r="Z543" s="148"/>
      <c r="AA543" s="153"/>
      <c r="AB543" s="153"/>
      <c r="AC543" s="153"/>
      <c r="AD543" s="153"/>
      <c r="AH543" s="147"/>
    </row>
    <row r="544" spans="1:34" s="146" customFormat="1" x14ac:dyDescent="0.25">
      <c r="A544" s="196">
        <v>632</v>
      </c>
      <c r="B544" s="196" t="s">
        <v>3241</v>
      </c>
      <c r="C544" s="196" t="s">
        <v>3242</v>
      </c>
      <c r="D544" s="196" t="s">
        <v>3010</v>
      </c>
      <c r="E544" s="196" t="s">
        <v>1913</v>
      </c>
      <c r="F544" s="196">
        <v>2004</v>
      </c>
      <c r="G544" s="196"/>
      <c r="H544" s="196" t="s">
        <v>1878</v>
      </c>
      <c r="I544" s="141" t="s">
        <v>1879</v>
      </c>
      <c r="J544" s="196" t="s">
        <v>3006</v>
      </c>
      <c r="K544" s="196" t="s">
        <v>1881</v>
      </c>
      <c r="L544" s="141" t="s">
        <v>3243</v>
      </c>
      <c r="M544" s="196">
        <v>720</v>
      </c>
      <c r="N544" s="196"/>
      <c r="O544" s="196" t="s">
        <v>3236</v>
      </c>
      <c r="P544" s="144">
        <v>602</v>
      </c>
      <c r="Q544" s="145">
        <f t="shared" si="34"/>
        <v>2.2603</v>
      </c>
      <c r="R544" s="203">
        <v>0.28999999999999998</v>
      </c>
      <c r="S544" s="203"/>
      <c r="T544" s="151"/>
      <c r="U544" s="151">
        <v>1.7</v>
      </c>
      <c r="V544" s="151">
        <v>0.25</v>
      </c>
      <c r="W544" s="151">
        <f t="shared" si="35"/>
        <v>0.28999999999999998</v>
      </c>
      <c r="X544" s="152">
        <f t="shared" si="36"/>
        <v>2.0299999999999999E-2</v>
      </c>
      <c r="Y544" s="152"/>
      <c r="Z544" s="148"/>
      <c r="AA544" s="153"/>
      <c r="AB544" s="153"/>
      <c r="AC544" s="153"/>
      <c r="AD544" s="153"/>
      <c r="AH544" s="147"/>
    </row>
    <row r="545" spans="1:34" s="146" customFormat="1" x14ac:dyDescent="0.25">
      <c r="A545" s="196">
        <v>632</v>
      </c>
      <c r="B545" s="196" t="s">
        <v>3248</v>
      </c>
      <c r="C545" s="196" t="s">
        <v>3249</v>
      </c>
      <c r="D545" s="196" t="s">
        <v>2054</v>
      </c>
      <c r="E545" s="196"/>
      <c r="F545" s="196">
        <v>2008</v>
      </c>
      <c r="G545" s="196"/>
      <c r="H545" s="196" t="s">
        <v>1878</v>
      </c>
      <c r="I545" s="141" t="s">
        <v>1879</v>
      </c>
      <c r="J545" s="196" t="s">
        <v>3006</v>
      </c>
      <c r="K545" s="196" t="s">
        <v>1881</v>
      </c>
      <c r="L545" s="141" t="s">
        <v>3250</v>
      </c>
      <c r="M545" s="196">
        <v>1008</v>
      </c>
      <c r="N545" s="196"/>
      <c r="O545" s="196" t="s">
        <v>3238</v>
      </c>
      <c r="P545" s="144">
        <v>710</v>
      </c>
      <c r="Q545" s="145">
        <f t="shared" si="34"/>
        <v>2.2175000000000002</v>
      </c>
      <c r="R545" s="203">
        <v>0.25</v>
      </c>
      <c r="S545" s="203"/>
      <c r="T545" s="151"/>
      <c r="U545" s="151">
        <v>1.7</v>
      </c>
      <c r="V545" s="151">
        <v>0.25</v>
      </c>
      <c r="W545" s="151">
        <f t="shared" si="35"/>
        <v>0.25</v>
      </c>
      <c r="X545" s="152">
        <f t="shared" si="36"/>
        <v>1.7500000000000002E-2</v>
      </c>
      <c r="Y545" s="152"/>
      <c r="Z545" s="148"/>
      <c r="AA545" s="153"/>
      <c r="AB545" s="153"/>
      <c r="AC545" s="153"/>
      <c r="AD545" s="153"/>
      <c r="AH545" s="147"/>
    </row>
    <row r="546" spans="1:34" s="146" customFormat="1" x14ac:dyDescent="0.25">
      <c r="A546" s="196">
        <v>2571</v>
      </c>
      <c r="B546" s="196" t="s">
        <v>3256</v>
      </c>
      <c r="C546" s="196" t="s">
        <v>3257</v>
      </c>
      <c r="D546" s="196" t="s">
        <v>2036</v>
      </c>
      <c r="E546" s="196" t="s">
        <v>2094</v>
      </c>
      <c r="F546" s="196">
        <v>1999</v>
      </c>
      <c r="G546" s="196"/>
      <c r="H546" s="196" t="s">
        <v>2963</v>
      </c>
      <c r="I546" s="141" t="s">
        <v>1879</v>
      </c>
      <c r="J546" s="196" t="s">
        <v>2237</v>
      </c>
      <c r="K546" s="196" t="s">
        <v>1881</v>
      </c>
      <c r="L546" s="141" t="s">
        <v>3258</v>
      </c>
      <c r="M546" s="196">
        <v>338</v>
      </c>
      <c r="N546" s="196"/>
      <c r="O546" s="196" t="s">
        <v>3251</v>
      </c>
      <c r="P546" s="144">
        <v>399</v>
      </c>
      <c r="Q546" s="145">
        <f t="shared" si="34"/>
        <v>1.8673</v>
      </c>
      <c r="R546" s="203">
        <v>0.39</v>
      </c>
      <c r="S546" s="203"/>
      <c r="T546" s="151"/>
      <c r="U546" s="151">
        <v>1.2</v>
      </c>
      <c r="V546" s="151">
        <v>0.25</v>
      </c>
      <c r="W546" s="151">
        <f t="shared" si="35"/>
        <v>0.39</v>
      </c>
      <c r="X546" s="152">
        <f t="shared" si="36"/>
        <v>2.7300000000000001E-2</v>
      </c>
      <c r="Y546" s="152"/>
      <c r="Z546" s="148"/>
      <c r="AA546" s="153"/>
      <c r="AB546" s="153"/>
      <c r="AC546" s="153"/>
      <c r="AD546" s="153"/>
      <c r="AH546" s="147"/>
    </row>
    <row r="547" spans="1:34" s="146" customFormat="1" x14ac:dyDescent="0.25">
      <c r="A547" s="196">
        <v>701</v>
      </c>
      <c r="B547" s="196" t="s">
        <v>3259</v>
      </c>
      <c r="C547" s="196" t="s">
        <v>3260</v>
      </c>
      <c r="D547" s="196" t="s">
        <v>1979</v>
      </c>
      <c r="E547" s="196"/>
      <c r="F547" s="196">
        <v>2004</v>
      </c>
      <c r="G547" s="196"/>
      <c r="H547" s="196" t="s">
        <v>1878</v>
      </c>
      <c r="I547" s="141" t="s">
        <v>1879</v>
      </c>
      <c r="J547" s="196"/>
      <c r="K547" s="196" t="s">
        <v>1881</v>
      </c>
      <c r="L547" s="141" t="s">
        <v>3261</v>
      </c>
      <c r="M547" s="196">
        <v>256</v>
      </c>
      <c r="N547" s="196"/>
      <c r="O547" s="196" t="s">
        <v>3252</v>
      </c>
      <c r="P547" s="144">
        <v>239</v>
      </c>
      <c r="Q547" s="145">
        <f t="shared" si="34"/>
        <v>1.8673</v>
      </c>
      <c r="R547" s="203">
        <v>0.39</v>
      </c>
      <c r="S547" s="203"/>
      <c r="T547" s="151"/>
      <c r="U547" s="151">
        <v>1.2</v>
      </c>
      <c r="V547" s="151">
        <v>0.25</v>
      </c>
      <c r="W547" s="151">
        <f t="shared" si="35"/>
        <v>0.39</v>
      </c>
      <c r="X547" s="152">
        <f t="shared" si="36"/>
        <v>2.7300000000000001E-2</v>
      </c>
      <c r="Y547" s="152"/>
      <c r="Z547" s="148"/>
      <c r="AA547" s="153"/>
      <c r="AB547" s="153"/>
      <c r="AC547" s="153"/>
      <c r="AD547" s="153"/>
      <c r="AH547" s="147"/>
    </row>
    <row r="548" spans="1:34" s="146" customFormat="1" x14ac:dyDescent="0.25">
      <c r="A548" s="196">
        <v>1386</v>
      </c>
      <c r="B548" s="196" t="s">
        <v>3262</v>
      </c>
      <c r="C548" s="196" t="s">
        <v>3263</v>
      </c>
      <c r="D548" s="196" t="s">
        <v>2609</v>
      </c>
      <c r="E548" s="196" t="s">
        <v>2157</v>
      </c>
      <c r="F548" s="196">
        <v>2007</v>
      </c>
      <c r="G548" s="196"/>
      <c r="H548" s="196" t="s">
        <v>1878</v>
      </c>
      <c r="I548" s="141" t="s">
        <v>1879</v>
      </c>
      <c r="J548" s="196" t="s">
        <v>2237</v>
      </c>
      <c r="K548" s="196" t="s">
        <v>1881</v>
      </c>
      <c r="L548" s="141" t="s">
        <v>3264</v>
      </c>
      <c r="M548" s="196">
        <v>560</v>
      </c>
      <c r="N548" s="196"/>
      <c r="O548" s="196" t="s">
        <v>3253</v>
      </c>
      <c r="P548" s="144">
        <v>413</v>
      </c>
      <c r="Q548" s="145">
        <f t="shared" si="34"/>
        <v>1.7175</v>
      </c>
      <c r="R548" s="203">
        <v>0.25</v>
      </c>
      <c r="S548" s="203"/>
      <c r="T548" s="151"/>
      <c r="U548" s="151">
        <v>1.2</v>
      </c>
      <c r="V548" s="151">
        <v>0.25</v>
      </c>
      <c r="W548" s="151">
        <f t="shared" si="35"/>
        <v>0.25</v>
      </c>
      <c r="X548" s="152">
        <f t="shared" si="36"/>
        <v>1.7500000000000002E-2</v>
      </c>
      <c r="Y548" s="152"/>
      <c r="Z548" s="148"/>
      <c r="AA548" s="153"/>
      <c r="AB548" s="153"/>
      <c r="AC548" s="153"/>
      <c r="AD548" s="153"/>
      <c r="AH548" s="147"/>
    </row>
    <row r="549" spans="1:34" s="146" customFormat="1" x14ac:dyDescent="0.25">
      <c r="A549" s="196">
        <v>2522</v>
      </c>
      <c r="B549" s="196" t="s">
        <v>3265</v>
      </c>
      <c r="C549" s="196" t="s">
        <v>3266</v>
      </c>
      <c r="D549" s="196" t="s">
        <v>1920</v>
      </c>
      <c r="E549" s="196" t="s">
        <v>1913</v>
      </c>
      <c r="F549" s="196">
        <v>2004</v>
      </c>
      <c r="G549" s="196"/>
      <c r="H549" s="196" t="s">
        <v>1878</v>
      </c>
      <c r="I549" s="141" t="s">
        <v>1879</v>
      </c>
      <c r="J549" s="196" t="s">
        <v>3006</v>
      </c>
      <c r="K549" s="196" t="s">
        <v>1881</v>
      </c>
      <c r="L549" s="141" t="s">
        <v>3267</v>
      </c>
      <c r="M549" s="196">
        <v>480</v>
      </c>
      <c r="N549" s="196"/>
      <c r="O549" s="196" t="s">
        <v>3254</v>
      </c>
      <c r="P549" s="144">
        <v>415</v>
      </c>
      <c r="Q549" s="145">
        <f t="shared" si="34"/>
        <v>1.7603</v>
      </c>
      <c r="R549" s="203">
        <v>0.28999999999999998</v>
      </c>
      <c r="S549" s="203"/>
      <c r="T549" s="151"/>
      <c r="U549" s="151">
        <v>1.2</v>
      </c>
      <c r="V549" s="151">
        <v>0.25</v>
      </c>
      <c r="W549" s="151">
        <f t="shared" si="35"/>
        <v>0.28999999999999998</v>
      </c>
      <c r="X549" s="152">
        <f t="shared" si="36"/>
        <v>2.0299999999999999E-2</v>
      </c>
      <c r="Y549" s="152"/>
      <c r="Z549" s="148"/>
      <c r="AA549" s="153"/>
      <c r="AB549" s="153"/>
      <c r="AC549" s="153"/>
      <c r="AD549" s="153"/>
      <c r="AH549" s="147"/>
    </row>
    <row r="550" spans="1:34" s="146" customFormat="1" x14ac:dyDescent="0.25">
      <c r="A550" s="196">
        <v>1809</v>
      </c>
      <c r="B550" s="196" t="s">
        <v>3305</v>
      </c>
      <c r="C550" s="196" t="s">
        <v>3306</v>
      </c>
      <c r="D550" s="196" t="s">
        <v>2822</v>
      </c>
      <c r="E550" s="196"/>
      <c r="F550" s="196">
        <v>2005</v>
      </c>
      <c r="G550" s="196"/>
      <c r="H550" s="196" t="s">
        <v>2314</v>
      </c>
      <c r="I550" s="141" t="s">
        <v>1879</v>
      </c>
      <c r="J550" s="196" t="s">
        <v>3303</v>
      </c>
      <c r="K550" s="196" t="s">
        <v>1881</v>
      </c>
      <c r="L550" s="141" t="s">
        <v>3307</v>
      </c>
      <c r="M550" s="196">
        <v>160</v>
      </c>
      <c r="N550" s="196"/>
      <c r="O550" s="196" t="s">
        <v>3271</v>
      </c>
      <c r="P550" s="144">
        <v>237</v>
      </c>
      <c r="Q550" s="145">
        <f t="shared" si="34"/>
        <v>1.8673</v>
      </c>
      <c r="R550" s="203">
        <v>0.39</v>
      </c>
      <c r="S550" s="203"/>
      <c r="T550" s="151"/>
      <c r="U550" s="151">
        <v>1.2</v>
      </c>
      <c r="V550" s="151">
        <v>0.25</v>
      </c>
      <c r="W550" s="151">
        <f t="shared" si="35"/>
        <v>0.39</v>
      </c>
      <c r="X550" s="152">
        <f t="shared" si="36"/>
        <v>2.7300000000000001E-2</v>
      </c>
      <c r="Y550" s="152"/>
      <c r="Z550" s="148"/>
      <c r="AA550" s="153"/>
      <c r="AB550" s="153"/>
      <c r="AC550" s="153"/>
      <c r="AD550" s="153"/>
      <c r="AH550" s="147"/>
    </row>
    <row r="551" spans="1:34" s="146" customFormat="1" x14ac:dyDescent="0.25">
      <c r="A551" s="196">
        <v>632</v>
      </c>
      <c r="B551" s="196" t="s">
        <v>3308</v>
      </c>
      <c r="C551" s="196" t="s">
        <v>3309</v>
      </c>
      <c r="D551" s="196" t="s">
        <v>2609</v>
      </c>
      <c r="E551" s="196"/>
      <c r="F551" s="196">
        <v>1997</v>
      </c>
      <c r="G551" s="196"/>
      <c r="H551" s="196" t="s">
        <v>1878</v>
      </c>
      <c r="I551" s="141" t="s">
        <v>1879</v>
      </c>
      <c r="J551" s="196" t="s">
        <v>2237</v>
      </c>
      <c r="K551" s="196" t="s">
        <v>1881</v>
      </c>
      <c r="L551" s="141" t="s">
        <v>3310</v>
      </c>
      <c r="M551" s="196">
        <v>462</v>
      </c>
      <c r="N551" s="196"/>
      <c r="O551" s="196" t="s">
        <v>3272</v>
      </c>
      <c r="P551" s="144">
        <v>381</v>
      </c>
      <c r="Q551" s="145">
        <f t="shared" si="34"/>
        <v>1.8673</v>
      </c>
      <c r="R551" s="203">
        <v>0.39</v>
      </c>
      <c r="S551" s="203"/>
      <c r="T551" s="151"/>
      <c r="U551" s="151">
        <v>1.2</v>
      </c>
      <c r="V551" s="151">
        <v>0.25</v>
      </c>
      <c r="W551" s="151">
        <f t="shared" si="35"/>
        <v>0.39</v>
      </c>
      <c r="X551" s="152">
        <f t="shared" si="36"/>
        <v>2.7300000000000001E-2</v>
      </c>
      <c r="Y551" s="152"/>
      <c r="Z551" s="148"/>
      <c r="AA551" s="153"/>
      <c r="AB551" s="153"/>
      <c r="AC551" s="153"/>
      <c r="AD551" s="153"/>
      <c r="AH551" s="147"/>
    </row>
    <row r="552" spans="1:34" s="146" customFormat="1" x14ac:dyDescent="0.25">
      <c r="A552" s="196">
        <v>1809</v>
      </c>
      <c r="B552" s="196" t="s">
        <v>2414</v>
      </c>
      <c r="C552" s="196" t="s">
        <v>3311</v>
      </c>
      <c r="D552" s="196" t="s">
        <v>3312</v>
      </c>
      <c r="E552" s="196"/>
      <c r="F552" s="196">
        <v>2002</v>
      </c>
      <c r="G552" s="196"/>
      <c r="H552" s="196" t="s">
        <v>2963</v>
      </c>
      <c r="I552" s="141" t="s">
        <v>1879</v>
      </c>
      <c r="J552" s="196" t="s">
        <v>3303</v>
      </c>
      <c r="K552" s="196" t="s">
        <v>1881</v>
      </c>
      <c r="L552" s="141" t="s">
        <v>3313</v>
      </c>
      <c r="M552" s="196">
        <v>210</v>
      </c>
      <c r="N552" s="196"/>
      <c r="O552" s="196" t="s">
        <v>3273</v>
      </c>
      <c r="P552" s="144">
        <v>315</v>
      </c>
      <c r="Q552" s="145">
        <f t="shared" si="34"/>
        <v>2.4022999999999999</v>
      </c>
      <c r="R552" s="203">
        <v>0.89</v>
      </c>
      <c r="S552" s="203"/>
      <c r="T552" s="151"/>
      <c r="U552" s="151">
        <v>1.2</v>
      </c>
      <c r="V552" s="151">
        <v>0.25</v>
      </c>
      <c r="W552" s="151">
        <f t="shared" si="35"/>
        <v>0.89</v>
      </c>
      <c r="X552" s="152">
        <f t="shared" si="36"/>
        <v>6.2300000000000001E-2</v>
      </c>
      <c r="Y552" s="152"/>
      <c r="Z552" s="148"/>
      <c r="AA552" s="153"/>
      <c r="AB552" s="153"/>
      <c r="AC552" s="153"/>
      <c r="AD552" s="153"/>
      <c r="AH552" s="147"/>
    </row>
    <row r="553" spans="1:34" s="146" customFormat="1" x14ac:dyDescent="0.25">
      <c r="A553" s="196">
        <v>2522</v>
      </c>
      <c r="B553" s="196" t="s">
        <v>2242</v>
      </c>
      <c r="C553" s="196" t="s">
        <v>3314</v>
      </c>
      <c r="D553" s="196" t="s">
        <v>2609</v>
      </c>
      <c r="E553" s="196" t="s">
        <v>3053</v>
      </c>
      <c r="F553" s="196">
        <v>2006</v>
      </c>
      <c r="G553" s="196"/>
      <c r="H553" s="196" t="s">
        <v>1878</v>
      </c>
      <c r="I553" s="141" t="s">
        <v>1879</v>
      </c>
      <c r="J553" s="196" t="s">
        <v>3303</v>
      </c>
      <c r="K553" s="196" t="s">
        <v>1881</v>
      </c>
      <c r="L553" s="141" t="s">
        <v>3315</v>
      </c>
      <c r="M553" s="196">
        <v>240</v>
      </c>
      <c r="N553" s="196"/>
      <c r="O553" s="196" t="s">
        <v>3274</v>
      </c>
      <c r="P553" s="144">
        <v>215</v>
      </c>
      <c r="Q553" s="145">
        <f t="shared" si="34"/>
        <v>1.7175</v>
      </c>
      <c r="R553" s="203">
        <v>0.25</v>
      </c>
      <c r="S553" s="203"/>
      <c r="T553" s="151"/>
      <c r="U553" s="151">
        <v>1.2</v>
      </c>
      <c r="V553" s="151">
        <v>0.25</v>
      </c>
      <c r="W553" s="151">
        <f t="shared" si="35"/>
        <v>0.25</v>
      </c>
      <c r="X553" s="152">
        <f t="shared" si="36"/>
        <v>1.7500000000000002E-2</v>
      </c>
      <c r="Y553" s="152"/>
      <c r="Z553" s="148"/>
      <c r="AA553" s="153"/>
      <c r="AB553" s="153"/>
      <c r="AC553" s="153"/>
      <c r="AD553" s="153"/>
      <c r="AH553" s="147"/>
    </row>
    <row r="554" spans="1:34" s="146" customFormat="1" x14ac:dyDescent="0.25">
      <c r="A554" s="196">
        <v>1315</v>
      </c>
      <c r="B554" s="196" t="s">
        <v>3316</v>
      </c>
      <c r="C554" s="196" t="s">
        <v>3317</v>
      </c>
      <c r="D554" s="196" t="s">
        <v>2257</v>
      </c>
      <c r="E554" s="196"/>
      <c r="F554" s="196">
        <v>2006</v>
      </c>
      <c r="G554" s="196"/>
      <c r="H554" s="196" t="s">
        <v>1878</v>
      </c>
      <c r="I554" s="141" t="s">
        <v>1879</v>
      </c>
      <c r="J554" s="143" t="s">
        <v>3318</v>
      </c>
      <c r="K554" s="196" t="s">
        <v>1881</v>
      </c>
      <c r="L554" s="141" t="s">
        <v>3319</v>
      </c>
      <c r="M554" s="196">
        <v>320</v>
      </c>
      <c r="N554" s="196"/>
      <c r="O554" s="196" t="s">
        <v>3275</v>
      </c>
      <c r="P554" s="144">
        <v>246</v>
      </c>
      <c r="Q554" s="145">
        <f t="shared" si="34"/>
        <v>2.2953000000000001</v>
      </c>
      <c r="R554" s="203">
        <v>0.79</v>
      </c>
      <c r="S554" s="203"/>
      <c r="T554" s="151"/>
      <c r="U554" s="151">
        <v>1.2</v>
      </c>
      <c r="V554" s="151">
        <v>0.25</v>
      </c>
      <c r="W554" s="151">
        <f t="shared" si="35"/>
        <v>0.79</v>
      </c>
      <c r="X554" s="152">
        <f t="shared" si="36"/>
        <v>5.5300000000000002E-2</v>
      </c>
      <c r="Y554" s="152"/>
      <c r="Z554" s="148"/>
      <c r="AA554" s="153"/>
      <c r="AB554" s="153"/>
      <c r="AC554" s="153"/>
      <c r="AD554" s="153"/>
      <c r="AH554" s="147"/>
    </row>
    <row r="555" spans="1:34" s="146" customFormat="1" x14ac:dyDescent="0.25">
      <c r="A555" s="196">
        <v>796</v>
      </c>
      <c r="B555" s="196" t="s">
        <v>3320</v>
      </c>
      <c r="C555" s="196" t="s">
        <v>3321</v>
      </c>
      <c r="D555" s="196" t="s">
        <v>2209</v>
      </c>
      <c r="E555" s="196" t="s">
        <v>1877</v>
      </c>
      <c r="F555" s="196">
        <v>2011</v>
      </c>
      <c r="G555" s="196"/>
      <c r="H555" s="196" t="s">
        <v>1878</v>
      </c>
      <c r="I555" s="141" t="s">
        <v>1879</v>
      </c>
      <c r="J555" s="196" t="s">
        <v>3303</v>
      </c>
      <c r="K555" s="196" t="s">
        <v>1881</v>
      </c>
      <c r="L555" s="141" t="s">
        <v>3322</v>
      </c>
      <c r="M555" s="196">
        <v>544</v>
      </c>
      <c r="N555" s="196"/>
      <c r="O555" s="196" t="s">
        <v>3276</v>
      </c>
      <c r="P555" s="144">
        <v>443</v>
      </c>
      <c r="Q555" s="145">
        <f t="shared" si="34"/>
        <v>1.7175</v>
      </c>
      <c r="R555" s="203">
        <v>0.25</v>
      </c>
      <c r="S555" s="203"/>
      <c r="T555" s="151"/>
      <c r="U555" s="151">
        <v>1.2</v>
      </c>
      <c r="V555" s="151">
        <v>0.25</v>
      </c>
      <c r="W555" s="151">
        <f t="shared" si="35"/>
        <v>0.25</v>
      </c>
      <c r="X555" s="152">
        <f t="shared" si="36"/>
        <v>1.7500000000000002E-2</v>
      </c>
      <c r="Y555" s="152"/>
      <c r="Z555" s="148"/>
      <c r="AA555" s="153"/>
      <c r="AB555" s="153"/>
      <c r="AC555" s="153"/>
      <c r="AD555" s="153"/>
      <c r="AH555" s="147"/>
    </row>
    <row r="556" spans="1:34" s="146" customFormat="1" x14ac:dyDescent="0.25">
      <c r="A556" s="196">
        <v>690</v>
      </c>
      <c r="B556" s="196" t="s">
        <v>3323</v>
      </c>
      <c r="C556" s="196" t="s">
        <v>3324</v>
      </c>
      <c r="D556" s="196" t="s">
        <v>2530</v>
      </c>
      <c r="E556" s="196"/>
      <c r="F556" s="196">
        <v>2003</v>
      </c>
      <c r="G556" s="196"/>
      <c r="H556" s="196" t="s">
        <v>2963</v>
      </c>
      <c r="I556" s="141" t="s">
        <v>1879</v>
      </c>
      <c r="J556" s="196" t="s">
        <v>2237</v>
      </c>
      <c r="K556" s="196" t="s">
        <v>1881</v>
      </c>
      <c r="L556" s="141" t="s">
        <v>3325</v>
      </c>
      <c r="M556" s="196">
        <v>162</v>
      </c>
      <c r="N556" s="196"/>
      <c r="O556" s="196" t="s">
        <v>3277</v>
      </c>
      <c r="P556" s="144">
        <v>293</v>
      </c>
      <c r="Q556" s="145">
        <f t="shared" si="34"/>
        <v>2.2953000000000001</v>
      </c>
      <c r="R556" s="203">
        <v>0.79</v>
      </c>
      <c r="S556" s="203"/>
      <c r="T556" s="151"/>
      <c r="U556" s="151">
        <v>1.2</v>
      </c>
      <c r="V556" s="151">
        <v>0.25</v>
      </c>
      <c r="W556" s="151">
        <f t="shared" si="35"/>
        <v>0.79</v>
      </c>
      <c r="X556" s="152">
        <f t="shared" si="36"/>
        <v>5.5300000000000002E-2</v>
      </c>
      <c r="Y556" s="152"/>
      <c r="Z556" s="148"/>
      <c r="AA556" s="153"/>
      <c r="AB556" s="153"/>
      <c r="AC556" s="153"/>
      <c r="AD556" s="153"/>
      <c r="AH556" s="147"/>
    </row>
    <row r="557" spans="1:34" s="146" customFormat="1" x14ac:dyDescent="0.25">
      <c r="A557" s="196">
        <v>632</v>
      </c>
      <c r="B557" s="196" t="s">
        <v>3326</v>
      </c>
      <c r="C557" s="196" t="s">
        <v>3327</v>
      </c>
      <c r="D557" s="196" t="s">
        <v>2209</v>
      </c>
      <c r="E557" s="196" t="s">
        <v>2032</v>
      </c>
      <c r="F557" s="196">
        <v>1988</v>
      </c>
      <c r="G557" s="196"/>
      <c r="H557" s="196" t="s">
        <v>1878</v>
      </c>
      <c r="I557" s="141" t="s">
        <v>1879</v>
      </c>
      <c r="J557" s="196" t="s">
        <v>3328</v>
      </c>
      <c r="K557" s="196" t="s">
        <v>1881</v>
      </c>
      <c r="L557" s="141" t="s">
        <v>3329</v>
      </c>
      <c r="M557" s="196">
        <v>384</v>
      </c>
      <c r="N557" s="196"/>
      <c r="O557" s="196" t="s">
        <v>3278</v>
      </c>
      <c r="P557" s="144">
        <v>208</v>
      </c>
      <c r="Q557" s="145">
        <f t="shared" si="34"/>
        <v>1.8673</v>
      </c>
      <c r="R557" s="203">
        <v>0.39</v>
      </c>
      <c r="S557" s="203"/>
      <c r="T557" s="151"/>
      <c r="U557" s="151">
        <v>1.2</v>
      </c>
      <c r="V557" s="151">
        <v>0.25</v>
      </c>
      <c r="W557" s="151">
        <f t="shared" si="35"/>
        <v>0.39</v>
      </c>
      <c r="X557" s="152">
        <f t="shared" si="36"/>
        <v>2.7300000000000001E-2</v>
      </c>
      <c r="Y557" s="152"/>
      <c r="Z557" s="148"/>
      <c r="AA557" s="153"/>
      <c r="AB557" s="153"/>
      <c r="AC557" s="153"/>
      <c r="AD557" s="153"/>
      <c r="AH557" s="147"/>
    </row>
    <row r="558" spans="1:34" s="146" customFormat="1" x14ac:dyDescent="0.25">
      <c r="A558" s="196">
        <v>796</v>
      </c>
      <c r="B558" s="196" t="s">
        <v>3330</v>
      </c>
      <c r="C558" s="196" t="s">
        <v>3331</v>
      </c>
      <c r="D558" s="196" t="s">
        <v>3332</v>
      </c>
      <c r="E558" s="196"/>
      <c r="F558" s="196"/>
      <c r="G558" s="196"/>
      <c r="H558" s="196" t="s">
        <v>2963</v>
      </c>
      <c r="I558" s="141" t="s">
        <v>1879</v>
      </c>
      <c r="J558" s="196" t="s">
        <v>2237</v>
      </c>
      <c r="K558" s="196" t="s">
        <v>1881</v>
      </c>
      <c r="L558" s="141" t="s">
        <v>3333</v>
      </c>
      <c r="M558" s="196">
        <v>290</v>
      </c>
      <c r="N558" s="196"/>
      <c r="O558" s="196" t="s">
        <v>3279</v>
      </c>
      <c r="P558" s="144">
        <v>424</v>
      </c>
      <c r="Q558" s="145">
        <f t="shared" si="34"/>
        <v>1.9315</v>
      </c>
      <c r="R558" s="203">
        <v>0.45</v>
      </c>
      <c r="S558" s="203"/>
      <c r="T558" s="151"/>
      <c r="U558" s="151">
        <v>1.2</v>
      </c>
      <c r="V558" s="151">
        <v>0.25</v>
      </c>
      <c r="W558" s="151">
        <f t="shared" si="35"/>
        <v>0.45</v>
      </c>
      <c r="X558" s="152">
        <f t="shared" si="36"/>
        <v>3.15E-2</v>
      </c>
      <c r="Y558" s="152"/>
      <c r="Z558" s="148"/>
      <c r="AA558" s="153"/>
      <c r="AB558" s="153"/>
      <c r="AC558" s="153"/>
      <c r="AD558" s="153"/>
      <c r="AH558" s="147"/>
    </row>
    <row r="559" spans="1:34" s="146" customFormat="1" x14ac:dyDescent="0.25">
      <c r="A559" s="196">
        <v>2952</v>
      </c>
      <c r="B559" s="196" t="s">
        <v>3334</v>
      </c>
      <c r="C559" s="196" t="s">
        <v>3335</v>
      </c>
      <c r="D559" s="196" t="s">
        <v>2209</v>
      </c>
      <c r="E559" s="196"/>
      <c r="F559" s="196">
        <v>2000</v>
      </c>
      <c r="G559" s="196"/>
      <c r="H559" s="196" t="s">
        <v>1878</v>
      </c>
      <c r="I559" s="141" t="s">
        <v>1879</v>
      </c>
      <c r="J559" s="196" t="s">
        <v>3336</v>
      </c>
      <c r="K559" s="196" t="s">
        <v>1881</v>
      </c>
      <c r="L559" s="141" t="s">
        <v>3337</v>
      </c>
      <c r="M559" s="196">
        <v>400</v>
      </c>
      <c r="N559" s="196"/>
      <c r="O559" s="196" t="s">
        <v>3280</v>
      </c>
      <c r="P559" s="144">
        <v>352</v>
      </c>
      <c r="Q559" s="145">
        <f t="shared" si="34"/>
        <v>1.7175</v>
      </c>
      <c r="R559" s="203">
        <v>0.25</v>
      </c>
      <c r="S559" s="203"/>
      <c r="T559" s="151"/>
      <c r="U559" s="151">
        <v>1.2</v>
      </c>
      <c r="V559" s="151">
        <v>0.25</v>
      </c>
      <c r="W559" s="151">
        <f t="shared" si="35"/>
        <v>0.25</v>
      </c>
      <c r="X559" s="152">
        <f t="shared" si="36"/>
        <v>1.7500000000000002E-2</v>
      </c>
      <c r="Y559" s="152"/>
      <c r="Z559" s="148"/>
      <c r="AA559" s="153"/>
      <c r="AB559" s="153"/>
      <c r="AC559" s="153"/>
      <c r="AD559" s="153"/>
      <c r="AH559" s="147"/>
    </row>
    <row r="560" spans="1:34" s="146" customFormat="1" x14ac:dyDescent="0.25">
      <c r="A560" s="196">
        <v>1304</v>
      </c>
      <c r="B560" s="196" t="s">
        <v>3338</v>
      </c>
      <c r="C560" s="196" t="s">
        <v>3339</v>
      </c>
      <c r="D560" s="196" t="s">
        <v>3116</v>
      </c>
      <c r="E560" s="196" t="s">
        <v>1877</v>
      </c>
      <c r="F560" s="196">
        <v>1996</v>
      </c>
      <c r="G560" s="196"/>
      <c r="H560" s="196" t="s">
        <v>2963</v>
      </c>
      <c r="I560" s="141" t="s">
        <v>1879</v>
      </c>
      <c r="J560" s="196" t="s">
        <v>2237</v>
      </c>
      <c r="K560" s="196" t="s">
        <v>1881</v>
      </c>
      <c r="L560" s="141" t="s">
        <v>3340</v>
      </c>
      <c r="M560" s="196">
        <v>122</v>
      </c>
      <c r="N560" s="196"/>
      <c r="O560" s="196" t="s">
        <v>3281</v>
      </c>
      <c r="P560" s="144">
        <v>239</v>
      </c>
      <c r="Q560" s="145">
        <f t="shared" si="34"/>
        <v>2.1882999999999995</v>
      </c>
      <c r="R560" s="203">
        <v>0.69</v>
      </c>
      <c r="S560" s="203"/>
      <c r="T560" s="151"/>
      <c r="U560" s="151">
        <v>1.2</v>
      </c>
      <c r="V560" s="151">
        <v>0.25</v>
      </c>
      <c r="W560" s="151">
        <f t="shared" si="35"/>
        <v>0.69</v>
      </c>
      <c r="X560" s="152">
        <f t="shared" si="36"/>
        <v>4.8299999999999996E-2</v>
      </c>
      <c r="Y560" s="152"/>
      <c r="Z560" s="148"/>
      <c r="AA560" s="153"/>
      <c r="AB560" s="153"/>
      <c r="AC560" s="153"/>
      <c r="AD560" s="153"/>
      <c r="AH560" s="147"/>
    </row>
    <row r="561" spans="1:34" s="146" customFormat="1" x14ac:dyDescent="0.25">
      <c r="A561" s="196">
        <v>1315</v>
      </c>
      <c r="B561" s="196" t="s">
        <v>2784</v>
      </c>
      <c r="C561" s="196" t="s">
        <v>3341</v>
      </c>
      <c r="D561" s="196" t="s">
        <v>3342</v>
      </c>
      <c r="E561" s="196" t="s">
        <v>1899</v>
      </c>
      <c r="F561" s="196">
        <v>1999</v>
      </c>
      <c r="G561" s="196"/>
      <c r="H561" s="196" t="s">
        <v>2963</v>
      </c>
      <c r="I561" s="141" t="s">
        <v>1879</v>
      </c>
      <c r="J561" s="196" t="s">
        <v>3303</v>
      </c>
      <c r="K561" s="196" t="s">
        <v>1881</v>
      </c>
      <c r="L561" s="141" t="s">
        <v>3343</v>
      </c>
      <c r="M561" s="196">
        <v>226</v>
      </c>
      <c r="N561" s="196"/>
      <c r="O561" s="196" t="s">
        <v>3282</v>
      </c>
      <c r="P561" s="144">
        <v>415</v>
      </c>
      <c r="Q561" s="145">
        <f t="shared" si="34"/>
        <v>2.2953000000000001</v>
      </c>
      <c r="R561" s="203">
        <v>0.79</v>
      </c>
      <c r="S561" s="203"/>
      <c r="T561" s="151"/>
      <c r="U561" s="151">
        <v>1.2</v>
      </c>
      <c r="V561" s="151">
        <v>0.25</v>
      </c>
      <c r="W561" s="151">
        <f t="shared" si="35"/>
        <v>0.79</v>
      </c>
      <c r="X561" s="152">
        <f t="shared" si="36"/>
        <v>5.5300000000000002E-2</v>
      </c>
      <c r="Y561" s="152"/>
      <c r="Z561" s="148"/>
      <c r="AA561" s="153"/>
      <c r="AB561" s="153"/>
      <c r="AC561" s="153"/>
      <c r="AD561" s="153"/>
      <c r="AH561" s="147"/>
    </row>
    <row r="562" spans="1:34" s="146" customFormat="1" x14ac:dyDescent="0.25">
      <c r="A562" s="196">
        <v>1315</v>
      </c>
      <c r="B562" s="196" t="s">
        <v>3344</v>
      </c>
      <c r="C562" s="196" t="s">
        <v>3345</v>
      </c>
      <c r="D562" s="196" t="s">
        <v>3116</v>
      </c>
      <c r="E562" s="196" t="s">
        <v>1913</v>
      </c>
      <c r="F562" s="196">
        <v>2000</v>
      </c>
      <c r="G562" s="196"/>
      <c r="H562" s="196" t="s">
        <v>2314</v>
      </c>
      <c r="I562" s="141" t="s">
        <v>1879</v>
      </c>
      <c r="J562" s="196"/>
      <c r="K562" s="196" t="s">
        <v>1881</v>
      </c>
      <c r="L562" s="141" t="s">
        <v>3346</v>
      </c>
      <c r="M562" s="196">
        <v>192</v>
      </c>
      <c r="N562" s="196"/>
      <c r="O562" s="196" t="s">
        <v>3283</v>
      </c>
      <c r="P562" s="144">
        <v>304</v>
      </c>
      <c r="Q562" s="145">
        <f t="shared" si="34"/>
        <v>2.5093000000000001</v>
      </c>
      <c r="R562" s="203">
        <v>0.99</v>
      </c>
      <c r="S562" s="203"/>
      <c r="T562" s="151"/>
      <c r="U562" s="151">
        <v>1.2</v>
      </c>
      <c r="V562" s="151">
        <v>0.25</v>
      </c>
      <c r="W562" s="151">
        <f t="shared" si="35"/>
        <v>0.99</v>
      </c>
      <c r="X562" s="152">
        <f t="shared" si="36"/>
        <v>6.93E-2</v>
      </c>
      <c r="Y562" s="152"/>
      <c r="Z562" s="148"/>
      <c r="AA562" s="153"/>
      <c r="AB562" s="153"/>
      <c r="AC562" s="153"/>
      <c r="AD562" s="153"/>
      <c r="AH562" s="147"/>
    </row>
    <row r="563" spans="1:34" s="146" customFormat="1" x14ac:dyDescent="0.25">
      <c r="A563" s="196">
        <v>1395</v>
      </c>
      <c r="B563" s="196" t="s">
        <v>3347</v>
      </c>
      <c r="C563" s="196" t="s">
        <v>3348</v>
      </c>
      <c r="D563" s="196" t="s">
        <v>2300</v>
      </c>
      <c r="E563" s="196" t="s">
        <v>1899</v>
      </c>
      <c r="F563" s="196">
        <v>2009</v>
      </c>
      <c r="G563" s="196"/>
      <c r="H563" s="196" t="s">
        <v>1878</v>
      </c>
      <c r="I563" s="141" t="s">
        <v>1879</v>
      </c>
      <c r="J563" s="196" t="s">
        <v>2237</v>
      </c>
      <c r="K563" s="196" t="s">
        <v>1881</v>
      </c>
      <c r="L563" s="141" t="s">
        <v>3349</v>
      </c>
      <c r="M563" s="196">
        <v>304</v>
      </c>
      <c r="N563" s="196"/>
      <c r="O563" s="196" t="s">
        <v>3284</v>
      </c>
      <c r="P563" s="144">
        <v>251</v>
      </c>
      <c r="Q563" s="145">
        <f t="shared" si="34"/>
        <v>1.7175</v>
      </c>
      <c r="R563" s="203">
        <v>0.25</v>
      </c>
      <c r="S563" s="203"/>
      <c r="T563" s="151"/>
      <c r="U563" s="151">
        <v>1.2</v>
      </c>
      <c r="V563" s="151">
        <v>0.25</v>
      </c>
      <c r="W563" s="151">
        <f t="shared" si="35"/>
        <v>0.25</v>
      </c>
      <c r="X563" s="152">
        <f t="shared" si="36"/>
        <v>1.7500000000000002E-2</v>
      </c>
      <c r="Y563" s="152"/>
      <c r="Z563" s="148"/>
      <c r="AA563" s="153"/>
      <c r="AB563" s="153"/>
      <c r="AC563" s="153"/>
      <c r="AD563" s="153"/>
      <c r="AH563" s="147"/>
    </row>
    <row r="564" spans="1:34" s="146" customFormat="1" x14ac:dyDescent="0.25">
      <c r="A564" s="196">
        <v>1809</v>
      </c>
      <c r="B564" s="196" t="s">
        <v>3350</v>
      </c>
      <c r="C564" s="196" t="s">
        <v>3351</v>
      </c>
      <c r="D564" s="196" t="s">
        <v>3116</v>
      </c>
      <c r="E564" s="196" t="s">
        <v>1913</v>
      </c>
      <c r="F564" s="196">
        <v>2005</v>
      </c>
      <c r="G564" s="196"/>
      <c r="H564" s="196" t="s">
        <v>2963</v>
      </c>
      <c r="I564" s="141" t="s">
        <v>1929</v>
      </c>
      <c r="J564" s="196"/>
      <c r="K564" s="196" t="s">
        <v>1881</v>
      </c>
      <c r="L564" s="141" t="s">
        <v>3352</v>
      </c>
      <c r="M564" s="196">
        <v>154</v>
      </c>
      <c r="N564" s="196"/>
      <c r="O564" s="196" t="s">
        <v>3285</v>
      </c>
      <c r="P564" s="144">
        <v>273</v>
      </c>
      <c r="Q564" s="145">
        <f t="shared" si="34"/>
        <v>2.0813000000000001</v>
      </c>
      <c r="R564" s="203">
        <v>0.59</v>
      </c>
      <c r="S564" s="203"/>
      <c r="T564" s="151"/>
      <c r="U564" s="151">
        <v>1.2</v>
      </c>
      <c r="V564" s="151">
        <v>0.25</v>
      </c>
      <c r="W564" s="151">
        <f t="shared" si="35"/>
        <v>0.59</v>
      </c>
      <c r="X564" s="152">
        <f t="shared" si="36"/>
        <v>4.1299999999999996E-2</v>
      </c>
      <c r="Y564" s="152"/>
      <c r="Z564" s="148"/>
      <c r="AA564" s="153"/>
      <c r="AB564" s="153"/>
      <c r="AC564" s="153"/>
      <c r="AD564" s="153"/>
      <c r="AH564" s="147"/>
    </row>
    <row r="565" spans="1:34" s="146" customFormat="1" x14ac:dyDescent="0.25">
      <c r="A565" s="196">
        <v>1386</v>
      </c>
      <c r="B565" s="196" t="s">
        <v>3353</v>
      </c>
      <c r="C565" s="196" t="s">
        <v>3354</v>
      </c>
      <c r="D565" s="196" t="s">
        <v>2257</v>
      </c>
      <c r="E565" s="196"/>
      <c r="F565" s="196">
        <v>2007</v>
      </c>
      <c r="G565" s="196"/>
      <c r="H565" s="196" t="s">
        <v>1878</v>
      </c>
      <c r="I565" s="141" t="s">
        <v>1879</v>
      </c>
      <c r="J565" s="196" t="s">
        <v>3303</v>
      </c>
      <c r="K565" s="196" t="s">
        <v>1881</v>
      </c>
      <c r="L565" s="141" t="s">
        <v>3355</v>
      </c>
      <c r="M565" s="196">
        <v>384</v>
      </c>
      <c r="N565" s="196"/>
      <c r="O565" s="196" t="s">
        <v>3286</v>
      </c>
      <c r="P565" s="144">
        <v>343</v>
      </c>
      <c r="Q565" s="145">
        <f t="shared" si="34"/>
        <v>1.8244999999999998</v>
      </c>
      <c r="R565" s="203">
        <v>0.35</v>
      </c>
      <c r="S565" s="203"/>
      <c r="T565" s="151"/>
      <c r="U565" s="151">
        <v>1.2</v>
      </c>
      <c r="V565" s="151">
        <v>0.25</v>
      </c>
      <c r="W565" s="151">
        <f t="shared" si="35"/>
        <v>0.35</v>
      </c>
      <c r="X565" s="152">
        <f t="shared" si="36"/>
        <v>2.4499999999999997E-2</v>
      </c>
      <c r="Y565" s="152"/>
      <c r="Z565" s="148"/>
      <c r="AA565" s="153"/>
      <c r="AB565" s="153"/>
      <c r="AC565" s="153"/>
      <c r="AD565" s="153"/>
      <c r="AH565" s="147"/>
    </row>
    <row r="566" spans="1:34" s="146" customFormat="1" x14ac:dyDescent="0.25">
      <c r="A566" s="196">
        <v>2522</v>
      </c>
      <c r="B566" s="196" t="s">
        <v>3356</v>
      </c>
      <c r="C566" s="196" t="s">
        <v>3357</v>
      </c>
      <c r="D566" s="196" t="s">
        <v>2054</v>
      </c>
      <c r="E566" s="196"/>
      <c r="F566" s="196">
        <v>2009</v>
      </c>
      <c r="G566" s="196"/>
      <c r="H566" s="196" t="s">
        <v>1878</v>
      </c>
      <c r="I566" s="141" t="s">
        <v>1929</v>
      </c>
      <c r="J566" s="196"/>
      <c r="K566" s="196" t="s">
        <v>1881</v>
      </c>
      <c r="L566" s="141" t="s">
        <v>3358</v>
      </c>
      <c r="M566" s="196">
        <v>432</v>
      </c>
      <c r="N566" s="196"/>
      <c r="O566" s="196" t="s">
        <v>3287</v>
      </c>
      <c r="P566" s="144">
        <v>426</v>
      </c>
      <c r="Q566" s="145">
        <f t="shared" si="34"/>
        <v>2.4022999999999999</v>
      </c>
      <c r="R566" s="203">
        <v>0.89</v>
      </c>
      <c r="S566" s="203"/>
      <c r="T566" s="151"/>
      <c r="U566" s="151">
        <v>1.2</v>
      </c>
      <c r="V566" s="151">
        <v>0.25</v>
      </c>
      <c r="W566" s="151">
        <f t="shared" si="35"/>
        <v>0.89</v>
      </c>
      <c r="X566" s="152">
        <f t="shared" si="36"/>
        <v>6.2300000000000001E-2</v>
      </c>
      <c r="Y566" s="152"/>
      <c r="Z566" s="148"/>
      <c r="AA566" s="153"/>
      <c r="AB566" s="153"/>
      <c r="AC566" s="153"/>
      <c r="AD566" s="153"/>
      <c r="AH566" s="147"/>
    </row>
    <row r="567" spans="1:34" s="146" customFormat="1" x14ac:dyDescent="0.25">
      <c r="A567" s="196">
        <v>1386</v>
      </c>
      <c r="B567" s="196" t="s">
        <v>2242</v>
      </c>
      <c r="C567" s="196" t="s">
        <v>3359</v>
      </c>
      <c r="D567" s="196" t="s">
        <v>2609</v>
      </c>
      <c r="E567" s="196" t="s">
        <v>3360</v>
      </c>
      <c r="F567" s="196">
        <v>1995</v>
      </c>
      <c r="G567" s="196"/>
      <c r="H567" s="196" t="s">
        <v>1878</v>
      </c>
      <c r="I567" s="141" t="s">
        <v>1879</v>
      </c>
      <c r="J567" s="196" t="s">
        <v>3303</v>
      </c>
      <c r="K567" s="196" t="s">
        <v>1881</v>
      </c>
      <c r="L567" s="141" t="s">
        <v>3361</v>
      </c>
      <c r="M567" s="196">
        <v>768</v>
      </c>
      <c r="N567" s="196"/>
      <c r="O567" s="196" t="s">
        <v>3288</v>
      </c>
      <c r="P567" s="144">
        <v>482</v>
      </c>
      <c r="Q567" s="145">
        <f t="shared" si="34"/>
        <v>1.7175</v>
      </c>
      <c r="R567" s="203">
        <v>0.25</v>
      </c>
      <c r="S567" s="203"/>
      <c r="T567" s="151"/>
      <c r="U567" s="151">
        <v>1.2</v>
      </c>
      <c r="V567" s="151">
        <v>0.25</v>
      </c>
      <c r="W567" s="151">
        <f t="shared" si="35"/>
        <v>0.25</v>
      </c>
      <c r="X567" s="152">
        <f t="shared" si="36"/>
        <v>1.7500000000000002E-2</v>
      </c>
      <c r="Y567" s="152"/>
      <c r="Z567" s="148"/>
      <c r="AA567" s="153"/>
      <c r="AB567" s="153"/>
      <c r="AC567" s="153"/>
      <c r="AD567" s="153"/>
      <c r="AH567" s="147"/>
    </row>
    <row r="568" spans="1:34" s="146" customFormat="1" x14ac:dyDescent="0.25">
      <c r="A568" s="196">
        <v>2514</v>
      </c>
      <c r="B568" s="196" t="s">
        <v>3362</v>
      </c>
      <c r="C568" s="196" t="s">
        <v>3363</v>
      </c>
      <c r="D568" s="196" t="s">
        <v>3364</v>
      </c>
      <c r="E568" s="196"/>
      <c r="F568" s="196">
        <v>1998</v>
      </c>
      <c r="G568" s="196"/>
      <c r="H568" s="196" t="s">
        <v>2963</v>
      </c>
      <c r="I568" s="141" t="s">
        <v>1929</v>
      </c>
      <c r="J568" s="196"/>
      <c r="K568" s="196" t="s">
        <v>1881</v>
      </c>
      <c r="L568" s="141" t="s">
        <v>3365</v>
      </c>
      <c r="M568" s="196">
        <v>50</v>
      </c>
      <c r="N568" s="196"/>
      <c r="O568" s="196" t="s">
        <v>3289</v>
      </c>
      <c r="P568" s="144">
        <v>294</v>
      </c>
      <c r="Q568" s="145">
        <f t="shared" si="34"/>
        <v>2.8303000000000003</v>
      </c>
      <c r="R568" s="203">
        <v>1.29</v>
      </c>
      <c r="S568" s="203"/>
      <c r="T568" s="151"/>
      <c r="U568" s="151">
        <v>1.2</v>
      </c>
      <c r="V568" s="151">
        <v>0.25</v>
      </c>
      <c r="W568" s="151">
        <f t="shared" si="35"/>
        <v>1.29</v>
      </c>
      <c r="X568" s="152">
        <f t="shared" si="36"/>
        <v>9.0300000000000005E-2</v>
      </c>
      <c r="Y568" s="152"/>
      <c r="Z568" s="148"/>
      <c r="AA568" s="153"/>
      <c r="AB568" s="153"/>
      <c r="AC568" s="153"/>
      <c r="AD568" s="153"/>
      <c r="AH568" s="147"/>
    </row>
    <row r="569" spans="1:34" s="146" customFormat="1" x14ac:dyDescent="0.25">
      <c r="A569" s="196">
        <v>2522</v>
      </c>
      <c r="B569" s="196" t="s">
        <v>3369</v>
      </c>
      <c r="C569" s="196" t="s">
        <v>3370</v>
      </c>
      <c r="D569" s="196" t="s">
        <v>2209</v>
      </c>
      <c r="E569" s="196" t="s">
        <v>2175</v>
      </c>
      <c r="F569" s="196">
        <v>2000</v>
      </c>
      <c r="G569" s="196"/>
      <c r="H569" s="196" t="s">
        <v>2963</v>
      </c>
      <c r="I569" s="141" t="s">
        <v>1879</v>
      </c>
      <c r="J569" s="196" t="s">
        <v>3371</v>
      </c>
      <c r="K569" s="196" t="s">
        <v>1881</v>
      </c>
      <c r="L569" s="141"/>
      <c r="M569" s="196">
        <v>386</v>
      </c>
      <c r="N569" s="196"/>
      <c r="O569" s="196" t="s">
        <v>3290</v>
      </c>
      <c r="P569" s="144">
        <v>590</v>
      </c>
      <c r="Q569" s="145">
        <f t="shared" si="34"/>
        <v>2.2175000000000002</v>
      </c>
      <c r="R569" s="203">
        <v>0.25</v>
      </c>
      <c r="S569" s="203"/>
      <c r="T569" s="151"/>
      <c r="U569" s="151">
        <v>1.7</v>
      </c>
      <c r="V569" s="151">
        <v>0.25</v>
      </c>
      <c r="W569" s="151">
        <f t="shared" si="35"/>
        <v>0.25</v>
      </c>
      <c r="X569" s="152">
        <f t="shared" si="36"/>
        <v>1.7500000000000002E-2</v>
      </c>
      <c r="Y569" s="152"/>
      <c r="Z569" s="148"/>
      <c r="AA569" s="153"/>
      <c r="AB569" s="153"/>
      <c r="AC569" s="153"/>
      <c r="AD569" s="153"/>
      <c r="AH569" s="147"/>
    </row>
    <row r="570" spans="1:34" s="146" customFormat="1" x14ac:dyDescent="0.25">
      <c r="A570" s="196">
        <v>632</v>
      </c>
      <c r="B570" s="196" t="s">
        <v>3059</v>
      </c>
      <c r="C570" s="196" t="s">
        <v>3372</v>
      </c>
      <c r="D570" s="196" t="s">
        <v>2822</v>
      </c>
      <c r="E570" s="196"/>
      <c r="F570" s="196" t="s">
        <v>3373</v>
      </c>
      <c r="G570" s="196"/>
      <c r="H570" s="196" t="s">
        <v>2963</v>
      </c>
      <c r="I570" s="141" t="s">
        <v>1879</v>
      </c>
      <c r="J570" s="196" t="s">
        <v>3303</v>
      </c>
      <c r="K570" s="196" t="s">
        <v>1881</v>
      </c>
      <c r="L570" s="141" t="s">
        <v>3374</v>
      </c>
      <c r="M570" s="196">
        <v>674</v>
      </c>
      <c r="N570" s="196"/>
      <c r="O570" s="196" t="s">
        <v>3291</v>
      </c>
      <c r="P570" s="144">
        <v>812</v>
      </c>
      <c r="Q570" s="145">
        <f t="shared" si="34"/>
        <v>3.1162999999999998</v>
      </c>
      <c r="R570" s="203">
        <v>1.0900000000000001</v>
      </c>
      <c r="S570" s="203"/>
      <c r="T570" s="151"/>
      <c r="U570" s="151">
        <v>1.7</v>
      </c>
      <c r="V570" s="151">
        <v>0.25</v>
      </c>
      <c r="W570" s="151">
        <f t="shared" si="35"/>
        <v>1.0900000000000001</v>
      </c>
      <c r="X570" s="152">
        <f t="shared" si="36"/>
        <v>7.6300000000000007E-2</v>
      </c>
      <c r="Y570" s="152"/>
      <c r="Z570" s="148"/>
      <c r="AA570" s="153"/>
      <c r="AB570" s="153"/>
      <c r="AC570" s="153"/>
      <c r="AD570" s="153"/>
      <c r="AH570" s="147"/>
    </row>
    <row r="571" spans="1:34" s="146" customFormat="1" x14ac:dyDescent="0.25">
      <c r="A571" s="196">
        <v>1315</v>
      </c>
      <c r="B571" s="196" t="s">
        <v>3375</v>
      </c>
      <c r="C571" s="196" t="s">
        <v>3376</v>
      </c>
      <c r="D571" s="196" t="s">
        <v>3312</v>
      </c>
      <c r="E571" s="196"/>
      <c r="F571" s="196">
        <v>2008</v>
      </c>
      <c r="G571" s="196"/>
      <c r="H571" s="196" t="s">
        <v>2963</v>
      </c>
      <c r="I571" s="141" t="s">
        <v>1879</v>
      </c>
      <c r="J571" s="196" t="s">
        <v>2237</v>
      </c>
      <c r="K571" s="196" t="s">
        <v>1881</v>
      </c>
      <c r="L571" s="141" t="s">
        <v>3377</v>
      </c>
      <c r="M571" s="196">
        <v>258</v>
      </c>
      <c r="N571" s="196"/>
      <c r="O571" s="196" t="s">
        <v>3292</v>
      </c>
      <c r="P571" s="144">
        <v>471</v>
      </c>
      <c r="Q571" s="145">
        <f t="shared" si="34"/>
        <v>2.6162999999999998</v>
      </c>
      <c r="R571" s="203">
        <v>1.0900000000000001</v>
      </c>
      <c r="S571" s="203"/>
      <c r="T571" s="151"/>
      <c r="U571" s="151">
        <v>1.2</v>
      </c>
      <c r="V571" s="151">
        <v>0.25</v>
      </c>
      <c r="W571" s="151">
        <f t="shared" si="35"/>
        <v>1.0900000000000001</v>
      </c>
      <c r="X571" s="152">
        <f t="shared" si="36"/>
        <v>7.6300000000000007E-2</v>
      </c>
      <c r="Y571" s="152"/>
      <c r="Z571" s="148"/>
      <c r="AA571" s="153"/>
      <c r="AB571" s="153"/>
      <c r="AC571" s="153"/>
      <c r="AD571" s="153"/>
      <c r="AH571" s="147"/>
    </row>
    <row r="572" spans="1:34" s="146" customFormat="1" x14ac:dyDescent="0.25">
      <c r="A572" s="196">
        <v>2022</v>
      </c>
      <c r="B572" s="196" t="s">
        <v>3378</v>
      </c>
      <c r="C572" s="196" t="s">
        <v>3379</v>
      </c>
      <c r="D572" s="196" t="s">
        <v>3380</v>
      </c>
      <c r="E572" s="196" t="s">
        <v>1913</v>
      </c>
      <c r="F572" s="196">
        <v>1999</v>
      </c>
      <c r="G572" s="196"/>
      <c r="H572" s="196" t="s">
        <v>2963</v>
      </c>
      <c r="I572" s="141" t="s">
        <v>1929</v>
      </c>
      <c r="J572" s="196"/>
      <c r="K572" s="196" t="s">
        <v>1881</v>
      </c>
      <c r="L572" s="141" t="s">
        <v>3381</v>
      </c>
      <c r="M572" s="196">
        <v>182</v>
      </c>
      <c r="N572" s="196"/>
      <c r="O572" s="196" t="s">
        <v>3293</v>
      </c>
      <c r="P572" s="144">
        <v>311</v>
      </c>
      <c r="Q572" s="145">
        <f t="shared" si="34"/>
        <v>2.2953000000000001</v>
      </c>
      <c r="R572" s="203">
        <v>0.79</v>
      </c>
      <c r="S572" s="203"/>
      <c r="T572" s="151"/>
      <c r="U572" s="151">
        <v>1.2</v>
      </c>
      <c r="V572" s="151">
        <v>0.25</v>
      </c>
      <c r="W572" s="151">
        <f t="shared" si="35"/>
        <v>0.79</v>
      </c>
      <c r="X572" s="152">
        <f t="shared" si="36"/>
        <v>5.5300000000000002E-2</v>
      </c>
      <c r="Y572" s="152"/>
      <c r="Z572" s="148"/>
      <c r="AA572" s="153"/>
      <c r="AB572" s="153"/>
      <c r="AC572" s="153"/>
      <c r="AD572" s="153"/>
      <c r="AH572" s="147"/>
    </row>
    <row r="573" spans="1:34" s="146" customFormat="1" x14ac:dyDescent="0.25">
      <c r="A573" s="196">
        <v>1395</v>
      </c>
      <c r="B573" s="196" t="s">
        <v>3386</v>
      </c>
      <c r="C573" s="196" t="s">
        <v>3387</v>
      </c>
      <c r="D573" s="196" t="s">
        <v>3388</v>
      </c>
      <c r="E573" s="196"/>
      <c r="F573" s="196">
        <v>2012</v>
      </c>
      <c r="G573" s="196"/>
      <c r="H573" s="196" t="s">
        <v>2314</v>
      </c>
      <c r="I573" s="141" t="s">
        <v>1929</v>
      </c>
      <c r="J573" s="196"/>
      <c r="K573" s="196" t="s">
        <v>1881</v>
      </c>
      <c r="L573" s="141" t="s">
        <v>3389</v>
      </c>
      <c r="M573" s="196">
        <v>240</v>
      </c>
      <c r="N573" s="196"/>
      <c r="O573" s="196" t="s">
        <v>3295</v>
      </c>
      <c r="P573" s="144">
        <v>289</v>
      </c>
      <c r="Q573" s="145">
        <f t="shared" si="34"/>
        <v>3.4722999999999997</v>
      </c>
      <c r="R573" s="203">
        <v>1.89</v>
      </c>
      <c r="S573" s="203"/>
      <c r="T573" s="151"/>
      <c r="U573" s="151">
        <v>1.2</v>
      </c>
      <c r="V573" s="151">
        <v>0.25</v>
      </c>
      <c r="W573" s="151">
        <f t="shared" si="35"/>
        <v>1.89</v>
      </c>
      <c r="X573" s="152">
        <f t="shared" si="36"/>
        <v>0.1323</v>
      </c>
      <c r="Y573" s="152"/>
      <c r="Z573" s="148"/>
      <c r="AA573" s="153"/>
      <c r="AB573" s="153"/>
      <c r="AC573" s="153"/>
      <c r="AD573" s="153"/>
      <c r="AH573" s="147"/>
    </row>
    <row r="574" spans="1:34" s="146" customFormat="1" ht="105.6" x14ac:dyDescent="0.25">
      <c r="A574" s="196">
        <v>2522</v>
      </c>
      <c r="B574" s="196" t="s">
        <v>3390</v>
      </c>
      <c r="C574" s="196" t="s">
        <v>3391</v>
      </c>
      <c r="D574" s="196" t="s">
        <v>2257</v>
      </c>
      <c r="E574" s="196" t="s">
        <v>1921</v>
      </c>
      <c r="F574" s="196">
        <v>2007</v>
      </c>
      <c r="G574" s="196"/>
      <c r="H574" s="196" t="s">
        <v>1878</v>
      </c>
      <c r="I574" s="141" t="s">
        <v>1879</v>
      </c>
      <c r="J574" s="142" t="s">
        <v>3392</v>
      </c>
      <c r="K574" s="196" t="s">
        <v>1881</v>
      </c>
      <c r="L574" s="141" t="s">
        <v>3393</v>
      </c>
      <c r="M574" s="196">
        <v>480</v>
      </c>
      <c r="N574" s="196"/>
      <c r="O574" s="196" t="s">
        <v>3296</v>
      </c>
      <c r="P574" s="144">
        <v>317</v>
      </c>
      <c r="Q574" s="145">
        <f t="shared" si="34"/>
        <v>3.1513</v>
      </c>
      <c r="R574" s="203">
        <v>1.59</v>
      </c>
      <c r="S574" s="203"/>
      <c r="T574" s="151"/>
      <c r="U574" s="151">
        <v>1.2</v>
      </c>
      <c r="V574" s="151">
        <v>0.25</v>
      </c>
      <c r="W574" s="151">
        <f t="shared" si="35"/>
        <v>1.59</v>
      </c>
      <c r="X574" s="152">
        <f t="shared" si="36"/>
        <v>0.11130000000000001</v>
      </c>
      <c r="Y574" s="152"/>
      <c r="Z574" s="148"/>
      <c r="AA574" s="153"/>
      <c r="AB574" s="153"/>
      <c r="AC574" s="153"/>
      <c r="AD574" s="153"/>
      <c r="AH574" s="147"/>
    </row>
    <row r="575" spans="1:34" s="146" customFormat="1" x14ac:dyDescent="0.25">
      <c r="A575" s="196">
        <v>2522</v>
      </c>
      <c r="B575" s="196" t="s">
        <v>3394</v>
      </c>
      <c r="C575" s="196" t="s">
        <v>3395</v>
      </c>
      <c r="D575" s="196" t="s">
        <v>2424</v>
      </c>
      <c r="E575" s="196"/>
      <c r="F575" s="196">
        <v>2009</v>
      </c>
      <c r="G575" s="196"/>
      <c r="H575" s="196" t="s">
        <v>2963</v>
      </c>
      <c r="I575" s="141" t="s">
        <v>1929</v>
      </c>
      <c r="J575" s="196"/>
      <c r="K575" s="196" t="s">
        <v>1881</v>
      </c>
      <c r="L575" s="141" t="s">
        <v>3396</v>
      </c>
      <c r="M575" s="196">
        <v>258</v>
      </c>
      <c r="N575" s="196"/>
      <c r="O575" s="196" t="s">
        <v>3297</v>
      </c>
      <c r="P575" s="144">
        <v>453</v>
      </c>
      <c r="Q575" s="145">
        <f t="shared" si="34"/>
        <v>2.6162999999999998</v>
      </c>
      <c r="R575" s="203">
        <v>1.0900000000000001</v>
      </c>
      <c r="S575" s="203"/>
      <c r="T575" s="151"/>
      <c r="U575" s="151">
        <v>1.2</v>
      </c>
      <c r="V575" s="151">
        <v>0.25</v>
      </c>
      <c r="W575" s="151">
        <f t="shared" si="35"/>
        <v>1.0900000000000001</v>
      </c>
      <c r="X575" s="152">
        <f t="shared" si="36"/>
        <v>7.6300000000000007E-2</v>
      </c>
      <c r="Y575" s="152"/>
      <c r="Z575" s="148"/>
      <c r="AA575" s="153"/>
      <c r="AB575" s="153"/>
      <c r="AC575" s="153"/>
      <c r="AD575" s="153"/>
      <c r="AH575" s="147"/>
    </row>
    <row r="576" spans="1:34" s="146" customFormat="1" x14ac:dyDescent="0.25">
      <c r="A576" s="196">
        <v>632</v>
      </c>
      <c r="B576" s="196" t="s">
        <v>3400</v>
      </c>
      <c r="C576" s="196" t="s">
        <v>3401</v>
      </c>
      <c r="D576" s="196" t="s">
        <v>2257</v>
      </c>
      <c r="E576" s="196"/>
      <c r="F576" s="196">
        <v>2010</v>
      </c>
      <c r="G576" s="196"/>
      <c r="H576" s="196" t="s">
        <v>1878</v>
      </c>
      <c r="I576" s="141" t="s">
        <v>1879</v>
      </c>
      <c r="J576" s="196" t="s">
        <v>3303</v>
      </c>
      <c r="K576" s="196" t="s">
        <v>1881</v>
      </c>
      <c r="L576" s="141" t="s">
        <v>3402</v>
      </c>
      <c r="M576" s="196">
        <v>782</v>
      </c>
      <c r="N576" s="196"/>
      <c r="O576" s="196" t="s">
        <v>3299</v>
      </c>
      <c r="P576" s="144">
        <v>586</v>
      </c>
      <c r="Q576" s="145">
        <f t="shared" si="34"/>
        <v>2.2603</v>
      </c>
      <c r="R576" s="203">
        <v>0.28999999999999998</v>
      </c>
      <c r="S576" s="203"/>
      <c r="T576" s="151"/>
      <c r="U576" s="151">
        <v>1.7</v>
      </c>
      <c r="V576" s="151">
        <v>0.25</v>
      </c>
      <c r="W576" s="151">
        <f t="shared" si="35"/>
        <v>0.28999999999999998</v>
      </c>
      <c r="X576" s="152">
        <f t="shared" si="36"/>
        <v>2.0299999999999999E-2</v>
      </c>
      <c r="Y576" s="152"/>
      <c r="Z576" s="148"/>
      <c r="AA576" s="153"/>
      <c r="AB576" s="153"/>
      <c r="AC576" s="153"/>
      <c r="AD576" s="153"/>
      <c r="AH576" s="147"/>
    </row>
    <row r="577" spans="1:34" s="146" customFormat="1" x14ac:dyDescent="0.25">
      <c r="A577" s="196">
        <v>1394</v>
      </c>
      <c r="B577" s="196" t="s">
        <v>3403</v>
      </c>
      <c r="C577" s="196" t="s">
        <v>3404</v>
      </c>
      <c r="D577" s="196" t="s">
        <v>1979</v>
      </c>
      <c r="E577" s="196"/>
      <c r="F577" s="196">
        <v>2006</v>
      </c>
      <c r="G577" s="196"/>
      <c r="H577" s="196" t="s">
        <v>1878</v>
      </c>
      <c r="I577" s="141" t="s">
        <v>1879</v>
      </c>
      <c r="J577" s="196" t="s">
        <v>3303</v>
      </c>
      <c r="K577" s="196" t="s">
        <v>1881</v>
      </c>
      <c r="L577" s="141" t="s">
        <v>3405</v>
      </c>
      <c r="M577" s="196">
        <v>120</v>
      </c>
      <c r="N577" s="196"/>
      <c r="O577" s="196" t="s">
        <v>3300</v>
      </c>
      <c r="P577" s="144">
        <v>191</v>
      </c>
      <c r="Q577" s="145">
        <f t="shared" si="34"/>
        <v>2.4022999999999999</v>
      </c>
      <c r="R577" s="203">
        <v>0.89</v>
      </c>
      <c r="S577" s="203"/>
      <c r="T577" s="151"/>
      <c r="U577" s="151">
        <v>1.2</v>
      </c>
      <c r="V577" s="151">
        <v>0.25</v>
      </c>
      <c r="W577" s="151">
        <f t="shared" si="35"/>
        <v>0.89</v>
      </c>
      <c r="X577" s="152">
        <f t="shared" si="36"/>
        <v>6.2300000000000001E-2</v>
      </c>
      <c r="Y577" s="152"/>
      <c r="Z577" s="148"/>
      <c r="AA577" s="153"/>
      <c r="AB577" s="153"/>
      <c r="AC577" s="153"/>
      <c r="AD577" s="153"/>
      <c r="AH577" s="147"/>
    </row>
    <row r="578" spans="1:34" s="146" customFormat="1" x14ac:dyDescent="0.25">
      <c r="A578" s="196">
        <v>2522</v>
      </c>
      <c r="B578" s="196" t="s">
        <v>3406</v>
      </c>
      <c r="C578" s="196" t="s">
        <v>3407</v>
      </c>
      <c r="D578" s="196" t="s">
        <v>2609</v>
      </c>
      <c r="E578" s="196"/>
      <c r="F578" s="196">
        <v>2012</v>
      </c>
      <c r="G578" s="196"/>
      <c r="H578" s="196" t="s">
        <v>2314</v>
      </c>
      <c r="I578" s="141" t="s">
        <v>1879</v>
      </c>
      <c r="J578" s="196" t="s">
        <v>3303</v>
      </c>
      <c r="K578" s="196" t="s">
        <v>1881</v>
      </c>
      <c r="L578" s="141"/>
      <c r="M578" s="196">
        <v>400</v>
      </c>
      <c r="N578" s="196"/>
      <c r="O578" s="196" t="s">
        <v>3366</v>
      </c>
      <c r="P578" s="144">
        <v>458</v>
      </c>
      <c r="Q578" s="145">
        <f t="shared" si="34"/>
        <v>1.7175</v>
      </c>
      <c r="R578" s="203">
        <v>0.25</v>
      </c>
      <c r="S578" s="203"/>
      <c r="T578" s="151"/>
      <c r="U578" s="151">
        <v>1.2</v>
      </c>
      <c r="V578" s="151">
        <v>0.25</v>
      </c>
      <c r="W578" s="151">
        <f t="shared" si="35"/>
        <v>0.25</v>
      </c>
      <c r="X578" s="152">
        <f t="shared" si="36"/>
        <v>1.7500000000000002E-2</v>
      </c>
      <c r="Y578" s="152"/>
      <c r="Z578" s="148"/>
      <c r="AA578" s="153"/>
      <c r="AB578" s="153"/>
      <c r="AC578" s="153"/>
      <c r="AD578" s="153"/>
      <c r="AH578" s="147"/>
    </row>
    <row r="579" spans="1:34" s="146" customFormat="1" x14ac:dyDescent="0.25">
      <c r="A579" s="196">
        <v>689</v>
      </c>
      <c r="B579" s="196" t="s">
        <v>3411</v>
      </c>
      <c r="C579" s="196" t="s">
        <v>3412</v>
      </c>
      <c r="D579" s="196" t="s">
        <v>3413</v>
      </c>
      <c r="E579" s="196"/>
      <c r="F579" s="196">
        <v>2009</v>
      </c>
      <c r="G579" s="196"/>
      <c r="H579" s="196" t="s">
        <v>2314</v>
      </c>
      <c r="I579" s="141" t="s">
        <v>1879</v>
      </c>
      <c r="J579" s="143" t="s">
        <v>3318</v>
      </c>
      <c r="K579" s="196" t="s">
        <v>1881</v>
      </c>
      <c r="L579" s="141" t="s">
        <v>3414</v>
      </c>
      <c r="M579" s="196">
        <v>400</v>
      </c>
      <c r="N579" s="196"/>
      <c r="O579" s="196" t="s">
        <v>3368</v>
      </c>
      <c r="P579" s="144">
        <v>347</v>
      </c>
      <c r="Q579" s="145">
        <f t="shared" si="34"/>
        <v>1.8673</v>
      </c>
      <c r="R579" s="203">
        <v>0.39</v>
      </c>
      <c r="S579" s="203"/>
      <c r="T579" s="151"/>
      <c r="U579" s="151">
        <v>1.2</v>
      </c>
      <c r="V579" s="151">
        <v>0.25</v>
      </c>
      <c r="W579" s="151">
        <f t="shared" si="35"/>
        <v>0.39</v>
      </c>
      <c r="X579" s="152">
        <f t="shared" si="36"/>
        <v>2.7300000000000001E-2</v>
      </c>
      <c r="Y579" s="152"/>
      <c r="Z579" s="148"/>
      <c r="AA579" s="153"/>
      <c r="AB579" s="153"/>
      <c r="AC579" s="153"/>
      <c r="AD579" s="153"/>
      <c r="AH579" s="147"/>
    </row>
    <row r="580" spans="1:34" s="146" customFormat="1" x14ac:dyDescent="0.25">
      <c r="A580" s="196">
        <v>1395</v>
      </c>
      <c r="B580" s="196" t="s">
        <v>3451</v>
      </c>
      <c r="C580" s="196" t="s">
        <v>3452</v>
      </c>
      <c r="D580" s="196" t="s">
        <v>1920</v>
      </c>
      <c r="E580" s="196" t="s">
        <v>1974</v>
      </c>
      <c r="F580" s="196">
        <v>1998</v>
      </c>
      <c r="G580" s="196"/>
      <c r="H580" s="196" t="s">
        <v>1878</v>
      </c>
      <c r="I580" s="141" t="s">
        <v>1879</v>
      </c>
      <c r="J580" s="196" t="s">
        <v>3453</v>
      </c>
      <c r="K580" s="196" t="s">
        <v>1881</v>
      </c>
      <c r="L580" s="141" t="s">
        <v>3454</v>
      </c>
      <c r="M580" s="196">
        <v>384</v>
      </c>
      <c r="N580" s="196"/>
      <c r="O580" s="196" t="s">
        <v>3416</v>
      </c>
      <c r="P580" s="144">
        <v>294</v>
      </c>
      <c r="Q580" s="145">
        <f t="shared" si="34"/>
        <v>1.7175</v>
      </c>
      <c r="R580" s="203">
        <v>0.25</v>
      </c>
      <c r="S580" s="203"/>
      <c r="T580" s="151"/>
      <c r="U580" s="151">
        <v>1.2</v>
      </c>
      <c r="V580" s="151">
        <v>0.25</v>
      </c>
      <c r="W580" s="151">
        <f t="shared" si="35"/>
        <v>0.25</v>
      </c>
      <c r="X580" s="152">
        <f t="shared" si="36"/>
        <v>1.7500000000000002E-2</v>
      </c>
      <c r="Y580" s="152"/>
      <c r="Z580" s="148"/>
      <c r="AA580" s="153"/>
      <c r="AB580" s="153"/>
      <c r="AC580" s="153"/>
      <c r="AD580" s="153"/>
      <c r="AH580" s="147"/>
    </row>
    <row r="581" spans="1:34" s="146" customFormat="1" x14ac:dyDescent="0.25">
      <c r="A581" s="196">
        <v>1320</v>
      </c>
      <c r="B581" s="196" t="s">
        <v>3455</v>
      </c>
      <c r="C581" s="196" t="s">
        <v>3456</v>
      </c>
      <c r="D581" s="196" t="s">
        <v>1979</v>
      </c>
      <c r="E581" s="196"/>
      <c r="F581" s="196">
        <v>1987</v>
      </c>
      <c r="G581" s="196"/>
      <c r="H581" s="196" t="s">
        <v>1878</v>
      </c>
      <c r="I581" s="141" t="s">
        <v>1879</v>
      </c>
      <c r="J581" s="196" t="s">
        <v>3453</v>
      </c>
      <c r="K581" s="196" t="s">
        <v>1881</v>
      </c>
      <c r="L581" s="141" t="s">
        <v>3457</v>
      </c>
      <c r="M581" s="196">
        <v>128</v>
      </c>
      <c r="N581" s="196"/>
      <c r="O581" s="196" t="s">
        <v>3417</v>
      </c>
      <c r="P581" s="144">
        <v>318</v>
      </c>
      <c r="Q581" s="145">
        <f t="shared" si="34"/>
        <v>1.7175</v>
      </c>
      <c r="R581" s="203">
        <v>0.25</v>
      </c>
      <c r="S581" s="203"/>
      <c r="T581" s="151"/>
      <c r="U581" s="151">
        <v>1.2</v>
      </c>
      <c r="V581" s="151">
        <v>0.25</v>
      </c>
      <c r="W581" s="151">
        <f t="shared" si="35"/>
        <v>0.25</v>
      </c>
      <c r="X581" s="152">
        <f t="shared" si="36"/>
        <v>1.7500000000000002E-2</v>
      </c>
      <c r="Y581" s="152"/>
      <c r="Z581" s="148"/>
      <c r="AA581" s="153"/>
      <c r="AB581" s="153"/>
      <c r="AC581" s="153"/>
      <c r="AD581" s="153"/>
      <c r="AH581" s="147"/>
    </row>
    <row r="582" spans="1:34" s="146" customFormat="1" x14ac:dyDescent="0.25">
      <c r="A582" s="196">
        <v>968</v>
      </c>
      <c r="B582" s="196" t="s">
        <v>3458</v>
      </c>
      <c r="C582" s="196" t="s">
        <v>3459</v>
      </c>
      <c r="D582" s="196" t="s">
        <v>3413</v>
      </c>
      <c r="E582" s="196"/>
      <c r="F582" s="196">
        <v>2012</v>
      </c>
      <c r="G582" s="196"/>
      <c r="H582" s="196" t="s">
        <v>1878</v>
      </c>
      <c r="I582" s="141" t="s">
        <v>1879</v>
      </c>
      <c r="J582" s="196" t="s">
        <v>2237</v>
      </c>
      <c r="K582" s="196" t="s">
        <v>2025</v>
      </c>
      <c r="L582" s="141" t="s">
        <v>3460</v>
      </c>
      <c r="M582" s="196">
        <v>570</v>
      </c>
      <c r="N582" s="196"/>
      <c r="O582" s="196" t="s">
        <v>3418</v>
      </c>
      <c r="P582" s="144">
        <v>450</v>
      </c>
      <c r="Q582" s="145">
        <f t="shared" si="34"/>
        <v>3.0442999999999998</v>
      </c>
      <c r="R582" s="203">
        <v>1.49</v>
      </c>
      <c r="S582" s="203"/>
      <c r="T582" s="151"/>
      <c r="U582" s="151">
        <v>1.2</v>
      </c>
      <c r="V582" s="151">
        <v>0.25</v>
      </c>
      <c r="W582" s="151">
        <f t="shared" si="35"/>
        <v>1.49</v>
      </c>
      <c r="X582" s="152">
        <f t="shared" si="36"/>
        <v>0.1043</v>
      </c>
      <c r="Y582" s="152"/>
      <c r="Z582" s="148"/>
      <c r="AA582" s="153"/>
      <c r="AB582" s="153"/>
      <c r="AC582" s="153"/>
      <c r="AD582" s="153"/>
      <c r="AH582" s="147"/>
    </row>
    <row r="583" spans="1:34" s="146" customFormat="1" x14ac:dyDescent="0.25">
      <c r="A583" s="196">
        <v>1030</v>
      </c>
      <c r="B583" s="196" t="s">
        <v>3461</v>
      </c>
      <c r="C583" s="196" t="s">
        <v>3462</v>
      </c>
      <c r="D583" s="196" t="s">
        <v>3463</v>
      </c>
      <c r="E583" s="196"/>
      <c r="F583" s="196">
        <v>1965</v>
      </c>
      <c r="G583" s="196"/>
      <c r="H583" s="196" t="s">
        <v>1878</v>
      </c>
      <c r="I583" s="141" t="s">
        <v>1879</v>
      </c>
      <c r="J583" s="196" t="s">
        <v>2237</v>
      </c>
      <c r="K583" s="196" t="s">
        <v>3464</v>
      </c>
      <c r="L583" s="141"/>
      <c r="M583" s="196">
        <v>124</v>
      </c>
      <c r="N583" s="196"/>
      <c r="O583" s="196" t="s">
        <v>3419</v>
      </c>
      <c r="P583" s="144">
        <v>164</v>
      </c>
      <c r="Q583" s="145">
        <f t="shared" ref="Q583:Q639" si="37">SUM(T583:X583)</f>
        <v>3.5792999999999999</v>
      </c>
      <c r="R583" s="203">
        <v>1.99</v>
      </c>
      <c r="S583" s="203"/>
      <c r="T583" s="151"/>
      <c r="U583" s="151">
        <v>1.2</v>
      </c>
      <c r="V583" s="151">
        <v>0.25</v>
      </c>
      <c r="W583" s="151">
        <f t="shared" ref="W583:W639" si="38">IF(R583&gt;T583,R583,T583)</f>
        <v>1.99</v>
      </c>
      <c r="X583" s="152">
        <f t="shared" ref="X583:X639" si="39">(T583+W583)/100*7</f>
        <v>0.13930000000000001</v>
      </c>
      <c r="Y583" s="152"/>
      <c r="Z583" s="148"/>
      <c r="AA583" s="153"/>
      <c r="AB583" s="153"/>
      <c r="AC583" s="153"/>
      <c r="AD583" s="153"/>
      <c r="AH583" s="147"/>
    </row>
    <row r="584" spans="1:34" s="146" customFormat="1" x14ac:dyDescent="0.25">
      <c r="A584" s="196">
        <v>2547</v>
      </c>
      <c r="B584" s="196" t="s">
        <v>3465</v>
      </c>
      <c r="C584" s="196" t="s">
        <v>3466</v>
      </c>
      <c r="D584" s="196" t="s">
        <v>2232</v>
      </c>
      <c r="E584" s="196"/>
      <c r="F584" s="196">
        <v>1997</v>
      </c>
      <c r="G584" s="196"/>
      <c r="H584" s="196" t="s">
        <v>1878</v>
      </c>
      <c r="I584" s="141" t="s">
        <v>1879</v>
      </c>
      <c r="J584" s="196" t="s">
        <v>2237</v>
      </c>
      <c r="K584" s="196" t="s">
        <v>1881</v>
      </c>
      <c r="L584" s="141" t="s">
        <v>3467</v>
      </c>
      <c r="M584" s="196">
        <v>256</v>
      </c>
      <c r="N584" s="196"/>
      <c r="O584" s="196" t="s">
        <v>3420</v>
      </c>
      <c r="P584" s="144">
        <v>266</v>
      </c>
      <c r="Q584" s="145">
        <f t="shared" si="37"/>
        <v>1.7175</v>
      </c>
      <c r="R584" s="203">
        <v>0.25</v>
      </c>
      <c r="S584" s="203"/>
      <c r="T584" s="151"/>
      <c r="U584" s="151">
        <v>1.2</v>
      </c>
      <c r="V584" s="151">
        <v>0.25</v>
      </c>
      <c r="W584" s="151">
        <f t="shared" si="38"/>
        <v>0.25</v>
      </c>
      <c r="X584" s="152">
        <f t="shared" si="39"/>
        <v>1.7500000000000002E-2</v>
      </c>
      <c r="Y584" s="152"/>
      <c r="Z584" s="148"/>
      <c r="AA584" s="153"/>
      <c r="AB584" s="153"/>
      <c r="AC584" s="153"/>
      <c r="AD584" s="153"/>
      <c r="AH584" s="147"/>
    </row>
    <row r="585" spans="1:34" s="146" customFormat="1" x14ac:dyDescent="0.25">
      <c r="A585" s="196">
        <v>796</v>
      </c>
      <c r="B585" s="196" t="s">
        <v>3468</v>
      </c>
      <c r="C585" s="196" t="s">
        <v>3469</v>
      </c>
      <c r="D585" s="196" t="s">
        <v>3470</v>
      </c>
      <c r="E585" s="196"/>
      <c r="F585" s="196">
        <v>2006</v>
      </c>
      <c r="G585" s="196"/>
      <c r="H585" s="196" t="s">
        <v>1878</v>
      </c>
      <c r="I585" s="141" t="s">
        <v>1879</v>
      </c>
      <c r="J585" s="196" t="s">
        <v>3453</v>
      </c>
      <c r="K585" s="196" t="s">
        <v>1881</v>
      </c>
      <c r="L585" s="141" t="s">
        <v>3471</v>
      </c>
      <c r="M585" s="196">
        <v>192</v>
      </c>
      <c r="N585" s="196"/>
      <c r="O585" s="196" t="s">
        <v>3421</v>
      </c>
      <c r="P585" s="144">
        <v>207</v>
      </c>
      <c r="Q585" s="145">
        <f t="shared" si="37"/>
        <v>2.2953000000000001</v>
      </c>
      <c r="R585" s="203">
        <v>0.79</v>
      </c>
      <c r="S585" s="203"/>
      <c r="T585" s="151"/>
      <c r="U585" s="151">
        <v>1.2</v>
      </c>
      <c r="V585" s="151">
        <v>0.25</v>
      </c>
      <c r="W585" s="151">
        <f t="shared" si="38"/>
        <v>0.79</v>
      </c>
      <c r="X585" s="152">
        <f t="shared" si="39"/>
        <v>5.5300000000000002E-2</v>
      </c>
      <c r="Y585" s="152"/>
      <c r="Z585" s="148"/>
      <c r="AA585" s="153"/>
      <c r="AB585" s="153"/>
      <c r="AC585" s="153"/>
      <c r="AD585" s="153"/>
      <c r="AH585" s="147"/>
    </row>
    <row r="586" spans="1:34" s="146" customFormat="1" x14ac:dyDescent="0.25">
      <c r="A586" s="196">
        <v>631</v>
      </c>
      <c r="B586" s="196" t="s">
        <v>3472</v>
      </c>
      <c r="C586" s="196" t="s">
        <v>3473</v>
      </c>
      <c r="D586" s="196" t="s">
        <v>1912</v>
      </c>
      <c r="E586" s="196" t="s">
        <v>2375</v>
      </c>
      <c r="F586" s="196">
        <v>2012</v>
      </c>
      <c r="G586" s="196"/>
      <c r="H586" s="196" t="s">
        <v>1878</v>
      </c>
      <c r="I586" s="141" t="s">
        <v>1879</v>
      </c>
      <c r="J586" s="196" t="s">
        <v>3303</v>
      </c>
      <c r="K586" s="196" t="s">
        <v>1881</v>
      </c>
      <c r="L586" s="141" t="s">
        <v>3474</v>
      </c>
      <c r="M586" s="196">
        <v>608</v>
      </c>
      <c r="N586" s="196"/>
      <c r="O586" s="196" t="s">
        <v>3422</v>
      </c>
      <c r="P586" s="144">
        <v>626</v>
      </c>
      <c r="Q586" s="145">
        <f t="shared" si="37"/>
        <v>2.2175000000000002</v>
      </c>
      <c r="R586" s="203">
        <v>0.25</v>
      </c>
      <c r="S586" s="203"/>
      <c r="T586" s="151"/>
      <c r="U586" s="151">
        <v>1.7</v>
      </c>
      <c r="V586" s="151">
        <v>0.25</v>
      </c>
      <c r="W586" s="151">
        <f t="shared" si="38"/>
        <v>0.25</v>
      </c>
      <c r="X586" s="152">
        <f t="shared" si="39"/>
        <v>1.7500000000000002E-2</v>
      </c>
      <c r="Y586" s="152"/>
      <c r="Z586" s="148"/>
      <c r="AA586" s="153"/>
      <c r="AB586" s="153"/>
      <c r="AC586" s="153"/>
      <c r="AD586" s="153"/>
      <c r="AH586" s="147"/>
    </row>
    <row r="587" spans="1:34" s="146" customFormat="1" x14ac:dyDescent="0.25">
      <c r="A587" s="196">
        <v>718</v>
      </c>
      <c r="B587" s="196" t="s">
        <v>3479</v>
      </c>
      <c r="C587" s="196" t="s">
        <v>3480</v>
      </c>
      <c r="D587" s="196" t="s">
        <v>2068</v>
      </c>
      <c r="E587" s="196"/>
      <c r="F587" s="196">
        <v>2000</v>
      </c>
      <c r="G587" s="196"/>
      <c r="H587" s="196" t="s">
        <v>2295</v>
      </c>
      <c r="I587" s="141" t="s">
        <v>1879</v>
      </c>
      <c r="J587" s="196" t="s">
        <v>2237</v>
      </c>
      <c r="K587" s="196" t="s">
        <v>1881</v>
      </c>
      <c r="L587" s="141" t="s">
        <v>3481</v>
      </c>
      <c r="M587" s="196">
        <v>210</v>
      </c>
      <c r="N587" s="196"/>
      <c r="O587" s="196" t="s">
        <v>3424</v>
      </c>
      <c r="P587" s="144">
        <v>1044</v>
      </c>
      <c r="Q587" s="145">
        <f t="shared" si="37"/>
        <v>5.6343000000000005</v>
      </c>
      <c r="R587" s="203">
        <v>1.49</v>
      </c>
      <c r="S587" s="203"/>
      <c r="T587" s="151"/>
      <c r="U587" s="151">
        <v>3.79</v>
      </c>
      <c r="V587" s="151">
        <v>0.25</v>
      </c>
      <c r="W587" s="151">
        <f t="shared" si="38"/>
        <v>1.49</v>
      </c>
      <c r="X587" s="152">
        <f t="shared" si="39"/>
        <v>0.1043</v>
      </c>
      <c r="Y587" s="152"/>
      <c r="Z587" s="148"/>
      <c r="AA587" s="153"/>
      <c r="AB587" s="153"/>
      <c r="AC587" s="153"/>
      <c r="AD587" s="153"/>
      <c r="AH587" s="147"/>
    </row>
    <row r="588" spans="1:34" s="146" customFormat="1" x14ac:dyDescent="0.25">
      <c r="A588" s="196">
        <v>2707</v>
      </c>
      <c r="B588" s="196"/>
      <c r="C588" s="196" t="s">
        <v>3482</v>
      </c>
      <c r="D588" s="196" t="s">
        <v>2309</v>
      </c>
      <c r="E588" s="196"/>
      <c r="F588" s="196"/>
      <c r="G588" s="196"/>
      <c r="H588" s="196" t="s">
        <v>2295</v>
      </c>
      <c r="I588" s="141" t="s">
        <v>1879</v>
      </c>
      <c r="J588" s="196" t="s">
        <v>3453</v>
      </c>
      <c r="K588" s="196" t="s">
        <v>1881</v>
      </c>
      <c r="L588" s="141" t="s">
        <v>3483</v>
      </c>
      <c r="M588" s="196">
        <v>370</v>
      </c>
      <c r="N588" s="196"/>
      <c r="O588" s="196" t="s">
        <v>3425</v>
      </c>
      <c r="P588" s="144">
        <v>1640</v>
      </c>
      <c r="Q588" s="145">
        <f t="shared" si="37"/>
        <v>4.3075000000000001</v>
      </c>
      <c r="R588" s="203">
        <v>0.25</v>
      </c>
      <c r="S588" s="203"/>
      <c r="T588" s="151"/>
      <c r="U588" s="151">
        <v>3.79</v>
      </c>
      <c r="V588" s="151">
        <v>0.25</v>
      </c>
      <c r="W588" s="151">
        <f t="shared" si="38"/>
        <v>0.25</v>
      </c>
      <c r="X588" s="152">
        <f t="shared" si="39"/>
        <v>1.7500000000000002E-2</v>
      </c>
      <c r="Y588" s="152"/>
      <c r="Z588" s="148"/>
      <c r="AA588" s="153"/>
      <c r="AB588" s="153"/>
      <c r="AC588" s="153"/>
      <c r="AD588" s="153"/>
      <c r="AH588" s="147"/>
    </row>
    <row r="589" spans="1:34" s="146" customFormat="1" x14ac:dyDescent="0.25">
      <c r="A589" s="196">
        <v>735</v>
      </c>
      <c r="B589" s="196" t="s">
        <v>3484</v>
      </c>
      <c r="C589" s="196" t="s">
        <v>3485</v>
      </c>
      <c r="D589" s="196" t="s">
        <v>1912</v>
      </c>
      <c r="E589" s="196" t="s">
        <v>1913</v>
      </c>
      <c r="F589" s="196">
        <v>1989</v>
      </c>
      <c r="G589" s="196"/>
      <c r="H589" s="196" t="s">
        <v>1878</v>
      </c>
      <c r="I589" s="141" t="s">
        <v>1879</v>
      </c>
      <c r="J589" s="196" t="s">
        <v>3486</v>
      </c>
      <c r="K589" s="196" t="s">
        <v>1881</v>
      </c>
      <c r="L589" s="141" t="s">
        <v>3487</v>
      </c>
      <c r="M589" s="196">
        <v>160</v>
      </c>
      <c r="N589" s="196"/>
      <c r="O589" s="196" t="s">
        <v>3426</v>
      </c>
      <c r="P589" s="144">
        <v>103</v>
      </c>
      <c r="Q589" s="145">
        <f t="shared" si="37"/>
        <v>3.3653000000000004</v>
      </c>
      <c r="R589" s="203">
        <v>1.79</v>
      </c>
      <c r="S589" s="203"/>
      <c r="T589" s="151"/>
      <c r="U589" s="151">
        <v>1.2</v>
      </c>
      <c r="V589" s="151">
        <v>0.25</v>
      </c>
      <c r="W589" s="151">
        <f t="shared" si="38"/>
        <v>1.79</v>
      </c>
      <c r="X589" s="152">
        <f t="shared" si="39"/>
        <v>0.12529999999999999</v>
      </c>
      <c r="Y589" s="152"/>
      <c r="Z589" s="148"/>
      <c r="AA589" s="153"/>
      <c r="AB589" s="153"/>
      <c r="AC589" s="153"/>
      <c r="AD589" s="153"/>
      <c r="AH589" s="147"/>
    </row>
    <row r="590" spans="1:34" s="146" customFormat="1" x14ac:dyDescent="0.25">
      <c r="A590" s="196">
        <v>735</v>
      </c>
      <c r="B590" s="196" t="s">
        <v>3488</v>
      </c>
      <c r="C590" s="196" t="s">
        <v>3489</v>
      </c>
      <c r="D590" s="196" t="s">
        <v>1912</v>
      </c>
      <c r="E590" s="196" t="s">
        <v>1913</v>
      </c>
      <c r="F590" s="196">
        <v>1991</v>
      </c>
      <c r="G590" s="196"/>
      <c r="H590" s="196" t="s">
        <v>1878</v>
      </c>
      <c r="I590" s="141" t="s">
        <v>1879</v>
      </c>
      <c r="J590" s="196" t="s">
        <v>3486</v>
      </c>
      <c r="K590" s="196" t="s">
        <v>1881</v>
      </c>
      <c r="L590" s="141" t="s">
        <v>3490</v>
      </c>
      <c r="M590" s="196">
        <v>224</v>
      </c>
      <c r="N590" s="196"/>
      <c r="O590" s="196" t="s">
        <v>3427</v>
      </c>
      <c r="P590" s="144">
        <v>151</v>
      </c>
      <c r="Q590" s="145">
        <f t="shared" si="37"/>
        <v>33.539299999999997</v>
      </c>
      <c r="R590" s="203">
        <v>29.99</v>
      </c>
      <c r="S590" s="203"/>
      <c r="T590" s="151"/>
      <c r="U590" s="151">
        <v>1.2</v>
      </c>
      <c r="V590" s="151">
        <v>0.25</v>
      </c>
      <c r="W590" s="151">
        <f t="shared" si="38"/>
        <v>29.99</v>
      </c>
      <c r="X590" s="152">
        <f t="shared" si="39"/>
        <v>2.0992999999999999</v>
      </c>
      <c r="Y590" s="152"/>
      <c r="Z590" s="148"/>
      <c r="AA590" s="153"/>
      <c r="AB590" s="153"/>
      <c r="AC590" s="153"/>
      <c r="AD590" s="153"/>
      <c r="AH590" s="147"/>
    </row>
    <row r="591" spans="1:34" s="146" customFormat="1" x14ac:dyDescent="0.25">
      <c r="A591" s="196">
        <v>853</v>
      </c>
      <c r="B591" s="196"/>
      <c r="C591" s="196" t="s">
        <v>3491</v>
      </c>
      <c r="D591" s="196" t="s">
        <v>3492</v>
      </c>
      <c r="E591" s="196"/>
      <c r="F591" s="196">
        <v>1996</v>
      </c>
      <c r="G591" s="196"/>
      <c r="H591" s="196" t="s">
        <v>2217</v>
      </c>
      <c r="I591" s="141" t="s">
        <v>1879</v>
      </c>
      <c r="J591" s="196"/>
      <c r="K591" s="196" t="s">
        <v>1881</v>
      </c>
      <c r="L591" s="141" t="s">
        <v>3493</v>
      </c>
      <c r="M591" s="196">
        <v>30</v>
      </c>
      <c r="N591" s="196"/>
      <c r="O591" s="196" t="s">
        <v>3428</v>
      </c>
      <c r="P591" s="144">
        <v>88</v>
      </c>
      <c r="Q591" s="145">
        <f t="shared" si="37"/>
        <v>1.7175</v>
      </c>
      <c r="R591" s="203">
        <v>0.25</v>
      </c>
      <c r="S591" s="203"/>
      <c r="T591" s="151"/>
      <c r="U591" s="151">
        <v>1.2</v>
      </c>
      <c r="V591" s="151">
        <v>0.25</v>
      </c>
      <c r="W591" s="151">
        <f t="shared" si="38"/>
        <v>0.25</v>
      </c>
      <c r="X591" s="152">
        <f t="shared" si="39"/>
        <v>1.7500000000000002E-2</v>
      </c>
      <c r="Y591" s="152"/>
      <c r="Z591" s="148"/>
      <c r="AA591" s="153"/>
      <c r="AB591" s="153"/>
      <c r="AC591" s="153"/>
      <c r="AD591" s="153"/>
      <c r="AH591" s="147"/>
    </row>
    <row r="592" spans="1:34" s="146" customFormat="1" x14ac:dyDescent="0.25">
      <c r="A592" s="196">
        <v>2565</v>
      </c>
      <c r="B592" s="196" t="s">
        <v>3494</v>
      </c>
      <c r="C592" s="196" t="s">
        <v>3495</v>
      </c>
      <c r="D592" s="196" t="s">
        <v>2835</v>
      </c>
      <c r="E592" s="196" t="s">
        <v>2375</v>
      </c>
      <c r="F592" s="196">
        <v>1974</v>
      </c>
      <c r="G592" s="196"/>
      <c r="H592" s="196" t="s">
        <v>2008</v>
      </c>
      <c r="I592" s="141" t="s">
        <v>1879</v>
      </c>
      <c r="J592" s="196" t="s">
        <v>3496</v>
      </c>
      <c r="K592" s="196" t="s">
        <v>1881</v>
      </c>
      <c r="L592" s="141"/>
      <c r="M592" s="196">
        <v>176</v>
      </c>
      <c r="N592" s="196"/>
      <c r="O592" s="196" t="s">
        <v>3429</v>
      </c>
      <c r="P592" s="144">
        <v>123</v>
      </c>
      <c r="Q592" s="145">
        <f t="shared" si="37"/>
        <v>2.1882999999999995</v>
      </c>
      <c r="R592" s="203">
        <v>0.69</v>
      </c>
      <c r="S592" s="203"/>
      <c r="T592" s="151"/>
      <c r="U592" s="151">
        <v>1.2</v>
      </c>
      <c r="V592" s="151">
        <v>0.25</v>
      </c>
      <c r="W592" s="151">
        <f t="shared" si="38"/>
        <v>0.69</v>
      </c>
      <c r="X592" s="152">
        <f t="shared" si="39"/>
        <v>4.8299999999999996E-2</v>
      </c>
      <c r="Y592" s="152"/>
      <c r="Z592" s="148"/>
      <c r="AA592" s="153"/>
      <c r="AB592" s="153"/>
      <c r="AC592" s="153"/>
      <c r="AD592" s="153"/>
      <c r="AH592" s="147"/>
    </row>
    <row r="593" spans="1:34" s="146" customFormat="1" x14ac:dyDescent="0.25">
      <c r="A593" s="196">
        <v>651</v>
      </c>
      <c r="B593" s="196" t="s">
        <v>3497</v>
      </c>
      <c r="C593" s="196" t="s">
        <v>3498</v>
      </c>
      <c r="D593" s="196" t="s">
        <v>3499</v>
      </c>
      <c r="E593" s="196"/>
      <c r="F593" s="196">
        <v>2000</v>
      </c>
      <c r="G593" s="196"/>
      <c r="H593" s="196" t="s">
        <v>1878</v>
      </c>
      <c r="I593" s="141" t="s">
        <v>1879</v>
      </c>
      <c r="J593" s="196" t="s">
        <v>2237</v>
      </c>
      <c r="K593" s="196" t="s">
        <v>1881</v>
      </c>
      <c r="L593" s="141" t="s">
        <v>3500</v>
      </c>
      <c r="M593" s="196">
        <v>32</v>
      </c>
      <c r="N593" s="196"/>
      <c r="O593" s="196" t="s">
        <v>3430</v>
      </c>
      <c r="P593" s="144">
        <v>100</v>
      </c>
      <c r="Q593" s="145">
        <f t="shared" si="37"/>
        <v>4.9702999999999999</v>
      </c>
      <c r="R593" s="203">
        <v>3.29</v>
      </c>
      <c r="S593" s="203"/>
      <c r="T593" s="151"/>
      <c r="U593" s="151">
        <v>1.2</v>
      </c>
      <c r="V593" s="151">
        <v>0.25</v>
      </c>
      <c r="W593" s="151">
        <f t="shared" si="38"/>
        <v>3.29</v>
      </c>
      <c r="X593" s="152">
        <f t="shared" si="39"/>
        <v>0.2303</v>
      </c>
      <c r="Y593" s="152"/>
      <c r="Z593" s="148"/>
      <c r="AA593" s="153"/>
      <c r="AB593" s="153"/>
      <c r="AC593" s="153"/>
      <c r="AD593" s="153"/>
      <c r="AH593" s="147"/>
    </row>
    <row r="594" spans="1:34" s="146" customFormat="1" x14ac:dyDescent="0.25">
      <c r="A594" s="196">
        <v>651</v>
      </c>
      <c r="B594" s="196" t="s">
        <v>3501</v>
      </c>
      <c r="C594" s="196" t="s">
        <v>3502</v>
      </c>
      <c r="D594" s="196" t="s">
        <v>3499</v>
      </c>
      <c r="E594" s="196"/>
      <c r="F594" s="196">
        <v>1997</v>
      </c>
      <c r="G594" s="196"/>
      <c r="H594" s="196" t="s">
        <v>1878</v>
      </c>
      <c r="I594" s="141" t="s">
        <v>1879</v>
      </c>
      <c r="J594" s="196" t="s">
        <v>2237</v>
      </c>
      <c r="K594" s="196" t="s">
        <v>1881</v>
      </c>
      <c r="L594" s="141" t="s">
        <v>3503</v>
      </c>
      <c r="M594" s="196">
        <v>32</v>
      </c>
      <c r="N594" s="196"/>
      <c r="O594" s="196" t="s">
        <v>3431</v>
      </c>
      <c r="P594" s="144">
        <v>112</v>
      </c>
      <c r="Q594" s="145">
        <f t="shared" si="37"/>
        <v>1.8673</v>
      </c>
      <c r="R594" s="203">
        <v>0.39</v>
      </c>
      <c r="S594" s="203"/>
      <c r="T594" s="151"/>
      <c r="U594" s="151">
        <v>1.2</v>
      </c>
      <c r="V594" s="151">
        <v>0.25</v>
      </c>
      <c r="W594" s="151">
        <f t="shared" si="38"/>
        <v>0.39</v>
      </c>
      <c r="X594" s="152">
        <f t="shared" si="39"/>
        <v>2.7300000000000001E-2</v>
      </c>
      <c r="Y594" s="152"/>
      <c r="Z594" s="148"/>
      <c r="AA594" s="153"/>
      <c r="AB594" s="153"/>
      <c r="AC594" s="153"/>
      <c r="AD594" s="153"/>
      <c r="AH594" s="147"/>
    </row>
    <row r="595" spans="1:34" s="146" customFormat="1" x14ac:dyDescent="0.25">
      <c r="A595" s="196">
        <v>651</v>
      </c>
      <c r="B595" s="196" t="s">
        <v>3504</v>
      </c>
      <c r="C595" s="196" t="s">
        <v>3505</v>
      </c>
      <c r="D595" s="196" t="s">
        <v>3499</v>
      </c>
      <c r="E595" s="196"/>
      <c r="F595" s="196">
        <v>1998</v>
      </c>
      <c r="G595" s="196"/>
      <c r="H595" s="196" t="s">
        <v>1878</v>
      </c>
      <c r="I595" s="141" t="s">
        <v>1879</v>
      </c>
      <c r="J595" s="196" t="s">
        <v>2237</v>
      </c>
      <c r="K595" s="196" t="s">
        <v>1881</v>
      </c>
      <c r="L595" s="141" t="s">
        <v>3506</v>
      </c>
      <c r="M595" s="196">
        <v>32</v>
      </c>
      <c r="N595" s="196"/>
      <c r="O595" s="196" t="s">
        <v>3432</v>
      </c>
      <c r="P595" s="144">
        <v>89</v>
      </c>
      <c r="Q595" s="145">
        <f t="shared" si="37"/>
        <v>2.2953000000000001</v>
      </c>
      <c r="R595" s="203">
        <v>0.79</v>
      </c>
      <c r="S595" s="203"/>
      <c r="T595" s="151"/>
      <c r="U595" s="151">
        <v>1.2</v>
      </c>
      <c r="V595" s="151">
        <v>0.25</v>
      </c>
      <c r="W595" s="151">
        <f t="shared" si="38"/>
        <v>0.79</v>
      </c>
      <c r="X595" s="152">
        <f t="shared" si="39"/>
        <v>5.5300000000000002E-2</v>
      </c>
      <c r="Y595" s="152"/>
      <c r="Z595" s="148"/>
      <c r="AA595" s="153"/>
      <c r="AB595" s="153"/>
      <c r="AC595" s="153"/>
      <c r="AD595" s="153"/>
      <c r="AH595" s="147"/>
    </row>
    <row r="596" spans="1:34" s="146" customFormat="1" x14ac:dyDescent="0.25">
      <c r="A596" s="196">
        <v>718</v>
      </c>
      <c r="B596" s="196" t="s">
        <v>3507</v>
      </c>
      <c r="C596" s="196" t="s">
        <v>3508</v>
      </c>
      <c r="D596" s="196" t="s">
        <v>3509</v>
      </c>
      <c r="E596" s="196" t="s">
        <v>2518</v>
      </c>
      <c r="F596" s="196">
        <v>1995</v>
      </c>
      <c r="G596" s="196"/>
      <c r="H596" s="196" t="s">
        <v>1878</v>
      </c>
      <c r="I596" s="141" t="s">
        <v>1879</v>
      </c>
      <c r="J596" s="196" t="s">
        <v>2237</v>
      </c>
      <c r="K596" s="196" t="s">
        <v>1881</v>
      </c>
      <c r="L596" s="141" t="s">
        <v>3510</v>
      </c>
      <c r="M596" s="196">
        <v>112</v>
      </c>
      <c r="N596" s="196"/>
      <c r="O596" s="196" t="s">
        <v>3433</v>
      </c>
      <c r="P596" s="144">
        <v>245</v>
      </c>
      <c r="Q596" s="145">
        <f t="shared" si="37"/>
        <v>2.4022999999999999</v>
      </c>
      <c r="R596" s="203">
        <v>0.89</v>
      </c>
      <c r="S596" s="203"/>
      <c r="T596" s="151"/>
      <c r="U596" s="151">
        <v>1.2</v>
      </c>
      <c r="V596" s="151">
        <v>0.25</v>
      </c>
      <c r="W596" s="151">
        <f t="shared" si="38"/>
        <v>0.89</v>
      </c>
      <c r="X596" s="152">
        <f t="shared" si="39"/>
        <v>6.2300000000000001E-2</v>
      </c>
      <c r="Y596" s="152"/>
      <c r="Z596" s="148"/>
      <c r="AA596" s="153"/>
      <c r="AB596" s="153"/>
      <c r="AC596" s="153"/>
      <c r="AD596" s="153"/>
      <c r="AH596" s="147"/>
    </row>
    <row r="597" spans="1:34" s="146" customFormat="1" x14ac:dyDescent="0.25">
      <c r="A597" s="196">
        <v>1809</v>
      </c>
      <c r="B597" s="196" t="s">
        <v>3511</v>
      </c>
      <c r="C597" s="196" t="s">
        <v>3512</v>
      </c>
      <c r="D597" s="196" t="s">
        <v>2402</v>
      </c>
      <c r="E597" s="196"/>
      <c r="F597" s="196">
        <v>2008</v>
      </c>
      <c r="G597" s="196"/>
      <c r="H597" s="196" t="s">
        <v>1878</v>
      </c>
      <c r="I597" s="141" t="s">
        <v>1879</v>
      </c>
      <c r="J597" s="196" t="s">
        <v>2237</v>
      </c>
      <c r="K597" s="196" t="s">
        <v>1881</v>
      </c>
      <c r="L597" s="141" t="s">
        <v>3513</v>
      </c>
      <c r="M597" s="196">
        <v>320</v>
      </c>
      <c r="N597" s="196"/>
      <c r="O597" s="196" t="s">
        <v>3434</v>
      </c>
      <c r="P597" s="144">
        <v>476</v>
      </c>
      <c r="Q597" s="145">
        <f t="shared" si="37"/>
        <v>1.8673</v>
      </c>
      <c r="R597" s="203">
        <v>0.39</v>
      </c>
      <c r="S597" s="203"/>
      <c r="T597" s="151"/>
      <c r="U597" s="151">
        <v>1.2</v>
      </c>
      <c r="V597" s="151">
        <v>0.25</v>
      </c>
      <c r="W597" s="151">
        <f t="shared" si="38"/>
        <v>0.39</v>
      </c>
      <c r="X597" s="152">
        <f t="shared" si="39"/>
        <v>2.7300000000000001E-2</v>
      </c>
      <c r="Y597" s="152"/>
      <c r="Z597" s="148"/>
      <c r="AA597" s="153"/>
      <c r="AB597" s="153"/>
      <c r="AC597" s="153"/>
      <c r="AD597" s="153"/>
      <c r="AH597" s="147"/>
    </row>
    <row r="598" spans="1:34" s="146" customFormat="1" x14ac:dyDescent="0.25">
      <c r="A598" s="196">
        <v>2514</v>
      </c>
      <c r="B598" s="196" t="s">
        <v>3514</v>
      </c>
      <c r="C598" s="196" t="s">
        <v>3515</v>
      </c>
      <c r="D598" s="196" t="s">
        <v>3312</v>
      </c>
      <c r="E598" s="196"/>
      <c r="F598" s="196">
        <v>2004</v>
      </c>
      <c r="G598" s="196"/>
      <c r="H598" s="196" t="s">
        <v>2295</v>
      </c>
      <c r="I598" s="141" t="s">
        <v>1879</v>
      </c>
      <c r="J598" s="196" t="s">
        <v>2237</v>
      </c>
      <c r="K598" s="196" t="s">
        <v>1881</v>
      </c>
      <c r="L598" s="141" t="s">
        <v>3516</v>
      </c>
      <c r="M598" s="196">
        <v>178</v>
      </c>
      <c r="N598" s="196"/>
      <c r="O598" s="196" t="s">
        <v>3435</v>
      </c>
      <c r="P598" s="144">
        <v>266</v>
      </c>
      <c r="Q598" s="145">
        <f t="shared" si="37"/>
        <v>3.3653000000000004</v>
      </c>
      <c r="R598" s="203">
        <v>1.79</v>
      </c>
      <c r="S598" s="203"/>
      <c r="T598" s="151"/>
      <c r="U598" s="151">
        <v>1.2</v>
      </c>
      <c r="V598" s="151">
        <v>0.25</v>
      </c>
      <c r="W598" s="151">
        <f t="shared" si="38"/>
        <v>1.79</v>
      </c>
      <c r="X598" s="152">
        <f t="shared" si="39"/>
        <v>0.12529999999999999</v>
      </c>
      <c r="Y598" s="152"/>
      <c r="Z598" s="148"/>
      <c r="AA598" s="153"/>
      <c r="AB598" s="153"/>
      <c r="AC598" s="153"/>
      <c r="AD598" s="153"/>
      <c r="AH598" s="147"/>
    </row>
    <row r="599" spans="1:34" s="146" customFormat="1" x14ac:dyDescent="0.25">
      <c r="A599" s="196">
        <v>2571</v>
      </c>
      <c r="B599" s="196" t="s">
        <v>3517</v>
      </c>
      <c r="C599" s="196" t="s">
        <v>3518</v>
      </c>
      <c r="D599" s="196" t="s">
        <v>2644</v>
      </c>
      <c r="E599" s="196"/>
      <c r="F599" s="196">
        <v>1998</v>
      </c>
      <c r="G599" s="196"/>
      <c r="H599" s="196" t="s">
        <v>1878</v>
      </c>
      <c r="I599" s="141" t="s">
        <v>1879</v>
      </c>
      <c r="J599" s="196" t="s">
        <v>3303</v>
      </c>
      <c r="K599" s="196" t="s">
        <v>1881</v>
      </c>
      <c r="L599" s="141" t="s">
        <v>3519</v>
      </c>
      <c r="M599" s="196">
        <v>288</v>
      </c>
      <c r="N599" s="196"/>
      <c r="O599" s="196" t="s">
        <v>3436</v>
      </c>
      <c r="P599" s="144">
        <v>246</v>
      </c>
      <c r="Q599" s="145">
        <f t="shared" si="37"/>
        <v>1.7175</v>
      </c>
      <c r="R599" s="203">
        <v>0.25</v>
      </c>
      <c r="S599" s="203"/>
      <c r="T599" s="151"/>
      <c r="U599" s="151">
        <v>1.2</v>
      </c>
      <c r="V599" s="151">
        <v>0.25</v>
      </c>
      <c r="W599" s="151">
        <f t="shared" si="38"/>
        <v>0.25</v>
      </c>
      <c r="X599" s="152">
        <f t="shared" si="39"/>
        <v>1.7500000000000002E-2</v>
      </c>
      <c r="Y599" s="152"/>
      <c r="Z599" s="148"/>
      <c r="AA599" s="153"/>
      <c r="AB599" s="153"/>
      <c r="AC599" s="153"/>
      <c r="AD599" s="153"/>
      <c r="AH599" s="147"/>
    </row>
    <row r="600" spans="1:34" s="146" customFormat="1" x14ac:dyDescent="0.25">
      <c r="A600" s="196">
        <v>2571</v>
      </c>
      <c r="B600" s="196" t="s">
        <v>3517</v>
      </c>
      <c r="C600" s="196" t="s">
        <v>3520</v>
      </c>
      <c r="D600" s="196" t="s">
        <v>2644</v>
      </c>
      <c r="E600" s="196"/>
      <c r="F600" s="196">
        <v>2005</v>
      </c>
      <c r="G600" s="196"/>
      <c r="H600" s="196" t="s">
        <v>1878</v>
      </c>
      <c r="I600" s="141" t="s">
        <v>1879</v>
      </c>
      <c r="J600" s="196" t="s">
        <v>3303</v>
      </c>
      <c r="K600" s="196" t="s">
        <v>1881</v>
      </c>
      <c r="L600" s="141" t="s">
        <v>3521</v>
      </c>
      <c r="M600" s="196">
        <v>288</v>
      </c>
      <c r="N600" s="196"/>
      <c r="O600" s="196" t="s">
        <v>3437</v>
      </c>
      <c r="P600" s="144">
        <v>248</v>
      </c>
      <c r="Q600" s="145">
        <f t="shared" si="37"/>
        <v>1.9100999999999999</v>
      </c>
      <c r="R600" s="203">
        <v>0.43</v>
      </c>
      <c r="S600" s="203"/>
      <c r="T600" s="151"/>
      <c r="U600" s="151">
        <v>1.2</v>
      </c>
      <c r="V600" s="151">
        <v>0.25</v>
      </c>
      <c r="W600" s="151">
        <f t="shared" si="38"/>
        <v>0.43</v>
      </c>
      <c r="X600" s="152">
        <f t="shared" si="39"/>
        <v>3.0100000000000002E-2</v>
      </c>
      <c r="Y600" s="152"/>
      <c r="Z600" s="148"/>
      <c r="AA600" s="153"/>
      <c r="AB600" s="153"/>
      <c r="AC600" s="153"/>
      <c r="AD600" s="153"/>
      <c r="AH600" s="147"/>
    </row>
    <row r="601" spans="1:34" s="146" customFormat="1" x14ac:dyDescent="0.25">
      <c r="A601" s="196">
        <v>2514</v>
      </c>
      <c r="B601" s="196" t="s">
        <v>3522</v>
      </c>
      <c r="C601" s="196" t="s">
        <v>3523</v>
      </c>
      <c r="D601" s="196" t="s">
        <v>3524</v>
      </c>
      <c r="E601" s="196" t="s">
        <v>1899</v>
      </c>
      <c r="F601" s="196">
        <v>2010</v>
      </c>
      <c r="G601" s="196"/>
      <c r="H601" s="196" t="s">
        <v>2217</v>
      </c>
      <c r="I601" s="141" t="s">
        <v>1879</v>
      </c>
      <c r="J601" s="196" t="s">
        <v>2237</v>
      </c>
      <c r="K601" s="196" t="s">
        <v>1881</v>
      </c>
      <c r="L601" s="141" t="s">
        <v>3525</v>
      </c>
      <c r="M601" s="196">
        <v>126</v>
      </c>
      <c r="N601" s="196"/>
      <c r="O601" s="196" t="s">
        <v>3438</v>
      </c>
      <c r="P601" s="144">
        <v>249</v>
      </c>
      <c r="Q601" s="145">
        <f t="shared" si="37"/>
        <v>4.4352999999999998</v>
      </c>
      <c r="R601" s="203">
        <v>2.79</v>
      </c>
      <c r="S601" s="203"/>
      <c r="T601" s="151"/>
      <c r="U601" s="151">
        <v>1.2</v>
      </c>
      <c r="V601" s="151">
        <v>0.25</v>
      </c>
      <c r="W601" s="151">
        <f t="shared" si="38"/>
        <v>2.79</v>
      </c>
      <c r="X601" s="152">
        <f t="shared" si="39"/>
        <v>0.1953</v>
      </c>
      <c r="Y601" s="152"/>
      <c r="Z601" s="148"/>
      <c r="AA601" s="153"/>
      <c r="AB601" s="153"/>
      <c r="AC601" s="153"/>
      <c r="AD601" s="153"/>
      <c r="AH601" s="147"/>
    </row>
    <row r="602" spans="1:34" s="146" customFormat="1" x14ac:dyDescent="0.25">
      <c r="A602" s="196">
        <v>1927</v>
      </c>
      <c r="B602" s="196" t="s">
        <v>3526</v>
      </c>
      <c r="C602" s="196" t="s">
        <v>3527</v>
      </c>
      <c r="D602" s="196" t="s">
        <v>2077</v>
      </c>
      <c r="E602" s="196"/>
      <c r="F602" s="196">
        <v>2003</v>
      </c>
      <c r="G602" s="196"/>
      <c r="H602" s="196" t="s">
        <v>1878</v>
      </c>
      <c r="I602" s="141" t="s">
        <v>1879</v>
      </c>
      <c r="J602" s="196" t="s">
        <v>2237</v>
      </c>
      <c r="K602" s="196" t="s">
        <v>1881</v>
      </c>
      <c r="L602" s="141" t="s">
        <v>3528</v>
      </c>
      <c r="M602" s="196">
        <v>128</v>
      </c>
      <c r="N602" s="196"/>
      <c r="O602" s="196" t="s">
        <v>3439</v>
      </c>
      <c r="P602" s="144">
        <v>186</v>
      </c>
      <c r="Q602" s="145">
        <f t="shared" si="37"/>
        <v>2.2953000000000001</v>
      </c>
      <c r="R602" s="203">
        <v>0.79</v>
      </c>
      <c r="S602" s="203"/>
      <c r="T602" s="151"/>
      <c r="U602" s="151">
        <v>1.2</v>
      </c>
      <c r="V602" s="151">
        <v>0.25</v>
      </c>
      <c r="W602" s="151">
        <f t="shared" si="38"/>
        <v>0.79</v>
      </c>
      <c r="X602" s="152">
        <f t="shared" si="39"/>
        <v>5.5300000000000002E-2</v>
      </c>
      <c r="Y602" s="152"/>
      <c r="Z602" s="148"/>
      <c r="AA602" s="153"/>
      <c r="AB602" s="153"/>
      <c r="AC602" s="153"/>
      <c r="AD602" s="153"/>
      <c r="AH602" s="147"/>
    </row>
    <row r="603" spans="1:34" s="146" customFormat="1" x14ac:dyDescent="0.25">
      <c r="A603" s="196">
        <v>1030</v>
      </c>
      <c r="B603" s="196" t="s">
        <v>3529</v>
      </c>
      <c r="C603" s="196" t="s">
        <v>3530</v>
      </c>
      <c r="D603" s="196"/>
      <c r="E603" s="196"/>
      <c r="F603" s="196">
        <v>1991</v>
      </c>
      <c r="G603" s="196"/>
      <c r="H603" s="196" t="s">
        <v>1878</v>
      </c>
      <c r="I603" s="141" t="s">
        <v>1929</v>
      </c>
      <c r="J603" s="196" t="s">
        <v>2237</v>
      </c>
      <c r="K603" s="196" t="s">
        <v>1881</v>
      </c>
      <c r="L603" s="141" t="s">
        <v>3531</v>
      </c>
      <c r="M603" s="196">
        <v>156</v>
      </c>
      <c r="N603" s="196"/>
      <c r="O603" s="196" t="s">
        <v>3440</v>
      </c>
      <c r="P603" s="144">
        <v>244</v>
      </c>
      <c r="Q603" s="145">
        <f t="shared" si="37"/>
        <v>5.5053000000000001</v>
      </c>
      <c r="R603" s="203">
        <v>3.79</v>
      </c>
      <c r="S603" s="203"/>
      <c r="T603" s="151"/>
      <c r="U603" s="151">
        <v>1.2</v>
      </c>
      <c r="V603" s="151">
        <v>0.25</v>
      </c>
      <c r="W603" s="151">
        <f t="shared" si="38"/>
        <v>3.79</v>
      </c>
      <c r="X603" s="152">
        <f t="shared" si="39"/>
        <v>0.26530000000000004</v>
      </c>
      <c r="Y603" s="152"/>
      <c r="Z603" s="148"/>
      <c r="AA603" s="153"/>
      <c r="AB603" s="153"/>
      <c r="AC603" s="153"/>
      <c r="AD603" s="153"/>
      <c r="AH603" s="147"/>
    </row>
    <row r="604" spans="1:34" s="146" customFormat="1" x14ac:dyDescent="0.25">
      <c r="A604" s="196">
        <v>2952</v>
      </c>
      <c r="B604" s="196" t="s">
        <v>3532</v>
      </c>
      <c r="C604" s="196" t="s">
        <v>3533</v>
      </c>
      <c r="D604" s="196" t="s">
        <v>1920</v>
      </c>
      <c r="E604" s="196"/>
      <c r="F604" s="196">
        <v>2004</v>
      </c>
      <c r="G604" s="196"/>
      <c r="H604" s="196" t="s">
        <v>1878</v>
      </c>
      <c r="I604" s="141" t="s">
        <v>1879</v>
      </c>
      <c r="J604" s="196" t="s">
        <v>3303</v>
      </c>
      <c r="K604" s="196" t="s">
        <v>1881</v>
      </c>
      <c r="L604" s="141" t="s">
        <v>3534</v>
      </c>
      <c r="M604" s="196">
        <v>352</v>
      </c>
      <c r="N604" s="196"/>
      <c r="O604" s="196" t="s">
        <v>3441</v>
      </c>
      <c r="P604" s="144">
        <v>305</v>
      </c>
      <c r="Q604" s="145">
        <f t="shared" si="37"/>
        <v>1.7175</v>
      </c>
      <c r="R604" s="203">
        <v>0.25</v>
      </c>
      <c r="S604" s="203"/>
      <c r="T604" s="151"/>
      <c r="U604" s="151">
        <v>1.2</v>
      </c>
      <c r="V604" s="151">
        <v>0.25</v>
      </c>
      <c r="W604" s="151">
        <f t="shared" si="38"/>
        <v>0.25</v>
      </c>
      <c r="X604" s="152">
        <f t="shared" si="39"/>
        <v>1.7500000000000002E-2</v>
      </c>
      <c r="Y604" s="152"/>
      <c r="Z604" s="148"/>
      <c r="AA604" s="153"/>
      <c r="AB604" s="153"/>
      <c r="AC604" s="153"/>
      <c r="AD604" s="153"/>
      <c r="AH604" s="147"/>
    </row>
    <row r="605" spans="1:34" s="146" customFormat="1" ht="105.6" x14ac:dyDescent="0.25">
      <c r="A605" s="196">
        <v>2514</v>
      </c>
      <c r="B605" s="196" t="s">
        <v>3593</v>
      </c>
      <c r="C605" s="196" t="s">
        <v>3592</v>
      </c>
      <c r="D605" s="196" t="s">
        <v>3594</v>
      </c>
      <c r="E605" s="196"/>
      <c r="F605" s="196">
        <v>2008</v>
      </c>
      <c r="G605" s="196"/>
      <c r="H605" s="196" t="s">
        <v>2295</v>
      </c>
      <c r="I605" s="141" t="s">
        <v>1929</v>
      </c>
      <c r="J605" s="142" t="s">
        <v>3595</v>
      </c>
      <c r="K605" s="196" t="s">
        <v>1881</v>
      </c>
      <c r="L605" s="141"/>
      <c r="M605" s="196">
        <v>62</v>
      </c>
      <c r="N605" s="196"/>
      <c r="O605" s="196" t="s">
        <v>3442</v>
      </c>
      <c r="P605" s="144">
        <v>242</v>
      </c>
      <c r="Q605" s="145">
        <f t="shared" si="37"/>
        <v>2.7232999999999996</v>
      </c>
      <c r="R605" s="203">
        <v>1.19</v>
      </c>
      <c r="S605" s="203"/>
      <c r="T605" s="151"/>
      <c r="U605" s="151">
        <v>1.2</v>
      </c>
      <c r="V605" s="151">
        <v>0.25</v>
      </c>
      <c r="W605" s="151">
        <f t="shared" si="38"/>
        <v>1.19</v>
      </c>
      <c r="X605" s="152">
        <f t="shared" si="39"/>
        <v>8.3299999999999999E-2</v>
      </c>
      <c r="Y605" s="152"/>
      <c r="Z605" s="148"/>
      <c r="AA605" s="153"/>
      <c r="AB605" s="153"/>
      <c r="AC605" s="153"/>
      <c r="AD605" s="153"/>
      <c r="AH605" s="147"/>
    </row>
    <row r="606" spans="1:34" s="146" customFormat="1" x14ac:dyDescent="0.25">
      <c r="A606" s="196">
        <v>721</v>
      </c>
      <c r="B606" s="196" t="s">
        <v>3596</v>
      </c>
      <c r="C606" s="196" t="s">
        <v>3597</v>
      </c>
      <c r="D606" s="196" t="s">
        <v>2294</v>
      </c>
      <c r="E606" s="196"/>
      <c r="F606" s="196">
        <v>2005</v>
      </c>
      <c r="G606" s="196"/>
      <c r="H606" s="196" t="s">
        <v>1878</v>
      </c>
      <c r="I606" s="141" t="s">
        <v>1879</v>
      </c>
      <c r="J606" s="196" t="s">
        <v>3303</v>
      </c>
      <c r="K606" s="196" t="s">
        <v>1881</v>
      </c>
      <c r="L606" s="141" t="s">
        <v>3598</v>
      </c>
      <c r="M606" s="196">
        <v>32</v>
      </c>
      <c r="N606" s="196"/>
      <c r="O606" s="196" t="s">
        <v>3443</v>
      </c>
      <c r="P606" s="144">
        <v>127</v>
      </c>
      <c r="Q606" s="145">
        <f t="shared" si="37"/>
        <v>5.7193000000000005</v>
      </c>
      <c r="R606" s="203">
        <v>3.99</v>
      </c>
      <c r="S606" s="203"/>
      <c r="T606" s="151"/>
      <c r="U606" s="151">
        <v>1.2</v>
      </c>
      <c r="V606" s="151">
        <v>0.25</v>
      </c>
      <c r="W606" s="151">
        <f t="shared" si="38"/>
        <v>3.99</v>
      </c>
      <c r="X606" s="152">
        <f t="shared" si="39"/>
        <v>0.27930000000000005</v>
      </c>
      <c r="Y606" s="152"/>
      <c r="Z606" s="148"/>
      <c r="AA606" s="153"/>
      <c r="AB606" s="153"/>
      <c r="AC606" s="153"/>
      <c r="AD606" s="153"/>
      <c r="AH606" s="147"/>
    </row>
    <row r="607" spans="1:34" s="146" customFormat="1" x14ac:dyDescent="0.25">
      <c r="A607" s="196">
        <v>767</v>
      </c>
      <c r="B607" s="196" t="s">
        <v>3599</v>
      </c>
      <c r="C607" s="196" t="s">
        <v>3600</v>
      </c>
      <c r="D607" s="196" t="s">
        <v>2300</v>
      </c>
      <c r="E607" s="196"/>
      <c r="F607" s="196">
        <v>1991</v>
      </c>
      <c r="G607" s="196"/>
      <c r="H607" s="196" t="s">
        <v>2008</v>
      </c>
      <c r="I607" s="141" t="s">
        <v>1879</v>
      </c>
      <c r="J607" s="196" t="s">
        <v>3006</v>
      </c>
      <c r="K607" s="196" t="s">
        <v>1881</v>
      </c>
      <c r="L607" s="141" t="s">
        <v>3601</v>
      </c>
      <c r="M607" s="196">
        <v>160</v>
      </c>
      <c r="N607" s="196"/>
      <c r="O607" s="196" t="s">
        <v>3444</v>
      </c>
      <c r="P607" s="144">
        <v>115</v>
      </c>
      <c r="Q607" s="145">
        <f t="shared" si="37"/>
        <v>2.4022999999999999</v>
      </c>
      <c r="R607" s="203">
        <v>0.89</v>
      </c>
      <c r="S607" s="203"/>
      <c r="T607" s="151"/>
      <c r="U607" s="151">
        <v>1.2</v>
      </c>
      <c r="V607" s="151">
        <v>0.25</v>
      </c>
      <c r="W607" s="151">
        <f t="shared" si="38"/>
        <v>0.89</v>
      </c>
      <c r="X607" s="152">
        <f t="shared" si="39"/>
        <v>6.2300000000000001E-2</v>
      </c>
      <c r="Y607" s="152"/>
      <c r="Z607" s="148"/>
      <c r="AA607" s="153"/>
      <c r="AB607" s="153"/>
      <c r="AC607" s="153"/>
      <c r="AD607" s="153"/>
      <c r="AH607" s="147"/>
    </row>
    <row r="608" spans="1:34" s="146" customFormat="1" x14ac:dyDescent="0.25">
      <c r="A608" s="196">
        <v>1348</v>
      </c>
      <c r="B608" s="196" t="s">
        <v>3602</v>
      </c>
      <c r="C608" s="196" t="s">
        <v>3603</v>
      </c>
      <c r="D608" s="196" t="s">
        <v>2300</v>
      </c>
      <c r="E608" s="196"/>
      <c r="F608" s="196">
        <v>1966</v>
      </c>
      <c r="G608" s="196"/>
      <c r="H608" s="196" t="s">
        <v>2008</v>
      </c>
      <c r="I608" s="141" t="s">
        <v>1879</v>
      </c>
      <c r="J608" s="196" t="s">
        <v>3303</v>
      </c>
      <c r="K608" s="196" t="s">
        <v>1881</v>
      </c>
      <c r="L608" s="141"/>
      <c r="M608" s="196">
        <v>178</v>
      </c>
      <c r="N608" s="196"/>
      <c r="O608" s="196" t="s">
        <v>3445</v>
      </c>
      <c r="P608" s="144">
        <v>127</v>
      </c>
      <c r="Q608" s="145">
        <f t="shared" si="37"/>
        <v>2.5093000000000001</v>
      </c>
      <c r="R608" s="203">
        <v>0.99</v>
      </c>
      <c r="S608" s="203"/>
      <c r="T608" s="151"/>
      <c r="U608" s="151">
        <v>1.2</v>
      </c>
      <c r="V608" s="151">
        <v>0.25</v>
      </c>
      <c r="W608" s="151">
        <f t="shared" si="38"/>
        <v>0.99</v>
      </c>
      <c r="X608" s="152">
        <f t="shared" si="39"/>
        <v>6.93E-2</v>
      </c>
      <c r="Y608" s="152"/>
      <c r="Z608" s="148"/>
      <c r="AA608" s="153"/>
      <c r="AB608" s="153"/>
      <c r="AC608" s="153"/>
      <c r="AD608" s="153"/>
      <c r="AH608" s="147"/>
    </row>
    <row r="609" spans="1:34" s="146" customFormat="1" x14ac:dyDescent="0.25">
      <c r="A609" s="196">
        <v>721</v>
      </c>
      <c r="B609" s="196" t="s">
        <v>3604</v>
      </c>
      <c r="C609" s="196" t="s">
        <v>3605</v>
      </c>
      <c r="D609" s="196" t="s">
        <v>3606</v>
      </c>
      <c r="E609" s="196"/>
      <c r="F609" s="196">
        <v>2001</v>
      </c>
      <c r="G609" s="196"/>
      <c r="H609" s="196" t="s">
        <v>1878</v>
      </c>
      <c r="I609" s="141" t="s">
        <v>1879</v>
      </c>
      <c r="J609" s="196" t="s">
        <v>3303</v>
      </c>
      <c r="K609" s="196" t="s">
        <v>1881</v>
      </c>
      <c r="L609" s="141" t="s">
        <v>3607</v>
      </c>
      <c r="M609" s="196">
        <v>64</v>
      </c>
      <c r="N609" s="196"/>
      <c r="O609" s="196" t="s">
        <v>3446</v>
      </c>
      <c r="P609" s="144">
        <v>127</v>
      </c>
      <c r="Q609" s="145">
        <f t="shared" si="37"/>
        <v>5.0773000000000001</v>
      </c>
      <c r="R609" s="203">
        <v>3.39</v>
      </c>
      <c r="S609" s="203"/>
      <c r="T609" s="151"/>
      <c r="U609" s="151">
        <v>1.2</v>
      </c>
      <c r="V609" s="151">
        <v>0.25</v>
      </c>
      <c r="W609" s="151">
        <f t="shared" si="38"/>
        <v>3.39</v>
      </c>
      <c r="X609" s="152">
        <f t="shared" si="39"/>
        <v>0.23730000000000001</v>
      </c>
      <c r="Y609" s="152"/>
      <c r="Z609" s="148"/>
      <c r="AA609" s="153"/>
      <c r="AB609" s="153"/>
      <c r="AC609" s="153"/>
      <c r="AD609" s="153"/>
      <c r="AH609" s="147"/>
    </row>
    <row r="610" spans="1:34" s="146" customFormat="1" x14ac:dyDescent="0.25">
      <c r="A610" s="196">
        <v>2514</v>
      </c>
      <c r="B610" s="196" t="s">
        <v>3611</v>
      </c>
      <c r="C610" s="196" t="s">
        <v>3612</v>
      </c>
      <c r="D610" s="196" t="s">
        <v>3613</v>
      </c>
      <c r="E610" s="196"/>
      <c r="F610" s="196"/>
      <c r="G610" s="196"/>
      <c r="H610" s="196" t="s">
        <v>2295</v>
      </c>
      <c r="I610" s="141" t="s">
        <v>1929</v>
      </c>
      <c r="J610" s="196" t="s">
        <v>2237</v>
      </c>
      <c r="K610" s="196" t="s">
        <v>1881</v>
      </c>
      <c r="L610" s="141" t="s">
        <v>3614</v>
      </c>
      <c r="M610" s="196">
        <v>126</v>
      </c>
      <c r="N610" s="196"/>
      <c r="O610" s="196" t="s">
        <v>3536</v>
      </c>
      <c r="P610" s="144">
        <v>591</v>
      </c>
      <c r="Q610" s="145">
        <f t="shared" si="37"/>
        <v>3.9722999999999997</v>
      </c>
      <c r="R610" s="203">
        <v>1.89</v>
      </c>
      <c r="S610" s="203"/>
      <c r="T610" s="151"/>
      <c r="U610" s="151">
        <v>1.7</v>
      </c>
      <c r="V610" s="151">
        <v>0.25</v>
      </c>
      <c r="W610" s="151">
        <f t="shared" si="38"/>
        <v>1.89</v>
      </c>
      <c r="X610" s="152">
        <f t="shared" si="39"/>
        <v>0.1323</v>
      </c>
      <c r="Y610" s="152"/>
      <c r="Z610" s="148"/>
      <c r="AA610" s="153"/>
      <c r="AB610" s="153"/>
      <c r="AC610" s="153"/>
      <c r="AD610" s="153"/>
      <c r="AH610" s="147"/>
    </row>
    <row r="611" spans="1:34" s="146" customFormat="1" ht="66" x14ac:dyDescent="0.25">
      <c r="A611" s="196">
        <v>721</v>
      </c>
      <c r="B611" s="196"/>
      <c r="C611" s="196" t="s">
        <v>3615</v>
      </c>
      <c r="D611" s="196" t="s">
        <v>1979</v>
      </c>
      <c r="E611" s="196"/>
      <c r="F611" s="196">
        <v>2011</v>
      </c>
      <c r="G611" s="196"/>
      <c r="H611" s="196" t="s">
        <v>2295</v>
      </c>
      <c r="I611" s="141" t="s">
        <v>1929</v>
      </c>
      <c r="J611" s="142" t="s">
        <v>3616</v>
      </c>
      <c r="K611" s="196" t="s">
        <v>1881</v>
      </c>
      <c r="L611" s="141" t="s">
        <v>3617</v>
      </c>
      <c r="M611" s="196">
        <v>162</v>
      </c>
      <c r="N611" s="196"/>
      <c r="O611" s="196" t="s">
        <v>3537</v>
      </c>
      <c r="P611" s="144">
        <v>865</v>
      </c>
      <c r="Q611" s="145">
        <f t="shared" si="37"/>
        <v>5.1493000000000002</v>
      </c>
      <c r="R611" s="203">
        <v>2.99</v>
      </c>
      <c r="S611" s="203"/>
      <c r="T611" s="151"/>
      <c r="U611" s="151">
        <v>1.7</v>
      </c>
      <c r="V611" s="151">
        <v>0.25</v>
      </c>
      <c r="W611" s="151">
        <f t="shared" si="38"/>
        <v>2.99</v>
      </c>
      <c r="X611" s="152">
        <f t="shared" si="39"/>
        <v>0.20930000000000001</v>
      </c>
      <c r="Y611" s="152"/>
      <c r="Z611" s="148"/>
      <c r="AA611" s="153"/>
      <c r="AB611" s="153"/>
      <c r="AC611" s="153"/>
      <c r="AD611" s="153"/>
      <c r="AH611" s="147"/>
    </row>
    <row r="612" spans="1:34" s="146" customFormat="1" x14ac:dyDescent="0.25">
      <c r="A612" s="196">
        <v>865</v>
      </c>
      <c r="B612" s="196" t="s">
        <v>3618</v>
      </c>
      <c r="C612" s="196" t="s">
        <v>3619</v>
      </c>
      <c r="D612" s="196" t="s">
        <v>3620</v>
      </c>
      <c r="E612" s="196"/>
      <c r="F612" s="196">
        <v>1998</v>
      </c>
      <c r="G612" s="196"/>
      <c r="H612" s="196" t="s">
        <v>1878</v>
      </c>
      <c r="I612" s="141" t="s">
        <v>1879</v>
      </c>
      <c r="J612" s="196" t="s">
        <v>3621</v>
      </c>
      <c r="K612" s="196" t="s">
        <v>1881</v>
      </c>
      <c r="L612" s="141" t="s">
        <v>3622</v>
      </c>
      <c r="M612" s="196">
        <v>196</v>
      </c>
      <c r="N612" s="196"/>
      <c r="O612" s="196" t="s">
        <v>3538</v>
      </c>
      <c r="P612" s="144">
        <v>291</v>
      </c>
      <c r="Q612" s="145">
        <f t="shared" si="37"/>
        <v>2.7232999999999996</v>
      </c>
      <c r="R612" s="203">
        <v>1.19</v>
      </c>
      <c r="S612" s="203"/>
      <c r="T612" s="151"/>
      <c r="U612" s="151">
        <v>1.2</v>
      </c>
      <c r="V612" s="151">
        <v>0.25</v>
      </c>
      <c r="W612" s="151">
        <f t="shared" si="38"/>
        <v>1.19</v>
      </c>
      <c r="X612" s="152">
        <f t="shared" si="39"/>
        <v>8.3299999999999999E-2</v>
      </c>
      <c r="Y612" s="152"/>
      <c r="Z612" s="148"/>
      <c r="AA612" s="153"/>
      <c r="AB612" s="153"/>
      <c r="AC612" s="153"/>
      <c r="AD612" s="153"/>
      <c r="AH612" s="147"/>
    </row>
    <row r="613" spans="1:34" s="146" customFormat="1" x14ac:dyDescent="0.25">
      <c r="A613" s="196">
        <v>721</v>
      </c>
      <c r="B613" s="196" t="s">
        <v>3623</v>
      </c>
      <c r="C613" s="196" t="s">
        <v>3624</v>
      </c>
      <c r="D613" s="196" t="s">
        <v>3625</v>
      </c>
      <c r="E613" s="196"/>
      <c r="F613" s="196">
        <v>2001</v>
      </c>
      <c r="G613" s="196"/>
      <c r="H613" s="196" t="s">
        <v>1878</v>
      </c>
      <c r="I613" s="141" t="s">
        <v>1879</v>
      </c>
      <c r="J613" s="196" t="s">
        <v>3303</v>
      </c>
      <c r="K613" s="196" t="s">
        <v>1881</v>
      </c>
      <c r="L613" s="141" t="s">
        <v>3626</v>
      </c>
      <c r="M613" s="196">
        <v>96</v>
      </c>
      <c r="N613" s="196"/>
      <c r="O613" s="196" t="s">
        <v>3539</v>
      </c>
      <c r="P613" s="144">
        <v>184</v>
      </c>
      <c r="Q613" s="145">
        <f t="shared" si="37"/>
        <v>1.9742999999999999</v>
      </c>
      <c r="R613" s="203">
        <v>0.49</v>
      </c>
      <c r="S613" s="203"/>
      <c r="T613" s="151"/>
      <c r="U613" s="151">
        <v>1.2</v>
      </c>
      <c r="V613" s="151">
        <v>0.25</v>
      </c>
      <c r="W613" s="151">
        <f t="shared" si="38"/>
        <v>0.49</v>
      </c>
      <c r="X613" s="152">
        <f t="shared" si="39"/>
        <v>3.4299999999999997E-2</v>
      </c>
      <c r="Y613" s="152"/>
      <c r="Z613" s="148"/>
      <c r="AA613" s="153"/>
      <c r="AB613" s="153"/>
      <c r="AC613" s="153"/>
      <c r="AD613" s="153"/>
      <c r="AH613" s="147"/>
    </row>
    <row r="614" spans="1:34" s="146" customFormat="1" x14ac:dyDescent="0.25">
      <c r="A614" s="196">
        <v>632</v>
      </c>
      <c r="B614" s="196" t="s">
        <v>3631</v>
      </c>
      <c r="C614" s="196" t="s">
        <v>3632</v>
      </c>
      <c r="D614" s="196" t="s">
        <v>2054</v>
      </c>
      <c r="E614" s="196"/>
      <c r="F614" s="196">
        <v>2004</v>
      </c>
      <c r="G614" s="196"/>
      <c r="H614" s="196" t="s">
        <v>1878</v>
      </c>
      <c r="I614" s="141" t="s">
        <v>1879</v>
      </c>
      <c r="J614" s="196" t="s">
        <v>3303</v>
      </c>
      <c r="K614" s="196" t="s">
        <v>1881</v>
      </c>
      <c r="L614" s="141" t="s">
        <v>3633</v>
      </c>
      <c r="M614" s="196">
        <v>1040</v>
      </c>
      <c r="N614" s="196"/>
      <c r="O614" s="196" t="s">
        <v>3541</v>
      </c>
      <c r="P614" s="144">
        <v>758</v>
      </c>
      <c r="Q614" s="145">
        <f t="shared" si="37"/>
        <v>2.5813000000000001</v>
      </c>
      <c r="R614" s="203">
        <v>0.59</v>
      </c>
      <c r="S614" s="203"/>
      <c r="T614" s="151"/>
      <c r="U614" s="151">
        <v>1.7</v>
      </c>
      <c r="V614" s="151">
        <v>0.25</v>
      </c>
      <c r="W614" s="151">
        <f t="shared" si="38"/>
        <v>0.59</v>
      </c>
      <c r="X614" s="152">
        <f t="shared" si="39"/>
        <v>4.1299999999999996E-2</v>
      </c>
      <c r="Y614" s="152"/>
      <c r="Z614" s="148"/>
      <c r="AA614" s="153"/>
      <c r="AB614" s="153"/>
      <c r="AC614" s="153"/>
      <c r="AD614" s="153"/>
      <c r="AH614" s="147"/>
    </row>
    <row r="615" spans="1:34" s="146" customFormat="1" x14ac:dyDescent="0.25">
      <c r="A615" s="196">
        <v>1386</v>
      </c>
      <c r="B615" s="196" t="s">
        <v>3634</v>
      </c>
      <c r="C615" s="196" t="s">
        <v>3635</v>
      </c>
      <c r="D615" s="196" t="s">
        <v>2054</v>
      </c>
      <c r="E615" s="196"/>
      <c r="F615" s="196">
        <v>2006</v>
      </c>
      <c r="G615" s="196"/>
      <c r="H615" s="196" t="s">
        <v>2295</v>
      </c>
      <c r="I615" s="141" t="s">
        <v>1879</v>
      </c>
      <c r="J615" s="196" t="s">
        <v>2237</v>
      </c>
      <c r="K615" s="196" t="s">
        <v>1881</v>
      </c>
      <c r="L615" s="141" t="s">
        <v>3636</v>
      </c>
      <c r="M615" s="196">
        <v>442</v>
      </c>
      <c r="N615" s="196"/>
      <c r="O615" s="196" t="s">
        <v>3542</v>
      </c>
      <c r="P615" s="144">
        <v>549</v>
      </c>
      <c r="Q615" s="145">
        <f t="shared" si="37"/>
        <v>2.2175000000000002</v>
      </c>
      <c r="R615" s="203">
        <v>0.25</v>
      </c>
      <c r="S615" s="203"/>
      <c r="T615" s="151"/>
      <c r="U615" s="151">
        <v>1.7</v>
      </c>
      <c r="V615" s="151">
        <v>0.25</v>
      </c>
      <c r="W615" s="151">
        <f t="shared" si="38"/>
        <v>0.25</v>
      </c>
      <c r="X615" s="152">
        <f t="shared" si="39"/>
        <v>1.7500000000000002E-2</v>
      </c>
      <c r="Y615" s="152"/>
      <c r="Z615" s="148"/>
      <c r="AA615" s="153"/>
      <c r="AB615" s="153"/>
      <c r="AC615" s="153"/>
      <c r="AD615" s="153"/>
      <c r="AH615" s="147"/>
    </row>
    <row r="616" spans="1:34" s="146" customFormat="1" x14ac:dyDescent="0.25">
      <c r="A616" s="196">
        <v>796</v>
      </c>
      <c r="B616" s="196" t="s">
        <v>3637</v>
      </c>
      <c r="C616" s="196" t="s">
        <v>3638</v>
      </c>
      <c r="D616" s="196" t="s">
        <v>2054</v>
      </c>
      <c r="E616" s="196"/>
      <c r="F616" s="196">
        <v>2007</v>
      </c>
      <c r="G616" s="196"/>
      <c r="H616" s="196" t="s">
        <v>1878</v>
      </c>
      <c r="I616" s="141" t="s">
        <v>1879</v>
      </c>
      <c r="J616" s="196" t="s">
        <v>2237</v>
      </c>
      <c r="K616" s="196" t="s">
        <v>1881</v>
      </c>
      <c r="L616" s="141" t="s">
        <v>3639</v>
      </c>
      <c r="M616" s="196">
        <v>208</v>
      </c>
      <c r="N616" s="196"/>
      <c r="O616" s="196" t="s">
        <v>3543</v>
      </c>
      <c r="P616" s="144">
        <v>256</v>
      </c>
      <c r="Q616" s="145">
        <f t="shared" si="37"/>
        <v>1.7175</v>
      </c>
      <c r="R616" s="203">
        <v>0.25</v>
      </c>
      <c r="S616" s="203"/>
      <c r="T616" s="151"/>
      <c r="U616" s="151">
        <v>1.2</v>
      </c>
      <c r="V616" s="151">
        <v>0.25</v>
      </c>
      <c r="W616" s="151">
        <f t="shared" si="38"/>
        <v>0.25</v>
      </c>
      <c r="X616" s="152">
        <f t="shared" si="39"/>
        <v>1.7500000000000002E-2</v>
      </c>
      <c r="Y616" s="152"/>
      <c r="Z616" s="148"/>
      <c r="AA616" s="153"/>
      <c r="AB616" s="153"/>
      <c r="AC616" s="153"/>
      <c r="AD616" s="153"/>
      <c r="AH616" s="147"/>
    </row>
    <row r="617" spans="1:34" s="146" customFormat="1" x14ac:dyDescent="0.25">
      <c r="A617" s="196">
        <v>631</v>
      </c>
      <c r="B617" s="196" t="s">
        <v>3640</v>
      </c>
      <c r="C617" s="196" t="s">
        <v>3641</v>
      </c>
      <c r="D617" s="196" t="s">
        <v>1993</v>
      </c>
      <c r="E617" s="196" t="s">
        <v>1913</v>
      </c>
      <c r="F617" s="196">
        <v>2007</v>
      </c>
      <c r="G617" s="196"/>
      <c r="H617" s="196" t="s">
        <v>1878</v>
      </c>
      <c r="I617" s="141" t="s">
        <v>1879</v>
      </c>
      <c r="J617" s="196" t="s">
        <v>3642</v>
      </c>
      <c r="K617" s="196" t="s">
        <v>1881</v>
      </c>
      <c r="L617" s="141" t="s">
        <v>3643</v>
      </c>
      <c r="M617" s="196">
        <v>352</v>
      </c>
      <c r="N617" s="196"/>
      <c r="O617" s="196" t="s">
        <v>3544</v>
      </c>
      <c r="P617" s="144">
        <v>305</v>
      </c>
      <c r="Q617" s="145">
        <f t="shared" si="37"/>
        <v>2.7232999999999996</v>
      </c>
      <c r="R617" s="203">
        <v>1.19</v>
      </c>
      <c r="S617" s="203"/>
      <c r="T617" s="151"/>
      <c r="U617" s="151">
        <v>1.2</v>
      </c>
      <c r="V617" s="151">
        <v>0.25</v>
      </c>
      <c r="W617" s="151">
        <f t="shared" si="38"/>
        <v>1.19</v>
      </c>
      <c r="X617" s="152">
        <f t="shared" si="39"/>
        <v>8.3299999999999999E-2</v>
      </c>
      <c r="Y617" s="152"/>
      <c r="Z617" s="148"/>
      <c r="AA617" s="153"/>
      <c r="AB617" s="153"/>
      <c r="AC617" s="153"/>
      <c r="AD617" s="153"/>
      <c r="AH617" s="147"/>
    </row>
    <row r="618" spans="1:34" s="146" customFormat="1" x14ac:dyDescent="0.25">
      <c r="A618" s="196">
        <v>1395</v>
      </c>
      <c r="B618" s="196" t="s">
        <v>3644</v>
      </c>
      <c r="C618" s="196" t="s">
        <v>3645</v>
      </c>
      <c r="D618" s="196" t="s">
        <v>3646</v>
      </c>
      <c r="E618" s="196"/>
      <c r="F618" s="196"/>
      <c r="G618" s="196"/>
      <c r="H618" s="196" t="s">
        <v>1878</v>
      </c>
      <c r="I618" s="141" t="s">
        <v>1879</v>
      </c>
      <c r="J618" s="196" t="s">
        <v>3303</v>
      </c>
      <c r="K618" s="196" t="s">
        <v>1881</v>
      </c>
      <c r="L618" s="141"/>
      <c r="M618" s="196">
        <v>240</v>
      </c>
      <c r="N618" s="196"/>
      <c r="O618" s="196" t="s">
        <v>3545</v>
      </c>
      <c r="P618" s="144">
        <v>220</v>
      </c>
      <c r="Q618" s="145">
        <f t="shared" si="37"/>
        <v>2.5093000000000001</v>
      </c>
      <c r="R618" s="203">
        <v>0.99</v>
      </c>
      <c r="S618" s="203"/>
      <c r="T618" s="151"/>
      <c r="U618" s="151">
        <v>1.2</v>
      </c>
      <c r="V618" s="151">
        <v>0.25</v>
      </c>
      <c r="W618" s="151">
        <f t="shared" si="38"/>
        <v>0.99</v>
      </c>
      <c r="X618" s="152">
        <f t="shared" si="39"/>
        <v>6.93E-2</v>
      </c>
      <c r="Y618" s="152"/>
      <c r="Z618" s="148"/>
      <c r="AA618" s="153"/>
      <c r="AB618" s="153"/>
      <c r="AC618" s="153"/>
      <c r="AD618" s="153"/>
      <c r="AH618" s="147"/>
    </row>
    <row r="619" spans="1:34" s="146" customFormat="1" x14ac:dyDescent="0.25">
      <c r="A619" s="196">
        <v>2649</v>
      </c>
      <c r="B619" s="196" t="s">
        <v>3647</v>
      </c>
      <c r="C619" s="196" t="s">
        <v>3648</v>
      </c>
      <c r="D619" s="196" t="s">
        <v>2103</v>
      </c>
      <c r="E619" s="196"/>
      <c r="F619" s="196">
        <v>2012</v>
      </c>
      <c r="G619" s="196"/>
      <c r="H619" s="196" t="s">
        <v>1878</v>
      </c>
      <c r="I619" s="141" t="s">
        <v>1879</v>
      </c>
      <c r="J619" s="196" t="s">
        <v>3649</v>
      </c>
      <c r="K619" s="196" t="s">
        <v>1881</v>
      </c>
      <c r="L619" s="141" t="s">
        <v>3650</v>
      </c>
      <c r="M619" s="196">
        <v>146</v>
      </c>
      <c r="N619" s="196"/>
      <c r="O619" s="196" t="s">
        <v>3546</v>
      </c>
      <c r="P619" s="144">
        <v>92</v>
      </c>
      <c r="Q619" s="145">
        <f t="shared" si="37"/>
        <v>1.9742999999999999</v>
      </c>
      <c r="R619" s="203">
        <v>0.49</v>
      </c>
      <c r="S619" s="203"/>
      <c r="T619" s="151"/>
      <c r="U619" s="151">
        <v>1.2</v>
      </c>
      <c r="V619" s="151">
        <v>0.25</v>
      </c>
      <c r="W619" s="151">
        <f t="shared" si="38"/>
        <v>0.49</v>
      </c>
      <c r="X619" s="152">
        <f t="shared" si="39"/>
        <v>3.4299999999999997E-2</v>
      </c>
      <c r="Y619" s="152"/>
      <c r="Z619" s="148"/>
      <c r="AA619" s="153"/>
      <c r="AB619" s="153"/>
      <c r="AC619" s="153"/>
      <c r="AD619" s="153"/>
      <c r="AH619" s="147"/>
    </row>
    <row r="620" spans="1:34" s="146" customFormat="1" x14ac:dyDescent="0.25">
      <c r="A620" s="196">
        <v>2649</v>
      </c>
      <c r="B620" s="196" t="s">
        <v>3651</v>
      </c>
      <c r="C620" s="196" t="s">
        <v>3652</v>
      </c>
      <c r="D620" s="196" t="s">
        <v>2103</v>
      </c>
      <c r="E620" s="196"/>
      <c r="F620" s="196">
        <v>2013</v>
      </c>
      <c r="G620" s="196"/>
      <c r="H620" s="196" t="s">
        <v>1878</v>
      </c>
      <c r="I620" s="141" t="s">
        <v>1879</v>
      </c>
      <c r="J620" s="196" t="s">
        <v>3653</v>
      </c>
      <c r="K620" s="196" t="s">
        <v>1881</v>
      </c>
      <c r="L620" s="141" t="s">
        <v>3654</v>
      </c>
      <c r="M620" s="196">
        <v>290</v>
      </c>
      <c r="N620" s="196"/>
      <c r="O620" s="196" t="s">
        <v>3547</v>
      </c>
      <c r="P620" s="144">
        <v>170</v>
      </c>
      <c r="Q620" s="145">
        <f t="shared" si="37"/>
        <v>2.4022999999999999</v>
      </c>
      <c r="R620" s="203">
        <v>0.89</v>
      </c>
      <c r="S620" s="203"/>
      <c r="T620" s="151"/>
      <c r="U620" s="151">
        <v>1.2</v>
      </c>
      <c r="V620" s="151">
        <v>0.25</v>
      </c>
      <c r="W620" s="151">
        <f t="shared" si="38"/>
        <v>0.89</v>
      </c>
      <c r="X620" s="152">
        <f t="shared" si="39"/>
        <v>6.2300000000000001E-2</v>
      </c>
      <c r="Y620" s="152"/>
      <c r="Z620" s="148"/>
      <c r="AA620" s="153"/>
      <c r="AB620" s="153"/>
      <c r="AC620" s="153"/>
      <c r="AD620" s="153"/>
      <c r="AH620" s="147"/>
    </row>
    <row r="621" spans="1:34" s="146" customFormat="1" x14ac:dyDescent="0.25">
      <c r="A621" s="196">
        <v>2649</v>
      </c>
      <c r="B621" s="196" t="s">
        <v>3655</v>
      </c>
      <c r="C621" s="196" t="s">
        <v>3656</v>
      </c>
      <c r="D621" s="196" t="s">
        <v>2103</v>
      </c>
      <c r="E621" s="196"/>
      <c r="F621" s="196">
        <v>2012</v>
      </c>
      <c r="G621" s="196"/>
      <c r="H621" s="196" t="s">
        <v>1878</v>
      </c>
      <c r="I621" s="141" t="s">
        <v>1879</v>
      </c>
      <c r="J621" s="196" t="s">
        <v>3303</v>
      </c>
      <c r="K621" s="196" t="s">
        <v>1881</v>
      </c>
      <c r="L621" s="141" t="s">
        <v>3650</v>
      </c>
      <c r="M621" s="196">
        <v>146</v>
      </c>
      <c r="N621" s="196"/>
      <c r="O621" s="196" t="s">
        <v>3548</v>
      </c>
      <c r="P621" s="144">
        <v>93</v>
      </c>
      <c r="Q621" s="145">
        <f t="shared" si="37"/>
        <v>1.9742999999999999</v>
      </c>
      <c r="R621" s="203">
        <v>0.49</v>
      </c>
      <c r="S621" s="203"/>
      <c r="T621" s="151"/>
      <c r="U621" s="151">
        <v>1.2</v>
      </c>
      <c r="V621" s="151">
        <v>0.25</v>
      </c>
      <c r="W621" s="151">
        <f t="shared" si="38"/>
        <v>0.49</v>
      </c>
      <c r="X621" s="152">
        <f t="shared" si="39"/>
        <v>3.4299999999999997E-2</v>
      </c>
      <c r="Y621" s="152"/>
      <c r="Z621" s="148"/>
      <c r="AA621" s="153"/>
      <c r="AB621" s="153"/>
      <c r="AC621" s="153"/>
      <c r="AD621" s="153"/>
      <c r="AH621" s="147"/>
    </row>
    <row r="622" spans="1:34" s="146" customFormat="1" x14ac:dyDescent="0.25">
      <c r="A622" s="196">
        <v>2649</v>
      </c>
      <c r="B622" s="196" t="s">
        <v>3647</v>
      </c>
      <c r="C622" s="196" t="s">
        <v>3657</v>
      </c>
      <c r="D622" s="196" t="s">
        <v>2103</v>
      </c>
      <c r="E622" s="196"/>
      <c r="F622" s="196">
        <v>2011</v>
      </c>
      <c r="G622" s="196"/>
      <c r="H622" s="196" t="s">
        <v>1878</v>
      </c>
      <c r="I622" s="141" t="s">
        <v>1879</v>
      </c>
      <c r="J622" s="196" t="s">
        <v>3658</v>
      </c>
      <c r="K622" s="196" t="s">
        <v>1881</v>
      </c>
      <c r="L622" s="141" t="s">
        <v>3659</v>
      </c>
      <c r="M622" s="196">
        <v>146</v>
      </c>
      <c r="N622" s="196"/>
      <c r="O622" s="196" t="s">
        <v>3549</v>
      </c>
      <c r="P622" s="144">
        <v>99</v>
      </c>
      <c r="Q622" s="145">
        <f t="shared" si="37"/>
        <v>1.9742999999999999</v>
      </c>
      <c r="R622" s="203">
        <v>0.49</v>
      </c>
      <c r="S622" s="203"/>
      <c r="T622" s="151"/>
      <c r="U622" s="151">
        <v>1.2</v>
      </c>
      <c r="V622" s="151">
        <v>0.25</v>
      </c>
      <c r="W622" s="151">
        <f t="shared" si="38"/>
        <v>0.49</v>
      </c>
      <c r="X622" s="152">
        <f t="shared" si="39"/>
        <v>3.4299999999999997E-2</v>
      </c>
      <c r="Y622" s="152"/>
      <c r="Z622" s="148"/>
      <c r="AA622" s="153"/>
      <c r="AB622" s="153"/>
      <c r="AC622" s="153"/>
      <c r="AD622" s="153"/>
      <c r="AH622" s="147"/>
    </row>
    <row r="623" spans="1:34" s="146" customFormat="1" x14ac:dyDescent="0.25">
      <c r="A623" s="196">
        <v>2649</v>
      </c>
      <c r="B623" s="196" t="s">
        <v>3647</v>
      </c>
      <c r="C623" s="196" t="s">
        <v>3660</v>
      </c>
      <c r="D623" s="196" t="s">
        <v>2103</v>
      </c>
      <c r="E623" s="196"/>
      <c r="F623" s="196">
        <v>2011</v>
      </c>
      <c r="G623" s="196"/>
      <c r="H623" s="196" t="s">
        <v>1878</v>
      </c>
      <c r="I623" s="141" t="s">
        <v>1879</v>
      </c>
      <c r="J623" s="196" t="s">
        <v>3303</v>
      </c>
      <c r="K623" s="196" t="s">
        <v>1881</v>
      </c>
      <c r="L623" s="141" t="s">
        <v>3650</v>
      </c>
      <c r="M623" s="196">
        <v>146</v>
      </c>
      <c r="N623" s="196"/>
      <c r="O623" s="196" t="s">
        <v>3550</v>
      </c>
      <c r="P623" s="144">
        <v>93</v>
      </c>
      <c r="Q623" s="145">
        <f t="shared" si="37"/>
        <v>1.9742999999999999</v>
      </c>
      <c r="R623" s="203">
        <v>0.49</v>
      </c>
      <c r="S623" s="203"/>
      <c r="T623" s="151"/>
      <c r="U623" s="151">
        <v>1.2</v>
      </c>
      <c r="V623" s="151">
        <v>0.25</v>
      </c>
      <c r="W623" s="151">
        <f t="shared" si="38"/>
        <v>0.49</v>
      </c>
      <c r="X623" s="152">
        <f t="shared" si="39"/>
        <v>3.4299999999999997E-2</v>
      </c>
      <c r="Y623" s="152"/>
      <c r="Z623" s="148"/>
      <c r="AA623" s="153"/>
      <c r="AB623" s="153"/>
      <c r="AC623" s="153"/>
      <c r="AD623" s="153"/>
      <c r="AH623" s="147"/>
    </row>
    <row r="624" spans="1:34" s="146" customFormat="1" x14ac:dyDescent="0.25">
      <c r="A624" s="196">
        <v>2649</v>
      </c>
      <c r="B624" s="196" t="s">
        <v>3661</v>
      </c>
      <c r="C624" s="196" t="s">
        <v>3662</v>
      </c>
      <c r="D624" s="196" t="s">
        <v>2103</v>
      </c>
      <c r="E624" s="196"/>
      <c r="F624" s="196">
        <v>2014</v>
      </c>
      <c r="G624" s="196"/>
      <c r="H624" s="196" t="s">
        <v>1878</v>
      </c>
      <c r="I624" s="141" t="s">
        <v>1879</v>
      </c>
      <c r="J624" s="196" t="s">
        <v>3658</v>
      </c>
      <c r="K624" s="196" t="s">
        <v>1881</v>
      </c>
      <c r="L624" s="141" t="s">
        <v>3663</v>
      </c>
      <c r="M624" s="196">
        <v>290</v>
      </c>
      <c r="N624" s="196"/>
      <c r="O624" s="196" t="s">
        <v>3551</v>
      </c>
      <c r="P624" s="144">
        <v>170</v>
      </c>
      <c r="Q624" s="145">
        <f t="shared" si="37"/>
        <v>1.9742999999999999</v>
      </c>
      <c r="R624" s="203">
        <v>0.49</v>
      </c>
      <c r="S624" s="203"/>
      <c r="T624" s="151"/>
      <c r="U624" s="151">
        <v>1.2</v>
      </c>
      <c r="V624" s="151">
        <v>0.25</v>
      </c>
      <c r="W624" s="151">
        <f t="shared" si="38"/>
        <v>0.49</v>
      </c>
      <c r="X624" s="152">
        <f t="shared" si="39"/>
        <v>3.4299999999999997E-2</v>
      </c>
      <c r="Y624" s="152"/>
      <c r="Z624" s="148"/>
      <c r="AA624" s="153"/>
      <c r="AB624" s="153"/>
      <c r="AC624" s="153"/>
      <c r="AD624" s="153"/>
      <c r="AH624" s="147"/>
    </row>
    <row r="625" spans="1:34" s="146" customFormat="1" x14ac:dyDescent="0.25">
      <c r="A625" s="196">
        <v>2649</v>
      </c>
      <c r="B625" s="196" t="s">
        <v>3664</v>
      </c>
      <c r="C625" s="196" t="s">
        <v>3665</v>
      </c>
      <c r="D625" s="196" t="s">
        <v>2103</v>
      </c>
      <c r="E625" s="196"/>
      <c r="F625" s="196">
        <v>2000</v>
      </c>
      <c r="G625" s="196"/>
      <c r="H625" s="196" t="s">
        <v>1878</v>
      </c>
      <c r="I625" s="141" t="s">
        <v>1879</v>
      </c>
      <c r="J625" s="196" t="s">
        <v>3653</v>
      </c>
      <c r="K625" s="196" t="s">
        <v>1881</v>
      </c>
      <c r="L625" s="141" t="s">
        <v>3666</v>
      </c>
      <c r="M625" s="196">
        <v>386</v>
      </c>
      <c r="N625" s="196"/>
      <c r="O625" s="196" t="s">
        <v>3552</v>
      </c>
      <c r="P625" s="144">
        <v>238</v>
      </c>
      <c r="Q625" s="145">
        <f t="shared" si="37"/>
        <v>3.7932999999999995</v>
      </c>
      <c r="R625" s="203">
        <v>2.19</v>
      </c>
      <c r="S625" s="203"/>
      <c r="T625" s="151"/>
      <c r="U625" s="151">
        <v>1.2</v>
      </c>
      <c r="V625" s="151">
        <v>0.25</v>
      </c>
      <c r="W625" s="151">
        <f t="shared" si="38"/>
        <v>2.19</v>
      </c>
      <c r="X625" s="152">
        <f t="shared" si="39"/>
        <v>0.15329999999999999</v>
      </c>
      <c r="Y625" s="152"/>
      <c r="Z625" s="148"/>
      <c r="AA625" s="153"/>
      <c r="AB625" s="153"/>
      <c r="AC625" s="153"/>
      <c r="AD625" s="153"/>
      <c r="AH625" s="147"/>
    </row>
    <row r="626" spans="1:34" s="146" customFormat="1" x14ac:dyDescent="0.25">
      <c r="A626" s="196">
        <v>2649</v>
      </c>
      <c r="B626" s="196" t="s">
        <v>3667</v>
      </c>
      <c r="C626" s="196" t="s">
        <v>3668</v>
      </c>
      <c r="D626" s="196" t="s">
        <v>2103</v>
      </c>
      <c r="E626" s="196"/>
      <c r="F626" s="196">
        <v>2008</v>
      </c>
      <c r="G626" s="196"/>
      <c r="H626" s="196" t="s">
        <v>1878</v>
      </c>
      <c r="I626" s="141" t="s">
        <v>1879</v>
      </c>
      <c r="J626" s="196" t="s">
        <v>3669</v>
      </c>
      <c r="K626" s="196" t="s">
        <v>1881</v>
      </c>
      <c r="L626" s="141" t="s">
        <v>3659</v>
      </c>
      <c r="M626" s="196">
        <v>146</v>
      </c>
      <c r="N626" s="196"/>
      <c r="O626" s="196" t="s">
        <v>3553</v>
      </c>
      <c r="P626" s="144">
        <v>94</v>
      </c>
      <c r="Q626" s="145">
        <f t="shared" si="37"/>
        <v>1.9742999999999999</v>
      </c>
      <c r="R626" s="203">
        <v>0.49</v>
      </c>
      <c r="S626" s="203"/>
      <c r="T626" s="151"/>
      <c r="U626" s="151">
        <v>1.2</v>
      </c>
      <c r="V626" s="151">
        <v>0.25</v>
      </c>
      <c r="W626" s="151">
        <f t="shared" si="38"/>
        <v>0.49</v>
      </c>
      <c r="X626" s="152">
        <f t="shared" si="39"/>
        <v>3.4299999999999997E-2</v>
      </c>
      <c r="Y626" s="152"/>
      <c r="Z626" s="148"/>
      <c r="AA626" s="153"/>
      <c r="AB626" s="153"/>
      <c r="AC626" s="153"/>
      <c r="AD626" s="153"/>
      <c r="AH626" s="147"/>
    </row>
    <row r="627" spans="1:34" s="146" customFormat="1" ht="52.8" x14ac:dyDescent="0.25">
      <c r="A627" s="196">
        <v>690</v>
      </c>
      <c r="B627" s="196" t="s">
        <v>3670</v>
      </c>
      <c r="C627" s="196" t="s">
        <v>3671</v>
      </c>
      <c r="D627" s="196" t="s">
        <v>807</v>
      </c>
      <c r="E627" s="196" t="s">
        <v>2014</v>
      </c>
      <c r="F627" s="196">
        <v>2004</v>
      </c>
      <c r="G627" s="196"/>
      <c r="H627" s="196" t="s">
        <v>1878</v>
      </c>
      <c r="I627" s="141" t="s">
        <v>1879</v>
      </c>
      <c r="J627" s="142" t="s">
        <v>3673</v>
      </c>
      <c r="K627" s="196" t="s">
        <v>1881</v>
      </c>
      <c r="L627" s="141" t="s">
        <v>3672</v>
      </c>
      <c r="M627" s="196">
        <v>160</v>
      </c>
      <c r="N627" s="196"/>
      <c r="O627" s="196" t="s">
        <v>3554</v>
      </c>
      <c r="P627" s="144">
        <v>179</v>
      </c>
      <c r="Q627" s="145">
        <f t="shared" si="37"/>
        <v>2.4022999999999999</v>
      </c>
      <c r="R627" s="203">
        <v>0.89</v>
      </c>
      <c r="S627" s="203"/>
      <c r="T627" s="151"/>
      <c r="U627" s="151">
        <v>1.2</v>
      </c>
      <c r="V627" s="151">
        <v>0.25</v>
      </c>
      <c r="W627" s="151">
        <f t="shared" si="38"/>
        <v>0.89</v>
      </c>
      <c r="X627" s="152">
        <f t="shared" si="39"/>
        <v>6.2300000000000001E-2</v>
      </c>
      <c r="Y627" s="152"/>
      <c r="Z627" s="148"/>
      <c r="AA627" s="153"/>
      <c r="AB627" s="153"/>
      <c r="AC627" s="153"/>
      <c r="AD627" s="153"/>
      <c r="AH627" s="147"/>
    </row>
    <row r="628" spans="1:34" s="146" customFormat="1" x14ac:dyDescent="0.25">
      <c r="A628" s="196">
        <v>764</v>
      </c>
      <c r="B628" s="196"/>
      <c r="C628" s="196" t="s">
        <v>3674</v>
      </c>
      <c r="D628" s="196" t="s">
        <v>3675</v>
      </c>
      <c r="E628" s="196" t="s">
        <v>1913</v>
      </c>
      <c r="F628" s="196">
        <v>1997</v>
      </c>
      <c r="G628" s="196"/>
      <c r="H628" s="196" t="s">
        <v>1878</v>
      </c>
      <c r="I628" s="141" t="s">
        <v>1879</v>
      </c>
      <c r="J628" s="196" t="s">
        <v>2237</v>
      </c>
      <c r="K628" s="196" t="s">
        <v>1881</v>
      </c>
      <c r="L628" s="141" t="s">
        <v>3676</v>
      </c>
      <c r="M628" s="196">
        <v>240</v>
      </c>
      <c r="N628" s="196"/>
      <c r="O628" s="196" t="s">
        <v>3555</v>
      </c>
      <c r="P628" s="144">
        <v>323</v>
      </c>
      <c r="Q628" s="145">
        <f t="shared" si="37"/>
        <v>1.7175</v>
      </c>
      <c r="R628" s="203">
        <v>0.25</v>
      </c>
      <c r="S628" s="203"/>
      <c r="T628" s="151"/>
      <c r="U628" s="151">
        <v>1.2</v>
      </c>
      <c r="V628" s="151">
        <v>0.25</v>
      </c>
      <c r="W628" s="151">
        <f t="shared" si="38"/>
        <v>0.25</v>
      </c>
      <c r="X628" s="152">
        <f t="shared" si="39"/>
        <v>1.7500000000000002E-2</v>
      </c>
      <c r="Y628" s="152"/>
      <c r="Z628" s="148"/>
      <c r="AA628" s="153"/>
      <c r="AB628" s="153"/>
      <c r="AC628" s="153"/>
      <c r="AD628" s="153"/>
      <c r="AH628" s="147"/>
    </row>
    <row r="629" spans="1:34" s="146" customFormat="1" ht="52.8" x14ac:dyDescent="0.25">
      <c r="A629" s="196">
        <v>1395</v>
      </c>
      <c r="B629" s="196" t="s">
        <v>3677</v>
      </c>
      <c r="C629" s="196" t="s">
        <v>3678</v>
      </c>
      <c r="D629" s="196" t="s">
        <v>2609</v>
      </c>
      <c r="E629" s="196"/>
      <c r="F629" s="196">
        <v>2007</v>
      </c>
      <c r="G629" s="196"/>
      <c r="H629" s="196" t="s">
        <v>1878</v>
      </c>
      <c r="I629" s="141" t="s">
        <v>1879</v>
      </c>
      <c r="J629" s="142" t="s">
        <v>3679</v>
      </c>
      <c r="K629" s="196" t="s">
        <v>1881</v>
      </c>
      <c r="L629" s="141" t="s">
        <v>3680</v>
      </c>
      <c r="M629" s="196">
        <v>384</v>
      </c>
      <c r="N629" s="196"/>
      <c r="O629" s="196" t="s">
        <v>3556</v>
      </c>
      <c r="P629" s="144">
        <v>490</v>
      </c>
      <c r="Q629" s="145">
        <f t="shared" si="37"/>
        <v>0.51749999999999996</v>
      </c>
      <c r="R629" s="203">
        <v>0.25</v>
      </c>
      <c r="S629" s="203"/>
      <c r="T629" s="151"/>
      <c r="U629" s="151"/>
      <c r="V629" s="151">
        <v>0.25</v>
      </c>
      <c r="W629" s="151">
        <f t="shared" si="38"/>
        <v>0.25</v>
      </c>
      <c r="X629" s="152">
        <f t="shared" si="39"/>
        <v>1.7500000000000002E-2</v>
      </c>
      <c r="Y629" s="152"/>
      <c r="Z629" s="148"/>
      <c r="AA629" s="153"/>
      <c r="AB629" s="153"/>
      <c r="AC629" s="153"/>
      <c r="AD629" s="153"/>
      <c r="AH629" s="147"/>
    </row>
    <row r="630" spans="1:34" s="146" customFormat="1" x14ac:dyDescent="0.25">
      <c r="A630" s="196">
        <v>721</v>
      </c>
      <c r="B630" s="196"/>
      <c r="C630" s="196" t="s">
        <v>3681</v>
      </c>
      <c r="D630" s="196" t="s">
        <v>3682</v>
      </c>
      <c r="E630" s="196"/>
      <c r="F630" s="196">
        <v>2009</v>
      </c>
      <c r="G630" s="196"/>
      <c r="H630" s="196" t="s">
        <v>1878</v>
      </c>
      <c r="I630" s="141" t="s">
        <v>1879</v>
      </c>
      <c r="J630" s="196" t="s">
        <v>2237</v>
      </c>
      <c r="K630" s="196" t="s">
        <v>1881</v>
      </c>
      <c r="L630" s="141" t="s">
        <v>3683</v>
      </c>
      <c r="M630" s="196">
        <v>64</v>
      </c>
      <c r="N630" s="196"/>
      <c r="O630" s="196" t="s">
        <v>3557</v>
      </c>
      <c r="P630" s="144">
        <v>88</v>
      </c>
      <c r="Q630" s="145">
        <f t="shared" si="37"/>
        <v>1.7175</v>
      </c>
      <c r="R630" s="203">
        <v>0.25</v>
      </c>
      <c r="S630" s="203"/>
      <c r="T630" s="151"/>
      <c r="U630" s="151">
        <v>1.2</v>
      </c>
      <c r="V630" s="151">
        <v>0.25</v>
      </c>
      <c r="W630" s="151">
        <f t="shared" si="38"/>
        <v>0.25</v>
      </c>
      <c r="X630" s="152">
        <f t="shared" si="39"/>
        <v>1.7500000000000002E-2</v>
      </c>
      <c r="Y630" s="152"/>
      <c r="Z630" s="148"/>
      <c r="AA630" s="153"/>
      <c r="AB630" s="153"/>
      <c r="AC630" s="153"/>
      <c r="AD630" s="153"/>
      <c r="AH630" s="147"/>
    </row>
    <row r="631" spans="1:34" s="146" customFormat="1" x14ac:dyDescent="0.25">
      <c r="A631" s="196">
        <v>632</v>
      </c>
      <c r="B631" s="196" t="s">
        <v>3687</v>
      </c>
      <c r="C631" s="196" t="s">
        <v>3688</v>
      </c>
      <c r="D631" s="196"/>
      <c r="E631" s="196"/>
      <c r="F631" s="196">
        <v>2014</v>
      </c>
      <c r="G631" s="196"/>
      <c r="H631" s="196" t="s">
        <v>2295</v>
      </c>
      <c r="I631" s="141" t="s">
        <v>1879</v>
      </c>
      <c r="J631" s="196" t="s">
        <v>3653</v>
      </c>
      <c r="K631" s="196" t="s">
        <v>1881</v>
      </c>
      <c r="L631" s="141"/>
      <c r="M631" s="196">
        <v>642</v>
      </c>
      <c r="N631" s="196"/>
      <c r="O631" s="196" t="s">
        <v>3559</v>
      </c>
      <c r="P631" s="144">
        <v>673</v>
      </c>
      <c r="Q631" s="145">
        <f t="shared" si="37"/>
        <v>2.7953000000000001</v>
      </c>
      <c r="R631" s="203">
        <v>0.79</v>
      </c>
      <c r="S631" s="203"/>
      <c r="T631" s="151"/>
      <c r="U631" s="151">
        <v>1.7</v>
      </c>
      <c r="V631" s="151">
        <v>0.25</v>
      </c>
      <c r="W631" s="151">
        <f t="shared" si="38"/>
        <v>0.79</v>
      </c>
      <c r="X631" s="152">
        <f t="shared" si="39"/>
        <v>5.5300000000000002E-2</v>
      </c>
      <c r="Y631" s="152"/>
      <c r="Z631" s="148"/>
      <c r="AA631" s="153"/>
      <c r="AB631" s="153"/>
      <c r="AC631" s="153"/>
      <c r="AD631" s="153"/>
      <c r="AH631" s="147"/>
    </row>
    <row r="632" spans="1:34" s="146" customFormat="1" ht="26.4" x14ac:dyDescent="0.25">
      <c r="A632" s="196">
        <v>2553</v>
      </c>
      <c r="B632" s="196" t="s">
        <v>3689</v>
      </c>
      <c r="C632" s="196" t="s">
        <v>3690</v>
      </c>
      <c r="D632" s="196" t="s">
        <v>2453</v>
      </c>
      <c r="E632" s="196" t="s">
        <v>1913</v>
      </c>
      <c r="F632" s="196">
        <v>2006</v>
      </c>
      <c r="G632" s="196"/>
      <c r="H632" s="196" t="s">
        <v>1878</v>
      </c>
      <c r="I632" s="141" t="s">
        <v>1879</v>
      </c>
      <c r="J632" s="142" t="s">
        <v>2237</v>
      </c>
      <c r="K632" s="196" t="s">
        <v>1881</v>
      </c>
      <c r="L632" s="141" t="s">
        <v>3691</v>
      </c>
      <c r="M632" s="196">
        <v>256</v>
      </c>
      <c r="N632" s="196"/>
      <c r="O632" s="196" t="s">
        <v>3560</v>
      </c>
      <c r="P632" s="144">
        <v>279</v>
      </c>
      <c r="Q632" s="145">
        <f t="shared" si="37"/>
        <v>1.9315</v>
      </c>
      <c r="R632" s="203">
        <v>0.45</v>
      </c>
      <c r="S632" s="203"/>
      <c r="T632" s="151"/>
      <c r="U632" s="151">
        <v>1.2</v>
      </c>
      <c r="V632" s="151">
        <v>0.25</v>
      </c>
      <c r="W632" s="151">
        <f t="shared" si="38"/>
        <v>0.45</v>
      </c>
      <c r="X632" s="152">
        <f t="shared" si="39"/>
        <v>3.15E-2</v>
      </c>
      <c r="Y632" s="152"/>
      <c r="Z632" s="148"/>
      <c r="AA632" s="153"/>
      <c r="AB632" s="153"/>
      <c r="AC632" s="153"/>
      <c r="AD632" s="153"/>
      <c r="AH632" s="147"/>
    </row>
    <row r="633" spans="1:34" s="146" customFormat="1" x14ac:dyDescent="0.25">
      <c r="A633" s="196">
        <v>796</v>
      </c>
      <c r="B633" s="196" t="s">
        <v>3692</v>
      </c>
      <c r="C633" s="196" t="s">
        <v>3693</v>
      </c>
      <c r="D633" s="196" t="s">
        <v>1920</v>
      </c>
      <c r="E633" s="196"/>
      <c r="F633" s="196">
        <v>2013</v>
      </c>
      <c r="G633" s="196"/>
      <c r="H633" s="196" t="s">
        <v>3694</v>
      </c>
      <c r="I633" s="141" t="s">
        <v>1879</v>
      </c>
      <c r="J633" s="196" t="s">
        <v>2237</v>
      </c>
      <c r="K633" s="196" t="s">
        <v>1881</v>
      </c>
      <c r="L633" s="141" t="s">
        <v>3695</v>
      </c>
      <c r="M633" s="196">
        <v>480</v>
      </c>
      <c r="N633" s="196"/>
      <c r="O633" s="196" t="s">
        <v>3561</v>
      </c>
      <c r="P633" s="144">
        <v>409</v>
      </c>
      <c r="Q633" s="145">
        <f t="shared" si="37"/>
        <v>1.9742999999999999</v>
      </c>
      <c r="R633" s="203">
        <v>0.49</v>
      </c>
      <c r="S633" s="203"/>
      <c r="T633" s="151"/>
      <c r="U633" s="151">
        <v>1.2</v>
      </c>
      <c r="V633" s="151">
        <v>0.25</v>
      </c>
      <c r="W633" s="151">
        <f t="shared" si="38"/>
        <v>0.49</v>
      </c>
      <c r="X633" s="152">
        <f t="shared" si="39"/>
        <v>3.4299999999999997E-2</v>
      </c>
      <c r="Y633" s="152"/>
      <c r="Z633" s="148"/>
      <c r="AA633" s="153"/>
      <c r="AB633" s="153"/>
      <c r="AC633" s="153"/>
      <c r="AD633" s="153"/>
      <c r="AH633" s="147"/>
    </row>
    <row r="634" spans="1:34" s="146" customFormat="1" x14ac:dyDescent="0.25">
      <c r="A634" s="196">
        <v>1312</v>
      </c>
      <c r="B634" s="196" t="s">
        <v>3696</v>
      </c>
      <c r="C634" s="196" t="s">
        <v>3697</v>
      </c>
      <c r="D634" s="196" t="s">
        <v>3212</v>
      </c>
      <c r="E634" s="196"/>
      <c r="F634" s="196">
        <v>2000</v>
      </c>
      <c r="G634" s="196"/>
      <c r="H634" s="196" t="s">
        <v>2295</v>
      </c>
      <c r="I634" s="141" t="s">
        <v>1929</v>
      </c>
      <c r="J634" s="196"/>
      <c r="K634" s="196" t="s">
        <v>1881</v>
      </c>
      <c r="L634" s="141" t="s">
        <v>3698</v>
      </c>
      <c r="M634" s="196">
        <v>66</v>
      </c>
      <c r="N634" s="196"/>
      <c r="O634" s="196" t="s">
        <v>3562</v>
      </c>
      <c r="P634" s="144">
        <v>324</v>
      </c>
      <c r="Q634" s="145">
        <f t="shared" si="37"/>
        <v>1.9315</v>
      </c>
      <c r="R634" s="203">
        <v>0.45</v>
      </c>
      <c r="S634" s="203"/>
      <c r="T634" s="151"/>
      <c r="U634" s="151">
        <v>1.2</v>
      </c>
      <c r="V634" s="151">
        <v>0.25</v>
      </c>
      <c r="W634" s="151">
        <f t="shared" si="38"/>
        <v>0.45</v>
      </c>
      <c r="X634" s="152">
        <f t="shared" si="39"/>
        <v>3.15E-2</v>
      </c>
      <c r="Y634" s="152"/>
      <c r="Z634" s="148"/>
      <c r="AA634" s="153"/>
      <c r="AB634" s="153"/>
      <c r="AC634" s="153"/>
      <c r="AD634" s="153"/>
      <c r="AH634" s="147"/>
    </row>
    <row r="635" spans="1:34" s="146" customFormat="1" x14ac:dyDescent="0.25">
      <c r="A635" s="196">
        <v>796</v>
      </c>
      <c r="B635" s="196" t="s">
        <v>3701</v>
      </c>
      <c r="C635" s="196" t="s">
        <v>3702</v>
      </c>
      <c r="D635" s="196" t="s">
        <v>2036</v>
      </c>
      <c r="E635" s="196"/>
      <c r="F635" s="196">
        <v>2001</v>
      </c>
      <c r="G635" s="196"/>
      <c r="H635" s="196" t="s">
        <v>2295</v>
      </c>
      <c r="I635" s="141" t="s">
        <v>1879</v>
      </c>
      <c r="J635" s="196" t="s">
        <v>3704</v>
      </c>
      <c r="K635" s="196" t="s">
        <v>1881</v>
      </c>
      <c r="L635" s="141" t="s">
        <v>3703</v>
      </c>
      <c r="M635" s="196">
        <v>466</v>
      </c>
      <c r="N635" s="196"/>
      <c r="O635" s="196" t="s">
        <v>3564</v>
      </c>
      <c r="P635" s="144">
        <v>660</v>
      </c>
      <c r="Q635" s="145">
        <f t="shared" si="37"/>
        <v>2.2175000000000002</v>
      </c>
      <c r="R635" s="203">
        <v>0.25</v>
      </c>
      <c r="S635" s="203"/>
      <c r="T635" s="151"/>
      <c r="U635" s="151">
        <v>1.7</v>
      </c>
      <c r="V635" s="151">
        <v>0.25</v>
      </c>
      <c r="W635" s="151">
        <f t="shared" si="38"/>
        <v>0.25</v>
      </c>
      <c r="X635" s="152">
        <f t="shared" si="39"/>
        <v>1.7500000000000002E-2</v>
      </c>
      <c r="Y635" s="152"/>
      <c r="Z635" s="148"/>
      <c r="AA635" s="153"/>
      <c r="AB635" s="153"/>
      <c r="AC635" s="153"/>
      <c r="AD635" s="153"/>
      <c r="AH635" s="147"/>
    </row>
    <row r="636" spans="1:34" s="146" customFormat="1" x14ac:dyDescent="0.25">
      <c r="A636" s="196">
        <v>1875</v>
      </c>
      <c r="B636" s="196" t="s">
        <v>3710</v>
      </c>
      <c r="C636" s="196" t="s">
        <v>3708</v>
      </c>
      <c r="D636" s="196" t="s">
        <v>3709</v>
      </c>
      <c r="E636" s="196"/>
      <c r="F636" s="196">
        <v>2002</v>
      </c>
      <c r="G636" s="196"/>
      <c r="H636" s="196" t="s">
        <v>2295</v>
      </c>
      <c r="I636" s="141" t="s">
        <v>1929</v>
      </c>
      <c r="J636" s="196" t="s">
        <v>2884</v>
      </c>
      <c r="K636" s="196" t="s">
        <v>1881</v>
      </c>
      <c r="L636" s="141" t="s">
        <v>3711</v>
      </c>
      <c r="M636" s="196"/>
      <c r="N636" s="196"/>
      <c r="O636" s="196" t="s">
        <v>3566</v>
      </c>
      <c r="P636" s="144">
        <v>220</v>
      </c>
      <c r="Q636" s="145">
        <f t="shared" si="37"/>
        <v>3.0442999999999998</v>
      </c>
      <c r="R636" s="203">
        <v>1.49</v>
      </c>
      <c r="S636" s="203"/>
      <c r="T636" s="151"/>
      <c r="U636" s="151">
        <v>1.2</v>
      </c>
      <c r="V636" s="151">
        <v>0.25</v>
      </c>
      <c r="W636" s="151">
        <f t="shared" si="38"/>
        <v>1.49</v>
      </c>
      <c r="X636" s="152">
        <f t="shared" si="39"/>
        <v>0.1043</v>
      </c>
      <c r="Y636" s="152"/>
      <c r="Z636" s="148"/>
      <c r="AA636" s="153"/>
      <c r="AB636" s="153"/>
      <c r="AC636" s="153"/>
      <c r="AD636" s="153"/>
      <c r="AH636" s="147"/>
    </row>
    <row r="637" spans="1:34" s="146" customFormat="1" x14ac:dyDescent="0.25">
      <c r="A637" s="196">
        <v>765</v>
      </c>
      <c r="B637" s="196" t="s">
        <v>3715</v>
      </c>
      <c r="C637" s="196" t="s">
        <v>3716</v>
      </c>
      <c r="D637" s="196" t="s">
        <v>2309</v>
      </c>
      <c r="E637" s="196" t="s">
        <v>1913</v>
      </c>
      <c r="F637" s="196">
        <v>2007</v>
      </c>
      <c r="G637" s="196"/>
      <c r="H637" s="196" t="s">
        <v>1878</v>
      </c>
      <c r="I637" s="141" t="s">
        <v>1879</v>
      </c>
      <c r="J637" s="196" t="s">
        <v>3303</v>
      </c>
      <c r="K637" s="196" t="s">
        <v>1881</v>
      </c>
      <c r="L637" s="141" t="s">
        <v>3717</v>
      </c>
      <c r="M637" s="196">
        <v>144</v>
      </c>
      <c r="N637" s="196"/>
      <c r="O637" s="196" t="s">
        <v>3568</v>
      </c>
      <c r="P637" s="144">
        <v>132</v>
      </c>
      <c r="Q637" s="145">
        <f t="shared" si="37"/>
        <v>3.6863000000000001</v>
      </c>
      <c r="R637" s="203">
        <v>2.09</v>
      </c>
      <c r="S637" s="203"/>
      <c r="T637" s="151"/>
      <c r="U637" s="151">
        <v>1.2</v>
      </c>
      <c r="V637" s="151">
        <v>0.25</v>
      </c>
      <c r="W637" s="151">
        <f t="shared" si="38"/>
        <v>2.09</v>
      </c>
      <c r="X637" s="152">
        <f t="shared" si="39"/>
        <v>0.14629999999999999</v>
      </c>
      <c r="Y637" s="152"/>
      <c r="Z637" s="148"/>
      <c r="AA637" s="153"/>
      <c r="AB637" s="153"/>
      <c r="AC637" s="153"/>
      <c r="AD637" s="153"/>
      <c r="AH637" s="147"/>
    </row>
    <row r="638" spans="1:34" s="146" customFormat="1" x14ac:dyDescent="0.25">
      <c r="A638" s="196">
        <v>643</v>
      </c>
      <c r="B638" s="196" t="s">
        <v>3718</v>
      </c>
      <c r="C638" s="196" t="s">
        <v>3719</v>
      </c>
      <c r="D638" s="196" t="s">
        <v>2257</v>
      </c>
      <c r="E638" s="196"/>
      <c r="F638" s="196"/>
      <c r="G638" s="196"/>
      <c r="H638" s="196" t="s">
        <v>1878</v>
      </c>
      <c r="I638" s="141" t="s">
        <v>1879</v>
      </c>
      <c r="J638" s="196" t="s">
        <v>3653</v>
      </c>
      <c r="K638" s="196" t="s">
        <v>1881</v>
      </c>
      <c r="L638" s="141" t="s">
        <v>3720</v>
      </c>
      <c r="M638" s="196"/>
      <c r="N638" s="196"/>
      <c r="O638" s="196" t="s">
        <v>3569</v>
      </c>
      <c r="P638" s="144">
        <v>419</v>
      </c>
      <c r="Q638" s="145">
        <f t="shared" si="37"/>
        <v>1.8244999999999998</v>
      </c>
      <c r="R638" s="203">
        <v>0.35</v>
      </c>
      <c r="S638" s="203"/>
      <c r="T638" s="151"/>
      <c r="U638" s="151">
        <v>1.2</v>
      </c>
      <c r="V638" s="151">
        <v>0.25</v>
      </c>
      <c r="W638" s="151">
        <f t="shared" si="38"/>
        <v>0.35</v>
      </c>
      <c r="X638" s="152">
        <f t="shared" si="39"/>
        <v>2.4499999999999997E-2</v>
      </c>
      <c r="Y638" s="152"/>
      <c r="Z638" s="148"/>
      <c r="AA638" s="153"/>
      <c r="AB638" s="153"/>
      <c r="AC638" s="153"/>
      <c r="AD638" s="153"/>
      <c r="AH638" s="147"/>
    </row>
    <row r="639" spans="1:34" s="146" customFormat="1" x14ac:dyDescent="0.25">
      <c r="A639" s="196">
        <v>2410</v>
      </c>
      <c r="B639" s="196" t="s">
        <v>3721</v>
      </c>
      <c r="C639" s="196" t="s">
        <v>3722</v>
      </c>
      <c r="D639" s="196" t="s">
        <v>2007</v>
      </c>
      <c r="E639" s="196"/>
      <c r="F639" s="196">
        <v>2011</v>
      </c>
      <c r="G639" s="196"/>
      <c r="H639" s="196" t="s">
        <v>2008</v>
      </c>
      <c r="I639" s="141" t="s">
        <v>1879</v>
      </c>
      <c r="J639" s="196" t="s">
        <v>2237</v>
      </c>
      <c r="K639" s="196" t="s">
        <v>1881</v>
      </c>
      <c r="L639" s="141" t="s">
        <v>3723</v>
      </c>
      <c r="M639" s="196">
        <v>360</v>
      </c>
      <c r="N639" s="196"/>
      <c r="O639" s="196" t="s">
        <v>3570</v>
      </c>
      <c r="P639" s="144">
        <v>153</v>
      </c>
      <c r="Q639" s="145">
        <f t="shared" si="37"/>
        <v>1.9742999999999999</v>
      </c>
      <c r="R639" s="203">
        <v>0.49</v>
      </c>
      <c r="S639" s="203"/>
      <c r="T639" s="151"/>
      <c r="U639" s="151">
        <v>1.2</v>
      </c>
      <c r="V639" s="151">
        <v>0.25</v>
      </c>
      <c r="W639" s="151">
        <f t="shared" si="38"/>
        <v>0.49</v>
      </c>
      <c r="X639" s="152">
        <f t="shared" si="39"/>
        <v>3.4299999999999997E-2</v>
      </c>
      <c r="Y639" s="152"/>
      <c r="Z639" s="148"/>
      <c r="AA639" s="153"/>
      <c r="AB639" s="153"/>
      <c r="AC639" s="153"/>
      <c r="AD639" s="153"/>
      <c r="AH639" s="147"/>
    </row>
    <row r="640" spans="1:34" s="146" customFormat="1" x14ac:dyDescent="0.25">
      <c r="A640" s="196">
        <v>2522</v>
      </c>
      <c r="B640" s="196" t="s">
        <v>2191</v>
      </c>
      <c r="C640" s="196" t="s">
        <v>3724</v>
      </c>
      <c r="D640" s="196" t="s">
        <v>1912</v>
      </c>
      <c r="E640" s="196" t="s">
        <v>2335</v>
      </c>
      <c r="F640" s="196">
        <v>2004</v>
      </c>
      <c r="G640" s="196"/>
      <c r="H640" s="196" t="s">
        <v>1878</v>
      </c>
      <c r="I640" s="141" t="s">
        <v>1879</v>
      </c>
      <c r="J640" s="196" t="s">
        <v>3006</v>
      </c>
      <c r="K640" s="196" t="s">
        <v>1881</v>
      </c>
      <c r="L640" s="141" t="s">
        <v>3725</v>
      </c>
      <c r="M640" s="196">
        <v>448</v>
      </c>
      <c r="N640" s="196"/>
      <c r="O640" s="196" t="s">
        <v>3571</v>
      </c>
      <c r="P640" s="144">
        <v>349</v>
      </c>
      <c r="Q640" s="145">
        <f t="shared" ref="Q640:Q689" si="40">SUM(T640:X640)</f>
        <v>1.7175</v>
      </c>
      <c r="R640" s="203">
        <v>0.25</v>
      </c>
      <c r="S640" s="203"/>
      <c r="T640" s="151"/>
      <c r="U640" s="151">
        <v>1.2</v>
      </c>
      <c r="V640" s="151">
        <v>0.25</v>
      </c>
      <c r="W640" s="151">
        <f t="shared" ref="W640:W689" si="41">IF(R640&gt;T640,R640,T640)</f>
        <v>0.25</v>
      </c>
      <c r="X640" s="152">
        <f t="shared" ref="X640:X667" si="42">(T640+W640)/100*7</f>
        <v>1.7500000000000002E-2</v>
      </c>
      <c r="Y640" s="152"/>
      <c r="Z640" s="148"/>
      <c r="AA640" s="153"/>
      <c r="AB640" s="153"/>
      <c r="AC640" s="153"/>
      <c r="AD640" s="153"/>
      <c r="AH640" s="147"/>
    </row>
    <row r="641" spans="1:34" s="146" customFormat="1" x14ac:dyDescent="0.25">
      <c r="A641" s="196">
        <v>2518</v>
      </c>
      <c r="B641" s="196" t="s">
        <v>3726</v>
      </c>
      <c r="C641" s="196" t="s">
        <v>3727</v>
      </c>
      <c r="D641" s="196" t="s">
        <v>2250</v>
      </c>
      <c r="E641" s="196" t="s">
        <v>1913</v>
      </c>
      <c r="F641" s="196">
        <v>2004</v>
      </c>
      <c r="G641" s="196"/>
      <c r="H641" s="196" t="s">
        <v>1878</v>
      </c>
      <c r="I641" s="141" t="s">
        <v>1879</v>
      </c>
      <c r="J641" s="196" t="s">
        <v>2237</v>
      </c>
      <c r="K641" s="196" t="s">
        <v>1881</v>
      </c>
      <c r="L641" s="141" t="s">
        <v>3728</v>
      </c>
      <c r="M641" s="196">
        <v>288</v>
      </c>
      <c r="N641" s="196"/>
      <c r="O641" s="196" t="s">
        <v>3572</v>
      </c>
      <c r="P641" s="144">
        <v>278</v>
      </c>
      <c r="Q641" s="145">
        <f t="shared" si="40"/>
        <v>2.1882999999999995</v>
      </c>
      <c r="R641" s="203">
        <v>0.69</v>
      </c>
      <c r="S641" s="203"/>
      <c r="T641" s="151"/>
      <c r="U641" s="151">
        <v>1.2</v>
      </c>
      <c r="V641" s="151">
        <v>0.25</v>
      </c>
      <c r="W641" s="151">
        <f t="shared" si="41"/>
        <v>0.69</v>
      </c>
      <c r="X641" s="152">
        <f t="shared" si="42"/>
        <v>4.8299999999999996E-2</v>
      </c>
      <c r="Y641" s="152"/>
      <c r="Z641" s="148"/>
      <c r="AA641" s="153"/>
      <c r="AB641" s="153"/>
      <c r="AC641" s="153"/>
      <c r="AD641" s="153"/>
      <c r="AH641" s="147"/>
    </row>
    <row r="642" spans="1:34" s="146" customFormat="1" x14ac:dyDescent="0.25">
      <c r="A642" s="196">
        <v>2522</v>
      </c>
      <c r="B642" s="196" t="s">
        <v>3733</v>
      </c>
      <c r="C642" s="196" t="s">
        <v>3734</v>
      </c>
      <c r="D642" s="196" t="s">
        <v>2209</v>
      </c>
      <c r="E642" s="196"/>
      <c r="F642" s="196">
        <v>2014</v>
      </c>
      <c r="G642" s="196"/>
      <c r="H642" s="196" t="s">
        <v>1878</v>
      </c>
      <c r="I642" s="141" t="s">
        <v>1879</v>
      </c>
      <c r="J642" s="143" t="s">
        <v>3735</v>
      </c>
      <c r="K642" s="196" t="s">
        <v>1881</v>
      </c>
      <c r="L642" s="141" t="s">
        <v>3736</v>
      </c>
      <c r="M642" s="196">
        <v>480</v>
      </c>
      <c r="N642" s="196"/>
      <c r="O642" s="196" t="s">
        <v>3574</v>
      </c>
      <c r="P642" s="144">
        <v>399</v>
      </c>
      <c r="Q642" s="145">
        <f t="shared" si="40"/>
        <v>1.7603</v>
      </c>
      <c r="R642" s="203">
        <v>0.28999999999999998</v>
      </c>
      <c r="S642" s="203"/>
      <c r="T642" s="151"/>
      <c r="U642" s="151">
        <v>1.2</v>
      </c>
      <c r="V642" s="151">
        <v>0.25</v>
      </c>
      <c r="W642" s="151">
        <f t="shared" si="41"/>
        <v>0.28999999999999998</v>
      </c>
      <c r="X642" s="152">
        <f t="shared" si="42"/>
        <v>2.0299999999999999E-2</v>
      </c>
      <c r="Y642" s="152"/>
      <c r="Z642" s="148"/>
      <c r="AA642" s="153"/>
      <c r="AB642" s="153"/>
      <c r="AC642" s="153"/>
      <c r="AD642" s="153"/>
      <c r="AH642" s="147"/>
    </row>
    <row r="643" spans="1:34" s="146" customFormat="1" x14ac:dyDescent="0.25">
      <c r="A643" s="196">
        <v>2522</v>
      </c>
      <c r="B643" s="196" t="s">
        <v>3741</v>
      </c>
      <c r="C643" s="196" t="s">
        <v>3742</v>
      </c>
      <c r="D643" s="196" t="s">
        <v>1920</v>
      </c>
      <c r="E643" s="196"/>
      <c r="F643" s="196">
        <v>2013</v>
      </c>
      <c r="G643" s="196"/>
      <c r="H643" s="196" t="s">
        <v>1878</v>
      </c>
      <c r="I643" s="141" t="s">
        <v>1879</v>
      </c>
      <c r="J643" s="143" t="s">
        <v>3743</v>
      </c>
      <c r="K643" s="196" t="s">
        <v>1881</v>
      </c>
      <c r="L643" s="141" t="s">
        <v>3744</v>
      </c>
      <c r="M643" s="196">
        <v>576</v>
      </c>
      <c r="N643" s="196"/>
      <c r="O643" s="196" t="s">
        <v>3576</v>
      </c>
      <c r="P643" s="144">
        <v>494</v>
      </c>
      <c r="Q643" s="145">
        <f t="shared" si="40"/>
        <v>0.73149999999999993</v>
      </c>
      <c r="R643" s="203">
        <v>0.45</v>
      </c>
      <c r="S643" s="203"/>
      <c r="T643" s="151"/>
      <c r="U643" s="151"/>
      <c r="V643" s="151">
        <v>0.25</v>
      </c>
      <c r="W643" s="151">
        <f t="shared" si="41"/>
        <v>0.45</v>
      </c>
      <c r="X643" s="152">
        <f t="shared" si="42"/>
        <v>3.15E-2</v>
      </c>
      <c r="Y643" s="152"/>
      <c r="Z643" s="148"/>
      <c r="AA643" s="153"/>
      <c r="AB643" s="153"/>
      <c r="AC643" s="153"/>
      <c r="AD643" s="153"/>
      <c r="AH643" s="147"/>
    </row>
    <row r="644" spans="1:34" s="146" customFormat="1" x14ac:dyDescent="0.25">
      <c r="A644" s="196">
        <v>632</v>
      </c>
      <c r="B644" s="196" t="s">
        <v>3756</v>
      </c>
      <c r="C644" s="196" t="s">
        <v>3757</v>
      </c>
      <c r="D644" s="196" t="s">
        <v>3758</v>
      </c>
      <c r="E644" s="196"/>
      <c r="F644" s="196">
        <v>1996</v>
      </c>
      <c r="G644" s="196"/>
      <c r="H644" s="196" t="s">
        <v>2295</v>
      </c>
      <c r="I644" s="141" t="s">
        <v>1929</v>
      </c>
      <c r="J644" s="196"/>
      <c r="K644" s="196" t="s">
        <v>1881</v>
      </c>
      <c r="L644" s="141" t="s">
        <v>3759</v>
      </c>
      <c r="M644" s="196">
        <v>176</v>
      </c>
      <c r="N644" s="196"/>
      <c r="O644" s="196" t="s">
        <v>3577</v>
      </c>
      <c r="P644" s="144">
        <v>290</v>
      </c>
      <c r="Q644" s="145">
        <f t="shared" si="40"/>
        <v>12.139299999999999</v>
      </c>
      <c r="R644" s="203">
        <v>9.99</v>
      </c>
      <c r="S644" s="203"/>
      <c r="T644" s="151"/>
      <c r="U644" s="151">
        <v>1.2</v>
      </c>
      <c r="V644" s="151">
        <v>0.25</v>
      </c>
      <c r="W644" s="151">
        <f t="shared" si="41"/>
        <v>9.99</v>
      </c>
      <c r="X644" s="152">
        <f t="shared" si="42"/>
        <v>0.69930000000000003</v>
      </c>
      <c r="Y644" s="152"/>
      <c r="Z644" s="148"/>
      <c r="AA644" s="153"/>
      <c r="AB644" s="153"/>
      <c r="AC644" s="153"/>
      <c r="AD644" s="153"/>
      <c r="AH644" s="147"/>
    </row>
    <row r="645" spans="1:34" s="146" customFormat="1" x14ac:dyDescent="0.25">
      <c r="A645" s="196">
        <v>1928</v>
      </c>
      <c r="B645" s="196"/>
      <c r="C645" s="196" t="s">
        <v>3760</v>
      </c>
      <c r="D645" s="196" t="s">
        <v>3761</v>
      </c>
      <c r="E645" s="196"/>
      <c r="F645" s="196">
        <v>2010</v>
      </c>
      <c r="G645" s="196"/>
      <c r="H645" s="196" t="s">
        <v>2217</v>
      </c>
      <c r="I645" s="141" t="s">
        <v>1929</v>
      </c>
      <c r="J645" s="196"/>
      <c r="K645" s="196" t="s">
        <v>1881</v>
      </c>
      <c r="L645" s="141" t="s">
        <v>3762</v>
      </c>
      <c r="M645" s="196">
        <v>306</v>
      </c>
      <c r="N645" s="196"/>
      <c r="O645" s="196" t="s">
        <v>3578</v>
      </c>
      <c r="P645" s="144">
        <v>323</v>
      </c>
      <c r="Q645" s="145">
        <f t="shared" si="40"/>
        <v>1.9315</v>
      </c>
      <c r="R645" s="203">
        <v>0.45</v>
      </c>
      <c r="S645" s="203"/>
      <c r="T645" s="151"/>
      <c r="U645" s="151">
        <v>1.2</v>
      </c>
      <c r="V645" s="151">
        <v>0.25</v>
      </c>
      <c r="W645" s="151">
        <f t="shared" si="41"/>
        <v>0.45</v>
      </c>
      <c r="X645" s="152">
        <f t="shared" si="42"/>
        <v>3.15E-2</v>
      </c>
      <c r="Y645" s="152"/>
      <c r="Z645" s="148"/>
      <c r="AA645" s="153"/>
      <c r="AB645" s="153"/>
      <c r="AC645" s="153"/>
      <c r="AD645" s="153"/>
      <c r="AH645" s="147"/>
    </row>
    <row r="646" spans="1:34" s="146" customFormat="1" x14ac:dyDescent="0.25">
      <c r="A646" s="196">
        <v>1985</v>
      </c>
      <c r="B646" s="196" t="s">
        <v>3763</v>
      </c>
      <c r="C646" s="196" t="s">
        <v>3764</v>
      </c>
      <c r="D646" s="196" t="s">
        <v>2897</v>
      </c>
      <c r="E646" s="196" t="s">
        <v>1913</v>
      </c>
      <c r="F646" s="196">
        <v>2010</v>
      </c>
      <c r="G646" s="196"/>
      <c r="H646" s="196" t="s">
        <v>1878</v>
      </c>
      <c r="I646" s="141" t="s">
        <v>1929</v>
      </c>
      <c r="J646" s="196"/>
      <c r="K646" s="196" t="s">
        <v>1881</v>
      </c>
      <c r="L646" s="141" t="s">
        <v>3765</v>
      </c>
      <c r="M646" s="196">
        <v>560</v>
      </c>
      <c r="N646" s="196"/>
      <c r="O646" s="196" t="s">
        <v>3579</v>
      </c>
      <c r="P646" s="144">
        <v>735</v>
      </c>
      <c r="Q646" s="145">
        <f t="shared" si="40"/>
        <v>5.6843000000000004</v>
      </c>
      <c r="R646" s="203">
        <v>3.49</v>
      </c>
      <c r="S646" s="203"/>
      <c r="T646" s="151"/>
      <c r="U646" s="151">
        <v>1.7</v>
      </c>
      <c r="V646" s="151">
        <v>0.25</v>
      </c>
      <c r="W646" s="151">
        <f t="shared" si="41"/>
        <v>3.49</v>
      </c>
      <c r="X646" s="152">
        <f t="shared" si="42"/>
        <v>0.24430000000000002</v>
      </c>
      <c r="Y646" s="152"/>
      <c r="Z646" s="148"/>
      <c r="AA646" s="153"/>
      <c r="AB646" s="153"/>
      <c r="AC646" s="153"/>
      <c r="AD646" s="153"/>
      <c r="AH646" s="147"/>
    </row>
    <row r="647" spans="1:34" s="146" customFormat="1" x14ac:dyDescent="0.25">
      <c r="A647" s="196">
        <v>721</v>
      </c>
      <c r="B647" s="196"/>
      <c r="C647" s="196" t="s">
        <v>3766</v>
      </c>
      <c r="D647" s="196" t="s">
        <v>3057</v>
      </c>
      <c r="E647" s="196"/>
      <c r="F647" s="196"/>
      <c r="G647" s="196"/>
      <c r="H647" s="196" t="s">
        <v>1878</v>
      </c>
      <c r="I647" s="141" t="s">
        <v>1879</v>
      </c>
      <c r="J647" s="196" t="s">
        <v>2237</v>
      </c>
      <c r="K647" s="196" t="s">
        <v>1881</v>
      </c>
      <c r="L647" s="141" t="s">
        <v>3767</v>
      </c>
      <c r="M647" s="196">
        <v>128</v>
      </c>
      <c r="N647" s="196"/>
      <c r="O647" s="196" t="s">
        <v>3580</v>
      </c>
      <c r="P647" s="144">
        <v>351</v>
      </c>
      <c r="Q647" s="145">
        <f t="shared" si="40"/>
        <v>2.4664999999999999</v>
      </c>
      <c r="R647" s="203">
        <v>0.95</v>
      </c>
      <c r="S647" s="203"/>
      <c r="T647" s="151"/>
      <c r="U647" s="151">
        <v>1.2</v>
      </c>
      <c r="V647" s="151">
        <v>0.25</v>
      </c>
      <c r="W647" s="151">
        <f t="shared" si="41"/>
        <v>0.95</v>
      </c>
      <c r="X647" s="152">
        <f t="shared" si="42"/>
        <v>6.6500000000000004E-2</v>
      </c>
      <c r="Y647" s="152"/>
      <c r="Z647" s="148"/>
      <c r="AA647" s="153"/>
      <c r="AB647" s="153"/>
      <c r="AC647" s="153"/>
      <c r="AD647" s="153"/>
      <c r="AH647" s="147"/>
    </row>
    <row r="648" spans="1:34" s="146" customFormat="1" x14ac:dyDescent="0.25">
      <c r="A648" s="196">
        <v>688</v>
      </c>
      <c r="B648" s="196" t="s">
        <v>3712</v>
      </c>
      <c r="C648" s="196" t="s">
        <v>3773</v>
      </c>
      <c r="D648" s="196" t="s">
        <v>2209</v>
      </c>
      <c r="E648" s="196"/>
      <c r="F648" s="196">
        <v>2006</v>
      </c>
      <c r="G648" s="196"/>
      <c r="H648" s="196" t="s">
        <v>1878</v>
      </c>
      <c r="I648" s="141" t="s">
        <v>1879</v>
      </c>
      <c r="J648" s="143" t="s">
        <v>3774</v>
      </c>
      <c r="K648" s="196" t="s">
        <v>1881</v>
      </c>
      <c r="L648" s="141" t="s">
        <v>3775</v>
      </c>
      <c r="M648" s="196">
        <v>896</v>
      </c>
      <c r="N648" s="196"/>
      <c r="O648" s="196" t="s">
        <v>3583</v>
      </c>
      <c r="P648" s="144">
        <v>730</v>
      </c>
      <c r="Q648" s="145">
        <f t="shared" si="40"/>
        <v>2.8594999999999997</v>
      </c>
      <c r="R648" s="203">
        <v>0.85</v>
      </c>
      <c r="S648" s="203"/>
      <c r="T648" s="151"/>
      <c r="U648" s="151">
        <v>1.7</v>
      </c>
      <c r="V648" s="151">
        <v>0.25</v>
      </c>
      <c r="W648" s="151">
        <f t="shared" si="41"/>
        <v>0.85</v>
      </c>
      <c r="X648" s="152">
        <f t="shared" si="42"/>
        <v>5.9500000000000004E-2</v>
      </c>
      <c r="Y648" s="152"/>
      <c r="Z648" s="148"/>
      <c r="AA648" s="153"/>
      <c r="AB648" s="153"/>
      <c r="AC648" s="153"/>
      <c r="AD648" s="153"/>
      <c r="AH648" s="147"/>
    </row>
    <row r="649" spans="1:34" s="146" customFormat="1" x14ac:dyDescent="0.25">
      <c r="A649" s="196">
        <v>2410</v>
      </c>
      <c r="B649" s="196" t="s">
        <v>3721</v>
      </c>
      <c r="C649" s="196" t="s">
        <v>3776</v>
      </c>
      <c r="D649" s="196" t="s">
        <v>2007</v>
      </c>
      <c r="E649" s="196"/>
      <c r="F649" s="196">
        <v>2002</v>
      </c>
      <c r="G649" s="196"/>
      <c r="H649" s="196" t="s">
        <v>2008</v>
      </c>
      <c r="I649" s="141" t="s">
        <v>1879</v>
      </c>
      <c r="J649" s="196" t="s">
        <v>2237</v>
      </c>
      <c r="K649" s="196" t="s">
        <v>1881</v>
      </c>
      <c r="L649" s="141" t="s">
        <v>3777</v>
      </c>
      <c r="M649" s="196">
        <v>336</v>
      </c>
      <c r="N649" s="196"/>
      <c r="O649" s="196" t="s">
        <v>3584</v>
      </c>
      <c r="P649" s="144">
        <v>151</v>
      </c>
      <c r="Q649" s="145">
        <f t="shared" si="40"/>
        <v>2.4664999999999999</v>
      </c>
      <c r="R649" s="203">
        <v>0.95</v>
      </c>
      <c r="S649" s="203"/>
      <c r="T649" s="151"/>
      <c r="U649" s="151">
        <v>1.2</v>
      </c>
      <c r="V649" s="151">
        <v>0.25</v>
      </c>
      <c r="W649" s="151">
        <f t="shared" si="41"/>
        <v>0.95</v>
      </c>
      <c r="X649" s="152">
        <f t="shared" si="42"/>
        <v>6.6500000000000004E-2</v>
      </c>
      <c r="Y649" s="152"/>
      <c r="Z649" s="148"/>
      <c r="AA649" s="153"/>
      <c r="AB649" s="153"/>
      <c r="AC649" s="153"/>
      <c r="AD649" s="153"/>
      <c r="AH649" s="147"/>
    </row>
    <row r="650" spans="1:34" s="146" customFormat="1" x14ac:dyDescent="0.25">
      <c r="A650" s="196">
        <v>2522</v>
      </c>
      <c r="B650" s="196" t="s">
        <v>3784</v>
      </c>
      <c r="C650" s="196" t="s">
        <v>3785</v>
      </c>
      <c r="D650" s="196" t="s">
        <v>2054</v>
      </c>
      <c r="E650" s="196"/>
      <c r="F650" s="196">
        <v>2008</v>
      </c>
      <c r="G650" s="196"/>
      <c r="H650" s="196" t="s">
        <v>1878</v>
      </c>
      <c r="I650" s="141" t="s">
        <v>1879</v>
      </c>
      <c r="J650" s="196" t="s">
        <v>3303</v>
      </c>
      <c r="K650" s="196" t="s">
        <v>1881</v>
      </c>
      <c r="L650" s="141" t="s">
        <v>3786</v>
      </c>
      <c r="M650" s="196">
        <v>400</v>
      </c>
      <c r="N650" s="196"/>
      <c r="O650" s="196" t="s">
        <v>3587</v>
      </c>
      <c r="P650" s="144">
        <v>397</v>
      </c>
      <c r="Q650" s="145">
        <f t="shared" si="40"/>
        <v>1.7175</v>
      </c>
      <c r="R650" s="203">
        <v>0.25</v>
      </c>
      <c r="S650" s="203"/>
      <c r="T650" s="151"/>
      <c r="U650" s="151">
        <v>1.2</v>
      </c>
      <c r="V650" s="151">
        <v>0.25</v>
      </c>
      <c r="W650" s="151">
        <f t="shared" si="41"/>
        <v>0.25</v>
      </c>
      <c r="X650" s="152">
        <f t="shared" si="42"/>
        <v>1.7500000000000002E-2</v>
      </c>
      <c r="Y650" s="152"/>
      <c r="Z650" s="148"/>
      <c r="AA650" s="153"/>
      <c r="AB650" s="153"/>
      <c r="AC650" s="153"/>
      <c r="AD650" s="153"/>
      <c r="AH650" s="147"/>
    </row>
    <row r="651" spans="1:34" s="146" customFormat="1" x14ac:dyDescent="0.25">
      <c r="A651" s="196">
        <v>2510</v>
      </c>
      <c r="B651" s="196" t="s">
        <v>3787</v>
      </c>
      <c r="C651" s="196" t="s">
        <v>3788</v>
      </c>
      <c r="D651" s="196" t="s">
        <v>3789</v>
      </c>
      <c r="E651" s="196"/>
      <c r="F651" s="196">
        <v>2006</v>
      </c>
      <c r="G651" s="196"/>
      <c r="H651" s="196" t="s">
        <v>2295</v>
      </c>
      <c r="I651" s="141" t="s">
        <v>1879</v>
      </c>
      <c r="J651" s="196" t="s">
        <v>2237</v>
      </c>
      <c r="K651" s="196" t="s">
        <v>1881</v>
      </c>
      <c r="L651" s="141" t="s">
        <v>3790</v>
      </c>
      <c r="M651" s="196">
        <v>134</v>
      </c>
      <c r="N651" s="196"/>
      <c r="O651" s="196" t="s">
        <v>3588</v>
      </c>
      <c r="P651" s="144">
        <v>211</v>
      </c>
      <c r="Q651" s="145">
        <f t="shared" si="40"/>
        <v>5.5053000000000001</v>
      </c>
      <c r="R651" s="203">
        <v>3.79</v>
      </c>
      <c r="S651" s="203"/>
      <c r="T651" s="151"/>
      <c r="U651" s="151">
        <v>1.2</v>
      </c>
      <c r="V651" s="151">
        <v>0.25</v>
      </c>
      <c r="W651" s="151">
        <f t="shared" si="41"/>
        <v>3.79</v>
      </c>
      <c r="X651" s="152">
        <f t="shared" si="42"/>
        <v>0.26530000000000004</v>
      </c>
      <c r="Y651" s="152"/>
      <c r="Z651" s="148"/>
      <c r="AA651" s="153"/>
      <c r="AB651" s="153"/>
      <c r="AC651" s="153"/>
      <c r="AD651" s="153"/>
      <c r="AH651" s="147"/>
    </row>
    <row r="652" spans="1:34" s="146" customFormat="1" x14ac:dyDescent="0.25">
      <c r="A652" s="196">
        <v>632</v>
      </c>
      <c r="B652" s="196" t="s">
        <v>2467</v>
      </c>
      <c r="C652" s="196" t="s">
        <v>3799</v>
      </c>
      <c r="D652" s="196" t="s">
        <v>2257</v>
      </c>
      <c r="E652" s="196" t="s">
        <v>2014</v>
      </c>
      <c r="F652" s="196">
        <v>2010</v>
      </c>
      <c r="G652" s="196"/>
      <c r="H652" s="196" t="s">
        <v>1878</v>
      </c>
      <c r="I652" s="141" t="s">
        <v>1879</v>
      </c>
      <c r="J652" s="196" t="s">
        <v>3006</v>
      </c>
      <c r="K652" s="196" t="s">
        <v>1881</v>
      </c>
      <c r="L652" s="141" t="s">
        <v>3800</v>
      </c>
      <c r="M652" s="196">
        <v>464</v>
      </c>
      <c r="N652" s="196"/>
      <c r="O652" s="196" t="s">
        <v>3591</v>
      </c>
      <c r="P652" s="144">
        <v>302</v>
      </c>
      <c r="Q652" s="145">
        <f t="shared" si="40"/>
        <v>2.9373</v>
      </c>
      <c r="R652" s="203">
        <v>1.39</v>
      </c>
      <c r="S652" s="203"/>
      <c r="T652" s="151"/>
      <c r="U652" s="151">
        <v>1.2</v>
      </c>
      <c r="V652" s="151">
        <v>0.25</v>
      </c>
      <c r="W652" s="151">
        <f t="shared" si="41"/>
        <v>1.39</v>
      </c>
      <c r="X652" s="152">
        <f t="shared" si="42"/>
        <v>9.7299999999999998E-2</v>
      </c>
      <c r="Y652" s="152"/>
      <c r="Z652" s="148"/>
      <c r="AA652" s="153"/>
      <c r="AB652" s="153"/>
      <c r="AC652" s="153"/>
      <c r="AD652" s="153"/>
      <c r="AH652" s="147"/>
    </row>
    <row r="653" spans="1:34" s="146" customFormat="1" x14ac:dyDescent="0.25">
      <c r="A653" s="196">
        <v>632</v>
      </c>
      <c r="B653" s="196" t="s">
        <v>3801</v>
      </c>
      <c r="C653" s="196" t="s">
        <v>3802</v>
      </c>
      <c r="D653" s="196" t="s">
        <v>1993</v>
      </c>
      <c r="E653" s="196" t="s">
        <v>1913</v>
      </c>
      <c r="F653" s="196">
        <v>2010</v>
      </c>
      <c r="G653" s="196"/>
      <c r="H653" s="196" t="s">
        <v>1878</v>
      </c>
      <c r="I653" s="141" t="s">
        <v>1879</v>
      </c>
      <c r="J653" s="196" t="s">
        <v>2237</v>
      </c>
      <c r="K653" s="196" t="s">
        <v>1881</v>
      </c>
      <c r="L653" s="141" t="s">
        <v>3803</v>
      </c>
      <c r="M653" s="196">
        <v>512</v>
      </c>
      <c r="N653" s="196"/>
      <c r="O653" s="196" t="s">
        <v>3745</v>
      </c>
      <c r="P653" s="144">
        <v>631</v>
      </c>
      <c r="Q653" s="145">
        <f t="shared" si="40"/>
        <v>2.2175000000000002</v>
      </c>
      <c r="R653" s="203">
        <v>0.25</v>
      </c>
      <c r="S653" s="203"/>
      <c r="T653" s="151"/>
      <c r="U653" s="151">
        <v>1.7</v>
      </c>
      <c r="V653" s="151">
        <v>0.25</v>
      </c>
      <c r="W653" s="151">
        <f t="shared" si="41"/>
        <v>0.25</v>
      </c>
      <c r="X653" s="152">
        <f t="shared" si="42"/>
        <v>1.7500000000000002E-2</v>
      </c>
      <c r="Y653" s="152"/>
      <c r="Z653" s="148"/>
      <c r="AA653" s="153"/>
      <c r="AB653" s="153"/>
      <c r="AC653" s="153"/>
      <c r="AD653" s="153"/>
      <c r="AH653" s="147"/>
    </row>
    <row r="654" spans="1:34" s="146" customFormat="1" ht="39.6" x14ac:dyDescent="0.25">
      <c r="A654" s="196">
        <v>632</v>
      </c>
      <c r="B654" s="196" t="s">
        <v>3804</v>
      </c>
      <c r="C654" s="196" t="s">
        <v>3805</v>
      </c>
      <c r="D654" s="196" t="s">
        <v>1993</v>
      </c>
      <c r="E654" s="196" t="s">
        <v>1877</v>
      </c>
      <c r="F654" s="196">
        <v>2010</v>
      </c>
      <c r="G654" s="196"/>
      <c r="H654" s="196" t="s">
        <v>1878</v>
      </c>
      <c r="I654" s="141" t="s">
        <v>1879</v>
      </c>
      <c r="J654" s="142" t="s">
        <v>3807</v>
      </c>
      <c r="K654" s="196" t="s">
        <v>1881</v>
      </c>
      <c r="L654" s="141" t="s">
        <v>3806</v>
      </c>
      <c r="M654" s="196">
        <v>544</v>
      </c>
      <c r="N654" s="196"/>
      <c r="O654" s="196" t="s">
        <v>3746</v>
      </c>
      <c r="P654" s="144">
        <v>448</v>
      </c>
      <c r="Q654" s="145">
        <f t="shared" si="40"/>
        <v>1.9742999999999999</v>
      </c>
      <c r="R654" s="203">
        <v>0.49</v>
      </c>
      <c r="S654" s="203"/>
      <c r="T654" s="151"/>
      <c r="U654" s="151">
        <v>1.2</v>
      </c>
      <c r="V654" s="151">
        <v>0.25</v>
      </c>
      <c r="W654" s="151">
        <f t="shared" si="41"/>
        <v>0.49</v>
      </c>
      <c r="X654" s="152">
        <f t="shared" si="42"/>
        <v>3.4299999999999997E-2</v>
      </c>
      <c r="Y654" s="152"/>
      <c r="Z654" s="148"/>
      <c r="AA654" s="153"/>
      <c r="AB654" s="153"/>
      <c r="AC654" s="153"/>
      <c r="AD654" s="153"/>
      <c r="AH654" s="147"/>
    </row>
    <row r="655" spans="1:34" s="146" customFormat="1" x14ac:dyDescent="0.25">
      <c r="A655" s="196">
        <v>2576</v>
      </c>
      <c r="B655" s="196" t="s">
        <v>3808</v>
      </c>
      <c r="C655" s="196" t="s">
        <v>3809</v>
      </c>
      <c r="D655" s="196"/>
      <c r="E655" s="196"/>
      <c r="F655" s="196">
        <v>2008</v>
      </c>
      <c r="G655" s="196"/>
      <c r="H655" s="196" t="s">
        <v>1878</v>
      </c>
      <c r="I655" s="141" t="s">
        <v>1879</v>
      </c>
      <c r="J655" s="196" t="s">
        <v>3303</v>
      </c>
      <c r="K655" s="196" t="s">
        <v>2025</v>
      </c>
      <c r="L655" s="141" t="s">
        <v>3810</v>
      </c>
      <c r="M655" s="196">
        <v>564</v>
      </c>
      <c r="N655" s="196"/>
      <c r="O655" s="196" t="s">
        <v>3747</v>
      </c>
      <c r="P655" s="144">
        <v>369</v>
      </c>
      <c r="Q655" s="145">
        <f t="shared" si="40"/>
        <v>1.7175</v>
      </c>
      <c r="R655" s="203">
        <v>0.25</v>
      </c>
      <c r="S655" s="203"/>
      <c r="T655" s="151"/>
      <c r="U655" s="151">
        <v>1.2</v>
      </c>
      <c r="V655" s="151">
        <v>0.25</v>
      </c>
      <c r="W655" s="151">
        <f t="shared" si="41"/>
        <v>0.25</v>
      </c>
      <c r="X655" s="152">
        <f t="shared" si="42"/>
        <v>1.7500000000000002E-2</v>
      </c>
      <c r="Y655" s="152"/>
      <c r="Z655" s="148"/>
      <c r="AA655" s="153"/>
      <c r="AB655" s="153"/>
      <c r="AC655" s="153"/>
      <c r="AD655" s="153"/>
      <c r="AH655" s="147"/>
    </row>
    <row r="656" spans="1:34" s="146" customFormat="1" x14ac:dyDescent="0.25">
      <c r="A656" s="196">
        <v>1395</v>
      </c>
      <c r="B656" s="196" t="s">
        <v>3811</v>
      </c>
      <c r="C656" s="196" t="s">
        <v>3812</v>
      </c>
      <c r="D656" s="196" t="s">
        <v>1912</v>
      </c>
      <c r="E656" s="196" t="s">
        <v>1913</v>
      </c>
      <c r="F656" s="196">
        <v>2010</v>
      </c>
      <c r="G656" s="196"/>
      <c r="H656" s="196" t="s">
        <v>1878</v>
      </c>
      <c r="I656" s="141" t="s">
        <v>1879</v>
      </c>
      <c r="J656" s="196" t="s">
        <v>3303</v>
      </c>
      <c r="K656" s="196" t="s">
        <v>1881</v>
      </c>
      <c r="L656" s="141" t="s">
        <v>3813</v>
      </c>
      <c r="M656" s="196">
        <v>288</v>
      </c>
      <c r="N656" s="196"/>
      <c r="O656" s="196" t="s">
        <v>3748</v>
      </c>
      <c r="P656" s="144">
        <v>238</v>
      </c>
      <c r="Q656" s="145">
        <f t="shared" si="40"/>
        <v>1.7175</v>
      </c>
      <c r="R656" s="203">
        <v>0.25</v>
      </c>
      <c r="S656" s="203"/>
      <c r="T656" s="151"/>
      <c r="U656" s="151">
        <v>1.2</v>
      </c>
      <c r="V656" s="151">
        <v>0.25</v>
      </c>
      <c r="W656" s="151">
        <f t="shared" si="41"/>
        <v>0.25</v>
      </c>
      <c r="X656" s="152">
        <f t="shared" si="42"/>
        <v>1.7500000000000002E-2</v>
      </c>
      <c r="Y656" s="152"/>
      <c r="Z656" s="148"/>
      <c r="AA656" s="153"/>
      <c r="AB656" s="153"/>
      <c r="AC656" s="153"/>
      <c r="AD656" s="153"/>
      <c r="AH656" s="147"/>
    </row>
    <row r="657" spans="1:34" s="146" customFormat="1" x14ac:dyDescent="0.25">
      <c r="A657" s="196">
        <v>1984</v>
      </c>
      <c r="B657" s="196" t="s">
        <v>3824</v>
      </c>
      <c r="C657" s="196" t="s">
        <v>3825</v>
      </c>
      <c r="D657" s="196" t="s">
        <v>1979</v>
      </c>
      <c r="E657" s="196"/>
      <c r="F657" s="196">
        <v>2011</v>
      </c>
      <c r="G657" s="196"/>
      <c r="H657" s="196" t="s">
        <v>2295</v>
      </c>
      <c r="I657" s="141" t="s">
        <v>1879</v>
      </c>
      <c r="J657" s="196" t="s">
        <v>2237</v>
      </c>
      <c r="K657" s="196" t="s">
        <v>1881</v>
      </c>
      <c r="L657" s="141" t="s">
        <v>3826</v>
      </c>
      <c r="M657" s="196">
        <v>140</v>
      </c>
      <c r="N657" s="196"/>
      <c r="O657" s="196" t="s">
        <v>3749</v>
      </c>
      <c r="P657" s="144">
        <v>487</v>
      </c>
      <c r="Q657" s="145">
        <f t="shared" si="40"/>
        <v>2.3594999999999997</v>
      </c>
      <c r="R657" s="203">
        <v>0.85</v>
      </c>
      <c r="S657" s="203"/>
      <c r="T657" s="151"/>
      <c r="U657" s="151">
        <v>1.2</v>
      </c>
      <c r="V657" s="151">
        <v>0.25</v>
      </c>
      <c r="W657" s="151">
        <f t="shared" si="41"/>
        <v>0.85</v>
      </c>
      <c r="X657" s="152">
        <f t="shared" si="42"/>
        <v>5.9500000000000004E-2</v>
      </c>
      <c r="Y657" s="152"/>
      <c r="Z657" s="148"/>
      <c r="AA657" s="153"/>
      <c r="AB657" s="153"/>
      <c r="AC657" s="153"/>
      <c r="AD657" s="153"/>
      <c r="AH657" s="147"/>
    </row>
    <row r="658" spans="1:34" s="146" customFormat="1" x14ac:dyDescent="0.25">
      <c r="A658" s="196">
        <v>632</v>
      </c>
      <c r="B658" s="196" t="s">
        <v>3233</v>
      </c>
      <c r="C658" s="196" t="s">
        <v>3829</v>
      </c>
      <c r="D658" s="196" t="s">
        <v>2257</v>
      </c>
      <c r="E658" s="196"/>
      <c r="F658" s="196">
        <v>2017</v>
      </c>
      <c r="G658" s="196"/>
      <c r="H658" s="196" t="s">
        <v>1878</v>
      </c>
      <c r="I658" s="141" t="s">
        <v>1879</v>
      </c>
      <c r="J658" s="196" t="s">
        <v>3830</v>
      </c>
      <c r="K658" s="196" t="s">
        <v>1881</v>
      </c>
      <c r="L658" s="141" t="s">
        <v>3831</v>
      </c>
      <c r="M658" s="196">
        <v>624</v>
      </c>
      <c r="N658" s="196"/>
      <c r="O658" s="196" t="s">
        <v>3751</v>
      </c>
      <c r="P658" s="144">
        <v>472</v>
      </c>
      <c r="Q658" s="145">
        <f t="shared" si="40"/>
        <v>2.5093000000000001</v>
      </c>
      <c r="R658" s="203">
        <v>0.99</v>
      </c>
      <c r="S658" s="203"/>
      <c r="T658" s="151"/>
      <c r="U658" s="151">
        <v>1.2</v>
      </c>
      <c r="V658" s="151">
        <v>0.25</v>
      </c>
      <c r="W658" s="151">
        <f t="shared" si="41"/>
        <v>0.99</v>
      </c>
      <c r="X658" s="152">
        <f t="shared" si="42"/>
        <v>6.93E-2</v>
      </c>
      <c r="Y658" s="152"/>
      <c r="Z658" s="148"/>
      <c r="AA658" s="153"/>
      <c r="AB658" s="153"/>
      <c r="AC658" s="153"/>
      <c r="AD658" s="153"/>
      <c r="AH658" s="147"/>
    </row>
    <row r="659" spans="1:34" s="146" customFormat="1" x14ac:dyDescent="0.25">
      <c r="A659" s="196">
        <v>2518</v>
      </c>
      <c r="B659" s="196" t="s">
        <v>3835</v>
      </c>
      <c r="C659" s="196" t="s">
        <v>3836</v>
      </c>
      <c r="D659" s="196" t="s">
        <v>2054</v>
      </c>
      <c r="E659" s="196"/>
      <c r="F659" s="196">
        <v>2010</v>
      </c>
      <c r="G659" s="196"/>
      <c r="H659" s="196" t="s">
        <v>1878</v>
      </c>
      <c r="I659" s="141" t="s">
        <v>1879</v>
      </c>
      <c r="J659" s="196" t="s">
        <v>3303</v>
      </c>
      <c r="K659" s="196" t="s">
        <v>1881</v>
      </c>
      <c r="L659" s="141" t="s">
        <v>3837</v>
      </c>
      <c r="M659" s="196">
        <v>352</v>
      </c>
      <c r="N659" s="196"/>
      <c r="O659" s="196" t="s">
        <v>3753</v>
      </c>
      <c r="P659" s="144">
        <v>348</v>
      </c>
      <c r="Q659" s="145">
        <f t="shared" si="40"/>
        <v>2.5093000000000001</v>
      </c>
      <c r="R659" s="203">
        <v>0.99</v>
      </c>
      <c r="S659" s="203"/>
      <c r="T659" s="151"/>
      <c r="U659" s="151">
        <v>1.2</v>
      </c>
      <c r="V659" s="151">
        <v>0.25</v>
      </c>
      <c r="W659" s="151">
        <f t="shared" si="41"/>
        <v>0.99</v>
      </c>
      <c r="X659" s="152">
        <f t="shared" si="42"/>
        <v>6.93E-2</v>
      </c>
      <c r="Y659" s="152"/>
      <c r="Z659" s="148"/>
      <c r="AA659" s="153"/>
      <c r="AB659" s="153"/>
      <c r="AC659" s="153"/>
      <c r="AD659" s="153"/>
      <c r="AH659" s="147"/>
    </row>
    <row r="660" spans="1:34" s="146" customFormat="1" x14ac:dyDescent="0.25">
      <c r="A660" s="196">
        <v>632</v>
      </c>
      <c r="B660" s="196" t="s">
        <v>3838</v>
      </c>
      <c r="C660" s="196" t="s">
        <v>3839</v>
      </c>
      <c r="D660" s="196" t="s">
        <v>2309</v>
      </c>
      <c r="E660" s="196"/>
      <c r="F660" s="196">
        <v>2001</v>
      </c>
      <c r="G660" s="196"/>
      <c r="H660" s="196" t="s">
        <v>1878</v>
      </c>
      <c r="I660" s="141" t="s">
        <v>1879</v>
      </c>
      <c r="J660" s="196" t="s">
        <v>3840</v>
      </c>
      <c r="K660" s="196" t="s">
        <v>1881</v>
      </c>
      <c r="L660" s="141" t="s">
        <v>3841</v>
      </c>
      <c r="M660" s="196">
        <v>448</v>
      </c>
      <c r="N660" s="196"/>
      <c r="O660" s="196" t="s">
        <v>3754</v>
      </c>
      <c r="P660" s="144">
        <v>302</v>
      </c>
      <c r="Q660" s="145">
        <f t="shared" si="40"/>
        <v>2.5093000000000001</v>
      </c>
      <c r="R660" s="203">
        <v>0.99</v>
      </c>
      <c r="S660" s="203"/>
      <c r="T660" s="151"/>
      <c r="U660" s="151">
        <v>1.2</v>
      </c>
      <c r="V660" s="151">
        <v>0.25</v>
      </c>
      <c r="W660" s="151">
        <f t="shared" si="41"/>
        <v>0.99</v>
      </c>
      <c r="X660" s="152">
        <f t="shared" si="42"/>
        <v>6.93E-2</v>
      </c>
      <c r="Y660" s="152"/>
      <c r="Z660" s="148"/>
      <c r="AA660" s="153"/>
      <c r="AB660" s="153"/>
      <c r="AC660" s="153"/>
      <c r="AD660" s="153"/>
      <c r="AH660" s="147"/>
    </row>
    <row r="661" spans="1:34" s="146" customFormat="1" x14ac:dyDescent="0.25">
      <c r="A661" s="196">
        <v>632</v>
      </c>
      <c r="B661" s="196" t="s">
        <v>3233</v>
      </c>
      <c r="C661" s="196" t="s">
        <v>3842</v>
      </c>
      <c r="D661" s="196" t="s">
        <v>2257</v>
      </c>
      <c r="E661" s="196"/>
      <c r="F661" s="196">
        <v>2004</v>
      </c>
      <c r="G661" s="196"/>
      <c r="H661" s="196" t="s">
        <v>1878</v>
      </c>
      <c r="I661" s="141" t="s">
        <v>1879</v>
      </c>
      <c r="J661" s="196" t="s">
        <v>3840</v>
      </c>
      <c r="K661" s="196" t="s">
        <v>1881</v>
      </c>
      <c r="L661" s="141"/>
      <c r="M661" s="196">
        <v>624</v>
      </c>
      <c r="N661" s="196"/>
      <c r="O661" s="196" t="s">
        <v>3755</v>
      </c>
      <c r="P661" s="144">
        <v>442</v>
      </c>
      <c r="Q661" s="145">
        <f t="shared" si="40"/>
        <v>2.5093000000000001</v>
      </c>
      <c r="R661" s="203">
        <v>0.99</v>
      </c>
      <c r="S661" s="203"/>
      <c r="T661" s="151"/>
      <c r="U661" s="151">
        <v>1.2</v>
      </c>
      <c r="V661" s="151">
        <v>0.25</v>
      </c>
      <c r="W661" s="151">
        <f t="shared" si="41"/>
        <v>0.99</v>
      </c>
      <c r="X661" s="152">
        <f t="shared" si="42"/>
        <v>6.93E-2</v>
      </c>
      <c r="Y661" s="152"/>
      <c r="Z661" s="148"/>
      <c r="AA661" s="153"/>
      <c r="AB661" s="153"/>
      <c r="AC661" s="153"/>
      <c r="AD661" s="153"/>
      <c r="AH661" s="147"/>
    </row>
    <row r="662" spans="1:34" s="146" customFormat="1" x14ac:dyDescent="0.25">
      <c r="A662" s="196">
        <v>2851</v>
      </c>
      <c r="B662" s="196" t="s">
        <v>3843</v>
      </c>
      <c r="C662" s="196" t="s">
        <v>3844</v>
      </c>
      <c r="D662" s="196" t="s">
        <v>2424</v>
      </c>
      <c r="E662" s="196"/>
      <c r="F662" s="196">
        <v>2000</v>
      </c>
      <c r="G662" s="196"/>
      <c r="H662" s="196" t="s">
        <v>1878</v>
      </c>
      <c r="I662" s="141" t="s">
        <v>1879</v>
      </c>
      <c r="J662" s="196" t="s">
        <v>3303</v>
      </c>
      <c r="K662" s="196" t="s">
        <v>1881</v>
      </c>
      <c r="L662" s="141" t="s">
        <v>3845</v>
      </c>
      <c r="M662" s="196">
        <v>560</v>
      </c>
      <c r="N662" s="196"/>
      <c r="O662" s="196" t="s">
        <v>3815</v>
      </c>
      <c r="P662" s="144">
        <v>534</v>
      </c>
      <c r="Q662" s="145">
        <f t="shared" si="40"/>
        <v>3.0093000000000001</v>
      </c>
      <c r="R662" s="203">
        <v>0.99</v>
      </c>
      <c r="S662" s="203"/>
      <c r="T662" s="151"/>
      <c r="U662" s="151">
        <v>1.7</v>
      </c>
      <c r="V662" s="151">
        <v>0.25</v>
      </c>
      <c r="W662" s="151">
        <f t="shared" si="41"/>
        <v>0.99</v>
      </c>
      <c r="X662" s="152">
        <f t="shared" si="42"/>
        <v>6.93E-2</v>
      </c>
      <c r="Y662" s="152"/>
      <c r="Z662" s="148"/>
      <c r="AA662" s="153"/>
      <c r="AB662" s="153"/>
      <c r="AC662" s="153"/>
      <c r="AD662" s="153"/>
      <c r="AH662" s="147"/>
    </row>
    <row r="663" spans="1:34" s="146" customFormat="1" x14ac:dyDescent="0.25">
      <c r="A663" s="196">
        <v>632</v>
      </c>
      <c r="B663" s="196" t="s">
        <v>3846</v>
      </c>
      <c r="C663" s="196" t="s">
        <v>3847</v>
      </c>
      <c r="D663" s="196" t="s">
        <v>1920</v>
      </c>
      <c r="E663" s="196" t="s">
        <v>2175</v>
      </c>
      <c r="F663" s="196">
        <v>2010</v>
      </c>
      <c r="G663" s="196"/>
      <c r="H663" s="196" t="s">
        <v>1878</v>
      </c>
      <c r="I663" s="141" t="s">
        <v>1879</v>
      </c>
      <c r="J663" s="196" t="s">
        <v>3303</v>
      </c>
      <c r="K663" s="196" t="s">
        <v>1881</v>
      </c>
      <c r="L663" s="141" t="s">
        <v>3848</v>
      </c>
      <c r="M663" s="196">
        <v>800</v>
      </c>
      <c r="N663" s="196"/>
      <c r="O663" s="196" t="s">
        <v>3816</v>
      </c>
      <c r="P663" s="144">
        <v>584</v>
      </c>
      <c r="Q663" s="145">
        <f t="shared" si="40"/>
        <v>3.0093000000000001</v>
      </c>
      <c r="R663" s="203">
        <v>0.99</v>
      </c>
      <c r="S663" s="203"/>
      <c r="T663" s="151"/>
      <c r="U663" s="151">
        <v>1.7</v>
      </c>
      <c r="V663" s="151">
        <v>0.25</v>
      </c>
      <c r="W663" s="151">
        <f t="shared" si="41"/>
        <v>0.99</v>
      </c>
      <c r="X663" s="152">
        <f t="shared" si="42"/>
        <v>6.93E-2</v>
      </c>
      <c r="Y663" s="152"/>
      <c r="Z663" s="148"/>
      <c r="AA663" s="153"/>
      <c r="AB663" s="153"/>
      <c r="AC663" s="153"/>
      <c r="AD663" s="153"/>
      <c r="AH663" s="147"/>
    </row>
    <row r="664" spans="1:34" s="146" customFormat="1" x14ac:dyDescent="0.25">
      <c r="A664" s="196">
        <v>1720</v>
      </c>
      <c r="B664" s="196" t="s">
        <v>3849</v>
      </c>
      <c r="C664" s="196" t="s">
        <v>3850</v>
      </c>
      <c r="D664" s="196" t="s">
        <v>1988</v>
      </c>
      <c r="E664" s="196"/>
      <c r="F664" s="196">
        <v>1999</v>
      </c>
      <c r="G664" s="196"/>
      <c r="H664" s="196" t="s">
        <v>1878</v>
      </c>
      <c r="I664" s="141" t="s">
        <v>1879</v>
      </c>
      <c r="J664" s="196" t="s">
        <v>3303</v>
      </c>
      <c r="K664" s="196" t="s">
        <v>1881</v>
      </c>
      <c r="L664" s="141" t="s">
        <v>3851</v>
      </c>
      <c r="M664" s="196">
        <v>480</v>
      </c>
      <c r="N664" s="196"/>
      <c r="O664" s="196" t="s">
        <v>3817</v>
      </c>
      <c r="P664" s="144">
        <v>353</v>
      </c>
      <c r="Q664" s="145">
        <f t="shared" si="40"/>
        <v>2.5093000000000001</v>
      </c>
      <c r="R664" s="203">
        <v>0.99</v>
      </c>
      <c r="S664" s="203"/>
      <c r="T664" s="151"/>
      <c r="U664" s="151">
        <v>1.2</v>
      </c>
      <c r="V664" s="151">
        <v>0.25</v>
      </c>
      <c r="W664" s="151">
        <f t="shared" si="41"/>
        <v>0.99</v>
      </c>
      <c r="X664" s="152">
        <f t="shared" si="42"/>
        <v>6.93E-2</v>
      </c>
      <c r="Y664" s="152"/>
      <c r="Z664" s="148"/>
      <c r="AA664" s="153"/>
      <c r="AB664" s="153"/>
      <c r="AC664" s="153"/>
      <c r="AD664" s="153"/>
      <c r="AH664" s="147"/>
    </row>
    <row r="665" spans="1:34" s="146" customFormat="1" x14ac:dyDescent="0.25">
      <c r="A665" s="196">
        <v>1396</v>
      </c>
      <c r="B665" s="196" t="s">
        <v>3852</v>
      </c>
      <c r="C665" s="196" t="s">
        <v>3853</v>
      </c>
      <c r="D665" s="196" t="s">
        <v>2424</v>
      </c>
      <c r="E665" s="196" t="s">
        <v>1877</v>
      </c>
      <c r="F665" s="196">
        <v>2010</v>
      </c>
      <c r="G665" s="196"/>
      <c r="H665" s="196" t="s">
        <v>1878</v>
      </c>
      <c r="I665" s="141" t="s">
        <v>1879</v>
      </c>
      <c r="J665" s="143" t="s">
        <v>3854</v>
      </c>
      <c r="K665" s="196" t="s">
        <v>1881</v>
      </c>
      <c r="L665" s="141" t="s">
        <v>3855</v>
      </c>
      <c r="M665" s="196">
        <v>536</v>
      </c>
      <c r="N665" s="196"/>
      <c r="O665" s="196" t="s">
        <v>3818</v>
      </c>
      <c r="P665" s="144">
        <v>280</v>
      </c>
      <c r="Q665" s="145">
        <f t="shared" si="40"/>
        <v>2.5093000000000001</v>
      </c>
      <c r="R665" s="203">
        <v>0.99</v>
      </c>
      <c r="S665" s="203"/>
      <c r="T665" s="151"/>
      <c r="U665" s="151">
        <v>1.2</v>
      </c>
      <c r="V665" s="151">
        <v>0.25</v>
      </c>
      <c r="W665" s="151">
        <f t="shared" si="41"/>
        <v>0.99</v>
      </c>
      <c r="X665" s="152">
        <f t="shared" si="42"/>
        <v>6.93E-2</v>
      </c>
      <c r="Y665" s="152"/>
      <c r="Z665" s="148"/>
      <c r="AA665" s="153"/>
      <c r="AB665" s="153"/>
      <c r="AC665" s="153"/>
      <c r="AD665" s="153"/>
      <c r="AH665" s="147"/>
    </row>
    <row r="666" spans="1:34" s="146" customFormat="1" x14ac:dyDescent="0.25">
      <c r="A666" s="196">
        <v>1327</v>
      </c>
      <c r="B666" s="196" t="s">
        <v>3856</v>
      </c>
      <c r="C666" s="196" t="s">
        <v>3857</v>
      </c>
      <c r="D666" s="196" t="s">
        <v>2257</v>
      </c>
      <c r="E666" s="196"/>
      <c r="F666" s="196">
        <v>2008</v>
      </c>
      <c r="G666" s="196"/>
      <c r="H666" s="196" t="s">
        <v>1878</v>
      </c>
      <c r="I666" s="141" t="s">
        <v>1879</v>
      </c>
      <c r="J666" s="196" t="s">
        <v>3649</v>
      </c>
      <c r="K666" s="196" t="s">
        <v>1881</v>
      </c>
      <c r="L666" s="141" t="s">
        <v>3858</v>
      </c>
      <c r="M666" s="196">
        <v>416</v>
      </c>
      <c r="N666" s="196"/>
      <c r="O666" s="196" t="s">
        <v>3819</v>
      </c>
      <c r="P666" s="144">
        <v>272</v>
      </c>
      <c r="Q666" s="145">
        <f t="shared" si="40"/>
        <v>1.7175</v>
      </c>
      <c r="R666" s="203">
        <v>0.25</v>
      </c>
      <c r="S666" s="203"/>
      <c r="T666" s="151"/>
      <c r="U666" s="151">
        <v>1.2</v>
      </c>
      <c r="V666" s="151">
        <v>0.25</v>
      </c>
      <c r="W666" s="151">
        <f t="shared" si="41"/>
        <v>0.25</v>
      </c>
      <c r="X666" s="152">
        <f t="shared" si="42"/>
        <v>1.7500000000000002E-2</v>
      </c>
      <c r="Y666" s="152"/>
      <c r="Z666" s="148"/>
      <c r="AA666" s="153"/>
      <c r="AB666" s="153"/>
      <c r="AC666" s="153"/>
      <c r="AD666" s="153"/>
      <c r="AH666" s="147"/>
    </row>
    <row r="667" spans="1:34" s="146" customFormat="1" x14ac:dyDescent="0.25">
      <c r="A667" s="196">
        <v>1327</v>
      </c>
      <c r="B667" s="196" t="s">
        <v>3859</v>
      </c>
      <c r="C667" s="196" t="s">
        <v>3860</v>
      </c>
      <c r="D667" s="196" t="s">
        <v>1095</v>
      </c>
      <c r="E667" s="196"/>
      <c r="F667" s="196">
        <v>2014</v>
      </c>
      <c r="G667" s="196"/>
      <c r="H667" s="196" t="s">
        <v>1878</v>
      </c>
      <c r="I667" s="141" t="s">
        <v>1879</v>
      </c>
      <c r="J667" s="196" t="s">
        <v>2237</v>
      </c>
      <c r="K667" s="196" t="s">
        <v>1881</v>
      </c>
      <c r="L667" s="141" t="s">
        <v>3861</v>
      </c>
      <c r="M667" s="196">
        <v>464</v>
      </c>
      <c r="N667" s="196"/>
      <c r="O667" s="196" t="s">
        <v>3820</v>
      </c>
      <c r="P667" s="144">
        <v>440</v>
      </c>
      <c r="Q667" s="145">
        <f t="shared" si="40"/>
        <v>2.5093000000000001</v>
      </c>
      <c r="R667" s="203">
        <v>0.99</v>
      </c>
      <c r="S667" s="203"/>
      <c r="T667" s="151"/>
      <c r="U667" s="151">
        <v>1.2</v>
      </c>
      <c r="V667" s="151">
        <v>0.25</v>
      </c>
      <c r="W667" s="151">
        <f t="shared" si="41"/>
        <v>0.99</v>
      </c>
      <c r="X667" s="152">
        <f t="shared" si="42"/>
        <v>6.93E-2</v>
      </c>
      <c r="Y667" s="152"/>
      <c r="Z667" s="148"/>
      <c r="AA667" s="153"/>
      <c r="AB667" s="153"/>
      <c r="AC667" s="153"/>
      <c r="AD667" s="153"/>
      <c r="AH667" s="147"/>
    </row>
    <row r="668" spans="1:34" s="146" customFormat="1" x14ac:dyDescent="0.25">
      <c r="A668" s="196">
        <v>2576</v>
      </c>
      <c r="B668" s="196" t="s">
        <v>3871</v>
      </c>
      <c r="C668" s="196" t="s">
        <v>3872</v>
      </c>
      <c r="D668" s="196" t="s">
        <v>1993</v>
      </c>
      <c r="E668" s="196" t="s">
        <v>1913</v>
      </c>
      <c r="F668" s="196">
        <v>2011</v>
      </c>
      <c r="G668" s="196"/>
      <c r="H668" s="196" t="s">
        <v>1878</v>
      </c>
      <c r="I668" s="141" t="s">
        <v>1879</v>
      </c>
      <c r="J668" s="143" t="s">
        <v>3873</v>
      </c>
      <c r="K668" s="196" t="s">
        <v>1881</v>
      </c>
      <c r="L668" s="141" t="s">
        <v>3874</v>
      </c>
      <c r="M668" s="196">
        <v>352</v>
      </c>
      <c r="N668" s="196"/>
      <c r="O668" s="196" t="s">
        <v>3823</v>
      </c>
      <c r="P668" s="144">
        <v>312</v>
      </c>
      <c r="Q668" s="145">
        <f t="shared" si="40"/>
        <v>2.5093000000000001</v>
      </c>
      <c r="R668" s="203">
        <v>0.99</v>
      </c>
      <c r="S668" s="203"/>
      <c r="T668" s="151"/>
      <c r="U668" s="151">
        <v>1.2</v>
      </c>
      <c r="V668" s="151">
        <v>0.25</v>
      </c>
      <c r="W668" s="151">
        <f t="shared" si="41"/>
        <v>0.99</v>
      </c>
      <c r="X668" s="152">
        <f t="shared" ref="X668:X725" si="43">(T668+W668)/100*7</f>
        <v>6.93E-2</v>
      </c>
      <c r="Y668" s="152"/>
      <c r="Z668" s="148"/>
      <c r="AA668" s="153"/>
      <c r="AB668" s="153"/>
      <c r="AC668" s="153"/>
      <c r="AD668" s="153"/>
      <c r="AH668" s="147"/>
    </row>
    <row r="669" spans="1:34" s="146" customFormat="1" x14ac:dyDescent="0.25">
      <c r="A669" s="196">
        <v>1396</v>
      </c>
      <c r="B669" s="196" t="s">
        <v>2629</v>
      </c>
      <c r="C669" s="196" t="s">
        <v>3875</v>
      </c>
      <c r="D669" s="196" t="s">
        <v>1876</v>
      </c>
      <c r="E669" s="196" t="s">
        <v>2032</v>
      </c>
      <c r="F669" s="196">
        <v>2009</v>
      </c>
      <c r="G669" s="196"/>
      <c r="H669" s="196" t="s">
        <v>1878</v>
      </c>
      <c r="I669" s="141" t="s">
        <v>1879</v>
      </c>
      <c r="J669" s="196" t="s">
        <v>3006</v>
      </c>
      <c r="K669" s="196" t="s">
        <v>1881</v>
      </c>
      <c r="L669" s="141" t="s">
        <v>3876</v>
      </c>
      <c r="M669" s="196">
        <v>592</v>
      </c>
      <c r="N669" s="196"/>
      <c r="O669" s="196" t="s">
        <v>3877</v>
      </c>
      <c r="P669" s="144">
        <v>492</v>
      </c>
      <c r="Q669" s="145">
        <f t="shared" si="40"/>
        <v>1.3092999999999999</v>
      </c>
      <c r="R669" s="203">
        <v>0.99</v>
      </c>
      <c r="S669" s="203"/>
      <c r="T669" s="151"/>
      <c r="U669" s="151"/>
      <c r="V669" s="151">
        <v>0.25</v>
      </c>
      <c r="W669" s="151">
        <f t="shared" si="41"/>
        <v>0.99</v>
      </c>
      <c r="X669" s="152">
        <f t="shared" si="43"/>
        <v>6.93E-2</v>
      </c>
      <c r="Y669" s="152"/>
      <c r="Z669" s="148"/>
      <c r="AA669" s="153"/>
      <c r="AB669" s="153"/>
      <c r="AC669" s="153"/>
      <c r="AD669" s="153"/>
      <c r="AH669" s="147"/>
    </row>
    <row r="670" spans="1:34" s="146" customFormat="1" ht="52.8" x14ac:dyDescent="0.25">
      <c r="A670" s="196">
        <v>2668</v>
      </c>
      <c r="B670" s="196" t="s">
        <v>3893</v>
      </c>
      <c r="C670" s="196" t="s">
        <v>3894</v>
      </c>
      <c r="D670" s="196" t="s">
        <v>3895</v>
      </c>
      <c r="E670" s="196" t="s">
        <v>1913</v>
      </c>
      <c r="F670" s="196">
        <v>2015</v>
      </c>
      <c r="G670" s="196"/>
      <c r="H670" s="196" t="s">
        <v>1878</v>
      </c>
      <c r="I670" s="141" t="s">
        <v>1879</v>
      </c>
      <c r="J670" s="52" t="s">
        <v>3897</v>
      </c>
      <c r="K670" s="196" t="s">
        <v>1881</v>
      </c>
      <c r="L670" s="141" t="s">
        <v>3896</v>
      </c>
      <c r="M670" s="196">
        <v>608</v>
      </c>
      <c r="N670" s="196"/>
      <c r="O670" s="196" t="s">
        <v>3878</v>
      </c>
      <c r="P670" s="144">
        <v>523</v>
      </c>
      <c r="Q670" s="145">
        <f t="shared" si="40"/>
        <v>3.0093000000000001</v>
      </c>
      <c r="R670" s="203">
        <v>0.99</v>
      </c>
      <c r="S670" s="203"/>
      <c r="T670" s="151"/>
      <c r="U670" s="151">
        <v>1.7</v>
      </c>
      <c r="V670" s="151">
        <v>0.25</v>
      </c>
      <c r="W670" s="151">
        <f t="shared" si="41"/>
        <v>0.99</v>
      </c>
      <c r="X670" s="152">
        <f t="shared" si="43"/>
        <v>6.93E-2</v>
      </c>
      <c r="Y670" s="152"/>
      <c r="Z670" s="148"/>
      <c r="AA670" s="153"/>
      <c r="AB670" s="153"/>
      <c r="AC670" s="153"/>
      <c r="AD670" s="153"/>
      <c r="AH670" s="147"/>
    </row>
    <row r="671" spans="1:34" s="146" customFormat="1" x14ac:dyDescent="0.25">
      <c r="A671" s="196">
        <v>632</v>
      </c>
      <c r="B671" s="196" t="s">
        <v>3898</v>
      </c>
      <c r="C671" s="196" t="s">
        <v>3899</v>
      </c>
      <c r="D671" s="196" t="s">
        <v>3900</v>
      </c>
      <c r="E671" s="196" t="s">
        <v>3141</v>
      </c>
      <c r="F671" s="196"/>
      <c r="G671" s="196"/>
      <c r="H671" s="196" t="s">
        <v>1878</v>
      </c>
      <c r="I671" s="141" t="s">
        <v>1879</v>
      </c>
      <c r="J671" s="196" t="s">
        <v>3865</v>
      </c>
      <c r="K671" s="196" t="s">
        <v>1881</v>
      </c>
      <c r="L671" s="141"/>
      <c r="M671" s="196">
        <v>368</v>
      </c>
      <c r="N671" s="196"/>
      <c r="O671" s="196" t="s">
        <v>3879</v>
      </c>
      <c r="P671" s="144">
        <v>329</v>
      </c>
      <c r="Q671" s="145">
        <f t="shared" si="40"/>
        <v>2.5093000000000001</v>
      </c>
      <c r="R671" s="203">
        <v>0.99</v>
      </c>
      <c r="S671" s="203"/>
      <c r="T671" s="151"/>
      <c r="U671" s="151">
        <v>1.2</v>
      </c>
      <c r="V671" s="151">
        <v>0.25</v>
      </c>
      <c r="W671" s="151">
        <f t="shared" si="41"/>
        <v>0.99</v>
      </c>
      <c r="X671" s="152">
        <f t="shared" si="43"/>
        <v>6.93E-2</v>
      </c>
      <c r="Y671" s="152"/>
      <c r="Z671" s="148"/>
      <c r="AA671" s="153"/>
      <c r="AB671" s="153"/>
      <c r="AC671" s="153"/>
      <c r="AD671" s="153"/>
      <c r="AH671" s="147"/>
    </row>
    <row r="672" spans="1:34" s="146" customFormat="1" x14ac:dyDescent="0.25">
      <c r="A672" s="196">
        <v>1395</v>
      </c>
      <c r="B672" s="196" t="s">
        <v>3901</v>
      </c>
      <c r="C672" s="196" t="s">
        <v>3902</v>
      </c>
      <c r="D672" s="196" t="s">
        <v>3026</v>
      </c>
      <c r="E672" s="196" t="s">
        <v>1913</v>
      </c>
      <c r="F672" s="196">
        <v>2014</v>
      </c>
      <c r="G672" s="196"/>
      <c r="H672" s="196" t="s">
        <v>1878</v>
      </c>
      <c r="I672" s="141" t="s">
        <v>1879</v>
      </c>
      <c r="J672" s="196" t="s">
        <v>3904</v>
      </c>
      <c r="K672" s="196" t="s">
        <v>1881</v>
      </c>
      <c r="L672" s="141" t="s">
        <v>3903</v>
      </c>
      <c r="M672" s="196">
        <v>496</v>
      </c>
      <c r="N672" s="196"/>
      <c r="O672" s="196" t="s">
        <v>3880</v>
      </c>
      <c r="P672" s="144">
        <v>391</v>
      </c>
      <c r="Q672" s="145">
        <f t="shared" si="40"/>
        <v>4.3282999999999996</v>
      </c>
      <c r="R672" s="203">
        <v>2.69</v>
      </c>
      <c r="S672" s="203"/>
      <c r="T672" s="151"/>
      <c r="U672" s="151">
        <v>1.2</v>
      </c>
      <c r="V672" s="151">
        <v>0.25</v>
      </c>
      <c r="W672" s="151">
        <f t="shared" si="41"/>
        <v>2.69</v>
      </c>
      <c r="X672" s="152">
        <f t="shared" si="43"/>
        <v>0.1883</v>
      </c>
      <c r="Y672" s="152"/>
      <c r="Z672" s="148"/>
      <c r="AA672" s="153"/>
      <c r="AB672" s="153"/>
      <c r="AC672" s="153"/>
      <c r="AD672" s="153"/>
      <c r="AH672" s="147"/>
    </row>
    <row r="673" spans="1:34" s="146" customFormat="1" x14ac:dyDescent="0.25">
      <c r="A673" s="196"/>
      <c r="B673" s="196"/>
      <c r="C673" s="196"/>
      <c r="D673" s="196"/>
      <c r="E673" s="196"/>
      <c r="F673" s="196"/>
      <c r="G673" s="196"/>
      <c r="H673" s="196"/>
      <c r="I673" s="141"/>
      <c r="J673" s="196"/>
      <c r="K673" s="196"/>
      <c r="L673" s="141"/>
      <c r="M673" s="196"/>
      <c r="N673" s="196"/>
      <c r="O673" s="196"/>
      <c r="P673" s="144"/>
      <c r="Q673" s="148"/>
      <c r="R673" s="203"/>
      <c r="S673" s="203"/>
      <c r="T673" s="203"/>
      <c r="U673" s="103"/>
      <c r="V673" s="103"/>
      <c r="W673" s="203"/>
      <c r="X673" s="148"/>
      <c r="Y673" s="148"/>
      <c r="Z673" s="148"/>
      <c r="AA673" s="148"/>
      <c r="AB673" s="148"/>
      <c r="AC673" s="148"/>
      <c r="AD673" s="148"/>
      <c r="AH673" s="147"/>
    </row>
    <row r="674" spans="1:34" s="146" customFormat="1" x14ac:dyDescent="0.25">
      <c r="A674" s="196">
        <v>632</v>
      </c>
      <c r="B674" s="196" t="s">
        <v>3233</v>
      </c>
      <c r="C674" s="196" t="s">
        <v>3908</v>
      </c>
      <c r="D674" s="196" t="s">
        <v>2257</v>
      </c>
      <c r="E674" s="196"/>
      <c r="F674" s="196">
        <v>2005</v>
      </c>
      <c r="G674" s="196"/>
      <c r="H674" s="196" t="s">
        <v>1878</v>
      </c>
      <c r="I674" s="141" t="s">
        <v>1879</v>
      </c>
      <c r="J674" s="196" t="s">
        <v>3303</v>
      </c>
      <c r="K674" s="196" t="s">
        <v>1881</v>
      </c>
      <c r="L674" s="141" t="s">
        <v>3909</v>
      </c>
      <c r="M674" s="196">
        <v>624</v>
      </c>
      <c r="N674" s="196"/>
      <c r="O674" s="196" t="s">
        <v>3882</v>
      </c>
      <c r="P674" s="144">
        <v>479</v>
      </c>
      <c r="Q674" s="145">
        <f t="shared" si="40"/>
        <v>2.5093000000000001</v>
      </c>
      <c r="R674" s="203">
        <v>0.99</v>
      </c>
      <c r="S674" s="203"/>
      <c r="T674" s="151"/>
      <c r="U674" s="151">
        <v>1.2</v>
      </c>
      <c r="V674" s="151">
        <v>0.25</v>
      </c>
      <c r="W674" s="151">
        <f t="shared" si="41"/>
        <v>0.99</v>
      </c>
      <c r="X674" s="152">
        <f t="shared" si="43"/>
        <v>6.93E-2</v>
      </c>
      <c r="Y674" s="152"/>
      <c r="Z674" s="148"/>
      <c r="AA674" s="153"/>
      <c r="AB674" s="153"/>
      <c r="AC674" s="153"/>
      <c r="AD674" s="153"/>
      <c r="AH674" s="147"/>
    </row>
    <row r="675" spans="1:34" s="146" customFormat="1" x14ac:dyDescent="0.25">
      <c r="A675" s="196">
        <v>632</v>
      </c>
      <c r="B675" s="196" t="s">
        <v>3926</v>
      </c>
      <c r="C675" s="196" t="s">
        <v>3927</v>
      </c>
      <c r="D675" s="196" t="s">
        <v>3149</v>
      </c>
      <c r="E675" s="196"/>
      <c r="F675" s="196">
        <v>2013</v>
      </c>
      <c r="G675" s="196"/>
      <c r="H675" s="196" t="s">
        <v>1878</v>
      </c>
      <c r="I675" s="141" t="s">
        <v>1914</v>
      </c>
      <c r="J675" s="196"/>
      <c r="K675" s="196" t="s">
        <v>1881</v>
      </c>
      <c r="L675" s="141" t="s">
        <v>3928</v>
      </c>
      <c r="M675" s="196">
        <v>480</v>
      </c>
      <c r="N675" s="196"/>
      <c r="O675" s="196" t="s">
        <v>3883</v>
      </c>
      <c r="P675" s="144">
        <v>272</v>
      </c>
      <c r="Q675" s="145">
        <f t="shared" si="40"/>
        <v>2.5093000000000001</v>
      </c>
      <c r="R675" s="203">
        <v>0.99</v>
      </c>
      <c r="S675" s="203"/>
      <c r="T675" s="151"/>
      <c r="U675" s="151">
        <v>1.2</v>
      </c>
      <c r="V675" s="151">
        <v>0.25</v>
      </c>
      <c r="W675" s="151">
        <f t="shared" si="41"/>
        <v>0.99</v>
      </c>
      <c r="X675" s="152">
        <f t="shared" si="43"/>
        <v>6.93E-2</v>
      </c>
      <c r="Y675" s="152"/>
      <c r="Z675" s="148"/>
      <c r="AA675" s="153"/>
      <c r="AB675" s="153"/>
      <c r="AC675" s="153"/>
      <c r="AD675" s="153"/>
      <c r="AH675" s="147"/>
    </row>
    <row r="676" spans="1:34" s="146" customFormat="1" ht="39.6" x14ac:dyDescent="0.25">
      <c r="A676" s="196">
        <v>2551</v>
      </c>
      <c r="B676" s="196" t="s">
        <v>3929</v>
      </c>
      <c r="C676" s="196" t="s">
        <v>3930</v>
      </c>
      <c r="D676" s="196" t="s">
        <v>2850</v>
      </c>
      <c r="E676" s="196" t="s">
        <v>1921</v>
      </c>
      <c r="F676" s="196">
        <v>2017</v>
      </c>
      <c r="G676" s="196"/>
      <c r="H676" s="196" t="s">
        <v>1878</v>
      </c>
      <c r="I676" s="141" t="s">
        <v>1929</v>
      </c>
      <c r="J676" s="52" t="s">
        <v>3931</v>
      </c>
      <c r="K676" s="196" t="s">
        <v>1881</v>
      </c>
      <c r="L676" s="141" t="s">
        <v>3932</v>
      </c>
      <c r="M676" s="196">
        <v>352</v>
      </c>
      <c r="N676" s="196"/>
      <c r="O676" s="196" t="s">
        <v>3884</v>
      </c>
      <c r="P676" s="144">
        <v>375</v>
      </c>
      <c r="Q676" s="145">
        <f t="shared" si="40"/>
        <v>2.7232999999999996</v>
      </c>
      <c r="R676" s="203">
        <v>1.19</v>
      </c>
      <c r="S676" s="203"/>
      <c r="T676" s="151"/>
      <c r="U676" s="151">
        <v>1.2</v>
      </c>
      <c r="V676" s="151">
        <v>0.25</v>
      </c>
      <c r="W676" s="151">
        <f t="shared" si="41"/>
        <v>1.19</v>
      </c>
      <c r="X676" s="152">
        <f t="shared" si="43"/>
        <v>8.3299999999999999E-2</v>
      </c>
      <c r="Y676" s="152"/>
      <c r="Z676" s="148"/>
      <c r="AA676" s="153"/>
      <c r="AB676" s="153"/>
      <c r="AC676" s="153"/>
      <c r="AD676" s="153"/>
      <c r="AH676" s="147"/>
    </row>
    <row r="677" spans="1:34" s="146" customFormat="1" x14ac:dyDescent="0.25">
      <c r="A677" s="196">
        <v>734</v>
      </c>
      <c r="B677" s="196" t="s">
        <v>3933</v>
      </c>
      <c r="C677" s="196" t="s">
        <v>3934</v>
      </c>
      <c r="D677" s="196" t="s">
        <v>2054</v>
      </c>
      <c r="E677" s="196" t="s">
        <v>2094</v>
      </c>
      <c r="F677" s="196">
        <v>2007</v>
      </c>
      <c r="G677" s="196"/>
      <c r="H677" s="196" t="s">
        <v>2734</v>
      </c>
      <c r="I677" s="141" t="s">
        <v>1929</v>
      </c>
      <c r="J677" s="196" t="s">
        <v>3935</v>
      </c>
      <c r="K677" s="196" t="s">
        <v>1881</v>
      </c>
      <c r="L677" s="141" t="s">
        <v>3936</v>
      </c>
      <c r="M677" s="196">
        <v>514</v>
      </c>
      <c r="N677" s="196"/>
      <c r="O677" s="196" t="s">
        <v>3885</v>
      </c>
      <c r="P677" s="144">
        <v>439</v>
      </c>
      <c r="Q677" s="145">
        <f t="shared" si="40"/>
        <v>2.5093000000000001</v>
      </c>
      <c r="R677" s="203">
        <v>0.99</v>
      </c>
      <c r="S677" s="203"/>
      <c r="T677" s="151"/>
      <c r="U677" s="151">
        <v>1.2</v>
      </c>
      <c r="V677" s="151">
        <v>0.25</v>
      </c>
      <c r="W677" s="151">
        <f t="shared" si="41"/>
        <v>0.99</v>
      </c>
      <c r="X677" s="152">
        <f t="shared" si="43"/>
        <v>6.93E-2</v>
      </c>
      <c r="Y677" s="152"/>
      <c r="Z677" s="148"/>
      <c r="AA677" s="153"/>
      <c r="AB677" s="153"/>
      <c r="AC677" s="153"/>
      <c r="AD677" s="153"/>
      <c r="AH677" s="147"/>
    </row>
    <row r="678" spans="1:34" s="146" customFormat="1" ht="39.6" x14ac:dyDescent="0.25">
      <c r="A678" s="196">
        <v>632</v>
      </c>
      <c r="B678" s="196" t="s">
        <v>3937</v>
      </c>
      <c r="C678" s="196" t="s">
        <v>3938</v>
      </c>
      <c r="D678" s="196" t="s">
        <v>1993</v>
      </c>
      <c r="E678" s="196" t="s">
        <v>2032</v>
      </c>
      <c r="F678" s="196">
        <v>2015</v>
      </c>
      <c r="G678" s="196"/>
      <c r="H678" s="196" t="s">
        <v>1878</v>
      </c>
      <c r="I678" s="141" t="s">
        <v>1879</v>
      </c>
      <c r="J678" s="52" t="s">
        <v>3940</v>
      </c>
      <c r="K678" s="196" t="s">
        <v>1881</v>
      </c>
      <c r="L678" s="141" t="s">
        <v>3939</v>
      </c>
      <c r="M678" s="196">
        <v>576</v>
      </c>
      <c r="N678" s="196"/>
      <c r="O678" s="196" t="s">
        <v>3886</v>
      </c>
      <c r="P678" s="144">
        <v>685</v>
      </c>
      <c r="Q678" s="145">
        <f t="shared" si="40"/>
        <v>2.4742999999999999</v>
      </c>
      <c r="R678" s="203">
        <v>0.49</v>
      </c>
      <c r="S678" s="203"/>
      <c r="T678" s="151"/>
      <c r="U678" s="151">
        <v>1.7</v>
      </c>
      <c r="V678" s="151">
        <v>0.25</v>
      </c>
      <c r="W678" s="151">
        <f t="shared" si="41"/>
        <v>0.49</v>
      </c>
      <c r="X678" s="152">
        <f t="shared" si="43"/>
        <v>3.4299999999999997E-2</v>
      </c>
      <c r="Y678" s="152"/>
      <c r="Z678" s="148"/>
      <c r="AA678" s="153"/>
      <c r="AB678" s="153"/>
      <c r="AC678" s="153"/>
      <c r="AD678" s="153"/>
      <c r="AH678" s="147"/>
    </row>
    <row r="679" spans="1:34" s="146" customFormat="1" ht="66" x14ac:dyDescent="0.25">
      <c r="A679" s="196">
        <v>2522</v>
      </c>
      <c r="B679" s="196" t="s">
        <v>3945</v>
      </c>
      <c r="C679" s="196" t="s">
        <v>3946</v>
      </c>
      <c r="D679" s="196" t="s">
        <v>2209</v>
      </c>
      <c r="E679" s="196" t="s">
        <v>2032</v>
      </c>
      <c r="F679" s="196">
        <v>2008</v>
      </c>
      <c r="G679" s="196"/>
      <c r="H679" s="196" t="s">
        <v>1878</v>
      </c>
      <c r="I679" s="141" t="s">
        <v>1879</v>
      </c>
      <c r="J679" s="142" t="s">
        <v>3947</v>
      </c>
      <c r="K679" s="196" t="s">
        <v>1881</v>
      </c>
      <c r="L679" s="141" t="s">
        <v>3948</v>
      </c>
      <c r="M679" s="196">
        <v>544</v>
      </c>
      <c r="N679" s="196"/>
      <c r="O679" s="196" t="s">
        <v>3888</v>
      </c>
      <c r="P679" s="144">
        <v>391</v>
      </c>
      <c r="Q679" s="145">
        <f t="shared" si="40"/>
        <v>2.5093000000000001</v>
      </c>
      <c r="R679" s="203">
        <v>0.99</v>
      </c>
      <c r="S679" s="203"/>
      <c r="T679" s="151"/>
      <c r="U679" s="151">
        <v>1.2</v>
      </c>
      <c r="V679" s="151">
        <v>0.25</v>
      </c>
      <c r="W679" s="151">
        <f t="shared" si="41"/>
        <v>0.99</v>
      </c>
      <c r="X679" s="152">
        <f t="shared" si="43"/>
        <v>6.93E-2</v>
      </c>
      <c r="Y679" s="152"/>
      <c r="Z679" s="148"/>
      <c r="AA679" s="153"/>
      <c r="AB679" s="153"/>
      <c r="AC679" s="153"/>
      <c r="AD679" s="153"/>
      <c r="AH679" s="147"/>
    </row>
    <row r="680" spans="1:34" s="146" customFormat="1" x14ac:dyDescent="0.25">
      <c r="A680" s="196">
        <v>2952</v>
      </c>
      <c r="B680" s="196" t="s">
        <v>3949</v>
      </c>
      <c r="C680" s="196" t="s">
        <v>3950</v>
      </c>
      <c r="D680" s="196" t="s">
        <v>2257</v>
      </c>
      <c r="E680" s="196" t="s">
        <v>1921</v>
      </c>
      <c r="F680" s="196">
        <v>2003</v>
      </c>
      <c r="G680" s="196"/>
      <c r="H680" s="196" t="s">
        <v>1878</v>
      </c>
      <c r="I680" s="141" t="s">
        <v>1879</v>
      </c>
      <c r="J680" s="196" t="s">
        <v>3951</v>
      </c>
      <c r="K680" s="196" t="s">
        <v>1881</v>
      </c>
      <c r="L680" s="141" t="s">
        <v>3952</v>
      </c>
      <c r="M680" s="196">
        <v>640</v>
      </c>
      <c r="N680" s="196"/>
      <c r="O680" s="196" t="s">
        <v>3889</v>
      </c>
      <c r="P680" s="144">
        <v>564</v>
      </c>
      <c r="Q680" s="145">
        <f t="shared" si="40"/>
        <v>3.0093000000000001</v>
      </c>
      <c r="R680" s="203">
        <v>0.99</v>
      </c>
      <c r="S680" s="203"/>
      <c r="T680" s="151"/>
      <c r="U680" s="151">
        <v>1.7</v>
      </c>
      <c r="V680" s="151">
        <v>0.25</v>
      </c>
      <c r="W680" s="151">
        <f t="shared" si="41"/>
        <v>0.99</v>
      </c>
      <c r="X680" s="152">
        <f t="shared" si="43"/>
        <v>6.93E-2</v>
      </c>
      <c r="Y680" s="152"/>
      <c r="Z680" s="148"/>
      <c r="AA680" s="153"/>
      <c r="AB680" s="153"/>
      <c r="AC680" s="153"/>
      <c r="AD680" s="153"/>
      <c r="AH680" s="147"/>
    </row>
    <row r="681" spans="1:34" s="146" customFormat="1" x14ac:dyDescent="0.25">
      <c r="A681" s="196">
        <v>632</v>
      </c>
      <c r="B681" s="196" t="s">
        <v>3953</v>
      </c>
      <c r="C681" s="196" t="s">
        <v>3954</v>
      </c>
      <c r="D681" s="196" t="s">
        <v>2232</v>
      </c>
      <c r="E681" s="196" t="s">
        <v>1913</v>
      </c>
      <c r="F681" s="196">
        <v>2007</v>
      </c>
      <c r="G681" s="196"/>
      <c r="H681" s="196" t="s">
        <v>1878</v>
      </c>
      <c r="I681" s="141" t="s">
        <v>1879</v>
      </c>
      <c r="J681" s="196" t="s">
        <v>3935</v>
      </c>
      <c r="K681" s="196" t="s">
        <v>1881</v>
      </c>
      <c r="L681" s="141" t="s">
        <v>3955</v>
      </c>
      <c r="M681" s="196">
        <v>112</v>
      </c>
      <c r="N681" s="196"/>
      <c r="O681" s="196" t="s">
        <v>3890</v>
      </c>
      <c r="P681" s="144">
        <v>129</v>
      </c>
      <c r="Q681" s="145">
        <f t="shared" si="40"/>
        <v>2.7232999999999996</v>
      </c>
      <c r="R681" s="203">
        <v>1.19</v>
      </c>
      <c r="S681" s="203"/>
      <c r="T681" s="151"/>
      <c r="U681" s="151">
        <v>1.2</v>
      </c>
      <c r="V681" s="151">
        <v>0.25</v>
      </c>
      <c r="W681" s="151">
        <f t="shared" si="41"/>
        <v>1.19</v>
      </c>
      <c r="X681" s="152">
        <f t="shared" si="43"/>
        <v>8.3299999999999999E-2</v>
      </c>
      <c r="Y681" s="152"/>
      <c r="Z681" s="148"/>
      <c r="AA681" s="153"/>
      <c r="AB681" s="153"/>
      <c r="AC681" s="153"/>
      <c r="AD681" s="153"/>
      <c r="AH681" s="147"/>
    </row>
    <row r="682" spans="1:34" s="146" customFormat="1" x14ac:dyDescent="0.25">
      <c r="A682" s="196">
        <v>968</v>
      </c>
      <c r="B682" s="196" t="s">
        <v>3956</v>
      </c>
      <c r="C682" s="196" t="s">
        <v>3957</v>
      </c>
      <c r="D682" s="196" t="s">
        <v>3958</v>
      </c>
      <c r="E682" s="196"/>
      <c r="F682" s="196">
        <v>1993</v>
      </c>
      <c r="G682" s="196"/>
      <c r="H682" s="196" t="s">
        <v>1878</v>
      </c>
      <c r="I682" s="141" t="s">
        <v>1914</v>
      </c>
      <c r="J682" s="196" t="s">
        <v>3959</v>
      </c>
      <c r="K682" s="196" t="s">
        <v>2025</v>
      </c>
      <c r="L682" s="141" t="s">
        <v>3960</v>
      </c>
      <c r="M682" s="196">
        <v>272</v>
      </c>
      <c r="N682" s="196"/>
      <c r="O682" s="196" t="s">
        <v>3891</v>
      </c>
      <c r="P682" s="144">
        <v>142</v>
      </c>
      <c r="Q682" s="145">
        <f t="shared" si="40"/>
        <v>3.0442999999999998</v>
      </c>
      <c r="R682" s="203">
        <v>1.49</v>
      </c>
      <c r="S682" s="203"/>
      <c r="T682" s="151"/>
      <c r="U682" s="151">
        <v>1.2</v>
      </c>
      <c r="V682" s="151">
        <v>0.25</v>
      </c>
      <c r="W682" s="151">
        <f t="shared" si="41"/>
        <v>1.49</v>
      </c>
      <c r="X682" s="152">
        <f t="shared" si="43"/>
        <v>0.1043</v>
      </c>
      <c r="Y682" s="152"/>
      <c r="Z682" s="148"/>
      <c r="AA682" s="153"/>
      <c r="AB682" s="153"/>
      <c r="AC682" s="153"/>
      <c r="AD682" s="153"/>
      <c r="AH682" s="147"/>
    </row>
    <row r="683" spans="1:34" s="146" customFormat="1" x14ac:dyDescent="0.25">
      <c r="A683" s="196">
        <v>632</v>
      </c>
      <c r="B683" s="196" t="s">
        <v>3961</v>
      </c>
      <c r="C683" s="196" t="s">
        <v>3962</v>
      </c>
      <c r="D683" s="196" t="s">
        <v>1920</v>
      </c>
      <c r="E683" s="196"/>
      <c r="F683" s="196">
        <v>2013</v>
      </c>
      <c r="G683" s="196"/>
      <c r="H683" s="196" t="s">
        <v>1878</v>
      </c>
      <c r="I683" s="141" t="s">
        <v>1879</v>
      </c>
      <c r="J683" s="196" t="s">
        <v>3649</v>
      </c>
      <c r="K683" s="196" t="s">
        <v>1881</v>
      </c>
      <c r="L683" s="141"/>
      <c r="M683" s="196">
        <v>624</v>
      </c>
      <c r="N683" s="196"/>
      <c r="O683" s="196" t="s">
        <v>3892</v>
      </c>
      <c r="P683" s="144">
        <v>461</v>
      </c>
      <c r="Q683" s="145">
        <f t="shared" si="40"/>
        <v>2.5093000000000001</v>
      </c>
      <c r="R683" s="203">
        <v>0.99</v>
      </c>
      <c r="S683" s="203"/>
      <c r="T683" s="151"/>
      <c r="U683" s="151">
        <v>1.2</v>
      </c>
      <c r="V683" s="151">
        <v>0.25</v>
      </c>
      <c r="W683" s="151">
        <f t="shared" si="41"/>
        <v>0.99</v>
      </c>
      <c r="X683" s="152">
        <f t="shared" si="43"/>
        <v>6.93E-2</v>
      </c>
      <c r="Y683" s="152"/>
      <c r="Z683" s="148"/>
      <c r="AA683" s="153"/>
      <c r="AB683" s="153"/>
      <c r="AC683" s="153"/>
      <c r="AD683" s="153"/>
      <c r="AH683" s="147"/>
    </row>
    <row r="684" spans="1:34" s="146" customFormat="1" x14ac:dyDescent="0.25">
      <c r="A684" s="196">
        <v>1232</v>
      </c>
      <c r="B684" s="196" t="s">
        <v>3968</v>
      </c>
      <c r="C684" s="196" t="s">
        <v>3969</v>
      </c>
      <c r="D684" s="196" t="s">
        <v>2309</v>
      </c>
      <c r="E684" s="196" t="s">
        <v>1877</v>
      </c>
      <c r="F684" s="196">
        <v>1998</v>
      </c>
      <c r="G684" s="196"/>
      <c r="H684" s="196" t="s">
        <v>1878</v>
      </c>
      <c r="I684" s="141" t="s">
        <v>1879</v>
      </c>
      <c r="J684" s="196" t="s">
        <v>3963</v>
      </c>
      <c r="K684" s="196" t="s">
        <v>1881</v>
      </c>
      <c r="L684" s="141" t="s">
        <v>3970</v>
      </c>
      <c r="M684" s="196">
        <v>400</v>
      </c>
      <c r="N684" s="196"/>
      <c r="O684" s="196" t="s">
        <v>3911</v>
      </c>
      <c r="P684" s="144">
        <v>258</v>
      </c>
      <c r="Q684" s="145">
        <f t="shared" si="40"/>
        <v>3.4722999999999997</v>
      </c>
      <c r="R684" s="203">
        <v>1.89</v>
      </c>
      <c r="S684" s="203"/>
      <c r="T684" s="151"/>
      <c r="U684" s="151">
        <v>1.2</v>
      </c>
      <c r="V684" s="151">
        <v>0.25</v>
      </c>
      <c r="W684" s="151">
        <f t="shared" si="41"/>
        <v>1.89</v>
      </c>
      <c r="X684" s="152">
        <f t="shared" si="43"/>
        <v>0.1323</v>
      </c>
      <c r="Y684" s="152"/>
      <c r="Z684" s="148"/>
      <c r="AA684" s="153"/>
      <c r="AB684" s="153"/>
      <c r="AC684" s="153"/>
      <c r="AD684" s="153"/>
      <c r="AH684" s="147"/>
    </row>
    <row r="685" spans="1:34" s="146" customFormat="1" x14ac:dyDescent="0.25">
      <c r="A685" s="196">
        <v>2522</v>
      </c>
      <c r="B685" s="196" t="s">
        <v>2321</v>
      </c>
      <c r="C685" s="196" t="s">
        <v>3971</v>
      </c>
      <c r="D685" s="196" t="s">
        <v>1912</v>
      </c>
      <c r="E685" s="196"/>
      <c r="F685" s="196">
        <v>2002</v>
      </c>
      <c r="G685" s="196"/>
      <c r="H685" s="196" t="s">
        <v>1878</v>
      </c>
      <c r="I685" s="141" t="s">
        <v>1879</v>
      </c>
      <c r="J685" s="196" t="s">
        <v>3947</v>
      </c>
      <c r="K685" s="196" t="s">
        <v>1881</v>
      </c>
      <c r="L685" s="141" t="s">
        <v>3972</v>
      </c>
      <c r="M685" s="196">
        <v>384</v>
      </c>
      <c r="N685" s="196"/>
      <c r="O685" s="196" t="s">
        <v>3912</v>
      </c>
      <c r="P685" s="144">
        <v>344</v>
      </c>
      <c r="Q685" s="145">
        <f t="shared" si="40"/>
        <v>2.5093000000000001</v>
      </c>
      <c r="R685" s="203">
        <v>0.99</v>
      </c>
      <c r="S685" s="203"/>
      <c r="T685" s="151"/>
      <c r="U685" s="151">
        <v>1.2</v>
      </c>
      <c r="V685" s="151">
        <v>0.25</v>
      </c>
      <c r="W685" s="151">
        <f t="shared" si="41"/>
        <v>0.99</v>
      </c>
      <c r="X685" s="152">
        <f t="shared" si="43"/>
        <v>6.93E-2</v>
      </c>
      <c r="Y685" s="152"/>
      <c r="Z685" s="148"/>
      <c r="AA685" s="153"/>
      <c r="AB685" s="153"/>
      <c r="AC685" s="153"/>
      <c r="AD685" s="153"/>
      <c r="AH685" s="147"/>
    </row>
    <row r="686" spans="1:34" s="146" customFormat="1" ht="92.4" x14ac:dyDescent="0.25">
      <c r="A686" s="196">
        <v>2522</v>
      </c>
      <c r="B686" s="196" t="s">
        <v>3941</v>
      </c>
      <c r="C686" s="196" t="s">
        <v>3973</v>
      </c>
      <c r="D686" s="196" t="s">
        <v>1912</v>
      </c>
      <c r="E686" s="196" t="s">
        <v>1913</v>
      </c>
      <c r="F686" s="196">
        <v>2010</v>
      </c>
      <c r="G686" s="196"/>
      <c r="H686" s="196" t="s">
        <v>1878</v>
      </c>
      <c r="I686" s="141" t="s">
        <v>1879</v>
      </c>
      <c r="J686" s="142" t="s">
        <v>3974</v>
      </c>
      <c r="K686" s="196" t="s">
        <v>1881</v>
      </c>
      <c r="L686" s="141" t="s">
        <v>3975</v>
      </c>
      <c r="M686" s="196">
        <v>448</v>
      </c>
      <c r="N686" s="196"/>
      <c r="O686" s="196" t="s">
        <v>3913</v>
      </c>
      <c r="P686" s="144">
        <v>404</v>
      </c>
      <c r="Q686" s="145">
        <f t="shared" si="40"/>
        <v>2.5093000000000001</v>
      </c>
      <c r="R686" s="203">
        <v>0.99</v>
      </c>
      <c r="S686" s="203"/>
      <c r="T686" s="151"/>
      <c r="U686" s="151">
        <v>1.2</v>
      </c>
      <c r="V686" s="151">
        <v>0.25</v>
      </c>
      <c r="W686" s="151">
        <f t="shared" si="41"/>
        <v>0.99</v>
      </c>
      <c r="X686" s="152">
        <f t="shared" si="43"/>
        <v>6.93E-2</v>
      </c>
      <c r="Y686" s="152"/>
      <c r="Z686" s="148"/>
      <c r="AA686" s="153"/>
      <c r="AB686" s="153"/>
      <c r="AC686" s="153"/>
      <c r="AD686" s="153"/>
      <c r="AH686" s="147"/>
    </row>
    <row r="687" spans="1:34" s="146" customFormat="1" x14ac:dyDescent="0.25">
      <c r="A687" s="196">
        <v>1913</v>
      </c>
      <c r="B687" s="196" t="s">
        <v>3976</v>
      </c>
      <c r="C687" s="196" t="s">
        <v>3977</v>
      </c>
      <c r="D687" s="196" t="s">
        <v>3978</v>
      </c>
      <c r="E687" s="196" t="s">
        <v>3979</v>
      </c>
      <c r="F687" s="196">
        <v>2015</v>
      </c>
      <c r="G687" s="196"/>
      <c r="H687" s="196" t="s">
        <v>2734</v>
      </c>
      <c r="I687" s="141" t="s">
        <v>1879</v>
      </c>
      <c r="J687" s="143" t="s">
        <v>3980</v>
      </c>
      <c r="K687" s="196" t="s">
        <v>1881</v>
      </c>
      <c r="L687" s="141" t="s">
        <v>3981</v>
      </c>
      <c r="M687" s="196">
        <v>690</v>
      </c>
      <c r="N687" s="196"/>
      <c r="O687" s="196" t="s">
        <v>3914</v>
      </c>
      <c r="P687" s="144">
        <v>1001</v>
      </c>
      <c r="Q687" s="145">
        <f t="shared" si="40"/>
        <v>9.2722999999999995</v>
      </c>
      <c r="R687" s="203">
        <v>4.8899999999999997</v>
      </c>
      <c r="S687" s="203"/>
      <c r="T687" s="151"/>
      <c r="U687" s="151">
        <v>3.79</v>
      </c>
      <c r="V687" s="151">
        <v>0.25</v>
      </c>
      <c r="W687" s="151">
        <f t="shared" si="41"/>
        <v>4.8899999999999997</v>
      </c>
      <c r="X687" s="152">
        <f t="shared" si="43"/>
        <v>0.34229999999999999</v>
      </c>
      <c r="Y687" s="152"/>
      <c r="Z687" s="148"/>
      <c r="AA687" s="153"/>
      <c r="AB687" s="153"/>
      <c r="AC687" s="153"/>
      <c r="AD687" s="153"/>
      <c r="AH687" s="147"/>
    </row>
    <row r="688" spans="1:34" s="146" customFormat="1" x14ac:dyDescent="0.25">
      <c r="A688" s="196">
        <v>2598</v>
      </c>
      <c r="B688" s="196"/>
      <c r="C688" s="196" t="s">
        <v>3982</v>
      </c>
      <c r="D688" s="196" t="s">
        <v>3136</v>
      </c>
      <c r="E688" s="196"/>
      <c r="F688" s="196"/>
      <c r="G688" s="196"/>
      <c r="H688" s="196" t="s">
        <v>2734</v>
      </c>
      <c r="I688" s="141" t="s">
        <v>1929</v>
      </c>
      <c r="J688" s="196"/>
      <c r="K688" s="196" t="s">
        <v>1881</v>
      </c>
      <c r="L688" s="141" t="s">
        <v>3983</v>
      </c>
      <c r="M688" s="196"/>
      <c r="N688" s="196"/>
      <c r="O688" s="196" t="s">
        <v>3915</v>
      </c>
      <c r="P688" s="144">
        <v>560</v>
      </c>
      <c r="Q688" s="145">
        <f t="shared" si="40"/>
        <v>6.2193000000000005</v>
      </c>
      <c r="R688" s="203">
        <v>3.99</v>
      </c>
      <c r="S688" s="203"/>
      <c r="T688" s="151"/>
      <c r="U688" s="151">
        <v>1.7</v>
      </c>
      <c r="V688" s="151">
        <v>0.25</v>
      </c>
      <c r="W688" s="151">
        <f t="shared" si="41"/>
        <v>3.99</v>
      </c>
      <c r="X688" s="152">
        <f t="shared" si="43"/>
        <v>0.27930000000000005</v>
      </c>
      <c r="Y688" s="152"/>
      <c r="Z688" s="148"/>
      <c r="AA688" s="153"/>
      <c r="AB688" s="153"/>
      <c r="AC688" s="153"/>
      <c r="AD688" s="153"/>
      <c r="AH688" s="147"/>
    </row>
    <row r="689" spans="1:34" s="146" customFormat="1" x14ac:dyDescent="0.25">
      <c r="A689" s="196">
        <v>2663</v>
      </c>
      <c r="B689" s="196" t="s">
        <v>3984</v>
      </c>
      <c r="C689" s="196" t="s">
        <v>3985</v>
      </c>
      <c r="D689" s="196" t="s">
        <v>2257</v>
      </c>
      <c r="E689" s="196"/>
      <c r="F689" s="196">
        <v>2015</v>
      </c>
      <c r="G689" s="196"/>
      <c r="H689" s="196" t="s">
        <v>1878</v>
      </c>
      <c r="I689" s="141" t="s">
        <v>1879</v>
      </c>
      <c r="J689" s="196" t="s">
        <v>3986</v>
      </c>
      <c r="K689" s="196" t="s">
        <v>1881</v>
      </c>
      <c r="L689" s="141" t="s">
        <v>3987</v>
      </c>
      <c r="M689" s="196">
        <v>768</v>
      </c>
      <c r="N689" s="196"/>
      <c r="O689" s="196" t="s">
        <v>3916</v>
      </c>
      <c r="P689" s="144">
        <v>614</v>
      </c>
      <c r="Q689" s="145">
        <f t="shared" si="40"/>
        <v>3.7154999999999996</v>
      </c>
      <c r="R689" s="203">
        <v>1.65</v>
      </c>
      <c r="S689" s="203"/>
      <c r="T689" s="151"/>
      <c r="U689" s="151">
        <v>1.7</v>
      </c>
      <c r="V689" s="151">
        <v>0.25</v>
      </c>
      <c r="W689" s="151">
        <f t="shared" si="41"/>
        <v>1.65</v>
      </c>
      <c r="X689" s="152">
        <f t="shared" si="43"/>
        <v>0.11550000000000001</v>
      </c>
      <c r="Y689" s="152"/>
      <c r="Z689" s="148"/>
      <c r="AA689" s="153"/>
      <c r="AB689" s="153"/>
      <c r="AC689" s="153"/>
      <c r="AD689" s="153"/>
      <c r="AH689" s="147"/>
    </row>
    <row r="690" spans="1:34" s="146" customFormat="1" x14ac:dyDescent="0.25">
      <c r="A690" s="196">
        <v>689</v>
      </c>
      <c r="B690" s="196" t="s">
        <v>3988</v>
      </c>
      <c r="C690" s="196" t="s">
        <v>3989</v>
      </c>
      <c r="D690" s="196" t="s">
        <v>2453</v>
      </c>
      <c r="E690" s="196" t="s">
        <v>1913</v>
      </c>
      <c r="F690" s="196">
        <v>2012</v>
      </c>
      <c r="G690" s="196"/>
      <c r="H690" s="196" t="s">
        <v>1878</v>
      </c>
      <c r="I690" s="141" t="s">
        <v>1879</v>
      </c>
      <c r="J690" s="196" t="s">
        <v>3990</v>
      </c>
      <c r="K690" s="196" t="s">
        <v>1881</v>
      </c>
      <c r="L690" s="141" t="s">
        <v>3991</v>
      </c>
      <c r="M690" s="196">
        <v>352</v>
      </c>
      <c r="N690" s="196"/>
      <c r="O690" s="196" t="s">
        <v>3917</v>
      </c>
      <c r="P690" s="144">
        <v>496</v>
      </c>
      <c r="Q690" s="145">
        <f t="shared" ref="Q690:Q749" si="44">SUM(T690:X690)</f>
        <v>2.2722999999999995</v>
      </c>
      <c r="R690" s="203">
        <v>1.89</v>
      </c>
      <c r="S690" s="203"/>
      <c r="T690" s="151"/>
      <c r="U690" s="151"/>
      <c r="V690" s="151">
        <v>0.25</v>
      </c>
      <c r="W690" s="151">
        <f t="shared" ref="W690:W749" si="45">IF(R690&gt;T690,R690,T690)</f>
        <v>1.89</v>
      </c>
      <c r="X690" s="152">
        <f t="shared" si="43"/>
        <v>0.1323</v>
      </c>
      <c r="Y690" s="152"/>
      <c r="Z690" s="148"/>
      <c r="AA690" s="153"/>
      <c r="AB690" s="153"/>
      <c r="AC690" s="153"/>
      <c r="AD690" s="153"/>
      <c r="AH690" s="147"/>
    </row>
    <row r="691" spans="1:34" s="146" customFormat="1" x14ac:dyDescent="0.25">
      <c r="A691" s="196">
        <v>796</v>
      </c>
      <c r="B691" s="196" t="s">
        <v>3992</v>
      </c>
      <c r="C691" s="196" t="s">
        <v>3993</v>
      </c>
      <c r="D691" s="196" t="s">
        <v>2257</v>
      </c>
      <c r="E691" s="196"/>
      <c r="F691" s="196">
        <v>2011</v>
      </c>
      <c r="G691" s="196"/>
      <c r="H691" s="196" t="s">
        <v>1878</v>
      </c>
      <c r="I691" s="141" t="s">
        <v>1879</v>
      </c>
      <c r="J691" s="143" t="s">
        <v>3994</v>
      </c>
      <c r="K691" s="196" t="s">
        <v>1881</v>
      </c>
      <c r="L691" s="141" t="s">
        <v>3995</v>
      </c>
      <c r="M691" s="196">
        <v>608</v>
      </c>
      <c r="N691" s="196"/>
      <c r="O691" s="196" t="s">
        <v>3918</v>
      </c>
      <c r="P691" s="144">
        <v>464</v>
      </c>
      <c r="Q691" s="145">
        <f t="shared" si="44"/>
        <v>2.5093000000000001</v>
      </c>
      <c r="R691" s="203">
        <v>0.99</v>
      </c>
      <c r="S691" s="203"/>
      <c r="T691" s="151"/>
      <c r="U691" s="151">
        <v>1.2</v>
      </c>
      <c r="V691" s="151">
        <v>0.25</v>
      </c>
      <c r="W691" s="151">
        <f t="shared" si="45"/>
        <v>0.99</v>
      </c>
      <c r="X691" s="152">
        <f t="shared" si="43"/>
        <v>6.93E-2</v>
      </c>
      <c r="Y691" s="152"/>
      <c r="Z691" s="148"/>
      <c r="AA691" s="153"/>
      <c r="AB691" s="153"/>
      <c r="AC691" s="153"/>
      <c r="AD691" s="153"/>
      <c r="AH691" s="147"/>
    </row>
    <row r="692" spans="1:34" s="146" customFormat="1" x14ac:dyDescent="0.25">
      <c r="A692" s="196">
        <v>643</v>
      </c>
      <c r="B692" s="196" t="s">
        <v>3996</v>
      </c>
      <c r="C692" s="196" t="s">
        <v>3997</v>
      </c>
      <c r="D692" s="196" t="s">
        <v>2300</v>
      </c>
      <c r="E692" s="196" t="s">
        <v>3998</v>
      </c>
      <c r="F692" s="196">
        <v>2005</v>
      </c>
      <c r="G692" s="196"/>
      <c r="H692" s="196" t="s">
        <v>1878</v>
      </c>
      <c r="I692" s="141" t="s">
        <v>1879</v>
      </c>
      <c r="J692" s="143" t="s">
        <v>3994</v>
      </c>
      <c r="K692" s="196" t="s">
        <v>1881</v>
      </c>
      <c r="L692" s="141" t="s">
        <v>3999</v>
      </c>
      <c r="M692" s="196">
        <v>96</v>
      </c>
      <c r="N692" s="196"/>
      <c r="O692" s="196" t="s">
        <v>3919</v>
      </c>
      <c r="P692" s="144">
        <v>105</v>
      </c>
      <c r="Q692" s="145">
        <f t="shared" si="44"/>
        <v>2.5093000000000001</v>
      </c>
      <c r="R692" s="203">
        <v>0.99</v>
      </c>
      <c r="S692" s="203"/>
      <c r="T692" s="151"/>
      <c r="U692" s="151">
        <v>1.2</v>
      </c>
      <c r="V692" s="151">
        <v>0.25</v>
      </c>
      <c r="W692" s="151">
        <f t="shared" si="45"/>
        <v>0.99</v>
      </c>
      <c r="X692" s="152">
        <f t="shared" si="43"/>
        <v>6.93E-2</v>
      </c>
      <c r="Y692" s="152"/>
      <c r="Z692" s="148"/>
      <c r="AA692" s="153"/>
      <c r="AB692" s="153"/>
      <c r="AC692" s="153"/>
      <c r="AD692" s="153"/>
      <c r="AH692" s="147"/>
    </row>
    <row r="693" spans="1:34" s="146" customFormat="1" x14ac:dyDescent="0.25">
      <c r="A693" s="196">
        <v>796</v>
      </c>
      <c r="B693" s="196" t="s">
        <v>4000</v>
      </c>
      <c r="C693" s="196" t="s">
        <v>4001</v>
      </c>
      <c r="D693" s="196" t="s">
        <v>2257</v>
      </c>
      <c r="E693" s="196" t="s">
        <v>1921</v>
      </c>
      <c r="F693" s="196">
        <v>2014</v>
      </c>
      <c r="G693" s="196"/>
      <c r="H693" s="196" t="s">
        <v>1878</v>
      </c>
      <c r="I693" s="141" t="s">
        <v>1879</v>
      </c>
      <c r="J693" s="196" t="s">
        <v>4002</v>
      </c>
      <c r="K693" s="196" t="s">
        <v>1881</v>
      </c>
      <c r="L693" s="141" t="s">
        <v>4003</v>
      </c>
      <c r="M693" s="196">
        <v>432</v>
      </c>
      <c r="N693" s="196"/>
      <c r="O693" s="196" t="s">
        <v>3920</v>
      </c>
      <c r="P693" s="144">
        <v>434</v>
      </c>
      <c r="Q693" s="145">
        <f t="shared" si="44"/>
        <v>2.5093000000000001</v>
      </c>
      <c r="R693" s="203">
        <v>0.99</v>
      </c>
      <c r="S693" s="203"/>
      <c r="T693" s="151"/>
      <c r="U693" s="151">
        <v>1.2</v>
      </c>
      <c r="V693" s="151">
        <v>0.25</v>
      </c>
      <c r="W693" s="151">
        <f t="shared" si="45"/>
        <v>0.99</v>
      </c>
      <c r="X693" s="152">
        <f t="shared" si="43"/>
        <v>6.93E-2</v>
      </c>
      <c r="Y693" s="152"/>
      <c r="Z693" s="148"/>
      <c r="AA693" s="153"/>
      <c r="AB693" s="153"/>
      <c r="AC693" s="153"/>
      <c r="AD693" s="153"/>
      <c r="AH693" s="147"/>
    </row>
    <row r="694" spans="1:34" s="146" customFormat="1" x14ac:dyDescent="0.25">
      <c r="A694" s="196">
        <v>2002</v>
      </c>
      <c r="B694" s="196" t="s">
        <v>4004</v>
      </c>
      <c r="C694" s="196" t="s">
        <v>4005</v>
      </c>
      <c r="D694" s="196" t="s">
        <v>3199</v>
      </c>
      <c r="E694" s="196"/>
      <c r="F694" s="196">
        <v>2003</v>
      </c>
      <c r="G694" s="196"/>
      <c r="H694" s="196" t="s">
        <v>1878</v>
      </c>
      <c r="I694" s="141" t="s">
        <v>1914</v>
      </c>
      <c r="J694" s="196"/>
      <c r="K694" s="196" t="s">
        <v>1881</v>
      </c>
      <c r="L694" s="141" t="s">
        <v>4006</v>
      </c>
      <c r="M694" s="196">
        <v>304</v>
      </c>
      <c r="N694" s="196"/>
      <c r="O694" s="196" t="s">
        <v>3921</v>
      </c>
      <c r="P694" s="144">
        <v>258</v>
      </c>
      <c r="Q694" s="145">
        <f t="shared" si="44"/>
        <v>3.7932999999999995</v>
      </c>
      <c r="R694" s="203">
        <v>2.19</v>
      </c>
      <c r="S694" s="203"/>
      <c r="T694" s="151"/>
      <c r="U694" s="151">
        <v>1.2</v>
      </c>
      <c r="V694" s="151">
        <v>0.25</v>
      </c>
      <c r="W694" s="151">
        <f t="shared" si="45"/>
        <v>2.19</v>
      </c>
      <c r="X694" s="152">
        <f t="shared" si="43"/>
        <v>0.15329999999999999</v>
      </c>
      <c r="Y694" s="152"/>
      <c r="Z694" s="148"/>
      <c r="AA694" s="153"/>
      <c r="AB694" s="153"/>
      <c r="AC694" s="153"/>
      <c r="AD694" s="153"/>
      <c r="AH694" s="147"/>
    </row>
    <row r="695" spans="1:34" s="146" customFormat="1" x14ac:dyDescent="0.25">
      <c r="A695" s="196">
        <v>689</v>
      </c>
      <c r="B695" s="196" t="s">
        <v>4034</v>
      </c>
      <c r="C695" s="196" t="s">
        <v>4035</v>
      </c>
      <c r="D695" s="196" t="s">
        <v>2209</v>
      </c>
      <c r="E695" s="196" t="s">
        <v>1877</v>
      </c>
      <c r="F695" s="196">
        <v>2000</v>
      </c>
      <c r="G695" s="196"/>
      <c r="H695" s="196" t="s">
        <v>1878</v>
      </c>
      <c r="I695" s="141" t="s">
        <v>1914</v>
      </c>
      <c r="J695" s="196" t="s">
        <v>4036</v>
      </c>
      <c r="K695" s="196" t="s">
        <v>1881</v>
      </c>
      <c r="L695" s="141" t="s">
        <v>4037</v>
      </c>
      <c r="M695" s="196">
        <v>528</v>
      </c>
      <c r="N695" s="196"/>
      <c r="O695" s="196" t="s">
        <v>3923</v>
      </c>
      <c r="P695" s="144">
        <v>364</v>
      </c>
      <c r="Q695" s="145">
        <f t="shared" si="44"/>
        <v>1.7175</v>
      </c>
      <c r="R695" s="203">
        <v>0.25</v>
      </c>
      <c r="S695" s="203"/>
      <c r="T695" s="151"/>
      <c r="U695" s="151">
        <v>1.2</v>
      </c>
      <c r="V695" s="151">
        <v>0.25</v>
      </c>
      <c r="W695" s="151">
        <f t="shared" si="45"/>
        <v>0.25</v>
      </c>
      <c r="X695" s="152">
        <f t="shared" si="43"/>
        <v>1.7500000000000002E-2</v>
      </c>
      <c r="Y695" s="152"/>
      <c r="Z695" s="148"/>
      <c r="AA695" s="153"/>
      <c r="AB695" s="153"/>
      <c r="AC695" s="153"/>
      <c r="AD695" s="153"/>
      <c r="AH695" s="147"/>
    </row>
    <row r="696" spans="1:34" s="146" customFormat="1" x14ac:dyDescent="0.25">
      <c r="A696" s="196">
        <v>2952</v>
      </c>
      <c r="B696" s="196" t="s">
        <v>4038</v>
      </c>
      <c r="C696" s="196" t="s">
        <v>4234</v>
      </c>
      <c r="D696" s="196" t="s">
        <v>2300</v>
      </c>
      <c r="E696" s="196" t="s">
        <v>1899</v>
      </c>
      <c r="F696" s="196">
        <v>2005</v>
      </c>
      <c r="G696" s="196"/>
      <c r="H696" s="196" t="s">
        <v>1878</v>
      </c>
      <c r="I696" s="141" t="s">
        <v>1879</v>
      </c>
      <c r="J696" s="196" t="s">
        <v>4039</v>
      </c>
      <c r="K696" s="196" t="s">
        <v>1881</v>
      </c>
      <c r="L696" s="141" t="s">
        <v>4040</v>
      </c>
      <c r="M696" s="196">
        <v>560</v>
      </c>
      <c r="N696" s="196"/>
      <c r="O696" s="196" t="s">
        <v>3924</v>
      </c>
      <c r="P696" s="144">
        <v>615</v>
      </c>
      <c r="Q696" s="145">
        <f t="shared" si="44"/>
        <v>2.2175000000000002</v>
      </c>
      <c r="R696" s="203">
        <v>0.25</v>
      </c>
      <c r="S696" s="203"/>
      <c r="T696" s="151"/>
      <c r="U696" s="151">
        <v>1.7</v>
      </c>
      <c r="V696" s="151">
        <v>0.25</v>
      </c>
      <c r="W696" s="151">
        <f t="shared" si="45"/>
        <v>0.25</v>
      </c>
      <c r="X696" s="152">
        <f t="shared" si="43"/>
        <v>1.7500000000000002E-2</v>
      </c>
      <c r="Y696" s="152"/>
      <c r="Z696" s="148"/>
      <c r="AA696" s="153"/>
      <c r="AB696" s="153"/>
      <c r="AC696" s="153"/>
      <c r="AD696" s="153"/>
      <c r="AH696" s="147"/>
    </row>
    <row r="697" spans="1:34" s="146" customFormat="1" x14ac:dyDescent="0.25">
      <c r="A697" s="196">
        <v>1315</v>
      </c>
      <c r="B697" s="196" t="s">
        <v>4041</v>
      </c>
      <c r="C697" s="196" t="s">
        <v>4042</v>
      </c>
      <c r="D697" s="196" t="s">
        <v>2822</v>
      </c>
      <c r="E697" s="196"/>
      <c r="F697" s="196">
        <v>1997</v>
      </c>
      <c r="G697" s="196"/>
      <c r="H697" s="196" t="s">
        <v>1878</v>
      </c>
      <c r="I697" s="141" t="s">
        <v>1879</v>
      </c>
      <c r="J697" s="196" t="s">
        <v>4043</v>
      </c>
      <c r="K697" s="196" t="s">
        <v>1881</v>
      </c>
      <c r="L697" s="141" t="s">
        <v>4044</v>
      </c>
      <c r="M697" s="196">
        <v>160</v>
      </c>
      <c r="N697" s="196"/>
      <c r="O697" s="196" t="s">
        <v>3925</v>
      </c>
      <c r="P697" s="144">
        <v>276</v>
      </c>
      <c r="Q697" s="145">
        <f t="shared" si="44"/>
        <v>1.9315</v>
      </c>
      <c r="R697" s="203">
        <v>0.45</v>
      </c>
      <c r="S697" s="203"/>
      <c r="T697" s="151"/>
      <c r="U697" s="151">
        <v>1.2</v>
      </c>
      <c r="V697" s="151">
        <v>0.25</v>
      </c>
      <c r="W697" s="151">
        <f t="shared" si="45"/>
        <v>0.45</v>
      </c>
      <c r="X697" s="152">
        <f t="shared" si="43"/>
        <v>3.15E-2</v>
      </c>
      <c r="Y697" s="152"/>
      <c r="Z697" s="148"/>
      <c r="AA697" s="153"/>
      <c r="AB697" s="153"/>
      <c r="AC697" s="153"/>
      <c r="AD697" s="153"/>
      <c r="AH697" s="147"/>
    </row>
    <row r="698" spans="1:34" s="146" customFormat="1" x14ac:dyDescent="0.25">
      <c r="A698" s="196">
        <v>766</v>
      </c>
      <c r="B698" s="196" t="s">
        <v>4045</v>
      </c>
      <c r="C698" s="196" t="s">
        <v>4046</v>
      </c>
      <c r="D698" s="196" t="s">
        <v>4047</v>
      </c>
      <c r="E698" s="196" t="s">
        <v>1913</v>
      </c>
      <c r="F698" s="196">
        <v>1996</v>
      </c>
      <c r="G698" s="196"/>
      <c r="H698" s="196" t="s">
        <v>1878</v>
      </c>
      <c r="I698" s="141" t="s">
        <v>1879</v>
      </c>
      <c r="J698" s="196" t="s">
        <v>4043</v>
      </c>
      <c r="K698" s="196" t="s">
        <v>1881</v>
      </c>
      <c r="L698" s="141" t="s">
        <v>4048</v>
      </c>
      <c r="M698" s="196">
        <v>224</v>
      </c>
      <c r="N698" s="196"/>
      <c r="O698" s="196" t="s">
        <v>4007</v>
      </c>
      <c r="P698" s="144">
        <v>457</v>
      </c>
      <c r="Q698" s="145">
        <f t="shared" si="44"/>
        <v>1.7175</v>
      </c>
      <c r="R698" s="203">
        <v>0.25</v>
      </c>
      <c r="S698" s="203"/>
      <c r="T698" s="151"/>
      <c r="U698" s="151">
        <v>1.2</v>
      </c>
      <c r="V698" s="151">
        <v>0.25</v>
      </c>
      <c r="W698" s="151">
        <f t="shared" si="45"/>
        <v>0.25</v>
      </c>
      <c r="X698" s="152">
        <f t="shared" si="43"/>
        <v>1.7500000000000002E-2</v>
      </c>
      <c r="Y698" s="152"/>
      <c r="Z698" s="148"/>
      <c r="AA698" s="153"/>
      <c r="AB698" s="153"/>
      <c r="AC698" s="153"/>
      <c r="AD698" s="153"/>
      <c r="AH698" s="147"/>
    </row>
    <row r="699" spans="1:34" s="146" customFormat="1" x14ac:dyDescent="0.25">
      <c r="A699" s="196">
        <v>796</v>
      </c>
      <c r="B699" s="196" t="s">
        <v>4049</v>
      </c>
      <c r="C699" s="196" t="s">
        <v>4050</v>
      </c>
      <c r="D699" s="196" t="s">
        <v>1876</v>
      </c>
      <c r="E699" s="196" t="s">
        <v>1877</v>
      </c>
      <c r="F699" s="196">
        <v>1992</v>
      </c>
      <c r="G699" s="196"/>
      <c r="H699" s="196" t="s">
        <v>1878</v>
      </c>
      <c r="I699" s="141" t="s">
        <v>1879</v>
      </c>
      <c r="J699" s="196" t="s">
        <v>4036</v>
      </c>
      <c r="K699" s="196" t="s">
        <v>1881</v>
      </c>
      <c r="L699" s="141" t="s">
        <v>4051</v>
      </c>
      <c r="M699" s="196">
        <v>336</v>
      </c>
      <c r="N699" s="196"/>
      <c r="O699" s="196" t="s">
        <v>4008</v>
      </c>
      <c r="P699" s="144">
        <v>201</v>
      </c>
      <c r="Q699" s="145">
        <f t="shared" si="44"/>
        <v>1.7175</v>
      </c>
      <c r="R699" s="203">
        <v>0.25</v>
      </c>
      <c r="S699" s="203"/>
      <c r="T699" s="151"/>
      <c r="U699" s="151">
        <v>1.2</v>
      </c>
      <c r="V699" s="151">
        <v>0.25</v>
      </c>
      <c r="W699" s="151">
        <f t="shared" si="45"/>
        <v>0.25</v>
      </c>
      <c r="X699" s="152">
        <f t="shared" si="43"/>
        <v>1.7500000000000002E-2</v>
      </c>
      <c r="Y699" s="152"/>
      <c r="Z699" s="148"/>
      <c r="AA699" s="153"/>
      <c r="AB699" s="153"/>
      <c r="AC699" s="153"/>
      <c r="AD699" s="153"/>
      <c r="AH699" s="147"/>
    </row>
    <row r="700" spans="1:34" s="146" customFormat="1" x14ac:dyDescent="0.25">
      <c r="A700" s="196">
        <v>1348</v>
      </c>
      <c r="B700" s="196" t="s">
        <v>4052</v>
      </c>
      <c r="C700" s="196" t="s">
        <v>4053</v>
      </c>
      <c r="D700" s="196" t="s">
        <v>2300</v>
      </c>
      <c r="E700" s="196" t="s">
        <v>4054</v>
      </c>
      <c r="F700" s="196">
        <v>1973</v>
      </c>
      <c r="G700" s="196"/>
      <c r="H700" s="196" t="s">
        <v>2008</v>
      </c>
      <c r="I700" s="141" t="s">
        <v>1879</v>
      </c>
      <c r="J700" s="196" t="s">
        <v>3006</v>
      </c>
      <c r="K700" s="196" t="s">
        <v>1881</v>
      </c>
      <c r="L700" s="141"/>
      <c r="M700" s="196">
        <v>190</v>
      </c>
      <c r="N700" s="196"/>
      <c r="O700" s="196" t="s">
        <v>4009</v>
      </c>
      <c r="P700" s="144">
        <v>139</v>
      </c>
      <c r="Q700" s="145">
        <f t="shared" si="44"/>
        <v>1.7175</v>
      </c>
      <c r="R700" s="203">
        <v>0.25</v>
      </c>
      <c r="S700" s="203"/>
      <c r="T700" s="151"/>
      <c r="U700" s="151">
        <v>1.2</v>
      </c>
      <c r="V700" s="151">
        <v>0.25</v>
      </c>
      <c r="W700" s="151">
        <f t="shared" si="45"/>
        <v>0.25</v>
      </c>
      <c r="X700" s="152">
        <f t="shared" si="43"/>
        <v>1.7500000000000002E-2</v>
      </c>
      <c r="Y700" s="152"/>
      <c r="Z700" s="148"/>
      <c r="AA700" s="153"/>
      <c r="AB700" s="153"/>
      <c r="AC700" s="153"/>
      <c r="AD700" s="153"/>
      <c r="AH700" s="147"/>
    </row>
    <row r="701" spans="1:34" s="146" customFormat="1" x14ac:dyDescent="0.25">
      <c r="A701" s="196">
        <v>692</v>
      </c>
      <c r="B701" s="196" t="s">
        <v>4055</v>
      </c>
      <c r="C701" s="196" t="s">
        <v>4056</v>
      </c>
      <c r="D701" s="196" t="s">
        <v>2609</v>
      </c>
      <c r="E701" s="196" t="s">
        <v>4057</v>
      </c>
      <c r="F701" s="196">
        <v>2004</v>
      </c>
      <c r="G701" s="196"/>
      <c r="H701" s="196" t="s">
        <v>1878</v>
      </c>
      <c r="I701" s="141" t="s">
        <v>1879</v>
      </c>
      <c r="J701" s="196" t="s">
        <v>3006</v>
      </c>
      <c r="K701" s="196" t="s">
        <v>1881</v>
      </c>
      <c r="L701" s="141" t="s">
        <v>4058</v>
      </c>
      <c r="M701" s="196">
        <v>256</v>
      </c>
      <c r="N701" s="196"/>
      <c r="O701" s="196" t="s">
        <v>4010</v>
      </c>
      <c r="P701" s="144">
        <v>228</v>
      </c>
      <c r="Q701" s="145">
        <f t="shared" si="44"/>
        <v>2.0813000000000001</v>
      </c>
      <c r="R701" s="203">
        <v>0.59</v>
      </c>
      <c r="S701" s="203"/>
      <c r="T701" s="151"/>
      <c r="U701" s="151">
        <v>1.2</v>
      </c>
      <c r="V701" s="151">
        <v>0.25</v>
      </c>
      <c r="W701" s="151">
        <f t="shared" si="45"/>
        <v>0.59</v>
      </c>
      <c r="X701" s="152">
        <f t="shared" si="43"/>
        <v>4.1299999999999996E-2</v>
      </c>
      <c r="Y701" s="152"/>
      <c r="Z701" s="148"/>
      <c r="AA701" s="153"/>
      <c r="AB701" s="153"/>
      <c r="AC701" s="153"/>
      <c r="AD701" s="153"/>
      <c r="AH701" s="147"/>
    </row>
    <row r="702" spans="1:34" s="146" customFormat="1" x14ac:dyDescent="0.25">
      <c r="A702" s="196">
        <v>632</v>
      </c>
      <c r="B702" s="196" t="s">
        <v>4062</v>
      </c>
      <c r="C702" s="196" t="s">
        <v>4063</v>
      </c>
      <c r="D702" s="196" t="s">
        <v>2609</v>
      </c>
      <c r="E702" s="196"/>
      <c r="F702" s="196">
        <v>2006</v>
      </c>
      <c r="G702" s="196"/>
      <c r="H702" s="196" t="s">
        <v>1878</v>
      </c>
      <c r="I702" s="141" t="s">
        <v>1879</v>
      </c>
      <c r="J702" s="196" t="s">
        <v>3006</v>
      </c>
      <c r="K702" s="196" t="s">
        <v>1881</v>
      </c>
      <c r="L702" s="141" t="s">
        <v>4064</v>
      </c>
      <c r="M702" s="196">
        <v>432</v>
      </c>
      <c r="N702" s="196"/>
      <c r="O702" s="196" t="s">
        <v>4012</v>
      </c>
      <c r="P702" s="144">
        <v>325</v>
      </c>
      <c r="Q702" s="145">
        <f t="shared" si="44"/>
        <v>3.9003000000000001</v>
      </c>
      <c r="R702" s="203">
        <v>2.29</v>
      </c>
      <c r="S702" s="203"/>
      <c r="T702" s="151"/>
      <c r="U702" s="151">
        <v>1.2</v>
      </c>
      <c r="V702" s="151">
        <v>0.25</v>
      </c>
      <c r="W702" s="151">
        <f t="shared" si="45"/>
        <v>2.29</v>
      </c>
      <c r="X702" s="152">
        <f t="shared" si="43"/>
        <v>0.1603</v>
      </c>
      <c r="Y702" s="152"/>
      <c r="Z702" s="148"/>
      <c r="AA702" s="153"/>
      <c r="AB702" s="153"/>
      <c r="AC702" s="153"/>
      <c r="AD702" s="153"/>
      <c r="AH702" s="147"/>
    </row>
    <row r="703" spans="1:34" s="146" customFormat="1" x14ac:dyDescent="0.25">
      <c r="A703" s="196">
        <v>2521</v>
      </c>
      <c r="B703" s="196" t="s">
        <v>4065</v>
      </c>
      <c r="C703" s="196" t="s">
        <v>4066</v>
      </c>
      <c r="D703" s="196" t="s">
        <v>2209</v>
      </c>
      <c r="E703" s="196" t="s">
        <v>1899</v>
      </c>
      <c r="F703" s="196">
        <v>2003</v>
      </c>
      <c r="G703" s="196"/>
      <c r="H703" s="196" t="s">
        <v>1878</v>
      </c>
      <c r="I703" s="141" t="s">
        <v>1879</v>
      </c>
      <c r="J703" s="196" t="s">
        <v>3006</v>
      </c>
      <c r="K703" s="196" t="s">
        <v>1881</v>
      </c>
      <c r="L703" s="141" t="s">
        <v>4067</v>
      </c>
      <c r="M703" s="196">
        <v>400</v>
      </c>
      <c r="N703" s="196"/>
      <c r="O703" s="196" t="s">
        <v>4013</v>
      </c>
      <c r="P703" s="144">
        <v>360</v>
      </c>
      <c r="Q703" s="145">
        <f t="shared" si="44"/>
        <v>6.2543000000000006</v>
      </c>
      <c r="R703" s="203">
        <v>4.49</v>
      </c>
      <c r="S703" s="203"/>
      <c r="T703" s="151"/>
      <c r="U703" s="151">
        <v>1.2</v>
      </c>
      <c r="V703" s="151">
        <v>0.25</v>
      </c>
      <c r="W703" s="151">
        <f t="shared" si="45"/>
        <v>4.49</v>
      </c>
      <c r="X703" s="152">
        <f t="shared" si="43"/>
        <v>0.31430000000000002</v>
      </c>
      <c r="Y703" s="152"/>
      <c r="Z703" s="148"/>
      <c r="AA703" s="153"/>
      <c r="AB703" s="153"/>
      <c r="AC703" s="153"/>
      <c r="AD703" s="153"/>
      <c r="AH703" s="147"/>
    </row>
    <row r="704" spans="1:34" s="146" customFormat="1" x14ac:dyDescent="0.25">
      <c r="A704" s="196">
        <v>2550</v>
      </c>
      <c r="B704" s="196" t="s">
        <v>4068</v>
      </c>
      <c r="C704" s="196" t="s">
        <v>4069</v>
      </c>
      <c r="D704" s="196" t="s">
        <v>2609</v>
      </c>
      <c r="E704" s="196"/>
      <c r="F704" s="196">
        <v>2004</v>
      </c>
      <c r="G704" s="196"/>
      <c r="H704" s="196" t="s">
        <v>1878</v>
      </c>
      <c r="I704" s="141" t="s">
        <v>1879</v>
      </c>
      <c r="J704" s="196" t="s">
        <v>3653</v>
      </c>
      <c r="K704" s="196" t="s">
        <v>1881</v>
      </c>
      <c r="L704" s="141" t="s">
        <v>4070</v>
      </c>
      <c r="M704" s="196">
        <v>416</v>
      </c>
      <c r="N704" s="196"/>
      <c r="O704" s="196" t="s">
        <v>4014</v>
      </c>
      <c r="P704" s="144">
        <v>364</v>
      </c>
      <c r="Q704" s="145">
        <f t="shared" si="44"/>
        <v>1.9742999999999999</v>
      </c>
      <c r="R704" s="203">
        <v>0.49</v>
      </c>
      <c r="S704" s="203"/>
      <c r="T704" s="151"/>
      <c r="U704" s="151">
        <v>1.2</v>
      </c>
      <c r="V704" s="151">
        <v>0.25</v>
      </c>
      <c r="W704" s="151">
        <f t="shared" si="45"/>
        <v>0.49</v>
      </c>
      <c r="X704" s="152">
        <f t="shared" si="43"/>
        <v>3.4299999999999997E-2</v>
      </c>
      <c r="Y704" s="152"/>
      <c r="Z704" s="148"/>
      <c r="AA704" s="153"/>
      <c r="AB704" s="153"/>
      <c r="AC704" s="153"/>
      <c r="AD704" s="153"/>
      <c r="AH704" s="147"/>
    </row>
    <row r="705" spans="1:34" s="146" customFormat="1" x14ac:dyDescent="0.25">
      <c r="A705" s="196">
        <v>972</v>
      </c>
      <c r="B705" s="196" t="s">
        <v>4071</v>
      </c>
      <c r="C705" s="196" t="s">
        <v>4072</v>
      </c>
      <c r="D705" s="196"/>
      <c r="E705" s="196"/>
      <c r="F705" s="196">
        <v>2006</v>
      </c>
      <c r="G705" s="196"/>
      <c r="H705" s="196" t="s">
        <v>1878</v>
      </c>
      <c r="I705" s="141" t="s">
        <v>1914</v>
      </c>
      <c r="J705" s="196" t="s">
        <v>4036</v>
      </c>
      <c r="K705" s="196" t="s">
        <v>1881</v>
      </c>
      <c r="L705" s="141" t="s">
        <v>4073</v>
      </c>
      <c r="M705" s="196">
        <v>664</v>
      </c>
      <c r="N705" s="196"/>
      <c r="O705" s="196" t="s">
        <v>4015</v>
      </c>
      <c r="P705" s="144">
        <v>350</v>
      </c>
      <c r="Q705" s="145">
        <f t="shared" si="44"/>
        <v>2.5093000000000001</v>
      </c>
      <c r="R705" s="203">
        <v>0.99</v>
      </c>
      <c r="S705" s="203"/>
      <c r="T705" s="151"/>
      <c r="U705" s="151">
        <v>1.2</v>
      </c>
      <c r="V705" s="151">
        <v>0.25</v>
      </c>
      <c r="W705" s="151">
        <f t="shared" si="45"/>
        <v>0.99</v>
      </c>
      <c r="X705" s="152">
        <f t="shared" si="43"/>
        <v>6.93E-2</v>
      </c>
      <c r="Y705" s="152"/>
      <c r="Z705" s="148"/>
      <c r="AA705" s="153"/>
      <c r="AB705" s="153"/>
      <c r="AC705" s="153"/>
      <c r="AD705" s="153"/>
      <c r="AH705" s="147"/>
    </row>
    <row r="706" spans="1:34" s="146" customFormat="1" x14ac:dyDescent="0.25">
      <c r="A706" s="196">
        <v>1231</v>
      </c>
      <c r="B706" s="196" t="s">
        <v>4074</v>
      </c>
      <c r="C706" s="196" t="s">
        <v>4075</v>
      </c>
      <c r="D706" s="196" t="s">
        <v>1998</v>
      </c>
      <c r="E706" s="196" t="s">
        <v>1877</v>
      </c>
      <c r="F706" s="196">
        <v>2013</v>
      </c>
      <c r="G706" s="196"/>
      <c r="H706" s="196" t="s">
        <v>2734</v>
      </c>
      <c r="I706" s="141" t="s">
        <v>1879</v>
      </c>
      <c r="J706" s="196" t="s">
        <v>4076</v>
      </c>
      <c r="K706" s="196" t="s">
        <v>1881</v>
      </c>
      <c r="L706" s="141" t="s">
        <v>4077</v>
      </c>
      <c r="M706" s="196">
        <v>434</v>
      </c>
      <c r="N706" s="196"/>
      <c r="O706" s="196" t="s">
        <v>4016</v>
      </c>
      <c r="P706" s="144">
        <v>507</v>
      </c>
      <c r="Q706" s="145">
        <f t="shared" si="44"/>
        <v>3.6513</v>
      </c>
      <c r="R706" s="203">
        <v>1.59</v>
      </c>
      <c r="S706" s="203"/>
      <c r="T706" s="151"/>
      <c r="U706" s="151">
        <v>1.7</v>
      </c>
      <c r="V706" s="151">
        <v>0.25</v>
      </c>
      <c r="W706" s="151">
        <f t="shared" si="45"/>
        <v>1.59</v>
      </c>
      <c r="X706" s="152">
        <f t="shared" si="43"/>
        <v>0.11130000000000001</v>
      </c>
      <c r="Y706" s="152"/>
      <c r="Z706" s="148"/>
      <c r="AA706" s="153"/>
      <c r="AB706" s="153"/>
      <c r="AC706" s="153"/>
      <c r="AD706" s="153"/>
      <c r="AH706" s="147"/>
    </row>
    <row r="707" spans="1:34" s="146" customFormat="1" x14ac:dyDescent="0.25">
      <c r="A707" s="196">
        <v>632</v>
      </c>
      <c r="B707" s="196" t="s">
        <v>4078</v>
      </c>
      <c r="C707" s="196" t="s">
        <v>4079</v>
      </c>
      <c r="D707" s="196" t="s">
        <v>1920</v>
      </c>
      <c r="E707" s="196"/>
      <c r="F707" s="196">
        <v>2005</v>
      </c>
      <c r="G707" s="196"/>
      <c r="H707" s="196" t="s">
        <v>1878</v>
      </c>
      <c r="I707" s="141" t="s">
        <v>1879</v>
      </c>
      <c r="J707" s="196" t="s">
        <v>3649</v>
      </c>
      <c r="K707" s="196" t="s">
        <v>1881</v>
      </c>
      <c r="L707" s="141" t="s">
        <v>4080</v>
      </c>
      <c r="M707" s="196">
        <v>464</v>
      </c>
      <c r="N707" s="196"/>
      <c r="O707" s="196" t="s">
        <v>4017</v>
      </c>
      <c r="P707" s="144">
        <v>446</v>
      </c>
      <c r="Q707" s="145">
        <f t="shared" si="44"/>
        <v>1.8994</v>
      </c>
      <c r="R707" s="203">
        <v>0.42</v>
      </c>
      <c r="S707" s="203"/>
      <c r="T707" s="151"/>
      <c r="U707" s="151">
        <v>1.2</v>
      </c>
      <c r="V707" s="151">
        <v>0.25</v>
      </c>
      <c r="W707" s="151">
        <f t="shared" si="45"/>
        <v>0.42</v>
      </c>
      <c r="X707" s="152">
        <f t="shared" si="43"/>
        <v>2.9399999999999999E-2</v>
      </c>
      <c r="Y707" s="152"/>
      <c r="Z707" s="148"/>
      <c r="AA707" s="153"/>
      <c r="AB707" s="153"/>
      <c r="AC707" s="153"/>
      <c r="AD707" s="153"/>
      <c r="AH707" s="147"/>
    </row>
    <row r="708" spans="1:34" s="146" customFormat="1" x14ac:dyDescent="0.25">
      <c r="A708" s="196">
        <v>1386</v>
      </c>
      <c r="B708" s="196" t="s">
        <v>4081</v>
      </c>
      <c r="C708" s="196" t="s">
        <v>4082</v>
      </c>
      <c r="D708" s="196" t="s">
        <v>1988</v>
      </c>
      <c r="E708" s="196"/>
      <c r="F708" s="196">
        <v>2011</v>
      </c>
      <c r="G708" s="196"/>
      <c r="H708" s="196" t="s">
        <v>1878</v>
      </c>
      <c r="I708" s="141" t="s">
        <v>1879</v>
      </c>
      <c r="J708" s="196" t="s">
        <v>3649</v>
      </c>
      <c r="K708" s="196" t="s">
        <v>1881</v>
      </c>
      <c r="L708" s="141" t="s">
        <v>4083</v>
      </c>
      <c r="M708" s="196">
        <v>448</v>
      </c>
      <c r="N708" s="196"/>
      <c r="O708" s="196" t="s">
        <v>4018</v>
      </c>
      <c r="P708" s="144">
        <v>466</v>
      </c>
      <c r="Q708" s="145">
        <f t="shared" si="44"/>
        <v>2.6162999999999998</v>
      </c>
      <c r="R708" s="203">
        <v>1.0900000000000001</v>
      </c>
      <c r="S708" s="203"/>
      <c r="T708" s="151"/>
      <c r="U708" s="151">
        <v>1.2</v>
      </c>
      <c r="V708" s="151">
        <v>0.25</v>
      </c>
      <c r="W708" s="151">
        <f t="shared" si="45"/>
        <v>1.0900000000000001</v>
      </c>
      <c r="X708" s="152">
        <f t="shared" si="43"/>
        <v>7.6300000000000007E-2</v>
      </c>
      <c r="Y708" s="152"/>
      <c r="Z708" s="148"/>
      <c r="AA708" s="153"/>
      <c r="AB708" s="153"/>
      <c r="AC708" s="153"/>
      <c r="AD708" s="153"/>
      <c r="AH708" s="147"/>
    </row>
    <row r="709" spans="1:34" s="146" customFormat="1" x14ac:dyDescent="0.25">
      <c r="A709" s="196">
        <v>2554</v>
      </c>
      <c r="B709" s="196" t="s">
        <v>4084</v>
      </c>
      <c r="C709" s="196" t="s">
        <v>4085</v>
      </c>
      <c r="D709" s="196" t="s">
        <v>2209</v>
      </c>
      <c r="E709" s="196"/>
      <c r="F709" s="196">
        <v>2016</v>
      </c>
      <c r="G709" s="196"/>
      <c r="H709" s="196" t="s">
        <v>1878</v>
      </c>
      <c r="I709" s="141" t="s">
        <v>1879</v>
      </c>
      <c r="J709" s="196" t="s">
        <v>2237</v>
      </c>
      <c r="K709" s="196" t="s">
        <v>1881</v>
      </c>
      <c r="L709" s="141" t="s">
        <v>4086</v>
      </c>
      <c r="M709" s="196">
        <v>384</v>
      </c>
      <c r="N709" s="196"/>
      <c r="O709" s="196" t="s">
        <v>4019</v>
      </c>
      <c r="P709" s="144">
        <v>331</v>
      </c>
      <c r="Q709" s="145">
        <f t="shared" si="44"/>
        <v>3.0442999999999998</v>
      </c>
      <c r="R709" s="203">
        <v>1.49</v>
      </c>
      <c r="S709" s="203"/>
      <c r="T709" s="151"/>
      <c r="U709" s="151">
        <v>1.2</v>
      </c>
      <c r="V709" s="151">
        <v>0.25</v>
      </c>
      <c r="W709" s="151">
        <f t="shared" si="45"/>
        <v>1.49</v>
      </c>
      <c r="X709" s="152">
        <f t="shared" si="43"/>
        <v>0.1043</v>
      </c>
      <c r="Y709" s="152"/>
      <c r="Z709" s="148"/>
      <c r="AA709" s="153"/>
      <c r="AB709" s="153"/>
      <c r="AC709" s="153"/>
      <c r="AD709" s="153"/>
      <c r="AH709" s="147"/>
    </row>
    <row r="710" spans="1:34" s="146" customFormat="1" x14ac:dyDescent="0.25">
      <c r="A710" s="196">
        <v>2948</v>
      </c>
      <c r="B710" s="196" t="s">
        <v>4087</v>
      </c>
      <c r="C710" s="196" t="s">
        <v>4088</v>
      </c>
      <c r="D710" s="196" t="s">
        <v>2209</v>
      </c>
      <c r="E710" s="196"/>
      <c r="F710" s="196">
        <v>2007</v>
      </c>
      <c r="G710" s="196"/>
      <c r="H710" s="196" t="s">
        <v>1878</v>
      </c>
      <c r="I710" s="141" t="s">
        <v>1879</v>
      </c>
      <c r="J710" s="143" t="s">
        <v>4089</v>
      </c>
      <c r="K710" s="196" t="s">
        <v>1881</v>
      </c>
      <c r="L710" s="141" t="s">
        <v>4090</v>
      </c>
      <c r="M710" s="196">
        <v>304</v>
      </c>
      <c r="N710" s="196"/>
      <c r="O710" s="196" t="s">
        <v>4020</v>
      </c>
      <c r="P710" s="144">
        <v>258</v>
      </c>
      <c r="Q710" s="145">
        <f t="shared" si="44"/>
        <v>2.5093000000000001</v>
      </c>
      <c r="R710" s="203">
        <v>0.99</v>
      </c>
      <c r="S710" s="203"/>
      <c r="T710" s="151"/>
      <c r="U710" s="151">
        <v>1.2</v>
      </c>
      <c r="V710" s="151">
        <v>0.25</v>
      </c>
      <c r="W710" s="151">
        <f t="shared" si="45"/>
        <v>0.99</v>
      </c>
      <c r="X710" s="152">
        <f t="shared" si="43"/>
        <v>6.93E-2</v>
      </c>
      <c r="Y710" s="152"/>
      <c r="Z710" s="148"/>
      <c r="AA710" s="153"/>
      <c r="AB710" s="153"/>
      <c r="AC710" s="153"/>
      <c r="AD710" s="153"/>
      <c r="AH710" s="147"/>
    </row>
    <row r="711" spans="1:34" s="146" customFormat="1" x14ac:dyDescent="0.25">
      <c r="A711" s="196">
        <v>2518</v>
      </c>
      <c r="B711" s="196" t="s">
        <v>4091</v>
      </c>
      <c r="C711" s="196" t="s">
        <v>4092</v>
      </c>
      <c r="D711" s="196" t="s">
        <v>2054</v>
      </c>
      <c r="E711" s="196" t="s">
        <v>2094</v>
      </c>
      <c r="F711" s="196">
        <v>2007</v>
      </c>
      <c r="G711" s="196"/>
      <c r="H711" s="196" t="s">
        <v>2734</v>
      </c>
      <c r="I711" s="141" t="s">
        <v>1879</v>
      </c>
      <c r="J711" s="196" t="s">
        <v>3653</v>
      </c>
      <c r="K711" s="196" t="s">
        <v>1881</v>
      </c>
      <c r="L711" s="141" t="s">
        <v>4093</v>
      </c>
      <c r="M711" s="196">
        <v>330</v>
      </c>
      <c r="N711" s="196"/>
      <c r="O711" s="196" t="s">
        <v>4021</v>
      </c>
      <c r="P711" s="144">
        <v>407</v>
      </c>
      <c r="Q711" s="145">
        <f t="shared" si="44"/>
        <v>2.4022999999999999</v>
      </c>
      <c r="R711" s="203">
        <v>0.89</v>
      </c>
      <c r="S711" s="203"/>
      <c r="T711" s="151"/>
      <c r="U711" s="151">
        <v>1.2</v>
      </c>
      <c r="V711" s="151">
        <v>0.25</v>
      </c>
      <c r="W711" s="151">
        <f t="shared" si="45"/>
        <v>0.89</v>
      </c>
      <c r="X711" s="152">
        <f t="shared" si="43"/>
        <v>6.2300000000000001E-2</v>
      </c>
      <c r="Y711" s="152"/>
      <c r="Z711" s="148"/>
      <c r="AA711" s="153"/>
      <c r="AB711" s="153"/>
      <c r="AC711" s="153"/>
      <c r="AD711" s="153"/>
      <c r="AH711" s="147"/>
    </row>
    <row r="712" spans="1:34" s="146" customFormat="1" x14ac:dyDescent="0.25">
      <c r="A712" s="196">
        <v>632</v>
      </c>
      <c r="B712" s="196" t="s">
        <v>4094</v>
      </c>
      <c r="C712" s="196" t="s">
        <v>4095</v>
      </c>
      <c r="D712" s="196" t="s">
        <v>1920</v>
      </c>
      <c r="E712" s="196"/>
      <c r="F712" s="196">
        <v>2011</v>
      </c>
      <c r="G712" s="196"/>
      <c r="H712" s="196" t="s">
        <v>1878</v>
      </c>
      <c r="I712" s="141" t="s">
        <v>1879</v>
      </c>
      <c r="J712" s="143" t="s">
        <v>4089</v>
      </c>
      <c r="K712" s="196" t="s">
        <v>1881</v>
      </c>
      <c r="L712" s="141" t="s">
        <v>4096</v>
      </c>
      <c r="M712" s="196">
        <v>720</v>
      </c>
      <c r="N712" s="196"/>
      <c r="O712" s="196" t="s">
        <v>4022</v>
      </c>
      <c r="P712" s="144">
        <v>516</v>
      </c>
      <c r="Q712" s="145">
        <f t="shared" si="44"/>
        <v>3.0093000000000001</v>
      </c>
      <c r="R712" s="203">
        <v>0.99</v>
      </c>
      <c r="S712" s="203"/>
      <c r="T712" s="151"/>
      <c r="U712" s="151">
        <v>1.7</v>
      </c>
      <c r="V712" s="151">
        <v>0.25</v>
      </c>
      <c r="W712" s="151">
        <f t="shared" si="45"/>
        <v>0.99</v>
      </c>
      <c r="X712" s="152">
        <f t="shared" si="43"/>
        <v>6.93E-2</v>
      </c>
      <c r="Y712" s="152"/>
      <c r="Z712" s="148"/>
      <c r="AA712" s="153"/>
      <c r="AB712" s="153"/>
      <c r="AC712" s="153"/>
      <c r="AD712" s="153"/>
      <c r="AH712" s="147"/>
    </row>
    <row r="713" spans="1:34" s="146" customFormat="1" x14ac:dyDescent="0.25">
      <c r="A713" s="196">
        <v>2002</v>
      </c>
      <c r="B713" s="196" t="s">
        <v>4004</v>
      </c>
      <c r="C713" s="196" t="s">
        <v>4097</v>
      </c>
      <c r="D713" s="196" t="s">
        <v>2209</v>
      </c>
      <c r="E713" s="196" t="s">
        <v>2032</v>
      </c>
      <c r="F713" s="196">
        <v>1994</v>
      </c>
      <c r="G713" s="196"/>
      <c r="H713" s="196" t="s">
        <v>1878</v>
      </c>
      <c r="I713" s="141" t="s">
        <v>1914</v>
      </c>
      <c r="J713" s="196" t="s">
        <v>3649</v>
      </c>
      <c r="K713" s="196" t="s">
        <v>1881</v>
      </c>
      <c r="L713" s="141" t="s">
        <v>4098</v>
      </c>
      <c r="M713" s="196">
        <v>444</v>
      </c>
      <c r="N713" s="196"/>
      <c r="O713" s="196" t="s">
        <v>4023</v>
      </c>
      <c r="P713" s="144">
        <v>358</v>
      </c>
      <c r="Q713" s="145">
        <f t="shared" si="44"/>
        <v>3.3653000000000004</v>
      </c>
      <c r="R713" s="203">
        <v>1.79</v>
      </c>
      <c r="S713" s="203"/>
      <c r="T713" s="151"/>
      <c r="U713" s="151">
        <v>1.2</v>
      </c>
      <c r="V713" s="151">
        <v>0.25</v>
      </c>
      <c r="W713" s="151">
        <f t="shared" si="45"/>
        <v>1.79</v>
      </c>
      <c r="X713" s="152">
        <f t="shared" si="43"/>
        <v>0.12529999999999999</v>
      </c>
      <c r="Y713" s="152"/>
      <c r="Z713" s="148"/>
      <c r="AA713" s="153"/>
      <c r="AB713" s="153"/>
      <c r="AC713" s="153"/>
      <c r="AD713" s="153"/>
      <c r="AH713" s="147"/>
    </row>
    <row r="714" spans="1:34" s="146" customFormat="1" x14ac:dyDescent="0.25">
      <c r="A714" s="196">
        <v>631</v>
      </c>
      <c r="B714" s="196" t="s">
        <v>4101</v>
      </c>
      <c r="C714" s="196" t="s">
        <v>4102</v>
      </c>
      <c r="D714" s="196" t="s">
        <v>2209</v>
      </c>
      <c r="E714" s="196" t="s">
        <v>1899</v>
      </c>
      <c r="F714" s="196">
        <v>2013</v>
      </c>
      <c r="G714" s="196"/>
      <c r="H714" s="196" t="s">
        <v>1878</v>
      </c>
      <c r="I714" s="141" t="s">
        <v>1914</v>
      </c>
      <c r="J714" s="196" t="s">
        <v>3653</v>
      </c>
      <c r="K714" s="196" t="s">
        <v>1881</v>
      </c>
      <c r="L714" s="141" t="s">
        <v>4103</v>
      </c>
      <c r="M714" s="196">
        <v>480</v>
      </c>
      <c r="N714" s="196"/>
      <c r="O714" s="196" t="s">
        <v>4025</v>
      </c>
      <c r="P714" s="144">
        <v>429</v>
      </c>
      <c r="Q714" s="145">
        <f t="shared" si="44"/>
        <v>2.6162999999999998</v>
      </c>
      <c r="R714" s="203">
        <v>1.0900000000000001</v>
      </c>
      <c r="S714" s="203"/>
      <c r="T714" s="151"/>
      <c r="U714" s="151">
        <v>1.2</v>
      </c>
      <c r="V714" s="151">
        <v>0.25</v>
      </c>
      <c r="W714" s="151">
        <f t="shared" si="45"/>
        <v>1.0900000000000001</v>
      </c>
      <c r="X714" s="152">
        <f t="shared" si="43"/>
        <v>7.6300000000000007E-2</v>
      </c>
      <c r="Y714" s="152"/>
      <c r="Z714" s="148"/>
      <c r="AA714" s="153"/>
      <c r="AB714" s="153"/>
      <c r="AC714" s="153"/>
      <c r="AD714" s="153"/>
      <c r="AH714" s="147"/>
    </row>
    <row r="715" spans="1:34" s="146" customFormat="1" x14ac:dyDescent="0.25">
      <c r="A715" s="196">
        <v>689</v>
      </c>
      <c r="B715" s="196" t="s">
        <v>4105</v>
      </c>
      <c r="C715" s="196" t="s">
        <v>4106</v>
      </c>
      <c r="D715" s="196" t="s">
        <v>2209</v>
      </c>
      <c r="E715" s="196" t="s">
        <v>1899</v>
      </c>
      <c r="F715" s="196">
        <v>2009</v>
      </c>
      <c r="G715" s="196"/>
      <c r="H715" s="196" t="s">
        <v>1878</v>
      </c>
      <c r="I715" s="141" t="s">
        <v>1879</v>
      </c>
      <c r="J715" s="196" t="s">
        <v>4107</v>
      </c>
      <c r="K715" s="196" t="s">
        <v>1881</v>
      </c>
      <c r="L715" s="141" t="s">
        <v>4108</v>
      </c>
      <c r="M715" s="196">
        <v>528</v>
      </c>
      <c r="N715" s="196"/>
      <c r="O715" s="196" t="s">
        <v>4026</v>
      </c>
      <c r="P715" s="144">
        <v>417</v>
      </c>
      <c r="Q715" s="145">
        <f t="shared" si="44"/>
        <v>2.9373</v>
      </c>
      <c r="R715" s="203">
        <v>1.39</v>
      </c>
      <c r="S715" s="203"/>
      <c r="T715" s="151"/>
      <c r="U715" s="151">
        <v>1.2</v>
      </c>
      <c r="V715" s="151">
        <v>0.25</v>
      </c>
      <c r="W715" s="151">
        <f t="shared" si="45"/>
        <v>1.39</v>
      </c>
      <c r="X715" s="152">
        <f t="shared" si="43"/>
        <v>9.7299999999999998E-2</v>
      </c>
      <c r="Y715" s="152"/>
      <c r="Z715" s="148"/>
      <c r="AA715" s="153"/>
      <c r="AB715" s="153"/>
      <c r="AC715" s="153"/>
      <c r="AD715" s="153"/>
      <c r="AH715" s="147"/>
    </row>
    <row r="716" spans="1:34" s="146" customFormat="1" x14ac:dyDescent="0.25">
      <c r="A716" s="196">
        <v>632</v>
      </c>
      <c r="B716" s="196" t="s">
        <v>4109</v>
      </c>
      <c r="C716" s="196" t="s">
        <v>4110</v>
      </c>
      <c r="D716" s="196" t="s">
        <v>2609</v>
      </c>
      <c r="E716" s="196" t="s">
        <v>1877</v>
      </c>
      <c r="F716" s="196">
        <v>2001</v>
      </c>
      <c r="G716" s="196"/>
      <c r="H716" s="196" t="s">
        <v>1878</v>
      </c>
      <c r="I716" s="141" t="s">
        <v>1914</v>
      </c>
      <c r="J716" s="196" t="s">
        <v>4111</v>
      </c>
      <c r="K716" s="196" t="s">
        <v>1881</v>
      </c>
      <c r="L716" s="141" t="s">
        <v>4112</v>
      </c>
      <c r="M716" s="196">
        <v>576</v>
      </c>
      <c r="N716" s="196"/>
      <c r="O716" s="196" t="s">
        <v>4027</v>
      </c>
      <c r="P716" s="144">
        <v>503</v>
      </c>
      <c r="Q716" s="145">
        <f t="shared" si="44"/>
        <v>2.6882999999999995</v>
      </c>
      <c r="R716" s="203">
        <v>0.69</v>
      </c>
      <c r="S716" s="203"/>
      <c r="T716" s="151"/>
      <c r="U716" s="151">
        <v>1.7</v>
      </c>
      <c r="V716" s="151">
        <v>0.25</v>
      </c>
      <c r="W716" s="151">
        <f t="shared" si="45"/>
        <v>0.69</v>
      </c>
      <c r="X716" s="152">
        <f t="shared" si="43"/>
        <v>4.8299999999999996E-2</v>
      </c>
      <c r="Y716" s="152"/>
      <c r="Z716" s="148"/>
      <c r="AA716" s="153"/>
      <c r="AB716" s="153"/>
      <c r="AC716" s="153"/>
      <c r="AD716" s="153"/>
      <c r="AH716" s="147"/>
    </row>
    <row r="717" spans="1:34" s="146" customFormat="1" x14ac:dyDescent="0.25">
      <c r="A717" s="196">
        <v>2522</v>
      </c>
      <c r="B717" s="196" t="s">
        <v>3369</v>
      </c>
      <c r="C717" s="196" t="s">
        <v>4113</v>
      </c>
      <c r="D717" s="196" t="s">
        <v>2209</v>
      </c>
      <c r="E717" s="196"/>
      <c r="F717" s="196">
        <v>2012</v>
      </c>
      <c r="G717" s="196"/>
      <c r="H717" s="196" t="s">
        <v>1878</v>
      </c>
      <c r="I717" s="141" t="s">
        <v>1914</v>
      </c>
      <c r="J717" s="196"/>
      <c r="K717" s="196" t="s">
        <v>1881</v>
      </c>
      <c r="L717" s="141" t="s">
        <v>4114</v>
      </c>
      <c r="M717" s="196">
        <v>432</v>
      </c>
      <c r="N717" s="196"/>
      <c r="O717" s="196" t="s">
        <v>4028</v>
      </c>
      <c r="P717" s="144">
        <v>355</v>
      </c>
      <c r="Q717" s="145">
        <f t="shared" si="44"/>
        <v>2.4022999999999999</v>
      </c>
      <c r="R717" s="203">
        <v>0.89</v>
      </c>
      <c r="S717" s="203"/>
      <c r="T717" s="151"/>
      <c r="U717" s="151">
        <v>1.2</v>
      </c>
      <c r="V717" s="151">
        <v>0.25</v>
      </c>
      <c r="W717" s="151">
        <f t="shared" si="45"/>
        <v>0.89</v>
      </c>
      <c r="X717" s="152">
        <f t="shared" si="43"/>
        <v>6.2300000000000001E-2</v>
      </c>
      <c r="Y717" s="152"/>
      <c r="Z717" s="148"/>
      <c r="AA717" s="153"/>
      <c r="AB717" s="153"/>
      <c r="AC717" s="153"/>
      <c r="AD717" s="153"/>
      <c r="AH717" s="147"/>
    </row>
    <row r="718" spans="1:34" s="146" customFormat="1" x14ac:dyDescent="0.25">
      <c r="A718" s="196">
        <v>2668</v>
      </c>
      <c r="B718" s="196" t="s">
        <v>4115</v>
      </c>
      <c r="C718" s="196" t="s">
        <v>4116</v>
      </c>
      <c r="D718" s="196" t="s">
        <v>1993</v>
      </c>
      <c r="E718" s="196" t="s">
        <v>1877</v>
      </c>
      <c r="F718" s="196">
        <v>2005</v>
      </c>
      <c r="G718" s="196"/>
      <c r="H718" s="196" t="s">
        <v>1878</v>
      </c>
      <c r="I718" s="141" t="s">
        <v>1879</v>
      </c>
      <c r="J718" s="143" t="s">
        <v>3854</v>
      </c>
      <c r="K718" s="196" t="s">
        <v>1881</v>
      </c>
      <c r="L718" s="141" t="s">
        <v>4117</v>
      </c>
      <c r="M718" s="196">
        <v>560</v>
      </c>
      <c r="N718" s="196"/>
      <c r="O718" s="196" t="s">
        <v>4029</v>
      </c>
      <c r="P718" s="144">
        <v>432</v>
      </c>
      <c r="Q718" s="145">
        <f t="shared" si="44"/>
        <v>3.5150999999999999</v>
      </c>
      <c r="R718" s="203">
        <v>1.93</v>
      </c>
      <c r="S718" s="203"/>
      <c r="T718" s="151"/>
      <c r="U718" s="151">
        <v>1.2</v>
      </c>
      <c r="V718" s="151">
        <v>0.25</v>
      </c>
      <c r="W718" s="151">
        <f t="shared" si="45"/>
        <v>1.93</v>
      </c>
      <c r="X718" s="152">
        <f t="shared" si="43"/>
        <v>0.1351</v>
      </c>
      <c r="Y718" s="152"/>
      <c r="Z718" s="148"/>
      <c r="AA718" s="153"/>
      <c r="AB718" s="153"/>
      <c r="AC718" s="153"/>
      <c r="AD718" s="153"/>
      <c r="AH718" s="147"/>
    </row>
    <row r="719" spans="1:34" s="146" customFormat="1" x14ac:dyDescent="0.25">
      <c r="A719" s="196">
        <v>972</v>
      </c>
      <c r="B719" s="196" t="s">
        <v>4071</v>
      </c>
      <c r="C719" s="196" t="s">
        <v>4118</v>
      </c>
      <c r="D719" s="196"/>
      <c r="E719" s="196"/>
      <c r="F719" s="196">
        <v>1996</v>
      </c>
      <c r="G719" s="196"/>
      <c r="H719" s="196" t="s">
        <v>1878</v>
      </c>
      <c r="I719" s="141" t="s">
        <v>1914</v>
      </c>
      <c r="J719" s="196"/>
      <c r="K719" s="196" t="s">
        <v>1881</v>
      </c>
      <c r="L719" s="141" t="s">
        <v>4119</v>
      </c>
      <c r="M719" s="196">
        <v>640</v>
      </c>
      <c r="N719" s="196"/>
      <c r="O719" s="196" t="s">
        <v>4030</v>
      </c>
      <c r="P719" s="144">
        <v>339</v>
      </c>
      <c r="Q719" s="145">
        <f t="shared" si="44"/>
        <v>2.7232999999999996</v>
      </c>
      <c r="R719" s="203">
        <v>1.19</v>
      </c>
      <c r="S719" s="203"/>
      <c r="T719" s="151"/>
      <c r="U719" s="151">
        <v>1.2</v>
      </c>
      <c r="V719" s="151">
        <v>0.25</v>
      </c>
      <c r="W719" s="151">
        <f t="shared" si="45"/>
        <v>1.19</v>
      </c>
      <c r="X719" s="152">
        <f t="shared" si="43"/>
        <v>8.3299999999999999E-2</v>
      </c>
      <c r="Y719" s="152"/>
      <c r="Z719" s="148"/>
      <c r="AA719" s="153"/>
      <c r="AB719" s="153"/>
      <c r="AC719" s="153"/>
      <c r="AD719" s="153"/>
      <c r="AH719" s="147"/>
    </row>
    <row r="720" spans="1:34" s="146" customFormat="1" x14ac:dyDescent="0.25">
      <c r="A720" s="196"/>
      <c r="B720" s="196" t="s">
        <v>4120</v>
      </c>
      <c r="C720" s="196" t="s">
        <v>4121</v>
      </c>
      <c r="D720" s="196" t="s">
        <v>2257</v>
      </c>
      <c r="E720" s="196"/>
      <c r="F720" s="196">
        <v>1989</v>
      </c>
      <c r="G720" s="196"/>
      <c r="H720" s="196" t="s">
        <v>1878</v>
      </c>
      <c r="I720" s="141" t="s">
        <v>1914</v>
      </c>
      <c r="J720" s="196"/>
      <c r="K720" s="196" t="s">
        <v>1881</v>
      </c>
      <c r="L720" s="141" t="s">
        <v>4122</v>
      </c>
      <c r="M720" s="196">
        <v>480</v>
      </c>
      <c r="N720" s="196"/>
      <c r="O720" s="196" t="s">
        <v>4104</v>
      </c>
      <c r="P720" s="144">
        <v>281</v>
      </c>
      <c r="Q720" s="145">
        <f t="shared" si="44"/>
        <v>1.7175</v>
      </c>
      <c r="R720" s="203">
        <v>0.25</v>
      </c>
      <c r="S720" s="203"/>
      <c r="T720" s="151"/>
      <c r="U720" s="151">
        <v>1.2</v>
      </c>
      <c r="V720" s="151">
        <v>0.25</v>
      </c>
      <c r="W720" s="151">
        <f t="shared" si="45"/>
        <v>0.25</v>
      </c>
      <c r="X720" s="152">
        <f t="shared" si="43"/>
        <v>1.7500000000000002E-2</v>
      </c>
      <c r="Y720" s="152"/>
      <c r="Z720" s="148"/>
      <c r="AA720" s="153"/>
      <c r="AB720" s="153"/>
      <c r="AC720" s="153"/>
      <c r="AD720" s="153"/>
      <c r="AH720" s="147"/>
    </row>
    <row r="721" spans="1:34" s="146" customFormat="1" x14ac:dyDescent="0.25">
      <c r="A721" s="196">
        <v>692</v>
      </c>
      <c r="B721" s="196" t="s">
        <v>4127</v>
      </c>
      <c r="C721" s="196" t="s">
        <v>4128</v>
      </c>
      <c r="D721" s="196" t="s">
        <v>1993</v>
      </c>
      <c r="E721" s="196"/>
      <c r="F721" s="196">
        <v>2016</v>
      </c>
      <c r="G721" s="196"/>
      <c r="H721" s="196" t="s">
        <v>1878</v>
      </c>
      <c r="I721" s="141" t="s">
        <v>1879</v>
      </c>
      <c r="J721" s="196" t="s">
        <v>3303</v>
      </c>
      <c r="K721" s="196" t="s">
        <v>1881</v>
      </c>
      <c r="L721" s="141"/>
      <c r="M721" s="196">
        <v>352</v>
      </c>
      <c r="N721" s="196"/>
      <c r="O721" s="196" t="s">
        <v>4123</v>
      </c>
      <c r="P721" s="144">
        <v>311</v>
      </c>
      <c r="Q721" s="145">
        <f t="shared" si="44"/>
        <v>1.7175</v>
      </c>
      <c r="R721" s="203">
        <v>0.25</v>
      </c>
      <c r="S721" s="203"/>
      <c r="T721" s="151"/>
      <c r="U721" s="151">
        <v>1.2</v>
      </c>
      <c r="V721" s="151">
        <v>0.25</v>
      </c>
      <c r="W721" s="151">
        <f t="shared" si="45"/>
        <v>0.25</v>
      </c>
      <c r="X721" s="152">
        <f t="shared" si="43"/>
        <v>1.7500000000000002E-2</v>
      </c>
      <c r="Y721" s="152"/>
      <c r="Z721" s="148"/>
      <c r="AA721" s="153"/>
      <c r="AB721" s="153"/>
      <c r="AC721" s="153"/>
      <c r="AD721" s="153"/>
      <c r="AH721" s="147"/>
    </row>
    <row r="722" spans="1:34" s="146" customFormat="1" x14ac:dyDescent="0.25">
      <c r="A722" s="196">
        <v>1940</v>
      </c>
      <c r="B722" s="196" t="s">
        <v>4129</v>
      </c>
      <c r="C722" s="196" t="s">
        <v>4130</v>
      </c>
      <c r="D722" s="196" t="s">
        <v>4131</v>
      </c>
      <c r="E722" s="196"/>
      <c r="F722" s="196">
        <v>2012</v>
      </c>
      <c r="G722" s="196"/>
      <c r="H722" s="196" t="s">
        <v>2734</v>
      </c>
      <c r="I722" s="141" t="s">
        <v>1929</v>
      </c>
      <c r="J722" s="196"/>
      <c r="K722" s="196" t="s">
        <v>1881</v>
      </c>
      <c r="L722" s="141" t="s">
        <v>4132</v>
      </c>
      <c r="M722" s="196">
        <v>226</v>
      </c>
      <c r="N722" s="196"/>
      <c r="O722" s="196" t="s">
        <v>4124</v>
      </c>
      <c r="P722" s="144">
        <v>308</v>
      </c>
      <c r="Q722" s="145">
        <f t="shared" si="44"/>
        <v>2.6162999999999998</v>
      </c>
      <c r="R722" s="203">
        <v>1.0900000000000001</v>
      </c>
      <c r="S722" s="203"/>
      <c r="T722" s="151"/>
      <c r="U722" s="151">
        <v>1.2</v>
      </c>
      <c r="V722" s="151">
        <v>0.25</v>
      </c>
      <c r="W722" s="151">
        <f t="shared" si="45"/>
        <v>1.0900000000000001</v>
      </c>
      <c r="X722" s="152">
        <f t="shared" si="43"/>
        <v>7.6300000000000007E-2</v>
      </c>
      <c r="Y722" s="152"/>
      <c r="Z722" s="148"/>
      <c r="AA722" s="153"/>
      <c r="AB722" s="153"/>
      <c r="AC722" s="153"/>
      <c r="AD722" s="153"/>
      <c r="AH722" s="147"/>
    </row>
    <row r="723" spans="1:34" s="146" customFormat="1" x14ac:dyDescent="0.25">
      <c r="A723" s="196">
        <v>2547</v>
      </c>
      <c r="B723" s="196" t="s">
        <v>4071</v>
      </c>
      <c r="C723" s="196" t="s">
        <v>4133</v>
      </c>
      <c r="D723" s="196" t="s">
        <v>1912</v>
      </c>
      <c r="E723" s="196"/>
      <c r="F723" s="196">
        <v>1991</v>
      </c>
      <c r="G723" s="196"/>
      <c r="H723" s="196" t="s">
        <v>1878</v>
      </c>
      <c r="I723" s="141" t="s">
        <v>1879</v>
      </c>
      <c r="J723" s="196" t="s">
        <v>3303</v>
      </c>
      <c r="K723" s="196" t="s">
        <v>1881</v>
      </c>
      <c r="L723" s="141" t="s">
        <v>4134</v>
      </c>
      <c r="M723" s="196">
        <v>448</v>
      </c>
      <c r="N723" s="196"/>
      <c r="O723" s="196" t="s">
        <v>4125</v>
      </c>
      <c r="P723" s="144">
        <v>326</v>
      </c>
      <c r="Q723" s="145">
        <f t="shared" si="44"/>
        <v>1.7175</v>
      </c>
      <c r="R723" s="203">
        <v>0.25</v>
      </c>
      <c r="S723" s="203"/>
      <c r="T723" s="151"/>
      <c r="U723" s="151">
        <v>1.2</v>
      </c>
      <c r="V723" s="151">
        <v>0.25</v>
      </c>
      <c r="W723" s="151">
        <f t="shared" si="45"/>
        <v>0.25</v>
      </c>
      <c r="X723" s="152">
        <f t="shared" si="43"/>
        <v>1.7500000000000002E-2</v>
      </c>
      <c r="Y723" s="152"/>
      <c r="Z723" s="148"/>
      <c r="AA723" s="153"/>
      <c r="AB723" s="153"/>
      <c r="AC723" s="153"/>
      <c r="AD723" s="153"/>
      <c r="AH723" s="147"/>
    </row>
    <row r="724" spans="1:34" s="146" customFormat="1" x14ac:dyDescent="0.25">
      <c r="A724" s="196">
        <v>2522</v>
      </c>
      <c r="B724" s="196" t="s">
        <v>4135</v>
      </c>
      <c r="C724" s="196" t="s">
        <v>4136</v>
      </c>
      <c r="D724" s="196" t="s">
        <v>2054</v>
      </c>
      <c r="E724" s="196"/>
      <c r="F724" s="196">
        <v>2008</v>
      </c>
      <c r="G724" s="196"/>
      <c r="H724" s="196" t="s">
        <v>2734</v>
      </c>
      <c r="I724" s="141" t="s">
        <v>1879</v>
      </c>
      <c r="J724" s="196" t="s">
        <v>3303</v>
      </c>
      <c r="K724" s="196" t="s">
        <v>1881</v>
      </c>
      <c r="L724" s="141" t="s">
        <v>4137</v>
      </c>
      <c r="M724" s="196">
        <v>530</v>
      </c>
      <c r="N724" s="196"/>
      <c r="O724" s="196" t="s">
        <v>4126</v>
      </c>
      <c r="P724" s="144">
        <v>812</v>
      </c>
      <c r="Q724" s="145">
        <f t="shared" si="44"/>
        <v>3.1162999999999998</v>
      </c>
      <c r="R724" s="203">
        <v>1.0900000000000001</v>
      </c>
      <c r="S724" s="203"/>
      <c r="T724" s="151"/>
      <c r="U724" s="151">
        <v>1.7</v>
      </c>
      <c r="V724" s="151">
        <v>0.25</v>
      </c>
      <c r="W724" s="151">
        <f t="shared" si="45"/>
        <v>1.0900000000000001</v>
      </c>
      <c r="X724" s="152">
        <f t="shared" si="43"/>
        <v>7.6300000000000007E-2</v>
      </c>
      <c r="Y724" s="152"/>
      <c r="Z724" s="148"/>
      <c r="AA724" s="153"/>
      <c r="AB724" s="153"/>
      <c r="AC724" s="153"/>
      <c r="AD724" s="153"/>
      <c r="AH724" s="147"/>
    </row>
    <row r="725" spans="1:34" s="146" customFormat="1" x14ac:dyDescent="0.25">
      <c r="A725" s="196">
        <v>1348</v>
      </c>
      <c r="B725" s="196" t="s">
        <v>4172</v>
      </c>
      <c r="C725" s="196" t="s">
        <v>4173</v>
      </c>
      <c r="D725" s="196" t="s">
        <v>2300</v>
      </c>
      <c r="E725" s="196" t="s">
        <v>2922</v>
      </c>
      <c r="F725" s="196">
        <v>1994</v>
      </c>
      <c r="G725" s="196"/>
      <c r="H725" s="196" t="s">
        <v>1878</v>
      </c>
      <c r="I725" s="141" t="s">
        <v>1879</v>
      </c>
      <c r="J725" s="196" t="s">
        <v>3303</v>
      </c>
      <c r="K725" s="196" t="s">
        <v>1881</v>
      </c>
      <c r="L725" s="141" t="s">
        <v>4174</v>
      </c>
      <c r="M725" s="196">
        <v>160</v>
      </c>
      <c r="N725" s="196"/>
      <c r="O725" s="196" t="s">
        <v>4139</v>
      </c>
      <c r="P725" s="144">
        <v>115</v>
      </c>
      <c r="Q725" s="145">
        <f t="shared" si="44"/>
        <v>1.8673</v>
      </c>
      <c r="R725" s="203">
        <v>0.39</v>
      </c>
      <c r="S725" s="203"/>
      <c r="T725" s="151"/>
      <c r="U725" s="151">
        <v>1.2</v>
      </c>
      <c r="V725" s="151">
        <v>0.25</v>
      </c>
      <c r="W725" s="151">
        <f t="shared" si="45"/>
        <v>0.39</v>
      </c>
      <c r="X725" s="152">
        <f t="shared" si="43"/>
        <v>2.7300000000000001E-2</v>
      </c>
      <c r="Y725" s="152"/>
      <c r="Z725" s="148"/>
      <c r="AA725" s="153"/>
      <c r="AB725" s="153"/>
      <c r="AC725" s="153"/>
      <c r="AD725" s="153"/>
      <c r="AH725" s="147"/>
    </row>
    <row r="726" spans="1:34" s="146" customFormat="1" x14ac:dyDescent="0.25">
      <c r="A726" s="196">
        <v>1386</v>
      </c>
      <c r="B726" s="196" t="s">
        <v>4175</v>
      </c>
      <c r="C726" s="196" t="s">
        <v>4176</v>
      </c>
      <c r="D726" s="196" t="s">
        <v>4177</v>
      </c>
      <c r="E726" s="196"/>
      <c r="F726" s="196">
        <v>2009</v>
      </c>
      <c r="G726" s="196"/>
      <c r="H726" s="196" t="s">
        <v>2734</v>
      </c>
      <c r="I726" s="141" t="s">
        <v>1879</v>
      </c>
      <c r="J726" s="196" t="s">
        <v>3303</v>
      </c>
      <c r="K726" s="196" t="s">
        <v>1881</v>
      </c>
      <c r="L726" s="141" t="s">
        <v>4178</v>
      </c>
      <c r="M726" s="196">
        <v>162</v>
      </c>
      <c r="N726" s="196"/>
      <c r="O726" s="196" t="s">
        <v>4140</v>
      </c>
      <c r="P726" s="144">
        <v>323</v>
      </c>
      <c r="Q726" s="145">
        <f t="shared" si="44"/>
        <v>2.7232999999999996</v>
      </c>
      <c r="R726" s="203">
        <v>1.19</v>
      </c>
      <c r="S726" s="203"/>
      <c r="T726" s="151"/>
      <c r="U726" s="151">
        <v>1.2</v>
      </c>
      <c r="V726" s="151">
        <v>0.25</v>
      </c>
      <c r="W726" s="151">
        <f t="shared" si="45"/>
        <v>1.19</v>
      </c>
      <c r="X726" s="152">
        <f t="shared" ref="X726:X785" si="46">(T726+W726)/100*7</f>
        <v>8.3299999999999999E-2</v>
      </c>
      <c r="Y726" s="152"/>
      <c r="Z726" s="148"/>
      <c r="AA726" s="153"/>
      <c r="AB726" s="153"/>
      <c r="AC726" s="153"/>
      <c r="AD726" s="153"/>
      <c r="AH726" s="147"/>
    </row>
    <row r="727" spans="1:34" s="146" customFormat="1" x14ac:dyDescent="0.25">
      <c r="A727" s="196">
        <v>1927</v>
      </c>
      <c r="B727" s="196" t="s">
        <v>4179</v>
      </c>
      <c r="C727" s="196" t="s">
        <v>4180</v>
      </c>
      <c r="D727" s="196" t="s">
        <v>4181</v>
      </c>
      <c r="E727" s="196" t="s">
        <v>1877</v>
      </c>
      <c r="F727" s="196">
        <v>2014</v>
      </c>
      <c r="G727" s="196"/>
      <c r="H727" s="196" t="s">
        <v>2734</v>
      </c>
      <c r="I727" s="141" t="s">
        <v>1929</v>
      </c>
      <c r="J727" s="196"/>
      <c r="K727" s="196" t="s">
        <v>1881</v>
      </c>
      <c r="L727" s="141" t="s">
        <v>4182</v>
      </c>
      <c r="M727" s="196">
        <v>290</v>
      </c>
      <c r="N727" s="196"/>
      <c r="O727" s="196" t="s">
        <v>4141</v>
      </c>
      <c r="P727" s="144">
        <v>548</v>
      </c>
      <c r="Q727" s="145">
        <f t="shared" si="44"/>
        <v>3.1162999999999998</v>
      </c>
      <c r="R727" s="203">
        <v>1.0900000000000001</v>
      </c>
      <c r="S727" s="203"/>
      <c r="T727" s="151"/>
      <c r="U727" s="151">
        <v>1.7</v>
      </c>
      <c r="V727" s="151">
        <v>0.25</v>
      </c>
      <c r="W727" s="151">
        <f t="shared" si="45"/>
        <v>1.0900000000000001</v>
      </c>
      <c r="X727" s="152">
        <f t="shared" si="46"/>
        <v>7.6300000000000007E-2</v>
      </c>
      <c r="Y727" s="152"/>
      <c r="Z727" s="148"/>
      <c r="AA727" s="153"/>
      <c r="AB727" s="153"/>
      <c r="AC727" s="153"/>
      <c r="AD727" s="153"/>
      <c r="AH727" s="147"/>
    </row>
    <row r="728" spans="1:34" s="146" customFormat="1" x14ac:dyDescent="0.25">
      <c r="A728" s="196">
        <v>175</v>
      </c>
      <c r="B728" s="196" t="s">
        <v>4183</v>
      </c>
      <c r="C728" s="196" t="s">
        <v>4184</v>
      </c>
      <c r="D728" s="196" t="s">
        <v>2300</v>
      </c>
      <c r="E728" s="196"/>
      <c r="F728" s="196">
        <v>1992</v>
      </c>
      <c r="G728" s="196"/>
      <c r="H728" s="196" t="s">
        <v>1878</v>
      </c>
      <c r="I728" s="141" t="s">
        <v>1879</v>
      </c>
      <c r="J728" s="196" t="s">
        <v>3303</v>
      </c>
      <c r="K728" s="196" t="s">
        <v>1881</v>
      </c>
      <c r="L728" s="141" t="s">
        <v>4185</v>
      </c>
      <c r="M728" s="196">
        <v>256</v>
      </c>
      <c r="N728" s="196"/>
      <c r="O728" s="196" t="s">
        <v>4142</v>
      </c>
      <c r="P728" s="144">
        <v>269</v>
      </c>
      <c r="Q728" s="145">
        <f t="shared" si="44"/>
        <v>3.0442999999999998</v>
      </c>
      <c r="R728" s="203">
        <v>1.49</v>
      </c>
      <c r="S728" s="203"/>
      <c r="T728" s="151"/>
      <c r="U728" s="151">
        <v>1.2</v>
      </c>
      <c r="V728" s="151">
        <v>0.25</v>
      </c>
      <c r="W728" s="151">
        <f t="shared" si="45"/>
        <v>1.49</v>
      </c>
      <c r="X728" s="152">
        <f t="shared" si="46"/>
        <v>0.1043</v>
      </c>
      <c r="Y728" s="152"/>
      <c r="Z728" s="148"/>
      <c r="AA728" s="153"/>
      <c r="AB728" s="153"/>
      <c r="AC728" s="153"/>
      <c r="AD728" s="153"/>
      <c r="AH728" s="147"/>
    </row>
    <row r="729" spans="1:34" s="146" customFormat="1" x14ac:dyDescent="0.25">
      <c r="A729" s="196">
        <v>1939</v>
      </c>
      <c r="B729" s="196" t="s">
        <v>4186</v>
      </c>
      <c r="C729" s="196" t="s">
        <v>4187</v>
      </c>
      <c r="D729" s="196" t="s">
        <v>2926</v>
      </c>
      <c r="E729" s="196" t="s">
        <v>3979</v>
      </c>
      <c r="F729" s="196">
        <v>2000</v>
      </c>
      <c r="G729" s="196"/>
      <c r="H729" s="196" t="s">
        <v>2734</v>
      </c>
      <c r="I729" s="141" t="s">
        <v>1879</v>
      </c>
      <c r="J729" s="196" t="s">
        <v>4188</v>
      </c>
      <c r="K729" s="196" t="s">
        <v>1881</v>
      </c>
      <c r="L729" s="141" t="s">
        <v>4189</v>
      </c>
      <c r="M729" s="196">
        <v>290</v>
      </c>
      <c r="N729" s="196"/>
      <c r="O729" s="196" t="s">
        <v>4143</v>
      </c>
      <c r="P729" s="144">
        <v>459</v>
      </c>
      <c r="Q729" s="145">
        <f t="shared" si="44"/>
        <v>3.3653000000000004</v>
      </c>
      <c r="R729" s="203">
        <v>1.79</v>
      </c>
      <c r="S729" s="203"/>
      <c r="T729" s="151"/>
      <c r="U729" s="151">
        <v>1.2</v>
      </c>
      <c r="V729" s="151">
        <v>0.25</v>
      </c>
      <c r="W729" s="151">
        <f t="shared" si="45"/>
        <v>1.79</v>
      </c>
      <c r="X729" s="152">
        <f t="shared" si="46"/>
        <v>0.12529999999999999</v>
      </c>
      <c r="Y729" s="152"/>
      <c r="Z729" s="148"/>
      <c r="AA729" s="153"/>
      <c r="AB729" s="153"/>
      <c r="AC729" s="153"/>
      <c r="AD729" s="153"/>
      <c r="AH729" s="147"/>
    </row>
    <row r="730" spans="1:34" s="146" customFormat="1" x14ac:dyDescent="0.25">
      <c r="A730" s="196">
        <v>697</v>
      </c>
      <c r="B730" s="196" t="s">
        <v>4190</v>
      </c>
      <c r="C730" s="196" t="s">
        <v>4191</v>
      </c>
      <c r="D730" s="196" t="s">
        <v>2300</v>
      </c>
      <c r="E730" s="196" t="s">
        <v>2032</v>
      </c>
      <c r="F730" s="196">
        <v>1995</v>
      </c>
      <c r="G730" s="196"/>
      <c r="H730" s="196" t="s">
        <v>1878</v>
      </c>
      <c r="I730" s="141" t="s">
        <v>1879</v>
      </c>
      <c r="J730" s="196" t="s">
        <v>3202</v>
      </c>
      <c r="K730" s="196" t="s">
        <v>1881</v>
      </c>
      <c r="L730" s="141" t="s">
        <v>4192</v>
      </c>
      <c r="M730" s="196">
        <v>160</v>
      </c>
      <c r="N730" s="196"/>
      <c r="O730" s="196" t="s">
        <v>4144</v>
      </c>
      <c r="P730" s="144">
        <v>116</v>
      </c>
      <c r="Q730" s="145">
        <f t="shared" si="44"/>
        <v>4.0072999999999999</v>
      </c>
      <c r="R730" s="203">
        <v>2.39</v>
      </c>
      <c r="S730" s="203"/>
      <c r="T730" s="151"/>
      <c r="U730" s="151">
        <v>1.2</v>
      </c>
      <c r="V730" s="151">
        <v>0.25</v>
      </c>
      <c r="W730" s="151">
        <f t="shared" si="45"/>
        <v>2.39</v>
      </c>
      <c r="X730" s="152">
        <f t="shared" si="46"/>
        <v>0.1673</v>
      </c>
      <c r="Y730" s="152"/>
      <c r="Z730" s="148"/>
      <c r="AA730" s="153"/>
      <c r="AB730" s="153"/>
      <c r="AC730" s="153"/>
      <c r="AD730" s="153"/>
      <c r="AH730" s="147"/>
    </row>
    <row r="731" spans="1:34" s="146" customFormat="1" x14ac:dyDescent="0.25">
      <c r="A731" s="196">
        <v>1395</v>
      </c>
      <c r="B731" s="196" t="s">
        <v>4193</v>
      </c>
      <c r="C731" s="196" t="s">
        <v>4194</v>
      </c>
      <c r="D731" s="196" t="s">
        <v>1912</v>
      </c>
      <c r="E731" s="196" t="s">
        <v>1921</v>
      </c>
      <c r="F731" s="196">
        <v>2006</v>
      </c>
      <c r="G731" s="196"/>
      <c r="H731" s="196" t="s">
        <v>1878</v>
      </c>
      <c r="I731" s="141" t="s">
        <v>1879</v>
      </c>
      <c r="J731" s="196" t="s">
        <v>3303</v>
      </c>
      <c r="K731" s="196" t="s">
        <v>1881</v>
      </c>
      <c r="L731" s="141" t="s">
        <v>4195</v>
      </c>
      <c r="M731" s="196">
        <v>416</v>
      </c>
      <c r="N731" s="196"/>
      <c r="O731" s="196" t="s">
        <v>4145</v>
      </c>
      <c r="P731" s="144">
        <v>346</v>
      </c>
      <c r="Q731" s="145">
        <f t="shared" si="44"/>
        <v>1.8673</v>
      </c>
      <c r="R731" s="203">
        <v>0.39</v>
      </c>
      <c r="S731" s="203"/>
      <c r="T731" s="151"/>
      <c r="U731" s="151">
        <v>1.2</v>
      </c>
      <c r="V731" s="151">
        <v>0.25</v>
      </c>
      <c r="W731" s="151">
        <f t="shared" si="45"/>
        <v>0.39</v>
      </c>
      <c r="X731" s="152">
        <f t="shared" si="46"/>
        <v>2.7300000000000001E-2</v>
      </c>
      <c r="Y731" s="152"/>
      <c r="Z731" s="148"/>
      <c r="AA731" s="153"/>
      <c r="AB731" s="153"/>
      <c r="AC731" s="153"/>
      <c r="AD731" s="153"/>
      <c r="AH731" s="147"/>
    </row>
    <row r="732" spans="1:34" s="146" customFormat="1" x14ac:dyDescent="0.25">
      <c r="A732" s="196">
        <v>1927</v>
      </c>
      <c r="B732" s="196" t="s">
        <v>4196</v>
      </c>
      <c r="C732" s="196" t="s">
        <v>4197</v>
      </c>
      <c r="D732" s="196" t="s">
        <v>1912</v>
      </c>
      <c r="E732" s="196" t="s">
        <v>1921</v>
      </c>
      <c r="F732" s="196">
        <v>2001</v>
      </c>
      <c r="G732" s="196"/>
      <c r="H732" s="196" t="s">
        <v>1878</v>
      </c>
      <c r="I732" s="141" t="s">
        <v>1879</v>
      </c>
      <c r="J732" s="196" t="s">
        <v>4198</v>
      </c>
      <c r="K732" s="196" t="s">
        <v>1881</v>
      </c>
      <c r="L732" s="141" t="s">
        <v>4199</v>
      </c>
      <c r="M732" s="196">
        <v>192</v>
      </c>
      <c r="N732" s="196"/>
      <c r="O732" s="196" t="s">
        <v>4146</v>
      </c>
      <c r="P732" s="144">
        <v>188</v>
      </c>
      <c r="Q732" s="145">
        <f t="shared" si="44"/>
        <v>20.71</v>
      </c>
      <c r="R732" s="203">
        <v>18</v>
      </c>
      <c r="S732" s="203"/>
      <c r="T732" s="151"/>
      <c r="U732" s="151">
        <v>1.2</v>
      </c>
      <c r="V732" s="151">
        <v>0.25</v>
      </c>
      <c r="W732" s="151">
        <f t="shared" si="45"/>
        <v>18</v>
      </c>
      <c r="X732" s="152">
        <f t="shared" si="46"/>
        <v>1.26</v>
      </c>
      <c r="Y732" s="152"/>
      <c r="Z732" s="148"/>
      <c r="AA732" s="153"/>
      <c r="AB732" s="153"/>
      <c r="AC732" s="153"/>
      <c r="AD732" s="153"/>
      <c r="AH732" s="147"/>
    </row>
    <row r="733" spans="1:34" s="146" customFormat="1" x14ac:dyDescent="0.25">
      <c r="A733" s="196">
        <v>1395</v>
      </c>
      <c r="B733" s="196" t="s">
        <v>1991</v>
      </c>
      <c r="C733" s="196" t="s">
        <v>4200</v>
      </c>
      <c r="D733" s="196" t="s">
        <v>4201</v>
      </c>
      <c r="E733" s="196"/>
      <c r="F733" s="196">
        <v>2007</v>
      </c>
      <c r="G733" s="196"/>
      <c r="H733" s="196" t="s">
        <v>1878</v>
      </c>
      <c r="I733" s="141" t="s">
        <v>1879</v>
      </c>
      <c r="J733" s="196"/>
      <c r="K733" s="196" t="s">
        <v>1881</v>
      </c>
      <c r="L733" s="141"/>
      <c r="M733" s="196">
        <v>416</v>
      </c>
      <c r="N733" s="196"/>
      <c r="O733" s="196" t="s">
        <v>4147</v>
      </c>
      <c r="P733" s="144">
        <v>303</v>
      </c>
      <c r="Q733" s="145">
        <f t="shared" si="44"/>
        <v>1.7175</v>
      </c>
      <c r="R733" s="203">
        <v>0.25</v>
      </c>
      <c r="S733" s="203"/>
      <c r="T733" s="151"/>
      <c r="U733" s="151">
        <v>1.2</v>
      </c>
      <c r="V733" s="151">
        <v>0.25</v>
      </c>
      <c r="W733" s="151">
        <f t="shared" si="45"/>
        <v>0.25</v>
      </c>
      <c r="X733" s="152">
        <f t="shared" si="46"/>
        <v>1.7500000000000002E-2</v>
      </c>
      <c r="Y733" s="152"/>
      <c r="Z733" s="148"/>
      <c r="AA733" s="153"/>
      <c r="AB733" s="153"/>
      <c r="AC733" s="153"/>
      <c r="AD733" s="153"/>
      <c r="AH733" s="147"/>
    </row>
    <row r="734" spans="1:34" s="146" customFormat="1" x14ac:dyDescent="0.25">
      <c r="A734" s="196">
        <v>319</v>
      </c>
      <c r="B734" s="196" t="s">
        <v>4212</v>
      </c>
      <c r="C734" s="196" t="s">
        <v>4213</v>
      </c>
      <c r="D734" s="196" t="s">
        <v>3022</v>
      </c>
      <c r="E734" s="196"/>
      <c r="F734" s="196">
        <v>2002</v>
      </c>
      <c r="G734" s="196"/>
      <c r="H734" s="196" t="s">
        <v>2734</v>
      </c>
      <c r="I734" s="141" t="s">
        <v>1879</v>
      </c>
      <c r="J734" s="196" t="s">
        <v>4214</v>
      </c>
      <c r="K734" s="196" t="s">
        <v>1881</v>
      </c>
      <c r="L734" s="141" t="s">
        <v>4215</v>
      </c>
      <c r="M734" s="196">
        <v>178</v>
      </c>
      <c r="N734" s="196"/>
      <c r="O734" s="196" t="s">
        <v>4148</v>
      </c>
      <c r="P734" s="144">
        <v>443</v>
      </c>
      <c r="Q734" s="145">
        <f t="shared" si="44"/>
        <v>3.0442999999999998</v>
      </c>
      <c r="R734" s="203">
        <v>1.49</v>
      </c>
      <c r="S734" s="203"/>
      <c r="T734" s="151"/>
      <c r="U734" s="151">
        <v>1.2</v>
      </c>
      <c r="V734" s="151">
        <v>0.25</v>
      </c>
      <c r="W734" s="151">
        <f t="shared" si="45"/>
        <v>1.49</v>
      </c>
      <c r="X734" s="152">
        <f t="shared" si="46"/>
        <v>0.1043</v>
      </c>
      <c r="Y734" s="152"/>
      <c r="Z734" s="148"/>
      <c r="AA734" s="153"/>
      <c r="AB734" s="153"/>
      <c r="AC734" s="153"/>
      <c r="AD734" s="153"/>
      <c r="AH734" s="147"/>
    </row>
    <row r="735" spans="1:34" s="146" customFormat="1" x14ac:dyDescent="0.25">
      <c r="A735" s="196">
        <v>1395</v>
      </c>
      <c r="B735" s="196" t="s">
        <v>4216</v>
      </c>
      <c r="C735" s="196" t="s">
        <v>4217</v>
      </c>
      <c r="D735" s="196" t="s">
        <v>2054</v>
      </c>
      <c r="E735" s="196"/>
      <c r="F735" s="196">
        <v>2009</v>
      </c>
      <c r="G735" s="196"/>
      <c r="H735" s="196" t="s">
        <v>1878</v>
      </c>
      <c r="I735" s="141" t="s">
        <v>1879</v>
      </c>
      <c r="J735" s="196"/>
      <c r="K735" s="196" t="s">
        <v>1881</v>
      </c>
      <c r="L735" s="141" t="s">
        <v>4218</v>
      </c>
      <c r="M735" s="196">
        <v>354</v>
      </c>
      <c r="N735" s="196"/>
      <c r="O735" s="196" t="s">
        <v>4149</v>
      </c>
      <c r="P735" s="144">
        <v>444</v>
      </c>
      <c r="Q735" s="145">
        <f t="shared" si="44"/>
        <v>1.7175</v>
      </c>
      <c r="R735" s="203">
        <v>0.25</v>
      </c>
      <c r="S735" s="203"/>
      <c r="T735" s="151"/>
      <c r="U735" s="151">
        <v>1.2</v>
      </c>
      <c r="V735" s="151">
        <v>0.25</v>
      </c>
      <c r="W735" s="151">
        <f t="shared" si="45"/>
        <v>0.25</v>
      </c>
      <c r="X735" s="152">
        <f t="shared" si="46"/>
        <v>1.7500000000000002E-2</v>
      </c>
      <c r="Y735" s="152"/>
      <c r="Z735" s="148"/>
      <c r="AA735" s="153"/>
      <c r="AB735" s="153"/>
      <c r="AC735" s="153"/>
      <c r="AD735" s="153"/>
      <c r="AH735" s="147"/>
    </row>
    <row r="736" spans="1:34" s="146" customFormat="1" x14ac:dyDescent="0.25">
      <c r="A736" s="196">
        <v>796</v>
      </c>
      <c r="B736" s="196" t="s">
        <v>4202</v>
      </c>
      <c r="C736" s="196" t="s">
        <v>4203</v>
      </c>
      <c r="D736" s="196" t="s">
        <v>2209</v>
      </c>
      <c r="E736" s="196"/>
      <c r="F736" s="196">
        <v>2000</v>
      </c>
      <c r="G736" s="196"/>
      <c r="H736" s="196" t="s">
        <v>1878</v>
      </c>
      <c r="I736" s="141" t="s">
        <v>1879</v>
      </c>
      <c r="J736" s="196"/>
      <c r="K736" s="196" t="s">
        <v>1881</v>
      </c>
      <c r="L736" s="141" t="s">
        <v>4204</v>
      </c>
      <c r="M736" s="196">
        <v>288</v>
      </c>
      <c r="N736" s="196"/>
      <c r="O736" s="196" t="s">
        <v>4150</v>
      </c>
      <c r="P736" s="144">
        <v>224</v>
      </c>
      <c r="Q736" s="145">
        <f t="shared" si="44"/>
        <v>1.8673</v>
      </c>
      <c r="R736" s="203">
        <v>0.39</v>
      </c>
      <c r="S736" s="203"/>
      <c r="T736" s="151"/>
      <c r="U736" s="151">
        <v>1.2</v>
      </c>
      <c r="V736" s="151">
        <v>0.25</v>
      </c>
      <c r="W736" s="151">
        <f t="shared" si="45"/>
        <v>0.39</v>
      </c>
      <c r="X736" s="152">
        <f t="shared" si="46"/>
        <v>2.7300000000000001E-2</v>
      </c>
      <c r="Y736" s="152"/>
      <c r="Z736" s="148"/>
      <c r="AA736" s="153"/>
      <c r="AB736" s="153"/>
      <c r="AC736" s="153"/>
      <c r="AD736" s="153"/>
      <c r="AH736" s="147"/>
    </row>
    <row r="737" spans="1:34" s="146" customFormat="1" x14ac:dyDescent="0.25">
      <c r="A737" s="196">
        <v>863</v>
      </c>
      <c r="B737" s="196" t="s">
        <v>4205</v>
      </c>
      <c r="C737" s="196" t="s">
        <v>4206</v>
      </c>
      <c r="D737" s="196" t="s">
        <v>4207</v>
      </c>
      <c r="E737" s="196" t="s">
        <v>2606</v>
      </c>
      <c r="F737" s="196">
        <v>1988</v>
      </c>
      <c r="G737" s="196"/>
      <c r="H737" s="196" t="s">
        <v>4209</v>
      </c>
      <c r="I737" s="141" t="s">
        <v>1879</v>
      </c>
      <c r="J737" s="196" t="s">
        <v>3202</v>
      </c>
      <c r="K737" s="196" t="s">
        <v>1881</v>
      </c>
      <c r="L737" s="141" t="s">
        <v>4208</v>
      </c>
      <c r="M737" s="196">
        <v>450</v>
      </c>
      <c r="N737" s="196"/>
      <c r="O737" s="196" t="s">
        <v>4151</v>
      </c>
      <c r="P737" s="144">
        <v>370</v>
      </c>
      <c r="Q737" s="145">
        <f t="shared" si="44"/>
        <v>3.0442999999999998</v>
      </c>
      <c r="R737" s="203">
        <v>1.49</v>
      </c>
      <c r="S737" s="203"/>
      <c r="T737" s="151"/>
      <c r="U737" s="151">
        <v>1.2</v>
      </c>
      <c r="V737" s="151">
        <v>0.25</v>
      </c>
      <c r="W737" s="151">
        <f t="shared" si="45"/>
        <v>1.49</v>
      </c>
      <c r="X737" s="152">
        <f t="shared" si="46"/>
        <v>0.1043</v>
      </c>
      <c r="Y737" s="152"/>
      <c r="Z737" s="148"/>
      <c r="AA737" s="153"/>
      <c r="AB737" s="153"/>
      <c r="AC737" s="153"/>
      <c r="AD737" s="153"/>
      <c r="AH737" s="147"/>
    </row>
    <row r="738" spans="1:34" s="146" customFormat="1" x14ac:dyDescent="0.25">
      <c r="A738" s="196">
        <v>1396</v>
      </c>
      <c r="B738" s="196" t="s">
        <v>1891</v>
      </c>
      <c r="C738" s="196" t="s">
        <v>4210</v>
      </c>
      <c r="D738" s="196" t="s">
        <v>1876</v>
      </c>
      <c r="E738" s="196"/>
      <c r="F738" s="196">
        <v>2011</v>
      </c>
      <c r="G738" s="196"/>
      <c r="H738" s="196" t="s">
        <v>1878</v>
      </c>
      <c r="I738" s="141" t="s">
        <v>1879</v>
      </c>
      <c r="J738" s="196"/>
      <c r="K738" s="196" t="s">
        <v>1881</v>
      </c>
      <c r="L738" s="141" t="s">
        <v>4211</v>
      </c>
      <c r="M738" s="196">
        <v>464</v>
      </c>
      <c r="N738" s="196"/>
      <c r="O738" s="196" t="s">
        <v>4152</v>
      </c>
      <c r="P738" s="144">
        <v>498</v>
      </c>
      <c r="Q738" s="145">
        <f t="shared" si="44"/>
        <v>0.51749999999999996</v>
      </c>
      <c r="R738" s="203">
        <v>0.25</v>
      </c>
      <c r="S738" s="203"/>
      <c r="T738" s="151"/>
      <c r="U738" s="151"/>
      <c r="V738" s="151">
        <v>0.25</v>
      </c>
      <c r="W738" s="151">
        <f t="shared" si="45"/>
        <v>0.25</v>
      </c>
      <c r="X738" s="152">
        <f t="shared" si="46"/>
        <v>1.7500000000000002E-2</v>
      </c>
      <c r="Y738" s="152"/>
      <c r="Z738" s="148"/>
      <c r="AA738" s="153"/>
      <c r="AB738" s="153"/>
      <c r="AC738" s="153"/>
      <c r="AD738" s="153"/>
      <c r="AH738" s="147"/>
    </row>
    <row r="739" spans="1:34" s="146" customFormat="1" x14ac:dyDescent="0.25">
      <c r="A739" s="196">
        <v>765</v>
      </c>
      <c r="B739" s="196" t="s">
        <v>4219</v>
      </c>
      <c r="C739" s="196" t="s">
        <v>4220</v>
      </c>
      <c r="D739" s="196" t="s">
        <v>3030</v>
      </c>
      <c r="E739" s="196"/>
      <c r="F739" s="196">
        <v>1986</v>
      </c>
      <c r="G739" s="196"/>
      <c r="H739" s="196" t="s">
        <v>2734</v>
      </c>
      <c r="I739" s="141" t="s">
        <v>1914</v>
      </c>
      <c r="J739" s="196"/>
      <c r="K739" s="196" t="s">
        <v>1881</v>
      </c>
      <c r="L739" s="141" t="s">
        <v>4221</v>
      </c>
      <c r="M739" s="196">
        <v>252</v>
      </c>
      <c r="N739" s="196"/>
      <c r="O739" s="196" t="s">
        <v>4153</v>
      </c>
      <c r="P739" s="144">
        <v>570</v>
      </c>
      <c r="Q739" s="145">
        <f t="shared" si="44"/>
        <v>2.6882999999999995</v>
      </c>
      <c r="R739" s="203">
        <v>0.69</v>
      </c>
      <c r="S739" s="203"/>
      <c r="T739" s="151"/>
      <c r="U739" s="151">
        <v>1.7</v>
      </c>
      <c r="V739" s="151">
        <v>0.25</v>
      </c>
      <c r="W739" s="151">
        <f t="shared" si="45"/>
        <v>0.69</v>
      </c>
      <c r="X739" s="152">
        <f t="shared" si="46"/>
        <v>4.8299999999999996E-2</v>
      </c>
      <c r="Y739" s="152"/>
      <c r="Z739" s="148"/>
      <c r="AA739" s="153"/>
      <c r="AB739" s="153"/>
      <c r="AC739" s="153"/>
      <c r="AD739" s="153"/>
      <c r="AH739" s="147"/>
    </row>
    <row r="740" spans="1:34" s="146" customFormat="1" x14ac:dyDescent="0.25">
      <c r="A740" s="196">
        <v>796</v>
      </c>
      <c r="B740" s="196" t="s">
        <v>4222</v>
      </c>
      <c r="C740" s="196" t="s">
        <v>4223</v>
      </c>
      <c r="D740" s="196" t="s">
        <v>1912</v>
      </c>
      <c r="E740" s="196" t="s">
        <v>1913</v>
      </c>
      <c r="F740" s="196">
        <v>2010</v>
      </c>
      <c r="G740" s="196"/>
      <c r="H740" s="196" t="s">
        <v>1878</v>
      </c>
      <c r="I740" s="141" t="s">
        <v>1879</v>
      </c>
      <c r="J740" s="196"/>
      <c r="K740" s="196" t="s">
        <v>1881</v>
      </c>
      <c r="L740" s="141" t="s">
        <v>4224</v>
      </c>
      <c r="M740" s="196">
        <v>320</v>
      </c>
      <c r="N740" s="196"/>
      <c r="O740" s="196" t="s">
        <v>4154</v>
      </c>
      <c r="P740" s="144">
        <v>265</v>
      </c>
      <c r="Q740" s="145">
        <f t="shared" si="44"/>
        <v>1.9742999999999999</v>
      </c>
      <c r="R740" s="203">
        <v>0.49</v>
      </c>
      <c r="S740" s="203"/>
      <c r="T740" s="151"/>
      <c r="U740" s="151">
        <v>1.2</v>
      </c>
      <c r="V740" s="151">
        <v>0.25</v>
      </c>
      <c r="W740" s="151">
        <f t="shared" si="45"/>
        <v>0.49</v>
      </c>
      <c r="X740" s="152">
        <f t="shared" si="46"/>
        <v>3.4299999999999997E-2</v>
      </c>
      <c r="Y740" s="152"/>
      <c r="Z740" s="148"/>
      <c r="AA740" s="153"/>
      <c r="AB740" s="153"/>
      <c r="AC740" s="153"/>
      <c r="AD740" s="153"/>
      <c r="AH740" s="147"/>
    </row>
    <row r="741" spans="1:34" s="146" customFormat="1" x14ac:dyDescent="0.25">
      <c r="A741" s="196">
        <v>2439</v>
      </c>
      <c r="B741" s="196" t="s">
        <v>4225</v>
      </c>
      <c r="C741" s="196" t="s">
        <v>1203</v>
      </c>
      <c r="D741" s="196" t="s">
        <v>2257</v>
      </c>
      <c r="E741" s="196"/>
      <c r="F741" s="196">
        <v>1984</v>
      </c>
      <c r="G741" s="196"/>
      <c r="H741" s="196" t="s">
        <v>2734</v>
      </c>
      <c r="I741" s="141" t="s">
        <v>1879</v>
      </c>
      <c r="J741" s="196" t="s">
        <v>4226</v>
      </c>
      <c r="K741" s="196" t="s">
        <v>1881</v>
      </c>
      <c r="L741" s="141" t="s">
        <v>4227</v>
      </c>
      <c r="M741" s="196">
        <v>578</v>
      </c>
      <c r="N741" s="196"/>
      <c r="O741" s="196" t="s">
        <v>4155</v>
      </c>
      <c r="P741" s="144">
        <v>704</v>
      </c>
      <c r="Q741" s="145">
        <f t="shared" si="44"/>
        <v>2.2175000000000002</v>
      </c>
      <c r="R741" s="203">
        <v>0.25</v>
      </c>
      <c r="S741" s="203"/>
      <c r="T741" s="151"/>
      <c r="U741" s="151">
        <v>1.7</v>
      </c>
      <c r="V741" s="151">
        <v>0.25</v>
      </c>
      <c r="W741" s="151">
        <f t="shared" si="45"/>
        <v>0.25</v>
      </c>
      <c r="X741" s="152">
        <f t="shared" si="46"/>
        <v>1.7500000000000002E-2</v>
      </c>
      <c r="Y741" s="152"/>
      <c r="Z741" s="148"/>
      <c r="AA741" s="153"/>
      <c r="AB741" s="153"/>
      <c r="AC741" s="153"/>
      <c r="AD741" s="153"/>
      <c r="AH741" s="147"/>
    </row>
    <row r="742" spans="1:34" s="146" customFormat="1" x14ac:dyDescent="0.25">
      <c r="A742" s="196">
        <v>1395</v>
      </c>
      <c r="B742" s="196" t="s">
        <v>4228</v>
      </c>
      <c r="C742" s="196" t="s">
        <v>4229</v>
      </c>
      <c r="D742" s="196" t="s">
        <v>2209</v>
      </c>
      <c r="E742" s="196"/>
      <c r="F742" s="196">
        <v>1992</v>
      </c>
      <c r="G742" s="196"/>
      <c r="H742" s="196" t="s">
        <v>1878</v>
      </c>
      <c r="I742" s="141" t="s">
        <v>1879</v>
      </c>
      <c r="J742" s="196"/>
      <c r="K742" s="196" t="s">
        <v>1881</v>
      </c>
      <c r="L742" s="141" t="s">
        <v>4230</v>
      </c>
      <c r="M742" s="196">
        <v>176</v>
      </c>
      <c r="N742" s="196"/>
      <c r="O742" s="196" t="s">
        <v>4156</v>
      </c>
      <c r="P742" s="144">
        <v>144</v>
      </c>
      <c r="Q742" s="145">
        <f t="shared" si="44"/>
        <v>1.7175</v>
      </c>
      <c r="R742" s="203">
        <v>0.25</v>
      </c>
      <c r="S742" s="203"/>
      <c r="T742" s="151"/>
      <c r="U742" s="151">
        <v>1.2</v>
      </c>
      <c r="V742" s="151">
        <v>0.25</v>
      </c>
      <c r="W742" s="151">
        <f t="shared" si="45"/>
        <v>0.25</v>
      </c>
      <c r="X742" s="152">
        <f t="shared" si="46"/>
        <v>1.7500000000000002E-2</v>
      </c>
      <c r="Y742" s="152"/>
      <c r="Z742" s="148"/>
      <c r="AA742" s="153"/>
      <c r="AB742" s="153"/>
      <c r="AC742" s="153"/>
      <c r="AD742" s="153"/>
      <c r="AH742" s="147"/>
    </row>
    <row r="743" spans="1:34" s="146" customFormat="1" x14ac:dyDescent="0.25">
      <c r="A743" s="196">
        <v>2522</v>
      </c>
      <c r="B743" s="196" t="s">
        <v>4231</v>
      </c>
      <c r="C743" s="196" t="s">
        <v>4232</v>
      </c>
      <c r="D743" s="196" t="s">
        <v>2054</v>
      </c>
      <c r="E743" s="196"/>
      <c r="F743" s="196">
        <v>2001</v>
      </c>
      <c r="G743" s="196"/>
      <c r="H743" s="196" t="s">
        <v>2734</v>
      </c>
      <c r="I743" s="141" t="s">
        <v>1879</v>
      </c>
      <c r="J743" s="196"/>
      <c r="K743" s="196" t="s">
        <v>1881</v>
      </c>
      <c r="L743" s="141" t="s">
        <v>4233</v>
      </c>
      <c r="M743" s="196">
        <v>378</v>
      </c>
      <c r="N743" s="196"/>
      <c r="O743" s="196" t="s">
        <v>4157</v>
      </c>
      <c r="P743" s="144">
        <v>548</v>
      </c>
      <c r="Q743" s="145">
        <f t="shared" si="44"/>
        <v>3.0093000000000001</v>
      </c>
      <c r="R743" s="203">
        <v>0.99</v>
      </c>
      <c r="S743" s="203"/>
      <c r="T743" s="151"/>
      <c r="U743" s="151">
        <v>1.7</v>
      </c>
      <c r="V743" s="151">
        <v>0.25</v>
      </c>
      <c r="W743" s="151">
        <f t="shared" si="45"/>
        <v>0.99</v>
      </c>
      <c r="X743" s="152">
        <f t="shared" si="46"/>
        <v>6.93E-2</v>
      </c>
      <c r="Y743" s="152"/>
      <c r="Z743" s="148"/>
      <c r="AA743" s="153"/>
      <c r="AB743" s="153"/>
      <c r="AC743" s="153"/>
      <c r="AD743" s="153"/>
      <c r="AH743" s="147"/>
    </row>
    <row r="744" spans="1:34" s="146" customFormat="1" x14ac:dyDescent="0.25">
      <c r="A744" s="196">
        <v>2952</v>
      </c>
      <c r="B744" s="196" t="s">
        <v>4038</v>
      </c>
      <c r="C744" s="196" t="s">
        <v>4234</v>
      </c>
      <c r="D744" s="196" t="s">
        <v>2300</v>
      </c>
      <c r="E744" s="196" t="s">
        <v>1899</v>
      </c>
      <c r="F744" s="196">
        <v>2005</v>
      </c>
      <c r="G744" s="196"/>
      <c r="H744" s="196" t="s">
        <v>1878</v>
      </c>
      <c r="I744" s="141" t="s">
        <v>1879</v>
      </c>
      <c r="J744" s="196" t="s">
        <v>4039</v>
      </c>
      <c r="K744" s="196" t="s">
        <v>1881</v>
      </c>
      <c r="L744" s="141" t="s">
        <v>4040</v>
      </c>
      <c r="M744" s="196">
        <v>560</v>
      </c>
      <c r="N744" s="196"/>
      <c r="O744" s="196" t="s">
        <v>3924</v>
      </c>
      <c r="P744" s="144">
        <v>615</v>
      </c>
      <c r="Q744" s="145">
        <f t="shared" si="44"/>
        <v>2.2175000000000002</v>
      </c>
      <c r="R744" s="203">
        <v>0.25</v>
      </c>
      <c r="S744" s="203"/>
      <c r="T744" s="151"/>
      <c r="U744" s="151">
        <v>1.7</v>
      </c>
      <c r="V744" s="151">
        <v>0.25</v>
      </c>
      <c r="W744" s="151">
        <f t="shared" si="45"/>
        <v>0.25</v>
      </c>
      <c r="X744" s="152">
        <f t="shared" si="46"/>
        <v>1.7500000000000002E-2</v>
      </c>
      <c r="Y744" s="152"/>
      <c r="Z744" s="148"/>
      <c r="AA744" s="153"/>
      <c r="AB744" s="153"/>
      <c r="AC744" s="153"/>
      <c r="AD744" s="153"/>
      <c r="AH744" s="147"/>
    </row>
    <row r="745" spans="1:34" s="146" customFormat="1" x14ac:dyDescent="0.25">
      <c r="A745" s="196">
        <v>632</v>
      </c>
      <c r="B745" s="196" t="s">
        <v>3961</v>
      </c>
      <c r="C745" s="196" t="s">
        <v>3962</v>
      </c>
      <c r="D745" s="196" t="s">
        <v>1920</v>
      </c>
      <c r="E745" s="196"/>
      <c r="F745" s="196">
        <v>2013</v>
      </c>
      <c r="G745" s="196"/>
      <c r="H745" s="196" t="s">
        <v>1878</v>
      </c>
      <c r="I745" s="141" t="s">
        <v>1879</v>
      </c>
      <c r="J745" s="196" t="s">
        <v>3649</v>
      </c>
      <c r="K745" s="196" t="s">
        <v>1881</v>
      </c>
      <c r="L745" s="141"/>
      <c r="M745" s="196">
        <v>624</v>
      </c>
      <c r="N745" s="196"/>
      <c r="O745" s="196" t="s">
        <v>3892</v>
      </c>
      <c r="P745" s="144">
        <v>461</v>
      </c>
      <c r="Q745" s="145">
        <f t="shared" si="44"/>
        <v>2.5093000000000001</v>
      </c>
      <c r="R745" s="203">
        <v>0.99</v>
      </c>
      <c r="S745" s="203"/>
      <c r="T745" s="151"/>
      <c r="U745" s="151">
        <v>1.2</v>
      </c>
      <c r="V745" s="151">
        <v>0.25</v>
      </c>
      <c r="W745" s="151">
        <f t="shared" si="45"/>
        <v>0.99</v>
      </c>
      <c r="X745" s="152">
        <f t="shared" si="46"/>
        <v>6.93E-2</v>
      </c>
      <c r="Y745" s="152"/>
      <c r="Z745" s="148"/>
      <c r="AA745" s="153"/>
      <c r="AB745" s="153"/>
      <c r="AC745" s="153"/>
      <c r="AD745" s="153"/>
      <c r="AH745" s="147"/>
    </row>
    <row r="746" spans="1:34" s="146" customFormat="1" x14ac:dyDescent="0.25">
      <c r="A746" s="196">
        <v>1395</v>
      </c>
      <c r="B746" s="196" t="s">
        <v>3644</v>
      </c>
      <c r="C746" s="196" t="s">
        <v>3645</v>
      </c>
      <c r="D746" s="196" t="s">
        <v>3646</v>
      </c>
      <c r="E746" s="196"/>
      <c r="F746" s="196"/>
      <c r="G746" s="196"/>
      <c r="H746" s="196" t="s">
        <v>1878</v>
      </c>
      <c r="I746" s="141" t="s">
        <v>1879</v>
      </c>
      <c r="J746" s="196" t="s">
        <v>3303</v>
      </c>
      <c r="K746" s="196" t="s">
        <v>1881</v>
      </c>
      <c r="L746" s="141"/>
      <c r="M746" s="196">
        <v>240</v>
      </c>
      <c r="N746" s="196"/>
      <c r="O746" s="196" t="s">
        <v>3545</v>
      </c>
      <c r="P746" s="144">
        <v>220</v>
      </c>
      <c r="Q746" s="145">
        <f t="shared" si="44"/>
        <v>2.5093000000000001</v>
      </c>
      <c r="R746" s="203">
        <v>0.99</v>
      </c>
      <c r="S746" s="203"/>
      <c r="T746" s="151"/>
      <c r="U746" s="151">
        <v>1.2</v>
      </c>
      <c r="V746" s="151">
        <v>0.25</v>
      </c>
      <c r="W746" s="151">
        <f t="shared" si="45"/>
        <v>0.99</v>
      </c>
      <c r="X746" s="152">
        <f t="shared" si="46"/>
        <v>6.93E-2</v>
      </c>
      <c r="Y746" s="152"/>
      <c r="Z746" s="148"/>
      <c r="AA746" s="153"/>
      <c r="AB746" s="153"/>
      <c r="AC746" s="153"/>
      <c r="AD746" s="153"/>
      <c r="AH746" s="147"/>
    </row>
    <row r="747" spans="1:34" s="146" customFormat="1" x14ac:dyDescent="0.25">
      <c r="A747" s="196">
        <v>1348</v>
      </c>
      <c r="B747" s="196" t="s">
        <v>4235</v>
      </c>
      <c r="C747" s="196" t="s">
        <v>4236</v>
      </c>
      <c r="D747" s="196" t="s">
        <v>2007</v>
      </c>
      <c r="E747" s="196"/>
      <c r="F747" s="196">
        <v>2000</v>
      </c>
      <c r="G747" s="196"/>
      <c r="H747" s="196" t="s">
        <v>2008</v>
      </c>
      <c r="I747" s="141" t="s">
        <v>1879</v>
      </c>
      <c r="J747" s="196" t="s">
        <v>2237</v>
      </c>
      <c r="K747" s="196" t="s">
        <v>1881</v>
      </c>
      <c r="L747" s="141" t="s">
        <v>4237</v>
      </c>
      <c r="M747" s="196">
        <v>104</v>
      </c>
      <c r="N747" s="196"/>
      <c r="O747" s="196" t="s">
        <v>4158</v>
      </c>
      <c r="P747" s="144">
        <v>56</v>
      </c>
      <c r="Q747" s="145">
        <f t="shared" si="44"/>
        <v>3.5792999999999999</v>
      </c>
      <c r="R747" s="203">
        <v>1.99</v>
      </c>
      <c r="S747" s="203"/>
      <c r="T747" s="151"/>
      <c r="U747" s="151">
        <v>1.2</v>
      </c>
      <c r="V747" s="151">
        <v>0.25</v>
      </c>
      <c r="W747" s="151">
        <f t="shared" si="45"/>
        <v>1.99</v>
      </c>
      <c r="X747" s="152">
        <f t="shared" si="46"/>
        <v>0.13930000000000001</v>
      </c>
      <c r="Y747" s="152"/>
      <c r="Z747" s="148"/>
      <c r="AA747" s="153"/>
      <c r="AB747" s="153"/>
      <c r="AC747" s="153"/>
      <c r="AD747" s="153"/>
      <c r="AH747" s="147"/>
    </row>
    <row r="748" spans="1:34" s="146" customFormat="1" x14ac:dyDescent="0.25">
      <c r="A748" s="196">
        <v>2551</v>
      </c>
      <c r="B748" s="196" t="s">
        <v>4238</v>
      </c>
      <c r="C748" s="196" t="s">
        <v>4239</v>
      </c>
      <c r="D748" s="196" t="s">
        <v>2232</v>
      </c>
      <c r="E748" s="196" t="s">
        <v>1913</v>
      </c>
      <c r="F748" s="196">
        <v>2006</v>
      </c>
      <c r="G748" s="196"/>
      <c r="H748" s="196" t="s">
        <v>1878</v>
      </c>
      <c r="I748" s="141" t="s">
        <v>1879</v>
      </c>
      <c r="J748" s="196" t="s">
        <v>3865</v>
      </c>
      <c r="K748" s="196" t="s">
        <v>1881</v>
      </c>
      <c r="L748" s="141" t="s">
        <v>4240</v>
      </c>
      <c r="M748" s="196">
        <v>544</v>
      </c>
      <c r="N748" s="196"/>
      <c r="O748" s="196" t="s">
        <v>4159</v>
      </c>
      <c r="P748" s="144">
        <v>460</v>
      </c>
      <c r="Q748" s="145">
        <f t="shared" si="44"/>
        <v>3.5792999999999999</v>
      </c>
      <c r="R748" s="203">
        <v>1.99</v>
      </c>
      <c r="S748" s="203"/>
      <c r="T748" s="151"/>
      <c r="U748" s="151">
        <v>1.2</v>
      </c>
      <c r="V748" s="151">
        <v>0.25</v>
      </c>
      <c r="W748" s="151">
        <f t="shared" si="45"/>
        <v>1.99</v>
      </c>
      <c r="X748" s="152">
        <f t="shared" si="46"/>
        <v>0.13930000000000001</v>
      </c>
      <c r="Y748" s="152"/>
      <c r="Z748" s="148"/>
      <c r="AA748" s="153"/>
      <c r="AB748" s="153"/>
      <c r="AC748" s="153"/>
      <c r="AD748" s="153"/>
      <c r="AH748" s="147"/>
    </row>
    <row r="749" spans="1:34" s="146" customFormat="1" x14ac:dyDescent="0.25">
      <c r="A749" s="196">
        <v>61</v>
      </c>
      <c r="B749" s="196" t="s">
        <v>4241</v>
      </c>
      <c r="C749" s="196" t="s">
        <v>4242</v>
      </c>
      <c r="D749" s="196" t="s">
        <v>4243</v>
      </c>
      <c r="E749" s="196" t="s">
        <v>1899</v>
      </c>
      <c r="F749" s="196">
        <v>2010</v>
      </c>
      <c r="G749" s="196"/>
      <c r="H749" s="196" t="s">
        <v>1878</v>
      </c>
      <c r="I749" s="141" t="s">
        <v>1879</v>
      </c>
      <c r="J749" s="196" t="s">
        <v>3865</v>
      </c>
      <c r="K749" s="196" t="s">
        <v>1881</v>
      </c>
      <c r="L749" s="141" t="s">
        <v>4244</v>
      </c>
      <c r="M749" s="196">
        <v>248</v>
      </c>
      <c r="N749" s="196"/>
      <c r="O749" s="196" t="s">
        <v>4160</v>
      </c>
      <c r="P749" s="144">
        <v>394</v>
      </c>
      <c r="Q749" s="145">
        <f t="shared" si="44"/>
        <v>5.7193000000000005</v>
      </c>
      <c r="R749" s="203">
        <v>3.99</v>
      </c>
      <c r="S749" s="203"/>
      <c r="T749" s="151"/>
      <c r="U749" s="151">
        <v>1.2</v>
      </c>
      <c r="V749" s="151">
        <v>0.25</v>
      </c>
      <c r="W749" s="151">
        <f t="shared" si="45"/>
        <v>3.99</v>
      </c>
      <c r="X749" s="152">
        <f t="shared" si="46"/>
        <v>0.27930000000000005</v>
      </c>
      <c r="Y749" s="152"/>
      <c r="Z749" s="148"/>
      <c r="AA749" s="153"/>
      <c r="AB749" s="153"/>
      <c r="AC749" s="153"/>
      <c r="AD749" s="153"/>
      <c r="AH749" s="147"/>
    </row>
    <row r="750" spans="1:34" s="146" customFormat="1" x14ac:dyDescent="0.25">
      <c r="A750" s="196">
        <v>688</v>
      </c>
      <c r="B750" s="196" t="s">
        <v>4034</v>
      </c>
      <c r="C750" s="196" t="s">
        <v>4245</v>
      </c>
      <c r="D750" s="196" t="s">
        <v>2209</v>
      </c>
      <c r="E750" s="196"/>
      <c r="F750" s="196">
        <v>2003</v>
      </c>
      <c r="G750" s="196"/>
      <c r="H750" s="196" t="s">
        <v>1878</v>
      </c>
      <c r="I750" s="141" t="s">
        <v>1879</v>
      </c>
      <c r="J750" s="196" t="s">
        <v>4246</v>
      </c>
      <c r="K750" s="196" t="s">
        <v>1881</v>
      </c>
      <c r="L750" s="141" t="s">
        <v>4247</v>
      </c>
      <c r="M750" s="196">
        <v>480</v>
      </c>
      <c r="N750" s="196"/>
      <c r="O750" s="196" t="s">
        <v>4161</v>
      </c>
      <c r="P750" s="144">
        <v>346</v>
      </c>
      <c r="Q750" s="145">
        <f t="shared" ref="Q750:Q772" si="47">SUM(T750:X750)</f>
        <v>2.5093000000000001</v>
      </c>
      <c r="R750" s="203">
        <v>0.99</v>
      </c>
      <c r="S750" s="203"/>
      <c r="T750" s="151"/>
      <c r="U750" s="151">
        <v>1.2</v>
      </c>
      <c r="V750" s="151">
        <v>0.25</v>
      </c>
      <c r="W750" s="151">
        <f t="shared" ref="W750:W804" si="48">IF(R750&gt;T750,R750,T750)</f>
        <v>0.99</v>
      </c>
      <c r="X750" s="152">
        <f t="shared" si="46"/>
        <v>6.93E-2</v>
      </c>
      <c r="Y750" s="152"/>
      <c r="Z750" s="148"/>
      <c r="AA750" s="153"/>
      <c r="AB750" s="153"/>
      <c r="AC750" s="153"/>
      <c r="AD750" s="153"/>
      <c r="AH750" s="147"/>
    </row>
    <row r="751" spans="1:34" s="146" customFormat="1" x14ac:dyDescent="0.25">
      <c r="A751" s="196">
        <v>767</v>
      </c>
      <c r="B751" s="196" t="s">
        <v>4248</v>
      </c>
      <c r="C751" s="196" t="s">
        <v>4249</v>
      </c>
      <c r="D751" s="196" t="s">
        <v>2054</v>
      </c>
      <c r="E751" s="196"/>
      <c r="F751" s="196">
        <v>2010</v>
      </c>
      <c r="G751" s="196"/>
      <c r="H751" s="196" t="s">
        <v>2734</v>
      </c>
      <c r="I751" s="141" t="s">
        <v>1879</v>
      </c>
      <c r="J751" s="196" t="s">
        <v>4250</v>
      </c>
      <c r="K751" s="196" t="s">
        <v>1881</v>
      </c>
      <c r="L751" s="141" t="s">
        <v>4251</v>
      </c>
      <c r="M751" s="196">
        <v>226</v>
      </c>
      <c r="N751" s="196"/>
      <c r="O751" s="196" t="s">
        <v>4162</v>
      </c>
      <c r="P751" s="144">
        <v>388</v>
      </c>
      <c r="Q751" s="145">
        <f t="shared" si="47"/>
        <v>2.5093000000000001</v>
      </c>
      <c r="R751" s="203">
        <v>0.99</v>
      </c>
      <c r="S751" s="203"/>
      <c r="T751" s="151"/>
      <c r="U751" s="151">
        <v>1.2</v>
      </c>
      <c r="V751" s="151">
        <v>0.25</v>
      </c>
      <c r="W751" s="151">
        <f t="shared" si="48"/>
        <v>0.99</v>
      </c>
      <c r="X751" s="152">
        <f t="shared" si="46"/>
        <v>6.93E-2</v>
      </c>
      <c r="Y751" s="152"/>
      <c r="Z751" s="148"/>
      <c r="AA751" s="153"/>
      <c r="AB751" s="153"/>
      <c r="AC751" s="153"/>
      <c r="AD751" s="153"/>
      <c r="AH751" s="147"/>
    </row>
    <row r="752" spans="1:34" s="146" customFormat="1" x14ac:dyDescent="0.25">
      <c r="A752" s="196">
        <v>1348</v>
      </c>
      <c r="B752" s="196" t="s">
        <v>4252</v>
      </c>
      <c r="C752" s="196" t="s">
        <v>4253</v>
      </c>
      <c r="D752" s="196" t="s">
        <v>2300</v>
      </c>
      <c r="E752" s="196"/>
      <c r="F752" s="196">
        <v>1964</v>
      </c>
      <c r="G752" s="196"/>
      <c r="H752" s="196" t="s">
        <v>1878</v>
      </c>
      <c r="I752" s="141" t="s">
        <v>1914</v>
      </c>
      <c r="J752" s="196" t="s">
        <v>3653</v>
      </c>
      <c r="K752" s="196" t="s">
        <v>1881</v>
      </c>
      <c r="L752" s="141"/>
      <c r="M752" s="196">
        <v>188</v>
      </c>
      <c r="N752" s="196"/>
      <c r="O752" s="196" t="s">
        <v>4163</v>
      </c>
      <c r="P752" s="144">
        <v>134</v>
      </c>
      <c r="Q752" s="145">
        <f t="shared" si="47"/>
        <v>1.7175</v>
      </c>
      <c r="R752" s="203">
        <v>0.25</v>
      </c>
      <c r="S752" s="203"/>
      <c r="T752" s="151"/>
      <c r="U752" s="151">
        <v>1.2</v>
      </c>
      <c r="V752" s="151">
        <v>0.25</v>
      </c>
      <c r="W752" s="151">
        <f t="shared" si="48"/>
        <v>0.25</v>
      </c>
      <c r="X752" s="152">
        <f t="shared" si="46"/>
        <v>1.7500000000000002E-2</v>
      </c>
      <c r="Y752" s="152"/>
      <c r="Z752" s="148"/>
      <c r="AA752" s="153"/>
      <c r="AB752" s="153"/>
      <c r="AC752" s="153"/>
      <c r="AD752" s="153"/>
      <c r="AH752" s="147"/>
    </row>
    <row r="753" spans="1:34" s="146" customFormat="1" x14ac:dyDescent="0.25">
      <c r="A753" s="196">
        <v>2516</v>
      </c>
      <c r="B753" s="196" t="s">
        <v>4254</v>
      </c>
      <c r="C753" s="196" t="s">
        <v>4255</v>
      </c>
      <c r="D753" s="196" t="s">
        <v>2232</v>
      </c>
      <c r="E753" s="196" t="s">
        <v>1913</v>
      </c>
      <c r="F753" s="196">
        <v>2012</v>
      </c>
      <c r="G753" s="196"/>
      <c r="H753" s="196" t="s">
        <v>2008</v>
      </c>
      <c r="I753" s="141" t="s">
        <v>1879</v>
      </c>
      <c r="J753" s="143" t="s">
        <v>3854</v>
      </c>
      <c r="K753" s="196" t="s">
        <v>1881</v>
      </c>
      <c r="L753" s="141" t="s">
        <v>4256</v>
      </c>
      <c r="M753" s="196">
        <v>224</v>
      </c>
      <c r="N753" s="196"/>
      <c r="O753" s="196" t="s">
        <v>4164</v>
      </c>
      <c r="P753" s="144">
        <v>217</v>
      </c>
      <c r="Q753" s="145">
        <f t="shared" si="47"/>
        <v>2.4022999999999999</v>
      </c>
      <c r="R753" s="203">
        <v>0.89</v>
      </c>
      <c r="S753" s="203"/>
      <c r="T753" s="151"/>
      <c r="U753" s="151">
        <v>1.2</v>
      </c>
      <c r="V753" s="151">
        <v>0.25</v>
      </c>
      <c r="W753" s="151">
        <f t="shared" si="48"/>
        <v>0.89</v>
      </c>
      <c r="X753" s="152">
        <f t="shared" si="46"/>
        <v>6.2300000000000001E-2</v>
      </c>
      <c r="Y753" s="152"/>
      <c r="Z753" s="148"/>
      <c r="AA753" s="153"/>
      <c r="AB753" s="153"/>
      <c r="AC753" s="153"/>
      <c r="AD753" s="153"/>
      <c r="AH753" s="147"/>
    </row>
    <row r="754" spans="1:34" s="146" customFormat="1" x14ac:dyDescent="0.25">
      <c r="A754" s="196">
        <v>548</v>
      </c>
      <c r="B754" s="196" t="s">
        <v>4257</v>
      </c>
      <c r="C754" s="196" t="s">
        <v>4258</v>
      </c>
      <c r="D754" s="196" t="s">
        <v>2300</v>
      </c>
      <c r="E754" s="196" t="s">
        <v>4259</v>
      </c>
      <c r="F754" s="196">
        <v>2000</v>
      </c>
      <c r="G754" s="196"/>
      <c r="H754" s="196" t="s">
        <v>1878</v>
      </c>
      <c r="I754" s="141" t="s">
        <v>1879</v>
      </c>
      <c r="J754" s="196" t="s">
        <v>2237</v>
      </c>
      <c r="K754" s="196" t="s">
        <v>1881</v>
      </c>
      <c r="L754" s="141" t="s">
        <v>4260</v>
      </c>
      <c r="M754" s="196">
        <v>192</v>
      </c>
      <c r="N754" s="196"/>
      <c r="O754" s="196" t="s">
        <v>4165</v>
      </c>
      <c r="P754" s="144">
        <v>181</v>
      </c>
      <c r="Q754" s="145">
        <f t="shared" si="47"/>
        <v>1.7175</v>
      </c>
      <c r="R754" s="203">
        <v>0.25</v>
      </c>
      <c r="S754" s="203"/>
      <c r="T754" s="151"/>
      <c r="U754" s="151">
        <v>1.2</v>
      </c>
      <c r="V754" s="151">
        <v>0.25</v>
      </c>
      <c r="W754" s="151">
        <f t="shared" si="48"/>
        <v>0.25</v>
      </c>
      <c r="X754" s="152">
        <f t="shared" si="46"/>
        <v>1.7500000000000002E-2</v>
      </c>
      <c r="Y754" s="152"/>
      <c r="Z754" s="148"/>
      <c r="AA754" s="153"/>
      <c r="AB754" s="153"/>
      <c r="AC754" s="153"/>
      <c r="AD754" s="153"/>
      <c r="AH754" s="147"/>
    </row>
    <row r="755" spans="1:34" s="146" customFormat="1" x14ac:dyDescent="0.25">
      <c r="A755" s="196">
        <v>1395</v>
      </c>
      <c r="B755" s="196" t="s">
        <v>4261</v>
      </c>
      <c r="C755" s="196" t="s">
        <v>4262</v>
      </c>
      <c r="D755" s="196" t="s">
        <v>1920</v>
      </c>
      <c r="E755" s="196"/>
      <c r="F755" s="196">
        <v>1999</v>
      </c>
      <c r="G755" s="196"/>
      <c r="H755" s="196" t="s">
        <v>1878</v>
      </c>
      <c r="I755" s="141" t="s">
        <v>1879</v>
      </c>
      <c r="J755" s="143" t="s">
        <v>3854</v>
      </c>
      <c r="K755" s="196" t="s">
        <v>1881</v>
      </c>
      <c r="L755" s="141" t="s">
        <v>4263</v>
      </c>
      <c r="M755" s="196">
        <v>320</v>
      </c>
      <c r="N755" s="196"/>
      <c r="O755" s="196" t="s">
        <v>4166</v>
      </c>
      <c r="P755" s="144">
        <v>218</v>
      </c>
      <c r="Q755" s="145">
        <f t="shared" si="47"/>
        <v>1.7175</v>
      </c>
      <c r="R755" s="203">
        <v>0.25</v>
      </c>
      <c r="S755" s="203"/>
      <c r="T755" s="151"/>
      <c r="U755" s="151">
        <v>1.2</v>
      </c>
      <c r="V755" s="151">
        <v>0.25</v>
      </c>
      <c r="W755" s="151">
        <f t="shared" si="48"/>
        <v>0.25</v>
      </c>
      <c r="X755" s="152">
        <f t="shared" si="46"/>
        <v>1.7500000000000002E-2</v>
      </c>
      <c r="Y755" s="152"/>
      <c r="Z755" s="148"/>
      <c r="AA755" s="153"/>
      <c r="AB755" s="153"/>
      <c r="AC755" s="153"/>
      <c r="AD755" s="153"/>
      <c r="AH755" s="147"/>
    </row>
    <row r="756" spans="1:34" s="146" customFormat="1" x14ac:dyDescent="0.25">
      <c r="A756" s="196">
        <v>1875</v>
      </c>
      <c r="B756" s="196" t="s">
        <v>4264</v>
      </c>
      <c r="C756" s="196" t="s">
        <v>4265</v>
      </c>
      <c r="D756" s="196" t="s">
        <v>1912</v>
      </c>
      <c r="E756" s="196" t="s">
        <v>2032</v>
      </c>
      <c r="F756" s="196">
        <v>2006</v>
      </c>
      <c r="G756" s="196"/>
      <c r="H756" s="196" t="s">
        <v>1878</v>
      </c>
      <c r="I756" s="141" t="s">
        <v>1879</v>
      </c>
      <c r="J756" s="196"/>
      <c r="K756" s="196" t="s">
        <v>1881</v>
      </c>
      <c r="L756" s="141" t="s">
        <v>4266</v>
      </c>
      <c r="M756" s="196">
        <v>208</v>
      </c>
      <c r="N756" s="196"/>
      <c r="O756" s="196" t="s">
        <v>4167</v>
      </c>
      <c r="P756" s="144">
        <v>205</v>
      </c>
      <c r="Q756" s="145">
        <f t="shared" si="47"/>
        <v>1.7175</v>
      </c>
      <c r="R756" s="203">
        <v>0.25</v>
      </c>
      <c r="S756" s="203"/>
      <c r="T756" s="151"/>
      <c r="U756" s="151">
        <v>1.2</v>
      </c>
      <c r="V756" s="151">
        <v>0.25</v>
      </c>
      <c r="W756" s="151">
        <f t="shared" si="48"/>
        <v>0.25</v>
      </c>
      <c r="X756" s="152">
        <f t="shared" si="46"/>
        <v>1.7500000000000002E-2</v>
      </c>
      <c r="Y756" s="152"/>
      <c r="Z756" s="148"/>
      <c r="AA756" s="153"/>
      <c r="AB756" s="153"/>
      <c r="AC756" s="153"/>
      <c r="AD756" s="153"/>
      <c r="AH756" s="147"/>
    </row>
    <row r="757" spans="1:34" s="146" customFormat="1" x14ac:dyDescent="0.25">
      <c r="A757" s="196">
        <v>1315</v>
      </c>
      <c r="B757" s="196" t="s">
        <v>4287</v>
      </c>
      <c r="C757" s="196" t="s">
        <v>4288</v>
      </c>
      <c r="D757" s="196" t="s">
        <v>1988</v>
      </c>
      <c r="E757" s="196"/>
      <c r="F757" s="196">
        <v>2015</v>
      </c>
      <c r="G757" s="196"/>
      <c r="H757" s="196" t="s">
        <v>1878</v>
      </c>
      <c r="I757" s="141" t="s">
        <v>1879</v>
      </c>
      <c r="J757" s="196"/>
      <c r="K757" s="196" t="s">
        <v>1881</v>
      </c>
      <c r="L757" s="141" t="s">
        <v>4289</v>
      </c>
      <c r="M757" s="196">
        <v>336</v>
      </c>
      <c r="N757" s="196"/>
      <c r="O757" s="196" t="s">
        <v>4267</v>
      </c>
      <c r="P757" s="144">
        <v>291</v>
      </c>
      <c r="Q757" s="145">
        <f t="shared" si="47"/>
        <v>1.9742999999999999</v>
      </c>
      <c r="R757" s="203">
        <v>0.49</v>
      </c>
      <c r="S757" s="203"/>
      <c r="T757" s="151"/>
      <c r="U757" s="151">
        <v>1.2</v>
      </c>
      <c r="V757" s="151">
        <v>0.25</v>
      </c>
      <c r="W757" s="151">
        <f t="shared" si="48"/>
        <v>0.49</v>
      </c>
      <c r="X757" s="152">
        <f t="shared" si="46"/>
        <v>3.4299999999999997E-2</v>
      </c>
      <c r="Y757" s="152"/>
      <c r="Z757" s="148"/>
      <c r="AA757" s="153"/>
      <c r="AB757" s="153"/>
      <c r="AC757" s="153"/>
      <c r="AD757" s="153"/>
      <c r="AH757" s="147"/>
    </row>
    <row r="758" spans="1:34" s="146" customFormat="1" x14ac:dyDescent="0.25">
      <c r="A758" s="196">
        <v>690</v>
      </c>
      <c r="B758" s="196" t="s">
        <v>4127</v>
      </c>
      <c r="C758" s="196" t="s">
        <v>4290</v>
      </c>
      <c r="D758" s="196" t="s">
        <v>3116</v>
      </c>
      <c r="E758" s="196" t="s">
        <v>1899</v>
      </c>
      <c r="F758" s="196">
        <v>2011</v>
      </c>
      <c r="G758" s="196"/>
      <c r="H758" s="196" t="s">
        <v>1878</v>
      </c>
      <c r="I758" s="141" t="s">
        <v>1879</v>
      </c>
      <c r="J758" s="196" t="s">
        <v>4291</v>
      </c>
      <c r="K758" s="196" t="s">
        <v>1881</v>
      </c>
      <c r="L758" s="141" t="s">
        <v>4292</v>
      </c>
      <c r="M758" s="196">
        <v>256</v>
      </c>
      <c r="N758" s="196"/>
      <c r="O758" s="196" t="s">
        <v>4268</v>
      </c>
      <c r="P758" s="144">
        <v>223</v>
      </c>
      <c r="Q758" s="145">
        <f t="shared" si="47"/>
        <v>1.9742999999999999</v>
      </c>
      <c r="R758" s="203">
        <v>0.49</v>
      </c>
      <c r="S758" s="203"/>
      <c r="T758" s="151"/>
      <c r="U758" s="151">
        <v>1.2</v>
      </c>
      <c r="V758" s="151">
        <v>0.25</v>
      </c>
      <c r="W758" s="151">
        <f t="shared" si="48"/>
        <v>0.49</v>
      </c>
      <c r="X758" s="152">
        <f t="shared" si="46"/>
        <v>3.4299999999999997E-2</v>
      </c>
      <c r="Y758" s="152"/>
      <c r="Z758" s="148"/>
      <c r="AA758" s="153"/>
      <c r="AB758" s="153"/>
      <c r="AC758" s="153"/>
      <c r="AD758" s="153"/>
      <c r="AH758" s="147"/>
    </row>
    <row r="759" spans="1:34" s="146" customFormat="1" x14ac:dyDescent="0.25">
      <c r="A759" s="196">
        <v>1315</v>
      </c>
      <c r="B759" s="196" t="s">
        <v>4293</v>
      </c>
      <c r="C759" s="196" t="s">
        <v>4294</v>
      </c>
      <c r="D759" s="196" t="s">
        <v>3312</v>
      </c>
      <c r="E759" s="196"/>
      <c r="F759" s="196">
        <v>2005</v>
      </c>
      <c r="G759" s="196"/>
      <c r="H759" s="196" t="s">
        <v>2734</v>
      </c>
      <c r="I759" s="141" t="s">
        <v>1879</v>
      </c>
      <c r="J759" s="196" t="s">
        <v>3649</v>
      </c>
      <c r="K759" s="196" t="s">
        <v>1881</v>
      </c>
      <c r="L759" s="141" t="s">
        <v>4295</v>
      </c>
      <c r="M759" s="196">
        <v>322</v>
      </c>
      <c r="N759" s="196"/>
      <c r="O759" s="196" t="s">
        <v>4269</v>
      </c>
      <c r="P759" s="144">
        <v>564</v>
      </c>
      <c r="Q759" s="145">
        <f t="shared" si="47"/>
        <v>2.3672999999999997</v>
      </c>
      <c r="R759" s="203">
        <v>0.39</v>
      </c>
      <c r="S759" s="203"/>
      <c r="T759" s="151"/>
      <c r="U759" s="151">
        <v>1.7</v>
      </c>
      <c r="V759" s="151">
        <v>0.25</v>
      </c>
      <c r="W759" s="151">
        <f t="shared" si="48"/>
        <v>0.39</v>
      </c>
      <c r="X759" s="152">
        <f t="shared" si="46"/>
        <v>2.7300000000000001E-2</v>
      </c>
      <c r="Y759" s="152"/>
      <c r="Z759" s="148"/>
      <c r="AA759" s="153"/>
      <c r="AB759" s="153"/>
      <c r="AC759" s="153"/>
      <c r="AD759" s="153"/>
      <c r="AH759" s="147"/>
    </row>
    <row r="760" spans="1:34" s="146" customFormat="1" x14ac:dyDescent="0.25">
      <c r="A760" s="196">
        <v>607</v>
      </c>
      <c r="B760" s="196"/>
      <c r="C760" s="196" t="s">
        <v>4296</v>
      </c>
      <c r="D760" s="196" t="s">
        <v>3761</v>
      </c>
      <c r="E760" s="196"/>
      <c r="F760" s="196">
        <v>2006</v>
      </c>
      <c r="G760" s="196"/>
      <c r="H760" s="196" t="s">
        <v>4297</v>
      </c>
      <c r="I760" s="141" t="s">
        <v>1879</v>
      </c>
      <c r="J760" s="196" t="s">
        <v>2237</v>
      </c>
      <c r="K760" s="196" t="s">
        <v>1881</v>
      </c>
      <c r="L760" s="141" t="s">
        <v>4298</v>
      </c>
      <c r="M760" s="196">
        <v>130</v>
      </c>
      <c r="N760" s="196"/>
      <c r="O760" s="196" t="s">
        <v>4270</v>
      </c>
      <c r="P760" s="144">
        <v>271</v>
      </c>
      <c r="Q760" s="145">
        <f t="shared" si="47"/>
        <v>2.1882999999999995</v>
      </c>
      <c r="R760" s="203">
        <v>0.69</v>
      </c>
      <c r="S760" s="203"/>
      <c r="T760" s="151"/>
      <c r="U760" s="151">
        <v>1.2</v>
      </c>
      <c r="V760" s="151">
        <v>0.25</v>
      </c>
      <c r="W760" s="151">
        <f t="shared" si="48"/>
        <v>0.69</v>
      </c>
      <c r="X760" s="152">
        <f t="shared" si="46"/>
        <v>4.8299999999999996E-2</v>
      </c>
      <c r="Y760" s="152"/>
      <c r="Z760" s="148"/>
      <c r="AA760" s="153"/>
      <c r="AB760" s="153"/>
      <c r="AC760" s="153"/>
      <c r="AD760" s="153"/>
      <c r="AH760" s="147"/>
    </row>
    <row r="761" spans="1:34" s="146" customFormat="1" x14ac:dyDescent="0.25">
      <c r="A761" s="196">
        <v>765</v>
      </c>
      <c r="B761" s="196" t="s">
        <v>4299</v>
      </c>
      <c r="C761" s="196" t="s">
        <v>4300</v>
      </c>
      <c r="D761" s="196" t="s">
        <v>2309</v>
      </c>
      <c r="E761" s="196"/>
      <c r="F761" s="196">
        <v>1991</v>
      </c>
      <c r="G761" s="196"/>
      <c r="H761" s="196" t="s">
        <v>1878</v>
      </c>
      <c r="I761" s="141" t="s">
        <v>1879</v>
      </c>
      <c r="J761" s="196"/>
      <c r="K761" s="196" t="s">
        <v>1881</v>
      </c>
      <c r="L761" s="141" t="s">
        <v>4301</v>
      </c>
      <c r="M761" s="196">
        <v>224</v>
      </c>
      <c r="N761" s="196"/>
      <c r="O761" s="196" t="s">
        <v>4271</v>
      </c>
      <c r="P761" s="144">
        <v>328</v>
      </c>
      <c r="Q761" s="145">
        <f t="shared" si="47"/>
        <v>2.7232999999999996</v>
      </c>
      <c r="R761" s="203">
        <v>1.19</v>
      </c>
      <c r="S761" s="203"/>
      <c r="T761" s="151"/>
      <c r="U761" s="151">
        <v>1.2</v>
      </c>
      <c r="V761" s="151">
        <v>0.25</v>
      </c>
      <c r="W761" s="151">
        <f t="shared" si="48"/>
        <v>1.19</v>
      </c>
      <c r="X761" s="152">
        <f t="shared" si="46"/>
        <v>8.3299999999999999E-2</v>
      </c>
      <c r="Y761" s="152"/>
      <c r="Z761" s="148"/>
      <c r="AA761" s="153"/>
      <c r="AB761" s="153"/>
      <c r="AC761" s="153"/>
      <c r="AD761" s="153"/>
      <c r="AH761" s="147"/>
    </row>
    <row r="762" spans="1:34" s="146" customFormat="1" x14ac:dyDescent="0.25">
      <c r="A762" s="196">
        <v>1304</v>
      </c>
      <c r="B762" s="196" t="s">
        <v>4302</v>
      </c>
      <c r="C762" s="196" t="s">
        <v>4303</v>
      </c>
      <c r="D762" s="196" t="s">
        <v>4304</v>
      </c>
      <c r="E762" s="196" t="s">
        <v>1877</v>
      </c>
      <c r="F762" s="196">
        <v>1987</v>
      </c>
      <c r="G762" s="196"/>
      <c r="H762" s="196" t="s">
        <v>2734</v>
      </c>
      <c r="I762" s="141" t="s">
        <v>1929</v>
      </c>
      <c r="J762" s="196"/>
      <c r="K762" s="196" t="s">
        <v>1881</v>
      </c>
      <c r="L762" s="141" t="s">
        <v>4305</v>
      </c>
      <c r="M762" s="196">
        <v>146</v>
      </c>
      <c r="N762" s="196"/>
      <c r="O762" s="196" t="s">
        <v>4272</v>
      </c>
      <c r="P762" s="144">
        <v>306</v>
      </c>
      <c r="Q762" s="145">
        <f t="shared" si="47"/>
        <v>2.2953000000000001</v>
      </c>
      <c r="R762" s="203">
        <v>0.79</v>
      </c>
      <c r="S762" s="203"/>
      <c r="T762" s="151"/>
      <c r="U762" s="151">
        <v>1.2</v>
      </c>
      <c r="V762" s="151">
        <v>0.25</v>
      </c>
      <c r="W762" s="151">
        <f t="shared" si="48"/>
        <v>0.79</v>
      </c>
      <c r="X762" s="152">
        <f t="shared" si="46"/>
        <v>5.5300000000000002E-2</v>
      </c>
      <c r="Y762" s="152"/>
      <c r="Z762" s="148"/>
      <c r="AA762" s="153"/>
      <c r="AB762" s="153"/>
      <c r="AC762" s="153"/>
      <c r="AD762" s="153"/>
      <c r="AH762" s="147"/>
    </row>
    <row r="763" spans="1:34" s="146" customFormat="1" x14ac:dyDescent="0.25">
      <c r="A763" s="196">
        <v>2516</v>
      </c>
      <c r="B763" s="196" t="s">
        <v>4306</v>
      </c>
      <c r="C763" s="196" t="s">
        <v>4307</v>
      </c>
      <c r="D763" s="196" t="s">
        <v>3332</v>
      </c>
      <c r="E763" s="196"/>
      <c r="F763" s="196"/>
      <c r="G763" s="196"/>
      <c r="H763" s="196" t="s">
        <v>2734</v>
      </c>
      <c r="I763" s="141" t="s">
        <v>1914</v>
      </c>
      <c r="J763" s="196"/>
      <c r="K763" s="196" t="s">
        <v>1881</v>
      </c>
      <c r="L763" s="141" t="s">
        <v>4308</v>
      </c>
      <c r="M763" s="196">
        <v>322</v>
      </c>
      <c r="N763" s="196"/>
      <c r="O763" s="196" t="s">
        <v>4273</v>
      </c>
      <c r="P763" s="144">
        <v>402</v>
      </c>
      <c r="Q763" s="145">
        <f t="shared" si="47"/>
        <v>1.8244999999999998</v>
      </c>
      <c r="R763" s="203">
        <v>0.35</v>
      </c>
      <c r="S763" s="203"/>
      <c r="T763" s="151"/>
      <c r="U763" s="151">
        <v>1.2</v>
      </c>
      <c r="V763" s="151">
        <v>0.25</v>
      </c>
      <c r="W763" s="151">
        <f t="shared" si="48"/>
        <v>0.35</v>
      </c>
      <c r="X763" s="152">
        <f t="shared" si="46"/>
        <v>2.4499999999999997E-2</v>
      </c>
      <c r="Y763" s="152"/>
      <c r="Z763" s="148"/>
      <c r="AA763" s="153"/>
      <c r="AB763" s="153"/>
      <c r="AC763" s="153"/>
      <c r="AD763" s="153"/>
      <c r="AH763" s="147"/>
    </row>
    <row r="764" spans="1:34" s="146" customFormat="1" x14ac:dyDescent="0.25">
      <c r="A764" s="196">
        <v>688</v>
      </c>
      <c r="B764" s="196" t="s">
        <v>4034</v>
      </c>
      <c r="C764" s="196" t="s">
        <v>4035</v>
      </c>
      <c r="D764" s="196" t="s">
        <v>2209</v>
      </c>
      <c r="E764" s="196" t="s">
        <v>1877</v>
      </c>
      <c r="F764" s="196">
        <v>2000</v>
      </c>
      <c r="G764" s="196"/>
      <c r="H764" s="196" t="s">
        <v>1878</v>
      </c>
      <c r="I764" s="141" t="s">
        <v>1879</v>
      </c>
      <c r="J764" s="196"/>
      <c r="K764" s="196" t="s">
        <v>1881</v>
      </c>
      <c r="L764" s="141" t="s">
        <v>4037</v>
      </c>
      <c r="M764" s="196">
        <v>528</v>
      </c>
      <c r="N764" s="196"/>
      <c r="O764" s="196" t="s">
        <v>4274</v>
      </c>
      <c r="P764" s="144">
        <v>360</v>
      </c>
      <c r="Q764" s="145">
        <f t="shared" si="47"/>
        <v>1.7175</v>
      </c>
      <c r="R764" s="203">
        <v>0.25</v>
      </c>
      <c r="S764" s="203"/>
      <c r="T764" s="151"/>
      <c r="U764" s="151">
        <v>1.2</v>
      </c>
      <c r="V764" s="151">
        <v>0.25</v>
      </c>
      <c r="W764" s="151">
        <f t="shared" si="48"/>
        <v>0.25</v>
      </c>
      <c r="X764" s="152">
        <f t="shared" si="46"/>
        <v>1.7500000000000002E-2</v>
      </c>
      <c r="Y764" s="152"/>
      <c r="Z764" s="148"/>
      <c r="AA764" s="153"/>
      <c r="AB764" s="153"/>
      <c r="AC764" s="153"/>
      <c r="AD764" s="153"/>
      <c r="AH764" s="147"/>
    </row>
    <row r="765" spans="1:34" s="146" customFormat="1" x14ac:dyDescent="0.25">
      <c r="A765" s="196">
        <v>1386</v>
      </c>
      <c r="B765" s="196" t="s">
        <v>4309</v>
      </c>
      <c r="C765" s="196" t="s">
        <v>4310</v>
      </c>
      <c r="D765" s="196" t="s">
        <v>2835</v>
      </c>
      <c r="E765" s="196"/>
      <c r="F765" s="196">
        <v>2010</v>
      </c>
      <c r="G765" s="196"/>
      <c r="H765" s="196" t="s">
        <v>2734</v>
      </c>
      <c r="I765" s="141" t="s">
        <v>1879</v>
      </c>
      <c r="J765" s="196" t="s">
        <v>2237</v>
      </c>
      <c r="K765" s="196" t="s">
        <v>1881</v>
      </c>
      <c r="L765" s="141" t="s">
        <v>4311</v>
      </c>
      <c r="M765" s="196">
        <v>242</v>
      </c>
      <c r="N765" s="196"/>
      <c r="O765" s="196" t="s">
        <v>4275</v>
      </c>
      <c r="P765" s="144">
        <v>379</v>
      </c>
      <c r="Q765" s="145">
        <f t="shared" si="47"/>
        <v>1.9742999999999999</v>
      </c>
      <c r="R765" s="203">
        <v>0.49</v>
      </c>
      <c r="S765" s="203"/>
      <c r="T765" s="151"/>
      <c r="U765" s="151">
        <v>1.2</v>
      </c>
      <c r="V765" s="151">
        <v>0.25</v>
      </c>
      <c r="W765" s="151">
        <f t="shared" si="48"/>
        <v>0.49</v>
      </c>
      <c r="X765" s="152">
        <f t="shared" si="46"/>
        <v>3.4299999999999997E-2</v>
      </c>
      <c r="Y765" s="152"/>
      <c r="Z765" s="148"/>
      <c r="AA765" s="153"/>
      <c r="AB765" s="153"/>
      <c r="AC765" s="153"/>
      <c r="AD765" s="153"/>
      <c r="AH765" s="147"/>
    </row>
    <row r="766" spans="1:34" s="146" customFormat="1" x14ac:dyDescent="0.25">
      <c r="A766" s="196">
        <v>1395</v>
      </c>
      <c r="B766" s="196" t="s">
        <v>4312</v>
      </c>
      <c r="C766" s="196" t="s">
        <v>4313</v>
      </c>
      <c r="D766" s="196" t="s">
        <v>1988</v>
      </c>
      <c r="E766" s="196"/>
      <c r="F766" s="196">
        <v>2009</v>
      </c>
      <c r="G766" s="196"/>
      <c r="H766" s="196" t="s">
        <v>1878</v>
      </c>
      <c r="I766" s="141" t="s">
        <v>1879</v>
      </c>
      <c r="J766" s="196" t="s">
        <v>4314</v>
      </c>
      <c r="K766" s="196" t="s">
        <v>1881</v>
      </c>
      <c r="L766" s="141" t="s">
        <v>4315</v>
      </c>
      <c r="M766" s="196">
        <v>384</v>
      </c>
      <c r="N766" s="196"/>
      <c r="O766" s="196" t="s">
        <v>4276</v>
      </c>
      <c r="P766" s="144">
        <v>285</v>
      </c>
      <c r="Q766" s="145">
        <f t="shared" si="47"/>
        <v>1.8673</v>
      </c>
      <c r="R766" s="203">
        <v>0.39</v>
      </c>
      <c r="S766" s="203"/>
      <c r="T766" s="151"/>
      <c r="U766" s="151">
        <v>1.2</v>
      </c>
      <c r="V766" s="151">
        <v>0.25</v>
      </c>
      <c r="W766" s="151">
        <f t="shared" si="48"/>
        <v>0.39</v>
      </c>
      <c r="X766" s="152">
        <f t="shared" si="46"/>
        <v>2.7300000000000001E-2</v>
      </c>
      <c r="Y766" s="152"/>
      <c r="Z766" s="148"/>
      <c r="AA766" s="153"/>
      <c r="AB766" s="153"/>
      <c r="AC766" s="153"/>
      <c r="AD766" s="153"/>
      <c r="AH766" s="147"/>
    </row>
    <row r="767" spans="1:34" s="146" customFormat="1" x14ac:dyDescent="0.25">
      <c r="A767" s="196">
        <v>968</v>
      </c>
      <c r="B767" s="196" t="s">
        <v>2191</v>
      </c>
      <c r="C767" s="196" t="s">
        <v>4316</v>
      </c>
      <c r="D767" s="196"/>
      <c r="E767" s="196"/>
      <c r="F767" s="196">
        <v>2002</v>
      </c>
      <c r="G767" s="196"/>
      <c r="H767" s="196" t="s">
        <v>1878</v>
      </c>
      <c r="I767" s="141" t="s">
        <v>1879</v>
      </c>
      <c r="J767" s="196"/>
      <c r="K767" s="196" t="s">
        <v>2025</v>
      </c>
      <c r="L767" s="141" t="s">
        <v>4317</v>
      </c>
      <c r="M767" s="196">
        <v>374</v>
      </c>
      <c r="N767" s="196"/>
      <c r="O767" s="196" t="s">
        <v>4277</v>
      </c>
      <c r="P767" s="144">
        <v>196</v>
      </c>
      <c r="Q767" s="145">
        <f t="shared" si="47"/>
        <v>3.0442999999999998</v>
      </c>
      <c r="R767" s="203">
        <v>1.49</v>
      </c>
      <c r="S767" s="203"/>
      <c r="T767" s="151"/>
      <c r="U767" s="151">
        <v>1.2</v>
      </c>
      <c r="V767" s="151">
        <v>0.25</v>
      </c>
      <c r="W767" s="151">
        <f t="shared" si="48"/>
        <v>1.49</v>
      </c>
      <c r="X767" s="152">
        <f t="shared" si="46"/>
        <v>0.1043</v>
      </c>
      <c r="Y767" s="152"/>
      <c r="Z767" s="148"/>
      <c r="AA767" s="153"/>
      <c r="AB767" s="153"/>
      <c r="AC767" s="153"/>
      <c r="AD767" s="153"/>
      <c r="AH767" s="147"/>
    </row>
    <row r="768" spans="1:34" s="146" customFormat="1" x14ac:dyDescent="0.25">
      <c r="A768" s="196"/>
      <c r="B768" s="196" t="s">
        <v>4318</v>
      </c>
      <c r="C768" s="196" t="s">
        <v>4319</v>
      </c>
      <c r="D768" s="196" t="s">
        <v>2007</v>
      </c>
      <c r="E768" s="196"/>
      <c r="F768" s="196">
        <v>2003</v>
      </c>
      <c r="G768" s="196"/>
      <c r="H768" s="196" t="s">
        <v>2008</v>
      </c>
      <c r="I768" s="141" t="s">
        <v>1929</v>
      </c>
      <c r="J768" s="196"/>
      <c r="K768" s="196" t="s">
        <v>1881</v>
      </c>
      <c r="L768" s="141" t="s">
        <v>4320</v>
      </c>
      <c r="M768" s="196">
        <v>128</v>
      </c>
      <c r="N768" s="196"/>
      <c r="O768" s="196" t="s">
        <v>4278</v>
      </c>
      <c r="P768" s="144">
        <v>70</v>
      </c>
      <c r="Q768" s="145">
        <f t="shared" si="47"/>
        <v>2.7232999999999996</v>
      </c>
      <c r="R768" s="203">
        <v>1.19</v>
      </c>
      <c r="S768" s="203"/>
      <c r="T768" s="151"/>
      <c r="U768" s="151">
        <v>1.2</v>
      </c>
      <c r="V768" s="151">
        <v>0.25</v>
      </c>
      <c r="W768" s="151">
        <f t="shared" si="48"/>
        <v>1.19</v>
      </c>
      <c r="X768" s="152">
        <f t="shared" si="46"/>
        <v>8.3299999999999999E-2</v>
      </c>
      <c r="Y768" s="152"/>
      <c r="Z768" s="148"/>
      <c r="AA768" s="153"/>
      <c r="AB768" s="153"/>
      <c r="AC768" s="153"/>
      <c r="AD768" s="153"/>
      <c r="AH768" s="147"/>
    </row>
    <row r="769" spans="1:34" s="146" customFormat="1" x14ac:dyDescent="0.25">
      <c r="A769" s="196">
        <v>1348</v>
      </c>
      <c r="B769" s="196" t="s">
        <v>4321</v>
      </c>
      <c r="C769" s="196" t="s">
        <v>4236</v>
      </c>
      <c r="D769" s="196" t="s">
        <v>2300</v>
      </c>
      <c r="E769" s="196" t="s">
        <v>4322</v>
      </c>
      <c r="F769" s="196">
        <v>1989</v>
      </c>
      <c r="G769" s="196"/>
      <c r="H769" s="196" t="s">
        <v>2008</v>
      </c>
      <c r="I769" s="141" t="s">
        <v>1879</v>
      </c>
      <c r="J769" s="196" t="s">
        <v>3202</v>
      </c>
      <c r="K769" s="196" t="s">
        <v>1881</v>
      </c>
      <c r="L769" s="141" t="s">
        <v>4323</v>
      </c>
      <c r="M769" s="196">
        <v>190</v>
      </c>
      <c r="N769" s="196"/>
      <c r="O769" s="196" t="s">
        <v>4279</v>
      </c>
      <c r="P769" s="144">
        <v>142</v>
      </c>
      <c r="Q769" s="145">
        <f t="shared" si="47"/>
        <v>1.9742999999999999</v>
      </c>
      <c r="R769" s="203">
        <v>0.49</v>
      </c>
      <c r="S769" s="203"/>
      <c r="T769" s="151"/>
      <c r="U769" s="151">
        <v>1.2</v>
      </c>
      <c r="V769" s="151">
        <v>0.25</v>
      </c>
      <c r="W769" s="151">
        <f t="shared" si="48"/>
        <v>0.49</v>
      </c>
      <c r="X769" s="152">
        <f t="shared" si="46"/>
        <v>3.4299999999999997E-2</v>
      </c>
      <c r="Y769" s="152"/>
      <c r="Z769" s="148"/>
      <c r="AA769" s="153"/>
      <c r="AB769" s="153"/>
      <c r="AC769" s="153"/>
      <c r="AD769" s="153"/>
      <c r="AH769" s="147"/>
    </row>
    <row r="770" spans="1:34" s="146" customFormat="1" x14ac:dyDescent="0.25">
      <c r="A770" s="196">
        <v>691</v>
      </c>
      <c r="B770" s="196" t="s">
        <v>4324</v>
      </c>
      <c r="C770" s="196" t="s">
        <v>4325</v>
      </c>
      <c r="D770" s="196" t="s">
        <v>1979</v>
      </c>
      <c r="E770" s="196"/>
      <c r="F770" s="196">
        <v>1995</v>
      </c>
      <c r="G770" s="196"/>
      <c r="H770" s="196" t="s">
        <v>2734</v>
      </c>
      <c r="I770" s="141" t="s">
        <v>1929</v>
      </c>
      <c r="J770" s="196"/>
      <c r="K770" s="196" t="s">
        <v>1881</v>
      </c>
      <c r="L770" s="141" t="s">
        <v>4326</v>
      </c>
      <c r="M770" s="196">
        <v>162</v>
      </c>
      <c r="N770" s="196"/>
      <c r="O770" s="196" t="s">
        <v>4280</v>
      </c>
      <c r="P770" s="144">
        <v>335</v>
      </c>
      <c r="Q770" s="145">
        <f t="shared" si="47"/>
        <v>2.5093000000000001</v>
      </c>
      <c r="R770" s="203">
        <v>0.99</v>
      </c>
      <c r="S770" s="203"/>
      <c r="T770" s="151"/>
      <c r="U770" s="151">
        <v>1.2</v>
      </c>
      <c r="V770" s="151">
        <v>0.25</v>
      </c>
      <c r="W770" s="151">
        <f t="shared" si="48"/>
        <v>0.99</v>
      </c>
      <c r="X770" s="152">
        <f t="shared" si="46"/>
        <v>6.93E-2</v>
      </c>
      <c r="Y770" s="152"/>
      <c r="Z770" s="148"/>
      <c r="AA770" s="153"/>
      <c r="AB770" s="153"/>
      <c r="AC770" s="153"/>
      <c r="AD770" s="153"/>
      <c r="AH770" s="147"/>
    </row>
    <row r="771" spans="1:34" s="146" customFormat="1" x14ac:dyDescent="0.25">
      <c r="A771" s="196">
        <v>2552</v>
      </c>
      <c r="B771" s="196" t="s">
        <v>4329</v>
      </c>
      <c r="C771" s="196" t="s">
        <v>4330</v>
      </c>
      <c r="D771" s="196" t="s">
        <v>4331</v>
      </c>
      <c r="E771" s="196" t="s">
        <v>1921</v>
      </c>
      <c r="F771" s="196">
        <v>1998</v>
      </c>
      <c r="G771" s="196"/>
      <c r="H771" s="196" t="s">
        <v>2008</v>
      </c>
      <c r="I771" s="141" t="s">
        <v>1879</v>
      </c>
      <c r="J771" s="196"/>
      <c r="K771" s="196" t="s">
        <v>1881</v>
      </c>
      <c r="L771" s="141" t="s">
        <v>4332</v>
      </c>
      <c r="M771" s="196">
        <v>320</v>
      </c>
      <c r="N771" s="196"/>
      <c r="O771" s="196" t="s">
        <v>4282</v>
      </c>
      <c r="P771" s="144">
        <v>256</v>
      </c>
      <c r="Q771" s="145">
        <f t="shared" si="47"/>
        <v>3.0442999999999998</v>
      </c>
      <c r="R771" s="203">
        <v>1.49</v>
      </c>
      <c r="S771" s="203"/>
      <c r="T771" s="151"/>
      <c r="U771" s="151">
        <v>1.2</v>
      </c>
      <c r="V771" s="151">
        <v>0.25</v>
      </c>
      <c r="W771" s="151">
        <f t="shared" si="48"/>
        <v>1.49</v>
      </c>
      <c r="X771" s="152">
        <f t="shared" si="46"/>
        <v>0.1043</v>
      </c>
      <c r="Y771" s="152"/>
      <c r="Z771" s="148"/>
      <c r="AA771" s="153"/>
      <c r="AB771" s="153"/>
      <c r="AC771" s="153"/>
      <c r="AD771" s="153"/>
      <c r="AH771" s="147"/>
    </row>
    <row r="772" spans="1:34" s="146" customFormat="1" x14ac:dyDescent="0.25">
      <c r="A772" s="196">
        <v>2687</v>
      </c>
      <c r="B772" s="196"/>
      <c r="C772" s="196" t="s">
        <v>4333</v>
      </c>
      <c r="D772" s="196" t="s">
        <v>4334</v>
      </c>
      <c r="E772" s="196"/>
      <c r="F772" s="196"/>
      <c r="G772" s="196"/>
      <c r="H772" s="196" t="s">
        <v>2734</v>
      </c>
      <c r="I772" s="141" t="s">
        <v>1929</v>
      </c>
      <c r="J772" s="196"/>
      <c r="K772" s="196" t="s">
        <v>1881</v>
      </c>
      <c r="L772" s="141" t="s">
        <v>4335</v>
      </c>
      <c r="M772" s="196"/>
      <c r="N772" s="196"/>
      <c r="O772" s="196" t="s">
        <v>4284</v>
      </c>
      <c r="P772" s="144">
        <v>387</v>
      </c>
      <c r="Q772" s="145">
        <f t="shared" si="47"/>
        <v>2.6162999999999998</v>
      </c>
      <c r="R772" s="203">
        <v>1.0900000000000001</v>
      </c>
      <c r="S772" s="203"/>
      <c r="T772" s="151"/>
      <c r="U772" s="151">
        <v>1.2</v>
      </c>
      <c r="V772" s="151">
        <v>0.25</v>
      </c>
      <c r="W772" s="151">
        <f t="shared" si="48"/>
        <v>1.0900000000000001</v>
      </c>
      <c r="X772" s="152">
        <f t="shared" si="46"/>
        <v>7.6300000000000007E-2</v>
      </c>
      <c r="Y772" s="152"/>
      <c r="Z772" s="148"/>
      <c r="AA772" s="153"/>
      <c r="AB772" s="153"/>
      <c r="AC772" s="153"/>
      <c r="AD772" s="153"/>
      <c r="AH772" s="147"/>
    </row>
    <row r="773" spans="1:34" s="146" customFormat="1" x14ac:dyDescent="0.25">
      <c r="A773" s="196">
        <v>689</v>
      </c>
      <c r="B773" s="196" t="s">
        <v>4348</v>
      </c>
      <c r="C773" s="196" t="s">
        <v>4349</v>
      </c>
      <c r="D773" s="196" t="s">
        <v>3022</v>
      </c>
      <c r="E773" s="196"/>
      <c r="F773" s="196">
        <v>1998</v>
      </c>
      <c r="G773" s="196"/>
      <c r="H773" s="196" t="s">
        <v>2734</v>
      </c>
      <c r="I773" s="141" t="s">
        <v>1879</v>
      </c>
      <c r="J773" s="196"/>
      <c r="K773" s="196" t="s">
        <v>1881</v>
      </c>
      <c r="L773" s="141" t="s">
        <v>4358</v>
      </c>
      <c r="M773" s="196">
        <v>538</v>
      </c>
      <c r="N773" s="196"/>
      <c r="O773" s="196" t="s">
        <v>4378</v>
      </c>
      <c r="P773" s="144">
        <v>656</v>
      </c>
      <c r="Q773" s="145">
        <f t="shared" ref="Q773:Q827" si="49">SUM(T773:X773)</f>
        <v>6.0053000000000001</v>
      </c>
      <c r="R773" s="203">
        <v>3.79</v>
      </c>
      <c r="S773" s="203"/>
      <c r="T773" s="151"/>
      <c r="U773" s="151">
        <v>1.7</v>
      </c>
      <c r="V773" s="151">
        <v>0.25</v>
      </c>
      <c r="W773" s="151">
        <f t="shared" si="48"/>
        <v>3.79</v>
      </c>
      <c r="X773" s="152">
        <f t="shared" si="46"/>
        <v>0.26530000000000004</v>
      </c>
      <c r="Y773" s="152"/>
      <c r="Z773" s="148"/>
      <c r="AA773" s="153"/>
      <c r="AB773" s="153"/>
      <c r="AC773" s="153"/>
      <c r="AD773" s="153"/>
      <c r="AH773" s="147"/>
    </row>
    <row r="774" spans="1:34" s="146" customFormat="1" x14ac:dyDescent="0.25">
      <c r="A774" s="196">
        <v>632</v>
      </c>
      <c r="B774" s="196" t="s">
        <v>4350</v>
      </c>
      <c r="C774" s="196" t="s">
        <v>4353</v>
      </c>
      <c r="D774" s="196" t="s">
        <v>2054</v>
      </c>
      <c r="E774" s="196"/>
      <c r="F774" s="196">
        <v>1997</v>
      </c>
      <c r="G774" s="196"/>
      <c r="H774" s="196" t="s">
        <v>2734</v>
      </c>
      <c r="I774" s="141" t="s">
        <v>1879</v>
      </c>
      <c r="J774" s="196"/>
      <c r="K774" s="196" t="s">
        <v>1881</v>
      </c>
      <c r="L774" s="141" t="s">
        <v>4359</v>
      </c>
      <c r="M774" s="196">
        <v>434</v>
      </c>
      <c r="N774" s="196"/>
      <c r="O774" s="196" t="s">
        <v>4379</v>
      </c>
      <c r="P774" s="144">
        <v>475</v>
      </c>
      <c r="Q774" s="145">
        <f t="shared" si="49"/>
        <v>3.9644999999999997</v>
      </c>
      <c r="R774" s="203">
        <v>2.35</v>
      </c>
      <c r="S774" s="203"/>
      <c r="T774" s="151"/>
      <c r="U774" s="151">
        <v>1.2</v>
      </c>
      <c r="V774" s="151">
        <v>0.25</v>
      </c>
      <c r="W774" s="151">
        <f t="shared" si="48"/>
        <v>2.35</v>
      </c>
      <c r="X774" s="152">
        <f t="shared" si="46"/>
        <v>0.16450000000000001</v>
      </c>
      <c r="Y774" s="152"/>
      <c r="Z774" s="148"/>
      <c r="AA774" s="153"/>
      <c r="AB774" s="153"/>
      <c r="AC774" s="153"/>
      <c r="AD774" s="153"/>
      <c r="AH774" s="147"/>
    </row>
    <row r="775" spans="1:34" s="146" customFormat="1" x14ac:dyDescent="0.25">
      <c r="A775" s="196">
        <v>2522</v>
      </c>
      <c r="B775" s="196" t="s">
        <v>4351</v>
      </c>
      <c r="C775" s="196" t="s">
        <v>4354</v>
      </c>
      <c r="D775" s="196" t="s">
        <v>4357</v>
      </c>
      <c r="E775" s="196"/>
      <c r="F775" s="196">
        <v>2014</v>
      </c>
      <c r="G775" s="196"/>
      <c r="H775" s="196" t="s">
        <v>1878</v>
      </c>
      <c r="I775" s="141" t="s">
        <v>1879</v>
      </c>
      <c r="J775" s="196" t="s">
        <v>4198</v>
      </c>
      <c r="K775" s="196" t="s">
        <v>1881</v>
      </c>
      <c r="L775" s="141"/>
      <c r="M775" s="196">
        <v>416</v>
      </c>
      <c r="N775" s="196"/>
      <c r="O775" s="196" t="s">
        <v>4380</v>
      </c>
      <c r="P775" s="144">
        <v>296</v>
      </c>
      <c r="Q775" s="145">
        <f t="shared" si="49"/>
        <v>2.4022999999999999</v>
      </c>
      <c r="R775" s="203">
        <v>0.89</v>
      </c>
      <c r="S775" s="203"/>
      <c r="T775" s="151"/>
      <c r="U775" s="151">
        <v>1.2</v>
      </c>
      <c r="V775" s="151">
        <v>0.25</v>
      </c>
      <c r="W775" s="151">
        <f t="shared" si="48"/>
        <v>0.89</v>
      </c>
      <c r="X775" s="152">
        <f t="shared" si="46"/>
        <v>6.2300000000000001E-2</v>
      </c>
      <c r="Y775" s="152"/>
      <c r="Z775" s="148"/>
      <c r="AA775" s="153"/>
      <c r="AB775" s="153"/>
      <c r="AC775" s="153"/>
      <c r="AD775" s="153"/>
      <c r="AH775" s="147"/>
    </row>
    <row r="776" spans="1:34" s="146" customFormat="1" x14ac:dyDescent="0.25">
      <c r="A776" s="196">
        <v>2522</v>
      </c>
      <c r="B776" s="196" t="s">
        <v>4352</v>
      </c>
      <c r="C776" s="196" t="s">
        <v>4355</v>
      </c>
      <c r="D776" s="196" t="s">
        <v>1912</v>
      </c>
      <c r="E776" s="196" t="s">
        <v>1877</v>
      </c>
      <c r="F776" s="196">
        <v>2010</v>
      </c>
      <c r="G776" s="196"/>
      <c r="H776" s="196" t="s">
        <v>1878</v>
      </c>
      <c r="I776" s="141" t="s">
        <v>1879</v>
      </c>
      <c r="J776" s="196" t="s">
        <v>3854</v>
      </c>
      <c r="K776" s="196" t="s">
        <v>1881</v>
      </c>
      <c r="L776" s="141" t="s">
        <v>4360</v>
      </c>
      <c r="M776" s="196">
        <v>384</v>
      </c>
      <c r="N776" s="196"/>
      <c r="O776" s="196" t="s">
        <v>4381</v>
      </c>
      <c r="P776" s="144">
        <v>285</v>
      </c>
      <c r="Q776" s="145">
        <f t="shared" si="49"/>
        <v>4.1036000000000001</v>
      </c>
      <c r="R776" s="203">
        <v>2.48</v>
      </c>
      <c r="S776" s="203"/>
      <c r="T776" s="151"/>
      <c r="U776" s="151">
        <v>1.2</v>
      </c>
      <c r="V776" s="151">
        <v>0.25</v>
      </c>
      <c r="W776" s="151">
        <f t="shared" si="48"/>
        <v>2.48</v>
      </c>
      <c r="X776" s="152">
        <f t="shared" si="46"/>
        <v>0.1736</v>
      </c>
      <c r="Y776" s="152"/>
      <c r="Z776" s="148"/>
      <c r="AA776" s="153"/>
      <c r="AB776" s="153"/>
      <c r="AC776" s="153"/>
      <c r="AD776" s="153"/>
      <c r="AH776" s="147"/>
    </row>
    <row r="777" spans="1:34" s="146" customFormat="1" x14ac:dyDescent="0.25">
      <c r="A777" s="196">
        <v>634</v>
      </c>
      <c r="B777" s="196" t="s">
        <v>2252</v>
      </c>
      <c r="C777" s="196" t="s">
        <v>4356</v>
      </c>
      <c r="D777" s="196" t="s">
        <v>2609</v>
      </c>
      <c r="E777" s="196"/>
      <c r="F777" s="196">
        <v>2011</v>
      </c>
      <c r="G777" s="196"/>
      <c r="H777" s="196" t="s">
        <v>1878</v>
      </c>
      <c r="I777" s="141" t="s">
        <v>1879</v>
      </c>
      <c r="J777" s="196"/>
      <c r="K777" s="196" t="s">
        <v>1881</v>
      </c>
      <c r="L777" s="141" t="s">
        <v>4361</v>
      </c>
      <c r="M777" s="196">
        <v>1312</v>
      </c>
      <c r="N777" s="196"/>
      <c r="O777" s="196" t="s">
        <v>4382</v>
      </c>
      <c r="P777" s="144">
        <v>806</v>
      </c>
      <c r="Q777" s="145">
        <f t="shared" si="49"/>
        <v>5.6843000000000004</v>
      </c>
      <c r="R777" s="203">
        <v>3.49</v>
      </c>
      <c r="S777" s="203"/>
      <c r="T777" s="151"/>
      <c r="U777" s="151">
        <v>1.7</v>
      </c>
      <c r="V777" s="151">
        <v>0.25</v>
      </c>
      <c r="W777" s="151">
        <f t="shared" si="48"/>
        <v>3.49</v>
      </c>
      <c r="X777" s="152">
        <f t="shared" si="46"/>
        <v>0.24430000000000002</v>
      </c>
      <c r="Y777" s="152"/>
      <c r="Z777" s="148"/>
      <c r="AA777" s="153"/>
      <c r="AB777" s="153"/>
      <c r="AC777" s="153"/>
      <c r="AD777" s="153"/>
      <c r="AH777" s="147"/>
    </row>
    <row r="778" spans="1:34" s="146" customFormat="1" x14ac:dyDescent="0.25">
      <c r="A778" s="196">
        <v>853</v>
      </c>
      <c r="B778" s="196" t="s">
        <v>4362</v>
      </c>
      <c r="C778" s="196" t="s">
        <v>4363</v>
      </c>
      <c r="D778" s="196" t="s">
        <v>2300</v>
      </c>
      <c r="E778" s="196"/>
      <c r="F778" s="196">
        <v>1992</v>
      </c>
      <c r="G778" s="196"/>
      <c r="H778" s="196" t="s">
        <v>1878</v>
      </c>
      <c r="I778" s="141" t="s">
        <v>1879</v>
      </c>
      <c r="J778" s="196"/>
      <c r="K778" s="196" t="s">
        <v>1881</v>
      </c>
      <c r="L778" s="141" t="s">
        <v>4364</v>
      </c>
      <c r="M778" s="196">
        <v>384</v>
      </c>
      <c r="N778" s="196"/>
      <c r="O778" s="196" t="s">
        <v>4383</v>
      </c>
      <c r="P778" s="144">
        <v>311</v>
      </c>
      <c r="Q778" s="145">
        <f t="shared" si="49"/>
        <v>4.9702999999999999</v>
      </c>
      <c r="R778" s="203">
        <v>3.29</v>
      </c>
      <c r="S778" s="203"/>
      <c r="T778" s="151"/>
      <c r="U778" s="151">
        <v>1.2</v>
      </c>
      <c r="V778" s="151">
        <v>0.25</v>
      </c>
      <c r="W778" s="151">
        <f t="shared" si="48"/>
        <v>3.29</v>
      </c>
      <c r="X778" s="152">
        <f t="shared" si="46"/>
        <v>0.2303</v>
      </c>
      <c r="Y778" s="152"/>
      <c r="Z778" s="148"/>
      <c r="AA778" s="153"/>
      <c r="AB778" s="153"/>
      <c r="AC778" s="153"/>
      <c r="AD778" s="153"/>
      <c r="AH778" s="147"/>
    </row>
    <row r="779" spans="1:34" s="146" customFormat="1" x14ac:dyDescent="0.25">
      <c r="A779" s="196">
        <v>1231</v>
      </c>
      <c r="B779" s="196" t="s">
        <v>4365</v>
      </c>
      <c r="C779" s="196" t="s">
        <v>4366</v>
      </c>
      <c r="D779" s="196" t="s">
        <v>1920</v>
      </c>
      <c r="E779" s="196" t="s">
        <v>1921</v>
      </c>
      <c r="F779" s="196">
        <v>2013</v>
      </c>
      <c r="G779" s="196"/>
      <c r="H779" s="196" t="s">
        <v>1878</v>
      </c>
      <c r="I779" s="141" t="s">
        <v>1914</v>
      </c>
      <c r="J779" s="196"/>
      <c r="K779" s="196" t="s">
        <v>1881</v>
      </c>
      <c r="L779" s="141" t="s">
        <v>4367</v>
      </c>
      <c r="M779" s="196">
        <v>240</v>
      </c>
      <c r="N779" s="196"/>
      <c r="O779" s="196" t="s">
        <v>4384</v>
      </c>
      <c r="P779" s="144">
        <v>267</v>
      </c>
      <c r="Q779" s="145">
        <f t="shared" si="49"/>
        <v>3.8040000000000003</v>
      </c>
      <c r="R779" s="203">
        <v>2.2000000000000002</v>
      </c>
      <c r="S779" s="203"/>
      <c r="T779" s="151"/>
      <c r="U779" s="151">
        <v>1.2</v>
      </c>
      <c r="V779" s="151">
        <v>0.25</v>
      </c>
      <c r="W779" s="151">
        <f t="shared" si="48"/>
        <v>2.2000000000000002</v>
      </c>
      <c r="X779" s="152">
        <f t="shared" si="46"/>
        <v>0.15400000000000003</v>
      </c>
      <c r="Y779" s="152"/>
      <c r="Z779" s="148"/>
      <c r="AA779" s="153"/>
      <c r="AB779" s="153"/>
      <c r="AC779" s="153"/>
      <c r="AD779" s="153"/>
      <c r="AH779" s="147"/>
    </row>
    <row r="780" spans="1:34" s="146" customFormat="1" x14ac:dyDescent="0.25">
      <c r="A780" s="196">
        <v>2522</v>
      </c>
      <c r="B780" s="196" t="s">
        <v>4368</v>
      </c>
      <c r="C780" s="196" t="s">
        <v>4369</v>
      </c>
      <c r="D780" s="196" t="s">
        <v>2257</v>
      </c>
      <c r="E780" s="196"/>
      <c r="F780" s="196">
        <v>2007</v>
      </c>
      <c r="G780" s="196"/>
      <c r="H780" s="196" t="s">
        <v>1878</v>
      </c>
      <c r="I780" s="141" t="s">
        <v>1879</v>
      </c>
      <c r="J780" s="143" t="s">
        <v>3854</v>
      </c>
      <c r="K780" s="196" t="s">
        <v>1881</v>
      </c>
      <c r="L780" s="141" t="s">
        <v>4370</v>
      </c>
      <c r="M780" s="196">
        <v>608</v>
      </c>
      <c r="N780" s="196"/>
      <c r="O780" s="196" t="s">
        <v>4385</v>
      </c>
      <c r="P780" s="144">
        <v>446</v>
      </c>
      <c r="Q780" s="145">
        <f t="shared" si="49"/>
        <v>4.2854999999999999</v>
      </c>
      <c r="R780" s="203">
        <v>2.65</v>
      </c>
      <c r="S780" s="203"/>
      <c r="T780" s="151"/>
      <c r="U780" s="151">
        <v>1.2</v>
      </c>
      <c r="V780" s="151">
        <v>0.25</v>
      </c>
      <c r="W780" s="151">
        <f t="shared" si="48"/>
        <v>2.65</v>
      </c>
      <c r="X780" s="152">
        <f t="shared" si="46"/>
        <v>0.1855</v>
      </c>
      <c r="Y780" s="152"/>
      <c r="Z780" s="148"/>
      <c r="AA780" s="153"/>
      <c r="AB780" s="153"/>
      <c r="AC780" s="153"/>
      <c r="AD780" s="153"/>
      <c r="AH780" s="147"/>
    </row>
    <row r="781" spans="1:34" s="146" customFormat="1" x14ac:dyDescent="0.25">
      <c r="A781" s="196">
        <v>1321</v>
      </c>
      <c r="B781" s="196" t="s">
        <v>4371</v>
      </c>
      <c r="C781" s="196" t="s">
        <v>4372</v>
      </c>
      <c r="D781" s="196"/>
      <c r="E781" s="196"/>
      <c r="F781" s="196">
        <v>2002</v>
      </c>
      <c r="G781" s="196"/>
      <c r="H781" s="196" t="s">
        <v>1878</v>
      </c>
      <c r="I781" s="141" t="s">
        <v>1879</v>
      </c>
      <c r="J781" s="196"/>
      <c r="K781" s="196" t="s">
        <v>2025</v>
      </c>
      <c r="L781" s="141" t="s">
        <v>4373</v>
      </c>
      <c r="M781" s="196">
        <v>256</v>
      </c>
      <c r="N781" s="196"/>
      <c r="O781" s="196" t="s">
        <v>4386</v>
      </c>
      <c r="P781" s="144">
        <v>323</v>
      </c>
      <c r="Q781" s="145">
        <f t="shared" si="49"/>
        <v>10.320299999999998</v>
      </c>
      <c r="R781" s="203">
        <v>8.2899999999999991</v>
      </c>
      <c r="S781" s="203"/>
      <c r="T781" s="151"/>
      <c r="U781" s="151">
        <v>1.2</v>
      </c>
      <c r="V781" s="151">
        <v>0.25</v>
      </c>
      <c r="W781" s="151">
        <f t="shared" si="48"/>
        <v>8.2899999999999991</v>
      </c>
      <c r="X781" s="152">
        <f t="shared" si="46"/>
        <v>0.58029999999999993</v>
      </c>
      <c r="Y781" s="152"/>
      <c r="Z781" s="148"/>
      <c r="AA781" s="153"/>
      <c r="AB781" s="153"/>
      <c r="AC781" s="153"/>
      <c r="AD781" s="153"/>
      <c r="AH781" s="147"/>
    </row>
    <row r="782" spans="1:34" s="146" customFormat="1" x14ac:dyDescent="0.25">
      <c r="A782" s="196">
        <v>649</v>
      </c>
      <c r="B782" s="196" t="s">
        <v>4374</v>
      </c>
      <c r="C782" s="196" t="s">
        <v>4375</v>
      </c>
      <c r="D782" s="196" t="s">
        <v>4376</v>
      </c>
      <c r="E782" s="196"/>
      <c r="F782" s="196">
        <v>1994</v>
      </c>
      <c r="G782" s="196"/>
      <c r="H782" s="196" t="s">
        <v>1878</v>
      </c>
      <c r="I782" s="141" t="s">
        <v>1879</v>
      </c>
      <c r="J782" s="196"/>
      <c r="K782" s="196" t="s">
        <v>1881</v>
      </c>
      <c r="L782" s="141" t="s">
        <v>4377</v>
      </c>
      <c r="M782" s="196">
        <v>112</v>
      </c>
      <c r="N782" s="196"/>
      <c r="O782" s="196" t="s">
        <v>4387</v>
      </c>
      <c r="P782" s="144">
        <v>335</v>
      </c>
      <c r="Q782" s="145">
        <f t="shared" si="49"/>
        <v>4.7563000000000004</v>
      </c>
      <c r="R782" s="203">
        <v>3.09</v>
      </c>
      <c r="S782" s="203"/>
      <c r="T782" s="151"/>
      <c r="U782" s="151">
        <v>1.2</v>
      </c>
      <c r="V782" s="151">
        <v>0.25</v>
      </c>
      <c r="W782" s="151">
        <f t="shared" si="48"/>
        <v>3.09</v>
      </c>
      <c r="X782" s="152">
        <f t="shared" si="46"/>
        <v>0.21629999999999999</v>
      </c>
      <c r="Y782" s="152"/>
      <c r="Z782" s="148"/>
      <c r="AA782" s="153"/>
      <c r="AB782" s="153"/>
      <c r="AC782" s="153"/>
      <c r="AD782" s="153"/>
      <c r="AH782" s="147"/>
    </row>
    <row r="783" spans="1:34" s="146" customFormat="1" x14ac:dyDescent="0.25">
      <c r="A783" s="196">
        <v>1321</v>
      </c>
      <c r="B783" s="196" t="s">
        <v>4420</v>
      </c>
      <c r="C783" s="196" t="s">
        <v>4421</v>
      </c>
      <c r="D783" s="196" t="s">
        <v>4422</v>
      </c>
      <c r="E783" s="196" t="s">
        <v>2412</v>
      </c>
      <c r="F783" s="196">
        <v>1995</v>
      </c>
      <c r="G783" s="196"/>
      <c r="H783" s="196" t="s">
        <v>2734</v>
      </c>
      <c r="I783" s="141" t="s">
        <v>1929</v>
      </c>
      <c r="J783" s="196"/>
      <c r="K783" s="196" t="s">
        <v>1881</v>
      </c>
      <c r="L783" s="141" t="s">
        <v>4423</v>
      </c>
      <c r="M783" s="196">
        <v>162</v>
      </c>
      <c r="N783" s="196"/>
      <c r="O783" s="196" t="s">
        <v>4388</v>
      </c>
      <c r="P783" s="144">
        <v>472</v>
      </c>
      <c r="Q783" s="145">
        <f t="shared" si="49"/>
        <v>3.7932999999999995</v>
      </c>
      <c r="R783" s="203">
        <v>2.19</v>
      </c>
      <c r="S783" s="203"/>
      <c r="T783" s="151"/>
      <c r="U783" s="151">
        <v>1.2</v>
      </c>
      <c r="V783" s="151">
        <v>0.25</v>
      </c>
      <c r="W783" s="151">
        <f t="shared" si="48"/>
        <v>2.19</v>
      </c>
      <c r="X783" s="152">
        <f t="shared" si="46"/>
        <v>0.15329999999999999</v>
      </c>
      <c r="Y783" s="152"/>
      <c r="Z783" s="148"/>
      <c r="AA783" s="153"/>
      <c r="AB783" s="153"/>
      <c r="AC783" s="153"/>
      <c r="AD783" s="153"/>
      <c r="AH783" s="147"/>
    </row>
    <row r="784" spans="1:34" s="146" customFormat="1" x14ac:dyDescent="0.25">
      <c r="A784" s="196">
        <v>691</v>
      </c>
      <c r="B784" s="196" t="s">
        <v>4424</v>
      </c>
      <c r="C784" s="196" t="s">
        <v>4425</v>
      </c>
      <c r="D784" s="196" t="s">
        <v>2402</v>
      </c>
      <c r="E784" s="196"/>
      <c r="F784" s="196">
        <v>2001</v>
      </c>
      <c r="G784" s="196"/>
      <c r="H784" s="196" t="s">
        <v>2734</v>
      </c>
      <c r="I784" s="141" t="s">
        <v>1879</v>
      </c>
      <c r="J784" s="196"/>
      <c r="K784" s="196" t="s">
        <v>1881</v>
      </c>
      <c r="L784" s="141" t="s">
        <v>4426</v>
      </c>
      <c r="M784" s="196">
        <v>38</v>
      </c>
      <c r="N784" s="196"/>
      <c r="O784" s="196" t="s">
        <v>4389</v>
      </c>
      <c r="P784" s="144">
        <v>247</v>
      </c>
      <c r="Q784" s="145">
        <f t="shared" si="49"/>
        <v>4.5101999999999993</v>
      </c>
      <c r="R784" s="203">
        <v>2.86</v>
      </c>
      <c r="S784" s="203"/>
      <c r="T784" s="151"/>
      <c r="U784" s="151">
        <v>1.2</v>
      </c>
      <c r="V784" s="151">
        <v>0.25</v>
      </c>
      <c r="W784" s="151">
        <f t="shared" si="48"/>
        <v>2.86</v>
      </c>
      <c r="X784" s="152">
        <f t="shared" si="46"/>
        <v>0.20019999999999999</v>
      </c>
      <c r="Y784" s="152"/>
      <c r="Z784" s="148"/>
      <c r="AA784" s="153"/>
      <c r="AB784" s="153"/>
      <c r="AC784" s="153"/>
      <c r="AD784" s="153"/>
      <c r="AH784" s="147"/>
    </row>
    <row r="785" spans="1:34" s="146" customFormat="1" x14ac:dyDescent="0.25">
      <c r="A785" s="196">
        <v>907</v>
      </c>
      <c r="B785" s="196" t="s">
        <v>4427</v>
      </c>
      <c r="C785" s="196" t="s">
        <v>4428</v>
      </c>
      <c r="D785" s="196" t="s">
        <v>3332</v>
      </c>
      <c r="E785" s="196"/>
      <c r="F785" s="196"/>
      <c r="G785" s="196"/>
      <c r="H785" s="196" t="s">
        <v>1878</v>
      </c>
      <c r="I785" s="141" t="s">
        <v>1929</v>
      </c>
      <c r="J785" s="196"/>
      <c r="K785" s="196" t="s">
        <v>1881</v>
      </c>
      <c r="L785" s="141" t="s">
        <v>4429</v>
      </c>
      <c r="M785" s="196" t="s">
        <v>4430</v>
      </c>
      <c r="N785" s="196"/>
      <c r="O785" s="196" t="s">
        <v>4390</v>
      </c>
      <c r="P785" s="144">
        <v>755</v>
      </c>
      <c r="Q785" s="145">
        <f t="shared" si="49"/>
        <v>6.3262999999999998</v>
      </c>
      <c r="R785" s="203">
        <v>4.09</v>
      </c>
      <c r="S785" s="203"/>
      <c r="T785" s="151"/>
      <c r="U785" s="151">
        <v>1.7</v>
      </c>
      <c r="V785" s="151">
        <v>0.25</v>
      </c>
      <c r="W785" s="151">
        <f t="shared" si="48"/>
        <v>4.09</v>
      </c>
      <c r="X785" s="152">
        <f t="shared" si="46"/>
        <v>0.2863</v>
      </c>
      <c r="Y785" s="152"/>
      <c r="Z785" s="148"/>
      <c r="AA785" s="153"/>
      <c r="AB785" s="153"/>
      <c r="AC785" s="153"/>
      <c r="AD785" s="153"/>
      <c r="AH785" s="147"/>
    </row>
    <row r="786" spans="1:34" s="146" customFormat="1" x14ac:dyDescent="0.25">
      <c r="A786" s="196">
        <v>2522</v>
      </c>
      <c r="B786" s="196" t="s">
        <v>2456</v>
      </c>
      <c r="C786" s="196" t="s">
        <v>4431</v>
      </c>
      <c r="D786" s="196" t="s">
        <v>1993</v>
      </c>
      <c r="E786" s="196" t="s">
        <v>1913</v>
      </c>
      <c r="F786" s="196">
        <v>2014</v>
      </c>
      <c r="G786" s="196"/>
      <c r="H786" s="196" t="s">
        <v>1878</v>
      </c>
      <c r="I786" s="141" t="s">
        <v>1879</v>
      </c>
      <c r="J786" s="196"/>
      <c r="K786" s="196" t="s">
        <v>1881</v>
      </c>
      <c r="L786" s="141" t="s">
        <v>4432</v>
      </c>
      <c r="M786" s="196">
        <v>544</v>
      </c>
      <c r="N786" s="196"/>
      <c r="O786" s="196" t="s">
        <v>4391</v>
      </c>
      <c r="P786" s="144">
        <v>457</v>
      </c>
      <c r="Q786" s="145">
        <f t="shared" si="49"/>
        <v>4.2213000000000003</v>
      </c>
      <c r="R786" s="203">
        <v>2.59</v>
      </c>
      <c r="S786" s="203"/>
      <c r="T786" s="151"/>
      <c r="U786" s="151">
        <v>1.2</v>
      </c>
      <c r="V786" s="151">
        <v>0.25</v>
      </c>
      <c r="W786" s="151">
        <f t="shared" si="48"/>
        <v>2.59</v>
      </c>
      <c r="X786" s="152">
        <f t="shared" ref="X786:X839" si="50">(T786+W786)/100*7</f>
        <v>0.18129999999999999</v>
      </c>
      <c r="Y786" s="152"/>
      <c r="Z786" s="148"/>
      <c r="AA786" s="153"/>
      <c r="AB786" s="153"/>
      <c r="AC786" s="153"/>
      <c r="AD786" s="153"/>
      <c r="AH786" s="147"/>
    </row>
    <row r="787" spans="1:34" s="146" customFormat="1" x14ac:dyDescent="0.25">
      <c r="A787" s="196">
        <v>691</v>
      </c>
      <c r="B787" s="196" t="s">
        <v>4433</v>
      </c>
      <c r="C787" s="196" t="s">
        <v>4434</v>
      </c>
      <c r="D787" s="196" t="s">
        <v>4435</v>
      </c>
      <c r="E787" s="196"/>
      <c r="F787" s="196">
        <v>2005</v>
      </c>
      <c r="G787" s="196"/>
      <c r="H787" s="196" t="s">
        <v>2734</v>
      </c>
      <c r="I787" s="141" t="s">
        <v>1879</v>
      </c>
      <c r="J787" s="196" t="s">
        <v>4436</v>
      </c>
      <c r="K787" s="196" t="s">
        <v>1881</v>
      </c>
      <c r="L787" s="141" t="s">
        <v>4437</v>
      </c>
      <c r="M787" s="196">
        <v>190</v>
      </c>
      <c r="N787" s="196"/>
      <c r="O787" s="196" t="s">
        <v>4392</v>
      </c>
      <c r="P787" s="144">
        <v>310</v>
      </c>
      <c r="Q787" s="145">
        <f t="shared" si="49"/>
        <v>5.6123000000000003</v>
      </c>
      <c r="R787" s="203">
        <v>3.89</v>
      </c>
      <c r="S787" s="203"/>
      <c r="T787" s="151"/>
      <c r="U787" s="151">
        <v>1.2</v>
      </c>
      <c r="V787" s="151">
        <v>0.25</v>
      </c>
      <c r="W787" s="151">
        <f t="shared" si="48"/>
        <v>3.89</v>
      </c>
      <c r="X787" s="152">
        <f t="shared" si="50"/>
        <v>0.27230000000000004</v>
      </c>
      <c r="Y787" s="152"/>
      <c r="Z787" s="148"/>
      <c r="AA787" s="153"/>
      <c r="AB787" s="153"/>
      <c r="AC787" s="153"/>
      <c r="AD787" s="153"/>
      <c r="AH787" s="147"/>
    </row>
    <row r="788" spans="1:34" s="146" customFormat="1" x14ac:dyDescent="0.25">
      <c r="A788" s="196">
        <v>632</v>
      </c>
      <c r="B788" s="196" t="s">
        <v>4438</v>
      </c>
      <c r="C788" s="196" t="s">
        <v>4439</v>
      </c>
      <c r="D788" s="196" t="s">
        <v>2257</v>
      </c>
      <c r="E788" s="196"/>
      <c r="F788" s="196">
        <v>2006</v>
      </c>
      <c r="G788" s="196"/>
      <c r="H788" s="196" t="s">
        <v>1878</v>
      </c>
      <c r="I788" s="141" t="s">
        <v>1879</v>
      </c>
      <c r="J788" s="143" t="s">
        <v>3854</v>
      </c>
      <c r="K788" s="196" t="s">
        <v>1881</v>
      </c>
      <c r="L788" s="141" t="s">
        <v>4440</v>
      </c>
      <c r="M788" s="196">
        <v>352</v>
      </c>
      <c r="N788" s="196"/>
      <c r="O788" s="196" t="s">
        <v>4393</v>
      </c>
      <c r="P788" s="144">
        <v>313</v>
      </c>
      <c r="Q788" s="145">
        <f t="shared" si="49"/>
        <v>2.4022999999999999</v>
      </c>
      <c r="R788" s="203">
        <v>0.89</v>
      </c>
      <c r="S788" s="203"/>
      <c r="T788" s="151"/>
      <c r="U788" s="151">
        <v>1.2</v>
      </c>
      <c r="V788" s="151">
        <v>0.25</v>
      </c>
      <c r="W788" s="151">
        <f t="shared" si="48"/>
        <v>0.89</v>
      </c>
      <c r="X788" s="152">
        <f t="shared" si="50"/>
        <v>6.2300000000000001E-2</v>
      </c>
      <c r="Y788" s="152"/>
      <c r="Z788" s="148"/>
      <c r="AA788" s="153"/>
      <c r="AB788" s="153"/>
      <c r="AC788" s="153"/>
      <c r="AD788" s="153"/>
      <c r="AH788" s="147"/>
    </row>
    <row r="789" spans="1:34" s="146" customFormat="1" x14ac:dyDescent="0.25">
      <c r="A789" s="196">
        <v>796</v>
      </c>
      <c r="B789" s="196" t="s">
        <v>4449</v>
      </c>
      <c r="C789" s="196" t="s">
        <v>4450</v>
      </c>
      <c r="D789" s="196" t="s">
        <v>2232</v>
      </c>
      <c r="E789" s="196" t="s">
        <v>1913</v>
      </c>
      <c r="F789" s="196">
        <v>2009</v>
      </c>
      <c r="G789" s="196"/>
      <c r="H789" s="196" t="s">
        <v>1878</v>
      </c>
      <c r="I789" s="141" t="s">
        <v>1879</v>
      </c>
      <c r="J789" s="196" t="s">
        <v>3303</v>
      </c>
      <c r="K789" s="196" t="s">
        <v>1881</v>
      </c>
      <c r="L789" s="141" t="s">
        <v>4451</v>
      </c>
      <c r="M789" s="196">
        <v>256</v>
      </c>
      <c r="N789" s="196"/>
      <c r="O789" s="196" t="s">
        <v>4396</v>
      </c>
      <c r="P789" s="144">
        <v>244</v>
      </c>
      <c r="Q789" s="145">
        <f t="shared" si="49"/>
        <v>2.6162999999999998</v>
      </c>
      <c r="R789" s="203">
        <v>1.0900000000000001</v>
      </c>
      <c r="S789" s="203"/>
      <c r="T789" s="151"/>
      <c r="U789" s="151">
        <v>1.2</v>
      </c>
      <c r="V789" s="151">
        <v>0.25</v>
      </c>
      <c r="W789" s="151">
        <f t="shared" si="48"/>
        <v>1.0900000000000001</v>
      </c>
      <c r="X789" s="152">
        <f t="shared" si="50"/>
        <v>7.6300000000000007E-2</v>
      </c>
      <c r="Y789" s="152"/>
      <c r="Z789" s="148"/>
      <c r="AA789" s="153"/>
      <c r="AB789" s="153"/>
      <c r="AC789" s="153"/>
      <c r="AD789" s="153"/>
      <c r="AH789" s="147"/>
    </row>
    <row r="790" spans="1:34" s="146" customFormat="1" x14ac:dyDescent="0.25">
      <c r="A790" s="196">
        <v>1875</v>
      </c>
      <c r="B790" s="196"/>
      <c r="C790" s="196" t="s">
        <v>4452</v>
      </c>
      <c r="D790" s="196" t="s">
        <v>3524</v>
      </c>
      <c r="E790" s="196" t="s">
        <v>1913</v>
      </c>
      <c r="F790" s="196">
        <v>2004</v>
      </c>
      <c r="G790" s="196"/>
      <c r="H790" s="196" t="s">
        <v>2734</v>
      </c>
      <c r="I790" s="141" t="s">
        <v>1879</v>
      </c>
      <c r="J790" s="196" t="s">
        <v>3303</v>
      </c>
      <c r="K790" s="196" t="s">
        <v>1881</v>
      </c>
      <c r="L790" s="141" t="s">
        <v>4453</v>
      </c>
      <c r="M790" s="196">
        <v>126</v>
      </c>
      <c r="N790" s="196"/>
      <c r="O790" s="196" t="s">
        <v>4397</v>
      </c>
      <c r="P790" s="144">
        <v>279</v>
      </c>
      <c r="Q790" s="145">
        <f t="shared" si="49"/>
        <v>1.9742999999999999</v>
      </c>
      <c r="R790" s="203">
        <v>0.49</v>
      </c>
      <c r="S790" s="203"/>
      <c r="T790" s="151"/>
      <c r="U790" s="151">
        <v>1.2</v>
      </c>
      <c r="V790" s="151">
        <v>0.25</v>
      </c>
      <c r="W790" s="151">
        <f t="shared" si="48"/>
        <v>0.49</v>
      </c>
      <c r="X790" s="152">
        <f t="shared" si="50"/>
        <v>3.4299999999999997E-2</v>
      </c>
      <c r="Y790" s="152"/>
      <c r="Z790" s="148"/>
      <c r="AA790" s="153"/>
      <c r="AB790" s="153"/>
      <c r="AC790" s="153"/>
      <c r="AD790" s="153"/>
      <c r="AH790" s="147"/>
    </row>
    <row r="791" spans="1:34" s="146" customFormat="1" x14ac:dyDescent="0.25">
      <c r="A791" s="196">
        <v>1348</v>
      </c>
      <c r="B791" s="196" t="s">
        <v>4454</v>
      </c>
      <c r="C791" s="196" t="s">
        <v>4455</v>
      </c>
      <c r="D791" s="196" t="s">
        <v>2300</v>
      </c>
      <c r="E791" s="196" t="s">
        <v>4456</v>
      </c>
      <c r="F791" s="196">
        <v>1988</v>
      </c>
      <c r="G791" s="196"/>
      <c r="H791" s="196" t="s">
        <v>2008</v>
      </c>
      <c r="I791" s="141" t="s">
        <v>1879</v>
      </c>
      <c r="J791" s="196" t="s">
        <v>4198</v>
      </c>
      <c r="K791" s="196" t="s">
        <v>1881</v>
      </c>
      <c r="L791" s="141" t="s">
        <v>4457</v>
      </c>
      <c r="M791" s="196">
        <v>190</v>
      </c>
      <c r="N791" s="196"/>
      <c r="O791" s="196" t="s">
        <v>4398</v>
      </c>
      <c r="P791" s="144">
        <v>137</v>
      </c>
      <c r="Q791" s="145">
        <f t="shared" si="49"/>
        <v>3.5792999999999999</v>
      </c>
      <c r="R791" s="203">
        <v>1.99</v>
      </c>
      <c r="S791" s="203"/>
      <c r="T791" s="151"/>
      <c r="U791" s="151">
        <v>1.2</v>
      </c>
      <c r="V791" s="151">
        <v>0.25</v>
      </c>
      <c r="W791" s="151">
        <f t="shared" si="48"/>
        <v>1.99</v>
      </c>
      <c r="X791" s="152">
        <f t="shared" si="50"/>
        <v>0.13930000000000001</v>
      </c>
      <c r="Y791" s="152"/>
      <c r="Z791" s="148"/>
      <c r="AA791" s="153"/>
      <c r="AB791" s="153"/>
      <c r="AC791" s="153"/>
      <c r="AD791" s="153"/>
      <c r="AH791" s="147"/>
    </row>
    <row r="792" spans="1:34" s="146" customFormat="1" x14ac:dyDescent="0.25">
      <c r="A792" s="196">
        <v>2684</v>
      </c>
      <c r="B792" s="196" t="s">
        <v>4458</v>
      </c>
      <c r="C792" s="196" t="s">
        <v>4459</v>
      </c>
      <c r="D792" s="196" t="s">
        <v>2300</v>
      </c>
      <c r="E792" s="196"/>
      <c r="F792" s="196">
        <v>1974</v>
      </c>
      <c r="G792" s="196"/>
      <c r="H792" s="196" t="s">
        <v>2008</v>
      </c>
      <c r="I792" s="141" t="s">
        <v>1879</v>
      </c>
      <c r="J792" s="196" t="s">
        <v>3303</v>
      </c>
      <c r="K792" s="196" t="s">
        <v>1881</v>
      </c>
      <c r="L792" s="141" t="s">
        <v>4460</v>
      </c>
      <c r="M792" s="196">
        <v>158</v>
      </c>
      <c r="N792" s="196"/>
      <c r="O792" s="196" t="s">
        <v>4399</v>
      </c>
      <c r="P792" s="144">
        <v>120</v>
      </c>
      <c r="Q792" s="145">
        <f t="shared" si="49"/>
        <v>1.8673</v>
      </c>
      <c r="R792" s="203">
        <v>0.39</v>
      </c>
      <c r="S792" s="203"/>
      <c r="T792" s="151"/>
      <c r="U792" s="151">
        <v>1.2</v>
      </c>
      <c r="V792" s="151">
        <v>0.25</v>
      </c>
      <c r="W792" s="151">
        <f t="shared" si="48"/>
        <v>0.39</v>
      </c>
      <c r="X792" s="152">
        <f t="shared" si="50"/>
        <v>2.7300000000000001E-2</v>
      </c>
      <c r="Y792" s="152"/>
      <c r="Z792" s="148"/>
      <c r="AA792" s="153"/>
      <c r="AB792" s="153"/>
      <c r="AC792" s="153"/>
      <c r="AD792" s="153"/>
      <c r="AH792" s="147"/>
    </row>
    <row r="793" spans="1:34" s="146" customFormat="1" x14ac:dyDescent="0.25">
      <c r="A793" s="196">
        <v>981</v>
      </c>
      <c r="B793" s="196" t="s">
        <v>4461</v>
      </c>
      <c r="C793" s="196" t="s">
        <v>4462</v>
      </c>
      <c r="D793" s="196" t="s">
        <v>2007</v>
      </c>
      <c r="E793" s="196"/>
      <c r="F793" s="196">
        <v>1998</v>
      </c>
      <c r="G793" s="196"/>
      <c r="H793" s="196" t="s">
        <v>2008</v>
      </c>
      <c r="I793" s="141" t="s">
        <v>1879</v>
      </c>
      <c r="J793" s="196" t="s">
        <v>4198</v>
      </c>
      <c r="K793" s="196" t="s">
        <v>1881</v>
      </c>
      <c r="L793" s="141" t="s">
        <v>4463</v>
      </c>
      <c r="M793" s="196">
        <v>120</v>
      </c>
      <c r="N793" s="196"/>
      <c r="O793" s="196" t="s">
        <v>4400</v>
      </c>
      <c r="P793" s="144">
        <v>56</v>
      </c>
      <c r="Q793" s="145">
        <f t="shared" si="49"/>
        <v>3.3653000000000004</v>
      </c>
      <c r="R793" s="203">
        <v>1.79</v>
      </c>
      <c r="S793" s="203"/>
      <c r="T793" s="151"/>
      <c r="U793" s="151">
        <v>1.2</v>
      </c>
      <c r="V793" s="151">
        <v>0.25</v>
      </c>
      <c r="W793" s="151">
        <f t="shared" si="48"/>
        <v>1.79</v>
      </c>
      <c r="X793" s="152">
        <f t="shared" si="50"/>
        <v>0.12529999999999999</v>
      </c>
      <c r="Y793" s="152"/>
      <c r="Z793" s="148"/>
      <c r="AA793" s="153"/>
      <c r="AB793" s="153"/>
      <c r="AC793" s="153"/>
      <c r="AD793" s="153"/>
      <c r="AH793" s="147"/>
    </row>
    <row r="794" spans="1:34" s="146" customFormat="1" x14ac:dyDescent="0.25">
      <c r="A794" s="196">
        <v>1231</v>
      </c>
      <c r="B794" s="196" t="s">
        <v>4464</v>
      </c>
      <c r="C794" s="196" t="s">
        <v>4465</v>
      </c>
      <c r="D794" s="196" t="s">
        <v>2232</v>
      </c>
      <c r="E794" s="196" t="s">
        <v>2175</v>
      </c>
      <c r="F794" s="196">
        <v>2003</v>
      </c>
      <c r="G794" s="196"/>
      <c r="H794" s="196" t="s">
        <v>1878</v>
      </c>
      <c r="I794" s="141" t="s">
        <v>1929</v>
      </c>
      <c r="J794" s="196"/>
      <c r="K794" s="196" t="s">
        <v>1881</v>
      </c>
      <c r="L794" s="141" t="s">
        <v>4466</v>
      </c>
      <c r="M794" s="196">
        <v>256</v>
      </c>
      <c r="N794" s="196"/>
      <c r="O794" s="196" t="s">
        <v>4401</v>
      </c>
      <c r="P794" s="144">
        <v>274</v>
      </c>
      <c r="Q794" s="145">
        <f t="shared" si="49"/>
        <v>2.7875000000000001</v>
      </c>
      <c r="R794" s="203">
        <v>1.25</v>
      </c>
      <c r="S794" s="203"/>
      <c r="T794" s="151"/>
      <c r="U794" s="151">
        <v>1.2</v>
      </c>
      <c r="V794" s="151">
        <v>0.25</v>
      </c>
      <c r="W794" s="151">
        <f t="shared" si="48"/>
        <v>1.25</v>
      </c>
      <c r="X794" s="152">
        <f t="shared" si="50"/>
        <v>8.7500000000000008E-2</v>
      </c>
      <c r="Y794" s="152"/>
      <c r="Z794" s="148"/>
      <c r="AA794" s="153"/>
      <c r="AB794" s="153"/>
      <c r="AC794" s="153"/>
      <c r="AD794" s="153"/>
      <c r="AH794" s="147"/>
    </row>
    <row r="795" spans="1:34" s="146" customFormat="1" x14ac:dyDescent="0.25">
      <c r="A795" s="196">
        <v>735</v>
      </c>
      <c r="B795" s="196" t="s">
        <v>4467</v>
      </c>
      <c r="C795" s="196" t="s">
        <v>4468</v>
      </c>
      <c r="D795" s="196" t="s">
        <v>1912</v>
      </c>
      <c r="E795" s="196" t="s">
        <v>1913</v>
      </c>
      <c r="F795" s="196">
        <v>1991</v>
      </c>
      <c r="G795" s="196"/>
      <c r="H795" s="196" t="s">
        <v>1878</v>
      </c>
      <c r="I795" s="141" t="s">
        <v>1879</v>
      </c>
      <c r="J795" s="196" t="s">
        <v>3303</v>
      </c>
      <c r="K795" s="196" t="s">
        <v>1881</v>
      </c>
      <c r="L795" s="141" t="s">
        <v>4469</v>
      </c>
      <c r="M795" s="196">
        <v>224</v>
      </c>
      <c r="N795" s="196"/>
      <c r="O795" s="196" t="s">
        <v>4402</v>
      </c>
      <c r="P795" s="144">
        <v>138</v>
      </c>
      <c r="Q795" s="145">
        <f t="shared" si="49"/>
        <v>7.8593000000000002</v>
      </c>
      <c r="R795" s="203">
        <v>5.99</v>
      </c>
      <c r="S795" s="203"/>
      <c r="T795" s="151"/>
      <c r="U795" s="151">
        <v>1.2</v>
      </c>
      <c r="V795" s="151">
        <v>0.25</v>
      </c>
      <c r="W795" s="151">
        <f t="shared" si="48"/>
        <v>5.99</v>
      </c>
      <c r="X795" s="152">
        <f t="shared" si="50"/>
        <v>0.41930000000000001</v>
      </c>
      <c r="Y795" s="152"/>
      <c r="Z795" s="148"/>
      <c r="AA795" s="153"/>
      <c r="AB795" s="153"/>
      <c r="AC795" s="153"/>
      <c r="AD795" s="153"/>
      <c r="AH795" s="147"/>
    </row>
    <row r="796" spans="1:34" s="146" customFormat="1" x14ac:dyDescent="0.25">
      <c r="A796" s="196">
        <v>692</v>
      </c>
      <c r="B796" s="196" t="s">
        <v>2578</v>
      </c>
      <c r="C796" s="196" t="s">
        <v>2579</v>
      </c>
      <c r="D796" s="196" t="s">
        <v>1912</v>
      </c>
      <c r="E796" s="196"/>
      <c r="F796" s="196">
        <v>1990</v>
      </c>
      <c r="G796" s="196"/>
      <c r="H796" s="196" t="s">
        <v>1878</v>
      </c>
      <c r="I796" s="141" t="s">
        <v>1879</v>
      </c>
      <c r="J796" s="196" t="s">
        <v>3303</v>
      </c>
      <c r="K796" s="196" t="s">
        <v>1881</v>
      </c>
      <c r="L796" s="141" t="s">
        <v>2581</v>
      </c>
      <c r="M796" s="196">
        <v>320</v>
      </c>
      <c r="N796" s="196"/>
      <c r="O796" s="196" t="s">
        <v>4403</v>
      </c>
      <c r="P796" s="144">
        <v>283</v>
      </c>
      <c r="Q796" s="145">
        <f t="shared" si="49"/>
        <v>1.7175</v>
      </c>
      <c r="R796" s="203">
        <v>0.25</v>
      </c>
      <c r="S796" s="203"/>
      <c r="T796" s="151"/>
      <c r="U796" s="151">
        <v>1.2</v>
      </c>
      <c r="V796" s="151">
        <v>0.25</v>
      </c>
      <c r="W796" s="151">
        <f t="shared" si="48"/>
        <v>0.25</v>
      </c>
      <c r="X796" s="152">
        <f t="shared" si="50"/>
        <v>1.7500000000000002E-2</v>
      </c>
      <c r="Y796" s="152"/>
      <c r="Z796" s="148"/>
      <c r="AA796" s="153"/>
      <c r="AB796" s="153"/>
      <c r="AC796" s="153"/>
      <c r="AD796" s="153"/>
      <c r="AH796" s="147"/>
    </row>
    <row r="797" spans="1:34" s="146" customFormat="1" x14ac:dyDescent="0.25">
      <c r="A797" s="196">
        <v>632</v>
      </c>
      <c r="B797" s="196" t="s">
        <v>4474</v>
      </c>
      <c r="C797" s="196" t="s">
        <v>4475</v>
      </c>
      <c r="D797" s="196" t="s">
        <v>4476</v>
      </c>
      <c r="E797" s="196" t="s">
        <v>4477</v>
      </c>
      <c r="F797" s="196">
        <v>1995</v>
      </c>
      <c r="G797" s="196"/>
      <c r="H797" s="196" t="s">
        <v>2734</v>
      </c>
      <c r="I797" s="141" t="s">
        <v>1879</v>
      </c>
      <c r="J797" s="196"/>
      <c r="K797" s="196" t="s">
        <v>1881</v>
      </c>
      <c r="L797" s="141" t="s">
        <v>4478</v>
      </c>
      <c r="M797" s="196">
        <v>578</v>
      </c>
      <c r="N797" s="196"/>
      <c r="O797" s="196" t="s">
        <v>4405</v>
      </c>
      <c r="P797" s="144">
        <v>717</v>
      </c>
      <c r="Q797" s="145">
        <f t="shared" si="49"/>
        <v>4.0792999999999999</v>
      </c>
      <c r="R797" s="203">
        <v>1.99</v>
      </c>
      <c r="S797" s="203"/>
      <c r="T797" s="151"/>
      <c r="U797" s="151">
        <v>1.7</v>
      </c>
      <c r="V797" s="151">
        <v>0.25</v>
      </c>
      <c r="W797" s="151">
        <f t="shared" si="48"/>
        <v>1.99</v>
      </c>
      <c r="X797" s="152">
        <f t="shared" si="50"/>
        <v>0.13930000000000001</v>
      </c>
      <c r="Y797" s="152"/>
      <c r="Z797" s="148"/>
      <c r="AA797" s="153"/>
      <c r="AB797" s="153"/>
      <c r="AC797" s="153"/>
      <c r="AD797" s="153"/>
      <c r="AH797" s="147"/>
    </row>
    <row r="798" spans="1:34" s="146" customFormat="1" x14ac:dyDescent="0.25">
      <c r="A798" s="196">
        <v>2010</v>
      </c>
      <c r="B798" s="196" t="s">
        <v>4479</v>
      </c>
      <c r="C798" s="196" t="s">
        <v>4480</v>
      </c>
      <c r="D798" s="196" t="s">
        <v>4481</v>
      </c>
      <c r="E798" s="196"/>
      <c r="F798" s="196">
        <v>1995</v>
      </c>
      <c r="G798" s="196"/>
      <c r="H798" s="196" t="s">
        <v>2734</v>
      </c>
      <c r="I798" s="141" t="s">
        <v>1914</v>
      </c>
      <c r="J798" s="196"/>
      <c r="K798" s="196" t="s">
        <v>2025</v>
      </c>
      <c r="L798" s="141" t="s">
        <v>4482</v>
      </c>
      <c r="M798" s="196">
        <v>354</v>
      </c>
      <c r="N798" s="196"/>
      <c r="O798" s="196" t="s">
        <v>4406</v>
      </c>
      <c r="P798" s="144">
        <v>583</v>
      </c>
      <c r="Q798" s="145">
        <f t="shared" si="49"/>
        <v>5.6843000000000004</v>
      </c>
      <c r="R798" s="203">
        <v>3.49</v>
      </c>
      <c r="S798" s="203"/>
      <c r="T798" s="151"/>
      <c r="U798" s="151">
        <v>1.7</v>
      </c>
      <c r="V798" s="151">
        <v>0.25</v>
      </c>
      <c r="W798" s="151">
        <f t="shared" si="48"/>
        <v>3.49</v>
      </c>
      <c r="X798" s="152">
        <f t="shared" si="50"/>
        <v>0.24430000000000002</v>
      </c>
      <c r="Y798" s="152"/>
      <c r="Z798" s="148"/>
      <c r="AA798" s="153"/>
      <c r="AB798" s="153"/>
      <c r="AC798" s="153"/>
      <c r="AD798" s="153"/>
      <c r="AH798" s="147"/>
    </row>
    <row r="799" spans="1:34" s="146" customFormat="1" x14ac:dyDescent="0.25">
      <c r="A799" s="196">
        <v>1809</v>
      </c>
      <c r="B799" s="196" t="s">
        <v>2828</v>
      </c>
      <c r="C799" s="196" t="s">
        <v>2829</v>
      </c>
      <c r="D799" s="196" t="s">
        <v>2822</v>
      </c>
      <c r="E799" s="196"/>
      <c r="F799" s="196">
        <v>2008</v>
      </c>
      <c r="G799" s="196"/>
      <c r="H799" s="196" t="s">
        <v>1878</v>
      </c>
      <c r="I799" s="141" t="s">
        <v>1879</v>
      </c>
      <c r="J799" s="196"/>
      <c r="K799" s="196" t="s">
        <v>1881</v>
      </c>
      <c r="L799" s="141" t="s">
        <v>4483</v>
      </c>
      <c r="M799" s="196">
        <v>176</v>
      </c>
      <c r="N799" s="196"/>
      <c r="O799" s="196" t="s">
        <v>4407</v>
      </c>
      <c r="P799" s="144">
        <v>261</v>
      </c>
      <c r="Q799" s="145">
        <f t="shared" si="49"/>
        <v>2.2953000000000001</v>
      </c>
      <c r="R799" s="203">
        <v>0.79</v>
      </c>
      <c r="S799" s="203"/>
      <c r="T799" s="151"/>
      <c r="U799" s="151">
        <v>1.2</v>
      </c>
      <c r="V799" s="151">
        <v>0.25</v>
      </c>
      <c r="W799" s="151">
        <f t="shared" si="48"/>
        <v>0.79</v>
      </c>
      <c r="X799" s="152">
        <f t="shared" si="50"/>
        <v>5.5300000000000002E-2</v>
      </c>
      <c r="Y799" s="152"/>
      <c r="Z799" s="148"/>
      <c r="AA799" s="153"/>
      <c r="AB799" s="153"/>
      <c r="AC799" s="153"/>
      <c r="AD799" s="153"/>
      <c r="AH799" s="147"/>
    </row>
    <row r="800" spans="1:34" s="146" customFormat="1" x14ac:dyDescent="0.25">
      <c r="A800" s="196">
        <v>2571</v>
      </c>
      <c r="B800" s="196" t="s">
        <v>3517</v>
      </c>
      <c r="C800" s="196" t="s">
        <v>4484</v>
      </c>
      <c r="D800" s="196" t="s">
        <v>2644</v>
      </c>
      <c r="E800" s="196"/>
      <c r="F800" s="196">
        <v>1993</v>
      </c>
      <c r="G800" s="196"/>
      <c r="H800" s="196" t="s">
        <v>1878</v>
      </c>
      <c r="I800" s="141" t="s">
        <v>1879</v>
      </c>
      <c r="J800" s="196"/>
      <c r="K800" s="196" t="s">
        <v>1881</v>
      </c>
      <c r="L800" s="141" t="s">
        <v>4485</v>
      </c>
      <c r="M800" s="196">
        <v>272</v>
      </c>
      <c r="N800" s="196"/>
      <c r="O800" s="196" t="s">
        <v>4408</v>
      </c>
      <c r="P800" s="144">
        <v>236</v>
      </c>
      <c r="Q800" s="145">
        <f t="shared" si="49"/>
        <v>1.7175</v>
      </c>
      <c r="R800" s="203">
        <v>0.25</v>
      </c>
      <c r="S800" s="203"/>
      <c r="T800" s="151"/>
      <c r="U800" s="151">
        <v>1.2</v>
      </c>
      <c r="V800" s="151">
        <v>0.25</v>
      </c>
      <c r="W800" s="151">
        <f t="shared" si="48"/>
        <v>0.25</v>
      </c>
      <c r="X800" s="152">
        <f t="shared" si="50"/>
        <v>1.7500000000000002E-2</v>
      </c>
      <c r="Y800" s="152"/>
      <c r="Z800" s="148"/>
      <c r="AA800" s="153"/>
      <c r="AB800" s="153"/>
      <c r="AC800" s="153"/>
      <c r="AD800" s="153"/>
      <c r="AH800" s="147"/>
    </row>
    <row r="801" spans="1:34" s="146" customFormat="1" x14ac:dyDescent="0.25">
      <c r="A801" s="196">
        <v>771</v>
      </c>
      <c r="B801" s="196" t="s">
        <v>4487</v>
      </c>
      <c r="C801" s="196" t="s">
        <v>4488</v>
      </c>
      <c r="D801" s="196" t="s">
        <v>4489</v>
      </c>
      <c r="E801" s="196"/>
      <c r="F801" s="196">
        <v>2002</v>
      </c>
      <c r="G801" s="196"/>
      <c r="H801" s="196" t="s">
        <v>1878</v>
      </c>
      <c r="I801" s="141" t="s">
        <v>1879</v>
      </c>
      <c r="J801" s="196" t="s">
        <v>4198</v>
      </c>
      <c r="K801" s="196" t="s">
        <v>1881</v>
      </c>
      <c r="L801" s="141" t="s">
        <v>4490</v>
      </c>
      <c r="M801" s="196">
        <v>136</v>
      </c>
      <c r="N801" s="196"/>
      <c r="O801" s="196" t="s">
        <v>4410</v>
      </c>
      <c r="P801" s="144">
        <v>199</v>
      </c>
      <c r="Q801" s="145">
        <f t="shared" si="49"/>
        <v>2.8303000000000003</v>
      </c>
      <c r="R801" s="203">
        <v>1.29</v>
      </c>
      <c r="S801" s="203"/>
      <c r="T801" s="151"/>
      <c r="U801" s="151">
        <v>1.2</v>
      </c>
      <c r="V801" s="151">
        <v>0.25</v>
      </c>
      <c r="W801" s="151">
        <f t="shared" si="48"/>
        <v>1.29</v>
      </c>
      <c r="X801" s="152">
        <f t="shared" si="50"/>
        <v>9.0300000000000005E-2</v>
      </c>
      <c r="Y801" s="152"/>
      <c r="Z801" s="148"/>
      <c r="AA801" s="153"/>
      <c r="AB801" s="153"/>
      <c r="AC801" s="153"/>
      <c r="AD801" s="153"/>
      <c r="AH801" s="147"/>
    </row>
    <row r="802" spans="1:34" s="146" customFormat="1" x14ac:dyDescent="0.25">
      <c r="A802" s="196">
        <v>689</v>
      </c>
      <c r="B802" s="196" t="s">
        <v>4348</v>
      </c>
      <c r="C802" s="196" t="s">
        <v>4493</v>
      </c>
      <c r="D802" s="196" t="s">
        <v>3022</v>
      </c>
      <c r="E802" s="196"/>
      <c r="F802" s="196">
        <v>2003</v>
      </c>
      <c r="G802" s="196"/>
      <c r="H802" s="196" t="s">
        <v>2734</v>
      </c>
      <c r="I802" s="141" t="s">
        <v>1879</v>
      </c>
      <c r="J802" s="196" t="s">
        <v>2336</v>
      </c>
      <c r="K802" s="196" t="s">
        <v>1881</v>
      </c>
      <c r="L802" s="141" t="s">
        <v>4494</v>
      </c>
      <c r="M802" s="196">
        <v>866</v>
      </c>
      <c r="N802" s="196"/>
      <c r="O802" s="196" t="s">
        <v>4412</v>
      </c>
      <c r="P802" s="144">
        <v>1012</v>
      </c>
      <c r="Q802" s="145">
        <f t="shared" si="49"/>
        <v>4.3075000000000001</v>
      </c>
      <c r="R802" s="203">
        <v>0.25</v>
      </c>
      <c r="S802" s="203"/>
      <c r="T802" s="151"/>
      <c r="U802" s="151">
        <v>3.79</v>
      </c>
      <c r="V802" s="151">
        <v>0.25</v>
      </c>
      <c r="W802" s="151">
        <f t="shared" si="48"/>
        <v>0.25</v>
      </c>
      <c r="X802" s="152">
        <f t="shared" si="50"/>
        <v>1.7500000000000002E-2</v>
      </c>
      <c r="Y802" s="152"/>
      <c r="Z802" s="148"/>
      <c r="AA802" s="153"/>
      <c r="AB802" s="153"/>
      <c r="AC802" s="153"/>
      <c r="AD802" s="153"/>
      <c r="AH802" s="147"/>
    </row>
    <row r="803" spans="1:34" s="146" customFormat="1" x14ac:dyDescent="0.25">
      <c r="A803" s="196">
        <v>692</v>
      </c>
      <c r="B803" s="196" t="s">
        <v>3330</v>
      </c>
      <c r="C803" s="196" t="s">
        <v>3331</v>
      </c>
      <c r="D803" s="196" t="s">
        <v>1912</v>
      </c>
      <c r="E803" s="196"/>
      <c r="F803" s="196">
        <v>1995</v>
      </c>
      <c r="G803" s="196"/>
      <c r="H803" s="196" t="s">
        <v>1878</v>
      </c>
      <c r="I803" s="141" t="s">
        <v>1879</v>
      </c>
      <c r="J803" s="196"/>
      <c r="K803" s="196" t="s">
        <v>1881</v>
      </c>
      <c r="L803" s="141" t="s">
        <v>4495</v>
      </c>
      <c r="M803" s="196">
        <v>224</v>
      </c>
      <c r="N803" s="196"/>
      <c r="O803" s="196" t="s">
        <v>4413</v>
      </c>
      <c r="P803" s="144">
        <v>198</v>
      </c>
      <c r="Q803" s="145">
        <f t="shared" si="49"/>
        <v>1.7175</v>
      </c>
      <c r="R803" s="203">
        <v>0.25</v>
      </c>
      <c r="S803" s="203"/>
      <c r="T803" s="151"/>
      <c r="U803" s="151">
        <v>1.2</v>
      </c>
      <c r="V803" s="151">
        <v>0.25</v>
      </c>
      <c r="W803" s="151">
        <f t="shared" si="48"/>
        <v>0.25</v>
      </c>
      <c r="X803" s="152">
        <f t="shared" si="50"/>
        <v>1.7500000000000002E-2</v>
      </c>
      <c r="Y803" s="152"/>
      <c r="Z803" s="148"/>
      <c r="AA803" s="153"/>
      <c r="AB803" s="153"/>
      <c r="AC803" s="153"/>
      <c r="AD803" s="153"/>
      <c r="AH803" s="147"/>
    </row>
    <row r="804" spans="1:34" s="146" customFormat="1" x14ac:dyDescent="0.25">
      <c r="A804" s="196">
        <v>1386</v>
      </c>
      <c r="B804" s="196" t="s">
        <v>4496</v>
      </c>
      <c r="C804" s="196" t="s">
        <v>4497</v>
      </c>
      <c r="D804" s="196" t="s">
        <v>2300</v>
      </c>
      <c r="E804" s="196"/>
      <c r="F804" s="196">
        <v>2002</v>
      </c>
      <c r="G804" s="196"/>
      <c r="H804" s="196" t="s">
        <v>1878</v>
      </c>
      <c r="I804" s="141" t="s">
        <v>1879</v>
      </c>
      <c r="J804" s="196"/>
      <c r="K804" s="196" t="s">
        <v>1881</v>
      </c>
      <c r="L804" s="141" t="s">
        <v>4498</v>
      </c>
      <c r="M804" s="196">
        <v>222</v>
      </c>
      <c r="N804" s="196"/>
      <c r="O804" s="196" t="s">
        <v>4414</v>
      </c>
      <c r="P804" s="144">
        <v>252</v>
      </c>
      <c r="Q804" s="145">
        <f t="shared" si="49"/>
        <v>2.2953000000000001</v>
      </c>
      <c r="R804" s="203">
        <v>0.79</v>
      </c>
      <c r="S804" s="203"/>
      <c r="T804" s="151"/>
      <c r="U804" s="151">
        <v>1.2</v>
      </c>
      <c r="V804" s="151">
        <v>0.25</v>
      </c>
      <c r="W804" s="151">
        <f t="shared" si="48"/>
        <v>0.79</v>
      </c>
      <c r="X804" s="152">
        <f t="shared" si="50"/>
        <v>5.5300000000000002E-2</v>
      </c>
      <c r="Y804" s="152"/>
      <c r="Z804" s="148"/>
      <c r="AA804" s="153"/>
      <c r="AB804" s="153"/>
      <c r="AC804" s="153"/>
      <c r="AD804" s="153"/>
      <c r="AH804" s="147"/>
    </row>
    <row r="805" spans="1:34" s="146" customFormat="1" x14ac:dyDescent="0.25">
      <c r="A805" s="196">
        <v>669</v>
      </c>
      <c r="B805" s="196"/>
      <c r="C805" s="196" t="s">
        <v>4499</v>
      </c>
      <c r="D805" s="196" t="s">
        <v>4500</v>
      </c>
      <c r="E805" s="196" t="s">
        <v>3053</v>
      </c>
      <c r="F805" s="196">
        <v>2017</v>
      </c>
      <c r="G805" s="196"/>
      <c r="H805" s="196" t="s">
        <v>1878</v>
      </c>
      <c r="I805" s="141" t="s">
        <v>1879</v>
      </c>
      <c r="J805" s="196" t="s">
        <v>2237</v>
      </c>
      <c r="K805" s="196" t="s">
        <v>1881</v>
      </c>
      <c r="L805" s="141" t="s">
        <v>4501</v>
      </c>
      <c r="M805" s="196"/>
      <c r="N805" s="196"/>
      <c r="O805" s="196" t="s">
        <v>4415</v>
      </c>
      <c r="P805" s="144">
        <v>351</v>
      </c>
      <c r="Q805" s="145">
        <f t="shared" si="49"/>
        <v>3.3653000000000004</v>
      </c>
      <c r="R805" s="203">
        <v>1.79</v>
      </c>
      <c r="S805" s="203"/>
      <c r="T805" s="151"/>
      <c r="U805" s="151">
        <v>1.2</v>
      </c>
      <c r="V805" s="151">
        <v>0.25</v>
      </c>
      <c r="W805" s="151">
        <f t="shared" ref="W805:W862" si="51">IF(R805&gt;T805,R805,T805)</f>
        <v>1.79</v>
      </c>
      <c r="X805" s="152">
        <f t="shared" si="50"/>
        <v>0.12529999999999999</v>
      </c>
      <c r="Y805" s="152"/>
      <c r="Z805" s="148"/>
      <c r="AA805" s="153"/>
      <c r="AB805" s="153"/>
      <c r="AC805" s="153"/>
      <c r="AD805" s="153"/>
      <c r="AH805" s="147"/>
    </row>
    <row r="806" spans="1:34" s="146" customFormat="1" x14ac:dyDescent="0.25">
      <c r="A806" s="196">
        <v>796</v>
      </c>
      <c r="B806" s="196" t="s">
        <v>4502</v>
      </c>
      <c r="C806" s="196" t="s">
        <v>4503</v>
      </c>
      <c r="D806" s="196" t="s">
        <v>1920</v>
      </c>
      <c r="E806" s="196" t="s">
        <v>1913</v>
      </c>
      <c r="F806" s="196">
        <v>2010</v>
      </c>
      <c r="G806" s="196"/>
      <c r="H806" s="196" t="s">
        <v>1878</v>
      </c>
      <c r="I806" s="141" t="s">
        <v>1879</v>
      </c>
      <c r="J806" s="143" t="s">
        <v>3854</v>
      </c>
      <c r="K806" s="196" t="s">
        <v>1881</v>
      </c>
      <c r="L806" s="141" t="s">
        <v>4504</v>
      </c>
      <c r="M806" s="196">
        <v>240</v>
      </c>
      <c r="N806" s="196"/>
      <c r="O806" s="196" t="s">
        <v>4416</v>
      </c>
      <c r="P806" s="144">
        <v>273</v>
      </c>
      <c r="Q806" s="145">
        <f t="shared" si="49"/>
        <v>1.8673</v>
      </c>
      <c r="R806" s="203">
        <v>0.39</v>
      </c>
      <c r="S806" s="203"/>
      <c r="T806" s="151"/>
      <c r="U806" s="151">
        <v>1.2</v>
      </c>
      <c r="V806" s="151">
        <v>0.25</v>
      </c>
      <c r="W806" s="151">
        <f t="shared" si="51"/>
        <v>0.39</v>
      </c>
      <c r="X806" s="152">
        <f t="shared" si="50"/>
        <v>2.7300000000000001E-2</v>
      </c>
      <c r="Y806" s="152"/>
      <c r="Z806" s="148"/>
      <c r="AA806" s="153"/>
      <c r="AB806" s="153"/>
      <c r="AC806" s="153"/>
      <c r="AD806" s="153"/>
      <c r="AH806" s="147"/>
    </row>
    <row r="807" spans="1:34" s="146" customFormat="1" x14ac:dyDescent="0.25">
      <c r="A807" s="196">
        <v>1386</v>
      </c>
      <c r="B807" s="196" t="s">
        <v>4505</v>
      </c>
      <c r="C807" s="196" t="s">
        <v>4506</v>
      </c>
      <c r="D807" s="196" t="s">
        <v>2232</v>
      </c>
      <c r="E807" s="196" t="s">
        <v>1877</v>
      </c>
      <c r="F807" s="196">
        <v>1999</v>
      </c>
      <c r="G807" s="196"/>
      <c r="H807" s="196" t="s">
        <v>1878</v>
      </c>
      <c r="I807" s="141" t="s">
        <v>1879</v>
      </c>
      <c r="J807" s="143" t="s">
        <v>4507</v>
      </c>
      <c r="K807" s="196" t="s">
        <v>1881</v>
      </c>
      <c r="L807" s="141" t="s">
        <v>4508</v>
      </c>
      <c r="M807" s="196">
        <v>384</v>
      </c>
      <c r="N807" s="196"/>
      <c r="O807" s="196" t="s">
        <v>4417</v>
      </c>
      <c r="P807" s="144">
        <v>377</v>
      </c>
      <c r="Q807" s="145">
        <f t="shared" si="49"/>
        <v>6.2543000000000006</v>
      </c>
      <c r="R807" s="203">
        <v>4.49</v>
      </c>
      <c r="S807" s="203"/>
      <c r="T807" s="151"/>
      <c r="U807" s="151">
        <v>1.2</v>
      </c>
      <c r="V807" s="151">
        <v>0.25</v>
      </c>
      <c r="W807" s="151">
        <f t="shared" si="51"/>
        <v>4.49</v>
      </c>
      <c r="X807" s="152">
        <f t="shared" si="50"/>
        <v>0.31430000000000002</v>
      </c>
      <c r="Y807" s="152"/>
      <c r="Z807" s="148"/>
      <c r="AA807" s="153"/>
      <c r="AB807" s="153"/>
      <c r="AC807" s="153"/>
      <c r="AD807" s="153"/>
      <c r="AH807" s="147"/>
    </row>
    <row r="808" spans="1:34" s="146" customFormat="1" x14ac:dyDescent="0.25">
      <c r="A808" s="196">
        <v>1395</v>
      </c>
      <c r="B808" s="196" t="s">
        <v>4512</v>
      </c>
      <c r="C808" s="196" t="s">
        <v>4513</v>
      </c>
      <c r="D808" s="196" t="s">
        <v>2609</v>
      </c>
      <c r="E808" s="196" t="s">
        <v>1921</v>
      </c>
      <c r="F808" s="196">
        <v>2006</v>
      </c>
      <c r="G808" s="196"/>
      <c r="H808" s="196" t="s">
        <v>1878</v>
      </c>
      <c r="I808" s="141" t="s">
        <v>1879</v>
      </c>
      <c r="J808" s="143" t="s">
        <v>3854</v>
      </c>
      <c r="K808" s="196" t="s">
        <v>1881</v>
      </c>
      <c r="L808" s="141" t="s">
        <v>4514</v>
      </c>
      <c r="M808" s="196">
        <v>400</v>
      </c>
      <c r="N808" s="196"/>
      <c r="O808" s="196" t="s">
        <v>4418</v>
      </c>
      <c r="P808" s="144">
        <v>392</v>
      </c>
      <c r="Q808" s="145">
        <f t="shared" si="49"/>
        <v>1.7175</v>
      </c>
      <c r="R808" s="203">
        <v>0.25</v>
      </c>
      <c r="S808" s="203"/>
      <c r="T808" s="151"/>
      <c r="U808" s="151">
        <v>1.2</v>
      </c>
      <c r="V808" s="151">
        <v>0.25</v>
      </c>
      <c r="W808" s="151">
        <f t="shared" si="51"/>
        <v>0.25</v>
      </c>
      <c r="X808" s="152">
        <f t="shared" si="50"/>
        <v>1.7500000000000002E-2</v>
      </c>
      <c r="Y808" s="152"/>
      <c r="Z808" s="148"/>
      <c r="AA808" s="153"/>
      <c r="AB808" s="153"/>
      <c r="AC808" s="153"/>
      <c r="AD808" s="153"/>
      <c r="AH808" s="147"/>
    </row>
    <row r="809" spans="1:34" s="146" customFormat="1" x14ac:dyDescent="0.25">
      <c r="A809" s="196">
        <v>2522</v>
      </c>
      <c r="B809" s="196" t="s">
        <v>4519</v>
      </c>
      <c r="C809" s="196" t="s">
        <v>4520</v>
      </c>
      <c r="D809" s="196" t="s">
        <v>4521</v>
      </c>
      <c r="E809" s="196"/>
      <c r="F809" s="196"/>
      <c r="G809" s="196"/>
      <c r="H809" s="196" t="s">
        <v>1878</v>
      </c>
      <c r="I809" s="141" t="s">
        <v>1879</v>
      </c>
      <c r="J809" s="143" t="s">
        <v>3854</v>
      </c>
      <c r="K809" s="196" t="s">
        <v>1881</v>
      </c>
      <c r="L809" s="141"/>
      <c r="M809" s="196">
        <v>416</v>
      </c>
      <c r="N809" s="196"/>
      <c r="O809" s="196" t="s">
        <v>4509</v>
      </c>
      <c r="P809" s="144">
        <v>371</v>
      </c>
      <c r="Q809" s="145">
        <f t="shared" si="49"/>
        <v>1.7175</v>
      </c>
      <c r="R809" s="203">
        <v>0.25</v>
      </c>
      <c r="S809" s="203"/>
      <c r="T809" s="151"/>
      <c r="U809" s="151">
        <v>1.2</v>
      </c>
      <c r="V809" s="151">
        <v>0.25</v>
      </c>
      <c r="W809" s="151">
        <f t="shared" si="51"/>
        <v>0.25</v>
      </c>
      <c r="X809" s="152">
        <f t="shared" si="50"/>
        <v>1.7500000000000002E-2</v>
      </c>
      <c r="Y809" s="152"/>
      <c r="Z809" s="148"/>
      <c r="AA809" s="153"/>
      <c r="AB809" s="153"/>
      <c r="AC809" s="153"/>
      <c r="AD809" s="153"/>
      <c r="AH809" s="147"/>
    </row>
    <row r="810" spans="1:34" s="146" customFormat="1" x14ac:dyDescent="0.25">
      <c r="A810" s="196">
        <v>2522</v>
      </c>
      <c r="B810" s="196" t="s">
        <v>4522</v>
      </c>
      <c r="C810" s="196" t="s">
        <v>4523</v>
      </c>
      <c r="D810" s="196" t="s">
        <v>4524</v>
      </c>
      <c r="E810" s="196"/>
      <c r="F810" s="196">
        <v>1986</v>
      </c>
      <c r="G810" s="196"/>
      <c r="H810" s="196" t="s">
        <v>1878</v>
      </c>
      <c r="I810" s="141" t="s">
        <v>1879</v>
      </c>
      <c r="J810" s="143" t="s">
        <v>3854</v>
      </c>
      <c r="K810" s="196" t="s">
        <v>1881</v>
      </c>
      <c r="L810" s="141"/>
      <c r="M810" s="196">
        <v>336</v>
      </c>
      <c r="N810" s="196"/>
      <c r="O810" s="196" t="s">
        <v>4510</v>
      </c>
      <c r="P810" s="144">
        <v>301</v>
      </c>
      <c r="Q810" s="145">
        <f t="shared" si="49"/>
        <v>2.1882999999999995</v>
      </c>
      <c r="R810" s="203">
        <v>0.69</v>
      </c>
      <c r="S810" s="203"/>
      <c r="T810" s="151"/>
      <c r="U810" s="151">
        <v>1.2</v>
      </c>
      <c r="V810" s="151">
        <v>0.25</v>
      </c>
      <c r="W810" s="151">
        <f t="shared" si="51"/>
        <v>0.69</v>
      </c>
      <c r="X810" s="152">
        <f t="shared" si="50"/>
        <v>4.8299999999999996E-2</v>
      </c>
      <c r="Y810" s="152"/>
      <c r="Z810" s="148"/>
      <c r="AA810" s="153"/>
      <c r="AB810" s="153"/>
      <c r="AC810" s="153"/>
      <c r="AD810" s="153"/>
      <c r="AH810" s="147"/>
    </row>
    <row r="811" spans="1:34" s="146" customFormat="1" x14ac:dyDescent="0.25">
      <c r="A811" s="196">
        <v>692</v>
      </c>
      <c r="B811" s="196" t="s">
        <v>2877</v>
      </c>
      <c r="C811" s="196" t="s">
        <v>4525</v>
      </c>
      <c r="D811" s="196" t="s">
        <v>2609</v>
      </c>
      <c r="E811" s="196" t="s">
        <v>2412</v>
      </c>
      <c r="F811" s="196">
        <v>2010</v>
      </c>
      <c r="G811" s="196"/>
      <c r="H811" s="196" t="s">
        <v>1878</v>
      </c>
      <c r="I811" s="141" t="s">
        <v>1879</v>
      </c>
      <c r="J811" s="196"/>
      <c r="K811" s="196" t="s">
        <v>1881</v>
      </c>
      <c r="L811" s="141" t="s">
        <v>4526</v>
      </c>
      <c r="M811" s="196">
        <v>464</v>
      </c>
      <c r="N811" s="196"/>
      <c r="O811" s="196" t="s">
        <v>4511</v>
      </c>
      <c r="P811" s="144">
        <v>403</v>
      </c>
      <c r="Q811" s="145">
        <f t="shared" si="49"/>
        <v>1.7260599999999999</v>
      </c>
      <c r="R811" s="203">
        <v>0.25800000000000001</v>
      </c>
      <c r="S811" s="203"/>
      <c r="T811" s="151"/>
      <c r="U811" s="151">
        <v>1.2</v>
      </c>
      <c r="V811" s="151">
        <v>0.25</v>
      </c>
      <c r="W811" s="151">
        <f t="shared" si="51"/>
        <v>0.25800000000000001</v>
      </c>
      <c r="X811" s="152">
        <f t="shared" si="50"/>
        <v>1.8060000000000003E-2</v>
      </c>
      <c r="Y811" s="152"/>
      <c r="Z811" s="148"/>
      <c r="AA811" s="153"/>
      <c r="AB811" s="153"/>
      <c r="AC811" s="153"/>
      <c r="AD811" s="153"/>
      <c r="AH811" s="147"/>
    </row>
    <row r="812" spans="1:34" s="146" customFormat="1" x14ac:dyDescent="0.25">
      <c r="A812" s="196">
        <v>1875</v>
      </c>
      <c r="B812" s="196"/>
      <c r="C812" s="196" t="s">
        <v>4532</v>
      </c>
      <c r="D812" s="196" t="s">
        <v>3212</v>
      </c>
      <c r="E812" s="196"/>
      <c r="F812" s="196">
        <v>2006</v>
      </c>
      <c r="G812" s="196"/>
      <c r="H812" s="196" t="s">
        <v>2734</v>
      </c>
      <c r="I812" s="141" t="s">
        <v>1879</v>
      </c>
      <c r="J812" s="196" t="s">
        <v>4198</v>
      </c>
      <c r="K812" s="196" t="s">
        <v>1881</v>
      </c>
      <c r="L812" s="141" t="s">
        <v>4533</v>
      </c>
      <c r="M812" s="196">
        <v>306</v>
      </c>
      <c r="N812" s="196"/>
      <c r="O812" s="196" t="s">
        <v>4527</v>
      </c>
      <c r="P812" s="144">
        <v>341</v>
      </c>
      <c r="Q812" s="145">
        <f t="shared" si="49"/>
        <v>2.7232999999999996</v>
      </c>
      <c r="R812" s="203">
        <v>1.19</v>
      </c>
      <c r="S812" s="203"/>
      <c r="T812" s="151"/>
      <c r="U812" s="151">
        <v>1.2</v>
      </c>
      <c r="V812" s="151">
        <v>0.25</v>
      </c>
      <c r="W812" s="151">
        <f t="shared" si="51"/>
        <v>1.19</v>
      </c>
      <c r="X812" s="152">
        <f t="shared" si="50"/>
        <v>8.3299999999999999E-2</v>
      </c>
      <c r="Y812" s="152"/>
      <c r="Z812" s="148"/>
      <c r="AA812" s="153"/>
      <c r="AB812" s="153"/>
      <c r="AC812" s="153"/>
      <c r="AD812" s="153"/>
      <c r="AH812" s="147"/>
    </row>
    <row r="813" spans="1:34" s="146" customFormat="1" x14ac:dyDescent="0.25">
      <c r="A813" s="196">
        <v>796</v>
      </c>
      <c r="B813" s="196" t="s">
        <v>3143</v>
      </c>
      <c r="C813" s="196" t="s">
        <v>4534</v>
      </c>
      <c r="D813" s="196" t="s">
        <v>2244</v>
      </c>
      <c r="E813" s="196"/>
      <c r="F813" s="196">
        <v>2008</v>
      </c>
      <c r="G813" s="196"/>
      <c r="H813" s="196" t="s">
        <v>2734</v>
      </c>
      <c r="I813" s="141" t="s">
        <v>1879</v>
      </c>
      <c r="J813" s="196" t="s">
        <v>4198</v>
      </c>
      <c r="K813" s="196" t="s">
        <v>1881</v>
      </c>
      <c r="L813" s="141" t="s">
        <v>4535</v>
      </c>
      <c r="M813" s="196">
        <v>418</v>
      </c>
      <c r="N813" s="196"/>
      <c r="O813" s="196" t="s">
        <v>4528</v>
      </c>
      <c r="P813" s="144">
        <v>632</v>
      </c>
      <c r="Q813" s="145">
        <f t="shared" si="49"/>
        <v>2.2175000000000002</v>
      </c>
      <c r="R813" s="203">
        <v>0.25</v>
      </c>
      <c r="S813" s="203"/>
      <c r="T813" s="151"/>
      <c r="U813" s="151">
        <v>1.7</v>
      </c>
      <c r="V813" s="151">
        <v>0.25</v>
      </c>
      <c r="W813" s="151">
        <f t="shared" si="51"/>
        <v>0.25</v>
      </c>
      <c r="X813" s="152">
        <f t="shared" si="50"/>
        <v>1.7500000000000002E-2</v>
      </c>
      <c r="Y813" s="152"/>
      <c r="Z813" s="148"/>
      <c r="AA813" s="153"/>
      <c r="AB813" s="153"/>
      <c r="AC813" s="153"/>
      <c r="AD813" s="153"/>
      <c r="AH813" s="147"/>
    </row>
    <row r="814" spans="1:34" s="146" customFormat="1" x14ac:dyDescent="0.25">
      <c r="A814" s="196">
        <v>689</v>
      </c>
      <c r="B814" s="196" t="s">
        <v>2470</v>
      </c>
      <c r="C814" s="196" t="s">
        <v>4536</v>
      </c>
      <c r="D814" s="196" t="s">
        <v>2386</v>
      </c>
      <c r="E814" s="196"/>
      <c r="F814" s="196">
        <v>2004</v>
      </c>
      <c r="G814" s="196"/>
      <c r="H814" s="196" t="s">
        <v>2734</v>
      </c>
      <c r="I814" s="141" t="s">
        <v>1879</v>
      </c>
      <c r="J814" s="196" t="s">
        <v>4198</v>
      </c>
      <c r="K814" s="196" t="s">
        <v>1881</v>
      </c>
      <c r="L814" s="141" t="s">
        <v>4537</v>
      </c>
      <c r="M814" s="196">
        <v>768</v>
      </c>
      <c r="N814" s="196"/>
      <c r="O814" s="196" t="s">
        <v>4529</v>
      </c>
      <c r="P814" s="144">
        <v>885</v>
      </c>
      <c r="Q814" s="145">
        <f t="shared" si="49"/>
        <v>2.2175000000000002</v>
      </c>
      <c r="R814" s="203">
        <v>0.25</v>
      </c>
      <c r="S814" s="203"/>
      <c r="T814" s="151"/>
      <c r="U814" s="151">
        <v>1.7</v>
      </c>
      <c r="V814" s="151">
        <v>0.25</v>
      </c>
      <c r="W814" s="151">
        <f t="shared" si="51"/>
        <v>0.25</v>
      </c>
      <c r="X814" s="152">
        <f t="shared" si="50"/>
        <v>1.7500000000000002E-2</v>
      </c>
      <c r="Y814" s="152"/>
      <c r="Z814" s="148"/>
      <c r="AA814" s="153"/>
      <c r="AB814" s="153"/>
      <c r="AC814" s="153"/>
      <c r="AD814" s="153"/>
      <c r="AH814" s="147"/>
    </row>
    <row r="815" spans="1:34" s="146" customFormat="1" x14ac:dyDescent="0.25">
      <c r="A815" s="196">
        <v>1395</v>
      </c>
      <c r="B815" s="196" t="s">
        <v>4538</v>
      </c>
      <c r="C815" s="196" t="s">
        <v>4539</v>
      </c>
      <c r="D815" s="196" t="s">
        <v>2477</v>
      </c>
      <c r="E815" s="196" t="s">
        <v>1877</v>
      </c>
      <c r="F815" s="196">
        <v>2012</v>
      </c>
      <c r="G815" s="196"/>
      <c r="H815" s="196" t="s">
        <v>1878</v>
      </c>
      <c r="I815" s="141" t="s">
        <v>1879</v>
      </c>
      <c r="J815" s="196"/>
      <c r="K815" s="196" t="s">
        <v>1881</v>
      </c>
      <c r="L815" s="141" t="s">
        <v>4540</v>
      </c>
      <c r="M815" s="196">
        <v>416</v>
      </c>
      <c r="N815" s="196"/>
      <c r="O815" s="196" t="s">
        <v>4530</v>
      </c>
      <c r="P815" s="144">
        <v>569</v>
      </c>
      <c r="Q815" s="145">
        <f t="shared" si="49"/>
        <v>2.8594999999999997</v>
      </c>
      <c r="R815" s="203">
        <v>0.85</v>
      </c>
      <c r="S815" s="203"/>
      <c r="T815" s="151"/>
      <c r="U815" s="151">
        <v>1.7</v>
      </c>
      <c r="V815" s="151">
        <v>0.25</v>
      </c>
      <c r="W815" s="151">
        <f t="shared" si="51"/>
        <v>0.85</v>
      </c>
      <c r="X815" s="152">
        <f t="shared" si="50"/>
        <v>5.9500000000000004E-2</v>
      </c>
      <c r="Y815" s="152"/>
      <c r="Z815" s="148"/>
      <c r="AA815" s="153"/>
      <c r="AB815" s="153"/>
      <c r="AC815" s="153"/>
      <c r="AD815" s="153"/>
      <c r="AH815" s="147"/>
    </row>
    <row r="816" spans="1:34" s="146" customFormat="1" x14ac:dyDescent="0.25">
      <c r="A816" s="196">
        <v>1395</v>
      </c>
      <c r="B816" s="196" t="s">
        <v>4541</v>
      </c>
      <c r="C816" s="196" t="s">
        <v>4542</v>
      </c>
      <c r="D816" s="196" t="s">
        <v>1920</v>
      </c>
      <c r="E816" s="196"/>
      <c r="F816" s="196">
        <v>2007</v>
      </c>
      <c r="G816" s="196"/>
      <c r="H816" s="196" t="s">
        <v>1878</v>
      </c>
      <c r="I816" s="141" t="s">
        <v>1879</v>
      </c>
      <c r="J816" s="196"/>
      <c r="K816" s="196" t="s">
        <v>1881</v>
      </c>
      <c r="L816" s="141" t="s">
        <v>4543</v>
      </c>
      <c r="M816" s="196">
        <v>352</v>
      </c>
      <c r="N816" s="196"/>
      <c r="O816" s="196" t="s">
        <v>4531</v>
      </c>
      <c r="P816" s="144">
        <v>371</v>
      </c>
      <c r="Q816" s="145">
        <f t="shared" si="49"/>
        <v>2.3594999999999997</v>
      </c>
      <c r="R816" s="203">
        <v>0.85</v>
      </c>
      <c r="S816" s="203"/>
      <c r="T816" s="151"/>
      <c r="U816" s="151">
        <v>1.2</v>
      </c>
      <c r="V816" s="151">
        <v>0.25</v>
      </c>
      <c r="W816" s="151">
        <f t="shared" si="51"/>
        <v>0.85</v>
      </c>
      <c r="X816" s="152">
        <f t="shared" si="50"/>
        <v>5.9500000000000004E-2</v>
      </c>
      <c r="Y816" s="152"/>
      <c r="Z816" s="148"/>
      <c r="AA816" s="153"/>
      <c r="AB816" s="153"/>
      <c r="AC816" s="153"/>
      <c r="AD816" s="153"/>
      <c r="AH816" s="147"/>
    </row>
    <row r="817" spans="1:34" s="146" customFormat="1" x14ac:dyDescent="0.25">
      <c r="A817" s="196">
        <v>632</v>
      </c>
      <c r="B817" s="196" t="s">
        <v>4593</v>
      </c>
      <c r="C817" s="196" t="s">
        <v>4594</v>
      </c>
      <c r="D817" s="196" t="s">
        <v>1920</v>
      </c>
      <c r="E817" s="196"/>
      <c r="F817" s="196">
        <v>2002</v>
      </c>
      <c r="G817" s="196"/>
      <c r="H817" s="196" t="s">
        <v>1878</v>
      </c>
      <c r="I817" s="141" t="s">
        <v>1879</v>
      </c>
      <c r="J817" s="196"/>
      <c r="K817" s="196" t="s">
        <v>1881</v>
      </c>
      <c r="L817" s="141" t="s">
        <v>4595</v>
      </c>
      <c r="M817" s="196">
        <v>832</v>
      </c>
      <c r="N817" s="196"/>
      <c r="O817" s="196" t="s">
        <v>4544</v>
      </c>
      <c r="P817" s="144">
        <v>509</v>
      </c>
      <c r="Q817" s="145">
        <f t="shared" si="49"/>
        <v>2.3672999999999997</v>
      </c>
      <c r="R817" s="203">
        <v>0.39</v>
      </c>
      <c r="S817" s="203"/>
      <c r="T817" s="151"/>
      <c r="U817" s="151">
        <v>1.7</v>
      </c>
      <c r="V817" s="151">
        <v>0.25</v>
      </c>
      <c r="W817" s="151">
        <f t="shared" si="51"/>
        <v>0.39</v>
      </c>
      <c r="X817" s="152">
        <f t="shared" si="50"/>
        <v>2.7300000000000001E-2</v>
      </c>
      <c r="Y817" s="152"/>
      <c r="Z817" s="148"/>
      <c r="AA817" s="153"/>
      <c r="AB817" s="153"/>
      <c r="AC817" s="153"/>
      <c r="AD817" s="153"/>
      <c r="AH817" s="147"/>
    </row>
    <row r="818" spans="1:34" s="146" customFormat="1" x14ac:dyDescent="0.25">
      <c r="A818" s="196">
        <v>1231</v>
      </c>
      <c r="B818" s="196" t="s">
        <v>4596</v>
      </c>
      <c r="C818" s="196" t="s">
        <v>4597</v>
      </c>
      <c r="D818" s="196" t="s">
        <v>1920</v>
      </c>
      <c r="E818" s="196"/>
      <c r="F818" s="196">
        <v>2002</v>
      </c>
      <c r="G818" s="196"/>
      <c r="H818" s="196" t="s">
        <v>1878</v>
      </c>
      <c r="I818" s="141" t="s">
        <v>1879</v>
      </c>
      <c r="J818" s="143" t="s">
        <v>3854</v>
      </c>
      <c r="K818" s="196" t="s">
        <v>1881</v>
      </c>
      <c r="L818" s="141" t="s">
        <v>4598</v>
      </c>
      <c r="M818" s="196">
        <v>256</v>
      </c>
      <c r="N818" s="196"/>
      <c r="O818" s="196" t="s">
        <v>4545</v>
      </c>
      <c r="P818" s="144">
        <v>254</v>
      </c>
      <c r="Q818" s="145">
        <f t="shared" si="49"/>
        <v>1.7175</v>
      </c>
      <c r="R818" s="203">
        <v>0.25</v>
      </c>
      <c r="S818" s="203"/>
      <c r="T818" s="151"/>
      <c r="U818" s="151">
        <v>1.2</v>
      </c>
      <c r="V818" s="151">
        <v>0.25</v>
      </c>
      <c r="W818" s="151">
        <f t="shared" si="51"/>
        <v>0.25</v>
      </c>
      <c r="X818" s="152">
        <f t="shared" si="50"/>
        <v>1.7500000000000002E-2</v>
      </c>
      <c r="Y818" s="152"/>
      <c r="Z818" s="148"/>
      <c r="AA818" s="153"/>
      <c r="AB818" s="153"/>
      <c r="AC818" s="153"/>
      <c r="AD818" s="153"/>
      <c r="AH818" s="147"/>
    </row>
    <row r="819" spans="1:34" s="146" customFormat="1" x14ac:dyDescent="0.25">
      <c r="A819" s="196">
        <v>632</v>
      </c>
      <c r="B819" s="196" t="s">
        <v>4599</v>
      </c>
      <c r="C819" s="196" t="s">
        <v>4600</v>
      </c>
      <c r="D819" s="196" t="s">
        <v>2257</v>
      </c>
      <c r="E819" s="196"/>
      <c r="F819" s="196">
        <v>2005</v>
      </c>
      <c r="G819" s="196"/>
      <c r="H819" s="196" t="s">
        <v>1878</v>
      </c>
      <c r="I819" s="141" t="s">
        <v>1879</v>
      </c>
      <c r="J819" s="196"/>
      <c r="K819" s="196" t="s">
        <v>1881</v>
      </c>
      <c r="L819" s="141" t="s">
        <v>4601</v>
      </c>
      <c r="M819" s="196">
        <v>574</v>
      </c>
      <c r="N819" s="196"/>
      <c r="O819" s="196" t="s">
        <v>4546</v>
      </c>
      <c r="P819" s="144">
        <v>500</v>
      </c>
      <c r="Q819" s="145">
        <f t="shared" si="49"/>
        <v>0.51749999999999996</v>
      </c>
      <c r="R819" s="203">
        <v>0.25</v>
      </c>
      <c r="S819" s="203"/>
      <c r="T819" s="151"/>
      <c r="U819" s="151"/>
      <c r="V819" s="151">
        <v>0.25</v>
      </c>
      <c r="W819" s="151">
        <f t="shared" si="51"/>
        <v>0.25</v>
      </c>
      <c r="X819" s="152">
        <f t="shared" si="50"/>
        <v>1.7500000000000002E-2</v>
      </c>
      <c r="Y819" s="152"/>
      <c r="Z819" s="148"/>
      <c r="AA819" s="153"/>
      <c r="AB819" s="153"/>
      <c r="AC819" s="153"/>
      <c r="AD819" s="153"/>
      <c r="AH819" s="147"/>
    </row>
    <row r="820" spans="1:34" s="146" customFormat="1" x14ac:dyDescent="0.25">
      <c r="A820" s="196">
        <v>1395</v>
      </c>
      <c r="B820" s="196" t="s">
        <v>4605</v>
      </c>
      <c r="C820" s="196" t="s">
        <v>4606</v>
      </c>
      <c r="D820" s="196" t="s">
        <v>1912</v>
      </c>
      <c r="E820" s="196" t="s">
        <v>1877</v>
      </c>
      <c r="F820" s="196">
        <v>2017</v>
      </c>
      <c r="G820" s="196"/>
      <c r="H820" s="196" t="s">
        <v>1878</v>
      </c>
      <c r="I820" s="141" t="s">
        <v>1879</v>
      </c>
      <c r="J820" s="196"/>
      <c r="K820" s="196" t="s">
        <v>1881</v>
      </c>
      <c r="L820" s="141" t="s">
        <v>4607</v>
      </c>
      <c r="M820" s="196">
        <v>320</v>
      </c>
      <c r="N820" s="196"/>
      <c r="O820" s="196" t="s">
        <v>4548</v>
      </c>
      <c r="P820" s="144">
        <v>280</v>
      </c>
      <c r="Q820" s="145">
        <f t="shared" si="49"/>
        <v>4.3282999999999996</v>
      </c>
      <c r="R820" s="203">
        <v>2.69</v>
      </c>
      <c r="S820" s="203"/>
      <c r="T820" s="151"/>
      <c r="U820" s="151">
        <v>1.2</v>
      </c>
      <c r="V820" s="151">
        <v>0.25</v>
      </c>
      <c r="W820" s="151">
        <f t="shared" si="51"/>
        <v>2.69</v>
      </c>
      <c r="X820" s="152">
        <f t="shared" si="50"/>
        <v>0.1883</v>
      </c>
      <c r="Y820" s="152"/>
      <c r="Z820" s="148"/>
      <c r="AA820" s="153"/>
      <c r="AB820" s="153"/>
      <c r="AC820" s="153"/>
      <c r="AD820" s="153"/>
      <c r="AH820" s="147"/>
    </row>
    <row r="821" spans="1:34" s="146" customFormat="1" x14ac:dyDescent="0.25">
      <c r="A821" s="196">
        <v>2522</v>
      </c>
      <c r="B821" s="196" t="s">
        <v>4611</v>
      </c>
      <c r="C821" s="196" t="s">
        <v>4612</v>
      </c>
      <c r="D821" s="196" t="s">
        <v>4517</v>
      </c>
      <c r="E821" s="196" t="s">
        <v>1877</v>
      </c>
      <c r="F821" s="196">
        <v>2005</v>
      </c>
      <c r="G821" s="196"/>
      <c r="H821" s="196" t="s">
        <v>1878</v>
      </c>
      <c r="I821" s="141" t="s">
        <v>1879</v>
      </c>
      <c r="J821" s="196" t="s">
        <v>2237</v>
      </c>
      <c r="K821" s="196" t="s">
        <v>1881</v>
      </c>
      <c r="L821" s="141" t="s">
        <v>4613</v>
      </c>
      <c r="M821" s="196">
        <v>384</v>
      </c>
      <c r="N821" s="196"/>
      <c r="O821" s="196" t="s">
        <v>4550</v>
      </c>
      <c r="P821" s="144">
        <v>306</v>
      </c>
      <c r="Q821" s="145">
        <f t="shared" si="49"/>
        <v>1.7175</v>
      </c>
      <c r="R821" s="203">
        <v>0.25</v>
      </c>
      <c r="S821" s="203"/>
      <c r="T821" s="151"/>
      <c r="U821" s="151">
        <v>1.2</v>
      </c>
      <c r="V821" s="151">
        <v>0.25</v>
      </c>
      <c r="W821" s="151">
        <f t="shared" si="51"/>
        <v>0.25</v>
      </c>
      <c r="X821" s="152">
        <f t="shared" si="50"/>
        <v>1.7500000000000002E-2</v>
      </c>
      <c r="Y821" s="152"/>
      <c r="Z821" s="148"/>
      <c r="AA821" s="153"/>
      <c r="AB821" s="153"/>
      <c r="AC821" s="153"/>
      <c r="AD821" s="153"/>
      <c r="AH821" s="147"/>
    </row>
    <row r="822" spans="1:34" s="146" customFormat="1" x14ac:dyDescent="0.25">
      <c r="A822" s="196">
        <v>796</v>
      </c>
      <c r="B822" s="196" t="s">
        <v>3143</v>
      </c>
      <c r="C822" s="196" t="s">
        <v>4614</v>
      </c>
      <c r="D822" s="196" t="s">
        <v>2244</v>
      </c>
      <c r="E822" s="196"/>
      <c r="F822" s="196">
        <v>2005</v>
      </c>
      <c r="G822" s="196"/>
      <c r="H822" s="196" t="s">
        <v>2734</v>
      </c>
      <c r="I822" s="141" t="s">
        <v>1879</v>
      </c>
      <c r="J822" s="196" t="s">
        <v>2237</v>
      </c>
      <c r="K822" s="196" t="s">
        <v>1881</v>
      </c>
      <c r="L822" s="141" t="s">
        <v>4615</v>
      </c>
      <c r="M822" s="196">
        <v>450</v>
      </c>
      <c r="N822" s="196"/>
      <c r="O822" s="196" t="s">
        <v>4551</v>
      </c>
      <c r="P822" s="144">
        <v>658</v>
      </c>
      <c r="Q822" s="145">
        <f t="shared" si="49"/>
        <v>2.2175000000000002</v>
      </c>
      <c r="R822" s="203">
        <v>0.25</v>
      </c>
      <c r="S822" s="203"/>
      <c r="T822" s="151"/>
      <c r="U822" s="151">
        <v>1.7</v>
      </c>
      <c r="V822" s="151">
        <v>0.25</v>
      </c>
      <c r="W822" s="151">
        <f t="shared" si="51"/>
        <v>0.25</v>
      </c>
      <c r="X822" s="152">
        <f t="shared" si="50"/>
        <v>1.7500000000000002E-2</v>
      </c>
      <c r="Y822" s="152"/>
      <c r="Z822" s="148"/>
      <c r="AA822" s="153"/>
      <c r="AB822" s="153"/>
      <c r="AC822" s="153"/>
      <c r="AD822" s="153"/>
      <c r="AH822" s="147"/>
    </row>
    <row r="823" spans="1:34" s="146" customFormat="1" x14ac:dyDescent="0.25">
      <c r="A823" s="196">
        <v>2547</v>
      </c>
      <c r="B823" s="196" t="s">
        <v>4616</v>
      </c>
      <c r="C823" s="196" t="s">
        <v>4617</v>
      </c>
      <c r="D823" s="196" t="s">
        <v>2257</v>
      </c>
      <c r="E823" s="196" t="s">
        <v>1921</v>
      </c>
      <c r="F823" s="196">
        <v>2003</v>
      </c>
      <c r="G823" s="196"/>
      <c r="H823" s="196" t="s">
        <v>1878</v>
      </c>
      <c r="I823" s="141" t="s">
        <v>1879</v>
      </c>
      <c r="J823" s="143" t="s">
        <v>4618</v>
      </c>
      <c r="K823" s="196" t="s">
        <v>1881</v>
      </c>
      <c r="L823" s="141" t="s">
        <v>4619</v>
      </c>
      <c r="M823" s="196">
        <v>496</v>
      </c>
      <c r="N823" s="196"/>
      <c r="O823" s="196" t="s">
        <v>4552</v>
      </c>
      <c r="P823" s="144">
        <v>331</v>
      </c>
      <c r="Q823" s="145">
        <f t="shared" si="49"/>
        <v>4.6493000000000002</v>
      </c>
      <c r="R823" s="203">
        <v>2.99</v>
      </c>
      <c r="S823" s="203"/>
      <c r="T823" s="151"/>
      <c r="U823" s="151">
        <v>1.2</v>
      </c>
      <c r="V823" s="151">
        <v>0.25</v>
      </c>
      <c r="W823" s="151">
        <f t="shared" si="51"/>
        <v>2.99</v>
      </c>
      <c r="X823" s="152">
        <f t="shared" si="50"/>
        <v>0.20930000000000001</v>
      </c>
      <c r="Y823" s="152"/>
      <c r="Z823" s="148"/>
      <c r="AA823" s="153"/>
      <c r="AB823" s="153"/>
      <c r="AC823" s="153"/>
      <c r="AD823" s="153"/>
      <c r="AH823" s="147"/>
    </row>
    <row r="824" spans="1:34" s="146" customFormat="1" x14ac:dyDescent="0.25">
      <c r="A824" s="196">
        <v>1875</v>
      </c>
      <c r="B824" s="196" t="s">
        <v>4624</v>
      </c>
      <c r="C824" s="196" t="s">
        <v>4625</v>
      </c>
      <c r="D824" s="196" t="s">
        <v>4626</v>
      </c>
      <c r="E824" s="196" t="s">
        <v>1913</v>
      </c>
      <c r="F824" s="196">
        <v>2013</v>
      </c>
      <c r="G824" s="196"/>
      <c r="H824" s="196" t="s">
        <v>1878</v>
      </c>
      <c r="I824" s="141" t="s">
        <v>1879</v>
      </c>
      <c r="J824" s="196"/>
      <c r="K824" s="196" t="s">
        <v>1881</v>
      </c>
      <c r="L824" s="141" t="s">
        <v>4627</v>
      </c>
      <c r="M824" s="196">
        <v>256</v>
      </c>
      <c r="N824" s="196"/>
      <c r="O824" s="196" t="s">
        <v>4554</v>
      </c>
      <c r="P824" s="144">
        <v>289</v>
      </c>
      <c r="Q824" s="145">
        <f t="shared" si="49"/>
        <v>1.9742999999999999</v>
      </c>
      <c r="R824" s="203">
        <v>0.49</v>
      </c>
      <c r="S824" s="203"/>
      <c r="T824" s="151"/>
      <c r="U824" s="151">
        <v>1.2</v>
      </c>
      <c r="V824" s="151">
        <v>0.25</v>
      </c>
      <c r="W824" s="151">
        <f t="shared" si="51"/>
        <v>0.49</v>
      </c>
      <c r="X824" s="152">
        <f t="shared" si="50"/>
        <v>3.4299999999999997E-2</v>
      </c>
      <c r="Y824" s="152"/>
      <c r="Z824" s="148"/>
      <c r="AA824" s="153"/>
      <c r="AB824" s="153"/>
      <c r="AC824" s="153"/>
      <c r="AD824" s="153"/>
      <c r="AH824" s="147"/>
    </row>
    <row r="825" spans="1:34" s="146" customFormat="1" x14ac:dyDescent="0.25">
      <c r="A825" s="196">
        <v>2514</v>
      </c>
      <c r="B825" s="196" t="s">
        <v>4628</v>
      </c>
      <c r="C825" s="196" t="s">
        <v>4629</v>
      </c>
      <c r="D825" s="196" t="s">
        <v>2402</v>
      </c>
      <c r="E825" s="196"/>
      <c r="F825" s="196">
        <v>1998</v>
      </c>
      <c r="G825" s="196"/>
      <c r="H825" s="196" t="s">
        <v>2734</v>
      </c>
      <c r="I825" s="141" t="s">
        <v>1879</v>
      </c>
      <c r="J825" s="196"/>
      <c r="K825" s="196" t="s">
        <v>1881</v>
      </c>
      <c r="L825" s="141" t="s">
        <v>4630</v>
      </c>
      <c r="M825" s="196">
        <v>126</v>
      </c>
      <c r="N825" s="196"/>
      <c r="O825" s="196" t="s">
        <v>4555</v>
      </c>
      <c r="P825" s="144">
        <v>181</v>
      </c>
      <c r="Q825" s="145">
        <f t="shared" si="49"/>
        <v>1.9742999999999999</v>
      </c>
      <c r="R825" s="203">
        <v>0.49</v>
      </c>
      <c r="S825" s="203"/>
      <c r="T825" s="151"/>
      <c r="U825" s="151">
        <v>1.2</v>
      </c>
      <c r="V825" s="151">
        <v>0.25</v>
      </c>
      <c r="W825" s="151">
        <f t="shared" si="51"/>
        <v>0.49</v>
      </c>
      <c r="X825" s="152">
        <f t="shared" si="50"/>
        <v>3.4299999999999997E-2</v>
      </c>
      <c r="Y825" s="152"/>
      <c r="Z825" s="148"/>
      <c r="AA825" s="153"/>
      <c r="AB825" s="153"/>
      <c r="AC825" s="153"/>
      <c r="AD825" s="153"/>
      <c r="AH825" s="147"/>
    </row>
    <row r="826" spans="1:34" s="146" customFormat="1" x14ac:dyDescent="0.25">
      <c r="A826" s="196">
        <v>1306</v>
      </c>
      <c r="B826" s="196"/>
      <c r="C826" s="196" t="s">
        <v>4631</v>
      </c>
      <c r="D826" s="196" t="s">
        <v>4632</v>
      </c>
      <c r="E826" s="196"/>
      <c r="F826" s="196">
        <v>2008</v>
      </c>
      <c r="G826" s="196"/>
      <c r="H826" s="196" t="s">
        <v>4297</v>
      </c>
      <c r="I826" s="141" t="s">
        <v>1879</v>
      </c>
      <c r="J826" s="196"/>
      <c r="K826" s="196" t="s">
        <v>1881</v>
      </c>
      <c r="L826" s="141" t="s">
        <v>4633</v>
      </c>
      <c r="M826" s="196">
        <v>98</v>
      </c>
      <c r="N826" s="196"/>
      <c r="O826" s="196" t="s">
        <v>4556</v>
      </c>
      <c r="P826" s="144">
        <v>206</v>
      </c>
      <c r="Q826" s="145">
        <f t="shared" si="49"/>
        <v>3.6863000000000001</v>
      </c>
      <c r="R826" s="203">
        <v>2.09</v>
      </c>
      <c r="S826" s="203"/>
      <c r="T826" s="151"/>
      <c r="U826" s="151">
        <v>1.2</v>
      </c>
      <c r="V826" s="151">
        <v>0.25</v>
      </c>
      <c r="W826" s="151">
        <f t="shared" si="51"/>
        <v>2.09</v>
      </c>
      <c r="X826" s="152">
        <f t="shared" si="50"/>
        <v>0.14629999999999999</v>
      </c>
      <c r="Y826" s="152"/>
      <c r="Z826" s="148"/>
      <c r="AA826" s="153"/>
      <c r="AB826" s="153"/>
      <c r="AC826" s="153"/>
      <c r="AD826" s="153"/>
      <c r="AH826" s="147"/>
    </row>
    <row r="827" spans="1:34" s="146" customFormat="1" x14ac:dyDescent="0.25">
      <c r="A827" s="196">
        <v>721</v>
      </c>
      <c r="B827" s="196" t="s">
        <v>4634</v>
      </c>
      <c r="C827" s="196" t="s">
        <v>4635</v>
      </c>
      <c r="D827" s="196" t="s">
        <v>4636</v>
      </c>
      <c r="E827" s="196" t="s">
        <v>1877</v>
      </c>
      <c r="F827" s="196">
        <v>2005</v>
      </c>
      <c r="G827" s="196"/>
      <c r="H827" s="196" t="s">
        <v>2734</v>
      </c>
      <c r="I827" s="141" t="s">
        <v>1929</v>
      </c>
      <c r="J827" s="196"/>
      <c r="K827" s="196" t="s">
        <v>1881</v>
      </c>
      <c r="L827" s="141" t="s">
        <v>4637</v>
      </c>
      <c r="M827" s="196">
        <v>162</v>
      </c>
      <c r="N827" s="196"/>
      <c r="O827" s="196" t="s">
        <v>4557</v>
      </c>
      <c r="P827" s="144">
        <v>411</v>
      </c>
      <c r="Q827" s="145">
        <f t="shared" si="49"/>
        <v>5.3982999999999999</v>
      </c>
      <c r="R827" s="203">
        <v>3.69</v>
      </c>
      <c r="S827" s="203"/>
      <c r="T827" s="151"/>
      <c r="U827" s="151">
        <v>1.2</v>
      </c>
      <c r="V827" s="151">
        <v>0.25</v>
      </c>
      <c r="W827" s="151">
        <f t="shared" si="51"/>
        <v>3.69</v>
      </c>
      <c r="X827" s="152">
        <f t="shared" si="50"/>
        <v>0.25830000000000003</v>
      </c>
      <c r="Y827" s="152"/>
      <c r="Z827" s="148"/>
      <c r="AA827" s="153"/>
      <c r="AB827" s="153"/>
      <c r="AC827" s="153"/>
      <c r="AD827" s="153"/>
      <c r="AH827" s="147"/>
    </row>
    <row r="828" spans="1:34" s="146" customFormat="1" x14ac:dyDescent="0.25">
      <c r="A828" s="196">
        <v>1395</v>
      </c>
      <c r="B828" s="196" t="s">
        <v>4639</v>
      </c>
      <c r="C828" s="196" t="s">
        <v>4640</v>
      </c>
      <c r="D828" s="196" t="s">
        <v>1912</v>
      </c>
      <c r="E828" s="196" t="s">
        <v>1913</v>
      </c>
      <c r="F828" s="196">
        <v>2014</v>
      </c>
      <c r="G828" s="196"/>
      <c r="H828" s="196" t="s">
        <v>1878</v>
      </c>
      <c r="I828" s="141" t="s">
        <v>1929</v>
      </c>
      <c r="J828" s="143" t="s">
        <v>3854</v>
      </c>
      <c r="K828" s="196" t="s">
        <v>1881</v>
      </c>
      <c r="L828" s="141" t="s">
        <v>4641</v>
      </c>
      <c r="M828" s="196">
        <v>400</v>
      </c>
      <c r="N828" s="196"/>
      <c r="O828" s="196" t="s">
        <v>4558</v>
      </c>
      <c r="P828" s="144">
        <v>324</v>
      </c>
      <c r="Q828" s="145">
        <f t="shared" ref="Q828:Q889" si="52">SUM(T828:X828)</f>
        <v>2.1882999999999995</v>
      </c>
      <c r="R828" s="203">
        <v>0.69</v>
      </c>
      <c r="S828" s="203"/>
      <c r="T828" s="151"/>
      <c r="U828" s="151">
        <v>1.2</v>
      </c>
      <c r="V828" s="151">
        <v>0.25</v>
      </c>
      <c r="W828" s="151">
        <f t="shared" si="51"/>
        <v>0.69</v>
      </c>
      <c r="X828" s="152">
        <f t="shared" si="50"/>
        <v>4.8299999999999996E-2</v>
      </c>
      <c r="Y828" s="152"/>
      <c r="Z828" s="148"/>
      <c r="AA828" s="153"/>
      <c r="AB828" s="153"/>
      <c r="AC828" s="153"/>
      <c r="AD828" s="153"/>
      <c r="AH828" s="147"/>
    </row>
    <row r="829" spans="1:34" s="146" customFormat="1" x14ac:dyDescent="0.25">
      <c r="A829" s="196">
        <v>796</v>
      </c>
      <c r="B829" s="196" t="s">
        <v>4642</v>
      </c>
      <c r="C829" s="196" t="s">
        <v>4643</v>
      </c>
      <c r="D829" s="196" t="s">
        <v>2257</v>
      </c>
      <c r="E829" s="196" t="s">
        <v>1921</v>
      </c>
      <c r="F829" s="196">
        <v>2011</v>
      </c>
      <c r="G829" s="196"/>
      <c r="H829" s="196" t="s">
        <v>1878</v>
      </c>
      <c r="I829" s="141" t="s">
        <v>1879</v>
      </c>
      <c r="J829" s="143" t="s">
        <v>3854</v>
      </c>
      <c r="K829" s="196" t="s">
        <v>1881</v>
      </c>
      <c r="L829" s="141" t="s">
        <v>4644</v>
      </c>
      <c r="M829" s="196">
        <v>656</v>
      </c>
      <c r="N829" s="196"/>
      <c r="O829" s="196" t="s">
        <v>4559</v>
      </c>
      <c r="P829" s="144">
        <v>427</v>
      </c>
      <c r="Q829" s="145">
        <f t="shared" si="52"/>
        <v>2.5093000000000001</v>
      </c>
      <c r="R829" s="203">
        <v>0.99</v>
      </c>
      <c r="S829" s="203"/>
      <c r="T829" s="151"/>
      <c r="U829" s="151">
        <v>1.2</v>
      </c>
      <c r="V829" s="151">
        <v>0.25</v>
      </c>
      <c r="W829" s="151">
        <f t="shared" si="51"/>
        <v>0.99</v>
      </c>
      <c r="X829" s="152">
        <f t="shared" si="50"/>
        <v>6.93E-2</v>
      </c>
      <c r="Y829" s="152"/>
      <c r="Z829" s="148"/>
      <c r="AA829" s="153"/>
      <c r="AB829" s="153"/>
      <c r="AC829" s="153"/>
      <c r="AD829" s="153"/>
      <c r="AH829" s="147"/>
    </row>
    <row r="830" spans="1:34" s="146" customFormat="1" x14ac:dyDescent="0.25">
      <c r="A830" s="196">
        <v>765</v>
      </c>
      <c r="B830" s="196" t="s">
        <v>4645</v>
      </c>
      <c r="C830" s="196" t="s">
        <v>4646</v>
      </c>
      <c r="D830" s="196" t="s">
        <v>4647</v>
      </c>
      <c r="E830" s="196"/>
      <c r="F830" s="196">
        <v>1997</v>
      </c>
      <c r="G830" s="196"/>
      <c r="H830" s="196" t="s">
        <v>1878</v>
      </c>
      <c r="I830" s="141" t="s">
        <v>1879</v>
      </c>
      <c r="J830" s="196" t="s">
        <v>3202</v>
      </c>
      <c r="K830" s="196" t="s">
        <v>1881</v>
      </c>
      <c r="L830" s="141" t="s">
        <v>4648</v>
      </c>
      <c r="M830" s="196">
        <v>160</v>
      </c>
      <c r="N830" s="196"/>
      <c r="O830" s="196" t="s">
        <v>4560</v>
      </c>
      <c r="P830" s="144">
        <v>236</v>
      </c>
      <c r="Q830" s="145">
        <f t="shared" si="52"/>
        <v>2.7232999999999996</v>
      </c>
      <c r="R830" s="203">
        <v>1.19</v>
      </c>
      <c r="S830" s="203"/>
      <c r="T830" s="151"/>
      <c r="U830" s="151">
        <v>1.2</v>
      </c>
      <c r="V830" s="151">
        <v>0.25</v>
      </c>
      <c r="W830" s="151">
        <f t="shared" si="51"/>
        <v>1.19</v>
      </c>
      <c r="X830" s="152">
        <f t="shared" si="50"/>
        <v>8.3299999999999999E-2</v>
      </c>
      <c r="Y830" s="152"/>
      <c r="Z830" s="148"/>
      <c r="AA830" s="153"/>
      <c r="AB830" s="153"/>
      <c r="AC830" s="153"/>
      <c r="AD830" s="153"/>
      <c r="AH830" s="147"/>
    </row>
    <row r="831" spans="1:34" s="146" customFormat="1" x14ac:dyDescent="0.25">
      <c r="A831" s="196">
        <v>1395</v>
      </c>
      <c r="B831" s="196" t="s">
        <v>4649</v>
      </c>
      <c r="C831" s="196" t="s">
        <v>4650</v>
      </c>
      <c r="D831" s="196" t="s">
        <v>1998</v>
      </c>
      <c r="E831" s="196" t="s">
        <v>1899</v>
      </c>
      <c r="F831" s="196">
        <v>2004</v>
      </c>
      <c r="G831" s="196"/>
      <c r="H831" s="196" t="s">
        <v>1878</v>
      </c>
      <c r="I831" s="141" t="s">
        <v>1879</v>
      </c>
      <c r="J831" s="196" t="s">
        <v>3202</v>
      </c>
      <c r="K831" s="196" t="s">
        <v>1881</v>
      </c>
      <c r="L831" s="141" t="s">
        <v>4651</v>
      </c>
      <c r="M831" s="196">
        <v>240</v>
      </c>
      <c r="N831" s="196"/>
      <c r="O831" s="196" t="s">
        <v>4561</v>
      </c>
      <c r="P831" s="144">
        <v>184</v>
      </c>
      <c r="Q831" s="145">
        <f t="shared" si="52"/>
        <v>1.7175</v>
      </c>
      <c r="R831" s="203">
        <v>0.25</v>
      </c>
      <c r="S831" s="203"/>
      <c r="T831" s="151"/>
      <c r="U831" s="151">
        <v>1.2</v>
      </c>
      <c r="V831" s="151">
        <v>0.25</v>
      </c>
      <c r="W831" s="151">
        <f t="shared" si="51"/>
        <v>0.25</v>
      </c>
      <c r="X831" s="152">
        <f t="shared" si="50"/>
        <v>1.7500000000000002E-2</v>
      </c>
      <c r="Y831" s="152"/>
      <c r="Z831" s="148"/>
      <c r="AA831" s="153"/>
      <c r="AB831" s="153"/>
      <c r="AC831" s="153"/>
      <c r="AD831" s="153"/>
      <c r="AH831" s="147"/>
    </row>
    <row r="832" spans="1:34" s="146" customFormat="1" x14ac:dyDescent="0.25">
      <c r="A832" s="196">
        <v>1395</v>
      </c>
      <c r="B832" s="196" t="s">
        <v>4652</v>
      </c>
      <c r="C832" s="196" t="s">
        <v>4653</v>
      </c>
      <c r="D832" s="196" t="s">
        <v>1998</v>
      </c>
      <c r="E832" s="196" t="s">
        <v>2032</v>
      </c>
      <c r="F832" s="196">
        <v>2010</v>
      </c>
      <c r="G832" s="196"/>
      <c r="H832" s="196" t="s">
        <v>1878</v>
      </c>
      <c r="I832" s="141" t="s">
        <v>1879</v>
      </c>
      <c r="J832" s="196" t="s">
        <v>3202</v>
      </c>
      <c r="K832" s="196" t="s">
        <v>1881</v>
      </c>
      <c r="L832" s="141" t="s">
        <v>4654</v>
      </c>
      <c r="M832" s="196">
        <v>208</v>
      </c>
      <c r="N832" s="196"/>
      <c r="O832" s="196" t="s">
        <v>4562</v>
      </c>
      <c r="P832" s="144">
        <v>298</v>
      </c>
      <c r="Q832" s="145">
        <f t="shared" si="52"/>
        <v>1.7175</v>
      </c>
      <c r="R832" s="203">
        <v>0.25</v>
      </c>
      <c r="S832" s="203"/>
      <c r="T832" s="151"/>
      <c r="U832" s="151">
        <v>1.2</v>
      </c>
      <c r="V832" s="151">
        <v>0.25</v>
      </c>
      <c r="W832" s="151">
        <f t="shared" si="51"/>
        <v>0.25</v>
      </c>
      <c r="X832" s="152">
        <f t="shared" si="50"/>
        <v>1.7500000000000002E-2</v>
      </c>
      <c r="Y832" s="152"/>
      <c r="Z832" s="148"/>
      <c r="AA832" s="153"/>
      <c r="AB832" s="153"/>
      <c r="AC832" s="153"/>
      <c r="AD832" s="153"/>
      <c r="AH832" s="147"/>
    </row>
    <row r="833" spans="1:34" s="146" customFormat="1" x14ac:dyDescent="0.25">
      <c r="A833" s="196">
        <v>2522</v>
      </c>
      <c r="B833" s="196" t="s">
        <v>3301</v>
      </c>
      <c r="C833" s="196" t="s">
        <v>4655</v>
      </c>
      <c r="D833" s="196" t="s">
        <v>2309</v>
      </c>
      <c r="E833" s="196"/>
      <c r="F833" s="196">
        <v>2012</v>
      </c>
      <c r="G833" s="196"/>
      <c r="H833" s="196" t="s">
        <v>4297</v>
      </c>
      <c r="I833" s="141" t="s">
        <v>1914</v>
      </c>
      <c r="J833" s="196"/>
      <c r="K833" s="196" t="s">
        <v>1881</v>
      </c>
      <c r="L833" s="141"/>
      <c r="M833" s="196">
        <v>562</v>
      </c>
      <c r="N833" s="196"/>
      <c r="O833" s="196" t="s">
        <v>4563</v>
      </c>
      <c r="P833" s="144">
        <v>422</v>
      </c>
      <c r="Q833" s="145">
        <f t="shared" si="52"/>
        <v>1.7175</v>
      </c>
      <c r="R833" s="203">
        <v>0.25</v>
      </c>
      <c r="S833" s="203"/>
      <c r="T833" s="151"/>
      <c r="U833" s="151">
        <v>1.2</v>
      </c>
      <c r="V833" s="151">
        <v>0.25</v>
      </c>
      <c r="W833" s="151">
        <f t="shared" si="51"/>
        <v>0.25</v>
      </c>
      <c r="X833" s="152">
        <f t="shared" si="50"/>
        <v>1.7500000000000002E-2</v>
      </c>
      <c r="Y833" s="152"/>
      <c r="Z833" s="148"/>
      <c r="AA833" s="153"/>
      <c r="AB833" s="153"/>
      <c r="AC833" s="153"/>
      <c r="AD833" s="153"/>
      <c r="AH833" s="147"/>
    </row>
    <row r="834" spans="1:34" s="146" customFormat="1" x14ac:dyDescent="0.25">
      <c r="A834" s="196">
        <v>618</v>
      </c>
      <c r="B834" s="196" t="s">
        <v>4656</v>
      </c>
      <c r="C834" s="196" t="s">
        <v>4657</v>
      </c>
      <c r="D834" s="196"/>
      <c r="E834" s="196"/>
      <c r="F834" s="196">
        <v>2013</v>
      </c>
      <c r="G834" s="196"/>
      <c r="H834" s="196" t="s">
        <v>1878</v>
      </c>
      <c r="I834" s="141" t="s">
        <v>1914</v>
      </c>
      <c r="J834" s="196"/>
      <c r="K834" s="196" t="s">
        <v>1881</v>
      </c>
      <c r="L834" s="141" t="s">
        <v>4658</v>
      </c>
      <c r="M834" s="196">
        <v>188</v>
      </c>
      <c r="N834" s="196"/>
      <c r="O834" s="196" t="s">
        <v>4564</v>
      </c>
      <c r="P834" s="144">
        <v>242</v>
      </c>
      <c r="Q834" s="145">
        <f t="shared" si="52"/>
        <v>2.2953000000000001</v>
      </c>
      <c r="R834" s="203">
        <v>0.79</v>
      </c>
      <c r="S834" s="203"/>
      <c r="T834" s="151"/>
      <c r="U834" s="151">
        <v>1.2</v>
      </c>
      <c r="V834" s="151">
        <v>0.25</v>
      </c>
      <c r="W834" s="151">
        <f t="shared" si="51"/>
        <v>0.79</v>
      </c>
      <c r="X834" s="152">
        <f t="shared" si="50"/>
        <v>5.5300000000000002E-2</v>
      </c>
      <c r="Y834" s="152"/>
      <c r="Z834" s="148"/>
      <c r="AA834" s="153"/>
      <c r="AB834" s="153"/>
      <c r="AC834" s="153"/>
      <c r="AD834" s="153"/>
      <c r="AH834" s="147"/>
    </row>
    <row r="835" spans="1:34" s="146" customFormat="1" x14ac:dyDescent="0.25">
      <c r="A835" s="196">
        <v>632</v>
      </c>
      <c r="B835" s="196" t="s">
        <v>4659</v>
      </c>
      <c r="C835" s="196" t="s">
        <v>4660</v>
      </c>
      <c r="D835" s="196" t="s">
        <v>1988</v>
      </c>
      <c r="E835" s="196" t="s">
        <v>2937</v>
      </c>
      <c r="F835" s="196">
        <v>1997</v>
      </c>
      <c r="G835" s="196"/>
      <c r="H835" s="196" t="s">
        <v>1878</v>
      </c>
      <c r="I835" s="141" t="s">
        <v>1879</v>
      </c>
      <c r="J835" s="196"/>
      <c r="K835" s="196" t="s">
        <v>1881</v>
      </c>
      <c r="L835" s="141" t="s">
        <v>4661</v>
      </c>
      <c r="M835" s="196">
        <v>600</v>
      </c>
      <c r="N835" s="196"/>
      <c r="O835" s="196" t="s">
        <v>4565</v>
      </c>
      <c r="P835" s="144">
        <v>503</v>
      </c>
      <c r="Q835" s="145">
        <f t="shared" si="52"/>
        <v>3.5015000000000001</v>
      </c>
      <c r="R835" s="203">
        <v>1.45</v>
      </c>
      <c r="S835" s="203"/>
      <c r="T835" s="151"/>
      <c r="U835" s="151">
        <v>1.7</v>
      </c>
      <c r="V835" s="151">
        <v>0.25</v>
      </c>
      <c r="W835" s="151">
        <f t="shared" si="51"/>
        <v>1.45</v>
      </c>
      <c r="X835" s="152">
        <f t="shared" si="50"/>
        <v>0.10149999999999999</v>
      </c>
      <c r="Y835" s="152"/>
      <c r="Z835" s="148"/>
      <c r="AA835" s="153"/>
      <c r="AB835" s="153"/>
      <c r="AC835" s="153"/>
      <c r="AD835" s="153"/>
      <c r="AH835" s="147"/>
    </row>
    <row r="836" spans="1:34" s="146" customFormat="1" x14ac:dyDescent="0.25">
      <c r="A836" s="196">
        <v>1231</v>
      </c>
      <c r="B836" s="196" t="s">
        <v>4662</v>
      </c>
      <c r="C836" s="196" t="s">
        <v>4663</v>
      </c>
      <c r="D836" s="196" t="s">
        <v>2232</v>
      </c>
      <c r="E836" s="196" t="s">
        <v>2157</v>
      </c>
      <c r="F836" s="196">
        <v>1998</v>
      </c>
      <c r="G836" s="196"/>
      <c r="H836" s="196" t="s">
        <v>1878</v>
      </c>
      <c r="I836" s="141" t="s">
        <v>1879</v>
      </c>
      <c r="J836" s="196"/>
      <c r="K836" s="196" t="s">
        <v>1881</v>
      </c>
      <c r="L836" s="141" t="s">
        <v>4664</v>
      </c>
      <c r="M836" s="196">
        <v>544</v>
      </c>
      <c r="N836" s="196"/>
      <c r="O836" s="196" t="s">
        <v>4566</v>
      </c>
      <c r="P836" s="144">
        <v>457</v>
      </c>
      <c r="Q836" s="145">
        <f t="shared" si="52"/>
        <v>1.7175</v>
      </c>
      <c r="R836" s="203">
        <v>0.25</v>
      </c>
      <c r="S836" s="203"/>
      <c r="T836" s="151"/>
      <c r="U836" s="151">
        <v>1.2</v>
      </c>
      <c r="V836" s="151">
        <v>0.25</v>
      </c>
      <c r="W836" s="151">
        <f t="shared" si="51"/>
        <v>0.25</v>
      </c>
      <c r="X836" s="152">
        <f t="shared" si="50"/>
        <v>1.7500000000000002E-2</v>
      </c>
      <c r="Y836" s="152"/>
      <c r="Z836" s="148"/>
      <c r="AA836" s="153"/>
      <c r="AB836" s="153"/>
      <c r="AC836" s="153"/>
      <c r="AD836" s="153"/>
      <c r="AH836" s="147"/>
    </row>
    <row r="837" spans="1:34" s="146" customFormat="1" x14ac:dyDescent="0.25">
      <c r="A837" s="196">
        <v>1395</v>
      </c>
      <c r="B837" s="196" t="s">
        <v>4665</v>
      </c>
      <c r="C837" s="196" t="s">
        <v>4666</v>
      </c>
      <c r="D837" s="196" t="s">
        <v>4667</v>
      </c>
      <c r="E837" s="196" t="s">
        <v>1877</v>
      </c>
      <c r="F837" s="196">
        <v>1975</v>
      </c>
      <c r="G837" s="196"/>
      <c r="H837" s="196" t="s">
        <v>2734</v>
      </c>
      <c r="I837" s="141" t="s">
        <v>1879</v>
      </c>
      <c r="J837" s="196"/>
      <c r="K837" s="196" t="s">
        <v>1881</v>
      </c>
      <c r="L837" s="141"/>
      <c r="M837" s="196">
        <v>242</v>
      </c>
      <c r="N837" s="196"/>
      <c r="O837" s="196" t="s">
        <v>4567</v>
      </c>
      <c r="P837" s="144">
        <v>254</v>
      </c>
      <c r="Q837" s="145">
        <f t="shared" si="52"/>
        <v>2.2953000000000001</v>
      </c>
      <c r="R837" s="203">
        <v>0.79</v>
      </c>
      <c r="S837" s="203"/>
      <c r="T837" s="151"/>
      <c r="U837" s="151">
        <v>1.2</v>
      </c>
      <c r="V837" s="151">
        <v>0.25</v>
      </c>
      <c r="W837" s="151">
        <f t="shared" si="51"/>
        <v>0.79</v>
      </c>
      <c r="X837" s="152">
        <f t="shared" si="50"/>
        <v>5.5300000000000002E-2</v>
      </c>
      <c r="Y837" s="152"/>
      <c r="Z837" s="148"/>
      <c r="AA837" s="153"/>
      <c r="AB837" s="153"/>
      <c r="AC837" s="153"/>
      <c r="AD837" s="153"/>
      <c r="AH837" s="147"/>
    </row>
    <row r="838" spans="1:34" s="146" customFormat="1" x14ac:dyDescent="0.25">
      <c r="A838" s="196">
        <v>689</v>
      </c>
      <c r="B838" s="196" t="s">
        <v>2470</v>
      </c>
      <c r="C838" s="196" t="s">
        <v>4668</v>
      </c>
      <c r="D838" s="196" t="s">
        <v>4669</v>
      </c>
      <c r="E838" s="196"/>
      <c r="F838" s="196">
        <v>2004</v>
      </c>
      <c r="G838" s="196"/>
      <c r="H838" s="196" t="s">
        <v>2734</v>
      </c>
      <c r="I838" s="141" t="s">
        <v>1929</v>
      </c>
      <c r="J838" s="196"/>
      <c r="K838" s="196" t="s">
        <v>1881</v>
      </c>
      <c r="L838" s="141" t="s">
        <v>4670</v>
      </c>
      <c r="M838" s="196">
        <v>238</v>
      </c>
      <c r="N838" s="196"/>
      <c r="O838" s="196" t="s">
        <v>4568</v>
      </c>
      <c r="P838" s="144">
        <v>459</v>
      </c>
      <c r="Q838" s="145">
        <f t="shared" si="52"/>
        <v>2.4022999999999999</v>
      </c>
      <c r="R838" s="203">
        <v>0.89</v>
      </c>
      <c r="S838" s="203"/>
      <c r="T838" s="151"/>
      <c r="U838" s="151">
        <v>1.2</v>
      </c>
      <c r="V838" s="151">
        <v>0.25</v>
      </c>
      <c r="W838" s="151">
        <f t="shared" si="51"/>
        <v>0.89</v>
      </c>
      <c r="X838" s="152">
        <f t="shared" si="50"/>
        <v>6.2300000000000001E-2</v>
      </c>
      <c r="Y838" s="152"/>
      <c r="Z838" s="148"/>
      <c r="AA838" s="153"/>
      <c r="AB838" s="153"/>
      <c r="AC838" s="153"/>
      <c r="AD838" s="153"/>
      <c r="AH838" s="147"/>
    </row>
    <row r="839" spans="1:34" s="146" customFormat="1" x14ac:dyDescent="0.25">
      <c r="A839" s="196">
        <v>2952</v>
      </c>
      <c r="B839" s="196" t="s">
        <v>4671</v>
      </c>
      <c r="C839" s="196" t="s">
        <v>4672</v>
      </c>
      <c r="D839" s="196" t="s">
        <v>3022</v>
      </c>
      <c r="E839" s="196"/>
      <c r="F839" s="196">
        <v>2008</v>
      </c>
      <c r="G839" s="196"/>
      <c r="H839" s="196" t="s">
        <v>2734</v>
      </c>
      <c r="I839" s="141" t="s">
        <v>1879</v>
      </c>
      <c r="J839" s="196"/>
      <c r="K839" s="196" t="s">
        <v>1881</v>
      </c>
      <c r="L839" s="141"/>
      <c r="M839" s="196">
        <v>338</v>
      </c>
      <c r="N839" s="196"/>
      <c r="O839" s="196" t="s">
        <v>4569</v>
      </c>
      <c r="P839" s="144">
        <v>457</v>
      </c>
      <c r="Q839" s="145">
        <f t="shared" si="52"/>
        <v>2.5093000000000001</v>
      </c>
      <c r="R839" s="203">
        <v>0.99</v>
      </c>
      <c r="S839" s="203"/>
      <c r="T839" s="151"/>
      <c r="U839" s="151">
        <v>1.2</v>
      </c>
      <c r="V839" s="151">
        <v>0.25</v>
      </c>
      <c r="W839" s="151">
        <f t="shared" si="51"/>
        <v>0.99</v>
      </c>
      <c r="X839" s="152">
        <f t="shared" si="50"/>
        <v>6.93E-2</v>
      </c>
      <c r="Y839" s="152"/>
      <c r="Z839" s="148"/>
      <c r="AA839" s="153"/>
      <c r="AB839" s="153"/>
      <c r="AC839" s="153"/>
      <c r="AD839" s="153"/>
      <c r="AH839" s="147"/>
    </row>
    <row r="840" spans="1:34" s="146" customFormat="1" x14ac:dyDescent="0.25">
      <c r="A840" s="196">
        <v>389</v>
      </c>
      <c r="B840" s="196" t="s">
        <v>2470</v>
      </c>
      <c r="C840" s="196" t="s">
        <v>4673</v>
      </c>
      <c r="D840" s="196" t="s">
        <v>2386</v>
      </c>
      <c r="E840" s="196"/>
      <c r="F840" s="196">
        <v>2002</v>
      </c>
      <c r="G840" s="196"/>
      <c r="H840" s="196" t="s">
        <v>2734</v>
      </c>
      <c r="I840" s="141" t="s">
        <v>1879</v>
      </c>
      <c r="J840" s="196"/>
      <c r="K840" s="196" t="s">
        <v>1881</v>
      </c>
      <c r="L840" s="141" t="s">
        <v>4674</v>
      </c>
      <c r="M840" s="196">
        <v>514</v>
      </c>
      <c r="N840" s="196"/>
      <c r="O840" s="196" t="s">
        <v>4570</v>
      </c>
      <c r="P840" s="144">
        <v>592</v>
      </c>
      <c r="Q840" s="145">
        <f t="shared" si="52"/>
        <v>2.2175000000000002</v>
      </c>
      <c r="R840" s="203">
        <v>0.25</v>
      </c>
      <c r="S840" s="203"/>
      <c r="T840" s="151"/>
      <c r="U840" s="151">
        <v>1.7</v>
      </c>
      <c r="V840" s="151">
        <v>0.25</v>
      </c>
      <c r="W840" s="151">
        <f t="shared" si="51"/>
        <v>0.25</v>
      </c>
      <c r="X840" s="152">
        <f t="shared" ref="X840:X899" si="53">(T840+W840)/100*7</f>
        <v>1.7500000000000002E-2</v>
      </c>
      <c r="Y840" s="152"/>
      <c r="Z840" s="148"/>
      <c r="AA840" s="153"/>
      <c r="AB840" s="153"/>
      <c r="AC840" s="153"/>
      <c r="AD840" s="153"/>
      <c r="AH840" s="147"/>
    </row>
    <row r="841" spans="1:34" s="146" customFormat="1" x14ac:dyDescent="0.25">
      <c r="A841" s="196">
        <v>2522</v>
      </c>
      <c r="B841" s="196" t="s">
        <v>4675</v>
      </c>
      <c r="C841" s="196" t="s">
        <v>4676</v>
      </c>
      <c r="D841" s="196" t="s">
        <v>1912</v>
      </c>
      <c r="E841" s="196" t="s">
        <v>1921</v>
      </c>
      <c r="F841" s="196">
        <v>2003</v>
      </c>
      <c r="G841" s="196"/>
      <c r="H841" s="196" t="s">
        <v>1878</v>
      </c>
      <c r="I841" s="141" t="s">
        <v>1879</v>
      </c>
      <c r="J841" s="196"/>
      <c r="K841" s="196" t="s">
        <v>1881</v>
      </c>
      <c r="L841" s="141" t="s">
        <v>4677</v>
      </c>
      <c r="M841" s="196">
        <v>480</v>
      </c>
      <c r="N841" s="196"/>
      <c r="O841" s="196" t="s">
        <v>4571</v>
      </c>
      <c r="P841" s="144">
        <v>422</v>
      </c>
      <c r="Q841" s="145">
        <f t="shared" si="52"/>
        <v>2.8303000000000003</v>
      </c>
      <c r="R841" s="203">
        <v>1.29</v>
      </c>
      <c r="S841" s="203"/>
      <c r="T841" s="151"/>
      <c r="U841" s="151">
        <v>1.2</v>
      </c>
      <c r="V841" s="151">
        <v>0.25</v>
      </c>
      <c r="W841" s="151">
        <f t="shared" si="51"/>
        <v>1.29</v>
      </c>
      <c r="X841" s="152">
        <f t="shared" si="53"/>
        <v>9.0300000000000005E-2</v>
      </c>
      <c r="Y841" s="152"/>
      <c r="Z841" s="148"/>
      <c r="AA841" s="153"/>
      <c r="AB841" s="153"/>
      <c r="AC841" s="153"/>
      <c r="AD841" s="153"/>
      <c r="AH841" s="147"/>
    </row>
    <row r="842" spans="1:34" s="146" customFormat="1" x14ac:dyDescent="0.25">
      <c r="A842" s="196">
        <v>721</v>
      </c>
      <c r="B842" s="196" t="s">
        <v>4678</v>
      </c>
      <c r="C842" s="196" t="s">
        <v>4679</v>
      </c>
      <c r="D842" s="196" t="s">
        <v>3057</v>
      </c>
      <c r="E842" s="196"/>
      <c r="F842" s="196">
        <v>2008</v>
      </c>
      <c r="G842" s="196"/>
      <c r="H842" s="196" t="s">
        <v>1878</v>
      </c>
      <c r="I842" s="141" t="s">
        <v>1879</v>
      </c>
      <c r="J842" s="196" t="s">
        <v>4291</v>
      </c>
      <c r="K842" s="196" t="s">
        <v>1881</v>
      </c>
      <c r="L842" s="141" t="s">
        <v>4680</v>
      </c>
      <c r="M842" s="196">
        <v>80</v>
      </c>
      <c r="N842" s="196"/>
      <c r="O842" s="196" t="s">
        <v>4572</v>
      </c>
      <c r="P842" s="144">
        <v>246</v>
      </c>
      <c r="Q842" s="145">
        <f t="shared" si="52"/>
        <v>3.0442999999999998</v>
      </c>
      <c r="R842" s="203">
        <v>1.49</v>
      </c>
      <c r="S842" s="203"/>
      <c r="T842" s="151"/>
      <c r="U842" s="151">
        <v>1.2</v>
      </c>
      <c r="V842" s="151">
        <v>0.25</v>
      </c>
      <c r="W842" s="151">
        <f t="shared" si="51"/>
        <v>1.49</v>
      </c>
      <c r="X842" s="152">
        <f t="shared" si="53"/>
        <v>0.1043</v>
      </c>
      <c r="Y842" s="152"/>
      <c r="Z842" s="148"/>
      <c r="AA842" s="153"/>
      <c r="AB842" s="153"/>
      <c r="AC842" s="153"/>
      <c r="AD842" s="153"/>
      <c r="AH842" s="147"/>
    </row>
    <row r="843" spans="1:34" s="146" customFormat="1" x14ac:dyDescent="0.25">
      <c r="A843" s="196">
        <v>8</v>
      </c>
      <c r="B843" s="196" t="s">
        <v>4681</v>
      </c>
      <c r="C843" s="196" t="s">
        <v>4682</v>
      </c>
      <c r="D843" s="196" t="s">
        <v>4517</v>
      </c>
      <c r="E843" s="196" t="s">
        <v>1913</v>
      </c>
      <c r="F843" s="196">
        <v>2012</v>
      </c>
      <c r="G843" s="196"/>
      <c r="H843" s="196" t="s">
        <v>1878</v>
      </c>
      <c r="I843" s="141" t="s">
        <v>1879</v>
      </c>
      <c r="J843" s="143" t="s">
        <v>3854</v>
      </c>
      <c r="K843" s="196" t="s">
        <v>1881</v>
      </c>
      <c r="L843" s="141" t="s">
        <v>4683</v>
      </c>
      <c r="M843" s="196">
        <v>352</v>
      </c>
      <c r="N843" s="196"/>
      <c r="O843" s="196" t="s">
        <v>4573</v>
      </c>
      <c r="P843" s="144">
        <v>331</v>
      </c>
      <c r="Q843" s="145">
        <f t="shared" si="52"/>
        <v>2.6162999999999998</v>
      </c>
      <c r="R843" s="203">
        <v>1.0900000000000001</v>
      </c>
      <c r="S843" s="203"/>
      <c r="T843" s="151"/>
      <c r="U843" s="151">
        <v>1.2</v>
      </c>
      <c r="V843" s="151">
        <v>0.25</v>
      </c>
      <c r="W843" s="151">
        <f t="shared" si="51"/>
        <v>1.0900000000000001</v>
      </c>
      <c r="X843" s="152">
        <f t="shared" si="53"/>
        <v>7.6300000000000007E-2</v>
      </c>
      <c r="Y843" s="152"/>
      <c r="Z843" s="148"/>
      <c r="AA843" s="153"/>
      <c r="AB843" s="153"/>
      <c r="AC843" s="153"/>
      <c r="AD843" s="153"/>
      <c r="AH843" s="147"/>
    </row>
    <row r="844" spans="1:34" s="146" customFormat="1" x14ac:dyDescent="0.25">
      <c r="A844" s="196">
        <v>765</v>
      </c>
      <c r="B844" s="196" t="s">
        <v>4638</v>
      </c>
      <c r="C844" s="196" t="s">
        <v>4684</v>
      </c>
      <c r="D844" s="196" t="s">
        <v>2609</v>
      </c>
      <c r="E844" s="196"/>
      <c r="F844" s="196">
        <v>2007</v>
      </c>
      <c r="G844" s="196"/>
      <c r="H844" s="196" t="s">
        <v>1878</v>
      </c>
      <c r="I844" s="141" t="s">
        <v>1879</v>
      </c>
      <c r="J844" s="196"/>
      <c r="K844" s="196" t="s">
        <v>1881</v>
      </c>
      <c r="L844" s="141" t="s">
        <v>4685</v>
      </c>
      <c r="M844" s="196">
        <v>288</v>
      </c>
      <c r="N844" s="196"/>
      <c r="O844" s="196" t="s">
        <v>4574</v>
      </c>
      <c r="P844" s="144">
        <v>300</v>
      </c>
      <c r="Q844" s="145">
        <f t="shared" si="52"/>
        <v>1.7175</v>
      </c>
      <c r="R844" s="203">
        <v>0.25</v>
      </c>
      <c r="S844" s="203"/>
      <c r="T844" s="151"/>
      <c r="U844" s="151">
        <v>1.2</v>
      </c>
      <c r="V844" s="151">
        <v>0.25</v>
      </c>
      <c r="W844" s="151">
        <f t="shared" si="51"/>
        <v>0.25</v>
      </c>
      <c r="X844" s="152">
        <f t="shared" si="53"/>
        <v>1.7500000000000002E-2</v>
      </c>
      <c r="Y844" s="152"/>
      <c r="Z844" s="148"/>
      <c r="AA844" s="153"/>
      <c r="AB844" s="153"/>
      <c r="AC844" s="153"/>
      <c r="AD844" s="153"/>
      <c r="AH844" s="147"/>
    </row>
    <row r="845" spans="1:34" s="146" customFormat="1" x14ac:dyDescent="0.25">
      <c r="A845" s="196">
        <v>721</v>
      </c>
      <c r="B845" s="196"/>
      <c r="C845" s="196" t="s">
        <v>4686</v>
      </c>
      <c r="D845" s="196" t="s">
        <v>3682</v>
      </c>
      <c r="E845" s="196"/>
      <c r="F845" s="196"/>
      <c r="G845" s="196"/>
      <c r="H845" s="196" t="s">
        <v>1878</v>
      </c>
      <c r="I845" s="141" t="s">
        <v>1879</v>
      </c>
      <c r="J845" s="196"/>
      <c r="K845" s="196" t="s">
        <v>1881</v>
      </c>
      <c r="L845" s="141" t="s">
        <v>4687</v>
      </c>
      <c r="M845" s="196">
        <v>64</v>
      </c>
      <c r="N845" s="196"/>
      <c r="O845" s="196" t="s">
        <v>4575</v>
      </c>
      <c r="P845" s="144">
        <v>106</v>
      </c>
      <c r="Q845" s="145">
        <f t="shared" si="52"/>
        <v>1.7175</v>
      </c>
      <c r="R845" s="203">
        <v>0.25</v>
      </c>
      <c r="S845" s="203"/>
      <c r="T845" s="151"/>
      <c r="U845" s="151">
        <v>1.2</v>
      </c>
      <c r="V845" s="151">
        <v>0.25</v>
      </c>
      <c r="W845" s="151">
        <f t="shared" si="51"/>
        <v>0.25</v>
      </c>
      <c r="X845" s="152">
        <f t="shared" si="53"/>
        <v>1.7500000000000002E-2</v>
      </c>
      <c r="Y845" s="152"/>
      <c r="Z845" s="148"/>
      <c r="AA845" s="153"/>
      <c r="AB845" s="153"/>
      <c r="AC845" s="153"/>
      <c r="AD845" s="153"/>
      <c r="AH845" s="147"/>
    </row>
    <row r="846" spans="1:34" s="146" customFormat="1" x14ac:dyDescent="0.25">
      <c r="A846" s="196">
        <v>1809</v>
      </c>
      <c r="B846" s="196" t="s">
        <v>4688</v>
      </c>
      <c r="C846" s="196" t="s">
        <v>4689</v>
      </c>
      <c r="D846" s="196" t="s">
        <v>3116</v>
      </c>
      <c r="E846" s="196" t="s">
        <v>1913</v>
      </c>
      <c r="F846" s="196">
        <v>2006</v>
      </c>
      <c r="G846" s="196"/>
      <c r="H846" s="196" t="s">
        <v>1878</v>
      </c>
      <c r="I846" s="141" t="s">
        <v>1879</v>
      </c>
      <c r="J846" s="196"/>
      <c r="K846" s="196" t="s">
        <v>1881</v>
      </c>
      <c r="L846" s="141" t="s">
        <v>4690</v>
      </c>
      <c r="M846" s="196">
        <v>192</v>
      </c>
      <c r="N846" s="196"/>
      <c r="O846" s="196" t="s">
        <v>4576</v>
      </c>
      <c r="P846" s="144">
        <v>274</v>
      </c>
      <c r="Q846" s="145">
        <f t="shared" si="52"/>
        <v>1.8673</v>
      </c>
      <c r="R846" s="203">
        <v>0.39</v>
      </c>
      <c r="S846" s="203"/>
      <c r="T846" s="151"/>
      <c r="U846" s="151">
        <v>1.2</v>
      </c>
      <c r="V846" s="151">
        <v>0.25</v>
      </c>
      <c r="W846" s="151">
        <f t="shared" si="51"/>
        <v>0.39</v>
      </c>
      <c r="X846" s="152">
        <f t="shared" si="53"/>
        <v>2.7300000000000001E-2</v>
      </c>
      <c r="Y846" s="152"/>
      <c r="Z846" s="148"/>
      <c r="AA846" s="153"/>
      <c r="AB846" s="153"/>
      <c r="AC846" s="153"/>
      <c r="AD846" s="153"/>
      <c r="AH846" s="147"/>
    </row>
    <row r="847" spans="1:34" s="146" customFormat="1" x14ac:dyDescent="0.25">
      <c r="A847" s="196">
        <v>1321</v>
      </c>
      <c r="B847" s="196" t="s">
        <v>4692</v>
      </c>
      <c r="C847" s="196" t="s">
        <v>4691</v>
      </c>
      <c r="D847" s="196" t="s">
        <v>4693</v>
      </c>
      <c r="E847" s="196" t="s">
        <v>2175</v>
      </c>
      <c r="F847" s="196">
        <v>2004</v>
      </c>
      <c r="G847" s="196"/>
      <c r="H847" s="196" t="s">
        <v>1878</v>
      </c>
      <c r="I847" s="141" t="s">
        <v>1879</v>
      </c>
      <c r="J847" s="196"/>
      <c r="K847" s="196" t="s">
        <v>1881</v>
      </c>
      <c r="L847" s="141" t="s">
        <v>4694</v>
      </c>
      <c r="M847" s="196">
        <v>96</v>
      </c>
      <c r="N847" s="196"/>
      <c r="O847" s="196" t="s">
        <v>4577</v>
      </c>
      <c r="P847" s="144">
        <v>244</v>
      </c>
      <c r="Q847" s="145">
        <f t="shared" si="52"/>
        <v>2.4022999999999999</v>
      </c>
      <c r="R847" s="203">
        <v>0.89</v>
      </c>
      <c r="S847" s="203"/>
      <c r="T847" s="151"/>
      <c r="U847" s="151">
        <v>1.2</v>
      </c>
      <c r="V847" s="151">
        <v>0.25</v>
      </c>
      <c r="W847" s="151">
        <f t="shared" si="51"/>
        <v>0.89</v>
      </c>
      <c r="X847" s="152">
        <f t="shared" si="53"/>
        <v>6.2300000000000001E-2</v>
      </c>
      <c r="Y847" s="152"/>
      <c r="Z847" s="148"/>
      <c r="AA847" s="153"/>
      <c r="AB847" s="153"/>
      <c r="AC847" s="153"/>
      <c r="AD847" s="153"/>
      <c r="AH847" s="147"/>
    </row>
    <row r="848" spans="1:34" s="146" customFormat="1" x14ac:dyDescent="0.25">
      <c r="A848" s="196">
        <v>1395</v>
      </c>
      <c r="B848" s="196" t="s">
        <v>4699</v>
      </c>
      <c r="C848" s="196" t="s">
        <v>4700</v>
      </c>
      <c r="D848" s="196" t="s">
        <v>2209</v>
      </c>
      <c r="E848" s="196" t="s">
        <v>1877</v>
      </c>
      <c r="F848" s="196">
        <v>2009</v>
      </c>
      <c r="G848" s="196"/>
      <c r="H848" s="196" t="s">
        <v>1878</v>
      </c>
      <c r="I848" s="141" t="s">
        <v>1879</v>
      </c>
      <c r="J848" s="196"/>
      <c r="K848" s="196" t="s">
        <v>1881</v>
      </c>
      <c r="L848" s="141" t="s">
        <v>4701</v>
      </c>
      <c r="M848" s="196">
        <v>288</v>
      </c>
      <c r="N848" s="196"/>
      <c r="O848" s="196" t="s">
        <v>4579</v>
      </c>
      <c r="P848" s="144">
        <v>242</v>
      </c>
      <c r="Q848" s="145">
        <f t="shared" si="52"/>
        <v>1.7175</v>
      </c>
      <c r="R848" s="203">
        <v>0.25</v>
      </c>
      <c r="S848" s="203"/>
      <c r="T848" s="151"/>
      <c r="U848" s="151">
        <v>1.2</v>
      </c>
      <c r="V848" s="151">
        <v>0.25</v>
      </c>
      <c r="W848" s="151">
        <f t="shared" si="51"/>
        <v>0.25</v>
      </c>
      <c r="X848" s="152">
        <f t="shared" si="53"/>
        <v>1.7500000000000002E-2</v>
      </c>
      <c r="Y848" s="152"/>
      <c r="Z848" s="148"/>
      <c r="AA848" s="153"/>
      <c r="AB848" s="153"/>
      <c r="AC848" s="153"/>
      <c r="AD848" s="153"/>
      <c r="AH848" s="147"/>
    </row>
    <row r="849" spans="1:34" s="146" customFormat="1" x14ac:dyDescent="0.25">
      <c r="A849" s="196">
        <v>624</v>
      </c>
      <c r="B849" s="196" t="s">
        <v>4702</v>
      </c>
      <c r="C849" s="196" t="s">
        <v>4703</v>
      </c>
      <c r="D849" s="196" t="s">
        <v>2609</v>
      </c>
      <c r="E849" s="196"/>
      <c r="F849" s="196">
        <v>2006</v>
      </c>
      <c r="G849" s="196"/>
      <c r="H849" s="196" t="s">
        <v>2734</v>
      </c>
      <c r="I849" s="141" t="s">
        <v>1879</v>
      </c>
      <c r="J849" s="196" t="s">
        <v>4198</v>
      </c>
      <c r="K849" s="196" t="s">
        <v>1881</v>
      </c>
      <c r="L849" s="141" t="s">
        <v>4704</v>
      </c>
      <c r="M849" s="196">
        <v>130</v>
      </c>
      <c r="N849" s="196"/>
      <c r="O849" s="196" t="s">
        <v>4580</v>
      </c>
      <c r="P849" s="144">
        <v>201</v>
      </c>
      <c r="Q849" s="145">
        <f t="shared" si="52"/>
        <v>3.0442999999999998</v>
      </c>
      <c r="R849" s="203">
        <v>1.49</v>
      </c>
      <c r="S849" s="203"/>
      <c r="T849" s="151"/>
      <c r="U849" s="151">
        <v>1.2</v>
      </c>
      <c r="V849" s="151">
        <v>0.25</v>
      </c>
      <c r="W849" s="151">
        <f t="shared" si="51"/>
        <v>1.49</v>
      </c>
      <c r="X849" s="152">
        <f t="shared" si="53"/>
        <v>0.1043</v>
      </c>
      <c r="Y849" s="152"/>
      <c r="Z849" s="148"/>
      <c r="AA849" s="153"/>
      <c r="AB849" s="153"/>
      <c r="AC849" s="153"/>
      <c r="AD849" s="153"/>
      <c r="AH849" s="147"/>
    </row>
    <row r="850" spans="1:34" s="146" customFormat="1" x14ac:dyDescent="0.25">
      <c r="A850" s="196"/>
      <c r="B850" s="196" t="s">
        <v>4705</v>
      </c>
      <c r="C850" s="196" t="s">
        <v>4706</v>
      </c>
      <c r="D850" s="196" t="s">
        <v>4707</v>
      </c>
      <c r="E850" s="196"/>
      <c r="F850" s="196" t="s">
        <v>4708</v>
      </c>
      <c r="G850" s="196"/>
      <c r="H850" s="196" t="s">
        <v>2008</v>
      </c>
      <c r="I850" s="141" t="s">
        <v>1879</v>
      </c>
      <c r="J850" s="196"/>
      <c r="K850" s="196" t="s">
        <v>1881</v>
      </c>
      <c r="L850" s="141"/>
      <c r="M850" s="196">
        <v>120</v>
      </c>
      <c r="N850" s="196"/>
      <c r="O850" s="196" t="s">
        <v>4581</v>
      </c>
      <c r="P850" s="144">
        <v>133</v>
      </c>
      <c r="Q850" s="145">
        <f t="shared" si="52"/>
        <v>8.9292999999999996</v>
      </c>
      <c r="R850" s="203">
        <v>6.99</v>
      </c>
      <c r="S850" s="203"/>
      <c r="T850" s="151"/>
      <c r="U850" s="151">
        <v>1.2</v>
      </c>
      <c r="V850" s="151">
        <v>0.25</v>
      </c>
      <c r="W850" s="151">
        <f t="shared" si="51"/>
        <v>6.99</v>
      </c>
      <c r="X850" s="152">
        <f t="shared" si="53"/>
        <v>0.48930000000000001</v>
      </c>
      <c r="Y850" s="152"/>
      <c r="Z850" s="148"/>
      <c r="AA850" s="153"/>
      <c r="AB850" s="153"/>
      <c r="AC850" s="153"/>
      <c r="AD850" s="153"/>
      <c r="AH850" s="147"/>
    </row>
    <row r="851" spans="1:34" s="146" customFormat="1" x14ac:dyDescent="0.25">
      <c r="A851" s="196">
        <v>689</v>
      </c>
      <c r="B851" s="196" t="s">
        <v>4709</v>
      </c>
      <c r="C851" s="196" t="s">
        <v>4710</v>
      </c>
      <c r="D851" s="196" t="s">
        <v>1993</v>
      </c>
      <c r="E851" s="196" t="s">
        <v>1877</v>
      </c>
      <c r="F851" s="196">
        <v>2004</v>
      </c>
      <c r="G851" s="196"/>
      <c r="H851" s="196" t="s">
        <v>1878</v>
      </c>
      <c r="I851" s="141" t="s">
        <v>1914</v>
      </c>
      <c r="J851" s="196"/>
      <c r="K851" s="196" t="s">
        <v>1881</v>
      </c>
      <c r="L851" s="141" t="s">
        <v>4711</v>
      </c>
      <c r="M851" s="196">
        <f>512+512</f>
        <v>1024</v>
      </c>
      <c r="N851" s="196"/>
      <c r="O851" s="196" t="s">
        <v>4582</v>
      </c>
      <c r="P851" s="144">
        <v>726</v>
      </c>
      <c r="Q851" s="145">
        <f t="shared" si="52"/>
        <v>4.2932999999999995</v>
      </c>
      <c r="R851" s="203">
        <v>2.19</v>
      </c>
      <c r="S851" s="203"/>
      <c r="T851" s="151"/>
      <c r="U851" s="151">
        <v>1.7</v>
      </c>
      <c r="V851" s="151">
        <v>0.25</v>
      </c>
      <c r="W851" s="151">
        <f t="shared" si="51"/>
        <v>2.19</v>
      </c>
      <c r="X851" s="152">
        <f t="shared" si="53"/>
        <v>0.15329999999999999</v>
      </c>
      <c r="Y851" s="152"/>
      <c r="Z851" s="148"/>
      <c r="AA851" s="153"/>
      <c r="AB851" s="153"/>
      <c r="AC851" s="153"/>
      <c r="AD851" s="153"/>
      <c r="AH851" s="147"/>
    </row>
    <row r="852" spans="1:34" s="146" customFormat="1" x14ac:dyDescent="0.25">
      <c r="A852" s="196">
        <v>1389</v>
      </c>
      <c r="B852" s="196" t="s">
        <v>4712</v>
      </c>
      <c r="C852" s="196" t="s">
        <v>4713</v>
      </c>
      <c r="D852" s="196" t="s">
        <v>2117</v>
      </c>
      <c r="E852" s="196"/>
      <c r="F852" s="196">
        <v>1996</v>
      </c>
      <c r="G852" s="196"/>
      <c r="H852" s="196" t="s">
        <v>1878</v>
      </c>
      <c r="I852" s="141" t="s">
        <v>1879</v>
      </c>
      <c r="J852" s="196"/>
      <c r="K852" s="196" t="s">
        <v>1881</v>
      </c>
      <c r="L852" s="141" t="s">
        <v>4714</v>
      </c>
      <c r="M852" s="196">
        <v>32</v>
      </c>
      <c r="N852" s="196"/>
      <c r="O852" s="196" t="s">
        <v>4583</v>
      </c>
      <c r="P852" s="144">
        <v>86</v>
      </c>
      <c r="Q852" s="145">
        <f t="shared" si="52"/>
        <v>1.8673</v>
      </c>
      <c r="R852" s="203">
        <v>0.39</v>
      </c>
      <c r="S852" s="203"/>
      <c r="T852" s="151"/>
      <c r="U852" s="151">
        <v>1.2</v>
      </c>
      <c r="V852" s="151">
        <v>0.25</v>
      </c>
      <c r="W852" s="151">
        <f t="shared" si="51"/>
        <v>0.39</v>
      </c>
      <c r="X852" s="152">
        <f t="shared" si="53"/>
        <v>2.7300000000000001E-2</v>
      </c>
      <c r="Y852" s="152"/>
      <c r="Z852" s="148"/>
      <c r="AA852" s="153"/>
      <c r="AB852" s="153"/>
      <c r="AC852" s="153"/>
      <c r="AD852" s="153"/>
      <c r="AH852" s="147"/>
    </row>
    <row r="853" spans="1:34" s="146" customFormat="1" x14ac:dyDescent="0.25">
      <c r="A853" s="196">
        <v>852</v>
      </c>
      <c r="B853" s="196" t="s">
        <v>4715</v>
      </c>
      <c r="C853" s="196" t="s">
        <v>4716</v>
      </c>
      <c r="D853" s="196" t="s">
        <v>4717</v>
      </c>
      <c r="E853" s="196" t="s">
        <v>1899</v>
      </c>
      <c r="F853" s="196">
        <v>2000</v>
      </c>
      <c r="G853" s="196"/>
      <c r="H853" s="196" t="s">
        <v>2734</v>
      </c>
      <c r="I853" s="141" t="s">
        <v>1879</v>
      </c>
      <c r="J853" s="196" t="s">
        <v>2237</v>
      </c>
      <c r="K853" s="196" t="s">
        <v>1881</v>
      </c>
      <c r="L853" s="141" t="s">
        <v>4718</v>
      </c>
      <c r="M853" s="196">
        <v>334</v>
      </c>
      <c r="N853" s="196"/>
      <c r="O853" s="196" t="s">
        <v>4584</v>
      </c>
      <c r="P853" s="144">
        <v>621</v>
      </c>
      <c r="Q853" s="145">
        <f t="shared" si="52"/>
        <v>2.2175000000000002</v>
      </c>
      <c r="R853" s="203">
        <v>0.25</v>
      </c>
      <c r="S853" s="203"/>
      <c r="T853" s="151"/>
      <c r="U853" s="151">
        <v>1.7</v>
      </c>
      <c r="V853" s="151">
        <v>0.25</v>
      </c>
      <c r="W853" s="151">
        <f t="shared" si="51"/>
        <v>0.25</v>
      </c>
      <c r="X853" s="152">
        <f t="shared" si="53"/>
        <v>1.7500000000000002E-2</v>
      </c>
      <c r="Y853" s="152"/>
      <c r="Z853" s="148"/>
      <c r="AA853" s="153"/>
      <c r="AB853" s="153"/>
      <c r="AC853" s="153"/>
      <c r="AD853" s="153"/>
      <c r="AH853" s="147"/>
    </row>
    <row r="854" spans="1:34" s="146" customFormat="1" x14ac:dyDescent="0.25">
      <c r="A854" s="196">
        <v>2522</v>
      </c>
      <c r="B854" s="196" t="s">
        <v>4719</v>
      </c>
      <c r="C854" s="196" t="s">
        <v>4720</v>
      </c>
      <c r="D854" s="196" t="s">
        <v>2209</v>
      </c>
      <c r="E854" s="196"/>
      <c r="F854" s="196">
        <v>2002</v>
      </c>
      <c r="G854" s="196"/>
      <c r="H854" s="196" t="s">
        <v>1878</v>
      </c>
      <c r="I854" s="141" t="s">
        <v>1914</v>
      </c>
      <c r="J854" s="196" t="s">
        <v>4721</v>
      </c>
      <c r="K854" s="196" t="s">
        <v>1881</v>
      </c>
      <c r="L854" s="141" t="s">
        <v>4722</v>
      </c>
      <c r="M854" s="196">
        <v>420</v>
      </c>
      <c r="N854" s="196"/>
      <c r="O854" s="196" t="s">
        <v>4585</v>
      </c>
      <c r="P854" s="144">
        <v>476</v>
      </c>
      <c r="Q854" s="145">
        <f t="shared" si="52"/>
        <v>1.9742999999999999</v>
      </c>
      <c r="R854" s="203">
        <v>0.49</v>
      </c>
      <c r="S854" s="203"/>
      <c r="T854" s="151"/>
      <c r="U854" s="151">
        <v>1.2</v>
      </c>
      <c r="V854" s="151">
        <v>0.25</v>
      </c>
      <c r="W854" s="151">
        <f t="shared" si="51"/>
        <v>0.49</v>
      </c>
      <c r="X854" s="152">
        <f t="shared" si="53"/>
        <v>3.4299999999999997E-2</v>
      </c>
      <c r="Y854" s="152"/>
      <c r="Z854" s="148"/>
      <c r="AA854" s="153"/>
      <c r="AB854" s="153"/>
      <c r="AC854" s="153"/>
      <c r="AD854" s="153"/>
      <c r="AH854" s="147"/>
    </row>
    <row r="855" spans="1:34" s="146" customFormat="1" x14ac:dyDescent="0.25">
      <c r="A855" s="196">
        <v>2483</v>
      </c>
      <c r="B855" s="196" t="s">
        <v>4723</v>
      </c>
      <c r="C855" s="196" t="s">
        <v>1123</v>
      </c>
      <c r="D855" s="196" t="s">
        <v>1988</v>
      </c>
      <c r="E855" s="196"/>
      <c r="F855" s="196"/>
      <c r="G855" s="196"/>
      <c r="H855" s="196" t="s">
        <v>1878</v>
      </c>
      <c r="I855" s="141" t="s">
        <v>1914</v>
      </c>
      <c r="J855" s="196"/>
      <c r="K855" s="196" t="s">
        <v>1881</v>
      </c>
      <c r="L855" s="141" t="s">
        <v>4724</v>
      </c>
      <c r="M855" s="196">
        <v>324</v>
      </c>
      <c r="N855" s="196"/>
      <c r="O855" s="196" t="s">
        <v>4586</v>
      </c>
      <c r="P855" s="144">
        <v>308</v>
      </c>
      <c r="Q855" s="145">
        <f t="shared" si="52"/>
        <v>2.4022999999999999</v>
      </c>
      <c r="R855" s="203">
        <v>0.89</v>
      </c>
      <c r="S855" s="203"/>
      <c r="T855" s="151"/>
      <c r="U855" s="151">
        <v>1.2</v>
      </c>
      <c r="V855" s="151">
        <v>0.25</v>
      </c>
      <c r="W855" s="151">
        <f t="shared" si="51"/>
        <v>0.89</v>
      </c>
      <c r="X855" s="152">
        <f t="shared" si="53"/>
        <v>6.2300000000000001E-2</v>
      </c>
      <c r="Y855" s="152"/>
      <c r="Z855" s="148"/>
      <c r="AA855" s="153"/>
      <c r="AB855" s="153"/>
      <c r="AC855" s="153"/>
      <c r="AD855" s="153"/>
      <c r="AH855" s="147"/>
    </row>
    <row r="856" spans="1:34" s="146" customFormat="1" x14ac:dyDescent="0.25">
      <c r="A856" s="196">
        <v>1315</v>
      </c>
      <c r="B856" s="196" t="s">
        <v>4725</v>
      </c>
      <c r="C856" s="196" t="s">
        <v>4726</v>
      </c>
      <c r="D856" s="196" t="s">
        <v>2402</v>
      </c>
      <c r="E856" s="196"/>
      <c r="F856" s="196">
        <v>1996</v>
      </c>
      <c r="G856" s="196"/>
      <c r="H856" s="196" t="s">
        <v>2734</v>
      </c>
      <c r="I856" s="141" t="s">
        <v>1879</v>
      </c>
      <c r="J856" s="196" t="s">
        <v>2237</v>
      </c>
      <c r="K856" s="196" t="s">
        <v>1881</v>
      </c>
      <c r="L856" s="141" t="s">
        <v>4727</v>
      </c>
      <c r="M856" s="196">
        <v>126</v>
      </c>
      <c r="N856" s="196"/>
      <c r="O856" s="196" t="s">
        <v>4587</v>
      </c>
      <c r="P856" s="144">
        <v>187</v>
      </c>
      <c r="Q856" s="145">
        <f t="shared" si="52"/>
        <v>2.4130000000000003</v>
      </c>
      <c r="R856" s="203">
        <v>0.9</v>
      </c>
      <c r="S856" s="203"/>
      <c r="T856" s="151"/>
      <c r="U856" s="151">
        <v>1.2</v>
      </c>
      <c r="V856" s="151">
        <v>0.25</v>
      </c>
      <c r="W856" s="151">
        <f t="shared" si="51"/>
        <v>0.9</v>
      </c>
      <c r="X856" s="152">
        <f t="shared" si="53"/>
        <v>6.3E-2</v>
      </c>
      <c r="Y856" s="152"/>
      <c r="Z856" s="148"/>
      <c r="AA856" s="153"/>
      <c r="AB856" s="153"/>
      <c r="AC856" s="153"/>
      <c r="AD856" s="153"/>
      <c r="AH856" s="147"/>
    </row>
    <row r="857" spans="1:34" s="146" customFormat="1" x14ac:dyDescent="0.25">
      <c r="A857" s="196">
        <v>2522</v>
      </c>
      <c r="B857" s="196" t="s">
        <v>4728</v>
      </c>
      <c r="C857" s="196" t="s">
        <v>4729</v>
      </c>
      <c r="D857" s="196" t="s">
        <v>4131</v>
      </c>
      <c r="E857" s="196"/>
      <c r="F857" s="196">
        <v>2012</v>
      </c>
      <c r="G857" s="196"/>
      <c r="H857" s="196" t="s">
        <v>1878</v>
      </c>
      <c r="I857" s="141" t="s">
        <v>1879</v>
      </c>
      <c r="J857" s="143" t="s">
        <v>3854</v>
      </c>
      <c r="K857" s="196" t="s">
        <v>1881</v>
      </c>
      <c r="L857" s="141" t="s">
        <v>4730</v>
      </c>
      <c r="M857" s="196">
        <v>384</v>
      </c>
      <c r="N857" s="196"/>
      <c r="O857" s="196" t="s">
        <v>4588</v>
      </c>
      <c r="P857" s="144">
        <v>316</v>
      </c>
      <c r="Q857" s="145">
        <f t="shared" si="52"/>
        <v>2.6162999999999998</v>
      </c>
      <c r="R857" s="203">
        <v>1.0900000000000001</v>
      </c>
      <c r="S857" s="203"/>
      <c r="T857" s="151"/>
      <c r="U857" s="151">
        <v>1.2</v>
      </c>
      <c r="V857" s="151">
        <v>0.25</v>
      </c>
      <c r="W857" s="151">
        <f t="shared" si="51"/>
        <v>1.0900000000000001</v>
      </c>
      <c r="X857" s="152">
        <f t="shared" si="53"/>
        <v>7.6300000000000007E-2</v>
      </c>
      <c r="Y857" s="152"/>
      <c r="Z857" s="148"/>
      <c r="AA857" s="153"/>
      <c r="AB857" s="153"/>
      <c r="AC857" s="153"/>
      <c r="AD857" s="153"/>
      <c r="AH857" s="147"/>
    </row>
    <row r="858" spans="1:34" s="146" customFormat="1" x14ac:dyDescent="0.25">
      <c r="A858" s="196">
        <v>1389</v>
      </c>
      <c r="B858" s="196" t="s">
        <v>2115</v>
      </c>
      <c r="C858" s="196" t="s">
        <v>4731</v>
      </c>
      <c r="D858" s="196" t="s">
        <v>2117</v>
      </c>
      <c r="E858" s="196" t="s">
        <v>2175</v>
      </c>
      <c r="F858" s="196">
        <v>1998</v>
      </c>
      <c r="G858" s="196"/>
      <c r="H858" s="196" t="s">
        <v>1878</v>
      </c>
      <c r="I858" s="141" t="s">
        <v>1929</v>
      </c>
      <c r="J858" s="196"/>
      <c r="K858" s="196" t="s">
        <v>1881</v>
      </c>
      <c r="L858" s="141" t="s">
        <v>4732</v>
      </c>
      <c r="M858" s="196">
        <v>32</v>
      </c>
      <c r="N858" s="196"/>
      <c r="O858" s="196" t="s">
        <v>4589</v>
      </c>
      <c r="P858" s="144">
        <v>99</v>
      </c>
      <c r="Q858" s="145">
        <f t="shared" si="52"/>
        <v>1.9742999999999999</v>
      </c>
      <c r="R858" s="203">
        <v>0.49</v>
      </c>
      <c r="S858" s="203"/>
      <c r="T858" s="151"/>
      <c r="U858" s="151">
        <v>1.2</v>
      </c>
      <c r="V858" s="151">
        <v>0.25</v>
      </c>
      <c r="W858" s="151">
        <f t="shared" si="51"/>
        <v>0.49</v>
      </c>
      <c r="X858" s="152">
        <f t="shared" si="53"/>
        <v>3.4299999999999997E-2</v>
      </c>
      <c r="Y858" s="152"/>
      <c r="Z858" s="148"/>
      <c r="AA858" s="153"/>
      <c r="AB858" s="153"/>
      <c r="AC858" s="153"/>
      <c r="AD858" s="153"/>
      <c r="AH858" s="147"/>
    </row>
    <row r="859" spans="1:34" s="146" customFormat="1" x14ac:dyDescent="0.25">
      <c r="A859" s="196">
        <v>2514</v>
      </c>
      <c r="B859" s="196" t="s">
        <v>4733</v>
      </c>
      <c r="C859" s="196" t="s">
        <v>4734</v>
      </c>
      <c r="D859" s="196" t="s">
        <v>3332</v>
      </c>
      <c r="E859" s="196"/>
      <c r="F859" s="196"/>
      <c r="G859" s="196"/>
      <c r="H859" s="196" t="s">
        <v>2734</v>
      </c>
      <c r="I859" s="141" t="s">
        <v>1879</v>
      </c>
      <c r="J859" s="196" t="s">
        <v>2505</v>
      </c>
      <c r="K859" s="196" t="s">
        <v>1881</v>
      </c>
      <c r="L859" s="141" t="s">
        <v>4735</v>
      </c>
      <c r="M859" s="196">
        <v>258</v>
      </c>
      <c r="N859" s="196"/>
      <c r="O859" s="196" t="s">
        <v>4590</v>
      </c>
      <c r="P859" s="144">
        <v>410</v>
      </c>
      <c r="Q859" s="145">
        <f t="shared" si="52"/>
        <v>1.9315</v>
      </c>
      <c r="R859" s="203">
        <v>0.45</v>
      </c>
      <c r="S859" s="203"/>
      <c r="T859" s="151"/>
      <c r="U859" s="151">
        <v>1.2</v>
      </c>
      <c r="V859" s="151">
        <v>0.25</v>
      </c>
      <c r="W859" s="151">
        <f t="shared" si="51"/>
        <v>0.45</v>
      </c>
      <c r="X859" s="152">
        <f t="shared" si="53"/>
        <v>3.15E-2</v>
      </c>
      <c r="Y859" s="152"/>
      <c r="Z859" s="148"/>
      <c r="AA859" s="153"/>
      <c r="AB859" s="153"/>
      <c r="AC859" s="153"/>
      <c r="AD859" s="153"/>
      <c r="AH859" s="147"/>
    </row>
    <row r="860" spans="1:34" s="146" customFormat="1" x14ac:dyDescent="0.25">
      <c r="A860" s="196">
        <v>1940</v>
      </c>
      <c r="B860" s="196"/>
      <c r="C860" s="196" t="s">
        <v>4736</v>
      </c>
      <c r="D860" s="196" t="s">
        <v>3524</v>
      </c>
      <c r="E860" s="196" t="s">
        <v>1913</v>
      </c>
      <c r="F860" s="196">
        <v>1996</v>
      </c>
      <c r="G860" s="196"/>
      <c r="H860" s="196" t="s">
        <v>2734</v>
      </c>
      <c r="I860" s="141" t="s">
        <v>1879</v>
      </c>
      <c r="J860" s="196" t="s">
        <v>2237</v>
      </c>
      <c r="K860" s="196" t="s">
        <v>1881</v>
      </c>
      <c r="L860" s="141" t="s">
        <v>4737</v>
      </c>
      <c r="M860" s="196">
        <v>254</v>
      </c>
      <c r="N860" s="196"/>
      <c r="O860" s="196" t="s">
        <v>4591</v>
      </c>
      <c r="P860" s="144">
        <v>375</v>
      </c>
      <c r="Q860" s="145">
        <f t="shared" si="52"/>
        <v>1.8673</v>
      </c>
      <c r="R860" s="203">
        <v>0.39</v>
      </c>
      <c r="S860" s="203"/>
      <c r="T860" s="151"/>
      <c r="U860" s="151">
        <v>1.2</v>
      </c>
      <c r="V860" s="151">
        <v>0.25</v>
      </c>
      <c r="W860" s="151">
        <f t="shared" si="51"/>
        <v>0.39</v>
      </c>
      <c r="X860" s="152">
        <f t="shared" si="53"/>
        <v>2.7300000000000001E-2</v>
      </c>
      <c r="Y860" s="152"/>
      <c r="Z860" s="148"/>
      <c r="AA860" s="153"/>
      <c r="AB860" s="153"/>
      <c r="AC860" s="153"/>
      <c r="AD860" s="153"/>
      <c r="AH860" s="147"/>
    </row>
    <row r="861" spans="1:34" s="146" customFormat="1" x14ac:dyDescent="0.25">
      <c r="A861" s="196">
        <v>796</v>
      </c>
      <c r="B861" s="196" t="s">
        <v>4738</v>
      </c>
      <c r="C861" s="196" t="s">
        <v>4739</v>
      </c>
      <c r="D861" s="196" t="s">
        <v>2300</v>
      </c>
      <c r="E861" s="196" t="s">
        <v>1921</v>
      </c>
      <c r="F861" s="196">
        <v>2015</v>
      </c>
      <c r="G861" s="196"/>
      <c r="H861" s="196" t="s">
        <v>1878</v>
      </c>
      <c r="I861" s="141" t="s">
        <v>1879</v>
      </c>
      <c r="J861" s="143" t="s">
        <v>4741</v>
      </c>
      <c r="K861" s="196" t="s">
        <v>1881</v>
      </c>
      <c r="L861" s="141" t="s">
        <v>4740</v>
      </c>
      <c r="M861" s="196">
        <v>368</v>
      </c>
      <c r="N861" s="196"/>
      <c r="O861" s="196" t="s">
        <v>4592</v>
      </c>
      <c r="P861" s="144">
        <v>381</v>
      </c>
      <c r="Q861" s="145">
        <f t="shared" si="52"/>
        <v>1.9742999999999999</v>
      </c>
      <c r="R861" s="203">
        <v>0.49</v>
      </c>
      <c r="S861" s="203"/>
      <c r="T861" s="151"/>
      <c r="U861" s="151">
        <v>1.2</v>
      </c>
      <c r="V861" s="151">
        <v>0.25</v>
      </c>
      <c r="W861" s="151">
        <f t="shared" si="51"/>
        <v>0.49</v>
      </c>
      <c r="X861" s="152">
        <f t="shared" si="53"/>
        <v>3.4299999999999997E-2</v>
      </c>
      <c r="Y861" s="152"/>
      <c r="Z861" s="148"/>
      <c r="AA861" s="153"/>
      <c r="AB861" s="153"/>
      <c r="AC861" s="153"/>
      <c r="AD861" s="153"/>
      <c r="AH861" s="147"/>
    </row>
    <row r="862" spans="1:34" s="146" customFormat="1" x14ac:dyDescent="0.25">
      <c r="A862" s="196">
        <v>775</v>
      </c>
      <c r="B862" s="196" t="s">
        <v>4792</v>
      </c>
      <c r="C862" s="196" t="s">
        <v>4793</v>
      </c>
      <c r="D862" s="196" t="s">
        <v>2054</v>
      </c>
      <c r="E862" s="196"/>
      <c r="F862" s="196">
        <v>2014</v>
      </c>
      <c r="G862" s="196"/>
      <c r="H862" s="196" t="s">
        <v>1878</v>
      </c>
      <c r="I862" s="141" t="s">
        <v>1879</v>
      </c>
      <c r="J862" s="196" t="s">
        <v>2237</v>
      </c>
      <c r="K862" s="196" t="s">
        <v>1881</v>
      </c>
      <c r="L862" s="141" t="s">
        <v>4794</v>
      </c>
      <c r="M862" s="196">
        <v>640</v>
      </c>
      <c r="N862" s="196"/>
      <c r="O862" s="196" t="s">
        <v>4742</v>
      </c>
      <c r="P862" s="144">
        <v>467</v>
      </c>
      <c r="Q862" s="145">
        <f t="shared" si="52"/>
        <v>2.7232999999999996</v>
      </c>
      <c r="R862" s="203">
        <v>1.19</v>
      </c>
      <c r="S862" s="203"/>
      <c r="T862" s="151"/>
      <c r="U862" s="151">
        <v>1.2</v>
      </c>
      <c r="V862" s="151">
        <v>0.25</v>
      </c>
      <c r="W862" s="151">
        <f t="shared" si="51"/>
        <v>1.19</v>
      </c>
      <c r="X862" s="152">
        <f t="shared" si="53"/>
        <v>8.3299999999999999E-2</v>
      </c>
      <c r="Y862" s="152"/>
      <c r="AA862" s="85"/>
      <c r="AB862" s="85"/>
      <c r="AC862" s="85"/>
      <c r="AD862" s="85"/>
      <c r="AH862" s="147"/>
    </row>
    <row r="863" spans="1:34" s="146" customFormat="1" x14ac:dyDescent="0.25">
      <c r="A863" s="196">
        <v>2522</v>
      </c>
      <c r="B863" s="196" t="s">
        <v>2456</v>
      </c>
      <c r="C863" s="196" t="s">
        <v>4795</v>
      </c>
      <c r="D863" s="196" t="s">
        <v>1912</v>
      </c>
      <c r="E863" s="196" t="s">
        <v>2412</v>
      </c>
      <c r="F863" s="196">
        <v>2008</v>
      </c>
      <c r="G863" s="196"/>
      <c r="H863" s="196" t="s">
        <v>1878</v>
      </c>
      <c r="I863" s="141" t="s">
        <v>1879</v>
      </c>
      <c r="J863" s="196"/>
      <c r="K863" s="196" t="s">
        <v>1881</v>
      </c>
      <c r="L863" s="141" t="s">
        <v>4796</v>
      </c>
      <c r="M863" s="196">
        <v>640</v>
      </c>
      <c r="N863" s="196"/>
      <c r="O863" s="196" t="s">
        <v>4743</v>
      </c>
      <c r="P863" s="144">
        <v>507</v>
      </c>
      <c r="Q863" s="145">
        <f t="shared" si="52"/>
        <v>3.0093000000000001</v>
      </c>
      <c r="R863" s="203">
        <v>0.99</v>
      </c>
      <c r="S863" s="203"/>
      <c r="T863" s="151"/>
      <c r="U863" s="151">
        <v>1.7</v>
      </c>
      <c r="V863" s="151">
        <v>0.25</v>
      </c>
      <c r="W863" s="151">
        <f t="shared" ref="W863:W922" si="54">IF(R863&gt;T863,R863,T863)</f>
        <v>0.99</v>
      </c>
      <c r="X863" s="152">
        <f t="shared" si="53"/>
        <v>6.93E-2</v>
      </c>
      <c r="Y863" s="152"/>
      <c r="Z863" s="148"/>
      <c r="AA863" s="153"/>
      <c r="AB863" s="153"/>
      <c r="AC863" s="153"/>
      <c r="AD863" s="153"/>
      <c r="AH863" s="147"/>
    </row>
    <row r="864" spans="1:34" s="146" customFormat="1" x14ac:dyDescent="0.25">
      <c r="A864" s="196">
        <v>796</v>
      </c>
      <c r="B864" s="196" t="s">
        <v>4797</v>
      </c>
      <c r="C864" s="196" t="s">
        <v>4798</v>
      </c>
      <c r="D864" s="196" t="s">
        <v>1876</v>
      </c>
      <c r="E864" s="196" t="s">
        <v>1921</v>
      </c>
      <c r="F864" s="196">
        <v>2002</v>
      </c>
      <c r="G864" s="196"/>
      <c r="H864" s="196" t="s">
        <v>1878</v>
      </c>
      <c r="I864" s="141" t="s">
        <v>1879</v>
      </c>
      <c r="J864" s="196" t="s">
        <v>2237</v>
      </c>
      <c r="K864" s="196" t="s">
        <v>1881</v>
      </c>
      <c r="L864" s="141" t="s">
        <v>4799</v>
      </c>
      <c r="M864" s="196">
        <v>120</v>
      </c>
      <c r="N864" s="196"/>
      <c r="O864" s="196" t="s">
        <v>4744</v>
      </c>
      <c r="P864" s="144">
        <v>215</v>
      </c>
      <c r="Q864" s="145">
        <f t="shared" si="52"/>
        <v>2.5093000000000001</v>
      </c>
      <c r="R864" s="203">
        <v>0.99</v>
      </c>
      <c r="S864" s="203"/>
      <c r="T864" s="151"/>
      <c r="U864" s="151">
        <v>1.2</v>
      </c>
      <c r="V864" s="151">
        <v>0.25</v>
      </c>
      <c r="W864" s="151">
        <f t="shared" si="54"/>
        <v>0.99</v>
      </c>
      <c r="X864" s="152">
        <f t="shared" si="53"/>
        <v>6.93E-2</v>
      </c>
      <c r="Y864" s="152"/>
      <c r="Z864" s="148"/>
      <c r="AA864" s="153"/>
      <c r="AB864" s="153"/>
      <c r="AC864" s="153"/>
      <c r="AD864" s="153"/>
      <c r="AH864" s="147"/>
    </row>
    <row r="865" spans="1:34" s="146" customFormat="1" x14ac:dyDescent="0.25">
      <c r="A865" s="196">
        <v>689</v>
      </c>
      <c r="B865" s="196" t="s">
        <v>2470</v>
      </c>
      <c r="C865" s="196" t="s">
        <v>4800</v>
      </c>
      <c r="D865" s="196" t="s">
        <v>2054</v>
      </c>
      <c r="E865" s="196"/>
      <c r="F865" s="196">
        <v>2007</v>
      </c>
      <c r="G865" s="196"/>
      <c r="H865" s="196" t="s">
        <v>1878</v>
      </c>
      <c r="I865" s="141" t="s">
        <v>1879</v>
      </c>
      <c r="J865" s="196" t="s">
        <v>4198</v>
      </c>
      <c r="K865" s="196" t="s">
        <v>1881</v>
      </c>
      <c r="L865" s="141" t="s">
        <v>4801</v>
      </c>
      <c r="M865" s="196">
        <v>800</v>
      </c>
      <c r="N865" s="196"/>
      <c r="O865" s="196" t="s">
        <v>4745</v>
      </c>
      <c r="P865" s="144">
        <v>582</v>
      </c>
      <c r="Q865" s="145">
        <f t="shared" si="52"/>
        <v>3.0093000000000001</v>
      </c>
      <c r="R865" s="203">
        <v>0.99</v>
      </c>
      <c r="S865" s="203"/>
      <c r="T865" s="151"/>
      <c r="U865" s="151">
        <v>1.7</v>
      </c>
      <c r="V865" s="151">
        <v>0.25</v>
      </c>
      <c r="W865" s="151">
        <f t="shared" si="54"/>
        <v>0.99</v>
      </c>
      <c r="X865" s="152">
        <f t="shared" si="53"/>
        <v>6.93E-2</v>
      </c>
      <c r="Y865" s="152"/>
      <c r="Z865" s="148"/>
      <c r="AA865" s="153"/>
      <c r="AB865" s="153"/>
      <c r="AC865" s="153"/>
      <c r="AD865" s="153"/>
      <c r="AH865" s="147"/>
    </row>
    <row r="866" spans="1:34" s="146" customFormat="1" x14ac:dyDescent="0.25">
      <c r="A866" s="196">
        <v>1395</v>
      </c>
      <c r="B866" s="196" t="s">
        <v>4802</v>
      </c>
      <c r="C866" s="196" t="s">
        <v>4803</v>
      </c>
      <c r="D866" s="196" t="s">
        <v>1920</v>
      </c>
      <c r="E866" s="196" t="s">
        <v>2606</v>
      </c>
      <c r="F866" s="196">
        <v>2011</v>
      </c>
      <c r="G866" s="196"/>
      <c r="H866" s="196" t="s">
        <v>1878</v>
      </c>
      <c r="I866" s="141" t="s">
        <v>1879</v>
      </c>
      <c r="J866" s="196" t="s">
        <v>4198</v>
      </c>
      <c r="K866" s="196" t="s">
        <v>1881</v>
      </c>
      <c r="L866" s="141" t="s">
        <v>4804</v>
      </c>
      <c r="M866" s="196">
        <v>320</v>
      </c>
      <c r="N866" s="196"/>
      <c r="O866" s="196" t="s">
        <v>4746</v>
      </c>
      <c r="P866" s="144">
        <v>308</v>
      </c>
      <c r="Q866" s="145">
        <f t="shared" si="52"/>
        <v>2.5093000000000001</v>
      </c>
      <c r="R866" s="203">
        <v>0.99</v>
      </c>
      <c r="S866" s="203"/>
      <c r="T866" s="151"/>
      <c r="U866" s="151">
        <v>1.2</v>
      </c>
      <c r="V866" s="151">
        <v>0.25</v>
      </c>
      <c r="W866" s="151">
        <f t="shared" si="54"/>
        <v>0.99</v>
      </c>
      <c r="X866" s="152">
        <f t="shared" si="53"/>
        <v>6.93E-2</v>
      </c>
      <c r="Y866" s="152"/>
      <c r="Z866" s="148"/>
      <c r="AA866" s="153"/>
      <c r="AB866" s="153"/>
      <c r="AC866" s="153"/>
      <c r="AD866" s="153"/>
      <c r="AH866" s="147"/>
    </row>
    <row r="867" spans="1:34" s="146" customFormat="1" x14ac:dyDescent="0.25">
      <c r="A867" s="196">
        <v>735</v>
      </c>
      <c r="B867" s="196" t="s">
        <v>4805</v>
      </c>
      <c r="C867" s="196" t="s">
        <v>4806</v>
      </c>
      <c r="D867" s="196" t="s">
        <v>2309</v>
      </c>
      <c r="E867" s="196"/>
      <c r="F867" s="196"/>
      <c r="G867" s="196"/>
      <c r="H867" s="196" t="s">
        <v>2734</v>
      </c>
      <c r="I867" s="141" t="s">
        <v>1879</v>
      </c>
      <c r="J867" s="196"/>
      <c r="K867" s="196" t="s">
        <v>1881</v>
      </c>
      <c r="L867" s="141"/>
      <c r="M867" s="196">
        <v>258</v>
      </c>
      <c r="N867" s="196"/>
      <c r="O867" s="196" t="s">
        <v>4747</v>
      </c>
      <c r="P867" s="144">
        <v>398</v>
      </c>
      <c r="Q867" s="145">
        <f t="shared" si="52"/>
        <v>1.9742999999999999</v>
      </c>
      <c r="R867" s="203">
        <v>0.49</v>
      </c>
      <c r="S867" s="203"/>
      <c r="T867" s="151"/>
      <c r="U867" s="151">
        <v>1.2</v>
      </c>
      <c r="V867" s="151">
        <v>0.25</v>
      </c>
      <c r="W867" s="151">
        <f t="shared" si="54"/>
        <v>0.49</v>
      </c>
      <c r="X867" s="152">
        <f t="shared" si="53"/>
        <v>3.4299999999999997E-2</v>
      </c>
      <c r="Y867" s="152"/>
      <c r="Z867" s="148"/>
      <c r="AA867" s="153"/>
      <c r="AB867" s="153"/>
      <c r="AC867" s="153"/>
      <c r="AD867" s="153"/>
      <c r="AH867" s="147"/>
    </row>
    <row r="868" spans="1:34" s="146" customFormat="1" x14ac:dyDescent="0.25">
      <c r="A868" s="196">
        <v>852</v>
      </c>
      <c r="B868" s="196" t="s">
        <v>4807</v>
      </c>
      <c r="C868" s="196" t="s">
        <v>3084</v>
      </c>
      <c r="D868" s="196" t="s">
        <v>2309</v>
      </c>
      <c r="E868" s="196" t="s">
        <v>3053</v>
      </c>
      <c r="F868" s="196">
        <v>2004</v>
      </c>
      <c r="G868" s="196"/>
      <c r="H868" s="196" t="s">
        <v>1878</v>
      </c>
      <c r="I868" s="141" t="s">
        <v>1879</v>
      </c>
      <c r="J868" s="196" t="s">
        <v>2237</v>
      </c>
      <c r="K868" s="196" t="s">
        <v>1881</v>
      </c>
      <c r="L868" s="141" t="s">
        <v>4808</v>
      </c>
      <c r="M868" s="196">
        <v>284</v>
      </c>
      <c r="N868" s="196"/>
      <c r="O868" s="196" t="s">
        <v>4748</v>
      </c>
      <c r="P868" s="144">
        <v>232</v>
      </c>
      <c r="Q868" s="145">
        <f t="shared" si="52"/>
        <v>2.5093000000000001</v>
      </c>
      <c r="R868" s="203">
        <v>0.99</v>
      </c>
      <c r="S868" s="203"/>
      <c r="T868" s="151"/>
      <c r="U868" s="151">
        <v>1.2</v>
      </c>
      <c r="V868" s="151">
        <v>0.25</v>
      </c>
      <c r="W868" s="151">
        <f t="shared" si="54"/>
        <v>0.99</v>
      </c>
      <c r="X868" s="152">
        <f t="shared" si="53"/>
        <v>6.93E-2</v>
      </c>
      <c r="Y868" s="152"/>
      <c r="Z868" s="148"/>
      <c r="AA868" s="153"/>
      <c r="AB868" s="153"/>
      <c r="AC868" s="153"/>
      <c r="AD868" s="153"/>
      <c r="AH868" s="147"/>
    </row>
    <row r="869" spans="1:34" s="146" customFormat="1" x14ac:dyDescent="0.25">
      <c r="A869" s="196">
        <v>2851</v>
      </c>
      <c r="B869" s="196" t="s">
        <v>4809</v>
      </c>
      <c r="C869" s="196" t="s">
        <v>4810</v>
      </c>
      <c r="D869" s="196" t="s">
        <v>2232</v>
      </c>
      <c r="E869" s="196" t="s">
        <v>1913</v>
      </c>
      <c r="F869" s="196">
        <v>2008</v>
      </c>
      <c r="G869" s="196"/>
      <c r="H869" s="196" t="s">
        <v>1878</v>
      </c>
      <c r="I869" s="141" t="s">
        <v>1879</v>
      </c>
      <c r="J869" s="143" t="s">
        <v>4811</v>
      </c>
      <c r="K869" s="196" t="s">
        <v>1881</v>
      </c>
      <c r="L869" s="141" t="s">
        <v>4812</v>
      </c>
      <c r="M869" s="196">
        <v>256</v>
      </c>
      <c r="N869" s="196"/>
      <c r="O869" s="196" t="s">
        <v>4749</v>
      </c>
      <c r="P869" s="144">
        <v>242</v>
      </c>
      <c r="Q869" s="145">
        <f t="shared" si="52"/>
        <v>2.5093000000000001</v>
      </c>
      <c r="R869" s="203">
        <v>0.99</v>
      </c>
      <c r="S869" s="203"/>
      <c r="T869" s="151"/>
      <c r="U869" s="151">
        <v>1.2</v>
      </c>
      <c r="V869" s="151">
        <v>0.25</v>
      </c>
      <c r="W869" s="151">
        <f t="shared" si="54"/>
        <v>0.99</v>
      </c>
      <c r="X869" s="152">
        <f t="shared" si="53"/>
        <v>6.93E-2</v>
      </c>
      <c r="Y869" s="152"/>
      <c r="Z869" s="148"/>
      <c r="AA869" s="153"/>
      <c r="AB869" s="153"/>
      <c r="AC869" s="153"/>
      <c r="AD869" s="153"/>
      <c r="AH869" s="147"/>
    </row>
    <row r="870" spans="1:34" s="146" customFormat="1" x14ac:dyDescent="0.25">
      <c r="A870" s="196">
        <v>632</v>
      </c>
      <c r="B870" s="196" t="s">
        <v>4813</v>
      </c>
      <c r="C870" s="196" t="s">
        <v>4814</v>
      </c>
      <c r="D870" s="196" t="s">
        <v>2054</v>
      </c>
      <c r="E870" s="196"/>
      <c r="F870" s="196">
        <v>2000</v>
      </c>
      <c r="G870" s="196"/>
      <c r="H870" s="196" t="s">
        <v>2734</v>
      </c>
      <c r="I870" s="141" t="s">
        <v>1879</v>
      </c>
      <c r="J870" s="196" t="s">
        <v>4198</v>
      </c>
      <c r="K870" s="196" t="s">
        <v>1881</v>
      </c>
      <c r="L870" s="141" t="s">
        <v>4815</v>
      </c>
      <c r="M870" s="196">
        <v>658</v>
      </c>
      <c r="N870" s="196"/>
      <c r="O870" s="196" t="s">
        <v>4750</v>
      </c>
      <c r="P870" s="144">
        <v>547</v>
      </c>
      <c r="Q870" s="145">
        <f t="shared" si="52"/>
        <v>3.0093000000000001</v>
      </c>
      <c r="R870" s="203">
        <v>0.99</v>
      </c>
      <c r="S870" s="203"/>
      <c r="T870" s="151"/>
      <c r="U870" s="151">
        <v>1.7</v>
      </c>
      <c r="V870" s="151">
        <v>0.25</v>
      </c>
      <c r="W870" s="151">
        <f t="shared" si="54"/>
        <v>0.99</v>
      </c>
      <c r="X870" s="152">
        <f t="shared" si="53"/>
        <v>6.93E-2</v>
      </c>
      <c r="Y870" s="152"/>
      <c r="Z870" s="148"/>
      <c r="AA870" s="153"/>
      <c r="AB870" s="153"/>
      <c r="AC870" s="153"/>
      <c r="AD870" s="153"/>
      <c r="AH870" s="147"/>
    </row>
    <row r="871" spans="1:34" s="146" customFormat="1" x14ac:dyDescent="0.25">
      <c r="A871" s="196">
        <v>1396</v>
      </c>
      <c r="B871" s="196" t="s">
        <v>4816</v>
      </c>
      <c r="C871" s="196" t="s">
        <v>4817</v>
      </c>
      <c r="D871" s="196" t="s">
        <v>2257</v>
      </c>
      <c r="E871" s="196"/>
      <c r="F871" s="196">
        <v>2001</v>
      </c>
      <c r="G871" s="196"/>
      <c r="H871" s="196" t="s">
        <v>1878</v>
      </c>
      <c r="I871" s="141" t="s">
        <v>1879</v>
      </c>
      <c r="J871" s="196"/>
      <c r="K871" s="196" t="s">
        <v>1881</v>
      </c>
      <c r="L871" s="141"/>
      <c r="M871" s="196">
        <v>352</v>
      </c>
      <c r="N871" s="196"/>
      <c r="O871" s="196" t="s">
        <v>4751</v>
      </c>
      <c r="P871" s="144">
        <v>263</v>
      </c>
      <c r="Q871" s="145">
        <f t="shared" si="52"/>
        <v>1.9742999999999999</v>
      </c>
      <c r="R871" s="203">
        <v>0.49</v>
      </c>
      <c r="S871" s="203"/>
      <c r="T871" s="151"/>
      <c r="U871" s="151">
        <v>1.2</v>
      </c>
      <c r="V871" s="151">
        <v>0.25</v>
      </c>
      <c r="W871" s="151">
        <f t="shared" si="54"/>
        <v>0.49</v>
      </c>
      <c r="X871" s="152">
        <f t="shared" si="53"/>
        <v>3.4299999999999997E-2</v>
      </c>
      <c r="Y871" s="152"/>
      <c r="Z871" s="148"/>
      <c r="AA871" s="153"/>
      <c r="AB871" s="153"/>
      <c r="AC871" s="153"/>
      <c r="AD871" s="153"/>
      <c r="AH871" s="147"/>
    </row>
    <row r="872" spans="1:34" s="146" customFormat="1" x14ac:dyDescent="0.25">
      <c r="A872" s="196">
        <v>2522</v>
      </c>
      <c r="B872" s="196" t="s">
        <v>4818</v>
      </c>
      <c r="C872" s="196" t="s">
        <v>4819</v>
      </c>
      <c r="D872" s="196" t="s">
        <v>1912</v>
      </c>
      <c r="E872" s="196"/>
      <c r="F872" s="196">
        <v>2010</v>
      </c>
      <c r="G872" s="196"/>
      <c r="H872" s="196" t="s">
        <v>1878</v>
      </c>
      <c r="I872" s="141" t="s">
        <v>1879</v>
      </c>
      <c r="J872" s="196"/>
      <c r="K872" s="196" t="s">
        <v>1881</v>
      </c>
      <c r="L872" s="141" t="s">
        <v>4820</v>
      </c>
      <c r="M872" s="196">
        <v>288</v>
      </c>
      <c r="N872" s="196"/>
      <c r="O872" s="196" t="s">
        <v>4752</v>
      </c>
      <c r="P872" s="144">
        <v>170</v>
      </c>
      <c r="Q872" s="145">
        <f t="shared" si="52"/>
        <v>2.5093000000000001</v>
      </c>
      <c r="R872" s="203">
        <v>0.99</v>
      </c>
      <c r="S872" s="203"/>
      <c r="T872" s="151"/>
      <c r="U872" s="151">
        <v>1.2</v>
      </c>
      <c r="V872" s="151">
        <v>0.25</v>
      </c>
      <c r="W872" s="151">
        <f t="shared" si="54"/>
        <v>0.99</v>
      </c>
      <c r="X872" s="152">
        <f t="shared" si="53"/>
        <v>6.93E-2</v>
      </c>
      <c r="Y872" s="152"/>
      <c r="Z872" s="148"/>
      <c r="AA872" s="153"/>
      <c r="AB872" s="153"/>
      <c r="AC872" s="153"/>
      <c r="AD872" s="153"/>
      <c r="AH872" s="147"/>
    </row>
    <row r="873" spans="1:34" s="146" customFormat="1" x14ac:dyDescent="0.25">
      <c r="A873" s="196">
        <v>765</v>
      </c>
      <c r="B873" s="196" t="s">
        <v>3715</v>
      </c>
      <c r="C873" s="196" t="s">
        <v>4821</v>
      </c>
      <c r="D873" s="196" t="s">
        <v>2309</v>
      </c>
      <c r="E873" s="196" t="s">
        <v>1877</v>
      </c>
      <c r="F873" s="196">
        <v>2002</v>
      </c>
      <c r="G873" s="196"/>
      <c r="H873" s="196" t="s">
        <v>1878</v>
      </c>
      <c r="I873" s="141" t="s">
        <v>1879</v>
      </c>
      <c r="J873" s="196"/>
      <c r="K873" s="196" t="s">
        <v>1881</v>
      </c>
      <c r="L873" s="141" t="s">
        <v>4822</v>
      </c>
      <c r="M873" s="196">
        <v>368</v>
      </c>
      <c r="N873" s="196"/>
      <c r="O873" s="196" t="s">
        <v>4753</v>
      </c>
      <c r="P873" s="144">
        <v>508</v>
      </c>
      <c r="Q873" s="145">
        <f t="shared" si="52"/>
        <v>3.0093000000000001</v>
      </c>
      <c r="R873" s="203">
        <v>0.99</v>
      </c>
      <c r="S873" s="203"/>
      <c r="T873" s="151"/>
      <c r="U873" s="151">
        <v>1.7</v>
      </c>
      <c r="V873" s="151">
        <v>0.25</v>
      </c>
      <c r="W873" s="151">
        <f t="shared" si="54"/>
        <v>0.99</v>
      </c>
      <c r="X873" s="152">
        <f t="shared" si="53"/>
        <v>6.93E-2</v>
      </c>
      <c r="Y873" s="152"/>
      <c r="Z873" s="148"/>
      <c r="AA873" s="153"/>
      <c r="AB873" s="153"/>
      <c r="AC873" s="153"/>
      <c r="AD873" s="153"/>
      <c r="AH873" s="147"/>
    </row>
    <row r="874" spans="1:34" s="146" customFormat="1" x14ac:dyDescent="0.25">
      <c r="A874" s="196">
        <v>1339</v>
      </c>
      <c r="B874" s="196" t="s">
        <v>4823</v>
      </c>
      <c r="C874" s="196" t="s">
        <v>4824</v>
      </c>
      <c r="D874" s="196" t="s">
        <v>4825</v>
      </c>
      <c r="E874" s="196" t="s">
        <v>2175</v>
      </c>
      <c r="F874" s="196">
        <v>1997</v>
      </c>
      <c r="G874" s="196"/>
      <c r="H874" s="196" t="s">
        <v>2734</v>
      </c>
      <c r="I874" s="141" t="s">
        <v>1879</v>
      </c>
      <c r="J874" s="196"/>
      <c r="K874" s="196" t="s">
        <v>1881</v>
      </c>
      <c r="L874" s="141" t="s">
        <v>4826</v>
      </c>
      <c r="M874" s="196">
        <v>210</v>
      </c>
      <c r="N874" s="196"/>
      <c r="O874" s="196" t="s">
        <v>4754</v>
      </c>
      <c r="P874" s="144">
        <v>519</v>
      </c>
      <c r="Q874" s="145">
        <f t="shared" si="52"/>
        <v>2.4742999999999999</v>
      </c>
      <c r="R874" s="203">
        <v>0.49</v>
      </c>
      <c r="S874" s="203"/>
      <c r="T874" s="151"/>
      <c r="U874" s="151">
        <v>1.7</v>
      </c>
      <c r="V874" s="151">
        <v>0.25</v>
      </c>
      <c r="W874" s="151">
        <f t="shared" si="54"/>
        <v>0.49</v>
      </c>
      <c r="X874" s="152">
        <f t="shared" si="53"/>
        <v>3.4299999999999997E-2</v>
      </c>
      <c r="Y874" s="152"/>
      <c r="Z874" s="148"/>
      <c r="AA874" s="153"/>
      <c r="AB874" s="153"/>
      <c r="AC874" s="153"/>
      <c r="AD874" s="153"/>
      <c r="AH874" s="147"/>
    </row>
    <row r="875" spans="1:34" s="146" customFormat="1" x14ac:dyDescent="0.25">
      <c r="A875" s="196">
        <v>1395</v>
      </c>
      <c r="B875" s="196" t="s">
        <v>4827</v>
      </c>
      <c r="C875" s="196" t="s">
        <v>4828</v>
      </c>
      <c r="D875" s="196" t="s">
        <v>1876</v>
      </c>
      <c r="E875" s="196" t="s">
        <v>2032</v>
      </c>
      <c r="F875" s="196">
        <v>2002</v>
      </c>
      <c r="G875" s="196"/>
      <c r="H875" s="196" t="s">
        <v>1878</v>
      </c>
      <c r="I875" s="141" t="s">
        <v>1879</v>
      </c>
      <c r="J875" s="196"/>
      <c r="K875" s="196" t="s">
        <v>1881</v>
      </c>
      <c r="L875" s="141" t="s">
        <v>4829</v>
      </c>
      <c r="M875" s="196">
        <v>320</v>
      </c>
      <c r="N875" s="196"/>
      <c r="O875" s="196" t="s">
        <v>4755</v>
      </c>
      <c r="P875" s="144">
        <v>267</v>
      </c>
      <c r="Q875" s="145">
        <f t="shared" si="52"/>
        <v>1.9742999999999999</v>
      </c>
      <c r="R875" s="203">
        <v>0.49</v>
      </c>
      <c r="S875" s="203"/>
      <c r="T875" s="151"/>
      <c r="U875" s="151">
        <v>1.2</v>
      </c>
      <c r="V875" s="151">
        <v>0.25</v>
      </c>
      <c r="W875" s="151">
        <f t="shared" si="54"/>
        <v>0.49</v>
      </c>
      <c r="X875" s="152">
        <f t="shared" si="53"/>
        <v>3.4299999999999997E-2</v>
      </c>
      <c r="Y875" s="152"/>
      <c r="Z875" s="148"/>
      <c r="AA875" s="153"/>
      <c r="AB875" s="153"/>
      <c r="AC875" s="153"/>
      <c r="AD875" s="153"/>
      <c r="AH875" s="147"/>
    </row>
    <row r="876" spans="1:34" s="146" customFormat="1" x14ac:dyDescent="0.25">
      <c r="A876" s="196">
        <v>2202</v>
      </c>
      <c r="B876" s="196"/>
      <c r="C876" s="196" t="s">
        <v>4830</v>
      </c>
      <c r="D876" s="196" t="s">
        <v>4831</v>
      </c>
      <c r="E876" s="196" t="s">
        <v>1899</v>
      </c>
      <c r="F876" s="196">
        <v>2007</v>
      </c>
      <c r="G876" s="196"/>
      <c r="H876" s="196" t="s">
        <v>1878</v>
      </c>
      <c r="I876" s="141" t="s">
        <v>1879</v>
      </c>
      <c r="J876" s="196"/>
      <c r="K876" s="196" t="s">
        <v>1881</v>
      </c>
      <c r="L876" s="141" t="s">
        <v>4832</v>
      </c>
      <c r="M876" s="196">
        <v>496</v>
      </c>
      <c r="N876" s="196"/>
      <c r="O876" s="196" t="s">
        <v>4756</v>
      </c>
      <c r="P876" s="144">
        <v>635</v>
      </c>
      <c r="Q876" s="145">
        <f t="shared" si="52"/>
        <v>3.0093000000000001</v>
      </c>
      <c r="R876" s="203">
        <v>0.99</v>
      </c>
      <c r="S876" s="203"/>
      <c r="T876" s="151"/>
      <c r="U876" s="151">
        <v>1.7</v>
      </c>
      <c r="V876" s="151">
        <v>0.25</v>
      </c>
      <c r="W876" s="151">
        <f t="shared" si="54"/>
        <v>0.99</v>
      </c>
      <c r="X876" s="152">
        <f t="shared" si="53"/>
        <v>6.93E-2</v>
      </c>
      <c r="Y876" s="152"/>
      <c r="Z876" s="148"/>
      <c r="AA876" s="153"/>
      <c r="AB876" s="153"/>
      <c r="AC876" s="153"/>
      <c r="AD876" s="153"/>
      <c r="AH876" s="147"/>
    </row>
    <row r="877" spans="1:34" s="146" customFormat="1" x14ac:dyDescent="0.25">
      <c r="A877" s="196">
        <v>829</v>
      </c>
      <c r="B877" s="196"/>
      <c r="C877" s="196" t="s">
        <v>4833</v>
      </c>
      <c r="D877" s="196" t="s">
        <v>4834</v>
      </c>
      <c r="E877" s="196" t="s">
        <v>2175</v>
      </c>
      <c r="F877" s="196">
        <v>1983</v>
      </c>
      <c r="G877" s="196"/>
      <c r="H877" s="196" t="s">
        <v>1878</v>
      </c>
      <c r="I877" s="141" t="s">
        <v>1879</v>
      </c>
      <c r="J877" s="196"/>
      <c r="K877" s="196" t="s">
        <v>1881</v>
      </c>
      <c r="L877" s="141" t="s">
        <v>4835</v>
      </c>
      <c r="M877" s="196">
        <v>168</v>
      </c>
      <c r="N877" s="196"/>
      <c r="O877" s="196" t="s">
        <v>4757</v>
      </c>
      <c r="P877" s="144">
        <v>209</v>
      </c>
      <c r="Q877" s="145">
        <f t="shared" si="52"/>
        <v>2.5093000000000001</v>
      </c>
      <c r="R877" s="203">
        <v>0.99</v>
      </c>
      <c r="S877" s="203"/>
      <c r="T877" s="151"/>
      <c r="U877" s="151">
        <v>1.2</v>
      </c>
      <c r="V877" s="151">
        <v>0.25</v>
      </c>
      <c r="W877" s="151">
        <f t="shared" si="54"/>
        <v>0.99</v>
      </c>
      <c r="X877" s="152">
        <f t="shared" si="53"/>
        <v>6.93E-2</v>
      </c>
      <c r="Y877" s="152"/>
      <c r="Z877" s="148"/>
      <c r="AA877" s="153"/>
      <c r="AB877" s="153"/>
      <c r="AC877" s="153"/>
      <c r="AD877" s="153"/>
      <c r="AH877" s="147"/>
    </row>
    <row r="878" spans="1:34" s="146" customFormat="1" x14ac:dyDescent="0.25">
      <c r="A878" s="196">
        <v>721</v>
      </c>
      <c r="B878" s="196" t="s">
        <v>4836</v>
      </c>
      <c r="C878" s="196" t="s">
        <v>4837</v>
      </c>
      <c r="D878" s="196" t="s">
        <v>3057</v>
      </c>
      <c r="E878" s="196" t="s">
        <v>1899</v>
      </c>
      <c r="F878" s="196">
        <v>2003</v>
      </c>
      <c r="G878" s="196"/>
      <c r="H878" s="196" t="s">
        <v>2734</v>
      </c>
      <c r="I878" s="141" t="s">
        <v>1879</v>
      </c>
      <c r="J878" s="196" t="s">
        <v>2237</v>
      </c>
      <c r="K878" s="196" t="s">
        <v>1881</v>
      </c>
      <c r="L878" s="141" t="s">
        <v>4838</v>
      </c>
      <c r="M878" s="196">
        <v>274</v>
      </c>
      <c r="N878" s="196"/>
      <c r="O878" s="196" t="s">
        <v>4758</v>
      </c>
      <c r="P878" s="144">
        <v>822</v>
      </c>
      <c r="Q878" s="145">
        <f t="shared" si="52"/>
        <v>4.6143000000000001</v>
      </c>
      <c r="R878" s="203">
        <v>2.4900000000000002</v>
      </c>
      <c r="S878" s="203"/>
      <c r="T878" s="151"/>
      <c r="U878" s="151">
        <v>1.7</v>
      </c>
      <c r="V878" s="151">
        <v>0.25</v>
      </c>
      <c r="W878" s="151">
        <f t="shared" si="54"/>
        <v>2.4900000000000002</v>
      </c>
      <c r="X878" s="152">
        <f t="shared" si="53"/>
        <v>0.17430000000000001</v>
      </c>
      <c r="Y878" s="152"/>
      <c r="Z878" s="148"/>
      <c r="AA878" s="153"/>
      <c r="AB878" s="153"/>
      <c r="AC878" s="153"/>
      <c r="AD878" s="153"/>
      <c r="AH878" s="147"/>
    </row>
    <row r="879" spans="1:34" s="146" customFormat="1" x14ac:dyDescent="0.25">
      <c r="A879" s="196">
        <v>323</v>
      </c>
      <c r="B879" s="196" t="s">
        <v>4839</v>
      </c>
      <c r="C879" s="196" t="s">
        <v>4840</v>
      </c>
      <c r="D879" s="196" t="s">
        <v>4841</v>
      </c>
      <c r="E879" s="196" t="s">
        <v>2375</v>
      </c>
      <c r="F879" s="196">
        <v>2005</v>
      </c>
      <c r="G879" s="196"/>
      <c r="H879" s="196" t="s">
        <v>2734</v>
      </c>
      <c r="I879" s="141" t="s">
        <v>1879</v>
      </c>
      <c r="J879" s="196" t="s">
        <v>4842</v>
      </c>
      <c r="K879" s="196" t="s">
        <v>1881</v>
      </c>
      <c r="L879" s="141" t="s">
        <v>4843</v>
      </c>
      <c r="M879" s="196">
        <v>226</v>
      </c>
      <c r="N879" s="196"/>
      <c r="O879" s="196" t="s">
        <v>4759</v>
      </c>
      <c r="P879" s="144">
        <v>423</v>
      </c>
      <c r="Q879" s="145">
        <f t="shared" si="52"/>
        <v>2.6162999999999998</v>
      </c>
      <c r="R879" s="203">
        <v>1.0900000000000001</v>
      </c>
      <c r="S879" s="203"/>
      <c r="T879" s="151"/>
      <c r="U879" s="151">
        <v>1.2</v>
      </c>
      <c r="V879" s="151">
        <v>0.25</v>
      </c>
      <c r="W879" s="151">
        <f t="shared" si="54"/>
        <v>1.0900000000000001</v>
      </c>
      <c r="X879" s="152">
        <f t="shared" si="53"/>
        <v>7.6300000000000007E-2</v>
      </c>
      <c r="Y879" s="152"/>
      <c r="Z879" s="148"/>
      <c r="AA879" s="153"/>
      <c r="AB879" s="153"/>
      <c r="AC879" s="153"/>
      <c r="AD879" s="153"/>
      <c r="AH879" s="147"/>
    </row>
    <row r="880" spans="1:34" s="146" customFormat="1" x14ac:dyDescent="0.25">
      <c r="A880" s="196">
        <v>691</v>
      </c>
      <c r="B880" s="196" t="s">
        <v>4844</v>
      </c>
      <c r="C880" s="196" t="s">
        <v>4845</v>
      </c>
      <c r="D880" s="196" t="s">
        <v>4846</v>
      </c>
      <c r="E880" s="196"/>
      <c r="F880" s="196">
        <v>2009</v>
      </c>
      <c r="G880" s="196"/>
      <c r="H880" s="196" t="s">
        <v>2734</v>
      </c>
      <c r="I880" s="141" t="s">
        <v>1929</v>
      </c>
      <c r="J880" s="196"/>
      <c r="K880" s="196" t="s">
        <v>1881</v>
      </c>
      <c r="L880" s="141" t="s">
        <v>4847</v>
      </c>
      <c r="M880" s="196">
        <v>34</v>
      </c>
      <c r="N880" s="196"/>
      <c r="O880" s="196" t="s">
        <v>4760</v>
      </c>
      <c r="P880" s="144">
        <v>186</v>
      </c>
      <c r="Q880" s="145">
        <f t="shared" si="52"/>
        <v>6.7893000000000008</v>
      </c>
      <c r="R880" s="203">
        <v>4.99</v>
      </c>
      <c r="S880" s="203"/>
      <c r="T880" s="151"/>
      <c r="U880" s="151">
        <v>1.2</v>
      </c>
      <c r="V880" s="151">
        <v>0.25</v>
      </c>
      <c r="W880" s="151">
        <f t="shared" si="54"/>
        <v>4.99</v>
      </c>
      <c r="X880" s="152">
        <f t="shared" si="53"/>
        <v>0.3493</v>
      </c>
      <c r="Y880" s="152"/>
      <c r="Z880" s="148"/>
      <c r="AA880" s="153"/>
      <c r="AB880" s="153"/>
      <c r="AC880" s="153"/>
      <c r="AD880" s="153"/>
      <c r="AH880" s="147"/>
    </row>
    <row r="881" spans="1:34" s="146" customFormat="1" x14ac:dyDescent="0.25">
      <c r="A881" s="196">
        <v>1008</v>
      </c>
      <c r="B881" s="196" t="s">
        <v>4848</v>
      </c>
      <c r="C881" s="196" t="s">
        <v>4849</v>
      </c>
      <c r="D881" s="196" t="s">
        <v>4850</v>
      </c>
      <c r="E881" s="196"/>
      <c r="F881" s="196"/>
      <c r="G881" s="196"/>
      <c r="H881" s="196" t="s">
        <v>2734</v>
      </c>
      <c r="I881" s="141" t="s">
        <v>1879</v>
      </c>
      <c r="J881" s="196"/>
      <c r="K881" s="196" t="s">
        <v>1881</v>
      </c>
      <c r="L881" s="141" t="s">
        <v>4851</v>
      </c>
      <c r="M881" s="196">
        <v>430</v>
      </c>
      <c r="N881" s="196"/>
      <c r="O881" s="196" t="s">
        <v>4761</v>
      </c>
      <c r="P881" s="144">
        <v>590</v>
      </c>
      <c r="Q881" s="145">
        <f t="shared" si="52"/>
        <v>3.0093000000000001</v>
      </c>
      <c r="R881" s="203">
        <v>0.99</v>
      </c>
      <c r="S881" s="203"/>
      <c r="T881" s="151"/>
      <c r="U881" s="151">
        <v>1.7</v>
      </c>
      <c r="V881" s="151">
        <v>0.25</v>
      </c>
      <c r="W881" s="151">
        <f t="shared" si="54"/>
        <v>0.99</v>
      </c>
      <c r="X881" s="152">
        <f t="shared" si="53"/>
        <v>6.93E-2</v>
      </c>
      <c r="Y881" s="152"/>
      <c r="Z881" s="148"/>
      <c r="AA881" s="153"/>
      <c r="AB881" s="153"/>
      <c r="AC881" s="153"/>
      <c r="AD881" s="153"/>
      <c r="AH881" s="147"/>
    </row>
    <row r="882" spans="1:34" s="146" customFormat="1" x14ac:dyDescent="0.25">
      <c r="A882" s="196">
        <v>796</v>
      </c>
      <c r="B882" s="196" t="s">
        <v>4852</v>
      </c>
      <c r="C882" s="196" t="s">
        <v>4853</v>
      </c>
      <c r="D882" s="196" t="s">
        <v>2257</v>
      </c>
      <c r="E882" s="196"/>
      <c r="F882" s="196">
        <v>2017</v>
      </c>
      <c r="G882" s="196"/>
      <c r="H882" s="196" t="s">
        <v>1878</v>
      </c>
      <c r="I882" s="141" t="s">
        <v>1879</v>
      </c>
      <c r="J882" s="143" t="s">
        <v>4854</v>
      </c>
      <c r="K882" s="196" t="s">
        <v>1881</v>
      </c>
      <c r="L882" s="141" t="s">
        <v>4855</v>
      </c>
      <c r="M882" s="196">
        <v>416</v>
      </c>
      <c r="N882" s="196"/>
      <c r="O882" s="196" t="s">
        <v>4762</v>
      </c>
      <c r="P882" s="144">
        <v>320</v>
      </c>
      <c r="Q882" s="145">
        <f t="shared" si="52"/>
        <v>3.6863000000000001</v>
      </c>
      <c r="R882" s="203">
        <v>2.09</v>
      </c>
      <c r="S882" s="203"/>
      <c r="T882" s="151"/>
      <c r="U882" s="151">
        <v>1.2</v>
      </c>
      <c r="V882" s="151">
        <v>0.25</v>
      </c>
      <c r="W882" s="151">
        <f t="shared" si="54"/>
        <v>2.09</v>
      </c>
      <c r="X882" s="152">
        <f t="shared" si="53"/>
        <v>0.14629999999999999</v>
      </c>
      <c r="Y882" s="152"/>
      <c r="Z882" s="148"/>
      <c r="AA882" s="153"/>
      <c r="AB882" s="153"/>
      <c r="AC882" s="153"/>
      <c r="AD882" s="153"/>
      <c r="AH882" s="147"/>
    </row>
    <row r="883" spans="1:34" s="146" customFormat="1" x14ac:dyDescent="0.25">
      <c r="A883" s="196">
        <v>2522</v>
      </c>
      <c r="B883" s="196" t="s">
        <v>4856</v>
      </c>
      <c r="C883" s="196" t="s">
        <v>4857</v>
      </c>
      <c r="D883" s="196" t="s">
        <v>1912</v>
      </c>
      <c r="E883" s="196"/>
      <c r="F883" s="196">
        <v>2000</v>
      </c>
      <c r="G883" s="196"/>
      <c r="H883" s="196" t="s">
        <v>1878</v>
      </c>
      <c r="I883" s="141" t="s">
        <v>1879</v>
      </c>
      <c r="J883" s="143" t="s">
        <v>3854</v>
      </c>
      <c r="K883" s="196" t="s">
        <v>1881</v>
      </c>
      <c r="L883" s="141" t="s">
        <v>4858</v>
      </c>
      <c r="M883" s="196">
        <v>448</v>
      </c>
      <c r="N883" s="196"/>
      <c r="O883" s="196" t="s">
        <v>4763</v>
      </c>
      <c r="P883" s="144">
        <v>397</v>
      </c>
      <c r="Q883" s="145">
        <f t="shared" si="52"/>
        <v>1.9742999999999999</v>
      </c>
      <c r="R883" s="203">
        <v>0.49</v>
      </c>
      <c r="S883" s="203"/>
      <c r="T883" s="151"/>
      <c r="U883" s="151">
        <v>1.2</v>
      </c>
      <c r="V883" s="151">
        <v>0.25</v>
      </c>
      <c r="W883" s="151">
        <f t="shared" si="54"/>
        <v>0.49</v>
      </c>
      <c r="X883" s="152">
        <f t="shared" si="53"/>
        <v>3.4299999999999997E-2</v>
      </c>
      <c r="Y883" s="152"/>
      <c r="Z883" s="148"/>
      <c r="AA883" s="153"/>
      <c r="AB883" s="153"/>
      <c r="AC883" s="153"/>
      <c r="AD883" s="153"/>
      <c r="AH883" s="147"/>
    </row>
    <row r="884" spans="1:34" s="146" customFormat="1" x14ac:dyDescent="0.25">
      <c r="A884" s="196">
        <v>713</v>
      </c>
      <c r="B884" s="196" t="s">
        <v>4859</v>
      </c>
      <c r="C884" s="196" t="s">
        <v>4860</v>
      </c>
      <c r="D884" s="196"/>
      <c r="E884" s="196"/>
      <c r="F884" s="196">
        <v>2015</v>
      </c>
      <c r="G884" s="196"/>
      <c r="H884" s="196" t="s">
        <v>1878</v>
      </c>
      <c r="I884" s="141" t="s">
        <v>1879</v>
      </c>
      <c r="J884" s="196"/>
      <c r="K884" s="196" t="s">
        <v>4861</v>
      </c>
      <c r="L884" s="141" t="s">
        <v>4862</v>
      </c>
      <c r="M884" s="196">
        <v>400</v>
      </c>
      <c r="N884" s="196"/>
      <c r="O884" s="196" t="s">
        <v>4764</v>
      </c>
      <c r="P884" s="144">
        <v>363</v>
      </c>
      <c r="Q884" s="145">
        <f t="shared" si="52"/>
        <v>12.139299999999999</v>
      </c>
      <c r="R884" s="203">
        <v>9.99</v>
      </c>
      <c r="S884" s="203"/>
      <c r="T884" s="151"/>
      <c r="U884" s="151">
        <v>1.2</v>
      </c>
      <c r="V884" s="151">
        <v>0.25</v>
      </c>
      <c r="W884" s="151">
        <f t="shared" si="54"/>
        <v>9.99</v>
      </c>
      <c r="X884" s="152">
        <f t="shared" si="53"/>
        <v>0.69930000000000003</v>
      </c>
      <c r="Y884" s="152"/>
      <c r="Z884" s="148"/>
      <c r="AA884" s="153"/>
      <c r="AB884" s="153"/>
      <c r="AC884" s="153"/>
      <c r="AD884" s="153"/>
      <c r="AH884" s="147"/>
    </row>
    <row r="885" spans="1:34" s="146" customFormat="1" x14ac:dyDescent="0.25">
      <c r="A885" s="196">
        <v>691</v>
      </c>
      <c r="B885" s="196" t="s">
        <v>4863</v>
      </c>
      <c r="C885" s="196" t="s">
        <v>4864</v>
      </c>
      <c r="D885" s="196" t="s">
        <v>2054</v>
      </c>
      <c r="E885" s="196"/>
      <c r="F885" s="196"/>
      <c r="G885" s="196"/>
      <c r="H885" s="196" t="s">
        <v>2734</v>
      </c>
      <c r="I885" s="141" t="s">
        <v>1879</v>
      </c>
      <c r="J885" s="196"/>
      <c r="K885" s="196" t="s">
        <v>1881</v>
      </c>
      <c r="L885" s="141" t="s">
        <v>4865</v>
      </c>
      <c r="M885" s="196">
        <v>10</v>
      </c>
      <c r="N885" s="196"/>
      <c r="O885" s="196" t="s">
        <v>4765</v>
      </c>
      <c r="P885" s="144">
        <v>263</v>
      </c>
      <c r="Q885" s="145">
        <f t="shared" si="52"/>
        <v>4.3282999999999996</v>
      </c>
      <c r="R885" s="203">
        <v>2.69</v>
      </c>
      <c r="S885" s="203"/>
      <c r="T885" s="151"/>
      <c r="U885" s="151">
        <v>1.2</v>
      </c>
      <c r="V885" s="151">
        <v>0.25</v>
      </c>
      <c r="W885" s="151">
        <f t="shared" si="54"/>
        <v>2.69</v>
      </c>
      <c r="X885" s="152">
        <f t="shared" si="53"/>
        <v>0.1883</v>
      </c>
      <c r="Y885" s="152"/>
      <c r="Z885" s="148"/>
      <c r="AA885" s="153"/>
      <c r="AB885" s="153"/>
      <c r="AC885" s="153"/>
      <c r="AD885" s="153"/>
      <c r="AH885" s="147"/>
    </row>
    <row r="886" spans="1:34" s="146" customFormat="1" x14ac:dyDescent="0.25">
      <c r="A886" s="196">
        <v>1984</v>
      </c>
      <c r="B886" s="196" t="s">
        <v>3824</v>
      </c>
      <c r="C886" s="196" t="s">
        <v>4866</v>
      </c>
      <c r="D886" s="196" t="s">
        <v>1979</v>
      </c>
      <c r="E886" s="196"/>
      <c r="F886" s="196">
        <v>2007</v>
      </c>
      <c r="G886" s="196"/>
      <c r="H886" s="196" t="s">
        <v>2734</v>
      </c>
      <c r="I886" s="141" t="s">
        <v>1879</v>
      </c>
      <c r="J886" s="196"/>
      <c r="K886" s="196" t="s">
        <v>1881</v>
      </c>
      <c r="L886" s="141" t="s">
        <v>4867</v>
      </c>
      <c r="M886" s="196">
        <v>140</v>
      </c>
      <c r="N886" s="196"/>
      <c r="O886" s="196" t="s">
        <v>4766</v>
      </c>
      <c r="P886" s="144">
        <v>550</v>
      </c>
      <c r="Q886" s="145">
        <f t="shared" si="52"/>
        <v>3.0093000000000001</v>
      </c>
      <c r="R886" s="203">
        <v>0.99</v>
      </c>
      <c r="S886" s="203"/>
      <c r="T886" s="151"/>
      <c r="U886" s="151">
        <v>1.7</v>
      </c>
      <c r="V886" s="151">
        <v>0.25</v>
      </c>
      <c r="W886" s="151">
        <f t="shared" si="54"/>
        <v>0.99</v>
      </c>
      <c r="X886" s="152">
        <f t="shared" si="53"/>
        <v>6.93E-2</v>
      </c>
      <c r="Y886" s="152"/>
      <c r="Z886" s="148"/>
      <c r="AA886" s="153"/>
      <c r="AB886" s="153"/>
      <c r="AC886" s="153"/>
      <c r="AD886" s="153"/>
      <c r="AH886" s="147"/>
    </row>
    <row r="887" spans="1:34" s="146" customFormat="1" x14ac:dyDescent="0.25">
      <c r="A887" s="196">
        <v>632</v>
      </c>
      <c r="B887" s="196" t="s">
        <v>4868</v>
      </c>
      <c r="C887" s="196" t="s">
        <v>4869</v>
      </c>
      <c r="D887" s="196" t="s">
        <v>2609</v>
      </c>
      <c r="E887" s="196"/>
      <c r="F887" s="196"/>
      <c r="G887" s="196"/>
      <c r="H887" s="196" t="s">
        <v>1878</v>
      </c>
      <c r="I887" s="141" t="s">
        <v>1879</v>
      </c>
      <c r="J887" s="196"/>
      <c r="K887" s="196" t="s">
        <v>1881</v>
      </c>
      <c r="L887" s="141" t="s">
        <v>4870</v>
      </c>
      <c r="M887" s="196">
        <v>866</v>
      </c>
      <c r="N887" s="196"/>
      <c r="O887" s="196" t="s">
        <v>4767</v>
      </c>
      <c r="P887" s="144">
        <v>501</v>
      </c>
      <c r="Q887" s="145">
        <f t="shared" si="52"/>
        <v>3.0093000000000001</v>
      </c>
      <c r="R887" s="203">
        <v>0.99</v>
      </c>
      <c r="S887" s="203"/>
      <c r="T887" s="151"/>
      <c r="U887" s="151">
        <v>1.7</v>
      </c>
      <c r="V887" s="151">
        <v>0.25</v>
      </c>
      <c r="W887" s="151">
        <f t="shared" si="54"/>
        <v>0.99</v>
      </c>
      <c r="X887" s="152">
        <f t="shared" si="53"/>
        <v>6.93E-2</v>
      </c>
      <c r="Y887" s="152"/>
      <c r="Z887" s="148"/>
      <c r="AA887" s="153"/>
      <c r="AB887" s="153"/>
      <c r="AC887" s="153"/>
      <c r="AD887" s="153"/>
      <c r="AH887" s="147"/>
    </row>
    <row r="888" spans="1:34" s="146" customFormat="1" x14ac:dyDescent="0.25">
      <c r="A888" s="196">
        <v>1875</v>
      </c>
      <c r="B888" s="196"/>
      <c r="C888" s="196" t="s">
        <v>4871</v>
      </c>
      <c r="D888" s="196" t="s">
        <v>4841</v>
      </c>
      <c r="E888" s="196"/>
      <c r="F888" s="196">
        <v>2006</v>
      </c>
      <c r="G888" s="196"/>
      <c r="H888" s="196" t="s">
        <v>2734</v>
      </c>
      <c r="I888" s="141" t="s">
        <v>1879</v>
      </c>
      <c r="J888" s="196"/>
      <c r="K888" s="196" t="s">
        <v>1881</v>
      </c>
      <c r="L888" s="141" t="s">
        <v>4872</v>
      </c>
      <c r="M888" s="196">
        <v>158</v>
      </c>
      <c r="N888" s="196"/>
      <c r="O888" s="196" t="s">
        <v>4768</v>
      </c>
      <c r="P888" s="144">
        <v>139</v>
      </c>
      <c r="Q888" s="145">
        <f t="shared" si="52"/>
        <v>15.8843</v>
      </c>
      <c r="R888" s="203">
        <v>13.49</v>
      </c>
      <c r="S888" s="203"/>
      <c r="T888" s="151"/>
      <c r="U888" s="151">
        <v>1.2</v>
      </c>
      <c r="V888" s="151">
        <v>0.25</v>
      </c>
      <c r="W888" s="151">
        <f t="shared" si="54"/>
        <v>13.49</v>
      </c>
      <c r="X888" s="152">
        <f t="shared" si="53"/>
        <v>0.94429999999999992</v>
      </c>
      <c r="Y888" s="152"/>
      <c r="Z888" s="148"/>
      <c r="AA888" s="153"/>
      <c r="AB888" s="153"/>
      <c r="AC888" s="153"/>
      <c r="AD888" s="153"/>
      <c r="AH888" s="147"/>
    </row>
    <row r="889" spans="1:34" s="146" customFormat="1" x14ac:dyDescent="0.25">
      <c r="A889" s="196">
        <v>1348</v>
      </c>
      <c r="B889" s="196" t="s">
        <v>4873</v>
      </c>
      <c r="C889" s="196" t="s">
        <v>4874</v>
      </c>
      <c r="D889" s="196" t="s">
        <v>2300</v>
      </c>
      <c r="E889" s="196"/>
      <c r="F889" s="196">
        <v>1962</v>
      </c>
      <c r="G889" s="196"/>
      <c r="H889" s="196" t="s">
        <v>1878</v>
      </c>
      <c r="I889" s="141" t="s">
        <v>1879</v>
      </c>
      <c r="J889" s="196"/>
      <c r="K889" s="196" t="s">
        <v>1881</v>
      </c>
      <c r="L889" s="141"/>
      <c r="M889" s="196">
        <v>180</v>
      </c>
      <c r="N889" s="196"/>
      <c r="O889" s="196" t="s">
        <v>4769</v>
      </c>
      <c r="P889" s="144">
        <v>132</v>
      </c>
      <c r="Q889" s="145">
        <f t="shared" si="52"/>
        <v>1.9742999999999999</v>
      </c>
      <c r="R889" s="203">
        <v>0.49</v>
      </c>
      <c r="S889" s="203"/>
      <c r="T889" s="151"/>
      <c r="U889" s="151">
        <v>1.2</v>
      </c>
      <c r="V889" s="151">
        <v>0.25</v>
      </c>
      <c r="W889" s="151">
        <f t="shared" si="54"/>
        <v>0.49</v>
      </c>
      <c r="X889" s="152">
        <f t="shared" si="53"/>
        <v>3.4299999999999997E-2</v>
      </c>
      <c r="Y889" s="152"/>
      <c r="Z889" s="148"/>
      <c r="AA889" s="153"/>
      <c r="AB889" s="153"/>
      <c r="AC889" s="153"/>
      <c r="AD889" s="153"/>
      <c r="AH889" s="147"/>
    </row>
    <row r="890" spans="1:34" s="146" customFormat="1" x14ac:dyDescent="0.25">
      <c r="A890" s="196">
        <v>18</v>
      </c>
      <c r="B890" s="196" t="s">
        <v>4875</v>
      </c>
      <c r="C890" s="196" t="s">
        <v>4876</v>
      </c>
      <c r="D890" s="196" t="s">
        <v>4877</v>
      </c>
      <c r="E890" s="196" t="s">
        <v>1913</v>
      </c>
      <c r="F890" s="196">
        <v>2006</v>
      </c>
      <c r="G890" s="196"/>
      <c r="H890" s="196" t="s">
        <v>1878</v>
      </c>
      <c r="I890" s="141" t="s">
        <v>1879</v>
      </c>
      <c r="J890" s="143" t="s">
        <v>3854</v>
      </c>
      <c r="K890" s="196" t="s">
        <v>1881</v>
      </c>
      <c r="L890" s="141" t="s">
        <v>4878</v>
      </c>
      <c r="M890" s="196">
        <v>288</v>
      </c>
      <c r="N890" s="196"/>
      <c r="O890" s="196" t="s">
        <v>4770</v>
      </c>
      <c r="P890" s="144">
        <v>375</v>
      </c>
      <c r="Q890" s="145">
        <f t="shared" ref="Q890:Q948" si="55">SUM(T890:X890)</f>
        <v>1.9742999999999999</v>
      </c>
      <c r="R890" s="203">
        <v>0.49</v>
      </c>
      <c r="S890" s="203"/>
      <c r="T890" s="151"/>
      <c r="U890" s="151">
        <v>1.2</v>
      </c>
      <c r="V890" s="151">
        <v>0.25</v>
      </c>
      <c r="W890" s="151">
        <f t="shared" si="54"/>
        <v>0.49</v>
      </c>
      <c r="X890" s="152">
        <f t="shared" si="53"/>
        <v>3.4299999999999997E-2</v>
      </c>
      <c r="Y890" s="152"/>
      <c r="Z890" s="148"/>
      <c r="AA890" s="153"/>
      <c r="AB890" s="153"/>
      <c r="AC890" s="153"/>
      <c r="AD890" s="153"/>
      <c r="AH890" s="147"/>
    </row>
    <row r="891" spans="1:34" s="146" customFormat="1" x14ac:dyDescent="0.25">
      <c r="A891" s="196">
        <v>634</v>
      </c>
      <c r="B891" s="196" t="s">
        <v>4879</v>
      </c>
      <c r="C891" s="196" t="s">
        <v>4880</v>
      </c>
      <c r="D891" s="196" t="s">
        <v>2209</v>
      </c>
      <c r="E891" s="196"/>
      <c r="F891" s="196">
        <v>1989</v>
      </c>
      <c r="G891" s="196"/>
      <c r="H891" s="196" t="s">
        <v>1878</v>
      </c>
      <c r="I891" s="141" t="s">
        <v>1879</v>
      </c>
      <c r="J891" s="196"/>
      <c r="K891" s="196" t="s">
        <v>1881</v>
      </c>
      <c r="L891" s="141" t="s">
        <v>4881</v>
      </c>
      <c r="M891" s="196">
        <v>320</v>
      </c>
      <c r="N891" s="196"/>
      <c r="O891" s="196" t="s">
        <v>4771</v>
      </c>
      <c r="P891" s="144">
        <v>246</v>
      </c>
      <c r="Q891" s="145">
        <f t="shared" si="55"/>
        <v>2.5093000000000001</v>
      </c>
      <c r="R891" s="203">
        <v>0.99</v>
      </c>
      <c r="S891" s="203"/>
      <c r="T891" s="151"/>
      <c r="U891" s="151">
        <v>1.2</v>
      </c>
      <c r="V891" s="151">
        <v>0.25</v>
      </c>
      <c r="W891" s="151">
        <f t="shared" si="54"/>
        <v>0.99</v>
      </c>
      <c r="X891" s="152">
        <f t="shared" si="53"/>
        <v>6.93E-2</v>
      </c>
      <c r="Y891" s="152"/>
      <c r="Z891" s="148"/>
      <c r="AA891" s="153"/>
      <c r="AB891" s="153"/>
      <c r="AC891" s="153"/>
      <c r="AD891" s="153"/>
      <c r="AH891" s="147"/>
    </row>
    <row r="892" spans="1:34" s="146" customFormat="1" x14ac:dyDescent="0.25">
      <c r="A892" s="196">
        <v>2522</v>
      </c>
      <c r="B892" s="196" t="s">
        <v>4883</v>
      </c>
      <c r="C892" s="196" t="s">
        <v>4884</v>
      </c>
      <c r="D892" s="196" t="s">
        <v>1912</v>
      </c>
      <c r="E892" s="196" t="s">
        <v>2358</v>
      </c>
      <c r="F892" s="196">
        <v>2010</v>
      </c>
      <c r="G892" s="196"/>
      <c r="H892" s="196" t="s">
        <v>1878</v>
      </c>
      <c r="I892" s="141" t="s">
        <v>1879</v>
      </c>
      <c r="J892" s="143" t="s">
        <v>3854</v>
      </c>
      <c r="K892" s="196" t="s">
        <v>1881</v>
      </c>
      <c r="L892" s="141" t="s">
        <v>4885</v>
      </c>
      <c r="M892" s="196">
        <v>448</v>
      </c>
      <c r="N892" s="196"/>
      <c r="O892" s="196" t="s">
        <v>4772</v>
      </c>
      <c r="P892" s="144">
        <v>365</v>
      </c>
      <c r="Q892" s="145">
        <f t="shared" si="55"/>
        <v>2.4022999999999999</v>
      </c>
      <c r="R892" s="203">
        <v>0.89</v>
      </c>
      <c r="S892" s="203"/>
      <c r="T892" s="151"/>
      <c r="U892" s="151">
        <v>1.2</v>
      </c>
      <c r="V892" s="151">
        <v>0.25</v>
      </c>
      <c r="W892" s="151">
        <f t="shared" si="54"/>
        <v>0.89</v>
      </c>
      <c r="X892" s="152">
        <f t="shared" si="53"/>
        <v>6.2300000000000001E-2</v>
      </c>
      <c r="Y892" s="152"/>
      <c r="Z892" s="148"/>
      <c r="AA892" s="153"/>
      <c r="AB892" s="153"/>
      <c r="AC892" s="153"/>
      <c r="AD892" s="153"/>
      <c r="AH892" s="147"/>
    </row>
    <row r="893" spans="1:34" s="146" customFormat="1" x14ac:dyDescent="0.25">
      <c r="A893" s="196">
        <v>2522</v>
      </c>
      <c r="B893" s="196" t="s">
        <v>3835</v>
      </c>
      <c r="C893" s="196" t="s">
        <v>4886</v>
      </c>
      <c r="D893" s="196" t="s">
        <v>2257</v>
      </c>
      <c r="E893" s="196"/>
      <c r="F893" s="196">
        <v>2011</v>
      </c>
      <c r="G893" s="196"/>
      <c r="H893" s="196" t="s">
        <v>1878</v>
      </c>
      <c r="I893" s="141" t="s">
        <v>1879</v>
      </c>
      <c r="J893" s="196"/>
      <c r="K893" s="196" t="s">
        <v>1881</v>
      </c>
      <c r="L893" s="141" t="s">
        <v>4887</v>
      </c>
      <c r="M893" s="196">
        <v>592</v>
      </c>
      <c r="N893" s="196"/>
      <c r="O893" s="196" t="s">
        <v>4773</v>
      </c>
      <c r="P893" s="144">
        <v>380</v>
      </c>
      <c r="Q893" s="145">
        <f t="shared" si="55"/>
        <v>2.7232999999999996</v>
      </c>
      <c r="R893" s="203">
        <v>1.19</v>
      </c>
      <c r="S893" s="203"/>
      <c r="T893" s="151"/>
      <c r="U893" s="151">
        <v>1.2</v>
      </c>
      <c r="V893" s="151">
        <v>0.25</v>
      </c>
      <c r="W893" s="151">
        <f t="shared" si="54"/>
        <v>1.19</v>
      </c>
      <c r="X893" s="152">
        <f t="shared" si="53"/>
        <v>8.3299999999999999E-2</v>
      </c>
      <c r="Y893" s="152"/>
      <c r="Z893" s="148"/>
      <c r="AA893" s="153"/>
      <c r="AB893" s="153"/>
      <c r="AC893" s="153"/>
      <c r="AD893" s="153"/>
      <c r="AH893" s="147"/>
    </row>
    <row r="894" spans="1:34" s="146" customFormat="1" x14ac:dyDescent="0.25">
      <c r="A894" s="196">
        <v>692</v>
      </c>
      <c r="B894" s="196" t="s">
        <v>4888</v>
      </c>
      <c r="C894" s="196" t="s">
        <v>4889</v>
      </c>
      <c r="D894" s="196" t="s">
        <v>1912</v>
      </c>
      <c r="E894" s="196" t="s">
        <v>1921</v>
      </c>
      <c r="F894" s="196">
        <v>2016</v>
      </c>
      <c r="G894" s="196"/>
      <c r="H894" s="196" t="s">
        <v>1878</v>
      </c>
      <c r="I894" s="141" t="s">
        <v>1879</v>
      </c>
      <c r="J894" s="196"/>
      <c r="K894" s="196" t="s">
        <v>1881</v>
      </c>
      <c r="L894" s="141" t="s">
        <v>4890</v>
      </c>
      <c r="M894" s="196">
        <v>256</v>
      </c>
      <c r="N894" s="196"/>
      <c r="O894" s="196" t="s">
        <v>4774</v>
      </c>
      <c r="P894" s="144">
        <v>343</v>
      </c>
      <c r="Q894" s="145">
        <f t="shared" si="55"/>
        <v>1.9742999999999999</v>
      </c>
      <c r="R894" s="203">
        <v>0.49</v>
      </c>
      <c r="S894" s="203"/>
      <c r="T894" s="151"/>
      <c r="U894" s="151">
        <v>1.2</v>
      </c>
      <c r="V894" s="151">
        <v>0.25</v>
      </c>
      <c r="W894" s="151">
        <f t="shared" si="54"/>
        <v>0.49</v>
      </c>
      <c r="X894" s="152">
        <f t="shared" si="53"/>
        <v>3.4299999999999997E-2</v>
      </c>
      <c r="Y894" s="152"/>
      <c r="Z894" s="148"/>
      <c r="AA894" s="153"/>
      <c r="AB894" s="153"/>
      <c r="AC894" s="153"/>
      <c r="AD894" s="153"/>
      <c r="AH894" s="147"/>
    </row>
    <row r="895" spans="1:34" s="146" customFormat="1" x14ac:dyDescent="0.25">
      <c r="A895" s="196">
        <v>770</v>
      </c>
      <c r="B895" s="196" t="s">
        <v>4893</v>
      </c>
      <c r="C895" s="196" t="s">
        <v>4894</v>
      </c>
      <c r="D895" s="196" t="s">
        <v>2521</v>
      </c>
      <c r="E895" s="196"/>
      <c r="F895" s="196">
        <v>2000</v>
      </c>
      <c r="G895" s="196"/>
      <c r="H895" s="196" t="s">
        <v>4297</v>
      </c>
      <c r="I895" s="141" t="s">
        <v>1879</v>
      </c>
      <c r="J895" s="196"/>
      <c r="K895" s="196" t="s">
        <v>4898</v>
      </c>
      <c r="L895" s="141" t="s">
        <v>4895</v>
      </c>
      <c r="M895" s="196">
        <v>322</v>
      </c>
      <c r="N895" s="196"/>
      <c r="O895" s="196" t="s">
        <v>4776</v>
      </c>
      <c r="P895" s="144">
        <v>243</v>
      </c>
      <c r="Q895" s="145">
        <f t="shared" si="55"/>
        <v>2.2953000000000001</v>
      </c>
      <c r="R895" s="203">
        <v>0.79</v>
      </c>
      <c r="S895" s="203"/>
      <c r="T895" s="151"/>
      <c r="U895" s="151">
        <v>1.2</v>
      </c>
      <c r="V895" s="151">
        <v>0.25</v>
      </c>
      <c r="W895" s="151">
        <f t="shared" si="54"/>
        <v>0.79</v>
      </c>
      <c r="X895" s="152">
        <f t="shared" si="53"/>
        <v>5.5300000000000002E-2</v>
      </c>
      <c r="Y895" s="152"/>
      <c r="Z895" s="148"/>
      <c r="AA895" s="153"/>
      <c r="AB895" s="153"/>
      <c r="AC895" s="153"/>
      <c r="AD895" s="153"/>
      <c r="AH895" s="147"/>
    </row>
    <row r="896" spans="1:34" s="146" customFormat="1" x14ac:dyDescent="0.25">
      <c r="A896" s="196">
        <v>1395</v>
      </c>
      <c r="B896" s="196" t="s">
        <v>4827</v>
      </c>
      <c r="C896" s="196" t="s">
        <v>4900</v>
      </c>
      <c r="D896" s="196" t="s">
        <v>1876</v>
      </c>
      <c r="E896" s="196" t="s">
        <v>1877</v>
      </c>
      <c r="F896" s="196">
        <v>2002</v>
      </c>
      <c r="G896" s="196"/>
      <c r="H896" s="196" t="s">
        <v>1878</v>
      </c>
      <c r="I896" s="141" t="s">
        <v>1879</v>
      </c>
      <c r="J896" s="196"/>
      <c r="K896" s="196" t="s">
        <v>1881</v>
      </c>
      <c r="L896" s="141" t="s">
        <v>4901</v>
      </c>
      <c r="M896" s="196">
        <v>176</v>
      </c>
      <c r="N896" s="196"/>
      <c r="O896" s="196" t="s">
        <v>4779</v>
      </c>
      <c r="P896" s="144">
        <v>190</v>
      </c>
      <c r="Q896" s="145">
        <f t="shared" si="55"/>
        <v>1.9742999999999999</v>
      </c>
      <c r="R896" s="203">
        <v>0.49</v>
      </c>
      <c r="S896" s="203"/>
      <c r="T896" s="151"/>
      <c r="U896" s="151">
        <v>1.2</v>
      </c>
      <c r="V896" s="151">
        <v>0.25</v>
      </c>
      <c r="W896" s="151">
        <f t="shared" si="54"/>
        <v>0.49</v>
      </c>
      <c r="X896" s="152">
        <f t="shared" si="53"/>
        <v>3.4299999999999997E-2</v>
      </c>
      <c r="Y896" s="152"/>
      <c r="Z896" s="148"/>
      <c r="AA896" s="153"/>
      <c r="AB896" s="153"/>
      <c r="AC896" s="153"/>
      <c r="AD896" s="153"/>
      <c r="AH896" s="147"/>
    </row>
    <row r="897" spans="1:34" s="146" customFormat="1" x14ac:dyDescent="0.25">
      <c r="A897" s="196">
        <v>680</v>
      </c>
      <c r="B897" s="196" t="s">
        <v>4902</v>
      </c>
      <c r="C897" s="196" t="s">
        <v>4903</v>
      </c>
      <c r="D897" s="196"/>
      <c r="E897" s="196"/>
      <c r="F897" s="196"/>
      <c r="G897" s="196"/>
      <c r="H897" s="196" t="s">
        <v>1878</v>
      </c>
      <c r="I897" s="141" t="s">
        <v>1879</v>
      </c>
      <c r="J897" s="196" t="s">
        <v>4904</v>
      </c>
      <c r="K897" s="196" t="s">
        <v>1881</v>
      </c>
      <c r="L897" s="141" t="s">
        <v>4905</v>
      </c>
      <c r="M897" s="196"/>
      <c r="N897" s="196"/>
      <c r="O897" s="196" t="s">
        <v>4780</v>
      </c>
      <c r="P897" s="144">
        <v>1080</v>
      </c>
      <c r="Q897" s="145">
        <f t="shared" si="55"/>
        <v>6.1693000000000007</v>
      </c>
      <c r="R897" s="203">
        <v>1.99</v>
      </c>
      <c r="S897" s="203"/>
      <c r="T897" s="151"/>
      <c r="U897" s="151">
        <v>3.79</v>
      </c>
      <c r="V897" s="151">
        <v>0.25</v>
      </c>
      <c r="W897" s="151">
        <f t="shared" si="54"/>
        <v>1.99</v>
      </c>
      <c r="X897" s="152">
        <f t="shared" si="53"/>
        <v>0.13930000000000001</v>
      </c>
      <c r="Y897" s="152"/>
      <c r="Z897" s="148"/>
      <c r="AA897" s="153"/>
      <c r="AB897" s="153"/>
      <c r="AC897" s="153"/>
      <c r="AD897" s="153"/>
      <c r="AH897" s="147"/>
    </row>
    <row r="898" spans="1:34" s="146" customFormat="1" x14ac:dyDescent="0.25">
      <c r="A898" s="196">
        <v>692</v>
      </c>
      <c r="B898" s="196" t="s">
        <v>4802</v>
      </c>
      <c r="C898" s="196" t="s">
        <v>4906</v>
      </c>
      <c r="D898" s="196" t="s">
        <v>1920</v>
      </c>
      <c r="E898" s="196"/>
      <c r="F898" s="196">
        <v>2002</v>
      </c>
      <c r="G898" s="196"/>
      <c r="H898" s="196" t="s">
        <v>1878</v>
      </c>
      <c r="I898" s="141" t="s">
        <v>1914</v>
      </c>
      <c r="J898" s="196"/>
      <c r="K898" s="196" t="s">
        <v>1881</v>
      </c>
      <c r="L898" s="141" t="s">
        <v>4907</v>
      </c>
      <c r="M898" s="196">
        <v>288</v>
      </c>
      <c r="N898" s="196"/>
      <c r="O898" s="196" t="s">
        <v>4781</v>
      </c>
      <c r="P898" s="144">
        <v>217</v>
      </c>
      <c r="Q898" s="145">
        <f t="shared" si="55"/>
        <v>1.9742999999999999</v>
      </c>
      <c r="R898" s="203">
        <v>0.49</v>
      </c>
      <c r="S898" s="203"/>
      <c r="T898" s="151"/>
      <c r="U898" s="151">
        <v>1.2</v>
      </c>
      <c r="V898" s="151">
        <v>0.25</v>
      </c>
      <c r="W898" s="151">
        <f t="shared" si="54"/>
        <v>0.49</v>
      </c>
      <c r="X898" s="152">
        <f t="shared" si="53"/>
        <v>3.4299999999999997E-2</v>
      </c>
      <c r="Y898" s="152"/>
      <c r="Z898" s="148"/>
      <c r="AA898" s="153"/>
      <c r="AB898" s="153"/>
      <c r="AC898" s="153"/>
      <c r="AD898" s="153"/>
      <c r="AH898" s="147"/>
    </row>
    <row r="899" spans="1:34" s="146" customFormat="1" x14ac:dyDescent="0.25">
      <c r="A899" s="196">
        <v>622</v>
      </c>
      <c r="B899" s="196" t="s">
        <v>4908</v>
      </c>
      <c r="C899" s="196" t="s">
        <v>4909</v>
      </c>
      <c r="D899" s="196" t="s">
        <v>4910</v>
      </c>
      <c r="E899" s="196"/>
      <c r="F899" s="196">
        <v>2013</v>
      </c>
      <c r="G899" s="196"/>
      <c r="H899" s="196" t="s">
        <v>2734</v>
      </c>
      <c r="I899" s="141" t="s">
        <v>1929</v>
      </c>
      <c r="J899" s="196"/>
      <c r="K899" s="196" t="s">
        <v>1881</v>
      </c>
      <c r="L899" s="141" t="s">
        <v>4911</v>
      </c>
      <c r="M899" s="196">
        <v>122</v>
      </c>
      <c r="N899" s="196"/>
      <c r="O899" s="196" t="s">
        <v>4782</v>
      </c>
      <c r="P899" s="144">
        <v>466</v>
      </c>
      <c r="Q899" s="145">
        <f t="shared" si="55"/>
        <v>4.1143000000000001</v>
      </c>
      <c r="R899" s="203">
        <v>2.4900000000000002</v>
      </c>
      <c r="S899" s="203"/>
      <c r="T899" s="151"/>
      <c r="U899" s="151">
        <v>1.2</v>
      </c>
      <c r="V899" s="151">
        <v>0.25</v>
      </c>
      <c r="W899" s="151">
        <f t="shared" si="54"/>
        <v>2.4900000000000002</v>
      </c>
      <c r="X899" s="152">
        <f t="shared" si="53"/>
        <v>0.17430000000000001</v>
      </c>
      <c r="Y899" s="152"/>
      <c r="Z899" s="148"/>
      <c r="AA899" s="153"/>
      <c r="AB899" s="153"/>
      <c r="AC899" s="153"/>
      <c r="AD899" s="153"/>
      <c r="AH899" s="147"/>
    </row>
    <row r="900" spans="1:34" s="146" customFormat="1" x14ac:dyDescent="0.25">
      <c r="A900" s="196">
        <v>1366</v>
      </c>
      <c r="B900" s="196" t="s">
        <v>4912</v>
      </c>
      <c r="C900" s="196" t="s">
        <v>4913</v>
      </c>
      <c r="D900" s="196" t="s">
        <v>4914</v>
      </c>
      <c r="E900" s="196" t="s">
        <v>1877</v>
      </c>
      <c r="F900" s="196">
        <v>1998</v>
      </c>
      <c r="G900" s="196"/>
      <c r="H900" s="196" t="s">
        <v>1878</v>
      </c>
      <c r="I900" s="141" t="s">
        <v>1879</v>
      </c>
      <c r="J900" s="196"/>
      <c r="K900" s="196" t="s">
        <v>1881</v>
      </c>
      <c r="L900" s="141" t="s">
        <v>4915</v>
      </c>
      <c r="M900" s="196">
        <v>136</v>
      </c>
      <c r="N900" s="196"/>
      <c r="O900" s="196" t="s">
        <v>4783</v>
      </c>
      <c r="P900" s="144">
        <v>129</v>
      </c>
      <c r="Q900" s="145">
        <f t="shared" si="55"/>
        <v>5.9333000000000009</v>
      </c>
      <c r="R900" s="203">
        <v>4.1900000000000004</v>
      </c>
      <c r="S900" s="203"/>
      <c r="T900" s="151"/>
      <c r="U900" s="151">
        <v>1.2</v>
      </c>
      <c r="V900" s="151">
        <v>0.25</v>
      </c>
      <c r="W900" s="151">
        <f t="shared" si="54"/>
        <v>4.1900000000000004</v>
      </c>
      <c r="X900" s="152">
        <f t="shared" ref="X900:X961" si="56">(T900+W900)/100*7</f>
        <v>0.29330000000000006</v>
      </c>
      <c r="Y900" s="152"/>
      <c r="Z900" s="148"/>
      <c r="AA900" s="153"/>
      <c r="AB900" s="153"/>
      <c r="AC900" s="153"/>
      <c r="AD900" s="153"/>
      <c r="AH900" s="147"/>
    </row>
    <row r="901" spans="1:34" s="146" customFormat="1" x14ac:dyDescent="0.25">
      <c r="A901" s="196">
        <v>765</v>
      </c>
      <c r="B901" s="196" t="s">
        <v>4916</v>
      </c>
      <c r="C901" s="196" t="s">
        <v>4917</v>
      </c>
      <c r="D901" s="196" t="s">
        <v>4841</v>
      </c>
      <c r="E901" s="196"/>
      <c r="F901" s="196">
        <v>1992</v>
      </c>
      <c r="G901" s="196"/>
      <c r="H901" s="196" t="s">
        <v>1878</v>
      </c>
      <c r="I901" s="141" t="s">
        <v>1879</v>
      </c>
      <c r="J901" s="196"/>
      <c r="K901" s="196" t="s">
        <v>1881</v>
      </c>
      <c r="L901" s="141" t="s">
        <v>4918</v>
      </c>
      <c r="M901" s="196">
        <v>128</v>
      </c>
      <c r="N901" s="196"/>
      <c r="O901" s="196" t="s">
        <v>4784</v>
      </c>
      <c r="P901" s="144">
        <v>113</v>
      </c>
      <c r="Q901" s="145">
        <f t="shared" si="55"/>
        <v>2.1882999999999995</v>
      </c>
      <c r="R901" s="203">
        <v>0.69</v>
      </c>
      <c r="S901" s="203"/>
      <c r="T901" s="151"/>
      <c r="U901" s="151">
        <v>1.2</v>
      </c>
      <c r="V901" s="151">
        <v>0.25</v>
      </c>
      <c r="W901" s="151">
        <f t="shared" si="54"/>
        <v>0.69</v>
      </c>
      <c r="X901" s="152">
        <f t="shared" si="56"/>
        <v>4.8299999999999996E-2</v>
      </c>
      <c r="Y901" s="152"/>
      <c r="Z901" s="148"/>
      <c r="AA901" s="153"/>
      <c r="AB901" s="153"/>
      <c r="AC901" s="153"/>
      <c r="AD901" s="153"/>
      <c r="AH901" s="147"/>
    </row>
    <row r="902" spans="1:34" s="146" customFormat="1" x14ac:dyDescent="0.25">
      <c r="A902" s="196">
        <v>1314</v>
      </c>
      <c r="B902" s="196" t="s">
        <v>4919</v>
      </c>
      <c r="C902" s="196" t="s">
        <v>4920</v>
      </c>
      <c r="D902" s="196" t="s">
        <v>2300</v>
      </c>
      <c r="E902" s="196" t="s">
        <v>1877</v>
      </c>
      <c r="F902" s="196">
        <v>2008</v>
      </c>
      <c r="G902" s="196"/>
      <c r="H902" s="196" t="s">
        <v>1878</v>
      </c>
      <c r="I902" s="141" t="s">
        <v>1879</v>
      </c>
      <c r="J902" s="196"/>
      <c r="K902" s="196" t="s">
        <v>1881</v>
      </c>
      <c r="L902" s="141" t="s">
        <v>4921</v>
      </c>
      <c r="M902" s="196">
        <v>176</v>
      </c>
      <c r="N902" s="196"/>
      <c r="O902" s="196" t="s">
        <v>4785</v>
      </c>
      <c r="P902" s="144">
        <v>179</v>
      </c>
      <c r="Q902" s="145">
        <f t="shared" si="55"/>
        <v>2.5093000000000001</v>
      </c>
      <c r="R902" s="203">
        <v>0.99</v>
      </c>
      <c r="S902" s="203"/>
      <c r="T902" s="151"/>
      <c r="U902" s="151">
        <v>1.2</v>
      </c>
      <c r="V902" s="151">
        <v>0.25</v>
      </c>
      <c r="W902" s="151">
        <f t="shared" si="54"/>
        <v>0.99</v>
      </c>
      <c r="X902" s="152">
        <f t="shared" si="56"/>
        <v>6.93E-2</v>
      </c>
      <c r="Y902" s="152"/>
      <c r="Z902" s="148"/>
      <c r="AA902" s="153"/>
      <c r="AB902" s="153"/>
      <c r="AC902" s="153"/>
      <c r="AD902" s="153"/>
      <c r="AH902" s="147"/>
    </row>
    <row r="903" spans="1:34" s="146" customFormat="1" x14ac:dyDescent="0.25">
      <c r="A903" s="196">
        <v>1395</v>
      </c>
      <c r="B903" s="196" t="s">
        <v>4922</v>
      </c>
      <c r="C903" s="196" t="s">
        <v>4923</v>
      </c>
      <c r="D903" s="196" t="s">
        <v>1998</v>
      </c>
      <c r="E903" s="196" t="s">
        <v>1913</v>
      </c>
      <c r="F903" s="196">
        <v>2006</v>
      </c>
      <c r="G903" s="196"/>
      <c r="H903" s="196" t="s">
        <v>1878</v>
      </c>
      <c r="I903" s="141" t="s">
        <v>1879</v>
      </c>
      <c r="J903" s="196"/>
      <c r="K903" s="196" t="s">
        <v>1881</v>
      </c>
      <c r="L903" s="141" t="s">
        <v>4924</v>
      </c>
      <c r="M903" s="196">
        <v>240</v>
      </c>
      <c r="N903" s="196"/>
      <c r="O903" s="196" t="s">
        <v>4786</v>
      </c>
      <c r="P903" s="144">
        <v>185</v>
      </c>
      <c r="Q903" s="145">
        <f t="shared" si="55"/>
        <v>1.9742999999999999</v>
      </c>
      <c r="R903" s="203">
        <v>0.49</v>
      </c>
      <c r="S903" s="203"/>
      <c r="T903" s="151"/>
      <c r="U903" s="151">
        <v>1.2</v>
      </c>
      <c r="V903" s="151">
        <v>0.25</v>
      </c>
      <c r="W903" s="151">
        <f t="shared" si="54"/>
        <v>0.49</v>
      </c>
      <c r="X903" s="152">
        <f t="shared" si="56"/>
        <v>3.4299999999999997E-2</v>
      </c>
      <c r="Y903" s="152"/>
      <c r="Z903" s="148"/>
      <c r="AA903" s="153"/>
      <c r="AB903" s="153"/>
      <c r="AC903" s="153"/>
      <c r="AD903" s="153"/>
      <c r="AH903" s="147"/>
    </row>
    <row r="904" spans="1:34" s="146" customFormat="1" x14ac:dyDescent="0.25">
      <c r="A904" s="196">
        <v>765</v>
      </c>
      <c r="B904" s="196" t="s">
        <v>4925</v>
      </c>
      <c r="C904" s="196" t="s">
        <v>4926</v>
      </c>
      <c r="D904" s="196" t="s">
        <v>4693</v>
      </c>
      <c r="E904" s="196"/>
      <c r="F904" s="196">
        <v>2002</v>
      </c>
      <c r="G904" s="196"/>
      <c r="H904" s="196" t="s">
        <v>1878</v>
      </c>
      <c r="I904" s="141" t="s">
        <v>1879</v>
      </c>
      <c r="J904" s="196"/>
      <c r="K904" s="196" t="s">
        <v>1881</v>
      </c>
      <c r="L904" s="141" t="s">
        <v>4927</v>
      </c>
      <c r="M904" s="196">
        <v>128</v>
      </c>
      <c r="N904" s="196"/>
      <c r="O904" s="196" t="s">
        <v>4787</v>
      </c>
      <c r="P904" s="144">
        <v>277</v>
      </c>
      <c r="Q904" s="145">
        <f t="shared" si="55"/>
        <v>2.1882999999999995</v>
      </c>
      <c r="R904" s="203">
        <v>0.69</v>
      </c>
      <c r="S904" s="203"/>
      <c r="T904" s="151"/>
      <c r="U904" s="151">
        <v>1.2</v>
      </c>
      <c r="V904" s="151">
        <v>0.25</v>
      </c>
      <c r="W904" s="151">
        <f t="shared" si="54"/>
        <v>0.69</v>
      </c>
      <c r="X904" s="152">
        <f t="shared" si="56"/>
        <v>4.8299999999999996E-2</v>
      </c>
      <c r="Y904" s="152"/>
      <c r="Z904" s="148"/>
      <c r="AA904" s="153"/>
      <c r="AB904" s="153"/>
      <c r="AC904" s="153"/>
      <c r="AD904" s="153"/>
      <c r="AH904" s="147"/>
    </row>
    <row r="905" spans="1:34" s="146" customFormat="1" x14ac:dyDescent="0.25">
      <c r="A905" s="196">
        <v>1394</v>
      </c>
      <c r="B905" s="196" t="s">
        <v>4928</v>
      </c>
      <c r="C905" s="196" t="s">
        <v>4929</v>
      </c>
      <c r="D905" s="196" t="s">
        <v>4930</v>
      </c>
      <c r="E905" s="196"/>
      <c r="F905" s="196">
        <v>2011</v>
      </c>
      <c r="G905" s="196"/>
      <c r="H905" s="196" t="s">
        <v>1878</v>
      </c>
      <c r="I905" s="141" t="s">
        <v>1879</v>
      </c>
      <c r="J905" s="196"/>
      <c r="K905" s="196" t="s">
        <v>1881</v>
      </c>
      <c r="L905" s="141"/>
      <c r="M905" s="196">
        <v>258</v>
      </c>
      <c r="N905" s="196"/>
      <c r="O905" s="196" t="s">
        <v>4788</v>
      </c>
      <c r="P905" s="144">
        <v>252</v>
      </c>
      <c r="Q905" s="145">
        <f t="shared" si="55"/>
        <v>2.6162999999999998</v>
      </c>
      <c r="R905" s="203">
        <v>1.0900000000000001</v>
      </c>
      <c r="S905" s="203"/>
      <c r="T905" s="151"/>
      <c r="U905" s="151">
        <v>1.2</v>
      </c>
      <c r="V905" s="151">
        <v>0.25</v>
      </c>
      <c r="W905" s="151">
        <f t="shared" si="54"/>
        <v>1.0900000000000001</v>
      </c>
      <c r="X905" s="152">
        <f t="shared" si="56"/>
        <v>7.6300000000000007E-2</v>
      </c>
      <c r="Y905" s="152"/>
      <c r="Z905" s="148"/>
      <c r="AA905" s="153"/>
      <c r="AB905" s="153"/>
      <c r="AC905" s="153"/>
      <c r="AD905" s="153"/>
      <c r="AH905" s="147"/>
    </row>
    <row r="906" spans="1:34" s="146" customFormat="1" x14ac:dyDescent="0.25">
      <c r="A906" s="196">
        <v>1395</v>
      </c>
      <c r="B906" s="196" t="s">
        <v>4933</v>
      </c>
      <c r="C906" s="196" t="s">
        <v>4934</v>
      </c>
      <c r="D906" s="196" t="s">
        <v>2901</v>
      </c>
      <c r="E906" s="196" t="s">
        <v>1913</v>
      </c>
      <c r="F906" s="196">
        <v>2014</v>
      </c>
      <c r="G906" s="196"/>
      <c r="H906" s="196" t="s">
        <v>2734</v>
      </c>
      <c r="I906" s="141" t="s">
        <v>1879</v>
      </c>
      <c r="J906" s="196" t="s">
        <v>2237</v>
      </c>
      <c r="K906" s="196" t="s">
        <v>1881</v>
      </c>
      <c r="L906" s="141" t="s">
        <v>4935</v>
      </c>
      <c r="M906" s="196">
        <v>370</v>
      </c>
      <c r="N906" s="196"/>
      <c r="O906" s="196" t="s">
        <v>4790</v>
      </c>
      <c r="P906" s="144">
        <v>629</v>
      </c>
      <c r="Q906" s="145">
        <f t="shared" si="55"/>
        <v>14.244299999999999</v>
      </c>
      <c r="R906" s="203">
        <v>11.49</v>
      </c>
      <c r="S906" s="203"/>
      <c r="T906" s="151"/>
      <c r="U906" s="151">
        <v>1.7</v>
      </c>
      <c r="V906" s="151">
        <v>0.25</v>
      </c>
      <c r="W906" s="151">
        <f t="shared" si="54"/>
        <v>11.49</v>
      </c>
      <c r="X906" s="152">
        <f t="shared" si="56"/>
        <v>0.80430000000000001</v>
      </c>
      <c r="Y906" s="152"/>
      <c r="Z906" s="148"/>
      <c r="AA906" s="153"/>
      <c r="AB906" s="153"/>
      <c r="AC906" s="153"/>
      <c r="AD906" s="153"/>
      <c r="AH906" s="147"/>
    </row>
    <row r="907" spans="1:34" s="146" customFormat="1" x14ac:dyDescent="0.25">
      <c r="A907" s="196">
        <v>1231</v>
      </c>
      <c r="B907" s="196" t="s">
        <v>4936</v>
      </c>
      <c r="C907" s="196" t="s">
        <v>4937</v>
      </c>
      <c r="D907" s="196" t="s">
        <v>4938</v>
      </c>
      <c r="E907" s="196"/>
      <c r="F907" s="196">
        <v>1987</v>
      </c>
      <c r="G907" s="196"/>
      <c r="H907" s="196" t="s">
        <v>2734</v>
      </c>
      <c r="I907" s="141" t="s">
        <v>1879</v>
      </c>
      <c r="J907" s="196"/>
      <c r="K907" s="196" t="s">
        <v>1881</v>
      </c>
      <c r="L907" s="141" t="s">
        <v>4939</v>
      </c>
      <c r="M907" s="196">
        <v>130</v>
      </c>
      <c r="N907" s="196"/>
      <c r="O907" s="196" t="s">
        <v>4791</v>
      </c>
      <c r="P907" s="144">
        <v>228</v>
      </c>
      <c r="Q907" s="145">
        <f t="shared" si="55"/>
        <v>3.5792999999999999</v>
      </c>
      <c r="R907" s="203">
        <v>1.99</v>
      </c>
      <c r="S907" s="203"/>
      <c r="T907" s="151"/>
      <c r="U907" s="151">
        <v>1.2</v>
      </c>
      <c r="V907" s="151">
        <v>0.25</v>
      </c>
      <c r="W907" s="151">
        <f t="shared" si="54"/>
        <v>1.99</v>
      </c>
      <c r="X907" s="152">
        <f t="shared" si="56"/>
        <v>0.13930000000000001</v>
      </c>
      <c r="Y907" s="152"/>
      <c r="Z907" s="148"/>
      <c r="AA907" s="153"/>
      <c r="AB907" s="153"/>
      <c r="AC907" s="153"/>
      <c r="AD907" s="153"/>
      <c r="AH907" s="147"/>
    </row>
    <row r="908" spans="1:34" s="146" customFormat="1" x14ac:dyDescent="0.25">
      <c r="A908" s="196">
        <v>689</v>
      </c>
      <c r="B908" s="196" t="s">
        <v>2470</v>
      </c>
      <c r="C908" s="196" t="s">
        <v>4990</v>
      </c>
      <c r="D908" s="196" t="s">
        <v>2054</v>
      </c>
      <c r="E908" s="196"/>
      <c r="F908" s="196"/>
      <c r="G908" s="196"/>
      <c r="H908" s="196" t="s">
        <v>2734</v>
      </c>
      <c r="I908" s="141" t="s">
        <v>1879</v>
      </c>
      <c r="J908" s="196"/>
      <c r="K908" s="196" t="s">
        <v>1881</v>
      </c>
      <c r="L908" s="141" t="s">
        <v>4991</v>
      </c>
      <c r="M908" s="196">
        <v>370</v>
      </c>
      <c r="N908" s="196"/>
      <c r="O908" s="196" t="s">
        <v>4940</v>
      </c>
      <c r="P908" s="144">
        <v>427</v>
      </c>
      <c r="Q908" s="145">
        <f t="shared" si="55"/>
        <v>1.9742999999999999</v>
      </c>
      <c r="R908" s="203">
        <v>0.49</v>
      </c>
      <c r="S908" s="203"/>
      <c r="T908" s="151"/>
      <c r="U908" s="151">
        <v>1.2</v>
      </c>
      <c r="V908" s="151">
        <v>0.25</v>
      </c>
      <c r="W908" s="151">
        <f t="shared" si="54"/>
        <v>0.49</v>
      </c>
      <c r="X908" s="152">
        <f t="shared" si="56"/>
        <v>3.4299999999999997E-2</v>
      </c>
      <c r="Y908" s="152"/>
      <c r="Z908" s="148"/>
      <c r="AA908" s="153"/>
      <c r="AB908" s="153"/>
      <c r="AC908" s="153"/>
      <c r="AD908" s="153"/>
      <c r="AH908" s="147"/>
    </row>
    <row r="909" spans="1:34" s="146" customFormat="1" x14ac:dyDescent="0.25">
      <c r="A909" s="196">
        <v>689</v>
      </c>
      <c r="B909" s="196" t="s">
        <v>2470</v>
      </c>
      <c r="C909" s="196" t="s">
        <v>4992</v>
      </c>
      <c r="D909" s="196" t="s">
        <v>2054</v>
      </c>
      <c r="E909" s="196"/>
      <c r="F909" s="196"/>
      <c r="G909" s="196"/>
      <c r="H909" s="196" t="s">
        <v>2734</v>
      </c>
      <c r="I909" s="141" t="s">
        <v>1879</v>
      </c>
      <c r="J909" s="196"/>
      <c r="K909" s="196" t="s">
        <v>1881</v>
      </c>
      <c r="L909" s="141" t="s">
        <v>4993</v>
      </c>
      <c r="M909" s="196">
        <v>258</v>
      </c>
      <c r="N909" s="196"/>
      <c r="O909" s="196" t="s">
        <v>4941</v>
      </c>
      <c r="P909" s="144">
        <v>322</v>
      </c>
      <c r="Q909" s="145">
        <f t="shared" si="55"/>
        <v>3.5792999999999999</v>
      </c>
      <c r="R909" s="203">
        <v>1.99</v>
      </c>
      <c r="S909" s="203"/>
      <c r="T909" s="151"/>
      <c r="U909" s="151">
        <v>1.2</v>
      </c>
      <c r="V909" s="151">
        <v>0.25</v>
      </c>
      <c r="W909" s="151">
        <f t="shared" si="54"/>
        <v>1.99</v>
      </c>
      <c r="X909" s="152">
        <f t="shared" si="56"/>
        <v>0.13930000000000001</v>
      </c>
      <c r="Y909" s="152"/>
      <c r="Z909" s="148"/>
      <c r="AA909" s="153"/>
      <c r="AB909" s="153"/>
      <c r="AC909" s="153"/>
      <c r="AD909" s="153"/>
      <c r="AH909" s="147"/>
    </row>
    <row r="910" spans="1:34" s="146" customFormat="1" x14ac:dyDescent="0.25">
      <c r="A910" s="196">
        <v>689</v>
      </c>
      <c r="B910" s="196" t="s">
        <v>2470</v>
      </c>
      <c r="C910" s="196" t="s">
        <v>7209</v>
      </c>
      <c r="D910" s="196" t="s">
        <v>2054</v>
      </c>
      <c r="E910" s="196"/>
      <c r="F910" s="196"/>
      <c r="G910" s="196"/>
      <c r="H910" s="196" t="s">
        <v>2734</v>
      </c>
      <c r="I910" s="141" t="s">
        <v>1879</v>
      </c>
      <c r="J910" s="196"/>
      <c r="K910" s="196" t="s">
        <v>1881</v>
      </c>
      <c r="L910" s="141" t="s">
        <v>4994</v>
      </c>
      <c r="M910" s="196">
        <v>290</v>
      </c>
      <c r="N910" s="196"/>
      <c r="O910" s="196" t="s">
        <v>4942</v>
      </c>
      <c r="P910" s="144">
        <v>350</v>
      </c>
      <c r="Q910" s="145">
        <f t="shared" si="55"/>
        <v>4.4352999999999998</v>
      </c>
      <c r="R910" s="203">
        <v>2.79</v>
      </c>
      <c r="S910" s="203"/>
      <c r="T910" s="151"/>
      <c r="U910" s="151">
        <v>1.2</v>
      </c>
      <c r="V910" s="151">
        <v>0.25</v>
      </c>
      <c r="W910" s="151">
        <f t="shared" si="54"/>
        <v>2.79</v>
      </c>
      <c r="X910" s="152">
        <f t="shared" si="56"/>
        <v>0.1953</v>
      </c>
      <c r="Y910" s="152"/>
      <c r="Z910" s="148"/>
      <c r="AA910" s="153"/>
      <c r="AB910" s="153"/>
      <c r="AC910" s="153"/>
      <c r="AD910" s="153"/>
      <c r="AH910" s="147"/>
    </row>
    <row r="911" spans="1:34" s="146" customFormat="1" x14ac:dyDescent="0.25">
      <c r="A911" s="196">
        <v>689</v>
      </c>
      <c r="B911" s="196" t="s">
        <v>2470</v>
      </c>
      <c r="C911" s="196" t="s">
        <v>7210</v>
      </c>
      <c r="D911" s="196" t="s">
        <v>2054</v>
      </c>
      <c r="E911" s="196"/>
      <c r="F911" s="196"/>
      <c r="G911" s="196"/>
      <c r="H911" s="196" t="s">
        <v>2734</v>
      </c>
      <c r="I911" s="141" t="s">
        <v>1879</v>
      </c>
      <c r="J911" s="196"/>
      <c r="K911" s="196" t="s">
        <v>1881</v>
      </c>
      <c r="L911" s="141" t="s">
        <v>4995</v>
      </c>
      <c r="M911" s="196">
        <v>306</v>
      </c>
      <c r="N911" s="196"/>
      <c r="O911" s="196" t="s">
        <v>4943</v>
      </c>
      <c r="P911" s="144">
        <v>363</v>
      </c>
      <c r="Q911" s="145">
        <f t="shared" si="55"/>
        <v>3.0442999999999998</v>
      </c>
      <c r="R911" s="203">
        <v>1.49</v>
      </c>
      <c r="S911" s="203"/>
      <c r="T911" s="151"/>
      <c r="U911" s="151">
        <v>1.2</v>
      </c>
      <c r="V911" s="151">
        <v>0.25</v>
      </c>
      <c r="W911" s="151">
        <f t="shared" si="54"/>
        <v>1.49</v>
      </c>
      <c r="X911" s="152">
        <f t="shared" si="56"/>
        <v>0.1043</v>
      </c>
      <c r="Y911" s="152"/>
      <c r="Z911" s="148"/>
      <c r="AA911" s="153"/>
      <c r="AB911" s="153"/>
      <c r="AC911" s="153"/>
      <c r="AD911" s="153"/>
      <c r="AH911" s="147"/>
    </row>
    <row r="912" spans="1:34" s="146" customFormat="1" x14ac:dyDescent="0.25">
      <c r="A912" s="196">
        <v>689</v>
      </c>
      <c r="B912" s="196" t="s">
        <v>2470</v>
      </c>
      <c r="C912" s="196" t="s">
        <v>7211</v>
      </c>
      <c r="D912" s="196" t="s">
        <v>2054</v>
      </c>
      <c r="E912" s="196"/>
      <c r="F912" s="196"/>
      <c r="G912" s="196"/>
      <c r="H912" s="196" t="s">
        <v>2734</v>
      </c>
      <c r="I912" s="141" t="s">
        <v>1879</v>
      </c>
      <c r="J912" s="196"/>
      <c r="K912" s="196" t="s">
        <v>1881</v>
      </c>
      <c r="L912" s="141" t="s">
        <v>4996</v>
      </c>
      <c r="M912" s="196">
        <v>434</v>
      </c>
      <c r="N912" s="196"/>
      <c r="O912" s="196" t="s">
        <v>4944</v>
      </c>
      <c r="P912" s="144">
        <v>385</v>
      </c>
      <c r="Q912" s="145">
        <f t="shared" si="55"/>
        <v>3.0442999999999998</v>
      </c>
      <c r="R912" s="203">
        <v>1.49</v>
      </c>
      <c r="S912" s="203"/>
      <c r="T912" s="151"/>
      <c r="U912" s="151">
        <v>1.2</v>
      </c>
      <c r="V912" s="151">
        <v>0.25</v>
      </c>
      <c r="W912" s="151">
        <f t="shared" si="54"/>
        <v>1.49</v>
      </c>
      <c r="X912" s="152">
        <f t="shared" si="56"/>
        <v>0.1043</v>
      </c>
      <c r="Y912" s="152"/>
      <c r="Z912" s="148"/>
      <c r="AA912" s="153"/>
      <c r="AB912" s="153"/>
      <c r="AC912" s="153"/>
      <c r="AD912" s="153"/>
      <c r="AH912" s="147"/>
    </row>
    <row r="913" spans="1:34" s="146" customFormat="1" x14ac:dyDescent="0.25">
      <c r="A913" s="196">
        <v>796</v>
      </c>
      <c r="B913" s="196" t="s">
        <v>4997</v>
      </c>
      <c r="C913" s="196" t="s">
        <v>4998</v>
      </c>
      <c r="D913" s="196" t="s">
        <v>1876</v>
      </c>
      <c r="E913" s="196"/>
      <c r="F913" s="196">
        <v>2001</v>
      </c>
      <c r="G913" s="196"/>
      <c r="H913" s="196" t="s">
        <v>1878</v>
      </c>
      <c r="I913" s="141" t="s">
        <v>1879</v>
      </c>
      <c r="J913" s="196"/>
      <c r="K913" s="196" t="s">
        <v>1881</v>
      </c>
      <c r="L913" s="141" t="s">
        <v>4999</v>
      </c>
      <c r="M913" s="196">
        <v>480</v>
      </c>
      <c r="N913" s="196"/>
      <c r="O913" s="196" t="s">
        <v>4945</v>
      </c>
      <c r="P913" s="144">
        <v>400</v>
      </c>
      <c r="Q913" s="145">
        <f t="shared" si="55"/>
        <v>1.9742999999999999</v>
      </c>
      <c r="R913" s="203">
        <v>0.49</v>
      </c>
      <c r="S913" s="203"/>
      <c r="T913" s="151"/>
      <c r="U913" s="151">
        <v>1.2</v>
      </c>
      <c r="V913" s="151">
        <v>0.25</v>
      </c>
      <c r="W913" s="151">
        <f t="shared" si="54"/>
        <v>0.49</v>
      </c>
      <c r="X913" s="152">
        <f t="shared" si="56"/>
        <v>3.4299999999999997E-2</v>
      </c>
      <c r="Y913" s="152"/>
      <c r="Z913" s="148"/>
      <c r="AA913" s="153"/>
      <c r="AB913" s="153"/>
      <c r="AC913" s="153"/>
      <c r="AD913" s="153"/>
      <c r="AH913" s="147"/>
    </row>
    <row r="914" spans="1:34" s="146" customFormat="1" x14ac:dyDescent="0.25">
      <c r="A914" s="196">
        <v>1809</v>
      </c>
      <c r="B914" s="196" t="s">
        <v>5000</v>
      </c>
      <c r="C914" s="196" t="s">
        <v>5001</v>
      </c>
      <c r="D914" s="196" t="s">
        <v>3116</v>
      </c>
      <c r="E914" s="196" t="s">
        <v>1877</v>
      </c>
      <c r="F914" s="196">
        <v>2010</v>
      </c>
      <c r="G914" s="196"/>
      <c r="H914" s="196" t="s">
        <v>1878</v>
      </c>
      <c r="I914" s="141" t="s">
        <v>1914</v>
      </c>
      <c r="J914" s="196"/>
      <c r="K914" s="196" t="s">
        <v>1881</v>
      </c>
      <c r="L914" s="141" t="s">
        <v>5002</v>
      </c>
      <c r="M914" s="196">
        <v>256</v>
      </c>
      <c r="N914" s="196"/>
      <c r="O914" s="196" t="s">
        <v>4946</v>
      </c>
      <c r="P914" s="144">
        <v>390</v>
      </c>
      <c r="Q914" s="145">
        <f t="shared" si="55"/>
        <v>2.5093000000000001</v>
      </c>
      <c r="R914" s="203">
        <v>0.99</v>
      </c>
      <c r="S914" s="203"/>
      <c r="T914" s="151"/>
      <c r="U914" s="151">
        <v>1.2</v>
      </c>
      <c r="V914" s="151">
        <v>0.25</v>
      </c>
      <c r="W914" s="151">
        <f t="shared" si="54"/>
        <v>0.99</v>
      </c>
      <c r="X914" s="152">
        <f t="shared" si="56"/>
        <v>6.93E-2</v>
      </c>
      <c r="Y914" s="152"/>
      <c r="Z914" s="148"/>
      <c r="AA914" s="153"/>
      <c r="AB914" s="153"/>
      <c r="AC914" s="153"/>
      <c r="AD914" s="153"/>
      <c r="AH914" s="147"/>
    </row>
    <row r="915" spans="1:34" s="146" customFormat="1" x14ac:dyDescent="0.25">
      <c r="A915" s="196">
        <v>2522</v>
      </c>
      <c r="B915" s="196" t="s">
        <v>5003</v>
      </c>
      <c r="C915" s="196" t="s">
        <v>5004</v>
      </c>
      <c r="D915" s="196" t="s">
        <v>5005</v>
      </c>
      <c r="E915" s="196"/>
      <c r="F915" s="196">
        <v>2006</v>
      </c>
      <c r="G915" s="196"/>
      <c r="H915" s="196" t="s">
        <v>1878</v>
      </c>
      <c r="I915" s="141" t="s">
        <v>1879</v>
      </c>
      <c r="J915" s="196"/>
      <c r="K915" s="196" t="s">
        <v>1881</v>
      </c>
      <c r="L915" s="141"/>
      <c r="M915" s="196">
        <v>560</v>
      </c>
      <c r="N915" s="196"/>
      <c r="O915" s="196" t="s">
        <v>4947</v>
      </c>
      <c r="P915" s="144">
        <v>400</v>
      </c>
      <c r="Q915" s="145">
        <f t="shared" si="55"/>
        <v>2.5093000000000001</v>
      </c>
      <c r="R915" s="203">
        <v>0.99</v>
      </c>
      <c r="S915" s="203"/>
      <c r="T915" s="151"/>
      <c r="U915" s="151">
        <v>1.2</v>
      </c>
      <c r="V915" s="151">
        <v>0.25</v>
      </c>
      <c r="W915" s="151">
        <f t="shared" si="54"/>
        <v>0.99</v>
      </c>
      <c r="X915" s="152">
        <f t="shared" si="56"/>
        <v>6.93E-2</v>
      </c>
      <c r="Y915" s="152"/>
      <c r="Z915" s="148"/>
      <c r="AA915" s="153"/>
      <c r="AB915" s="153"/>
      <c r="AC915" s="153"/>
      <c r="AD915" s="153"/>
      <c r="AH915" s="147"/>
    </row>
    <row r="916" spans="1:34" s="146" customFormat="1" x14ac:dyDescent="0.25">
      <c r="A916" s="196">
        <v>2524</v>
      </c>
      <c r="B916" s="196" t="s">
        <v>5006</v>
      </c>
      <c r="C916" s="196" t="s">
        <v>5007</v>
      </c>
      <c r="D916" s="196" t="s">
        <v>1912</v>
      </c>
      <c r="E916" s="196"/>
      <c r="F916" s="196">
        <v>2000</v>
      </c>
      <c r="G916" s="196"/>
      <c r="H916" s="196" t="s">
        <v>1878</v>
      </c>
      <c r="I916" s="141" t="s">
        <v>1914</v>
      </c>
      <c r="J916" s="196"/>
      <c r="K916" s="196" t="s">
        <v>1881</v>
      </c>
      <c r="L916" s="141" t="s">
        <v>5008</v>
      </c>
      <c r="M916" s="196">
        <v>256</v>
      </c>
      <c r="N916" s="196"/>
      <c r="O916" s="196" t="s">
        <v>4948</v>
      </c>
      <c r="P916" s="144">
        <v>227</v>
      </c>
      <c r="Q916" s="145">
        <f t="shared" si="55"/>
        <v>1.9742999999999999</v>
      </c>
      <c r="R916" s="203">
        <v>0.49</v>
      </c>
      <c r="S916" s="203"/>
      <c r="T916" s="151"/>
      <c r="U916" s="151">
        <v>1.2</v>
      </c>
      <c r="V916" s="151">
        <v>0.25</v>
      </c>
      <c r="W916" s="151">
        <f t="shared" si="54"/>
        <v>0.49</v>
      </c>
      <c r="X916" s="152">
        <f t="shared" si="56"/>
        <v>3.4299999999999997E-2</v>
      </c>
      <c r="Y916" s="152"/>
      <c r="Z916" s="148"/>
      <c r="AA916" s="153"/>
      <c r="AB916" s="153"/>
      <c r="AC916" s="153"/>
      <c r="AD916" s="153"/>
      <c r="AH916" s="147"/>
    </row>
    <row r="917" spans="1:34" s="146" customFormat="1" x14ac:dyDescent="0.25">
      <c r="A917" s="196">
        <v>1386</v>
      </c>
      <c r="B917" s="196" t="s">
        <v>5009</v>
      </c>
      <c r="C917" s="196" t="s">
        <v>5010</v>
      </c>
      <c r="D917" s="196" t="s">
        <v>2257</v>
      </c>
      <c r="E917" s="196" t="s">
        <v>1921</v>
      </c>
      <c r="F917" s="196">
        <v>2010</v>
      </c>
      <c r="G917" s="196"/>
      <c r="H917" s="196" t="s">
        <v>1878</v>
      </c>
      <c r="I917" s="141" t="s">
        <v>1914</v>
      </c>
      <c r="J917" s="196"/>
      <c r="K917" s="196" t="s">
        <v>1881</v>
      </c>
      <c r="L917" s="141" t="s">
        <v>5011</v>
      </c>
      <c r="M917" s="196">
        <v>432</v>
      </c>
      <c r="N917" s="196"/>
      <c r="O917" s="196" t="s">
        <v>4949</v>
      </c>
      <c r="P917" s="144">
        <v>285</v>
      </c>
      <c r="Q917" s="145">
        <f t="shared" si="55"/>
        <v>2.5093000000000001</v>
      </c>
      <c r="R917" s="203">
        <v>0.99</v>
      </c>
      <c r="S917" s="203"/>
      <c r="T917" s="151"/>
      <c r="U917" s="151">
        <v>1.2</v>
      </c>
      <c r="V917" s="151">
        <v>0.25</v>
      </c>
      <c r="W917" s="151">
        <f t="shared" si="54"/>
        <v>0.99</v>
      </c>
      <c r="X917" s="152">
        <f t="shared" si="56"/>
        <v>6.93E-2</v>
      </c>
      <c r="Y917" s="152"/>
      <c r="Z917" s="148"/>
      <c r="AA917" s="153"/>
      <c r="AB917" s="153"/>
      <c r="AC917" s="153"/>
      <c r="AD917" s="153"/>
      <c r="AH917" s="147"/>
    </row>
    <row r="918" spans="1:34" s="146" customFormat="1" x14ac:dyDescent="0.25">
      <c r="A918" s="196">
        <v>2851</v>
      </c>
      <c r="B918" s="196" t="s">
        <v>5012</v>
      </c>
      <c r="C918" s="196" t="s">
        <v>5013</v>
      </c>
      <c r="D918" s="196" t="s">
        <v>1912</v>
      </c>
      <c r="E918" s="196"/>
      <c r="F918" s="196">
        <v>1988</v>
      </c>
      <c r="G918" s="196"/>
      <c r="H918" s="196" t="s">
        <v>1878</v>
      </c>
      <c r="I918" s="141" t="s">
        <v>1879</v>
      </c>
      <c r="J918" s="143" t="s">
        <v>3854</v>
      </c>
      <c r="K918" s="196" t="s">
        <v>1881</v>
      </c>
      <c r="L918" s="141" t="s">
        <v>5014</v>
      </c>
      <c r="M918" s="196">
        <v>704</v>
      </c>
      <c r="N918" s="196"/>
      <c r="O918" s="196" t="s">
        <v>4950</v>
      </c>
      <c r="P918" s="144">
        <v>478</v>
      </c>
      <c r="Q918" s="145">
        <f t="shared" si="55"/>
        <v>9.9992999999999999</v>
      </c>
      <c r="R918" s="203">
        <v>7.99</v>
      </c>
      <c r="S918" s="203"/>
      <c r="T918" s="151"/>
      <c r="U918" s="151">
        <v>1.2</v>
      </c>
      <c r="V918" s="151">
        <v>0.25</v>
      </c>
      <c r="W918" s="151">
        <f t="shared" si="54"/>
        <v>7.99</v>
      </c>
      <c r="X918" s="152">
        <f t="shared" si="56"/>
        <v>0.55930000000000002</v>
      </c>
      <c r="Y918" s="152"/>
      <c r="Z918" s="148"/>
      <c r="AA918" s="153"/>
      <c r="AB918" s="153"/>
      <c r="AC918" s="153"/>
      <c r="AD918" s="153"/>
      <c r="AH918" s="147"/>
    </row>
    <row r="919" spans="1:34" s="146" customFormat="1" x14ac:dyDescent="0.25">
      <c r="A919" s="196">
        <v>1809</v>
      </c>
      <c r="B919" s="196"/>
      <c r="C919" s="196" t="s">
        <v>5015</v>
      </c>
      <c r="D919" s="196" t="s">
        <v>2822</v>
      </c>
      <c r="E919" s="196"/>
      <c r="F919" s="196">
        <v>2005</v>
      </c>
      <c r="G919" s="196"/>
      <c r="H919" s="196" t="s">
        <v>1878</v>
      </c>
      <c r="I919" s="141" t="s">
        <v>1929</v>
      </c>
      <c r="J919" s="196"/>
      <c r="K919" s="196" t="s">
        <v>1881</v>
      </c>
      <c r="L919" s="141" t="s">
        <v>5016</v>
      </c>
      <c r="M919" s="196">
        <v>176</v>
      </c>
      <c r="N919" s="196"/>
      <c r="O919" s="196" t="s">
        <v>4951</v>
      </c>
      <c r="P919" s="144">
        <v>261</v>
      </c>
      <c r="Q919" s="145">
        <f t="shared" si="55"/>
        <v>1.9742999999999999</v>
      </c>
      <c r="R919" s="203">
        <v>0.49</v>
      </c>
      <c r="S919" s="203"/>
      <c r="T919" s="151"/>
      <c r="U919" s="151">
        <v>1.2</v>
      </c>
      <c r="V919" s="151">
        <v>0.25</v>
      </c>
      <c r="W919" s="151">
        <f t="shared" si="54"/>
        <v>0.49</v>
      </c>
      <c r="X919" s="152">
        <f t="shared" si="56"/>
        <v>3.4299999999999997E-2</v>
      </c>
      <c r="Y919" s="152"/>
      <c r="Z919" s="148"/>
      <c r="AA919" s="153"/>
      <c r="AB919" s="153"/>
      <c r="AC919" s="153"/>
      <c r="AD919" s="153"/>
      <c r="AH919" s="147"/>
    </row>
    <row r="920" spans="1:34" s="146" customFormat="1" x14ac:dyDescent="0.25">
      <c r="A920" s="196">
        <v>796</v>
      </c>
      <c r="B920" s="196" t="s">
        <v>5017</v>
      </c>
      <c r="C920" s="196" t="s">
        <v>5018</v>
      </c>
      <c r="D920" s="196" t="s">
        <v>1993</v>
      </c>
      <c r="E920" s="196" t="s">
        <v>1913</v>
      </c>
      <c r="F920" s="196">
        <v>2005</v>
      </c>
      <c r="G920" s="196"/>
      <c r="H920" s="196" t="s">
        <v>1878</v>
      </c>
      <c r="I920" s="141" t="s">
        <v>1914</v>
      </c>
      <c r="J920" s="196"/>
      <c r="K920" s="196" t="s">
        <v>1881</v>
      </c>
      <c r="L920" s="141" t="s">
        <v>5019</v>
      </c>
      <c r="M920" s="196">
        <v>448</v>
      </c>
      <c r="N920" s="196"/>
      <c r="O920" s="196" t="s">
        <v>4952</v>
      </c>
      <c r="P920" s="144">
        <v>344</v>
      </c>
      <c r="Q920" s="145">
        <f t="shared" si="55"/>
        <v>2.5093000000000001</v>
      </c>
      <c r="R920" s="203">
        <v>0.99</v>
      </c>
      <c r="S920" s="203"/>
      <c r="T920" s="151"/>
      <c r="U920" s="151">
        <v>1.2</v>
      </c>
      <c r="V920" s="151">
        <v>0.25</v>
      </c>
      <c r="W920" s="151">
        <f t="shared" si="54"/>
        <v>0.99</v>
      </c>
      <c r="X920" s="152">
        <f t="shared" si="56"/>
        <v>6.93E-2</v>
      </c>
      <c r="Y920" s="152"/>
      <c r="Z920" s="148"/>
      <c r="AA920" s="153"/>
      <c r="AB920" s="153"/>
      <c r="AC920" s="153"/>
      <c r="AD920" s="153"/>
      <c r="AH920" s="147"/>
    </row>
    <row r="921" spans="1:34" s="146" customFormat="1" x14ac:dyDescent="0.25">
      <c r="A921" s="196">
        <v>1809</v>
      </c>
      <c r="B921" s="196" t="s">
        <v>5020</v>
      </c>
      <c r="C921" s="196" t="s">
        <v>5021</v>
      </c>
      <c r="D921" s="196" t="s">
        <v>2402</v>
      </c>
      <c r="E921" s="196"/>
      <c r="F921" s="196">
        <v>1996</v>
      </c>
      <c r="G921" s="196"/>
      <c r="H921" s="196" t="s">
        <v>2734</v>
      </c>
      <c r="I921" s="141" t="s">
        <v>1879</v>
      </c>
      <c r="J921" s="196" t="s">
        <v>2237</v>
      </c>
      <c r="K921" s="196" t="s">
        <v>1881</v>
      </c>
      <c r="L921" s="141" t="s">
        <v>5022</v>
      </c>
      <c r="M921" s="196">
        <v>382</v>
      </c>
      <c r="N921" s="196"/>
      <c r="O921" s="196" t="s">
        <v>4953</v>
      </c>
      <c r="P921" s="144">
        <v>460</v>
      </c>
      <c r="Q921" s="145">
        <f t="shared" si="55"/>
        <v>1.9742999999999999</v>
      </c>
      <c r="R921" s="203">
        <v>0.49</v>
      </c>
      <c r="S921" s="203"/>
      <c r="T921" s="151"/>
      <c r="U921" s="151">
        <v>1.2</v>
      </c>
      <c r="V921" s="151">
        <v>0.25</v>
      </c>
      <c r="W921" s="151">
        <f t="shared" si="54"/>
        <v>0.49</v>
      </c>
      <c r="X921" s="152">
        <f t="shared" si="56"/>
        <v>3.4299999999999997E-2</v>
      </c>
      <c r="Y921" s="152"/>
      <c r="Z921" s="148"/>
      <c r="AA921" s="153"/>
      <c r="AB921" s="153"/>
      <c r="AC921" s="153"/>
      <c r="AD921" s="153"/>
      <c r="AH921" s="147"/>
    </row>
    <row r="922" spans="1:34" s="146" customFormat="1" x14ac:dyDescent="0.25">
      <c r="A922" s="196">
        <v>785</v>
      </c>
      <c r="B922" s="196" t="s">
        <v>5023</v>
      </c>
      <c r="C922" s="196" t="s">
        <v>5024</v>
      </c>
      <c r="D922" s="196" t="s">
        <v>4357</v>
      </c>
      <c r="E922" s="196" t="s">
        <v>2922</v>
      </c>
      <c r="F922" s="196">
        <v>2004</v>
      </c>
      <c r="G922" s="196"/>
      <c r="H922" s="196" t="s">
        <v>1878</v>
      </c>
      <c r="I922" s="141" t="s">
        <v>1879</v>
      </c>
      <c r="J922" s="196"/>
      <c r="K922" s="196" t="s">
        <v>1881</v>
      </c>
      <c r="L922" s="141" t="s">
        <v>5025</v>
      </c>
      <c r="M922" s="196">
        <v>176</v>
      </c>
      <c r="N922" s="196"/>
      <c r="O922" s="196" t="s">
        <v>4954</v>
      </c>
      <c r="P922" s="144">
        <v>162</v>
      </c>
      <c r="Q922" s="145">
        <f t="shared" si="55"/>
        <v>2.9373</v>
      </c>
      <c r="R922" s="203">
        <v>1.39</v>
      </c>
      <c r="S922" s="203"/>
      <c r="T922" s="151"/>
      <c r="U922" s="151">
        <v>1.2</v>
      </c>
      <c r="V922" s="151">
        <v>0.25</v>
      </c>
      <c r="W922" s="151">
        <f t="shared" si="54"/>
        <v>1.39</v>
      </c>
      <c r="X922" s="152">
        <f t="shared" si="56"/>
        <v>9.7299999999999998E-2</v>
      </c>
      <c r="Y922" s="152"/>
      <c r="Z922" s="148"/>
      <c r="AA922" s="153"/>
      <c r="AB922" s="153"/>
      <c r="AC922" s="153"/>
      <c r="AD922" s="153"/>
      <c r="AH922" s="147"/>
    </row>
    <row r="923" spans="1:34" s="146" customFormat="1" x14ac:dyDescent="0.25">
      <c r="A923" s="196">
        <v>718</v>
      </c>
      <c r="B923" s="196" t="s">
        <v>5026</v>
      </c>
      <c r="C923" s="196" t="s">
        <v>5027</v>
      </c>
      <c r="D923" s="196" t="s">
        <v>2054</v>
      </c>
      <c r="E923" s="196"/>
      <c r="F923" s="196">
        <v>2004</v>
      </c>
      <c r="G923" s="196"/>
      <c r="H923" s="196" t="s">
        <v>2734</v>
      </c>
      <c r="I923" s="141" t="s">
        <v>1929</v>
      </c>
      <c r="J923" s="196"/>
      <c r="K923" s="196" t="s">
        <v>1881</v>
      </c>
      <c r="L923" s="141" t="s">
        <v>5028</v>
      </c>
      <c r="M923" s="196">
        <v>130</v>
      </c>
      <c r="N923" s="196"/>
      <c r="O923" s="196" t="s">
        <v>4955</v>
      </c>
      <c r="P923" s="144">
        <v>420</v>
      </c>
      <c r="Q923" s="145">
        <f t="shared" si="55"/>
        <v>4.7563000000000004</v>
      </c>
      <c r="R923" s="203">
        <v>3.09</v>
      </c>
      <c r="S923" s="203"/>
      <c r="T923" s="151"/>
      <c r="U923" s="151">
        <v>1.2</v>
      </c>
      <c r="V923" s="151">
        <v>0.25</v>
      </c>
      <c r="W923" s="151">
        <f t="shared" ref="W923:W985" si="57">IF(R923&gt;T923,R923,T923)</f>
        <v>3.09</v>
      </c>
      <c r="X923" s="152">
        <f t="shared" si="56"/>
        <v>0.21629999999999999</v>
      </c>
      <c r="Y923" s="152"/>
      <c r="Z923" s="148"/>
      <c r="AA923" s="153"/>
      <c r="AB923" s="153"/>
      <c r="AC923" s="153"/>
      <c r="AD923" s="153"/>
      <c r="AH923" s="147"/>
    </row>
    <row r="924" spans="1:34" s="146" customFormat="1" x14ac:dyDescent="0.25">
      <c r="A924" s="196">
        <v>1984</v>
      </c>
      <c r="B924" s="196" t="s">
        <v>2793</v>
      </c>
      <c r="C924" s="196" t="s">
        <v>5029</v>
      </c>
      <c r="D924" s="196" t="s">
        <v>2054</v>
      </c>
      <c r="E924" s="196"/>
      <c r="F924" s="196"/>
      <c r="G924" s="196"/>
      <c r="H924" s="196" t="s">
        <v>2734</v>
      </c>
      <c r="I924" s="141" t="s">
        <v>1929</v>
      </c>
      <c r="J924" s="196"/>
      <c r="K924" s="196" t="s">
        <v>1881</v>
      </c>
      <c r="L924" s="141" t="s">
        <v>5030</v>
      </c>
      <c r="M924" s="196">
        <v>76</v>
      </c>
      <c r="N924" s="196"/>
      <c r="O924" s="196" t="s">
        <v>4956</v>
      </c>
      <c r="P924" s="144">
        <v>236</v>
      </c>
      <c r="Q924" s="145">
        <f t="shared" si="55"/>
        <v>3.3653000000000004</v>
      </c>
      <c r="R924" s="203">
        <v>1.79</v>
      </c>
      <c r="S924" s="203"/>
      <c r="T924" s="151"/>
      <c r="U924" s="151">
        <v>1.2</v>
      </c>
      <c r="V924" s="151">
        <v>0.25</v>
      </c>
      <c r="W924" s="151">
        <f t="shared" si="57"/>
        <v>1.79</v>
      </c>
      <c r="X924" s="152">
        <f t="shared" si="56"/>
        <v>0.12529999999999999</v>
      </c>
      <c r="Y924" s="152"/>
      <c r="Z924" s="148"/>
      <c r="AA924" s="153"/>
      <c r="AB924" s="153"/>
      <c r="AC924" s="153"/>
      <c r="AD924" s="153"/>
      <c r="AH924" s="147"/>
    </row>
    <row r="925" spans="1:34" s="146" customFormat="1" x14ac:dyDescent="0.25">
      <c r="A925" s="196">
        <v>690</v>
      </c>
      <c r="B925" s="196" t="s">
        <v>4593</v>
      </c>
      <c r="C925" s="196" t="s">
        <v>5031</v>
      </c>
      <c r="D925" s="196" t="s">
        <v>1979</v>
      </c>
      <c r="E925" s="196"/>
      <c r="F925" s="196">
        <v>2003</v>
      </c>
      <c r="G925" s="196"/>
      <c r="H925" s="196" t="s">
        <v>1878</v>
      </c>
      <c r="I925" s="141" t="s">
        <v>1879</v>
      </c>
      <c r="J925" s="196"/>
      <c r="K925" s="196" t="s">
        <v>1881</v>
      </c>
      <c r="L925" s="141" t="s">
        <v>5032</v>
      </c>
      <c r="M925" s="196">
        <v>128</v>
      </c>
      <c r="N925" s="196"/>
      <c r="O925" s="196" t="s">
        <v>4957</v>
      </c>
      <c r="P925" s="144">
        <v>140</v>
      </c>
      <c r="Q925" s="145">
        <f t="shared" si="55"/>
        <v>2.5093000000000001</v>
      </c>
      <c r="R925" s="203">
        <v>0.99</v>
      </c>
      <c r="S925" s="203"/>
      <c r="T925" s="151"/>
      <c r="U925" s="151">
        <v>1.2</v>
      </c>
      <c r="V925" s="151">
        <v>0.25</v>
      </c>
      <c r="W925" s="151">
        <f t="shared" si="57"/>
        <v>0.99</v>
      </c>
      <c r="X925" s="152">
        <f t="shared" si="56"/>
        <v>6.93E-2</v>
      </c>
      <c r="Y925" s="152"/>
      <c r="Z925" s="148"/>
      <c r="AA925" s="153"/>
      <c r="AB925" s="153"/>
      <c r="AC925" s="153"/>
      <c r="AD925" s="153"/>
      <c r="AH925" s="147"/>
    </row>
    <row r="926" spans="1:34" s="146" customFormat="1" x14ac:dyDescent="0.25">
      <c r="A926" s="196">
        <v>2547</v>
      </c>
      <c r="B926" s="196" t="s">
        <v>5033</v>
      </c>
      <c r="C926" s="196" t="s">
        <v>5034</v>
      </c>
      <c r="D926" s="196" t="s">
        <v>1988</v>
      </c>
      <c r="E926" s="196" t="s">
        <v>5035</v>
      </c>
      <c r="F926" s="196">
        <v>2003</v>
      </c>
      <c r="G926" s="196"/>
      <c r="H926" s="196" t="s">
        <v>1878</v>
      </c>
      <c r="I926" s="141" t="s">
        <v>1879</v>
      </c>
      <c r="J926" s="196" t="s">
        <v>5036</v>
      </c>
      <c r="K926" s="196" t="s">
        <v>1881</v>
      </c>
      <c r="L926" s="141" t="s">
        <v>5037</v>
      </c>
      <c r="M926" s="196">
        <v>336</v>
      </c>
      <c r="N926" s="196"/>
      <c r="O926" s="196" t="s">
        <v>4958</v>
      </c>
      <c r="P926" s="144">
        <v>243</v>
      </c>
      <c r="Q926" s="145">
        <f t="shared" si="55"/>
        <v>1.9742999999999999</v>
      </c>
      <c r="R926" s="203">
        <v>0.49</v>
      </c>
      <c r="S926" s="203"/>
      <c r="T926" s="151"/>
      <c r="U926" s="151">
        <v>1.2</v>
      </c>
      <c r="V926" s="151">
        <v>0.25</v>
      </c>
      <c r="W926" s="151">
        <f t="shared" si="57"/>
        <v>0.49</v>
      </c>
      <c r="X926" s="152">
        <f t="shared" si="56"/>
        <v>3.4299999999999997E-2</v>
      </c>
      <c r="Y926" s="152"/>
      <c r="Z926" s="148"/>
      <c r="AA926" s="153"/>
      <c r="AB926" s="153"/>
      <c r="AC926" s="153"/>
      <c r="AD926" s="153"/>
      <c r="AH926" s="147"/>
    </row>
    <row r="927" spans="1:34" s="146" customFormat="1" x14ac:dyDescent="0.25">
      <c r="A927" s="196">
        <v>796</v>
      </c>
      <c r="B927" s="196" t="s">
        <v>5038</v>
      </c>
      <c r="C927" s="196" t="s">
        <v>5039</v>
      </c>
      <c r="D927" s="196" t="s">
        <v>2257</v>
      </c>
      <c r="E927" s="196"/>
      <c r="F927" s="196">
        <v>2006</v>
      </c>
      <c r="G927" s="196"/>
      <c r="H927" s="196" t="s">
        <v>1878</v>
      </c>
      <c r="I927" s="141" t="s">
        <v>1879</v>
      </c>
      <c r="J927" s="143" t="s">
        <v>3854</v>
      </c>
      <c r="K927" s="196" t="s">
        <v>1881</v>
      </c>
      <c r="L927" s="141" t="s">
        <v>5040</v>
      </c>
      <c r="M927" s="196">
        <v>176</v>
      </c>
      <c r="N927" s="196"/>
      <c r="O927" s="196" t="s">
        <v>4959</v>
      </c>
      <c r="P927" s="144">
        <v>142</v>
      </c>
      <c r="Q927" s="145">
        <f t="shared" si="55"/>
        <v>1.9742999999999999</v>
      </c>
      <c r="R927" s="203">
        <v>0.49</v>
      </c>
      <c r="S927" s="203"/>
      <c r="T927" s="151"/>
      <c r="U927" s="151">
        <v>1.2</v>
      </c>
      <c r="V927" s="151">
        <v>0.25</v>
      </c>
      <c r="W927" s="151">
        <f t="shared" si="57"/>
        <v>0.49</v>
      </c>
      <c r="X927" s="152">
        <f t="shared" si="56"/>
        <v>3.4299999999999997E-2</v>
      </c>
      <c r="Y927" s="152"/>
      <c r="Z927" s="148"/>
      <c r="AA927" s="153"/>
      <c r="AB927" s="153"/>
      <c r="AC927" s="153"/>
      <c r="AD927" s="153"/>
      <c r="AH927" s="147"/>
    </row>
    <row r="928" spans="1:34" s="146" customFormat="1" x14ac:dyDescent="0.25">
      <c r="A928" s="196">
        <v>1339</v>
      </c>
      <c r="B928" s="196" t="s">
        <v>5041</v>
      </c>
      <c r="C928" s="196" t="s">
        <v>5042</v>
      </c>
      <c r="D928" s="196"/>
      <c r="E928" s="196"/>
      <c r="F928" s="196">
        <v>2003</v>
      </c>
      <c r="G928" s="196"/>
      <c r="H928" s="196" t="s">
        <v>1878</v>
      </c>
      <c r="I928" s="141" t="s">
        <v>1929</v>
      </c>
      <c r="J928" s="196"/>
      <c r="K928" s="196" t="s">
        <v>1881</v>
      </c>
      <c r="L928" s="141" t="s">
        <v>5043</v>
      </c>
      <c r="M928" s="196">
        <v>160</v>
      </c>
      <c r="N928" s="196"/>
      <c r="O928" s="196" t="s">
        <v>4960</v>
      </c>
      <c r="P928" s="144">
        <v>282</v>
      </c>
      <c r="Q928" s="145">
        <f t="shared" si="55"/>
        <v>2.7232999999999996</v>
      </c>
      <c r="R928" s="203">
        <v>1.19</v>
      </c>
      <c r="S928" s="203"/>
      <c r="T928" s="151"/>
      <c r="U928" s="151">
        <v>1.2</v>
      </c>
      <c r="V928" s="151">
        <v>0.25</v>
      </c>
      <c r="W928" s="151">
        <f t="shared" si="57"/>
        <v>1.19</v>
      </c>
      <c r="X928" s="152">
        <f t="shared" si="56"/>
        <v>8.3299999999999999E-2</v>
      </c>
      <c r="Y928" s="152"/>
      <c r="Z928" s="148"/>
      <c r="AA928" s="153"/>
      <c r="AB928" s="153"/>
      <c r="AC928" s="153"/>
      <c r="AD928" s="153"/>
      <c r="AH928" s="147"/>
    </row>
    <row r="929" spans="1:34" s="146" customFormat="1" x14ac:dyDescent="0.25">
      <c r="A929" s="196">
        <v>632</v>
      </c>
      <c r="B929" s="196" t="s">
        <v>5044</v>
      </c>
      <c r="C929" s="196" t="s">
        <v>5045</v>
      </c>
      <c r="D929" s="196" t="s">
        <v>2309</v>
      </c>
      <c r="E929" s="196"/>
      <c r="F929" s="196">
        <v>2000</v>
      </c>
      <c r="G929" s="196"/>
      <c r="H929" s="196" t="s">
        <v>1878</v>
      </c>
      <c r="I929" s="141" t="s">
        <v>1879</v>
      </c>
      <c r="J929" s="196"/>
      <c r="K929" s="196" t="s">
        <v>1881</v>
      </c>
      <c r="L929" s="141" t="s">
        <v>5046</v>
      </c>
      <c r="M929" s="196">
        <v>480</v>
      </c>
      <c r="N929" s="196"/>
      <c r="O929" s="196" t="s">
        <v>4961</v>
      </c>
      <c r="P929" s="144">
        <v>310</v>
      </c>
      <c r="Q929" s="145">
        <f t="shared" si="55"/>
        <v>1.9742999999999999</v>
      </c>
      <c r="R929" s="203">
        <v>0.49</v>
      </c>
      <c r="S929" s="203"/>
      <c r="T929" s="151"/>
      <c r="U929" s="151">
        <v>1.2</v>
      </c>
      <c r="V929" s="151">
        <v>0.25</v>
      </c>
      <c r="W929" s="151">
        <f t="shared" si="57"/>
        <v>0.49</v>
      </c>
      <c r="X929" s="152">
        <f t="shared" si="56"/>
        <v>3.4299999999999997E-2</v>
      </c>
      <c r="Y929" s="152"/>
      <c r="Z929" s="148"/>
      <c r="AA929" s="153"/>
      <c r="AB929" s="153"/>
      <c r="AC929" s="153"/>
      <c r="AD929" s="153"/>
      <c r="AH929" s="147"/>
    </row>
    <row r="930" spans="1:34" s="146" customFormat="1" x14ac:dyDescent="0.25">
      <c r="A930" s="196">
        <v>2522</v>
      </c>
      <c r="B930" s="196" t="s">
        <v>5047</v>
      </c>
      <c r="C930" s="196" t="s">
        <v>5048</v>
      </c>
      <c r="D930" s="196" t="s">
        <v>2209</v>
      </c>
      <c r="E930" s="196"/>
      <c r="F930" s="196">
        <v>1997</v>
      </c>
      <c r="G930" s="196"/>
      <c r="H930" s="196" t="s">
        <v>1878</v>
      </c>
      <c r="I930" s="141" t="s">
        <v>1879</v>
      </c>
      <c r="J930" s="196"/>
      <c r="K930" s="196" t="s">
        <v>1881</v>
      </c>
      <c r="L930" s="141" t="s">
        <v>5049</v>
      </c>
      <c r="M930" s="196">
        <v>608</v>
      </c>
      <c r="N930" s="196"/>
      <c r="O930" s="196" t="s">
        <v>4962</v>
      </c>
      <c r="P930" s="144">
        <v>346</v>
      </c>
      <c r="Q930" s="145">
        <f t="shared" si="55"/>
        <v>2.6162999999999998</v>
      </c>
      <c r="R930" s="203">
        <v>1.0900000000000001</v>
      </c>
      <c r="S930" s="203"/>
      <c r="T930" s="151"/>
      <c r="U930" s="151">
        <v>1.2</v>
      </c>
      <c r="V930" s="151">
        <v>0.25</v>
      </c>
      <c r="W930" s="151">
        <f t="shared" si="57"/>
        <v>1.0900000000000001</v>
      </c>
      <c r="X930" s="152">
        <f t="shared" si="56"/>
        <v>7.6300000000000007E-2</v>
      </c>
      <c r="Y930" s="152"/>
      <c r="Z930" s="148"/>
      <c r="AA930" s="153"/>
      <c r="AB930" s="153"/>
      <c r="AC930" s="153"/>
      <c r="AD930" s="153"/>
      <c r="AH930" s="147"/>
    </row>
    <row r="931" spans="1:34" s="146" customFormat="1" x14ac:dyDescent="0.25">
      <c r="A931" s="196">
        <v>632</v>
      </c>
      <c r="B931" s="196" t="s">
        <v>2870</v>
      </c>
      <c r="C931" s="196" t="s">
        <v>5050</v>
      </c>
      <c r="D931" s="196" t="s">
        <v>2609</v>
      </c>
      <c r="E931" s="196"/>
      <c r="F931" s="196">
        <v>1988</v>
      </c>
      <c r="G931" s="196"/>
      <c r="H931" s="196" t="s">
        <v>2734</v>
      </c>
      <c r="I931" s="141" t="s">
        <v>1879</v>
      </c>
      <c r="J931" s="196"/>
      <c r="K931" s="196" t="s">
        <v>1881</v>
      </c>
      <c r="L931" s="141"/>
      <c r="M931" s="196">
        <v>642</v>
      </c>
      <c r="N931" s="196"/>
      <c r="O931" s="196" t="s">
        <v>4963</v>
      </c>
      <c r="P931" s="144">
        <v>753</v>
      </c>
      <c r="Q931" s="145">
        <f t="shared" si="55"/>
        <v>2.4742999999999999</v>
      </c>
      <c r="R931" s="203">
        <v>0.49</v>
      </c>
      <c r="S931" s="203"/>
      <c r="T931" s="151"/>
      <c r="U931" s="151">
        <v>1.7</v>
      </c>
      <c r="V931" s="151">
        <v>0.25</v>
      </c>
      <c r="W931" s="151">
        <f t="shared" si="57"/>
        <v>0.49</v>
      </c>
      <c r="X931" s="152">
        <f t="shared" si="56"/>
        <v>3.4299999999999997E-2</v>
      </c>
      <c r="Y931" s="152"/>
      <c r="Z931" s="148"/>
      <c r="AA931" s="153"/>
      <c r="AB931" s="153"/>
      <c r="AC931" s="153"/>
      <c r="AD931" s="153"/>
      <c r="AH931" s="147"/>
    </row>
    <row r="932" spans="1:34" s="146" customFormat="1" x14ac:dyDescent="0.25">
      <c r="A932" s="196">
        <v>1386</v>
      </c>
      <c r="B932" s="196" t="s">
        <v>5051</v>
      </c>
      <c r="C932" s="196" t="s">
        <v>5052</v>
      </c>
      <c r="D932" s="196" t="s">
        <v>4517</v>
      </c>
      <c r="E932" s="196" t="s">
        <v>1913</v>
      </c>
      <c r="F932" s="196">
        <v>2014</v>
      </c>
      <c r="G932" s="196"/>
      <c r="H932" s="196" t="s">
        <v>1878</v>
      </c>
      <c r="I932" s="141" t="s">
        <v>1929</v>
      </c>
      <c r="J932" s="196"/>
      <c r="K932" s="196" t="s">
        <v>1881</v>
      </c>
      <c r="L932" s="141" t="s">
        <v>5053</v>
      </c>
      <c r="M932" s="196">
        <v>208</v>
      </c>
      <c r="N932" s="196"/>
      <c r="O932" s="196" t="s">
        <v>4964</v>
      </c>
      <c r="P932" s="144">
        <v>176</v>
      </c>
      <c r="Q932" s="145">
        <f t="shared" si="55"/>
        <v>2.9373</v>
      </c>
      <c r="R932" s="203">
        <v>1.39</v>
      </c>
      <c r="S932" s="203"/>
      <c r="T932" s="151"/>
      <c r="U932" s="151">
        <v>1.2</v>
      </c>
      <c r="V932" s="151">
        <v>0.25</v>
      </c>
      <c r="W932" s="151">
        <f t="shared" si="57"/>
        <v>1.39</v>
      </c>
      <c r="X932" s="152">
        <f t="shared" si="56"/>
        <v>9.7299999999999998E-2</v>
      </c>
      <c r="Y932" s="152"/>
      <c r="Z932" s="148"/>
      <c r="AA932" s="153"/>
      <c r="AB932" s="153"/>
      <c r="AC932" s="153"/>
      <c r="AD932" s="153"/>
      <c r="AH932" s="147"/>
    </row>
    <row r="933" spans="1:34" s="146" customFormat="1" x14ac:dyDescent="0.25">
      <c r="A933" s="196">
        <v>8</v>
      </c>
      <c r="B933" s="196" t="s">
        <v>5054</v>
      </c>
      <c r="C933" s="196" t="s">
        <v>5055</v>
      </c>
      <c r="D933" s="196" t="s">
        <v>2901</v>
      </c>
      <c r="E933" s="196"/>
      <c r="F933" s="196"/>
      <c r="G933" s="196"/>
      <c r="H933" s="196" t="s">
        <v>2734</v>
      </c>
      <c r="I933" s="141" t="s">
        <v>1879</v>
      </c>
      <c r="J933" s="196" t="s">
        <v>2237</v>
      </c>
      <c r="K933" s="196" t="s">
        <v>1881</v>
      </c>
      <c r="L933" s="141" t="s">
        <v>5056</v>
      </c>
      <c r="M933" s="196">
        <v>282</v>
      </c>
      <c r="N933" s="196"/>
      <c r="O933" s="196" t="s">
        <v>4965</v>
      </c>
      <c r="P933" s="144">
        <v>496</v>
      </c>
      <c r="Q933" s="145">
        <f t="shared" si="55"/>
        <v>4.0792999999999999</v>
      </c>
      <c r="R933" s="203">
        <v>1.99</v>
      </c>
      <c r="S933" s="203"/>
      <c r="T933" s="151"/>
      <c r="U933" s="151">
        <v>1.7</v>
      </c>
      <c r="V933" s="151">
        <v>0.25</v>
      </c>
      <c r="W933" s="151">
        <f t="shared" si="57"/>
        <v>1.99</v>
      </c>
      <c r="X933" s="152">
        <f t="shared" si="56"/>
        <v>0.13930000000000001</v>
      </c>
      <c r="Y933" s="152"/>
      <c r="Z933" s="148"/>
      <c r="AA933" s="153"/>
      <c r="AB933" s="153"/>
      <c r="AC933" s="153"/>
      <c r="AD933" s="153"/>
      <c r="AH933" s="147"/>
    </row>
    <row r="934" spans="1:34" s="146" customFormat="1" x14ac:dyDescent="0.25">
      <c r="A934" s="196">
        <v>690</v>
      </c>
      <c r="B934" s="196" t="s">
        <v>5057</v>
      </c>
      <c r="C934" s="196" t="s">
        <v>5058</v>
      </c>
      <c r="D934" s="196" t="s">
        <v>3022</v>
      </c>
      <c r="E934" s="196"/>
      <c r="F934" s="196">
        <v>1997</v>
      </c>
      <c r="G934" s="196"/>
      <c r="H934" s="196" t="s">
        <v>2734</v>
      </c>
      <c r="I934" s="141" t="s">
        <v>1879</v>
      </c>
      <c r="J934" s="196" t="s">
        <v>2237</v>
      </c>
      <c r="K934" s="196" t="s">
        <v>1881</v>
      </c>
      <c r="L934" s="141" t="s">
        <v>5059</v>
      </c>
      <c r="M934" s="196">
        <v>218</v>
      </c>
      <c r="N934" s="196"/>
      <c r="O934" s="196" t="s">
        <v>4966</v>
      </c>
      <c r="P934" s="144">
        <v>434</v>
      </c>
      <c r="Q934" s="145">
        <f t="shared" si="55"/>
        <v>3.6863000000000001</v>
      </c>
      <c r="R934" s="203">
        <v>2.09</v>
      </c>
      <c r="S934" s="203"/>
      <c r="T934" s="151"/>
      <c r="U934" s="151">
        <v>1.2</v>
      </c>
      <c r="V934" s="151">
        <v>0.25</v>
      </c>
      <c r="W934" s="151">
        <f t="shared" si="57"/>
        <v>2.09</v>
      </c>
      <c r="X934" s="152">
        <f t="shared" si="56"/>
        <v>0.14629999999999999</v>
      </c>
      <c r="Y934" s="152"/>
      <c r="Z934" s="148"/>
      <c r="AA934" s="153"/>
      <c r="AB934" s="153"/>
      <c r="AC934" s="153"/>
      <c r="AD934" s="153"/>
      <c r="AH934" s="147"/>
    </row>
    <row r="935" spans="1:34" s="146" customFormat="1" x14ac:dyDescent="0.25">
      <c r="A935" s="196">
        <v>2851</v>
      </c>
      <c r="B935" s="196" t="s">
        <v>5060</v>
      </c>
      <c r="C935" s="196" t="s">
        <v>5061</v>
      </c>
      <c r="D935" s="196" t="s">
        <v>5005</v>
      </c>
      <c r="E935" s="196" t="s">
        <v>2032</v>
      </c>
      <c r="F935" s="196">
        <v>1998</v>
      </c>
      <c r="G935" s="196"/>
      <c r="H935" s="196" t="s">
        <v>2734</v>
      </c>
      <c r="I935" s="141" t="s">
        <v>1879</v>
      </c>
      <c r="J935" s="196" t="s">
        <v>2237</v>
      </c>
      <c r="K935" s="196" t="s">
        <v>1881</v>
      </c>
      <c r="L935" s="141" t="s">
        <v>5062</v>
      </c>
      <c r="M935" s="196">
        <v>418</v>
      </c>
      <c r="N935" s="196"/>
      <c r="O935" s="196" t="s">
        <v>4967</v>
      </c>
      <c r="P935" s="144">
        <v>648</v>
      </c>
      <c r="Q935" s="145">
        <f t="shared" si="55"/>
        <v>2.6882999999999995</v>
      </c>
      <c r="R935" s="203">
        <v>0.69</v>
      </c>
      <c r="S935" s="203"/>
      <c r="T935" s="151"/>
      <c r="U935" s="151">
        <v>1.7</v>
      </c>
      <c r="V935" s="151">
        <v>0.25</v>
      </c>
      <c r="W935" s="151">
        <f t="shared" si="57"/>
        <v>0.69</v>
      </c>
      <c r="X935" s="152">
        <f t="shared" si="56"/>
        <v>4.8299999999999996E-2</v>
      </c>
      <c r="Y935" s="152"/>
      <c r="Z935" s="148"/>
      <c r="AA935" s="153"/>
      <c r="AB935" s="153"/>
      <c r="AC935" s="153"/>
      <c r="AD935" s="153"/>
      <c r="AH935" s="147"/>
    </row>
    <row r="936" spans="1:34" s="146" customFormat="1" x14ac:dyDescent="0.25">
      <c r="A936" s="196">
        <v>1386</v>
      </c>
      <c r="B936" s="196" t="s">
        <v>4638</v>
      </c>
      <c r="C936" s="196" t="s">
        <v>5063</v>
      </c>
      <c r="D936" s="196" t="s">
        <v>2926</v>
      </c>
      <c r="E936" s="196" t="s">
        <v>2518</v>
      </c>
      <c r="F936" s="196">
        <v>2010</v>
      </c>
      <c r="G936" s="196"/>
      <c r="H936" s="196" t="s">
        <v>1878</v>
      </c>
      <c r="I936" s="141" t="s">
        <v>1879</v>
      </c>
      <c r="J936" s="196"/>
      <c r="K936" s="196" t="s">
        <v>1881</v>
      </c>
      <c r="L936" s="141" t="s">
        <v>5064</v>
      </c>
      <c r="M936" s="196">
        <v>320</v>
      </c>
      <c r="N936" s="196"/>
      <c r="O936" s="196" t="s">
        <v>4968</v>
      </c>
      <c r="P936" s="144">
        <v>455</v>
      </c>
      <c r="Q936" s="145">
        <f t="shared" si="55"/>
        <v>1.9742999999999999</v>
      </c>
      <c r="R936" s="203">
        <v>0.49</v>
      </c>
      <c r="S936" s="203"/>
      <c r="T936" s="151"/>
      <c r="U936" s="151">
        <v>1.2</v>
      </c>
      <c r="V936" s="151">
        <v>0.25</v>
      </c>
      <c r="W936" s="151">
        <f t="shared" si="57"/>
        <v>0.49</v>
      </c>
      <c r="X936" s="152">
        <f t="shared" si="56"/>
        <v>3.4299999999999997E-2</v>
      </c>
      <c r="Y936" s="152"/>
      <c r="Z936" s="148"/>
      <c r="AA936" s="153"/>
      <c r="AB936" s="153"/>
      <c r="AC936" s="153"/>
      <c r="AD936" s="153"/>
      <c r="AH936" s="147"/>
    </row>
    <row r="937" spans="1:34" s="146" customFormat="1" x14ac:dyDescent="0.25">
      <c r="A937" s="196">
        <v>1231</v>
      </c>
      <c r="B937" s="196" t="s">
        <v>5065</v>
      </c>
      <c r="C937" s="196" t="s">
        <v>5066</v>
      </c>
      <c r="D937" s="196" t="s">
        <v>2244</v>
      </c>
      <c r="E937" s="196" t="s">
        <v>1877</v>
      </c>
      <c r="F937" s="196">
        <v>2008</v>
      </c>
      <c r="G937" s="196"/>
      <c r="H937" s="196" t="s">
        <v>2734</v>
      </c>
      <c r="I937" s="141" t="s">
        <v>1879</v>
      </c>
      <c r="J937" s="196" t="s">
        <v>2237</v>
      </c>
      <c r="K937" s="196" t="s">
        <v>1881</v>
      </c>
      <c r="L937" s="141" t="s">
        <v>5067</v>
      </c>
      <c r="M937" s="196">
        <v>322</v>
      </c>
      <c r="N937" s="196"/>
      <c r="O937" s="196" t="s">
        <v>4969</v>
      </c>
      <c r="P937" s="144">
        <v>482</v>
      </c>
      <c r="Q937" s="145">
        <f t="shared" si="55"/>
        <v>2.4022999999999999</v>
      </c>
      <c r="R937" s="203">
        <v>0.89</v>
      </c>
      <c r="S937" s="203"/>
      <c r="T937" s="151"/>
      <c r="U937" s="151">
        <v>1.2</v>
      </c>
      <c r="V937" s="151">
        <v>0.25</v>
      </c>
      <c r="W937" s="151">
        <f t="shared" si="57"/>
        <v>0.89</v>
      </c>
      <c r="X937" s="152">
        <f t="shared" si="56"/>
        <v>6.2300000000000001E-2</v>
      </c>
      <c r="Y937" s="152"/>
      <c r="Z937" s="148"/>
      <c r="AA937" s="153"/>
      <c r="AB937" s="153"/>
      <c r="AC937" s="153"/>
      <c r="AD937" s="153"/>
      <c r="AH937" s="147"/>
    </row>
    <row r="938" spans="1:34" s="146" customFormat="1" x14ac:dyDescent="0.25">
      <c r="A938" s="196">
        <v>631</v>
      </c>
      <c r="B938" s="196" t="s">
        <v>5068</v>
      </c>
      <c r="C938" s="196" t="s">
        <v>5069</v>
      </c>
      <c r="D938" s="196" t="s">
        <v>1095</v>
      </c>
      <c r="E938" s="196" t="s">
        <v>2518</v>
      </c>
      <c r="F938" s="196">
        <v>2000</v>
      </c>
      <c r="G938" s="196"/>
      <c r="H938" s="196" t="s">
        <v>2734</v>
      </c>
      <c r="I938" s="141" t="s">
        <v>1879</v>
      </c>
      <c r="J938" s="196" t="s">
        <v>2237</v>
      </c>
      <c r="K938" s="196" t="s">
        <v>1881</v>
      </c>
      <c r="L938" s="141" t="s">
        <v>5070</v>
      </c>
      <c r="M938" s="196">
        <v>370</v>
      </c>
      <c r="N938" s="196"/>
      <c r="O938" s="196" t="s">
        <v>4970</v>
      </c>
      <c r="P938" s="144">
        <v>590</v>
      </c>
      <c r="Q938" s="145">
        <f t="shared" si="55"/>
        <v>2.4742999999999999</v>
      </c>
      <c r="R938" s="203">
        <v>0.49</v>
      </c>
      <c r="S938" s="203"/>
      <c r="T938" s="151"/>
      <c r="U938" s="151">
        <v>1.7</v>
      </c>
      <c r="V938" s="151">
        <v>0.25</v>
      </c>
      <c r="W938" s="151">
        <f t="shared" si="57"/>
        <v>0.49</v>
      </c>
      <c r="X938" s="152">
        <f t="shared" si="56"/>
        <v>3.4299999999999997E-2</v>
      </c>
      <c r="Y938" s="152"/>
      <c r="Z938" s="148"/>
      <c r="AA938" s="153"/>
      <c r="AB938" s="153"/>
      <c r="AC938" s="153"/>
      <c r="AD938" s="153"/>
      <c r="AH938" s="147"/>
    </row>
    <row r="939" spans="1:34" s="146" customFormat="1" x14ac:dyDescent="0.25">
      <c r="A939" s="196">
        <v>692</v>
      </c>
      <c r="B939" s="196" t="s">
        <v>5071</v>
      </c>
      <c r="C939" s="196" t="s">
        <v>5069</v>
      </c>
      <c r="D939" s="196" t="s">
        <v>2609</v>
      </c>
      <c r="E939" s="196"/>
      <c r="F939" s="196">
        <v>1991</v>
      </c>
      <c r="G939" s="196"/>
      <c r="H939" s="196" t="s">
        <v>2734</v>
      </c>
      <c r="I939" s="141" t="s">
        <v>1879</v>
      </c>
      <c r="J939" s="196" t="s">
        <v>2237</v>
      </c>
      <c r="K939" s="196" t="s">
        <v>1881</v>
      </c>
      <c r="L939" s="141" t="s">
        <v>5072</v>
      </c>
      <c r="M939" s="196">
        <v>330</v>
      </c>
      <c r="N939" s="196"/>
      <c r="O939" s="196" t="s">
        <v>4971</v>
      </c>
      <c r="P939" s="144">
        <v>405</v>
      </c>
      <c r="Q939" s="145">
        <f t="shared" si="55"/>
        <v>2.5093000000000001</v>
      </c>
      <c r="R939" s="203">
        <v>0.99</v>
      </c>
      <c r="S939" s="203"/>
      <c r="T939" s="151"/>
      <c r="U939" s="151">
        <v>1.2</v>
      </c>
      <c r="V939" s="151">
        <v>0.25</v>
      </c>
      <c r="W939" s="151">
        <f t="shared" si="57"/>
        <v>0.99</v>
      </c>
      <c r="X939" s="152">
        <f t="shared" si="56"/>
        <v>6.93E-2</v>
      </c>
      <c r="Y939" s="152"/>
      <c r="Z939" s="148"/>
      <c r="AA939" s="153"/>
      <c r="AB939" s="153"/>
      <c r="AC939" s="153"/>
      <c r="AD939" s="153"/>
      <c r="AH939" s="147"/>
    </row>
    <row r="940" spans="1:34" s="146" customFormat="1" x14ac:dyDescent="0.25">
      <c r="A940" s="196">
        <v>1386</v>
      </c>
      <c r="B940" s="196" t="s">
        <v>5075</v>
      </c>
      <c r="C940" s="196" t="s">
        <v>5076</v>
      </c>
      <c r="D940" s="196" t="s">
        <v>1912</v>
      </c>
      <c r="E940" s="196" t="s">
        <v>2375</v>
      </c>
      <c r="F940" s="196">
        <v>2003</v>
      </c>
      <c r="G940" s="196"/>
      <c r="H940" s="196" t="s">
        <v>1878</v>
      </c>
      <c r="I940" s="141" t="s">
        <v>1879</v>
      </c>
      <c r="J940" s="196"/>
      <c r="K940" s="196" t="s">
        <v>1881</v>
      </c>
      <c r="L940" s="141" t="s">
        <v>5077</v>
      </c>
      <c r="M940" s="196">
        <v>288</v>
      </c>
      <c r="N940" s="196"/>
      <c r="O940" s="196" t="s">
        <v>4973</v>
      </c>
      <c r="P940" s="144">
        <v>256</v>
      </c>
      <c r="Q940" s="145">
        <f t="shared" si="55"/>
        <v>1.7175</v>
      </c>
      <c r="R940" s="203">
        <v>0.25</v>
      </c>
      <c r="S940" s="203"/>
      <c r="T940" s="151"/>
      <c r="U940" s="151">
        <v>1.2</v>
      </c>
      <c r="V940" s="151">
        <v>0.25</v>
      </c>
      <c r="W940" s="151">
        <f t="shared" si="57"/>
        <v>0.25</v>
      </c>
      <c r="X940" s="152">
        <f t="shared" si="56"/>
        <v>1.7500000000000002E-2</v>
      </c>
      <c r="Y940" s="152"/>
      <c r="Z940" s="148"/>
      <c r="AA940" s="153"/>
      <c r="AB940" s="153"/>
      <c r="AC940" s="153"/>
      <c r="AD940" s="153"/>
      <c r="AH940" s="147"/>
    </row>
    <row r="941" spans="1:34" s="146" customFormat="1" x14ac:dyDescent="0.25">
      <c r="A941" s="196">
        <v>2522</v>
      </c>
      <c r="B941" s="196" t="s">
        <v>5078</v>
      </c>
      <c r="C941" s="196" t="s">
        <v>5079</v>
      </c>
      <c r="D941" s="196" t="s">
        <v>1912</v>
      </c>
      <c r="E941" s="196"/>
      <c r="F941" s="196">
        <v>1982</v>
      </c>
      <c r="G941" s="196"/>
      <c r="H941" s="196" t="s">
        <v>1878</v>
      </c>
      <c r="I941" s="141" t="s">
        <v>1879</v>
      </c>
      <c r="J941" s="196"/>
      <c r="K941" s="196" t="s">
        <v>1881</v>
      </c>
      <c r="L941" s="141" t="s">
        <v>5080</v>
      </c>
      <c r="M941" s="196">
        <v>448</v>
      </c>
      <c r="N941" s="196"/>
      <c r="O941" s="196" t="s">
        <v>4974</v>
      </c>
      <c r="P941" s="144">
        <v>260</v>
      </c>
      <c r="Q941" s="145">
        <f t="shared" si="55"/>
        <v>1.9742999999999999</v>
      </c>
      <c r="R941" s="203">
        <v>0.49</v>
      </c>
      <c r="S941" s="203"/>
      <c r="T941" s="151"/>
      <c r="U941" s="151">
        <v>1.2</v>
      </c>
      <c r="V941" s="151">
        <v>0.25</v>
      </c>
      <c r="W941" s="151">
        <f t="shared" si="57"/>
        <v>0.49</v>
      </c>
      <c r="X941" s="152">
        <f t="shared" si="56"/>
        <v>3.4299999999999997E-2</v>
      </c>
      <c r="Y941" s="152"/>
      <c r="Z941" s="148"/>
      <c r="AA941" s="153"/>
      <c r="AB941" s="153"/>
      <c r="AC941" s="153"/>
      <c r="AD941" s="153"/>
      <c r="AH941" s="147"/>
    </row>
    <row r="942" spans="1:34" s="146" customFormat="1" x14ac:dyDescent="0.25">
      <c r="A942" s="196">
        <v>1386</v>
      </c>
      <c r="B942" s="196" t="s">
        <v>5081</v>
      </c>
      <c r="C942" s="196" t="s">
        <v>5082</v>
      </c>
      <c r="D942" s="196" t="s">
        <v>1993</v>
      </c>
      <c r="E942" s="196" t="s">
        <v>1921</v>
      </c>
      <c r="F942" s="196">
        <v>2006</v>
      </c>
      <c r="G942" s="196"/>
      <c r="H942" s="196" t="s">
        <v>1878</v>
      </c>
      <c r="I942" s="141" t="s">
        <v>1879</v>
      </c>
      <c r="J942" s="143" t="s">
        <v>3854</v>
      </c>
      <c r="K942" s="196" t="s">
        <v>1881</v>
      </c>
      <c r="L942" s="141" t="s">
        <v>5083</v>
      </c>
      <c r="M942" s="196">
        <v>256</v>
      </c>
      <c r="N942" s="196"/>
      <c r="O942" s="196" t="s">
        <v>4975</v>
      </c>
      <c r="P942" s="144">
        <v>202</v>
      </c>
      <c r="Q942" s="145">
        <f t="shared" si="55"/>
        <v>1.9742999999999999</v>
      </c>
      <c r="R942" s="203">
        <v>0.49</v>
      </c>
      <c r="S942" s="203"/>
      <c r="T942" s="151"/>
      <c r="U942" s="151">
        <v>1.2</v>
      </c>
      <c r="V942" s="151">
        <v>0.25</v>
      </c>
      <c r="W942" s="151">
        <f t="shared" si="57"/>
        <v>0.49</v>
      </c>
      <c r="X942" s="152">
        <f t="shared" si="56"/>
        <v>3.4299999999999997E-2</v>
      </c>
      <c r="Y942" s="152"/>
      <c r="Z942" s="148"/>
      <c r="AA942" s="153"/>
      <c r="AB942" s="153"/>
      <c r="AC942" s="153"/>
      <c r="AD942" s="153"/>
      <c r="AH942" s="147"/>
    </row>
    <row r="943" spans="1:34" s="146" customFormat="1" x14ac:dyDescent="0.25">
      <c r="A943" s="196">
        <v>1386</v>
      </c>
      <c r="B943" s="196" t="s">
        <v>4827</v>
      </c>
      <c r="C943" s="196" t="s">
        <v>4828</v>
      </c>
      <c r="D943" s="196" t="s">
        <v>1876</v>
      </c>
      <c r="E943" s="196" t="s">
        <v>4472</v>
      </c>
      <c r="F943" s="196">
        <v>1996</v>
      </c>
      <c r="G943" s="196"/>
      <c r="H943" s="196" t="s">
        <v>1878</v>
      </c>
      <c r="I943" s="141" t="s">
        <v>1914</v>
      </c>
      <c r="J943" s="196"/>
      <c r="K943" s="196" t="s">
        <v>1881</v>
      </c>
      <c r="L943" s="141" t="s">
        <v>5084</v>
      </c>
      <c r="M943" s="196">
        <v>320</v>
      </c>
      <c r="N943" s="196"/>
      <c r="O943" s="196" t="s">
        <v>4976</v>
      </c>
      <c r="P943" s="144">
        <v>270</v>
      </c>
      <c r="Q943" s="145">
        <f t="shared" si="55"/>
        <v>1.7175</v>
      </c>
      <c r="R943" s="203">
        <v>0.25</v>
      </c>
      <c r="S943" s="203"/>
      <c r="T943" s="151"/>
      <c r="U943" s="151">
        <v>1.2</v>
      </c>
      <c r="V943" s="151">
        <v>0.25</v>
      </c>
      <c r="W943" s="151">
        <f t="shared" si="57"/>
        <v>0.25</v>
      </c>
      <c r="X943" s="152">
        <f t="shared" si="56"/>
        <v>1.7500000000000002E-2</v>
      </c>
      <c r="Y943" s="152"/>
      <c r="Z943" s="148"/>
      <c r="AA943" s="153"/>
      <c r="AB943" s="153"/>
      <c r="AC943" s="153"/>
      <c r="AD943" s="153"/>
      <c r="AH943" s="147"/>
    </row>
    <row r="944" spans="1:34" s="146" customFormat="1" x14ac:dyDescent="0.25">
      <c r="A944" s="196">
        <v>1386</v>
      </c>
      <c r="B944" s="196" t="s">
        <v>5085</v>
      </c>
      <c r="C944" s="196" t="s">
        <v>5086</v>
      </c>
      <c r="D944" s="196" t="s">
        <v>2971</v>
      </c>
      <c r="E944" s="196" t="s">
        <v>1913</v>
      </c>
      <c r="F944" s="196">
        <v>2009</v>
      </c>
      <c r="G944" s="196"/>
      <c r="H944" s="196" t="s">
        <v>2734</v>
      </c>
      <c r="I944" s="141" t="s">
        <v>1929</v>
      </c>
      <c r="J944" s="196"/>
      <c r="K944" s="196" t="s">
        <v>1881</v>
      </c>
      <c r="L944" s="141" t="s">
        <v>5087</v>
      </c>
      <c r="M944" s="196">
        <v>176</v>
      </c>
      <c r="N944" s="196"/>
      <c r="O944" s="196" t="s">
        <v>4977</v>
      </c>
      <c r="P944" s="144">
        <v>258</v>
      </c>
      <c r="Q944" s="145">
        <f t="shared" si="55"/>
        <v>3.0442999999999998</v>
      </c>
      <c r="R944" s="203">
        <v>1.49</v>
      </c>
      <c r="S944" s="203"/>
      <c r="T944" s="151"/>
      <c r="U944" s="151">
        <v>1.2</v>
      </c>
      <c r="V944" s="151">
        <v>0.25</v>
      </c>
      <c r="W944" s="151">
        <f t="shared" si="57"/>
        <v>1.49</v>
      </c>
      <c r="X944" s="152">
        <f t="shared" si="56"/>
        <v>0.1043</v>
      </c>
      <c r="Y944" s="152"/>
      <c r="Z944" s="148"/>
      <c r="AA944" s="153"/>
      <c r="AB944" s="153"/>
      <c r="AC944" s="153"/>
      <c r="AD944" s="153"/>
      <c r="AH944" s="147"/>
    </row>
    <row r="945" spans="1:34" s="146" customFormat="1" x14ac:dyDescent="0.25">
      <c r="A945" s="196">
        <v>844</v>
      </c>
      <c r="B945" s="196" t="s">
        <v>5088</v>
      </c>
      <c r="C945" s="196" t="s">
        <v>5089</v>
      </c>
      <c r="D945" s="196" t="s">
        <v>3057</v>
      </c>
      <c r="E945" s="196"/>
      <c r="F945" s="196">
        <v>2004</v>
      </c>
      <c r="G945" s="196"/>
      <c r="H945" s="196" t="s">
        <v>2734</v>
      </c>
      <c r="I945" s="141" t="s">
        <v>1929</v>
      </c>
      <c r="J945" s="196"/>
      <c r="K945" s="196" t="s">
        <v>1881</v>
      </c>
      <c r="L945" s="141" t="s">
        <v>5090</v>
      </c>
      <c r="M945" s="196">
        <v>66</v>
      </c>
      <c r="N945" s="196"/>
      <c r="O945" s="196" t="s">
        <v>4978</v>
      </c>
      <c r="P945" s="144">
        <v>289</v>
      </c>
      <c r="Q945" s="145">
        <f t="shared" si="55"/>
        <v>2.7232999999999996</v>
      </c>
      <c r="R945" s="203">
        <v>1.19</v>
      </c>
      <c r="S945" s="203"/>
      <c r="T945" s="151"/>
      <c r="U945" s="151">
        <v>1.2</v>
      </c>
      <c r="V945" s="151">
        <v>0.25</v>
      </c>
      <c r="W945" s="151">
        <f t="shared" si="57"/>
        <v>1.19</v>
      </c>
      <c r="X945" s="152">
        <f t="shared" si="56"/>
        <v>8.3299999999999999E-2</v>
      </c>
      <c r="Y945" s="152"/>
      <c r="Z945" s="148"/>
      <c r="AA945" s="153"/>
      <c r="AB945" s="153"/>
      <c r="AC945" s="153"/>
      <c r="AD945" s="153"/>
      <c r="AH945" s="147"/>
    </row>
    <row r="946" spans="1:34" s="146" customFormat="1" x14ac:dyDescent="0.25">
      <c r="A946" s="196">
        <v>651</v>
      </c>
      <c r="B946" s="196" t="s">
        <v>3497</v>
      </c>
      <c r="C946" s="196" t="s">
        <v>5091</v>
      </c>
      <c r="D946" s="196" t="s">
        <v>2117</v>
      </c>
      <c r="E946" s="196" t="s">
        <v>1913</v>
      </c>
      <c r="F946" s="196">
        <v>1999</v>
      </c>
      <c r="G946" s="196"/>
      <c r="H946" s="196" t="s">
        <v>1878</v>
      </c>
      <c r="I946" s="141" t="s">
        <v>1929</v>
      </c>
      <c r="J946" s="196"/>
      <c r="K946" s="196" t="s">
        <v>1881</v>
      </c>
      <c r="L946" s="141" t="s">
        <v>5092</v>
      </c>
      <c r="M946" s="196">
        <v>30</v>
      </c>
      <c r="N946" s="196"/>
      <c r="O946" s="196" t="s">
        <v>4979</v>
      </c>
      <c r="P946" s="144">
        <v>100</v>
      </c>
      <c r="Q946" s="145">
        <f t="shared" si="55"/>
        <v>1.9742999999999999</v>
      </c>
      <c r="R946" s="203">
        <v>0.49</v>
      </c>
      <c r="S946" s="203"/>
      <c r="T946" s="151"/>
      <c r="U946" s="151">
        <v>1.2</v>
      </c>
      <c r="V946" s="151">
        <v>0.25</v>
      </c>
      <c r="W946" s="151">
        <f t="shared" si="57"/>
        <v>0.49</v>
      </c>
      <c r="X946" s="152">
        <f t="shared" si="56"/>
        <v>3.4299999999999997E-2</v>
      </c>
      <c r="Y946" s="152"/>
      <c r="Z946" s="148"/>
      <c r="AA946" s="153"/>
      <c r="AB946" s="153"/>
      <c r="AC946" s="153"/>
      <c r="AD946" s="153"/>
      <c r="AH946" s="147"/>
    </row>
    <row r="947" spans="1:34" s="146" customFormat="1" x14ac:dyDescent="0.25">
      <c r="A947" s="196">
        <v>323</v>
      </c>
      <c r="B947" s="196" t="s">
        <v>5093</v>
      </c>
      <c r="C947" s="196" t="s">
        <v>5094</v>
      </c>
      <c r="D947" s="196" t="s">
        <v>5095</v>
      </c>
      <c r="E947" s="196"/>
      <c r="F947" s="196">
        <v>1993</v>
      </c>
      <c r="G947" s="196"/>
      <c r="H947" s="196" t="s">
        <v>2734</v>
      </c>
      <c r="I947" s="141" t="s">
        <v>1879</v>
      </c>
      <c r="J947" s="196" t="s">
        <v>2237</v>
      </c>
      <c r="K947" s="196" t="s">
        <v>1881</v>
      </c>
      <c r="L947" s="141" t="s">
        <v>5096</v>
      </c>
      <c r="M947" s="196">
        <v>130</v>
      </c>
      <c r="N947" s="196"/>
      <c r="O947" s="196" t="s">
        <v>4980</v>
      </c>
      <c r="P947" s="144">
        <v>649</v>
      </c>
      <c r="Q947" s="145">
        <f t="shared" si="55"/>
        <v>5.4702999999999999</v>
      </c>
      <c r="R947" s="203">
        <v>3.29</v>
      </c>
      <c r="S947" s="203"/>
      <c r="T947" s="151"/>
      <c r="U947" s="151">
        <v>1.7</v>
      </c>
      <c r="V947" s="151">
        <v>0.25</v>
      </c>
      <c r="W947" s="151">
        <f t="shared" si="57"/>
        <v>3.29</v>
      </c>
      <c r="X947" s="152">
        <f t="shared" si="56"/>
        <v>0.2303</v>
      </c>
      <c r="Y947" s="152"/>
      <c r="Z947" s="148"/>
      <c r="AA947" s="153"/>
      <c r="AB947" s="153"/>
      <c r="AC947" s="153"/>
      <c r="AD947" s="153"/>
      <c r="AH947" s="147"/>
    </row>
    <row r="948" spans="1:34" s="146" customFormat="1" x14ac:dyDescent="0.25">
      <c r="A948" s="196">
        <v>1282</v>
      </c>
      <c r="B948" s="196" t="s">
        <v>5097</v>
      </c>
      <c r="C948" s="196" t="s">
        <v>5098</v>
      </c>
      <c r="D948" s="196" t="s">
        <v>5099</v>
      </c>
      <c r="E948" s="196"/>
      <c r="F948" s="196">
        <v>1987</v>
      </c>
      <c r="G948" s="196"/>
      <c r="H948" s="196" t="s">
        <v>1878</v>
      </c>
      <c r="I948" s="141" t="s">
        <v>1879</v>
      </c>
      <c r="J948" s="196"/>
      <c r="K948" s="196" t="s">
        <v>1881</v>
      </c>
      <c r="L948" s="141" t="s">
        <v>5100</v>
      </c>
      <c r="M948" s="196">
        <v>96</v>
      </c>
      <c r="N948" s="196"/>
      <c r="O948" s="196" t="s">
        <v>4981</v>
      </c>
      <c r="P948" s="144">
        <v>479</v>
      </c>
      <c r="Q948" s="145">
        <f t="shared" si="55"/>
        <v>2.4022999999999999</v>
      </c>
      <c r="R948" s="203">
        <v>0.89</v>
      </c>
      <c r="S948" s="203"/>
      <c r="T948" s="151"/>
      <c r="U948" s="151">
        <v>1.2</v>
      </c>
      <c r="V948" s="151">
        <v>0.25</v>
      </c>
      <c r="W948" s="151">
        <f t="shared" si="57"/>
        <v>0.89</v>
      </c>
      <c r="X948" s="152">
        <f t="shared" si="56"/>
        <v>6.2300000000000001E-2</v>
      </c>
      <c r="Y948" s="152"/>
      <c r="Z948" s="148"/>
      <c r="AA948" s="153"/>
      <c r="AB948" s="153"/>
      <c r="AC948" s="153"/>
      <c r="AD948" s="153"/>
      <c r="AH948" s="147"/>
    </row>
    <row r="949" spans="1:34" s="146" customFormat="1" x14ac:dyDescent="0.25">
      <c r="A949" s="196">
        <v>1282</v>
      </c>
      <c r="B949" s="196" t="s">
        <v>5101</v>
      </c>
      <c r="C949" s="196" t="s">
        <v>5102</v>
      </c>
      <c r="D949" s="196" t="s">
        <v>5099</v>
      </c>
      <c r="E949" s="196"/>
      <c r="F949" s="196">
        <v>1986</v>
      </c>
      <c r="G949" s="196"/>
      <c r="H949" s="196" t="s">
        <v>1878</v>
      </c>
      <c r="I949" s="141" t="s">
        <v>1914</v>
      </c>
      <c r="J949" s="196"/>
      <c r="K949" s="196" t="s">
        <v>1881</v>
      </c>
      <c r="L949" s="141" t="s">
        <v>5103</v>
      </c>
      <c r="M949" s="196">
        <v>96</v>
      </c>
      <c r="N949" s="196"/>
      <c r="O949" s="196" t="s">
        <v>4982</v>
      </c>
      <c r="P949" s="144">
        <v>500</v>
      </c>
      <c r="Q949" s="145">
        <f t="shared" ref="Q949:Q1011" si="58">SUM(T949:X949)</f>
        <v>3.0093000000000001</v>
      </c>
      <c r="R949" s="203">
        <v>0.99</v>
      </c>
      <c r="S949" s="203"/>
      <c r="T949" s="151"/>
      <c r="U949" s="151">
        <v>1.7</v>
      </c>
      <c r="V949" s="151">
        <v>0.25</v>
      </c>
      <c r="W949" s="151">
        <f t="shared" si="57"/>
        <v>0.99</v>
      </c>
      <c r="X949" s="152">
        <f t="shared" si="56"/>
        <v>6.93E-2</v>
      </c>
      <c r="Y949" s="152"/>
      <c r="Z949" s="148"/>
      <c r="AA949" s="153"/>
      <c r="AB949" s="153"/>
      <c r="AC949" s="153"/>
      <c r="AD949" s="153"/>
      <c r="AH949" s="147"/>
    </row>
    <row r="950" spans="1:34" s="146" customFormat="1" x14ac:dyDescent="0.25">
      <c r="A950" s="196">
        <v>625</v>
      </c>
      <c r="B950" s="196" t="s">
        <v>5104</v>
      </c>
      <c r="C950" s="196" t="s">
        <v>5105</v>
      </c>
      <c r="D950" s="196" t="s">
        <v>5106</v>
      </c>
      <c r="E950" s="196"/>
      <c r="F950" s="196">
        <v>1986</v>
      </c>
      <c r="G950" s="196"/>
      <c r="H950" s="196" t="s">
        <v>2734</v>
      </c>
      <c r="I950" s="141" t="s">
        <v>1879</v>
      </c>
      <c r="J950" s="196" t="s">
        <v>2237</v>
      </c>
      <c r="K950" s="196" t="s">
        <v>1881</v>
      </c>
      <c r="L950" s="141" t="s">
        <v>5107</v>
      </c>
      <c r="M950" s="196"/>
      <c r="N950" s="196"/>
      <c r="O950" s="196" t="s">
        <v>4983</v>
      </c>
      <c r="P950" s="144">
        <v>342</v>
      </c>
      <c r="Q950" s="145">
        <f t="shared" si="58"/>
        <v>2.0813000000000001</v>
      </c>
      <c r="R950" s="203">
        <v>0.59</v>
      </c>
      <c r="S950" s="203"/>
      <c r="T950" s="151"/>
      <c r="U950" s="151">
        <v>1.2</v>
      </c>
      <c r="V950" s="151">
        <v>0.25</v>
      </c>
      <c r="W950" s="151">
        <f t="shared" si="57"/>
        <v>0.59</v>
      </c>
      <c r="X950" s="152">
        <f t="shared" si="56"/>
        <v>4.1299999999999996E-2</v>
      </c>
      <c r="Y950" s="152"/>
      <c r="Z950" s="148"/>
      <c r="AA950" s="153"/>
      <c r="AB950" s="153"/>
      <c r="AC950" s="153"/>
      <c r="AD950" s="153"/>
      <c r="AH950" s="147"/>
    </row>
    <row r="951" spans="1:34" s="146" customFormat="1" x14ac:dyDescent="0.25">
      <c r="A951" s="196">
        <v>846</v>
      </c>
      <c r="B951" s="196" t="s">
        <v>5108</v>
      </c>
      <c r="C951" s="196" t="s">
        <v>5109</v>
      </c>
      <c r="D951" s="196" t="s">
        <v>2036</v>
      </c>
      <c r="E951" s="196"/>
      <c r="F951" s="196">
        <v>1999</v>
      </c>
      <c r="G951" s="196"/>
      <c r="H951" s="196" t="s">
        <v>2734</v>
      </c>
      <c r="I951" s="141" t="s">
        <v>1879</v>
      </c>
      <c r="J951" s="196"/>
      <c r="K951" s="196" t="s">
        <v>1881</v>
      </c>
      <c r="L951" s="141" t="s">
        <v>5110</v>
      </c>
      <c r="M951" s="196">
        <v>162</v>
      </c>
      <c r="N951" s="196"/>
      <c r="O951" s="196" t="s">
        <v>4984</v>
      </c>
      <c r="P951" s="144">
        <v>814</v>
      </c>
      <c r="Q951" s="145">
        <f t="shared" si="58"/>
        <v>4.0792999999999999</v>
      </c>
      <c r="R951" s="203">
        <v>1.99</v>
      </c>
      <c r="S951" s="203"/>
      <c r="T951" s="151"/>
      <c r="U951" s="151">
        <v>1.7</v>
      </c>
      <c r="V951" s="151">
        <v>0.25</v>
      </c>
      <c r="W951" s="151">
        <f t="shared" si="57"/>
        <v>1.99</v>
      </c>
      <c r="X951" s="152">
        <f t="shared" si="56"/>
        <v>0.13930000000000001</v>
      </c>
      <c r="Y951" s="152"/>
      <c r="Z951" s="148"/>
      <c r="AA951" s="153"/>
      <c r="AB951" s="153"/>
      <c r="AC951" s="153"/>
      <c r="AD951" s="153"/>
      <c r="AH951" s="147"/>
    </row>
    <row r="952" spans="1:34" s="146" customFormat="1" x14ac:dyDescent="0.25">
      <c r="A952" s="196">
        <v>2699</v>
      </c>
      <c r="B952" s="196"/>
      <c r="C952" s="196" t="s">
        <v>5111</v>
      </c>
      <c r="D952" s="196"/>
      <c r="E952" s="196"/>
      <c r="F952" s="196"/>
      <c r="G952" s="196"/>
      <c r="H952" s="196" t="s">
        <v>5112</v>
      </c>
      <c r="I952" s="141" t="s">
        <v>1879</v>
      </c>
      <c r="J952" s="196" t="s">
        <v>2237</v>
      </c>
      <c r="K952" s="196" t="s">
        <v>1881</v>
      </c>
      <c r="L952" s="141" t="s">
        <v>5113</v>
      </c>
      <c r="M952" s="196">
        <v>197</v>
      </c>
      <c r="N952" s="196"/>
      <c r="O952" s="196" t="s">
        <v>4985</v>
      </c>
      <c r="P952" s="144">
        <v>807</v>
      </c>
      <c r="Q952" s="145">
        <f t="shared" si="58"/>
        <v>8.0383000000000013</v>
      </c>
      <c r="R952" s="203">
        <v>5.69</v>
      </c>
      <c r="S952" s="203"/>
      <c r="T952" s="151"/>
      <c r="U952" s="151">
        <v>1.7</v>
      </c>
      <c r="V952" s="151">
        <v>0.25</v>
      </c>
      <c r="W952" s="151">
        <f t="shared" si="57"/>
        <v>5.69</v>
      </c>
      <c r="X952" s="152">
        <f t="shared" si="56"/>
        <v>0.39830000000000004</v>
      </c>
      <c r="Y952" s="152"/>
      <c r="Z952" s="148"/>
      <c r="AA952" s="153"/>
      <c r="AB952" s="153"/>
      <c r="AC952" s="153"/>
      <c r="AD952" s="153"/>
      <c r="AH952" s="147"/>
    </row>
    <row r="953" spans="1:34" s="146" customFormat="1" x14ac:dyDescent="0.25">
      <c r="A953" s="196">
        <v>691</v>
      </c>
      <c r="B953" s="196"/>
      <c r="C953" s="196" t="s">
        <v>5114</v>
      </c>
      <c r="D953" s="196" t="s">
        <v>5115</v>
      </c>
      <c r="E953" s="196"/>
      <c r="F953" s="196">
        <v>1993</v>
      </c>
      <c r="G953" s="196"/>
      <c r="H953" s="196" t="s">
        <v>2734</v>
      </c>
      <c r="I953" s="141" t="s">
        <v>1879</v>
      </c>
      <c r="J953" s="196"/>
      <c r="K953" s="196" t="s">
        <v>1881</v>
      </c>
      <c r="L953" s="141" t="s">
        <v>5116</v>
      </c>
      <c r="M953" s="196">
        <v>86</v>
      </c>
      <c r="N953" s="196"/>
      <c r="O953" s="196" t="s">
        <v>4986</v>
      </c>
      <c r="P953" s="144">
        <v>488</v>
      </c>
      <c r="Q953" s="145">
        <f t="shared" si="58"/>
        <v>2.1455000000000002</v>
      </c>
      <c r="R953" s="203">
        <v>0.65</v>
      </c>
      <c r="S953" s="203"/>
      <c r="T953" s="151"/>
      <c r="U953" s="151">
        <v>1.2</v>
      </c>
      <c r="V953" s="151">
        <v>0.25</v>
      </c>
      <c r="W953" s="151">
        <f t="shared" si="57"/>
        <v>0.65</v>
      </c>
      <c r="X953" s="152">
        <f t="shared" si="56"/>
        <v>4.5500000000000006E-2</v>
      </c>
      <c r="Y953" s="152"/>
      <c r="Z953" s="148"/>
      <c r="AA953" s="153"/>
      <c r="AB953" s="153"/>
      <c r="AC953" s="153"/>
      <c r="AD953" s="153"/>
      <c r="AH953" s="147"/>
    </row>
    <row r="954" spans="1:34" s="146" customFormat="1" x14ac:dyDescent="0.25">
      <c r="A954" s="196">
        <v>1246</v>
      </c>
      <c r="B954" s="196" t="s">
        <v>5118</v>
      </c>
      <c r="C954" s="196" t="s">
        <v>5117</v>
      </c>
      <c r="D954" s="196"/>
      <c r="E954" s="196"/>
      <c r="F954" s="196"/>
      <c r="G954" s="196"/>
      <c r="H954" s="196" t="s">
        <v>5119</v>
      </c>
      <c r="I954" s="141" t="s">
        <v>1879</v>
      </c>
      <c r="J954" s="196" t="s">
        <v>2237</v>
      </c>
      <c r="K954" s="196" t="s">
        <v>1881</v>
      </c>
      <c r="L954" s="141" t="s">
        <v>5120</v>
      </c>
      <c r="M954" s="196">
        <v>58</v>
      </c>
      <c r="N954" s="196"/>
      <c r="O954" s="196" t="s">
        <v>4987</v>
      </c>
      <c r="P954" s="144">
        <v>269</v>
      </c>
      <c r="Q954" s="145">
        <f t="shared" si="58"/>
        <v>3.3653000000000004</v>
      </c>
      <c r="R954" s="203">
        <v>1.79</v>
      </c>
      <c r="S954" s="203"/>
      <c r="T954" s="151"/>
      <c r="U954" s="151">
        <v>1.2</v>
      </c>
      <c r="V954" s="151">
        <v>0.25</v>
      </c>
      <c r="W954" s="151">
        <f t="shared" si="57"/>
        <v>1.79</v>
      </c>
      <c r="X954" s="152">
        <f t="shared" si="56"/>
        <v>0.12529999999999999</v>
      </c>
      <c r="Y954" s="152"/>
      <c r="Z954" s="148"/>
      <c r="AA954" s="153"/>
      <c r="AB954" s="153"/>
      <c r="AC954" s="153"/>
      <c r="AD954" s="153"/>
      <c r="AH954" s="147"/>
    </row>
    <row r="955" spans="1:34" s="146" customFormat="1" x14ac:dyDescent="0.25">
      <c r="A955" s="196">
        <v>691</v>
      </c>
      <c r="B955" s="196" t="s">
        <v>5121</v>
      </c>
      <c r="C955" s="196" t="s">
        <v>5122</v>
      </c>
      <c r="D955" s="196" t="s">
        <v>5123</v>
      </c>
      <c r="E955" s="196"/>
      <c r="F955" s="196"/>
      <c r="G955" s="196"/>
      <c r="H955" s="196" t="s">
        <v>2734</v>
      </c>
      <c r="I955" s="141" t="s">
        <v>1879</v>
      </c>
      <c r="J955" s="196" t="s">
        <v>2237</v>
      </c>
      <c r="K955" s="196" t="s">
        <v>1881</v>
      </c>
      <c r="L955" s="141" t="s">
        <v>5124</v>
      </c>
      <c r="M955" s="196">
        <v>62</v>
      </c>
      <c r="N955" s="196"/>
      <c r="O955" s="196" t="s">
        <v>4988</v>
      </c>
      <c r="P955" s="144">
        <v>495</v>
      </c>
      <c r="Q955" s="145">
        <f t="shared" si="58"/>
        <v>3.3303000000000003</v>
      </c>
      <c r="R955" s="203">
        <v>1.29</v>
      </c>
      <c r="S955" s="203"/>
      <c r="T955" s="151"/>
      <c r="U955" s="151">
        <v>1.7</v>
      </c>
      <c r="V955" s="151">
        <v>0.25</v>
      </c>
      <c r="W955" s="151">
        <f t="shared" si="57"/>
        <v>1.29</v>
      </c>
      <c r="X955" s="152">
        <f t="shared" si="56"/>
        <v>9.0300000000000005E-2</v>
      </c>
      <c r="Y955" s="152"/>
      <c r="Z955" s="148"/>
      <c r="AA955" s="153"/>
      <c r="AB955" s="153"/>
      <c r="AC955" s="153"/>
      <c r="AD955" s="153"/>
      <c r="AH955" s="147"/>
    </row>
    <row r="956" spans="1:34" s="146" customFormat="1" x14ac:dyDescent="0.25">
      <c r="A956" s="196">
        <v>2420</v>
      </c>
      <c r="B956" s="196" t="s">
        <v>5125</v>
      </c>
      <c r="C956" s="196" t="s">
        <v>5126</v>
      </c>
      <c r="D956" s="196" t="s">
        <v>3509</v>
      </c>
      <c r="E956" s="196" t="s">
        <v>1877</v>
      </c>
      <c r="F956" s="196">
        <v>1996</v>
      </c>
      <c r="G956" s="196"/>
      <c r="H956" s="196" t="s">
        <v>2734</v>
      </c>
      <c r="I956" s="141" t="s">
        <v>1929</v>
      </c>
      <c r="J956" s="196"/>
      <c r="K956" s="196" t="s">
        <v>1881</v>
      </c>
      <c r="L956" s="141" t="s">
        <v>5127</v>
      </c>
      <c r="M956" s="196">
        <v>162</v>
      </c>
      <c r="N956" s="196"/>
      <c r="O956" s="196" t="s">
        <v>4989</v>
      </c>
      <c r="P956" s="144">
        <v>537</v>
      </c>
      <c r="Q956" s="145">
        <f t="shared" si="58"/>
        <v>27.084299999999999</v>
      </c>
      <c r="R956" s="203">
        <v>23.49</v>
      </c>
      <c r="S956" s="203"/>
      <c r="T956" s="151"/>
      <c r="U956" s="151">
        <v>1.7</v>
      </c>
      <c r="V956" s="151">
        <v>0.25</v>
      </c>
      <c r="W956" s="151">
        <f t="shared" si="57"/>
        <v>23.49</v>
      </c>
      <c r="X956" s="152">
        <f t="shared" si="56"/>
        <v>1.6442999999999999</v>
      </c>
      <c r="Y956" s="152"/>
      <c r="Z956" s="148"/>
      <c r="AA956" s="153"/>
      <c r="AB956" s="153"/>
      <c r="AC956" s="153"/>
      <c r="AD956" s="153"/>
      <c r="AH956" s="147"/>
    </row>
    <row r="957" spans="1:34" s="146" customFormat="1" x14ac:dyDescent="0.25">
      <c r="A957" s="196">
        <v>844</v>
      </c>
      <c r="B957" s="196" t="s">
        <v>5696</v>
      </c>
      <c r="C957" s="196" t="s">
        <v>5697</v>
      </c>
      <c r="D957" s="196" t="s">
        <v>5115</v>
      </c>
      <c r="E957" s="196"/>
      <c r="F957" s="196">
        <v>1992</v>
      </c>
      <c r="G957" s="196"/>
      <c r="H957" s="196" t="s">
        <v>2734</v>
      </c>
      <c r="I957" s="141" t="s">
        <v>1879</v>
      </c>
      <c r="J957" s="196"/>
      <c r="K957" s="196" t="s">
        <v>1881</v>
      </c>
      <c r="L957" s="141" t="s">
        <v>5698</v>
      </c>
      <c r="M957" s="196">
        <v>102</v>
      </c>
      <c r="N957" s="196"/>
      <c r="O957" s="196" t="s">
        <v>5128</v>
      </c>
      <c r="P957" s="144">
        <v>606</v>
      </c>
      <c r="Q957" s="145">
        <f t="shared" si="58"/>
        <v>2.3672999999999997</v>
      </c>
      <c r="R957" s="203">
        <v>0.39</v>
      </c>
      <c r="S957" s="203"/>
      <c r="T957" s="151"/>
      <c r="U957" s="151">
        <v>1.7</v>
      </c>
      <c r="V957" s="151">
        <v>0.25</v>
      </c>
      <c r="W957" s="151">
        <f t="shared" si="57"/>
        <v>0.39</v>
      </c>
      <c r="X957" s="152">
        <f t="shared" si="56"/>
        <v>2.7300000000000001E-2</v>
      </c>
      <c r="Y957" s="152"/>
      <c r="Z957" s="148"/>
      <c r="AA957" s="153"/>
      <c r="AB957" s="153"/>
      <c r="AC957" s="153"/>
      <c r="AD957" s="153"/>
      <c r="AH957" s="147"/>
    </row>
    <row r="958" spans="1:34" s="146" customFormat="1" x14ac:dyDescent="0.25">
      <c r="A958" s="196">
        <v>323</v>
      </c>
      <c r="B958" s="196" t="s">
        <v>5699</v>
      </c>
      <c r="C958" s="196" t="s">
        <v>5700</v>
      </c>
      <c r="D958" s="196" t="s">
        <v>5701</v>
      </c>
      <c r="E958" s="196" t="s">
        <v>2032</v>
      </c>
      <c r="F958" s="196">
        <v>1989</v>
      </c>
      <c r="G958" s="196"/>
      <c r="H958" s="196" t="s">
        <v>2734</v>
      </c>
      <c r="I958" s="141" t="s">
        <v>1929</v>
      </c>
      <c r="J958" s="196"/>
      <c r="K958" s="196" t="s">
        <v>1881</v>
      </c>
      <c r="L958" s="141" t="s">
        <v>5702</v>
      </c>
      <c r="M958" s="196">
        <v>368</v>
      </c>
      <c r="N958" s="196"/>
      <c r="O958" s="196" t="s">
        <v>5129</v>
      </c>
      <c r="P958" s="144">
        <v>928</v>
      </c>
      <c r="Q958" s="145">
        <f t="shared" si="58"/>
        <v>3.7582999999999998</v>
      </c>
      <c r="R958" s="203">
        <v>1.69</v>
      </c>
      <c r="S958" s="203"/>
      <c r="T958" s="151"/>
      <c r="U958" s="151">
        <v>1.7</v>
      </c>
      <c r="V958" s="151">
        <v>0.25</v>
      </c>
      <c r="W958" s="151">
        <f t="shared" si="57"/>
        <v>1.69</v>
      </c>
      <c r="X958" s="152">
        <f t="shared" si="56"/>
        <v>0.11829999999999999</v>
      </c>
      <c r="Y958" s="152"/>
      <c r="Z958" s="148"/>
      <c r="AA958" s="153"/>
      <c r="AB958" s="153"/>
      <c r="AC958" s="153"/>
      <c r="AD958" s="153"/>
      <c r="AH958" s="147"/>
    </row>
    <row r="959" spans="1:34" s="146" customFormat="1" x14ac:dyDescent="0.25">
      <c r="A959" s="196">
        <v>323</v>
      </c>
      <c r="B959" s="196" t="s">
        <v>5703</v>
      </c>
      <c r="C959" s="196" t="s">
        <v>5704</v>
      </c>
      <c r="D959" s="196" t="s">
        <v>5705</v>
      </c>
      <c r="E959" s="196"/>
      <c r="F959" s="196">
        <v>1984</v>
      </c>
      <c r="G959" s="196"/>
      <c r="H959" s="196" t="s">
        <v>2734</v>
      </c>
      <c r="I959" s="141" t="s">
        <v>1879</v>
      </c>
      <c r="J959" s="196"/>
      <c r="K959" s="196" t="s">
        <v>2025</v>
      </c>
      <c r="L959" s="141"/>
      <c r="M959" s="196"/>
      <c r="N959" s="196"/>
      <c r="O959" s="196" t="s">
        <v>5130</v>
      </c>
      <c r="P959" s="144">
        <v>515</v>
      </c>
      <c r="Q959" s="145">
        <f t="shared" si="58"/>
        <v>6.2193000000000005</v>
      </c>
      <c r="R959" s="203">
        <v>3.99</v>
      </c>
      <c r="S959" s="203"/>
      <c r="T959" s="151"/>
      <c r="U959" s="151">
        <v>1.7</v>
      </c>
      <c r="V959" s="151">
        <v>0.25</v>
      </c>
      <c r="W959" s="151">
        <f t="shared" si="57"/>
        <v>3.99</v>
      </c>
      <c r="X959" s="152">
        <f t="shared" si="56"/>
        <v>0.27930000000000005</v>
      </c>
      <c r="Y959" s="152"/>
      <c r="Z959" s="148"/>
      <c r="AA959" s="153"/>
      <c r="AB959" s="153"/>
      <c r="AC959" s="153"/>
      <c r="AD959" s="153"/>
      <c r="AH959" s="147"/>
    </row>
    <row r="960" spans="1:34" s="146" customFormat="1" x14ac:dyDescent="0.25">
      <c r="A960" s="196">
        <v>323</v>
      </c>
      <c r="B960" s="196" t="s">
        <v>5706</v>
      </c>
      <c r="C960" s="196" t="s">
        <v>5707</v>
      </c>
      <c r="D960" s="196" t="s">
        <v>5708</v>
      </c>
      <c r="E960" s="196"/>
      <c r="F960" s="196">
        <v>1996</v>
      </c>
      <c r="G960" s="196"/>
      <c r="H960" s="196" t="s">
        <v>2734</v>
      </c>
      <c r="I960" s="141" t="s">
        <v>1929</v>
      </c>
      <c r="J960" s="196"/>
      <c r="K960" s="196" t="s">
        <v>1881</v>
      </c>
      <c r="L960" s="141" t="s">
        <v>5709</v>
      </c>
      <c r="M960" s="196">
        <v>402</v>
      </c>
      <c r="N960" s="196"/>
      <c r="O960" s="196" t="s">
        <v>5131</v>
      </c>
      <c r="P960" s="144">
        <v>1626</v>
      </c>
      <c r="Q960" s="145">
        <f t="shared" si="58"/>
        <v>5.4203000000000001</v>
      </c>
      <c r="R960" s="203">
        <v>1.29</v>
      </c>
      <c r="S960" s="203"/>
      <c r="T960" s="151"/>
      <c r="U960" s="151">
        <v>3.79</v>
      </c>
      <c r="V960" s="151">
        <v>0.25</v>
      </c>
      <c r="W960" s="151">
        <f t="shared" si="57"/>
        <v>1.29</v>
      </c>
      <c r="X960" s="152">
        <f t="shared" si="56"/>
        <v>9.0300000000000005E-2</v>
      </c>
      <c r="Y960" s="152"/>
      <c r="Z960" s="148"/>
      <c r="AA960" s="153"/>
      <c r="AB960" s="153"/>
      <c r="AC960" s="153"/>
      <c r="AD960" s="153"/>
      <c r="AH960" s="147"/>
    </row>
    <row r="961" spans="1:34" s="146" customFormat="1" x14ac:dyDescent="0.25">
      <c r="A961" s="196">
        <v>844</v>
      </c>
      <c r="B961" s="196" t="s">
        <v>5710</v>
      </c>
      <c r="C961" s="196" t="s">
        <v>5711</v>
      </c>
      <c r="D961" s="196" t="s">
        <v>2679</v>
      </c>
      <c r="E961" s="196"/>
      <c r="F961" s="196">
        <v>2005</v>
      </c>
      <c r="G961" s="196"/>
      <c r="H961" s="196" t="s">
        <v>2734</v>
      </c>
      <c r="I961" s="141" t="s">
        <v>1929</v>
      </c>
      <c r="J961" s="196"/>
      <c r="K961" s="196" t="s">
        <v>1881</v>
      </c>
      <c r="L961" s="141"/>
      <c r="M961" s="196">
        <v>130</v>
      </c>
      <c r="N961" s="196"/>
      <c r="O961" s="196" t="s">
        <v>5132</v>
      </c>
      <c r="P961" s="144">
        <v>932</v>
      </c>
      <c r="Q961" s="145">
        <f t="shared" si="58"/>
        <v>6.7543000000000006</v>
      </c>
      <c r="R961" s="203">
        <v>4.49</v>
      </c>
      <c r="S961" s="203"/>
      <c r="T961" s="151"/>
      <c r="U961" s="151">
        <v>1.7</v>
      </c>
      <c r="V961" s="151">
        <v>0.25</v>
      </c>
      <c r="W961" s="151">
        <f t="shared" si="57"/>
        <v>4.49</v>
      </c>
      <c r="X961" s="152">
        <f t="shared" si="56"/>
        <v>0.31430000000000002</v>
      </c>
      <c r="Y961" s="152"/>
      <c r="Z961" s="148"/>
      <c r="AA961" s="153"/>
      <c r="AB961" s="153"/>
      <c r="AC961" s="153"/>
      <c r="AD961" s="153"/>
      <c r="AH961" s="147"/>
    </row>
    <row r="962" spans="1:34" s="146" customFormat="1" x14ac:dyDescent="0.25">
      <c r="A962" s="196">
        <v>593</v>
      </c>
      <c r="B962" s="196" t="s">
        <v>5712</v>
      </c>
      <c r="C962" s="196" t="s">
        <v>5713</v>
      </c>
      <c r="D962" s="196" t="s">
        <v>2041</v>
      </c>
      <c r="E962" s="196"/>
      <c r="F962" s="196"/>
      <c r="G962" s="196"/>
      <c r="H962" s="196" t="s">
        <v>2734</v>
      </c>
      <c r="I962" s="141" t="s">
        <v>1929</v>
      </c>
      <c r="J962" s="196"/>
      <c r="K962" s="196" t="s">
        <v>1881</v>
      </c>
      <c r="L962" s="141" t="s">
        <v>5714</v>
      </c>
      <c r="M962" s="196">
        <v>194</v>
      </c>
      <c r="N962" s="196"/>
      <c r="O962" s="196" t="s">
        <v>5133</v>
      </c>
      <c r="P962" s="144">
        <v>1157</v>
      </c>
      <c r="Q962" s="145">
        <f t="shared" si="58"/>
        <v>5.8483000000000001</v>
      </c>
      <c r="R962" s="203">
        <v>1.69</v>
      </c>
      <c r="S962" s="203"/>
      <c r="T962" s="151"/>
      <c r="U962" s="151">
        <v>3.79</v>
      </c>
      <c r="V962" s="151">
        <v>0.25</v>
      </c>
      <c r="W962" s="151">
        <f t="shared" si="57"/>
        <v>1.69</v>
      </c>
      <c r="X962" s="152">
        <f t="shared" ref="X962:X1024" si="59">(T962+W962)/100*7</f>
        <v>0.11829999999999999</v>
      </c>
      <c r="Y962" s="152"/>
      <c r="Z962" s="148"/>
      <c r="AA962" s="153"/>
      <c r="AB962" s="153"/>
      <c r="AC962" s="153"/>
      <c r="AD962" s="153"/>
      <c r="AH962" s="147"/>
    </row>
    <row r="963" spans="1:34" s="146" customFormat="1" x14ac:dyDescent="0.25">
      <c r="A963" s="196">
        <v>703</v>
      </c>
      <c r="B963" s="196"/>
      <c r="C963" s="196" t="s">
        <v>5715</v>
      </c>
      <c r="D963" s="196" t="s">
        <v>4930</v>
      </c>
      <c r="E963" s="196"/>
      <c r="F963" s="196">
        <v>2012</v>
      </c>
      <c r="G963" s="196"/>
      <c r="H963" s="196" t="s">
        <v>2734</v>
      </c>
      <c r="I963" s="141" t="s">
        <v>1879</v>
      </c>
      <c r="J963" s="196" t="s">
        <v>2237</v>
      </c>
      <c r="K963" s="196" t="s">
        <v>1881</v>
      </c>
      <c r="L963" s="141"/>
      <c r="M963" s="196">
        <v>130</v>
      </c>
      <c r="N963" s="196"/>
      <c r="O963" s="196" t="s">
        <v>5134</v>
      </c>
      <c r="P963" s="144">
        <v>959</v>
      </c>
      <c r="Q963" s="145">
        <f t="shared" si="58"/>
        <v>3.0093000000000001</v>
      </c>
      <c r="R963" s="203">
        <v>0.99</v>
      </c>
      <c r="S963" s="203"/>
      <c r="T963" s="151"/>
      <c r="U963" s="151">
        <v>1.7</v>
      </c>
      <c r="V963" s="151">
        <v>0.25</v>
      </c>
      <c r="W963" s="151">
        <f t="shared" si="57"/>
        <v>0.99</v>
      </c>
      <c r="X963" s="152">
        <f t="shared" si="59"/>
        <v>6.93E-2</v>
      </c>
      <c r="Y963" s="152"/>
      <c r="Z963" s="148"/>
      <c r="AA963" s="153"/>
      <c r="AB963" s="153"/>
      <c r="AC963" s="153"/>
      <c r="AD963" s="153"/>
      <c r="AH963" s="147"/>
    </row>
    <row r="964" spans="1:34" s="146" customFormat="1" x14ac:dyDescent="0.25">
      <c r="A964" s="196">
        <v>1302</v>
      </c>
      <c r="B964" s="196"/>
      <c r="C964" s="196" t="s">
        <v>5716</v>
      </c>
      <c r="D964" s="196" t="s">
        <v>1927</v>
      </c>
      <c r="E964" s="196"/>
      <c r="F964" s="196">
        <v>2004</v>
      </c>
      <c r="G964" s="196"/>
      <c r="H964" s="196" t="s">
        <v>2734</v>
      </c>
      <c r="I964" s="141" t="s">
        <v>1879</v>
      </c>
      <c r="J964" s="196" t="s">
        <v>2237</v>
      </c>
      <c r="K964" s="196" t="s">
        <v>1881</v>
      </c>
      <c r="L964" s="141" t="s">
        <v>5717</v>
      </c>
      <c r="M964" s="196">
        <v>94</v>
      </c>
      <c r="N964" s="196"/>
      <c r="O964" s="196" t="s">
        <v>5135</v>
      </c>
      <c r="P964" s="144">
        <v>620</v>
      </c>
      <c r="Q964" s="145">
        <f t="shared" si="58"/>
        <v>3.2232999999999996</v>
      </c>
      <c r="R964" s="203">
        <v>1.19</v>
      </c>
      <c r="S964" s="203"/>
      <c r="T964" s="151"/>
      <c r="U964" s="151">
        <v>1.7</v>
      </c>
      <c r="V964" s="151">
        <v>0.25</v>
      </c>
      <c r="W964" s="151">
        <f t="shared" si="57"/>
        <v>1.19</v>
      </c>
      <c r="X964" s="152">
        <f t="shared" si="59"/>
        <v>8.3299999999999999E-2</v>
      </c>
      <c r="Y964" s="152"/>
      <c r="Z964" s="148"/>
      <c r="AA964" s="153"/>
      <c r="AB964" s="153"/>
      <c r="AC964" s="153"/>
      <c r="AD964" s="153"/>
      <c r="AH964" s="147"/>
    </row>
    <row r="965" spans="1:34" s="146" customFormat="1" x14ac:dyDescent="0.25">
      <c r="A965" s="196">
        <v>816</v>
      </c>
      <c r="B965" s="196" t="s">
        <v>5718</v>
      </c>
      <c r="C965" s="196" t="s">
        <v>5719</v>
      </c>
      <c r="D965" s="196" t="s">
        <v>5720</v>
      </c>
      <c r="E965" s="196"/>
      <c r="F965" s="196">
        <v>2000</v>
      </c>
      <c r="G965" s="196"/>
      <c r="H965" s="196" t="s">
        <v>2734</v>
      </c>
      <c r="I965" s="141" t="s">
        <v>1929</v>
      </c>
      <c r="J965" s="196"/>
      <c r="K965" s="196" t="s">
        <v>1881</v>
      </c>
      <c r="L965" s="141"/>
      <c r="M965" s="196">
        <v>258</v>
      </c>
      <c r="N965" s="196"/>
      <c r="O965" s="196" t="s">
        <v>5136</v>
      </c>
      <c r="P965" s="144">
        <v>1350</v>
      </c>
      <c r="Q965" s="145">
        <f t="shared" si="58"/>
        <v>6.0622999999999996</v>
      </c>
      <c r="R965" s="203">
        <v>1.89</v>
      </c>
      <c r="S965" s="203"/>
      <c r="T965" s="151"/>
      <c r="U965" s="151">
        <v>3.79</v>
      </c>
      <c r="V965" s="151">
        <v>0.25</v>
      </c>
      <c r="W965" s="151">
        <f t="shared" si="57"/>
        <v>1.89</v>
      </c>
      <c r="X965" s="152">
        <f t="shared" si="59"/>
        <v>0.1323</v>
      </c>
      <c r="Y965" s="152"/>
      <c r="Z965" s="148"/>
      <c r="AA965" s="153"/>
      <c r="AB965" s="153"/>
      <c r="AC965" s="153"/>
      <c r="AD965" s="153"/>
      <c r="AH965" s="147"/>
    </row>
    <row r="966" spans="1:34" s="146" customFormat="1" x14ac:dyDescent="0.25">
      <c r="A966" s="196">
        <v>718</v>
      </c>
      <c r="B966" s="196" t="s">
        <v>5722</v>
      </c>
      <c r="C966" s="196" t="s">
        <v>5721</v>
      </c>
      <c r="D966" s="196" t="s">
        <v>5723</v>
      </c>
      <c r="E966" s="196" t="s">
        <v>1921</v>
      </c>
      <c r="F966" s="196">
        <v>2008</v>
      </c>
      <c r="G966" s="196"/>
      <c r="H966" s="196" t="s">
        <v>2734</v>
      </c>
      <c r="I966" s="141" t="s">
        <v>1879</v>
      </c>
      <c r="J966" s="196" t="s">
        <v>2237</v>
      </c>
      <c r="K966" s="196" t="s">
        <v>1881</v>
      </c>
      <c r="L966" s="141" t="s">
        <v>5724</v>
      </c>
      <c r="M966" s="196">
        <v>162</v>
      </c>
      <c r="N966" s="196"/>
      <c r="O966" s="196" t="s">
        <v>5137</v>
      </c>
      <c r="P966" s="144">
        <v>960</v>
      </c>
      <c r="Q966" s="145">
        <f t="shared" si="58"/>
        <v>5.6843000000000004</v>
      </c>
      <c r="R966" s="203">
        <v>3.49</v>
      </c>
      <c r="S966" s="203"/>
      <c r="T966" s="151"/>
      <c r="U966" s="151">
        <v>1.7</v>
      </c>
      <c r="V966" s="151">
        <v>0.25</v>
      </c>
      <c r="W966" s="151">
        <f t="shared" si="57"/>
        <v>3.49</v>
      </c>
      <c r="X966" s="152">
        <f t="shared" si="59"/>
        <v>0.24430000000000002</v>
      </c>
      <c r="Y966" s="152"/>
      <c r="Z966" s="148"/>
      <c r="AA966" s="153"/>
      <c r="AB966" s="153"/>
      <c r="AC966" s="153"/>
      <c r="AD966" s="153"/>
      <c r="AH966" s="147"/>
    </row>
    <row r="967" spans="1:34" s="146" customFormat="1" x14ac:dyDescent="0.25">
      <c r="A967" s="196">
        <v>703</v>
      </c>
      <c r="B967" s="196"/>
      <c r="C967" s="196" t="s">
        <v>5725</v>
      </c>
      <c r="D967" s="196" t="s">
        <v>5708</v>
      </c>
      <c r="E967" s="196"/>
      <c r="F967" s="196">
        <v>1992</v>
      </c>
      <c r="G967" s="196"/>
      <c r="H967" s="196" t="s">
        <v>2734</v>
      </c>
      <c r="I967" s="141" t="s">
        <v>1879</v>
      </c>
      <c r="J967" s="196" t="s">
        <v>2237</v>
      </c>
      <c r="K967" s="196" t="s">
        <v>1881</v>
      </c>
      <c r="L967" s="141" t="s">
        <v>5726</v>
      </c>
      <c r="M967" s="196">
        <v>354</v>
      </c>
      <c r="N967" s="196"/>
      <c r="O967" s="196" t="s">
        <v>5138</v>
      </c>
      <c r="P967" s="144">
        <v>1736</v>
      </c>
      <c r="Q967" s="145">
        <f t="shared" si="58"/>
        <v>4.3075000000000001</v>
      </c>
      <c r="R967" s="203">
        <v>0.25</v>
      </c>
      <c r="S967" s="203"/>
      <c r="T967" s="151"/>
      <c r="U967" s="151">
        <v>3.79</v>
      </c>
      <c r="V967" s="151">
        <v>0.25</v>
      </c>
      <c r="W967" s="151">
        <f t="shared" si="57"/>
        <v>0.25</v>
      </c>
      <c r="X967" s="152">
        <f t="shared" si="59"/>
        <v>1.7500000000000002E-2</v>
      </c>
      <c r="Y967" s="152"/>
      <c r="Z967" s="148"/>
      <c r="AA967" s="153"/>
      <c r="AB967" s="153"/>
      <c r="AC967" s="153"/>
      <c r="AD967" s="153"/>
      <c r="AH967" s="147"/>
    </row>
    <row r="968" spans="1:34" s="146" customFormat="1" x14ac:dyDescent="0.25">
      <c r="A968" s="196">
        <v>703</v>
      </c>
      <c r="B968" s="196"/>
      <c r="C968" s="196" t="s">
        <v>5727</v>
      </c>
      <c r="D968" s="196" t="s">
        <v>5728</v>
      </c>
      <c r="E968" s="196"/>
      <c r="F968" s="196">
        <v>2000</v>
      </c>
      <c r="G968" s="196"/>
      <c r="H968" s="196" t="s">
        <v>2734</v>
      </c>
      <c r="I968" s="141" t="s">
        <v>1879</v>
      </c>
      <c r="J968" s="196" t="s">
        <v>2237</v>
      </c>
      <c r="K968" s="196" t="s">
        <v>1881</v>
      </c>
      <c r="L968" s="141" t="s">
        <v>5729</v>
      </c>
      <c r="M968" s="196">
        <v>234</v>
      </c>
      <c r="N968" s="196"/>
      <c r="O968" s="196" t="s">
        <v>5139</v>
      </c>
      <c r="P968" s="144">
        <v>1390</v>
      </c>
      <c r="Q968" s="145">
        <f t="shared" si="58"/>
        <v>5.3133000000000008</v>
      </c>
      <c r="R968" s="203">
        <v>1.19</v>
      </c>
      <c r="S968" s="203"/>
      <c r="T968" s="151"/>
      <c r="U968" s="151">
        <v>3.79</v>
      </c>
      <c r="V968" s="151">
        <v>0.25</v>
      </c>
      <c r="W968" s="151">
        <f t="shared" si="57"/>
        <v>1.19</v>
      </c>
      <c r="X968" s="152">
        <f t="shared" si="59"/>
        <v>8.3299999999999999E-2</v>
      </c>
      <c r="Y968" s="152"/>
      <c r="Z968" s="148"/>
      <c r="AA968" s="153"/>
      <c r="AB968" s="153"/>
      <c r="AC968" s="153"/>
      <c r="AD968" s="153"/>
      <c r="AH968" s="147"/>
    </row>
    <row r="969" spans="1:34" s="146" customFormat="1" x14ac:dyDescent="0.25">
      <c r="A969" s="196">
        <v>591</v>
      </c>
      <c r="B969" s="196" t="s">
        <v>5730</v>
      </c>
      <c r="C969" s="196" t="s">
        <v>5731</v>
      </c>
      <c r="D969" s="196" t="s">
        <v>5732</v>
      </c>
      <c r="E969" s="196"/>
      <c r="F969" s="196">
        <v>2000</v>
      </c>
      <c r="G969" s="196"/>
      <c r="H969" s="196" t="s">
        <v>2734</v>
      </c>
      <c r="I969" s="141" t="s">
        <v>1879</v>
      </c>
      <c r="J969" s="196"/>
      <c r="K969" s="196" t="s">
        <v>1881</v>
      </c>
      <c r="L969" s="141" t="s">
        <v>5733</v>
      </c>
      <c r="M969" s="196">
        <v>362</v>
      </c>
      <c r="N969" s="196"/>
      <c r="O969" s="196" t="s">
        <v>5140</v>
      </c>
      <c r="P969" s="144">
        <v>1513</v>
      </c>
      <c r="Q969" s="145">
        <f t="shared" si="58"/>
        <v>5.8483000000000001</v>
      </c>
      <c r="R969" s="203">
        <v>1.69</v>
      </c>
      <c r="S969" s="203"/>
      <c r="T969" s="151"/>
      <c r="U969" s="151">
        <v>3.79</v>
      </c>
      <c r="V969" s="151">
        <v>0.25</v>
      </c>
      <c r="W969" s="151">
        <f t="shared" si="57"/>
        <v>1.69</v>
      </c>
      <c r="X969" s="152">
        <f t="shared" si="59"/>
        <v>0.11829999999999999</v>
      </c>
      <c r="Y969" s="152"/>
      <c r="Z969" s="148"/>
      <c r="AA969" s="153"/>
      <c r="AB969" s="153"/>
      <c r="AC969" s="153"/>
      <c r="AD969" s="153"/>
      <c r="AH969" s="147"/>
    </row>
    <row r="970" spans="1:34" s="146" customFormat="1" x14ac:dyDescent="0.25">
      <c r="A970" s="196">
        <v>844</v>
      </c>
      <c r="B970" s="196" t="s">
        <v>5710</v>
      </c>
      <c r="C970" s="196" t="s">
        <v>2678</v>
      </c>
      <c r="D970" s="196"/>
      <c r="E970" s="196"/>
      <c r="F970" s="196">
        <v>2005</v>
      </c>
      <c r="G970" s="196"/>
      <c r="H970" s="196" t="s">
        <v>2734</v>
      </c>
      <c r="I970" s="141" t="s">
        <v>1879</v>
      </c>
      <c r="J970" s="196" t="s">
        <v>2237</v>
      </c>
      <c r="K970" s="196" t="s">
        <v>1881</v>
      </c>
      <c r="L970" s="141"/>
      <c r="M970" s="196">
        <v>50</v>
      </c>
      <c r="N970" s="196"/>
      <c r="O970" s="196" t="s">
        <v>5141</v>
      </c>
      <c r="P970" s="144">
        <v>436</v>
      </c>
      <c r="Q970" s="145">
        <f t="shared" si="58"/>
        <v>2.5093000000000001</v>
      </c>
      <c r="R970" s="203">
        <v>0.99</v>
      </c>
      <c r="S970" s="203"/>
      <c r="T970" s="151"/>
      <c r="U970" s="151">
        <v>1.2</v>
      </c>
      <c r="V970" s="151">
        <v>0.25</v>
      </c>
      <c r="W970" s="151">
        <f t="shared" si="57"/>
        <v>0.99</v>
      </c>
      <c r="X970" s="152">
        <f t="shared" si="59"/>
        <v>6.93E-2</v>
      </c>
      <c r="Y970" s="152"/>
      <c r="Z970" s="148"/>
      <c r="AA970" s="153"/>
      <c r="AB970" s="153"/>
      <c r="AC970" s="153"/>
      <c r="AD970" s="153"/>
      <c r="AH970" s="147"/>
    </row>
    <row r="971" spans="1:34" s="146" customFormat="1" x14ac:dyDescent="0.25">
      <c r="A971" s="196">
        <v>844</v>
      </c>
      <c r="B971" s="196" t="s">
        <v>5734</v>
      </c>
      <c r="C971" s="196" t="s">
        <v>5735</v>
      </c>
      <c r="D971" s="196" t="s">
        <v>4930</v>
      </c>
      <c r="E971" s="196"/>
      <c r="F971" s="196">
        <v>2005</v>
      </c>
      <c r="G971" s="196"/>
      <c r="H971" s="196" t="s">
        <v>2734</v>
      </c>
      <c r="I971" s="141" t="s">
        <v>1879</v>
      </c>
      <c r="J971" s="196" t="s">
        <v>2237</v>
      </c>
      <c r="K971" s="196" t="s">
        <v>1881</v>
      </c>
      <c r="L971" s="141"/>
      <c r="M971" s="196">
        <v>94</v>
      </c>
      <c r="N971" s="196"/>
      <c r="O971" s="196" t="s">
        <v>5142</v>
      </c>
      <c r="P971" s="144">
        <v>553</v>
      </c>
      <c r="Q971" s="145">
        <f t="shared" si="58"/>
        <v>3.8653000000000004</v>
      </c>
      <c r="R971" s="203">
        <v>1.79</v>
      </c>
      <c r="S971" s="203"/>
      <c r="T971" s="151"/>
      <c r="U971" s="151">
        <v>1.7</v>
      </c>
      <c r="V971" s="151">
        <v>0.25</v>
      </c>
      <c r="W971" s="151">
        <f t="shared" si="57"/>
        <v>1.79</v>
      </c>
      <c r="X971" s="152">
        <f t="shared" si="59"/>
        <v>0.12529999999999999</v>
      </c>
      <c r="Y971" s="152"/>
      <c r="Z971" s="148"/>
      <c r="AA971" s="153"/>
      <c r="AB971" s="153"/>
      <c r="AC971" s="153"/>
      <c r="AD971" s="153"/>
      <c r="AH971" s="147"/>
    </row>
    <row r="972" spans="1:34" s="146" customFormat="1" x14ac:dyDescent="0.25">
      <c r="A972" s="196">
        <v>897</v>
      </c>
      <c r="B972" s="196"/>
      <c r="C972" s="196" t="s">
        <v>5736</v>
      </c>
      <c r="D972" s="196" t="s">
        <v>1927</v>
      </c>
      <c r="E972" s="196"/>
      <c r="F972" s="196"/>
      <c r="G972" s="196"/>
      <c r="H972" s="196" t="s">
        <v>2734</v>
      </c>
      <c r="I972" s="141" t="s">
        <v>1879</v>
      </c>
      <c r="J972" s="196" t="s">
        <v>5737</v>
      </c>
      <c r="K972" s="196" t="s">
        <v>1881</v>
      </c>
      <c r="L972" s="141" t="s">
        <v>5738</v>
      </c>
      <c r="M972" s="196">
        <v>98</v>
      </c>
      <c r="N972" s="196"/>
      <c r="O972" s="196" t="s">
        <v>5143</v>
      </c>
      <c r="P972" s="144">
        <v>667</v>
      </c>
      <c r="Q972" s="145">
        <f t="shared" si="58"/>
        <v>3.9722999999999997</v>
      </c>
      <c r="R972" s="203">
        <v>1.89</v>
      </c>
      <c r="S972" s="203"/>
      <c r="T972" s="151"/>
      <c r="U972" s="151">
        <v>1.7</v>
      </c>
      <c r="V972" s="151">
        <v>0.25</v>
      </c>
      <c r="W972" s="151">
        <f t="shared" si="57"/>
        <v>1.89</v>
      </c>
      <c r="X972" s="152">
        <f t="shared" si="59"/>
        <v>0.1323</v>
      </c>
      <c r="Y972" s="152"/>
      <c r="Z972" s="148"/>
      <c r="AA972" s="153"/>
      <c r="AB972" s="153"/>
      <c r="AC972" s="153"/>
      <c r="AD972" s="153"/>
      <c r="AH972" s="147"/>
    </row>
    <row r="973" spans="1:34" s="146" customFormat="1" x14ac:dyDescent="0.25">
      <c r="A973" s="196">
        <v>2650</v>
      </c>
      <c r="B973" s="196" t="s">
        <v>5739</v>
      </c>
      <c r="C973" s="196" t="s">
        <v>5740</v>
      </c>
      <c r="D973" s="196" t="s">
        <v>2054</v>
      </c>
      <c r="E973" s="196"/>
      <c r="F973" s="196">
        <v>1995</v>
      </c>
      <c r="G973" s="196"/>
      <c r="H973" s="196" t="s">
        <v>2734</v>
      </c>
      <c r="I973" s="141" t="s">
        <v>1879</v>
      </c>
      <c r="J973" s="196"/>
      <c r="K973" s="196" t="s">
        <v>1881</v>
      </c>
      <c r="L973" s="141" t="s">
        <v>5741</v>
      </c>
      <c r="M973" s="196">
        <v>322</v>
      </c>
      <c r="N973" s="196"/>
      <c r="O973" s="196" t="s">
        <v>5144</v>
      </c>
      <c r="P973" s="144">
        <v>2332</v>
      </c>
      <c r="Q973" s="145">
        <f t="shared" si="58"/>
        <v>8.2623000000000015</v>
      </c>
      <c r="R973" s="203">
        <v>1.89</v>
      </c>
      <c r="S973" s="203"/>
      <c r="T973" s="151"/>
      <c r="U973" s="151">
        <v>5.99</v>
      </c>
      <c r="V973" s="151">
        <v>0.25</v>
      </c>
      <c r="W973" s="151">
        <f t="shared" si="57"/>
        <v>1.89</v>
      </c>
      <c r="X973" s="152">
        <f t="shared" si="59"/>
        <v>0.1323</v>
      </c>
      <c r="Y973" s="152"/>
      <c r="Z973" s="148"/>
      <c r="AA973" s="153"/>
      <c r="AB973" s="153"/>
      <c r="AC973" s="153"/>
      <c r="AD973" s="153"/>
      <c r="AH973" s="147"/>
    </row>
    <row r="974" spans="1:34" s="146" customFormat="1" x14ac:dyDescent="0.25">
      <c r="A974" s="196">
        <v>273</v>
      </c>
      <c r="B974" s="196"/>
      <c r="C974" s="196" t="s">
        <v>5742</v>
      </c>
      <c r="D974" s="196" t="s">
        <v>5743</v>
      </c>
      <c r="E974" s="196"/>
      <c r="F974" s="196">
        <v>1990</v>
      </c>
      <c r="G974" s="196"/>
      <c r="H974" s="196" t="s">
        <v>2734</v>
      </c>
      <c r="I974" s="141" t="s">
        <v>1879</v>
      </c>
      <c r="J974" s="196"/>
      <c r="K974" s="196" t="s">
        <v>1881</v>
      </c>
      <c r="L974" s="141" t="s">
        <v>5744</v>
      </c>
      <c r="M974" s="196">
        <v>642</v>
      </c>
      <c r="N974" s="196"/>
      <c r="O974" s="196" t="s">
        <v>5145</v>
      </c>
      <c r="P974" s="144">
        <v>2357</v>
      </c>
      <c r="Q974" s="145">
        <f t="shared" si="58"/>
        <v>8.3693000000000008</v>
      </c>
      <c r="R974" s="203">
        <v>1.99</v>
      </c>
      <c r="S974" s="203"/>
      <c r="T974" s="151"/>
      <c r="U974" s="151">
        <v>5.99</v>
      </c>
      <c r="V974" s="151">
        <v>0.25</v>
      </c>
      <c r="W974" s="151">
        <f t="shared" si="57"/>
        <v>1.99</v>
      </c>
      <c r="X974" s="152">
        <f t="shared" si="59"/>
        <v>0.13930000000000001</v>
      </c>
      <c r="Y974" s="152"/>
      <c r="Z974" s="148"/>
      <c r="AA974" s="153"/>
      <c r="AB974" s="153"/>
      <c r="AC974" s="153"/>
      <c r="AD974" s="153"/>
      <c r="AH974" s="147"/>
    </row>
    <row r="975" spans="1:34" s="146" customFormat="1" x14ac:dyDescent="0.25">
      <c r="A975" s="196">
        <v>137</v>
      </c>
      <c r="B975" s="196" t="s">
        <v>5745</v>
      </c>
      <c r="C975" s="196" t="s">
        <v>5746</v>
      </c>
      <c r="D975" s="196" t="s">
        <v>5747</v>
      </c>
      <c r="E975" s="196"/>
      <c r="F975" s="196">
        <v>2002</v>
      </c>
      <c r="G975" s="196"/>
      <c r="H975" s="196" t="s">
        <v>1878</v>
      </c>
      <c r="I975" s="141" t="s">
        <v>1914</v>
      </c>
      <c r="J975" s="196"/>
      <c r="K975" s="196" t="s">
        <v>5748</v>
      </c>
      <c r="L975" s="141" t="s">
        <v>5749</v>
      </c>
      <c r="M975" s="196">
        <v>168</v>
      </c>
      <c r="N975" s="196"/>
      <c r="O975" s="196" t="s">
        <v>5146</v>
      </c>
      <c r="P975" s="144">
        <v>441</v>
      </c>
      <c r="Q975" s="145">
        <f t="shared" si="58"/>
        <v>3.5792999999999999</v>
      </c>
      <c r="R975" s="203">
        <v>1.99</v>
      </c>
      <c r="S975" s="203"/>
      <c r="T975" s="151"/>
      <c r="U975" s="151">
        <v>1.2</v>
      </c>
      <c r="V975" s="151">
        <v>0.25</v>
      </c>
      <c r="W975" s="151">
        <f t="shared" si="57"/>
        <v>1.99</v>
      </c>
      <c r="X975" s="152">
        <f t="shared" si="59"/>
        <v>0.13930000000000001</v>
      </c>
      <c r="Y975" s="152"/>
      <c r="Z975" s="148"/>
      <c r="AA975" s="153"/>
      <c r="AB975" s="153"/>
      <c r="AC975" s="153"/>
      <c r="AD975" s="153"/>
      <c r="AH975" s="147"/>
    </row>
    <row r="976" spans="1:34" s="146" customFormat="1" x14ac:dyDescent="0.25">
      <c r="A976" s="196">
        <v>442</v>
      </c>
      <c r="B976" s="196"/>
      <c r="C976" s="196" t="s">
        <v>5750</v>
      </c>
      <c r="D976" s="196" t="s">
        <v>5751</v>
      </c>
      <c r="E976" s="196"/>
      <c r="F976" s="196">
        <v>2009</v>
      </c>
      <c r="G976" s="196"/>
      <c r="H976" s="196" t="s">
        <v>1878</v>
      </c>
      <c r="I976" s="141" t="s">
        <v>1879</v>
      </c>
      <c r="J976" s="196" t="s">
        <v>5752</v>
      </c>
      <c r="K976" s="196" t="s">
        <v>5753</v>
      </c>
      <c r="L976" s="141" t="s">
        <v>5754</v>
      </c>
      <c r="M976" s="196">
        <v>192</v>
      </c>
      <c r="N976" s="196"/>
      <c r="O976" s="196" t="s">
        <v>5147</v>
      </c>
      <c r="P976" s="144">
        <v>502</v>
      </c>
      <c r="Q976" s="145">
        <f t="shared" si="58"/>
        <v>8.8942999999999994</v>
      </c>
      <c r="R976" s="203">
        <v>6.49</v>
      </c>
      <c r="S976" s="203"/>
      <c r="T976" s="151"/>
      <c r="U976" s="151">
        <v>1.7</v>
      </c>
      <c r="V976" s="151">
        <v>0.25</v>
      </c>
      <c r="W976" s="151">
        <f t="shared" si="57"/>
        <v>6.49</v>
      </c>
      <c r="X976" s="152">
        <f t="shared" si="59"/>
        <v>0.45429999999999998</v>
      </c>
      <c r="Y976" s="152"/>
      <c r="Z976" s="148"/>
      <c r="AA976" s="153"/>
      <c r="AB976" s="153"/>
      <c r="AC976" s="153"/>
      <c r="AD976" s="153"/>
      <c r="AH976" s="147"/>
    </row>
    <row r="977" spans="1:34" s="146" customFormat="1" x14ac:dyDescent="0.25">
      <c r="A977" s="196">
        <v>589</v>
      </c>
      <c r="B977" s="196" t="s">
        <v>5755</v>
      </c>
      <c r="C977" s="196" t="s">
        <v>5756</v>
      </c>
      <c r="D977" s="196" t="s">
        <v>4357</v>
      </c>
      <c r="E977" s="196"/>
      <c r="F977" s="196">
        <v>1998</v>
      </c>
      <c r="G977" s="196"/>
      <c r="H977" s="196" t="s">
        <v>2734</v>
      </c>
      <c r="I977" s="141" t="s">
        <v>1879</v>
      </c>
      <c r="J977" s="196" t="s">
        <v>5752</v>
      </c>
      <c r="K977" s="196" t="s">
        <v>1881</v>
      </c>
      <c r="L977" s="141" t="s">
        <v>5757</v>
      </c>
      <c r="M977" s="196">
        <v>50</v>
      </c>
      <c r="N977" s="196"/>
      <c r="O977" s="196" t="s">
        <v>5148</v>
      </c>
      <c r="P977" s="144">
        <v>390</v>
      </c>
      <c r="Q977" s="145">
        <f t="shared" si="58"/>
        <v>4.1143000000000001</v>
      </c>
      <c r="R977" s="203">
        <v>2.4900000000000002</v>
      </c>
      <c r="S977" s="203"/>
      <c r="T977" s="151"/>
      <c r="U977" s="151">
        <v>1.2</v>
      </c>
      <c r="V977" s="151">
        <v>0.25</v>
      </c>
      <c r="W977" s="151">
        <f t="shared" si="57"/>
        <v>2.4900000000000002</v>
      </c>
      <c r="X977" s="152">
        <f t="shared" si="59"/>
        <v>0.17430000000000001</v>
      </c>
      <c r="Y977" s="152"/>
      <c r="Z977" s="148"/>
      <c r="AA977" s="153"/>
      <c r="AB977" s="153"/>
      <c r="AC977" s="153"/>
      <c r="AD977" s="153"/>
      <c r="AH977" s="147"/>
    </row>
    <row r="978" spans="1:34" s="146" customFormat="1" x14ac:dyDescent="0.25">
      <c r="A978" s="196">
        <v>853</v>
      </c>
      <c r="B978" s="196" t="s">
        <v>5758</v>
      </c>
      <c r="C978" s="196" t="s">
        <v>5759</v>
      </c>
      <c r="D978" s="196"/>
      <c r="E978" s="196"/>
      <c r="F978" s="196">
        <v>1979</v>
      </c>
      <c r="G978" s="196"/>
      <c r="H978" s="196" t="s">
        <v>2734</v>
      </c>
      <c r="I978" s="141" t="s">
        <v>1879</v>
      </c>
      <c r="J978" s="196"/>
      <c r="K978" s="196" t="s">
        <v>1881</v>
      </c>
      <c r="L978" s="141" t="s">
        <v>5760</v>
      </c>
      <c r="M978" s="196">
        <v>78</v>
      </c>
      <c r="N978" s="196"/>
      <c r="O978" s="196" t="s">
        <v>5149</v>
      </c>
      <c r="P978" s="144">
        <v>829</v>
      </c>
      <c r="Q978" s="145">
        <f t="shared" si="58"/>
        <v>7.6103000000000005</v>
      </c>
      <c r="R978" s="203">
        <v>5.29</v>
      </c>
      <c r="S978" s="203"/>
      <c r="T978" s="151"/>
      <c r="U978" s="151">
        <v>1.7</v>
      </c>
      <c r="V978" s="151">
        <v>0.25</v>
      </c>
      <c r="W978" s="151">
        <f t="shared" si="57"/>
        <v>5.29</v>
      </c>
      <c r="X978" s="152">
        <f t="shared" si="59"/>
        <v>0.37030000000000002</v>
      </c>
      <c r="Y978" s="152"/>
      <c r="Z978" s="148"/>
      <c r="AA978" s="153"/>
      <c r="AB978" s="153"/>
      <c r="AC978" s="153"/>
      <c r="AD978" s="153"/>
      <c r="AH978" s="147"/>
    </row>
    <row r="979" spans="1:34" s="146" customFormat="1" x14ac:dyDescent="0.25">
      <c r="A979" s="196">
        <v>691</v>
      </c>
      <c r="B979" s="196"/>
      <c r="C979" s="196" t="s">
        <v>5761</v>
      </c>
      <c r="D979" s="196" t="s">
        <v>5762</v>
      </c>
      <c r="E979" s="196"/>
      <c r="F979" s="196">
        <v>2010</v>
      </c>
      <c r="G979" s="196"/>
      <c r="H979" s="196" t="s">
        <v>2734</v>
      </c>
      <c r="I979" s="141" t="s">
        <v>1879</v>
      </c>
      <c r="J979" s="196" t="s">
        <v>3202</v>
      </c>
      <c r="K979" s="196" t="s">
        <v>1881</v>
      </c>
      <c r="L979" s="141" t="s">
        <v>5763</v>
      </c>
      <c r="M979" s="196">
        <v>86</v>
      </c>
      <c r="N979" s="196"/>
      <c r="O979" s="196" t="s">
        <v>5150</v>
      </c>
      <c r="P979" s="144">
        <v>573</v>
      </c>
      <c r="Q979" s="145">
        <f t="shared" si="58"/>
        <v>2.9022999999999999</v>
      </c>
      <c r="R979" s="203">
        <v>0.89</v>
      </c>
      <c r="S979" s="203"/>
      <c r="T979" s="151"/>
      <c r="U979" s="151">
        <v>1.7</v>
      </c>
      <c r="V979" s="151">
        <v>0.25</v>
      </c>
      <c r="W979" s="151">
        <f t="shared" si="57"/>
        <v>0.89</v>
      </c>
      <c r="X979" s="152">
        <f t="shared" si="59"/>
        <v>6.2300000000000001E-2</v>
      </c>
      <c r="Y979" s="152"/>
      <c r="Z979" s="148"/>
      <c r="AA979" s="153"/>
      <c r="AB979" s="153"/>
      <c r="AC979" s="153"/>
      <c r="AD979" s="153"/>
      <c r="AH979" s="147"/>
    </row>
    <row r="980" spans="1:34" s="146" customFormat="1" x14ac:dyDescent="0.25">
      <c r="A980" s="196">
        <v>774</v>
      </c>
      <c r="B980" s="196" t="s">
        <v>5764</v>
      </c>
      <c r="C980" s="196" t="s">
        <v>5765</v>
      </c>
      <c r="D980" s="196" t="s">
        <v>5766</v>
      </c>
      <c r="E980" s="196" t="s">
        <v>1877</v>
      </c>
      <c r="F980" s="196">
        <v>2002</v>
      </c>
      <c r="G980" s="196"/>
      <c r="H980" s="196" t="s">
        <v>2734</v>
      </c>
      <c r="I980" s="141" t="s">
        <v>1879</v>
      </c>
      <c r="J980" s="196" t="s">
        <v>3202</v>
      </c>
      <c r="K980" s="196" t="s">
        <v>1881</v>
      </c>
      <c r="L980" s="141" t="s">
        <v>5767</v>
      </c>
      <c r="M980" s="196"/>
      <c r="N980" s="196"/>
      <c r="O980" s="196" t="s">
        <v>5151</v>
      </c>
      <c r="P980" s="144">
        <v>731</v>
      </c>
      <c r="Q980" s="145">
        <f t="shared" si="58"/>
        <v>3.5442999999999998</v>
      </c>
      <c r="R980" s="203">
        <v>1.49</v>
      </c>
      <c r="S980" s="203"/>
      <c r="T980" s="151"/>
      <c r="U980" s="151">
        <v>1.7</v>
      </c>
      <c r="V980" s="151">
        <v>0.25</v>
      </c>
      <c r="W980" s="151">
        <f t="shared" si="57"/>
        <v>1.49</v>
      </c>
      <c r="X980" s="152">
        <f t="shared" si="59"/>
        <v>0.1043</v>
      </c>
      <c r="Y980" s="152"/>
      <c r="Z980" s="148"/>
      <c r="AA980" s="153"/>
      <c r="AB980" s="153"/>
      <c r="AC980" s="153"/>
      <c r="AD980" s="153"/>
      <c r="AH980" s="147"/>
    </row>
    <row r="981" spans="1:34" s="146" customFormat="1" x14ac:dyDescent="0.25">
      <c r="A981" s="196">
        <v>1285</v>
      </c>
      <c r="B981" s="196"/>
      <c r="C981" s="196" t="s">
        <v>5768</v>
      </c>
      <c r="D981" s="196" t="s">
        <v>5769</v>
      </c>
      <c r="E981" s="196"/>
      <c r="F981" s="196">
        <v>1986</v>
      </c>
      <c r="G981" s="196"/>
      <c r="H981" s="196" t="s">
        <v>1878</v>
      </c>
      <c r="I981" s="141" t="s">
        <v>1879</v>
      </c>
      <c r="J981" s="196"/>
      <c r="K981" s="196" t="s">
        <v>1881</v>
      </c>
      <c r="L981" s="141" t="s">
        <v>5770</v>
      </c>
      <c r="M981" s="196">
        <v>112</v>
      </c>
      <c r="N981" s="196"/>
      <c r="O981" s="196" t="s">
        <v>5152</v>
      </c>
      <c r="P981" s="144">
        <v>529</v>
      </c>
      <c r="Q981" s="145">
        <f t="shared" si="58"/>
        <v>2.2603</v>
      </c>
      <c r="R981" s="203">
        <v>0.28999999999999998</v>
      </c>
      <c r="S981" s="203"/>
      <c r="T981" s="151"/>
      <c r="U981" s="151">
        <v>1.7</v>
      </c>
      <c r="V981" s="151">
        <v>0.25</v>
      </c>
      <c r="W981" s="151">
        <f t="shared" si="57"/>
        <v>0.28999999999999998</v>
      </c>
      <c r="X981" s="152">
        <f t="shared" si="59"/>
        <v>2.0299999999999999E-2</v>
      </c>
      <c r="Y981" s="152"/>
      <c r="Z981" s="148"/>
      <c r="AA981" s="153"/>
      <c r="AB981" s="153"/>
      <c r="AC981" s="153"/>
      <c r="AD981" s="153"/>
      <c r="AH981" s="147"/>
    </row>
    <row r="982" spans="1:34" s="146" customFormat="1" x14ac:dyDescent="0.25">
      <c r="A982" s="196">
        <v>691</v>
      </c>
      <c r="B982" s="196"/>
      <c r="C982" s="196" t="s">
        <v>5771</v>
      </c>
      <c r="D982" s="196" t="s">
        <v>5772</v>
      </c>
      <c r="E982" s="196"/>
      <c r="F982" s="196"/>
      <c r="G982" s="196"/>
      <c r="H982" s="196" t="s">
        <v>2734</v>
      </c>
      <c r="I982" s="141" t="s">
        <v>1879</v>
      </c>
      <c r="J982" s="196"/>
      <c r="K982" s="196" t="s">
        <v>1881</v>
      </c>
      <c r="L982" s="141" t="s">
        <v>5773</v>
      </c>
      <c r="M982" s="196">
        <v>86</v>
      </c>
      <c r="N982" s="196"/>
      <c r="O982" s="196" t="s">
        <v>5153</v>
      </c>
      <c r="P982" s="144">
        <v>505</v>
      </c>
      <c r="Q982" s="145">
        <f t="shared" si="58"/>
        <v>3.1162999999999998</v>
      </c>
      <c r="R982" s="203">
        <v>1.0900000000000001</v>
      </c>
      <c r="S982" s="203"/>
      <c r="T982" s="151"/>
      <c r="U982" s="151">
        <v>1.7</v>
      </c>
      <c r="V982" s="151">
        <v>0.25</v>
      </c>
      <c r="W982" s="151">
        <f t="shared" si="57"/>
        <v>1.0900000000000001</v>
      </c>
      <c r="X982" s="152">
        <f t="shared" si="59"/>
        <v>7.6300000000000007E-2</v>
      </c>
      <c r="Y982" s="152"/>
      <c r="Z982" s="148"/>
      <c r="AA982" s="153"/>
      <c r="AB982" s="153"/>
      <c r="AC982" s="153"/>
      <c r="AD982" s="153"/>
      <c r="AH982" s="147"/>
    </row>
    <row r="983" spans="1:34" s="146" customFormat="1" x14ac:dyDescent="0.25">
      <c r="A983" s="196">
        <v>624</v>
      </c>
      <c r="B983" s="196"/>
      <c r="C983" s="196" t="s">
        <v>5774</v>
      </c>
      <c r="D983" s="196" t="s">
        <v>4334</v>
      </c>
      <c r="E983" s="196"/>
      <c r="F983" s="196"/>
      <c r="G983" s="196"/>
      <c r="H983" s="196" t="s">
        <v>2734</v>
      </c>
      <c r="I983" s="141" t="s">
        <v>1879</v>
      </c>
      <c r="J983" s="196" t="s">
        <v>4343</v>
      </c>
      <c r="K983" s="196" t="s">
        <v>1881</v>
      </c>
      <c r="L983" s="141" t="s">
        <v>5775</v>
      </c>
      <c r="M983" s="196"/>
      <c r="N983" s="196"/>
      <c r="O983" s="196" t="s">
        <v>5154</v>
      </c>
      <c r="P983" s="144">
        <v>850</v>
      </c>
      <c r="Q983" s="145">
        <f t="shared" si="58"/>
        <v>3.2232999999999996</v>
      </c>
      <c r="R983" s="203">
        <v>1.19</v>
      </c>
      <c r="S983" s="203"/>
      <c r="T983" s="151"/>
      <c r="U983" s="151">
        <v>1.7</v>
      </c>
      <c r="V983" s="151">
        <v>0.25</v>
      </c>
      <c r="W983" s="151">
        <f t="shared" si="57"/>
        <v>1.19</v>
      </c>
      <c r="X983" s="152">
        <f t="shared" si="59"/>
        <v>8.3299999999999999E-2</v>
      </c>
      <c r="Y983" s="152"/>
      <c r="Z983" s="148"/>
      <c r="AA983" s="153"/>
      <c r="AB983" s="153"/>
      <c r="AC983" s="153"/>
      <c r="AD983" s="153"/>
      <c r="AH983" s="147"/>
    </row>
    <row r="984" spans="1:34" s="146" customFormat="1" x14ac:dyDescent="0.25">
      <c r="A984" s="196">
        <v>2906</v>
      </c>
      <c r="B984" s="196"/>
      <c r="C984" s="196" t="s">
        <v>5776</v>
      </c>
      <c r="D984" s="196" t="s">
        <v>2054</v>
      </c>
      <c r="E984" s="196"/>
      <c r="F984" s="196">
        <v>2005</v>
      </c>
      <c r="G984" s="196"/>
      <c r="H984" s="196" t="s">
        <v>2734</v>
      </c>
      <c r="I984" s="141" t="s">
        <v>1929</v>
      </c>
      <c r="J984" s="196"/>
      <c r="K984" s="196" t="s">
        <v>1881</v>
      </c>
      <c r="L984" s="141" t="s">
        <v>5777</v>
      </c>
      <c r="M984" s="196">
        <v>98</v>
      </c>
      <c r="N984" s="196"/>
      <c r="O984" s="196" t="s">
        <v>5155</v>
      </c>
      <c r="P984" s="144">
        <v>568</v>
      </c>
      <c r="Q984" s="145">
        <f t="shared" si="58"/>
        <v>4.6143000000000001</v>
      </c>
      <c r="R984" s="203">
        <v>2.4900000000000002</v>
      </c>
      <c r="S984" s="203"/>
      <c r="T984" s="151"/>
      <c r="U984" s="151">
        <v>1.7</v>
      </c>
      <c r="V984" s="151">
        <v>0.25</v>
      </c>
      <c r="W984" s="151">
        <f t="shared" si="57"/>
        <v>2.4900000000000002</v>
      </c>
      <c r="X984" s="152">
        <f t="shared" si="59"/>
        <v>0.17430000000000001</v>
      </c>
      <c r="Y984" s="152"/>
      <c r="Z984" s="148"/>
      <c r="AA984" s="153"/>
      <c r="AB984" s="153"/>
      <c r="AC984" s="153"/>
      <c r="AD984" s="153"/>
      <c r="AH984" s="147"/>
    </row>
    <row r="985" spans="1:34" s="146" customFormat="1" x14ac:dyDescent="0.25">
      <c r="A985" s="196">
        <v>2912</v>
      </c>
      <c r="B985" s="196"/>
      <c r="C985" s="196" t="s">
        <v>5778</v>
      </c>
      <c r="D985" s="196" t="s">
        <v>2054</v>
      </c>
      <c r="E985" s="196"/>
      <c r="F985" s="196">
        <v>2005</v>
      </c>
      <c r="G985" s="196"/>
      <c r="H985" s="196" t="s">
        <v>2734</v>
      </c>
      <c r="I985" s="141" t="s">
        <v>1929</v>
      </c>
      <c r="J985" s="196"/>
      <c r="K985" s="196" t="s">
        <v>1881</v>
      </c>
      <c r="L985" s="141" t="s">
        <v>5779</v>
      </c>
      <c r="M985" s="196">
        <v>98</v>
      </c>
      <c r="N985" s="196"/>
      <c r="O985" s="196" t="s">
        <v>5156</v>
      </c>
      <c r="P985" s="144">
        <v>561</v>
      </c>
      <c r="Q985" s="145">
        <f t="shared" si="58"/>
        <v>3.9722999999999997</v>
      </c>
      <c r="R985" s="203">
        <v>1.89</v>
      </c>
      <c r="S985" s="203"/>
      <c r="T985" s="151"/>
      <c r="U985" s="151">
        <v>1.7</v>
      </c>
      <c r="V985" s="151">
        <v>0.25</v>
      </c>
      <c r="W985" s="151">
        <f t="shared" si="57"/>
        <v>1.89</v>
      </c>
      <c r="X985" s="152">
        <f t="shared" si="59"/>
        <v>0.1323</v>
      </c>
      <c r="Y985" s="152"/>
      <c r="Z985" s="148"/>
      <c r="AA985" s="153"/>
      <c r="AB985" s="153"/>
      <c r="AC985" s="153"/>
      <c r="AD985" s="153"/>
      <c r="AH985" s="147"/>
    </row>
    <row r="986" spans="1:34" s="146" customFormat="1" x14ac:dyDescent="0.25">
      <c r="A986" s="196">
        <v>803</v>
      </c>
      <c r="B986" s="196"/>
      <c r="C986" s="196" t="s">
        <v>5780</v>
      </c>
      <c r="D986" s="196" t="s">
        <v>4930</v>
      </c>
      <c r="E986" s="196"/>
      <c r="F986" s="196">
        <v>1996</v>
      </c>
      <c r="G986" s="196"/>
      <c r="H986" s="196" t="s">
        <v>2734</v>
      </c>
      <c r="I986" s="141" t="s">
        <v>1879</v>
      </c>
      <c r="J986" s="196"/>
      <c r="K986" s="196" t="s">
        <v>1881</v>
      </c>
      <c r="L986" s="141"/>
      <c r="M986" s="196">
        <v>434</v>
      </c>
      <c r="N986" s="196"/>
      <c r="O986" s="196" t="s">
        <v>5157</v>
      </c>
      <c r="P986" s="144">
        <v>1577</v>
      </c>
      <c r="Q986" s="145">
        <f t="shared" si="58"/>
        <v>7.7743000000000002</v>
      </c>
      <c r="R986" s="203">
        <v>3.49</v>
      </c>
      <c r="S986" s="203"/>
      <c r="T986" s="151"/>
      <c r="U986" s="151">
        <v>3.79</v>
      </c>
      <c r="V986" s="151">
        <v>0.25</v>
      </c>
      <c r="W986" s="151">
        <f t="shared" ref="W986:W1048" si="60">IF(R986&gt;T986,R986,T986)</f>
        <v>3.49</v>
      </c>
      <c r="X986" s="152">
        <f t="shared" si="59"/>
        <v>0.24430000000000002</v>
      </c>
      <c r="Y986" s="152"/>
      <c r="Z986" s="148"/>
      <c r="AA986" s="153"/>
      <c r="AB986" s="153"/>
      <c r="AC986" s="153"/>
      <c r="AD986" s="153"/>
      <c r="AH986" s="147"/>
    </row>
    <row r="987" spans="1:34" s="146" customFormat="1" x14ac:dyDescent="0.25">
      <c r="A987" s="196">
        <v>721</v>
      </c>
      <c r="B987" s="196"/>
      <c r="C987" s="196" t="s">
        <v>5781</v>
      </c>
      <c r="D987" s="196" t="s">
        <v>5782</v>
      </c>
      <c r="E987" s="196" t="s">
        <v>1921</v>
      </c>
      <c r="F987" s="196">
        <v>2004</v>
      </c>
      <c r="G987" s="196"/>
      <c r="H987" s="196" t="s">
        <v>2734</v>
      </c>
      <c r="I987" s="141" t="s">
        <v>1929</v>
      </c>
      <c r="J987" s="196"/>
      <c r="K987" s="196" t="s">
        <v>1881</v>
      </c>
      <c r="L987" s="141" t="s">
        <v>5783</v>
      </c>
      <c r="M987" s="196">
        <v>82</v>
      </c>
      <c r="N987" s="196"/>
      <c r="O987" s="196" t="s">
        <v>5158</v>
      </c>
      <c r="P987" s="144">
        <v>510</v>
      </c>
      <c r="Q987" s="145">
        <f t="shared" si="58"/>
        <v>3.4373</v>
      </c>
      <c r="R987" s="203">
        <v>1.39</v>
      </c>
      <c r="S987" s="203"/>
      <c r="T987" s="151"/>
      <c r="U987" s="151">
        <v>1.7</v>
      </c>
      <c r="V987" s="151">
        <v>0.25</v>
      </c>
      <c r="W987" s="151">
        <f t="shared" si="60"/>
        <v>1.39</v>
      </c>
      <c r="X987" s="152">
        <f t="shared" si="59"/>
        <v>9.7299999999999998E-2</v>
      </c>
      <c r="Y987" s="152"/>
      <c r="Z987" s="148"/>
      <c r="AA987" s="153"/>
      <c r="AB987" s="153"/>
      <c r="AC987" s="153"/>
      <c r="AD987" s="153"/>
      <c r="AH987" s="147"/>
    </row>
    <row r="988" spans="1:34" s="146" customFormat="1" x14ac:dyDescent="0.25">
      <c r="A988" s="196">
        <v>680</v>
      </c>
      <c r="B988" s="196" t="s">
        <v>5785</v>
      </c>
      <c r="C988" s="196" t="s">
        <v>5784</v>
      </c>
      <c r="D988" s="196" t="s">
        <v>2679</v>
      </c>
      <c r="E988" s="196"/>
      <c r="F988" s="196">
        <v>1996</v>
      </c>
      <c r="G988" s="196"/>
      <c r="H988" s="196" t="s">
        <v>1878</v>
      </c>
      <c r="I988" s="141" t="s">
        <v>1879</v>
      </c>
      <c r="J988" s="196" t="s">
        <v>3202</v>
      </c>
      <c r="K988" s="196" t="s">
        <v>1881</v>
      </c>
      <c r="L988" s="141" t="s">
        <v>5786</v>
      </c>
      <c r="M988" s="196">
        <v>132</v>
      </c>
      <c r="N988" s="196"/>
      <c r="O988" s="196" t="s">
        <v>5159</v>
      </c>
      <c r="P988" s="144">
        <v>383</v>
      </c>
      <c r="Q988" s="145">
        <f t="shared" si="58"/>
        <v>2.6162999999999998</v>
      </c>
      <c r="R988" s="203">
        <v>1.0900000000000001</v>
      </c>
      <c r="S988" s="203"/>
      <c r="T988" s="151"/>
      <c r="U988" s="151">
        <v>1.2</v>
      </c>
      <c r="V988" s="151">
        <v>0.25</v>
      </c>
      <c r="W988" s="151">
        <f t="shared" si="60"/>
        <v>1.0900000000000001</v>
      </c>
      <c r="X988" s="152">
        <f t="shared" si="59"/>
        <v>7.6300000000000007E-2</v>
      </c>
      <c r="Y988" s="152"/>
      <c r="Z988" s="148"/>
      <c r="AA988" s="153"/>
      <c r="AB988" s="153"/>
      <c r="AC988" s="153"/>
      <c r="AD988" s="153"/>
      <c r="AH988" s="147"/>
    </row>
    <row r="989" spans="1:34" s="146" customFormat="1" x14ac:dyDescent="0.25">
      <c r="A989" s="196">
        <v>680</v>
      </c>
      <c r="B989" s="196" t="s">
        <v>5785</v>
      </c>
      <c r="C989" s="196" t="s">
        <v>5787</v>
      </c>
      <c r="D989" s="196" t="s">
        <v>2679</v>
      </c>
      <c r="E989" s="196"/>
      <c r="F989" s="196"/>
      <c r="G989" s="196"/>
      <c r="H989" s="196" t="s">
        <v>1878</v>
      </c>
      <c r="I989" s="141" t="s">
        <v>1879</v>
      </c>
      <c r="J989" s="196" t="s">
        <v>3202</v>
      </c>
      <c r="K989" s="196" t="s">
        <v>1881</v>
      </c>
      <c r="L989" s="141" t="s">
        <v>5788</v>
      </c>
      <c r="M989" s="196">
        <v>132</v>
      </c>
      <c r="N989" s="196"/>
      <c r="O989" s="196" t="s">
        <v>5160</v>
      </c>
      <c r="P989" s="144">
        <v>380</v>
      </c>
      <c r="Q989" s="145">
        <f t="shared" si="58"/>
        <v>2.5093000000000001</v>
      </c>
      <c r="R989" s="203">
        <v>0.99</v>
      </c>
      <c r="S989" s="203"/>
      <c r="T989" s="151"/>
      <c r="U989" s="151">
        <v>1.2</v>
      </c>
      <c r="V989" s="151">
        <v>0.25</v>
      </c>
      <c r="W989" s="151">
        <f t="shared" si="60"/>
        <v>0.99</v>
      </c>
      <c r="X989" s="152">
        <f t="shared" si="59"/>
        <v>6.93E-2</v>
      </c>
      <c r="Y989" s="152"/>
      <c r="Z989" s="148"/>
      <c r="AA989" s="153"/>
      <c r="AB989" s="153"/>
      <c r="AC989" s="153"/>
      <c r="AD989" s="153"/>
      <c r="AH989" s="147"/>
    </row>
    <row r="990" spans="1:34" s="146" customFormat="1" x14ac:dyDescent="0.25">
      <c r="A990" s="196">
        <v>680</v>
      </c>
      <c r="B990" s="196" t="s">
        <v>5785</v>
      </c>
      <c r="C990" s="196" t="s">
        <v>5789</v>
      </c>
      <c r="D990" s="196" t="s">
        <v>5790</v>
      </c>
      <c r="E990" s="196"/>
      <c r="F990" s="196"/>
      <c r="G990" s="196"/>
      <c r="H990" s="196" t="s">
        <v>1878</v>
      </c>
      <c r="I990" s="141" t="s">
        <v>1879</v>
      </c>
      <c r="J990" s="196" t="s">
        <v>3202</v>
      </c>
      <c r="K990" s="196" t="s">
        <v>1881</v>
      </c>
      <c r="L990" s="141" t="s">
        <v>5791</v>
      </c>
      <c r="M990" s="196">
        <v>132</v>
      </c>
      <c r="N990" s="196"/>
      <c r="O990" s="196" t="s">
        <v>5161</v>
      </c>
      <c r="P990" s="144">
        <v>375</v>
      </c>
      <c r="Q990" s="145">
        <f t="shared" si="58"/>
        <v>2.6162999999999998</v>
      </c>
      <c r="R990" s="203">
        <v>1.0900000000000001</v>
      </c>
      <c r="S990" s="203"/>
      <c r="T990" s="151"/>
      <c r="U990" s="151">
        <v>1.2</v>
      </c>
      <c r="V990" s="151">
        <v>0.25</v>
      </c>
      <c r="W990" s="151">
        <f t="shared" si="60"/>
        <v>1.0900000000000001</v>
      </c>
      <c r="X990" s="152">
        <f t="shared" si="59"/>
        <v>7.6300000000000007E-2</v>
      </c>
      <c r="Y990" s="152"/>
      <c r="Z990" s="148"/>
      <c r="AA990" s="153"/>
      <c r="AB990" s="153"/>
      <c r="AC990" s="153"/>
      <c r="AD990" s="153"/>
      <c r="AH990" s="147"/>
    </row>
    <row r="991" spans="1:34" s="146" customFormat="1" x14ac:dyDescent="0.25">
      <c r="A991" s="196">
        <v>1339</v>
      </c>
      <c r="B991" s="196"/>
      <c r="C991" s="196" t="s">
        <v>5792</v>
      </c>
      <c r="D991" s="196" t="s">
        <v>4693</v>
      </c>
      <c r="E991" s="196"/>
      <c r="F991" s="196">
        <v>2006</v>
      </c>
      <c r="G991" s="196"/>
      <c r="H991" s="196" t="s">
        <v>1878</v>
      </c>
      <c r="I991" s="141" t="s">
        <v>1879</v>
      </c>
      <c r="J991" s="196" t="s">
        <v>2237</v>
      </c>
      <c r="K991" s="196" t="s">
        <v>1881</v>
      </c>
      <c r="L991" s="141" t="s">
        <v>5793</v>
      </c>
      <c r="M991" s="196">
        <v>192</v>
      </c>
      <c r="N991" s="196"/>
      <c r="O991" s="196" t="s">
        <v>5162</v>
      </c>
      <c r="P991" s="144">
        <v>570</v>
      </c>
      <c r="Q991" s="145">
        <f t="shared" si="58"/>
        <v>2.7953000000000001</v>
      </c>
      <c r="R991" s="203">
        <v>0.79</v>
      </c>
      <c r="S991" s="203"/>
      <c r="T991" s="151"/>
      <c r="U991" s="151">
        <v>1.7</v>
      </c>
      <c r="V991" s="151">
        <v>0.25</v>
      </c>
      <c r="W991" s="151">
        <f t="shared" si="60"/>
        <v>0.79</v>
      </c>
      <c r="X991" s="152">
        <f t="shared" si="59"/>
        <v>5.5300000000000002E-2</v>
      </c>
      <c r="Y991" s="152"/>
      <c r="Z991" s="148"/>
      <c r="AA991" s="153"/>
      <c r="AB991" s="153"/>
      <c r="AC991" s="153"/>
      <c r="AD991" s="153"/>
      <c r="AH991" s="147"/>
    </row>
    <row r="992" spans="1:34" s="146" customFormat="1" x14ac:dyDescent="0.25">
      <c r="A992" s="196">
        <v>323</v>
      </c>
      <c r="B992" s="196" t="s">
        <v>5794</v>
      </c>
      <c r="C992" s="196" t="s">
        <v>5795</v>
      </c>
      <c r="D992" s="196" t="s">
        <v>5701</v>
      </c>
      <c r="E992" s="196" t="s">
        <v>1877</v>
      </c>
      <c r="F992" s="196"/>
      <c r="G992" s="196"/>
      <c r="H992" s="196" t="s">
        <v>2734</v>
      </c>
      <c r="I992" s="141" t="s">
        <v>1879</v>
      </c>
      <c r="J992" s="196" t="s">
        <v>5796</v>
      </c>
      <c r="K992" s="196" t="s">
        <v>1881</v>
      </c>
      <c r="L992" s="141" t="s">
        <v>5797</v>
      </c>
      <c r="M992" s="196">
        <v>298</v>
      </c>
      <c r="N992" s="196"/>
      <c r="O992" s="196" t="s">
        <v>5163</v>
      </c>
      <c r="P992" s="144">
        <v>789</v>
      </c>
      <c r="Q992" s="145">
        <f t="shared" si="58"/>
        <v>2.4742999999999999</v>
      </c>
      <c r="R992" s="203">
        <v>0.49</v>
      </c>
      <c r="S992" s="203"/>
      <c r="T992" s="151"/>
      <c r="U992" s="151">
        <v>1.7</v>
      </c>
      <c r="V992" s="151">
        <v>0.25</v>
      </c>
      <c r="W992" s="151">
        <f t="shared" si="60"/>
        <v>0.49</v>
      </c>
      <c r="X992" s="152">
        <f t="shared" si="59"/>
        <v>3.4299999999999997E-2</v>
      </c>
      <c r="Y992" s="152"/>
      <c r="Z992" s="148"/>
      <c r="AA992" s="153"/>
      <c r="AB992" s="153"/>
      <c r="AC992" s="153"/>
      <c r="AD992" s="153"/>
      <c r="AH992" s="147"/>
    </row>
    <row r="993" spans="1:34" s="146" customFormat="1" x14ac:dyDescent="0.25">
      <c r="A993" s="196">
        <v>634</v>
      </c>
      <c r="B993" s="196" t="s">
        <v>5798</v>
      </c>
      <c r="C993" s="196" t="s">
        <v>5799</v>
      </c>
      <c r="D993" s="196" t="s">
        <v>1912</v>
      </c>
      <c r="E993" s="196"/>
      <c r="F993" s="196">
        <v>1993</v>
      </c>
      <c r="G993" s="196"/>
      <c r="H993" s="196" t="s">
        <v>1878</v>
      </c>
      <c r="I993" s="141" t="s">
        <v>1914</v>
      </c>
      <c r="J993" s="196"/>
      <c r="K993" s="196" t="s">
        <v>1881</v>
      </c>
      <c r="L993" s="141" t="s">
        <v>5800</v>
      </c>
      <c r="M993" s="196">
        <v>480</v>
      </c>
      <c r="N993" s="196"/>
      <c r="O993" s="196" t="s">
        <v>5164</v>
      </c>
      <c r="P993" s="144">
        <v>475</v>
      </c>
      <c r="Q993" s="145">
        <f t="shared" si="58"/>
        <v>2.2953000000000001</v>
      </c>
      <c r="R993" s="203">
        <v>0.79</v>
      </c>
      <c r="S993" s="203"/>
      <c r="T993" s="151"/>
      <c r="U993" s="151">
        <v>1.2</v>
      </c>
      <c r="V993" s="151">
        <v>0.25</v>
      </c>
      <c r="W993" s="151">
        <f t="shared" si="60"/>
        <v>0.79</v>
      </c>
      <c r="X993" s="152">
        <f t="shared" si="59"/>
        <v>5.5300000000000002E-2</v>
      </c>
      <c r="Y993" s="152"/>
      <c r="Z993" s="148"/>
      <c r="AA993" s="153"/>
      <c r="AB993" s="153"/>
      <c r="AC993" s="153"/>
      <c r="AD993" s="153"/>
      <c r="AH993" s="147"/>
    </row>
    <row r="994" spans="1:34" s="146" customFormat="1" x14ac:dyDescent="0.25">
      <c r="A994" s="196">
        <v>3</v>
      </c>
      <c r="B994" s="196" t="s">
        <v>5803</v>
      </c>
      <c r="C994" s="196" t="s">
        <v>5804</v>
      </c>
      <c r="D994" s="196" t="s">
        <v>5805</v>
      </c>
      <c r="E994" s="196" t="s">
        <v>1913</v>
      </c>
      <c r="F994" s="196">
        <v>1986</v>
      </c>
      <c r="G994" s="196"/>
      <c r="H994" s="196" t="s">
        <v>1878</v>
      </c>
      <c r="I994" s="141" t="s">
        <v>1879</v>
      </c>
      <c r="J994" s="196"/>
      <c r="K994" s="196" t="s">
        <v>1881</v>
      </c>
      <c r="L994" s="141" t="s">
        <v>5806</v>
      </c>
      <c r="M994" s="196">
        <v>292</v>
      </c>
      <c r="N994" s="196"/>
      <c r="O994" s="196" t="s">
        <v>5166</v>
      </c>
      <c r="P994" s="144">
        <v>402</v>
      </c>
      <c r="Q994" s="145">
        <f t="shared" si="58"/>
        <v>2.7232999999999996</v>
      </c>
      <c r="R994" s="203">
        <v>1.19</v>
      </c>
      <c r="S994" s="203"/>
      <c r="T994" s="151"/>
      <c r="U994" s="151">
        <v>1.2</v>
      </c>
      <c r="V994" s="151">
        <v>0.25</v>
      </c>
      <c r="W994" s="151">
        <f t="shared" si="60"/>
        <v>1.19</v>
      </c>
      <c r="X994" s="152">
        <f t="shared" si="59"/>
        <v>8.3299999999999999E-2</v>
      </c>
      <c r="Y994" s="152"/>
      <c r="Z994" s="148"/>
      <c r="AA994" s="153"/>
      <c r="AB994" s="153"/>
      <c r="AC994" s="153"/>
      <c r="AD994" s="153"/>
      <c r="AH994" s="147"/>
    </row>
    <row r="995" spans="1:34" s="146" customFormat="1" x14ac:dyDescent="0.25">
      <c r="A995" s="196">
        <v>632</v>
      </c>
      <c r="B995" s="196" t="s">
        <v>5807</v>
      </c>
      <c r="C995" s="196" t="s">
        <v>5808</v>
      </c>
      <c r="D995" s="196" t="s">
        <v>2036</v>
      </c>
      <c r="E995" s="196"/>
      <c r="F995" s="196">
        <v>2000</v>
      </c>
      <c r="G995" s="196"/>
      <c r="H995" s="196" t="s">
        <v>2734</v>
      </c>
      <c r="I995" s="141" t="s">
        <v>1879</v>
      </c>
      <c r="J995" s="196"/>
      <c r="K995" s="196" t="s">
        <v>1881</v>
      </c>
      <c r="L995" s="141" t="s">
        <v>5809</v>
      </c>
      <c r="M995" s="196">
        <v>466</v>
      </c>
      <c r="N995" s="196"/>
      <c r="O995" s="196" t="s">
        <v>5167</v>
      </c>
      <c r="P995" s="144">
        <v>661</v>
      </c>
      <c r="Q995" s="145">
        <f t="shared" si="58"/>
        <v>2.6882999999999995</v>
      </c>
      <c r="R995" s="203">
        <v>0.69</v>
      </c>
      <c r="S995" s="203"/>
      <c r="T995" s="151"/>
      <c r="U995" s="151">
        <v>1.7</v>
      </c>
      <c r="V995" s="151">
        <v>0.25</v>
      </c>
      <c r="W995" s="151">
        <f t="shared" si="60"/>
        <v>0.69</v>
      </c>
      <c r="X995" s="152">
        <f t="shared" si="59"/>
        <v>4.8299999999999996E-2</v>
      </c>
      <c r="Y995" s="152"/>
      <c r="Z995" s="148"/>
      <c r="AA995" s="153"/>
      <c r="AB995" s="153"/>
      <c r="AC995" s="153"/>
      <c r="AD995" s="153"/>
      <c r="AH995" s="147"/>
    </row>
    <row r="996" spans="1:34" s="146" customFormat="1" x14ac:dyDescent="0.25">
      <c r="A996" s="196">
        <v>765</v>
      </c>
      <c r="B996" s="196" t="s">
        <v>5810</v>
      </c>
      <c r="C996" s="196" t="s">
        <v>5811</v>
      </c>
      <c r="D996" s="196" t="s">
        <v>2209</v>
      </c>
      <c r="E996" s="196"/>
      <c r="F996" s="196">
        <v>2009</v>
      </c>
      <c r="G996" s="196"/>
      <c r="H996" s="196" t="s">
        <v>1878</v>
      </c>
      <c r="I996" s="141" t="s">
        <v>1929</v>
      </c>
      <c r="J996" s="196"/>
      <c r="K996" s="196" t="s">
        <v>1881</v>
      </c>
      <c r="L996" s="141" t="s">
        <v>5812</v>
      </c>
      <c r="M996" s="196">
        <v>192</v>
      </c>
      <c r="N996" s="196"/>
      <c r="O996" s="196" t="s">
        <v>5168</v>
      </c>
      <c r="P996" s="144">
        <v>264</v>
      </c>
      <c r="Q996" s="145">
        <f t="shared" si="58"/>
        <v>2.5093000000000001</v>
      </c>
      <c r="R996" s="203">
        <v>0.99</v>
      </c>
      <c r="S996" s="203"/>
      <c r="T996" s="151"/>
      <c r="U996" s="151">
        <v>1.2</v>
      </c>
      <c r="V996" s="151">
        <v>0.25</v>
      </c>
      <c r="W996" s="151">
        <f t="shared" si="60"/>
        <v>0.99</v>
      </c>
      <c r="X996" s="152">
        <f t="shared" si="59"/>
        <v>6.93E-2</v>
      </c>
      <c r="Y996" s="152"/>
      <c r="Z996" s="148"/>
      <c r="AA996" s="153"/>
      <c r="AB996" s="153"/>
      <c r="AC996" s="153"/>
      <c r="AD996" s="153"/>
      <c r="AH996" s="147"/>
    </row>
    <row r="997" spans="1:34" s="146" customFormat="1" x14ac:dyDescent="0.25">
      <c r="A997" s="196">
        <v>2514</v>
      </c>
      <c r="B997" s="196" t="s">
        <v>4479</v>
      </c>
      <c r="C997" s="196" t="s">
        <v>5813</v>
      </c>
      <c r="D997" s="196" t="s">
        <v>1912</v>
      </c>
      <c r="E997" s="196"/>
      <c r="F997" s="196">
        <v>1997</v>
      </c>
      <c r="G997" s="196"/>
      <c r="H997" s="196" t="s">
        <v>1878</v>
      </c>
      <c r="I997" s="141" t="s">
        <v>1879</v>
      </c>
      <c r="J997" s="196"/>
      <c r="K997" s="196" t="s">
        <v>1881</v>
      </c>
      <c r="L997" s="141" t="s">
        <v>5814</v>
      </c>
      <c r="M997" s="196">
        <v>416</v>
      </c>
      <c r="N997" s="196"/>
      <c r="O997" s="196" t="s">
        <v>5169</v>
      </c>
      <c r="P997" s="144">
        <v>367</v>
      </c>
      <c r="Q997" s="145">
        <f t="shared" si="58"/>
        <v>1.9742999999999999</v>
      </c>
      <c r="R997" s="203">
        <v>0.49</v>
      </c>
      <c r="S997" s="203"/>
      <c r="T997" s="151"/>
      <c r="U997" s="151">
        <v>1.2</v>
      </c>
      <c r="V997" s="151">
        <v>0.25</v>
      </c>
      <c r="W997" s="151">
        <f t="shared" si="60"/>
        <v>0.49</v>
      </c>
      <c r="X997" s="152">
        <f t="shared" si="59"/>
        <v>3.4299999999999997E-2</v>
      </c>
      <c r="Y997" s="152"/>
      <c r="Z997" s="148"/>
      <c r="AA997" s="153"/>
      <c r="AB997" s="153"/>
      <c r="AC997" s="153"/>
      <c r="AD997" s="153"/>
      <c r="AH997" s="147"/>
    </row>
    <row r="998" spans="1:34" s="146" customFormat="1" x14ac:dyDescent="0.25">
      <c r="A998" s="196">
        <v>319</v>
      </c>
      <c r="B998" s="196"/>
      <c r="C998" s="196" t="s">
        <v>5815</v>
      </c>
      <c r="D998" s="196" t="s">
        <v>5816</v>
      </c>
      <c r="E998" s="196" t="s">
        <v>1899</v>
      </c>
      <c r="F998" s="196">
        <v>2011</v>
      </c>
      <c r="G998" s="196"/>
      <c r="H998" s="196" t="s">
        <v>1878</v>
      </c>
      <c r="I998" s="141" t="s">
        <v>1879</v>
      </c>
      <c r="J998" s="196" t="s">
        <v>2237</v>
      </c>
      <c r="K998" s="196" t="s">
        <v>1881</v>
      </c>
      <c r="L998" s="141"/>
      <c r="M998" s="196">
        <v>256</v>
      </c>
      <c r="N998" s="196"/>
      <c r="O998" s="196" t="s">
        <v>5170</v>
      </c>
      <c r="P998" s="144">
        <v>625</v>
      </c>
      <c r="Q998" s="145">
        <f t="shared" si="58"/>
        <v>5.1493000000000002</v>
      </c>
      <c r="R998" s="203">
        <v>2.99</v>
      </c>
      <c r="S998" s="203"/>
      <c r="T998" s="151"/>
      <c r="U998" s="151">
        <v>1.7</v>
      </c>
      <c r="V998" s="151">
        <v>0.25</v>
      </c>
      <c r="W998" s="151">
        <f t="shared" si="60"/>
        <v>2.99</v>
      </c>
      <c r="X998" s="152">
        <f t="shared" si="59"/>
        <v>0.20930000000000001</v>
      </c>
      <c r="Y998" s="152"/>
      <c r="Z998" s="148"/>
      <c r="AA998" s="153"/>
      <c r="AB998" s="153"/>
      <c r="AC998" s="153"/>
      <c r="AD998" s="153"/>
      <c r="AH998" s="147"/>
    </row>
    <row r="999" spans="1:34" s="146" customFormat="1" x14ac:dyDescent="0.25">
      <c r="A999" s="196">
        <v>2518</v>
      </c>
      <c r="B999" s="196" t="s">
        <v>5817</v>
      </c>
      <c r="C999" s="196" t="s">
        <v>5818</v>
      </c>
      <c r="D999" s="196" t="s">
        <v>2300</v>
      </c>
      <c r="E999" s="196" t="s">
        <v>1877</v>
      </c>
      <c r="F999" s="196">
        <v>2011</v>
      </c>
      <c r="G999" s="196"/>
      <c r="H999" s="196" t="s">
        <v>1878</v>
      </c>
      <c r="I999" s="141" t="s">
        <v>1879</v>
      </c>
      <c r="J999" s="196" t="s">
        <v>2237</v>
      </c>
      <c r="K999" s="196" t="s">
        <v>1881</v>
      </c>
      <c r="L999" s="141" t="s">
        <v>5819</v>
      </c>
      <c r="M999" s="196">
        <v>288</v>
      </c>
      <c r="N999" s="196"/>
      <c r="O999" s="196" t="s">
        <v>5171</v>
      </c>
      <c r="P999" s="144">
        <v>403</v>
      </c>
      <c r="Q999" s="145">
        <f t="shared" si="58"/>
        <v>2.5093000000000001</v>
      </c>
      <c r="R999" s="203">
        <v>0.99</v>
      </c>
      <c r="S999" s="203"/>
      <c r="T999" s="151"/>
      <c r="U999" s="151">
        <v>1.2</v>
      </c>
      <c r="V999" s="151">
        <v>0.25</v>
      </c>
      <c r="W999" s="151">
        <f t="shared" si="60"/>
        <v>0.99</v>
      </c>
      <c r="X999" s="152">
        <f t="shared" si="59"/>
        <v>6.93E-2</v>
      </c>
      <c r="Y999" s="152"/>
      <c r="Z999" s="148"/>
      <c r="AA999" s="153"/>
      <c r="AB999" s="153"/>
      <c r="AC999" s="153"/>
      <c r="AD999" s="153"/>
      <c r="AH999" s="147"/>
    </row>
    <row r="1000" spans="1:34" s="146" customFormat="1" x14ac:dyDescent="0.25">
      <c r="A1000" s="196">
        <v>2649</v>
      </c>
      <c r="B1000" s="196" t="s">
        <v>3667</v>
      </c>
      <c r="C1000" s="196" t="s">
        <v>5820</v>
      </c>
      <c r="D1000" s="196" t="s">
        <v>2103</v>
      </c>
      <c r="E1000" s="196"/>
      <c r="F1000" s="196">
        <v>2012</v>
      </c>
      <c r="G1000" s="196"/>
      <c r="H1000" s="196" t="s">
        <v>1878</v>
      </c>
      <c r="I1000" s="141" t="s">
        <v>1879</v>
      </c>
      <c r="J1000" s="196" t="s">
        <v>2237</v>
      </c>
      <c r="K1000" s="196" t="s">
        <v>1881</v>
      </c>
      <c r="L1000" s="141" t="s">
        <v>3650</v>
      </c>
      <c r="M1000" s="196">
        <v>146</v>
      </c>
      <c r="N1000" s="196"/>
      <c r="O1000" s="196" t="s">
        <v>5172</v>
      </c>
      <c r="P1000" s="144">
        <v>93</v>
      </c>
      <c r="Q1000" s="145">
        <f t="shared" si="58"/>
        <v>2.7232999999999996</v>
      </c>
      <c r="R1000" s="203">
        <v>1.19</v>
      </c>
      <c r="S1000" s="203"/>
      <c r="T1000" s="151"/>
      <c r="U1000" s="151">
        <v>1.2</v>
      </c>
      <c r="V1000" s="151">
        <v>0.25</v>
      </c>
      <c r="W1000" s="151">
        <f t="shared" si="60"/>
        <v>1.19</v>
      </c>
      <c r="X1000" s="152">
        <f t="shared" si="59"/>
        <v>8.3299999999999999E-2</v>
      </c>
      <c r="Y1000" s="152"/>
      <c r="Z1000" s="148"/>
      <c r="AA1000" s="153"/>
      <c r="AB1000" s="153"/>
      <c r="AC1000" s="153"/>
      <c r="AD1000" s="153"/>
      <c r="AH1000" s="147"/>
    </row>
    <row r="1001" spans="1:34" s="146" customFormat="1" x14ac:dyDescent="0.25">
      <c r="A1001" s="196">
        <v>2906</v>
      </c>
      <c r="B1001" s="196"/>
      <c r="C1001" s="196" t="s">
        <v>5821</v>
      </c>
      <c r="D1001" s="196" t="s">
        <v>4930</v>
      </c>
      <c r="E1001" s="196"/>
      <c r="F1001" s="196">
        <v>2013</v>
      </c>
      <c r="G1001" s="196"/>
      <c r="H1001" s="196" t="s">
        <v>5112</v>
      </c>
      <c r="I1001" s="141" t="s">
        <v>1879</v>
      </c>
      <c r="J1001" s="196" t="s">
        <v>2237</v>
      </c>
      <c r="K1001" s="196" t="s">
        <v>1881</v>
      </c>
      <c r="L1001" s="141"/>
      <c r="M1001" s="196">
        <v>160</v>
      </c>
      <c r="N1001" s="196"/>
      <c r="O1001" s="196" t="s">
        <v>5173</v>
      </c>
      <c r="P1001" s="144">
        <v>415</v>
      </c>
      <c r="Q1001" s="145">
        <f t="shared" si="58"/>
        <v>1.9742999999999999</v>
      </c>
      <c r="R1001" s="203">
        <v>0.49</v>
      </c>
      <c r="S1001" s="203"/>
      <c r="T1001" s="151"/>
      <c r="U1001" s="151">
        <v>1.2</v>
      </c>
      <c r="V1001" s="151">
        <v>0.25</v>
      </c>
      <c r="W1001" s="151">
        <f t="shared" si="60"/>
        <v>0.49</v>
      </c>
      <c r="X1001" s="152">
        <f t="shared" si="59"/>
        <v>3.4299999999999997E-2</v>
      </c>
      <c r="Y1001" s="152"/>
      <c r="Z1001" s="148"/>
      <c r="AA1001" s="153"/>
      <c r="AB1001" s="153"/>
      <c r="AC1001" s="153"/>
      <c r="AD1001" s="153"/>
      <c r="AH1001" s="147"/>
    </row>
    <row r="1002" spans="1:34" s="146" customFormat="1" x14ac:dyDescent="0.25">
      <c r="A1002" s="196">
        <v>765</v>
      </c>
      <c r="B1002" s="196" t="s">
        <v>5822</v>
      </c>
      <c r="C1002" s="196" t="s">
        <v>5823</v>
      </c>
      <c r="D1002" s="196" t="s">
        <v>2257</v>
      </c>
      <c r="E1002" s="196"/>
      <c r="F1002" s="196">
        <v>2005</v>
      </c>
      <c r="G1002" s="196"/>
      <c r="H1002" s="196" t="s">
        <v>1878</v>
      </c>
      <c r="I1002" s="141" t="s">
        <v>1879</v>
      </c>
      <c r="J1002" s="196" t="s">
        <v>3202</v>
      </c>
      <c r="K1002" s="196" t="s">
        <v>1881</v>
      </c>
      <c r="L1002" s="141" t="s">
        <v>5824</v>
      </c>
      <c r="M1002" s="196">
        <v>176</v>
      </c>
      <c r="N1002" s="196"/>
      <c r="O1002" s="196" t="s">
        <v>5174</v>
      </c>
      <c r="P1002" s="144">
        <v>143</v>
      </c>
      <c r="Q1002" s="145">
        <f t="shared" si="58"/>
        <v>3.4722999999999997</v>
      </c>
      <c r="R1002" s="203">
        <v>1.89</v>
      </c>
      <c r="S1002" s="203"/>
      <c r="T1002" s="151"/>
      <c r="U1002" s="151">
        <v>1.2</v>
      </c>
      <c r="V1002" s="151">
        <v>0.25</v>
      </c>
      <c r="W1002" s="151">
        <f t="shared" si="60"/>
        <v>1.89</v>
      </c>
      <c r="X1002" s="152">
        <f t="shared" si="59"/>
        <v>0.1323</v>
      </c>
      <c r="Y1002" s="152"/>
      <c r="Z1002" s="148"/>
      <c r="AA1002" s="153"/>
      <c r="AB1002" s="153"/>
      <c r="AC1002" s="153"/>
      <c r="AD1002" s="153"/>
      <c r="AH1002" s="147"/>
    </row>
    <row r="1003" spans="1:34" s="146" customFormat="1" x14ac:dyDescent="0.25">
      <c r="A1003" s="196">
        <v>1386</v>
      </c>
      <c r="B1003" s="196" t="s">
        <v>5825</v>
      </c>
      <c r="C1003" s="196" t="s">
        <v>5826</v>
      </c>
      <c r="D1003" s="196" t="s">
        <v>5005</v>
      </c>
      <c r="E1003" s="196"/>
      <c r="F1003" s="196">
        <v>2002</v>
      </c>
      <c r="G1003" s="196"/>
      <c r="H1003" s="196" t="s">
        <v>1878</v>
      </c>
      <c r="I1003" s="141" t="s">
        <v>1879</v>
      </c>
      <c r="J1003" s="196"/>
      <c r="K1003" s="196" t="s">
        <v>1881</v>
      </c>
      <c r="L1003" s="141"/>
      <c r="M1003" s="196">
        <v>448</v>
      </c>
      <c r="N1003" s="196"/>
      <c r="O1003" s="196" t="s">
        <v>5175</v>
      </c>
      <c r="P1003" s="144">
        <v>323</v>
      </c>
      <c r="Q1003" s="145">
        <f t="shared" si="58"/>
        <v>1.9742999999999999</v>
      </c>
      <c r="R1003" s="203">
        <v>0.49</v>
      </c>
      <c r="S1003" s="203"/>
      <c r="T1003" s="151"/>
      <c r="U1003" s="151">
        <v>1.2</v>
      </c>
      <c r="V1003" s="151">
        <v>0.25</v>
      </c>
      <c r="W1003" s="151">
        <f t="shared" si="60"/>
        <v>0.49</v>
      </c>
      <c r="X1003" s="152">
        <f t="shared" si="59"/>
        <v>3.4299999999999997E-2</v>
      </c>
      <c r="Y1003" s="152"/>
      <c r="Z1003" s="148"/>
      <c r="AA1003" s="153"/>
      <c r="AB1003" s="153"/>
      <c r="AC1003" s="153"/>
      <c r="AD1003" s="153"/>
      <c r="AH1003" s="147"/>
    </row>
    <row r="1004" spans="1:34" s="146" customFormat="1" x14ac:dyDescent="0.25">
      <c r="A1004" s="196">
        <v>8</v>
      </c>
      <c r="B1004" s="196" t="s">
        <v>5827</v>
      </c>
      <c r="C1004" s="196" t="s">
        <v>5828</v>
      </c>
      <c r="D1004" s="196" t="s">
        <v>1998</v>
      </c>
      <c r="E1004" s="196" t="s">
        <v>2175</v>
      </c>
      <c r="F1004" s="196">
        <v>2005</v>
      </c>
      <c r="G1004" s="196"/>
      <c r="H1004" s="196" t="s">
        <v>2734</v>
      </c>
      <c r="I1004" s="141" t="s">
        <v>1879</v>
      </c>
      <c r="J1004" s="196" t="s">
        <v>3202</v>
      </c>
      <c r="K1004" s="196" t="s">
        <v>1881</v>
      </c>
      <c r="L1004" s="141" t="s">
        <v>5829</v>
      </c>
      <c r="M1004" s="196">
        <v>354</v>
      </c>
      <c r="N1004" s="196"/>
      <c r="O1004" s="196" t="s">
        <v>5176</v>
      </c>
      <c r="P1004" s="144">
        <v>455</v>
      </c>
      <c r="Q1004" s="145">
        <f t="shared" si="58"/>
        <v>2.5093000000000001</v>
      </c>
      <c r="R1004" s="203">
        <v>0.99</v>
      </c>
      <c r="S1004" s="203"/>
      <c r="T1004" s="151"/>
      <c r="U1004" s="151">
        <v>1.2</v>
      </c>
      <c r="V1004" s="151">
        <v>0.25</v>
      </c>
      <c r="W1004" s="151">
        <f t="shared" si="60"/>
        <v>0.99</v>
      </c>
      <c r="X1004" s="152">
        <f t="shared" si="59"/>
        <v>6.93E-2</v>
      </c>
      <c r="Y1004" s="152"/>
      <c r="Z1004" s="148"/>
      <c r="AA1004" s="153"/>
      <c r="AB1004" s="153"/>
      <c r="AC1004" s="153"/>
      <c r="AD1004" s="153"/>
      <c r="AH1004" s="147"/>
    </row>
    <row r="1005" spans="1:34" s="146" customFormat="1" x14ac:dyDescent="0.25">
      <c r="A1005" s="196">
        <v>1325</v>
      </c>
      <c r="B1005" s="196" t="s">
        <v>5830</v>
      </c>
      <c r="C1005" s="196" t="s">
        <v>5831</v>
      </c>
      <c r="D1005" s="196" t="s">
        <v>5832</v>
      </c>
      <c r="E1005" s="196" t="s">
        <v>1913</v>
      </c>
      <c r="F1005" s="196">
        <v>2006</v>
      </c>
      <c r="G1005" s="196"/>
      <c r="H1005" s="196" t="s">
        <v>2734</v>
      </c>
      <c r="I1005" s="141" t="s">
        <v>1929</v>
      </c>
      <c r="J1005" s="196"/>
      <c r="K1005" s="196" t="s">
        <v>1881</v>
      </c>
      <c r="L1005" s="141" t="s">
        <v>5833</v>
      </c>
      <c r="M1005" s="196">
        <v>122</v>
      </c>
      <c r="N1005" s="196"/>
      <c r="O1005" s="196" t="s">
        <v>5177</v>
      </c>
      <c r="P1005" s="144">
        <v>287</v>
      </c>
      <c r="Q1005" s="145">
        <f t="shared" si="58"/>
        <v>3.5792999999999999</v>
      </c>
      <c r="R1005" s="203">
        <v>1.99</v>
      </c>
      <c r="S1005" s="203"/>
      <c r="T1005" s="151"/>
      <c r="U1005" s="151">
        <v>1.2</v>
      </c>
      <c r="V1005" s="151">
        <v>0.25</v>
      </c>
      <c r="W1005" s="151">
        <f t="shared" si="60"/>
        <v>1.99</v>
      </c>
      <c r="X1005" s="152">
        <f t="shared" si="59"/>
        <v>0.13930000000000001</v>
      </c>
      <c r="Y1005" s="152"/>
      <c r="Z1005" s="148"/>
      <c r="AA1005" s="153"/>
      <c r="AB1005" s="153"/>
      <c r="AC1005" s="153"/>
      <c r="AD1005" s="153"/>
      <c r="AH1005" s="147"/>
    </row>
    <row r="1006" spans="1:34" s="146" customFormat="1" x14ac:dyDescent="0.25">
      <c r="A1006" s="196">
        <v>692</v>
      </c>
      <c r="B1006" s="196" t="s">
        <v>3517</v>
      </c>
      <c r="C1006" s="196" t="s">
        <v>5834</v>
      </c>
      <c r="D1006" s="196" t="s">
        <v>2644</v>
      </c>
      <c r="E1006" s="196"/>
      <c r="F1006" s="196">
        <v>2001</v>
      </c>
      <c r="G1006" s="196"/>
      <c r="H1006" s="196" t="s">
        <v>2734</v>
      </c>
      <c r="I1006" s="141" t="s">
        <v>1879</v>
      </c>
      <c r="J1006" s="196"/>
      <c r="K1006" s="196" t="s">
        <v>1881</v>
      </c>
      <c r="L1006" s="141" t="s">
        <v>5835</v>
      </c>
      <c r="M1006" s="196">
        <v>274</v>
      </c>
      <c r="N1006" s="196"/>
      <c r="O1006" s="196" t="s">
        <v>5178</v>
      </c>
      <c r="P1006" s="144">
        <v>294</v>
      </c>
      <c r="Q1006" s="145">
        <f t="shared" si="58"/>
        <v>2.5093000000000001</v>
      </c>
      <c r="R1006" s="203">
        <v>0.99</v>
      </c>
      <c r="S1006" s="203"/>
      <c r="T1006" s="151"/>
      <c r="U1006" s="151">
        <v>1.2</v>
      </c>
      <c r="V1006" s="151">
        <v>0.25</v>
      </c>
      <c r="W1006" s="151">
        <f t="shared" si="60"/>
        <v>0.99</v>
      </c>
      <c r="X1006" s="152">
        <f t="shared" si="59"/>
        <v>6.93E-2</v>
      </c>
      <c r="Y1006" s="152"/>
      <c r="Z1006" s="148"/>
      <c r="AA1006" s="153"/>
      <c r="AB1006" s="153"/>
      <c r="AC1006" s="153"/>
      <c r="AD1006" s="153"/>
      <c r="AH1006" s="147"/>
    </row>
    <row r="1007" spans="1:34" s="146" customFormat="1" x14ac:dyDescent="0.25">
      <c r="A1007" s="196">
        <v>8</v>
      </c>
      <c r="B1007" s="196" t="s">
        <v>5836</v>
      </c>
      <c r="C1007" s="196" t="s">
        <v>5837</v>
      </c>
      <c r="D1007" s="196" t="s">
        <v>5838</v>
      </c>
      <c r="E1007" s="196"/>
      <c r="F1007" s="196">
        <v>2006</v>
      </c>
      <c r="G1007" s="196"/>
      <c r="H1007" s="196" t="s">
        <v>1878</v>
      </c>
      <c r="I1007" s="141" t="s">
        <v>1879</v>
      </c>
      <c r="J1007" s="196"/>
      <c r="K1007" s="196" t="s">
        <v>1881</v>
      </c>
      <c r="L1007" s="141" t="s">
        <v>5839</v>
      </c>
      <c r="M1007" s="196">
        <v>144</v>
      </c>
      <c r="N1007" s="196"/>
      <c r="O1007" s="196" t="s">
        <v>5179</v>
      </c>
      <c r="P1007" s="144">
        <v>126</v>
      </c>
      <c r="Q1007" s="145">
        <f t="shared" si="58"/>
        <v>5.1843000000000004</v>
      </c>
      <c r="R1007" s="203">
        <v>3.49</v>
      </c>
      <c r="S1007" s="203"/>
      <c r="T1007" s="151"/>
      <c r="U1007" s="151">
        <v>1.2</v>
      </c>
      <c r="V1007" s="151">
        <v>0.25</v>
      </c>
      <c r="W1007" s="151">
        <f t="shared" si="60"/>
        <v>3.49</v>
      </c>
      <c r="X1007" s="152">
        <f t="shared" si="59"/>
        <v>0.24430000000000002</v>
      </c>
      <c r="Y1007" s="152"/>
      <c r="Z1007" s="148"/>
      <c r="AA1007" s="153"/>
      <c r="AB1007" s="153"/>
      <c r="AC1007" s="153"/>
      <c r="AD1007" s="153"/>
      <c r="AH1007" s="147"/>
    </row>
    <row r="1008" spans="1:34" s="146" customFormat="1" x14ac:dyDescent="0.25">
      <c r="A1008" s="196">
        <v>2547</v>
      </c>
      <c r="B1008" s="196" t="s">
        <v>3941</v>
      </c>
      <c r="C1008" s="196" t="s">
        <v>5840</v>
      </c>
      <c r="D1008" s="196" t="s">
        <v>1912</v>
      </c>
      <c r="E1008" s="196"/>
      <c r="F1008" s="196">
        <v>2002</v>
      </c>
      <c r="G1008" s="196"/>
      <c r="H1008" s="196" t="s">
        <v>1878</v>
      </c>
      <c r="I1008" s="141" t="s">
        <v>1929</v>
      </c>
      <c r="J1008" s="143" t="s">
        <v>3854</v>
      </c>
      <c r="K1008" s="196" t="s">
        <v>1881</v>
      </c>
      <c r="L1008" s="141" t="s">
        <v>5841</v>
      </c>
      <c r="M1008" s="196">
        <v>144</v>
      </c>
      <c r="N1008" s="196"/>
      <c r="O1008" s="196" t="s">
        <v>5180</v>
      </c>
      <c r="P1008" s="144">
        <v>164</v>
      </c>
      <c r="Q1008" s="145">
        <f t="shared" si="58"/>
        <v>2.5093000000000001</v>
      </c>
      <c r="R1008" s="203">
        <v>0.99</v>
      </c>
      <c r="S1008" s="203"/>
      <c r="T1008" s="151"/>
      <c r="U1008" s="151">
        <v>1.2</v>
      </c>
      <c r="V1008" s="151">
        <v>0.25</v>
      </c>
      <c r="W1008" s="151">
        <f t="shared" si="60"/>
        <v>0.99</v>
      </c>
      <c r="X1008" s="152">
        <f t="shared" si="59"/>
        <v>6.93E-2</v>
      </c>
      <c r="Y1008" s="152"/>
      <c r="Z1008" s="148"/>
      <c r="AA1008" s="153"/>
      <c r="AB1008" s="153"/>
      <c r="AC1008" s="153"/>
      <c r="AD1008" s="153"/>
      <c r="AH1008" s="147"/>
    </row>
    <row r="1009" spans="1:34" s="146" customFormat="1" x14ac:dyDescent="0.25">
      <c r="A1009" s="196">
        <v>2547</v>
      </c>
      <c r="B1009" s="196" t="s">
        <v>5842</v>
      </c>
      <c r="C1009" s="196" t="s">
        <v>5843</v>
      </c>
      <c r="D1009" s="196" t="s">
        <v>1912</v>
      </c>
      <c r="E1009" s="196" t="s">
        <v>1913</v>
      </c>
      <c r="F1009" s="196">
        <v>2006</v>
      </c>
      <c r="G1009" s="196"/>
      <c r="H1009" s="196" t="s">
        <v>2734</v>
      </c>
      <c r="I1009" s="141" t="s">
        <v>1929</v>
      </c>
      <c r="J1009" s="196"/>
      <c r="K1009" s="196" t="s">
        <v>1881</v>
      </c>
      <c r="L1009" s="141" t="s">
        <v>6178</v>
      </c>
      <c r="M1009" s="196">
        <v>418</v>
      </c>
      <c r="N1009" s="196"/>
      <c r="O1009" s="196" t="s">
        <v>5181</v>
      </c>
      <c r="P1009" s="144">
        <v>668</v>
      </c>
      <c r="Q1009" s="145">
        <f t="shared" si="58"/>
        <v>4.0792999999999999</v>
      </c>
      <c r="R1009" s="203">
        <v>1.99</v>
      </c>
      <c r="S1009" s="203"/>
      <c r="T1009" s="151"/>
      <c r="U1009" s="151">
        <v>1.7</v>
      </c>
      <c r="V1009" s="151">
        <v>0.25</v>
      </c>
      <c r="W1009" s="151">
        <f t="shared" si="60"/>
        <v>1.99</v>
      </c>
      <c r="X1009" s="152">
        <f t="shared" si="59"/>
        <v>0.13930000000000001</v>
      </c>
      <c r="Y1009" s="152"/>
      <c r="Z1009" s="148"/>
      <c r="AA1009" s="153"/>
      <c r="AB1009" s="153"/>
      <c r="AC1009" s="153"/>
      <c r="AD1009" s="153"/>
      <c r="AH1009" s="147"/>
    </row>
    <row r="1010" spans="1:34" s="146" customFormat="1" x14ac:dyDescent="0.25">
      <c r="A1010" s="196">
        <v>1327</v>
      </c>
      <c r="B1010" s="196" t="s">
        <v>3334</v>
      </c>
      <c r="C1010" s="196" t="s">
        <v>5844</v>
      </c>
      <c r="D1010" s="196" t="s">
        <v>5845</v>
      </c>
      <c r="E1010" s="196"/>
      <c r="F1010" s="196">
        <v>1990</v>
      </c>
      <c r="G1010" s="196"/>
      <c r="H1010" s="196" t="s">
        <v>2734</v>
      </c>
      <c r="I1010" s="141" t="s">
        <v>1879</v>
      </c>
      <c r="J1010" s="196"/>
      <c r="K1010" s="196" t="s">
        <v>1881</v>
      </c>
      <c r="L1010" s="141" t="s">
        <v>5846</v>
      </c>
      <c r="M1010" s="196">
        <v>418</v>
      </c>
      <c r="N1010" s="196"/>
      <c r="O1010" s="196" t="s">
        <v>5182</v>
      </c>
      <c r="P1010" s="144">
        <v>576</v>
      </c>
      <c r="Q1010" s="145">
        <f t="shared" si="58"/>
        <v>3.0093000000000001</v>
      </c>
      <c r="R1010" s="203">
        <v>0.99</v>
      </c>
      <c r="S1010" s="203"/>
      <c r="T1010" s="151"/>
      <c r="U1010" s="151">
        <v>1.7</v>
      </c>
      <c r="V1010" s="151">
        <v>0.25</v>
      </c>
      <c r="W1010" s="151">
        <f t="shared" si="60"/>
        <v>0.99</v>
      </c>
      <c r="X1010" s="152">
        <f t="shared" si="59"/>
        <v>6.93E-2</v>
      </c>
      <c r="Y1010" s="152"/>
      <c r="Z1010" s="148"/>
      <c r="AA1010" s="153"/>
      <c r="AB1010" s="153"/>
      <c r="AC1010" s="153"/>
      <c r="AD1010" s="153"/>
      <c r="AH1010" s="147"/>
    </row>
    <row r="1011" spans="1:34" s="146" customFormat="1" x14ac:dyDescent="0.25">
      <c r="A1011" s="196">
        <v>2522</v>
      </c>
      <c r="B1011" s="196" t="s">
        <v>5847</v>
      </c>
      <c r="C1011" s="196" t="s">
        <v>5848</v>
      </c>
      <c r="D1011" s="196" t="s">
        <v>3524</v>
      </c>
      <c r="E1011" s="196" t="s">
        <v>1913</v>
      </c>
      <c r="F1011" s="196">
        <v>2012</v>
      </c>
      <c r="G1011" s="196"/>
      <c r="H1011" s="196" t="s">
        <v>1878</v>
      </c>
      <c r="I1011" s="141" t="s">
        <v>1914</v>
      </c>
      <c r="J1011" s="196"/>
      <c r="K1011" s="196" t="s">
        <v>1881</v>
      </c>
      <c r="L1011" s="141" t="s">
        <v>5849</v>
      </c>
      <c r="M1011" s="196">
        <v>368</v>
      </c>
      <c r="N1011" s="196"/>
      <c r="O1011" s="196" t="s">
        <v>5183</v>
      </c>
      <c r="P1011" s="144">
        <v>373</v>
      </c>
      <c r="Q1011" s="145">
        <f t="shared" si="58"/>
        <v>3.5792999999999999</v>
      </c>
      <c r="R1011" s="203">
        <v>1.99</v>
      </c>
      <c r="S1011" s="203"/>
      <c r="T1011" s="151"/>
      <c r="U1011" s="151">
        <v>1.2</v>
      </c>
      <c r="V1011" s="151">
        <v>0.25</v>
      </c>
      <c r="W1011" s="151">
        <f t="shared" si="60"/>
        <v>1.99</v>
      </c>
      <c r="X1011" s="152">
        <f t="shared" si="59"/>
        <v>0.13930000000000001</v>
      </c>
      <c r="Y1011" s="152"/>
      <c r="Z1011" s="148"/>
      <c r="AA1011" s="153"/>
      <c r="AB1011" s="153"/>
      <c r="AC1011" s="153"/>
      <c r="AD1011" s="153"/>
      <c r="AH1011" s="147"/>
    </row>
    <row r="1012" spans="1:34" s="146" customFormat="1" x14ac:dyDescent="0.25">
      <c r="A1012" s="196">
        <v>1231</v>
      </c>
      <c r="B1012" s="196" t="s">
        <v>1996</v>
      </c>
      <c r="C1012" s="196" t="s">
        <v>5850</v>
      </c>
      <c r="D1012" s="196" t="s">
        <v>1998</v>
      </c>
      <c r="E1012" s="196" t="s">
        <v>1913</v>
      </c>
      <c r="F1012" s="196">
        <v>1998</v>
      </c>
      <c r="G1012" s="196"/>
      <c r="H1012" s="196" t="s">
        <v>2734</v>
      </c>
      <c r="I1012" s="141" t="s">
        <v>1879</v>
      </c>
      <c r="J1012" s="196"/>
      <c r="K1012" s="196" t="s">
        <v>1881</v>
      </c>
      <c r="L1012" s="141" t="s">
        <v>6179</v>
      </c>
      <c r="M1012" s="196">
        <v>226</v>
      </c>
      <c r="N1012" s="196"/>
      <c r="O1012" s="196" t="s">
        <v>5184</v>
      </c>
      <c r="P1012" s="144">
        <v>491</v>
      </c>
      <c r="Q1012" s="145">
        <f t="shared" ref="Q1012:Q1074" si="61">SUM(T1012:X1012)</f>
        <v>3.0093000000000001</v>
      </c>
      <c r="R1012" s="203">
        <v>0.99</v>
      </c>
      <c r="S1012" s="203"/>
      <c r="T1012" s="151"/>
      <c r="U1012" s="151">
        <v>1.7</v>
      </c>
      <c r="V1012" s="151">
        <v>0.25</v>
      </c>
      <c r="W1012" s="151">
        <f t="shared" si="60"/>
        <v>0.99</v>
      </c>
      <c r="X1012" s="152">
        <f t="shared" si="59"/>
        <v>6.93E-2</v>
      </c>
      <c r="Y1012" s="152"/>
      <c r="Z1012" s="148"/>
      <c r="AA1012" s="153"/>
      <c r="AB1012" s="153"/>
      <c r="AC1012" s="153"/>
      <c r="AD1012" s="153"/>
      <c r="AH1012" s="147"/>
    </row>
    <row r="1013" spans="1:34" s="146" customFormat="1" x14ac:dyDescent="0.25">
      <c r="A1013" s="196">
        <v>765</v>
      </c>
      <c r="B1013" s="196" t="s">
        <v>5851</v>
      </c>
      <c r="C1013" s="196" t="s">
        <v>5852</v>
      </c>
      <c r="D1013" s="196" t="s">
        <v>2419</v>
      </c>
      <c r="E1013" s="196" t="s">
        <v>1899</v>
      </c>
      <c r="F1013" s="196">
        <v>2007</v>
      </c>
      <c r="G1013" s="196"/>
      <c r="H1013" s="196" t="s">
        <v>1878</v>
      </c>
      <c r="I1013" s="141" t="s">
        <v>1879</v>
      </c>
      <c r="J1013" s="196"/>
      <c r="K1013" s="196" t="s">
        <v>1881</v>
      </c>
      <c r="L1013" s="141" t="s">
        <v>5853</v>
      </c>
      <c r="M1013" s="196">
        <v>208</v>
      </c>
      <c r="N1013" s="196"/>
      <c r="O1013" s="196" t="s">
        <v>5185</v>
      </c>
      <c r="P1013" s="144">
        <v>343</v>
      </c>
      <c r="Q1013" s="145">
        <f t="shared" si="61"/>
        <v>3.0442999999999998</v>
      </c>
      <c r="R1013" s="203">
        <v>1.49</v>
      </c>
      <c r="S1013" s="203"/>
      <c r="T1013" s="151"/>
      <c r="U1013" s="151">
        <v>1.2</v>
      </c>
      <c r="V1013" s="151">
        <v>0.25</v>
      </c>
      <c r="W1013" s="151">
        <f t="shared" si="60"/>
        <v>1.49</v>
      </c>
      <c r="X1013" s="152">
        <f t="shared" si="59"/>
        <v>0.1043</v>
      </c>
      <c r="Y1013" s="152"/>
      <c r="Z1013" s="148"/>
      <c r="AA1013" s="153"/>
      <c r="AB1013" s="153"/>
      <c r="AC1013" s="153"/>
      <c r="AD1013" s="153"/>
      <c r="AH1013" s="147"/>
    </row>
    <row r="1014" spans="1:34" s="146" customFormat="1" x14ac:dyDescent="0.25">
      <c r="A1014" s="196">
        <v>774</v>
      </c>
      <c r="B1014" s="196" t="s">
        <v>4827</v>
      </c>
      <c r="C1014" s="196" t="s">
        <v>5854</v>
      </c>
      <c r="D1014" s="196" t="s">
        <v>1876</v>
      </c>
      <c r="E1014" s="196"/>
      <c r="F1014" s="196">
        <v>2001</v>
      </c>
      <c r="G1014" s="196"/>
      <c r="H1014" s="196" t="s">
        <v>1878</v>
      </c>
      <c r="I1014" s="141" t="s">
        <v>1879</v>
      </c>
      <c r="J1014" s="196"/>
      <c r="K1014" s="196" t="s">
        <v>1881</v>
      </c>
      <c r="L1014" s="141" t="s">
        <v>5855</v>
      </c>
      <c r="M1014" s="196">
        <v>320</v>
      </c>
      <c r="N1014" s="196"/>
      <c r="O1014" s="196" t="s">
        <v>5186</v>
      </c>
      <c r="P1014" s="144">
        <v>274</v>
      </c>
      <c r="Q1014" s="145">
        <f t="shared" si="61"/>
        <v>1.9742999999999999</v>
      </c>
      <c r="R1014" s="203">
        <v>0.49</v>
      </c>
      <c r="S1014" s="203"/>
      <c r="T1014" s="151"/>
      <c r="U1014" s="151">
        <v>1.2</v>
      </c>
      <c r="V1014" s="151">
        <v>0.25</v>
      </c>
      <c r="W1014" s="151">
        <f t="shared" si="60"/>
        <v>0.49</v>
      </c>
      <c r="X1014" s="152">
        <f t="shared" si="59"/>
        <v>3.4299999999999997E-2</v>
      </c>
      <c r="Y1014" s="152"/>
      <c r="Z1014" s="148"/>
      <c r="AA1014" s="153"/>
      <c r="AB1014" s="153"/>
      <c r="AC1014" s="153"/>
      <c r="AD1014" s="153"/>
      <c r="AH1014" s="147"/>
    </row>
    <row r="1015" spans="1:34" s="146" customFormat="1" x14ac:dyDescent="0.25">
      <c r="A1015" s="196">
        <v>796</v>
      </c>
      <c r="B1015" s="196" t="s">
        <v>5856</v>
      </c>
      <c r="C1015" s="196" t="s">
        <v>5857</v>
      </c>
      <c r="D1015" s="196" t="s">
        <v>2257</v>
      </c>
      <c r="E1015" s="196"/>
      <c r="F1015" s="196">
        <v>2007</v>
      </c>
      <c r="G1015" s="196"/>
      <c r="H1015" s="196" t="s">
        <v>1878</v>
      </c>
      <c r="I1015" s="141" t="s">
        <v>1879</v>
      </c>
      <c r="J1015" s="196"/>
      <c r="K1015" s="196" t="s">
        <v>1881</v>
      </c>
      <c r="L1015" s="141" t="s">
        <v>5858</v>
      </c>
      <c r="M1015" s="196">
        <v>336</v>
      </c>
      <c r="N1015" s="196"/>
      <c r="O1015" s="196" t="s">
        <v>5187</v>
      </c>
      <c r="P1015" s="144">
        <v>299</v>
      </c>
      <c r="Q1015" s="145">
        <f t="shared" si="61"/>
        <v>1.9742999999999999</v>
      </c>
      <c r="R1015" s="203">
        <v>0.49</v>
      </c>
      <c r="S1015" s="203"/>
      <c r="T1015" s="151"/>
      <c r="U1015" s="151">
        <v>1.2</v>
      </c>
      <c r="V1015" s="151">
        <v>0.25</v>
      </c>
      <c r="W1015" s="151">
        <f t="shared" si="60"/>
        <v>0.49</v>
      </c>
      <c r="X1015" s="152">
        <f t="shared" si="59"/>
        <v>3.4299999999999997E-2</v>
      </c>
      <c r="Y1015" s="152"/>
      <c r="Z1015" s="148"/>
      <c r="AA1015" s="153"/>
      <c r="AB1015" s="153"/>
      <c r="AC1015" s="153"/>
      <c r="AD1015" s="153"/>
      <c r="AH1015" s="147"/>
    </row>
    <row r="1016" spans="1:34" s="146" customFormat="1" x14ac:dyDescent="0.25">
      <c r="A1016" s="196">
        <v>632</v>
      </c>
      <c r="B1016" s="196" t="s">
        <v>5859</v>
      </c>
      <c r="C1016" s="196" t="s">
        <v>5860</v>
      </c>
      <c r="D1016" s="196" t="s">
        <v>2209</v>
      </c>
      <c r="E1016" s="196"/>
      <c r="F1016" s="196">
        <v>2002</v>
      </c>
      <c r="G1016" s="196"/>
      <c r="H1016" s="196" t="s">
        <v>1878</v>
      </c>
      <c r="I1016" s="141" t="s">
        <v>1879</v>
      </c>
      <c r="J1016" s="196"/>
      <c r="K1016" s="196" t="s">
        <v>1881</v>
      </c>
      <c r="L1016" s="141" t="s">
        <v>5861</v>
      </c>
      <c r="M1016" s="196">
        <v>608</v>
      </c>
      <c r="N1016" s="196"/>
      <c r="O1016" s="196" t="s">
        <v>5188</v>
      </c>
      <c r="P1016" s="144">
        <v>412</v>
      </c>
      <c r="Q1016" s="145">
        <f t="shared" si="61"/>
        <v>2.6162999999999998</v>
      </c>
      <c r="R1016" s="203">
        <v>1.0900000000000001</v>
      </c>
      <c r="S1016" s="203"/>
      <c r="T1016" s="151"/>
      <c r="U1016" s="151">
        <v>1.2</v>
      </c>
      <c r="V1016" s="151">
        <v>0.25</v>
      </c>
      <c r="W1016" s="151">
        <f t="shared" si="60"/>
        <v>1.0900000000000001</v>
      </c>
      <c r="X1016" s="152">
        <f t="shared" si="59"/>
        <v>7.6300000000000007E-2</v>
      </c>
      <c r="Y1016" s="152"/>
      <c r="Z1016" s="148"/>
      <c r="AA1016" s="153"/>
      <c r="AB1016" s="153"/>
      <c r="AC1016" s="153"/>
      <c r="AD1016" s="153"/>
      <c r="AH1016" s="147"/>
    </row>
    <row r="1017" spans="1:34" s="146" customFormat="1" x14ac:dyDescent="0.25">
      <c r="A1017" s="196">
        <v>1001</v>
      </c>
      <c r="B1017" s="196" t="s">
        <v>5862</v>
      </c>
      <c r="C1017" s="196" t="s">
        <v>5863</v>
      </c>
      <c r="D1017" s="196" t="s">
        <v>5864</v>
      </c>
      <c r="E1017" s="196"/>
      <c r="F1017" s="196">
        <v>2002</v>
      </c>
      <c r="G1017" s="196"/>
      <c r="H1017" s="196" t="s">
        <v>2734</v>
      </c>
      <c r="I1017" s="141" t="s">
        <v>1879</v>
      </c>
      <c r="J1017" s="196"/>
      <c r="K1017" s="196" t="s">
        <v>1881</v>
      </c>
      <c r="L1017" s="141" t="s">
        <v>5865</v>
      </c>
      <c r="M1017" s="196"/>
      <c r="N1017" s="196"/>
      <c r="O1017" s="196" t="s">
        <v>5189</v>
      </c>
      <c r="P1017" s="144">
        <v>169</v>
      </c>
      <c r="Q1017" s="145">
        <f t="shared" si="61"/>
        <v>1.9742999999999999</v>
      </c>
      <c r="R1017" s="203">
        <v>0.49</v>
      </c>
      <c r="S1017" s="203"/>
      <c r="T1017" s="151"/>
      <c r="U1017" s="151">
        <v>1.2</v>
      </c>
      <c r="V1017" s="151">
        <v>0.25</v>
      </c>
      <c r="W1017" s="151">
        <f t="shared" si="60"/>
        <v>0.49</v>
      </c>
      <c r="X1017" s="152">
        <f t="shared" si="59"/>
        <v>3.4299999999999997E-2</v>
      </c>
      <c r="Y1017" s="152"/>
      <c r="Z1017" s="148"/>
      <c r="AA1017" s="153"/>
      <c r="AB1017" s="153"/>
      <c r="AC1017" s="153"/>
      <c r="AD1017" s="153"/>
      <c r="AH1017" s="147"/>
    </row>
    <row r="1018" spans="1:34" s="146" customFormat="1" x14ac:dyDescent="0.25">
      <c r="A1018" s="196">
        <v>904</v>
      </c>
      <c r="B1018" s="196" t="s">
        <v>5866</v>
      </c>
      <c r="C1018" s="196" t="s">
        <v>5867</v>
      </c>
      <c r="D1018" s="196" t="s">
        <v>2419</v>
      </c>
      <c r="E1018" s="196" t="s">
        <v>2032</v>
      </c>
      <c r="F1018" s="196">
        <v>2001</v>
      </c>
      <c r="G1018" s="196"/>
      <c r="H1018" s="196" t="s">
        <v>1878</v>
      </c>
      <c r="I1018" s="141" t="s">
        <v>1914</v>
      </c>
      <c r="J1018" s="196"/>
      <c r="K1018" s="196" t="s">
        <v>1881</v>
      </c>
      <c r="L1018" s="141" t="s">
        <v>5868</v>
      </c>
      <c r="M1018" s="196">
        <v>336</v>
      </c>
      <c r="N1018" s="196"/>
      <c r="O1018" s="196" t="s">
        <v>5190</v>
      </c>
      <c r="P1018" s="144">
        <v>244</v>
      </c>
      <c r="Q1018" s="145">
        <f t="shared" si="61"/>
        <v>5.1843000000000004</v>
      </c>
      <c r="R1018" s="203">
        <v>3.49</v>
      </c>
      <c r="S1018" s="203"/>
      <c r="T1018" s="151"/>
      <c r="U1018" s="151">
        <v>1.2</v>
      </c>
      <c r="V1018" s="151">
        <v>0.25</v>
      </c>
      <c r="W1018" s="151">
        <f t="shared" si="60"/>
        <v>3.49</v>
      </c>
      <c r="X1018" s="152">
        <f t="shared" si="59"/>
        <v>0.24430000000000002</v>
      </c>
      <c r="Y1018" s="152"/>
      <c r="Z1018" s="148"/>
      <c r="AA1018" s="153"/>
      <c r="AB1018" s="153"/>
      <c r="AC1018" s="153"/>
      <c r="AD1018" s="153"/>
      <c r="AH1018" s="147"/>
    </row>
    <row r="1019" spans="1:34" s="146" customFormat="1" x14ac:dyDescent="0.25">
      <c r="A1019" s="196">
        <v>2522</v>
      </c>
      <c r="B1019" s="196" t="s">
        <v>2470</v>
      </c>
      <c r="C1019" s="196" t="s">
        <v>5869</v>
      </c>
      <c r="D1019" s="196" t="s">
        <v>2209</v>
      </c>
      <c r="E1019" s="196" t="s">
        <v>2937</v>
      </c>
      <c r="F1019" s="196">
        <v>2002</v>
      </c>
      <c r="G1019" s="196"/>
      <c r="H1019" s="196" t="s">
        <v>1878</v>
      </c>
      <c r="I1019" s="141" t="s">
        <v>1879</v>
      </c>
      <c r="J1019" s="196"/>
      <c r="K1019" s="196" t="s">
        <v>1881</v>
      </c>
      <c r="L1019" s="141" t="s">
        <v>5870</v>
      </c>
      <c r="M1019" s="196">
        <v>496</v>
      </c>
      <c r="N1019" s="196"/>
      <c r="O1019" s="196" t="s">
        <v>5191</v>
      </c>
      <c r="P1019" s="144">
        <v>322</v>
      </c>
      <c r="Q1019" s="145">
        <f t="shared" si="61"/>
        <v>1.9742999999999999</v>
      </c>
      <c r="R1019" s="203">
        <v>0.49</v>
      </c>
      <c r="S1019" s="203"/>
      <c r="T1019" s="151"/>
      <c r="U1019" s="151">
        <v>1.2</v>
      </c>
      <c r="V1019" s="151">
        <v>0.25</v>
      </c>
      <c r="W1019" s="151">
        <f t="shared" si="60"/>
        <v>0.49</v>
      </c>
      <c r="X1019" s="152">
        <f t="shared" si="59"/>
        <v>3.4299999999999997E-2</v>
      </c>
      <c r="Y1019" s="152"/>
      <c r="Z1019" s="148"/>
      <c r="AA1019" s="153"/>
      <c r="AB1019" s="153"/>
      <c r="AC1019" s="153"/>
      <c r="AD1019" s="153"/>
      <c r="AH1019" s="147"/>
    </row>
    <row r="1020" spans="1:34" s="146" customFormat="1" x14ac:dyDescent="0.25">
      <c r="A1020" s="196">
        <v>689</v>
      </c>
      <c r="B1020" s="196" t="s">
        <v>2470</v>
      </c>
      <c r="C1020" s="196" t="s">
        <v>5871</v>
      </c>
      <c r="D1020" s="196" t="s">
        <v>1920</v>
      </c>
      <c r="E1020" s="196"/>
      <c r="F1020" s="196">
        <v>1999</v>
      </c>
      <c r="G1020" s="196"/>
      <c r="H1020" s="196" t="s">
        <v>1878</v>
      </c>
      <c r="I1020" s="141" t="s">
        <v>1914</v>
      </c>
      <c r="J1020" s="196"/>
      <c r="K1020" s="196" t="s">
        <v>1881</v>
      </c>
      <c r="L1020" s="141" t="s">
        <v>5872</v>
      </c>
      <c r="M1020" s="196">
        <v>640</v>
      </c>
      <c r="N1020" s="196"/>
      <c r="O1020" s="196" t="s">
        <v>5192</v>
      </c>
      <c r="P1020" s="144">
        <v>553</v>
      </c>
      <c r="Q1020" s="145">
        <f t="shared" si="61"/>
        <v>2.4742999999999999</v>
      </c>
      <c r="R1020" s="203">
        <v>0.49</v>
      </c>
      <c r="S1020" s="203"/>
      <c r="T1020" s="151"/>
      <c r="U1020" s="151">
        <v>1.7</v>
      </c>
      <c r="V1020" s="151">
        <v>0.25</v>
      </c>
      <c r="W1020" s="151">
        <f t="shared" si="60"/>
        <v>0.49</v>
      </c>
      <c r="X1020" s="152">
        <f t="shared" si="59"/>
        <v>3.4299999999999997E-2</v>
      </c>
      <c r="Y1020" s="152"/>
      <c r="Z1020" s="148"/>
      <c r="AA1020" s="153"/>
      <c r="AB1020" s="153"/>
      <c r="AC1020" s="153"/>
      <c r="AD1020" s="153"/>
      <c r="AH1020" s="147"/>
    </row>
    <row r="1021" spans="1:34" s="146" customFormat="1" x14ac:dyDescent="0.25">
      <c r="A1021" s="196">
        <v>302</v>
      </c>
      <c r="B1021" s="196" t="s">
        <v>5873</v>
      </c>
      <c r="C1021" s="196" t="s">
        <v>5874</v>
      </c>
      <c r="D1021" s="196" t="s">
        <v>2209</v>
      </c>
      <c r="E1021" s="196" t="s">
        <v>2922</v>
      </c>
      <c r="F1021" s="196">
        <v>1988</v>
      </c>
      <c r="G1021" s="196"/>
      <c r="H1021" s="196" t="s">
        <v>1878</v>
      </c>
      <c r="I1021" s="141" t="s">
        <v>1879</v>
      </c>
      <c r="J1021" s="196"/>
      <c r="K1021" s="196" t="s">
        <v>1881</v>
      </c>
      <c r="L1021" s="141" t="s">
        <v>5875</v>
      </c>
      <c r="M1021" s="196">
        <v>288</v>
      </c>
      <c r="N1021" s="196"/>
      <c r="O1021" s="196" t="s">
        <v>5193</v>
      </c>
      <c r="P1021" s="144">
        <v>257</v>
      </c>
      <c r="Q1021" s="145">
        <f t="shared" si="61"/>
        <v>4.1143000000000001</v>
      </c>
      <c r="R1021" s="203">
        <v>2.4900000000000002</v>
      </c>
      <c r="S1021" s="203"/>
      <c r="T1021" s="151"/>
      <c r="U1021" s="151">
        <v>1.2</v>
      </c>
      <c r="V1021" s="151">
        <v>0.25</v>
      </c>
      <c r="W1021" s="151">
        <f t="shared" si="60"/>
        <v>2.4900000000000002</v>
      </c>
      <c r="X1021" s="152">
        <f t="shared" si="59"/>
        <v>0.17430000000000001</v>
      </c>
      <c r="Y1021" s="152"/>
      <c r="Z1021" s="148"/>
      <c r="AA1021" s="153"/>
      <c r="AB1021" s="153"/>
      <c r="AC1021" s="153"/>
      <c r="AD1021" s="153"/>
      <c r="AH1021" s="147"/>
    </row>
    <row r="1022" spans="1:34" s="146" customFormat="1" x14ac:dyDescent="0.25">
      <c r="A1022" s="196">
        <v>66</v>
      </c>
      <c r="B1022" s="196" t="s">
        <v>5876</v>
      </c>
      <c r="C1022" s="196" t="s">
        <v>464</v>
      </c>
      <c r="D1022" s="196" t="s">
        <v>5877</v>
      </c>
      <c r="E1022" s="196" t="s">
        <v>5035</v>
      </c>
      <c r="F1022" s="196">
        <v>1988</v>
      </c>
      <c r="G1022" s="196"/>
      <c r="H1022" s="196" t="s">
        <v>1878</v>
      </c>
      <c r="I1022" s="141" t="s">
        <v>1879</v>
      </c>
      <c r="J1022" s="196"/>
      <c r="K1022" s="196" t="s">
        <v>1881</v>
      </c>
      <c r="L1022" s="141" t="s">
        <v>5878</v>
      </c>
      <c r="M1022" s="196">
        <v>192</v>
      </c>
      <c r="N1022" s="196"/>
      <c r="O1022" s="196" t="s">
        <v>5194</v>
      </c>
      <c r="P1022" s="144">
        <v>170</v>
      </c>
      <c r="Q1022" s="145">
        <f t="shared" si="61"/>
        <v>2.7232999999999996</v>
      </c>
      <c r="R1022" s="203">
        <v>1.19</v>
      </c>
      <c r="S1022" s="203"/>
      <c r="T1022" s="151"/>
      <c r="U1022" s="151">
        <v>1.2</v>
      </c>
      <c r="V1022" s="151">
        <v>0.25</v>
      </c>
      <c r="W1022" s="151">
        <f t="shared" si="60"/>
        <v>1.19</v>
      </c>
      <c r="X1022" s="152">
        <f t="shared" si="59"/>
        <v>8.3299999999999999E-2</v>
      </c>
      <c r="Y1022" s="152"/>
      <c r="Z1022" s="148"/>
      <c r="AA1022" s="153"/>
      <c r="AB1022" s="153"/>
      <c r="AC1022" s="153"/>
      <c r="AD1022" s="153"/>
      <c r="AH1022" s="147"/>
    </row>
    <row r="1023" spans="1:34" s="146" customFormat="1" x14ac:dyDescent="0.25">
      <c r="A1023" s="196">
        <v>2522</v>
      </c>
      <c r="B1023" s="196" t="s">
        <v>5879</v>
      </c>
      <c r="C1023" s="196" t="s">
        <v>5880</v>
      </c>
      <c r="D1023" s="196" t="s">
        <v>2300</v>
      </c>
      <c r="E1023" s="196"/>
      <c r="F1023" s="196">
        <v>2005</v>
      </c>
      <c r="G1023" s="196"/>
      <c r="H1023" s="196" t="s">
        <v>1878</v>
      </c>
      <c r="I1023" s="141" t="s">
        <v>1914</v>
      </c>
      <c r="J1023" s="196"/>
      <c r="K1023" s="196" t="s">
        <v>1881</v>
      </c>
      <c r="L1023" s="141" t="s">
        <v>5881</v>
      </c>
      <c r="M1023" s="196">
        <v>512</v>
      </c>
      <c r="N1023" s="196"/>
      <c r="O1023" s="196" t="s">
        <v>5195</v>
      </c>
      <c r="P1023" s="144">
        <v>462</v>
      </c>
      <c r="Q1023" s="145">
        <f t="shared" si="61"/>
        <v>1.9742999999999999</v>
      </c>
      <c r="R1023" s="203">
        <v>0.49</v>
      </c>
      <c r="S1023" s="203"/>
      <c r="T1023" s="151"/>
      <c r="U1023" s="151">
        <v>1.2</v>
      </c>
      <c r="V1023" s="151">
        <v>0.25</v>
      </c>
      <c r="W1023" s="151">
        <f t="shared" si="60"/>
        <v>0.49</v>
      </c>
      <c r="X1023" s="152">
        <f t="shared" si="59"/>
        <v>3.4299999999999997E-2</v>
      </c>
      <c r="Y1023" s="152"/>
      <c r="Z1023" s="148"/>
      <c r="AA1023" s="153"/>
      <c r="AB1023" s="153"/>
      <c r="AC1023" s="153"/>
      <c r="AD1023" s="153"/>
      <c r="AH1023" s="147"/>
    </row>
    <row r="1024" spans="1:34" s="146" customFormat="1" x14ac:dyDescent="0.25">
      <c r="A1024" s="196">
        <v>811</v>
      </c>
      <c r="B1024" s="196" t="s">
        <v>5883</v>
      </c>
      <c r="C1024" s="196" t="s">
        <v>5882</v>
      </c>
      <c r="D1024" s="196" t="s">
        <v>5884</v>
      </c>
      <c r="E1024" s="196"/>
      <c r="F1024" s="196"/>
      <c r="G1024" s="196"/>
      <c r="H1024" s="196" t="s">
        <v>2734</v>
      </c>
      <c r="I1024" s="141" t="s">
        <v>1879</v>
      </c>
      <c r="J1024" s="196"/>
      <c r="K1024" s="196" t="s">
        <v>1881</v>
      </c>
      <c r="L1024" s="141" t="s">
        <v>5885</v>
      </c>
      <c r="M1024" s="196">
        <v>194</v>
      </c>
      <c r="N1024" s="196"/>
      <c r="O1024" s="196" t="s">
        <v>5196</v>
      </c>
      <c r="P1024" s="144">
        <v>945</v>
      </c>
      <c r="Q1024" s="145">
        <f t="shared" si="61"/>
        <v>3.2232999999999996</v>
      </c>
      <c r="R1024" s="203">
        <v>1.19</v>
      </c>
      <c r="S1024" s="203"/>
      <c r="T1024" s="151"/>
      <c r="U1024" s="151">
        <v>1.7</v>
      </c>
      <c r="V1024" s="151">
        <v>0.25</v>
      </c>
      <c r="W1024" s="151">
        <f t="shared" si="60"/>
        <v>1.19</v>
      </c>
      <c r="X1024" s="152">
        <f t="shared" si="59"/>
        <v>8.3299999999999999E-2</v>
      </c>
      <c r="Y1024" s="152"/>
      <c r="Z1024" s="148"/>
      <c r="AA1024" s="153"/>
      <c r="AB1024" s="153"/>
      <c r="AC1024" s="153"/>
      <c r="AD1024" s="153"/>
      <c r="AH1024" s="147"/>
    </row>
    <row r="1025" spans="1:34" s="146" customFormat="1" x14ac:dyDescent="0.25">
      <c r="A1025" s="196">
        <v>803</v>
      </c>
      <c r="B1025" s="196" t="s">
        <v>5886</v>
      </c>
      <c r="C1025" s="196" t="s">
        <v>5887</v>
      </c>
      <c r="D1025" s="196" t="s">
        <v>5888</v>
      </c>
      <c r="E1025" s="196" t="s">
        <v>1877</v>
      </c>
      <c r="F1025" s="196">
        <v>2001</v>
      </c>
      <c r="G1025" s="196"/>
      <c r="H1025" s="196" t="s">
        <v>2734</v>
      </c>
      <c r="I1025" s="141" t="s">
        <v>1879</v>
      </c>
      <c r="J1025" s="196"/>
      <c r="K1025" s="196" t="s">
        <v>1881</v>
      </c>
      <c r="L1025" s="141" t="s">
        <v>5889</v>
      </c>
      <c r="M1025" s="196">
        <v>130</v>
      </c>
      <c r="N1025" s="196"/>
      <c r="O1025" s="196" t="s">
        <v>5197</v>
      </c>
      <c r="P1025" s="144">
        <v>851</v>
      </c>
      <c r="Q1025" s="145">
        <f t="shared" si="61"/>
        <v>3.2232999999999996</v>
      </c>
      <c r="R1025" s="203">
        <v>1.19</v>
      </c>
      <c r="S1025" s="203"/>
      <c r="T1025" s="151"/>
      <c r="U1025" s="151">
        <v>1.7</v>
      </c>
      <c r="V1025" s="151">
        <v>0.25</v>
      </c>
      <c r="W1025" s="151">
        <f t="shared" si="60"/>
        <v>1.19</v>
      </c>
      <c r="X1025" s="152">
        <f t="shared" ref="X1025:X1087" si="62">(T1025+W1025)/100*7</f>
        <v>8.3299999999999999E-2</v>
      </c>
      <c r="Y1025" s="152"/>
      <c r="Z1025" s="148"/>
      <c r="AA1025" s="153"/>
      <c r="AB1025" s="153"/>
      <c r="AC1025" s="153"/>
      <c r="AD1025" s="153"/>
      <c r="AH1025" s="147"/>
    </row>
    <row r="1026" spans="1:34" s="146" customFormat="1" x14ac:dyDescent="0.25">
      <c r="A1026" s="196">
        <v>1336</v>
      </c>
      <c r="B1026" s="196"/>
      <c r="C1026" s="196" t="s">
        <v>5890</v>
      </c>
      <c r="D1026" s="196" t="s">
        <v>3332</v>
      </c>
      <c r="E1026" s="196"/>
      <c r="F1026" s="196"/>
      <c r="G1026" s="196"/>
      <c r="H1026" s="196" t="s">
        <v>2734</v>
      </c>
      <c r="I1026" s="141" t="s">
        <v>1879</v>
      </c>
      <c r="J1026" s="196"/>
      <c r="K1026" s="196" t="s">
        <v>1881</v>
      </c>
      <c r="L1026" s="141" t="s">
        <v>5891</v>
      </c>
      <c r="M1026" s="196">
        <v>242</v>
      </c>
      <c r="N1026" s="196"/>
      <c r="O1026" s="196" t="s">
        <v>5198</v>
      </c>
      <c r="P1026" s="144">
        <v>1295</v>
      </c>
      <c r="Q1026" s="145">
        <f t="shared" si="61"/>
        <v>4.5643000000000002</v>
      </c>
      <c r="R1026" s="203">
        <v>0.49</v>
      </c>
      <c r="S1026" s="203"/>
      <c r="T1026" s="151"/>
      <c r="U1026" s="151">
        <v>3.79</v>
      </c>
      <c r="V1026" s="151">
        <v>0.25</v>
      </c>
      <c r="W1026" s="151">
        <f t="shared" si="60"/>
        <v>0.49</v>
      </c>
      <c r="X1026" s="152">
        <f t="shared" si="62"/>
        <v>3.4299999999999997E-2</v>
      </c>
      <c r="Y1026" s="152"/>
      <c r="Z1026" s="148"/>
      <c r="AA1026" s="153"/>
      <c r="AB1026" s="153"/>
      <c r="AC1026" s="153"/>
      <c r="AD1026" s="153"/>
      <c r="AH1026" s="147"/>
    </row>
    <row r="1027" spans="1:34" s="146" customFormat="1" x14ac:dyDescent="0.25">
      <c r="A1027" s="196">
        <v>2681</v>
      </c>
      <c r="B1027" s="196"/>
      <c r="C1027" s="196" t="s">
        <v>5892</v>
      </c>
      <c r="D1027" s="196" t="s">
        <v>3761</v>
      </c>
      <c r="E1027" s="196"/>
      <c r="F1027" s="196">
        <v>2010</v>
      </c>
      <c r="G1027" s="196"/>
      <c r="H1027" s="196" t="s">
        <v>2734</v>
      </c>
      <c r="I1027" s="141" t="s">
        <v>1929</v>
      </c>
      <c r="J1027" s="196"/>
      <c r="K1027" s="196" t="s">
        <v>1881</v>
      </c>
      <c r="L1027" s="141" t="s">
        <v>5893</v>
      </c>
      <c r="M1027" s="196">
        <v>98</v>
      </c>
      <c r="N1027" s="196"/>
      <c r="O1027" s="196" t="s">
        <v>5199</v>
      </c>
      <c r="P1027" s="144">
        <v>772</v>
      </c>
      <c r="Q1027" s="145">
        <f t="shared" si="61"/>
        <v>4.0792999999999999</v>
      </c>
      <c r="R1027" s="203">
        <v>1.99</v>
      </c>
      <c r="S1027" s="203"/>
      <c r="T1027" s="151"/>
      <c r="U1027" s="151">
        <v>1.7</v>
      </c>
      <c r="V1027" s="151">
        <v>0.25</v>
      </c>
      <c r="W1027" s="151">
        <f t="shared" si="60"/>
        <v>1.99</v>
      </c>
      <c r="X1027" s="152">
        <f t="shared" si="62"/>
        <v>0.13930000000000001</v>
      </c>
      <c r="Y1027" s="152"/>
      <c r="Z1027" s="148"/>
      <c r="AA1027" s="153"/>
      <c r="AB1027" s="153"/>
      <c r="AC1027" s="153"/>
      <c r="AD1027" s="153"/>
      <c r="AH1027" s="147"/>
    </row>
    <row r="1028" spans="1:34" s="146" customFormat="1" x14ac:dyDescent="0.25">
      <c r="A1028" s="196">
        <v>2852</v>
      </c>
      <c r="B1028" s="196" t="s">
        <v>5894</v>
      </c>
      <c r="C1028" s="196" t="s">
        <v>5895</v>
      </c>
      <c r="D1028" s="196" t="s">
        <v>3761</v>
      </c>
      <c r="E1028" s="196"/>
      <c r="F1028" s="196">
        <v>2009</v>
      </c>
      <c r="G1028" s="196"/>
      <c r="H1028" s="196" t="s">
        <v>2734</v>
      </c>
      <c r="I1028" s="141" t="s">
        <v>1929</v>
      </c>
      <c r="J1028" s="196"/>
      <c r="K1028" s="196" t="s">
        <v>1881</v>
      </c>
      <c r="L1028" s="141" t="s">
        <v>5896</v>
      </c>
      <c r="M1028" s="196">
        <v>642</v>
      </c>
      <c r="N1028" s="196"/>
      <c r="O1028" s="196" t="s">
        <v>5200</v>
      </c>
      <c r="P1028" s="144">
        <v>2816</v>
      </c>
      <c r="Q1028" s="145">
        <f t="shared" si="61"/>
        <v>12.863299999999999</v>
      </c>
      <c r="R1028" s="203">
        <v>6.19</v>
      </c>
      <c r="S1028" s="203"/>
      <c r="T1028" s="151"/>
      <c r="U1028" s="151">
        <v>5.99</v>
      </c>
      <c r="V1028" s="151">
        <v>0.25</v>
      </c>
      <c r="W1028" s="151">
        <f t="shared" si="60"/>
        <v>6.19</v>
      </c>
      <c r="X1028" s="152">
        <f t="shared" si="62"/>
        <v>0.43330000000000002</v>
      </c>
      <c r="Y1028" s="152"/>
      <c r="Z1028" s="148"/>
      <c r="AA1028" s="153"/>
      <c r="AB1028" s="153"/>
      <c r="AC1028" s="153"/>
      <c r="AD1028" s="153"/>
      <c r="AH1028" s="147"/>
    </row>
    <row r="1029" spans="1:34" s="146" customFormat="1" x14ac:dyDescent="0.25">
      <c r="A1029" s="196">
        <v>821</v>
      </c>
      <c r="B1029" s="196"/>
      <c r="C1029" s="196" t="s">
        <v>5897</v>
      </c>
      <c r="D1029" s="196"/>
      <c r="E1029" s="196"/>
      <c r="F1029" s="196"/>
      <c r="G1029" s="196"/>
      <c r="H1029" s="196" t="s">
        <v>2734</v>
      </c>
      <c r="I1029" s="141" t="s">
        <v>1879</v>
      </c>
      <c r="J1029" s="196"/>
      <c r="K1029" s="196" t="s">
        <v>1881</v>
      </c>
      <c r="L1029" s="141" t="s">
        <v>5898</v>
      </c>
      <c r="M1029" s="196">
        <v>162</v>
      </c>
      <c r="N1029" s="196"/>
      <c r="O1029" s="196" t="s">
        <v>5201</v>
      </c>
      <c r="P1029" s="144">
        <v>925</v>
      </c>
      <c r="Q1029" s="145">
        <f t="shared" si="61"/>
        <v>3.0093000000000001</v>
      </c>
      <c r="R1029" s="203">
        <v>0.99</v>
      </c>
      <c r="S1029" s="203"/>
      <c r="T1029" s="151"/>
      <c r="U1029" s="151">
        <v>1.7</v>
      </c>
      <c r="V1029" s="151">
        <v>0.25</v>
      </c>
      <c r="W1029" s="151">
        <f t="shared" si="60"/>
        <v>0.99</v>
      </c>
      <c r="X1029" s="152">
        <f t="shared" si="62"/>
        <v>6.93E-2</v>
      </c>
      <c r="Y1029" s="152"/>
      <c r="Z1029" s="148"/>
      <c r="AA1029" s="153"/>
      <c r="AB1029" s="153"/>
      <c r="AC1029" s="153"/>
      <c r="AD1029" s="153"/>
      <c r="AH1029" s="147"/>
    </row>
    <row r="1030" spans="1:34" s="146" customFormat="1" x14ac:dyDescent="0.25">
      <c r="A1030" s="196">
        <v>818</v>
      </c>
      <c r="B1030" s="196" t="s">
        <v>5899</v>
      </c>
      <c r="C1030" s="196" t="s">
        <v>5900</v>
      </c>
      <c r="D1030" s="196" t="s">
        <v>4930</v>
      </c>
      <c r="E1030" s="196"/>
      <c r="F1030" s="196">
        <v>1991</v>
      </c>
      <c r="G1030" s="196"/>
      <c r="H1030" s="196" t="s">
        <v>2734</v>
      </c>
      <c r="I1030" s="141" t="s">
        <v>1879</v>
      </c>
      <c r="J1030" s="196"/>
      <c r="K1030" s="196" t="s">
        <v>1881</v>
      </c>
      <c r="L1030" s="141"/>
      <c r="M1030" s="196">
        <v>178</v>
      </c>
      <c r="N1030" s="196"/>
      <c r="O1030" s="196" t="s">
        <v>5202</v>
      </c>
      <c r="P1030" s="144">
        <v>775</v>
      </c>
      <c r="Q1030" s="145">
        <f t="shared" si="61"/>
        <v>8.3593000000000011</v>
      </c>
      <c r="R1030" s="203">
        <v>5.99</v>
      </c>
      <c r="S1030" s="203"/>
      <c r="T1030" s="151"/>
      <c r="U1030" s="151">
        <v>1.7</v>
      </c>
      <c r="V1030" s="151">
        <v>0.25</v>
      </c>
      <c r="W1030" s="151">
        <f t="shared" si="60"/>
        <v>5.99</v>
      </c>
      <c r="X1030" s="152">
        <f t="shared" si="62"/>
        <v>0.41930000000000001</v>
      </c>
      <c r="Y1030" s="152"/>
      <c r="Z1030" s="148"/>
      <c r="AA1030" s="153"/>
      <c r="AB1030" s="153"/>
      <c r="AC1030" s="153"/>
      <c r="AD1030" s="153"/>
      <c r="AH1030" s="147"/>
    </row>
    <row r="1031" spans="1:34" s="146" customFormat="1" x14ac:dyDescent="0.25">
      <c r="A1031" s="196">
        <v>647</v>
      </c>
      <c r="B1031" s="196"/>
      <c r="C1031" s="196" t="s">
        <v>5901</v>
      </c>
      <c r="D1031" s="196" t="s">
        <v>5902</v>
      </c>
      <c r="E1031" s="196"/>
      <c r="F1031" s="196">
        <v>2009</v>
      </c>
      <c r="G1031" s="196"/>
      <c r="H1031" s="196" t="s">
        <v>2734</v>
      </c>
      <c r="I1031" s="141" t="s">
        <v>1929</v>
      </c>
      <c r="J1031" s="196"/>
      <c r="K1031" s="196" t="s">
        <v>1881</v>
      </c>
      <c r="L1031" s="141" t="s">
        <v>5903</v>
      </c>
      <c r="M1031" s="196">
        <v>442</v>
      </c>
      <c r="N1031" s="196"/>
      <c r="O1031" s="196" t="s">
        <v>5203</v>
      </c>
      <c r="P1031" s="144">
        <v>1377</v>
      </c>
      <c r="Q1031" s="145">
        <f t="shared" si="61"/>
        <v>5.0993000000000004</v>
      </c>
      <c r="R1031" s="203">
        <v>0.99</v>
      </c>
      <c r="S1031" s="203"/>
      <c r="T1031" s="151"/>
      <c r="U1031" s="151">
        <v>3.79</v>
      </c>
      <c r="V1031" s="151">
        <v>0.25</v>
      </c>
      <c r="W1031" s="151">
        <f t="shared" si="60"/>
        <v>0.99</v>
      </c>
      <c r="X1031" s="152">
        <f t="shared" si="62"/>
        <v>6.93E-2</v>
      </c>
      <c r="Y1031" s="152"/>
      <c r="Z1031" s="148"/>
      <c r="AA1031" s="153"/>
      <c r="AB1031" s="153"/>
      <c r="AC1031" s="153"/>
      <c r="AD1031" s="153"/>
      <c r="AH1031" s="147"/>
    </row>
    <row r="1032" spans="1:34" s="146" customFormat="1" x14ac:dyDescent="0.25">
      <c r="A1032" s="196">
        <v>863</v>
      </c>
      <c r="B1032" s="196" t="s">
        <v>5904</v>
      </c>
      <c r="C1032" s="196" t="s">
        <v>5905</v>
      </c>
      <c r="D1032" s="196" t="s">
        <v>5906</v>
      </c>
      <c r="E1032" s="196"/>
      <c r="F1032" s="196">
        <v>1968</v>
      </c>
      <c r="G1032" s="196"/>
      <c r="H1032" s="196" t="s">
        <v>2734</v>
      </c>
      <c r="I1032" s="141" t="s">
        <v>1879</v>
      </c>
      <c r="J1032" s="196" t="s">
        <v>2222</v>
      </c>
      <c r="K1032" s="196" t="s">
        <v>1881</v>
      </c>
      <c r="L1032" s="141"/>
      <c r="M1032" s="196">
        <v>114</v>
      </c>
      <c r="N1032" s="196"/>
      <c r="O1032" s="196" t="s">
        <v>5204</v>
      </c>
      <c r="P1032" s="144">
        <v>587</v>
      </c>
      <c r="Q1032" s="145">
        <f t="shared" si="61"/>
        <v>2.4742999999999999</v>
      </c>
      <c r="R1032" s="203">
        <v>0.49</v>
      </c>
      <c r="S1032" s="203"/>
      <c r="T1032" s="151"/>
      <c r="U1032" s="151">
        <v>1.7</v>
      </c>
      <c r="V1032" s="151">
        <v>0.25</v>
      </c>
      <c r="W1032" s="151">
        <f t="shared" si="60"/>
        <v>0.49</v>
      </c>
      <c r="X1032" s="152">
        <f t="shared" si="62"/>
        <v>3.4299999999999997E-2</v>
      </c>
      <c r="Y1032" s="152"/>
      <c r="Z1032" s="148"/>
      <c r="AA1032" s="153"/>
      <c r="AB1032" s="153"/>
      <c r="AC1032" s="153"/>
      <c r="AD1032" s="153"/>
      <c r="AH1032" s="147"/>
    </row>
    <row r="1033" spans="1:34" s="146" customFormat="1" x14ac:dyDescent="0.25">
      <c r="A1033" s="196">
        <v>796</v>
      </c>
      <c r="B1033" s="196" t="s">
        <v>5907</v>
      </c>
      <c r="C1033" s="196" t="s">
        <v>5908</v>
      </c>
      <c r="D1033" s="196" t="s">
        <v>4693</v>
      </c>
      <c r="E1033" s="196"/>
      <c r="F1033" s="196">
        <v>2001</v>
      </c>
      <c r="G1033" s="196"/>
      <c r="H1033" s="196" t="s">
        <v>2734</v>
      </c>
      <c r="I1033" s="141" t="s">
        <v>1879</v>
      </c>
      <c r="J1033" s="196"/>
      <c r="K1033" s="196" t="s">
        <v>1881</v>
      </c>
      <c r="L1033" s="141"/>
      <c r="M1033" s="196">
        <v>170</v>
      </c>
      <c r="N1033" s="196"/>
      <c r="O1033" s="196" t="s">
        <v>5205</v>
      </c>
      <c r="P1033" s="144">
        <v>898</v>
      </c>
      <c r="Q1033" s="145">
        <f t="shared" si="61"/>
        <v>3.0093000000000001</v>
      </c>
      <c r="R1033" s="203">
        <v>0.99</v>
      </c>
      <c r="S1033" s="203"/>
      <c r="T1033" s="151"/>
      <c r="U1033" s="151">
        <v>1.7</v>
      </c>
      <c r="V1033" s="151">
        <v>0.25</v>
      </c>
      <c r="W1033" s="151">
        <f t="shared" si="60"/>
        <v>0.99</v>
      </c>
      <c r="X1033" s="152">
        <f t="shared" si="62"/>
        <v>6.93E-2</v>
      </c>
      <c r="Y1033" s="152"/>
      <c r="Z1033" s="148"/>
      <c r="AA1033" s="153"/>
      <c r="AB1033" s="153"/>
      <c r="AC1033" s="153"/>
      <c r="AD1033" s="153"/>
      <c r="AH1033" s="147"/>
    </row>
    <row r="1034" spans="1:34" s="146" customFormat="1" x14ac:dyDescent="0.25">
      <c r="A1034" s="196">
        <v>2973</v>
      </c>
      <c r="B1034" s="196"/>
      <c r="C1034" s="196" t="s">
        <v>5909</v>
      </c>
      <c r="D1034" s="196" t="s">
        <v>5910</v>
      </c>
      <c r="E1034" s="196"/>
      <c r="F1034" s="196">
        <v>1994</v>
      </c>
      <c r="G1034" s="196"/>
      <c r="H1034" s="196" t="s">
        <v>2734</v>
      </c>
      <c r="I1034" s="141" t="s">
        <v>1879</v>
      </c>
      <c r="J1034" s="196" t="s">
        <v>2369</v>
      </c>
      <c r="K1034" s="196" t="s">
        <v>1881</v>
      </c>
      <c r="L1034" s="141"/>
      <c r="M1034" s="196">
        <v>158</v>
      </c>
      <c r="N1034" s="196"/>
      <c r="O1034" s="196" t="s">
        <v>5206</v>
      </c>
      <c r="P1034" s="144">
        <v>613</v>
      </c>
      <c r="Q1034" s="145">
        <f t="shared" si="61"/>
        <v>3.1162999999999998</v>
      </c>
      <c r="R1034" s="203">
        <v>1.0900000000000001</v>
      </c>
      <c r="S1034" s="203"/>
      <c r="T1034" s="151"/>
      <c r="U1034" s="151">
        <v>1.7</v>
      </c>
      <c r="V1034" s="151">
        <v>0.25</v>
      </c>
      <c r="W1034" s="151">
        <f t="shared" si="60"/>
        <v>1.0900000000000001</v>
      </c>
      <c r="X1034" s="152">
        <f t="shared" si="62"/>
        <v>7.6300000000000007E-2</v>
      </c>
      <c r="Y1034" s="152"/>
      <c r="Z1034" s="148"/>
      <c r="AA1034" s="153"/>
      <c r="AB1034" s="153"/>
      <c r="AC1034" s="153"/>
      <c r="AD1034" s="153"/>
      <c r="AH1034" s="147"/>
    </row>
    <row r="1035" spans="1:34" s="146" customFormat="1" x14ac:dyDescent="0.25">
      <c r="A1035" s="196">
        <v>691</v>
      </c>
      <c r="B1035" s="196"/>
      <c r="C1035" s="196" t="s">
        <v>5911</v>
      </c>
      <c r="D1035" s="196" t="s">
        <v>5912</v>
      </c>
      <c r="E1035" s="196"/>
      <c r="F1035" s="196">
        <v>2004</v>
      </c>
      <c r="G1035" s="196"/>
      <c r="H1035" s="196" t="s">
        <v>2734</v>
      </c>
      <c r="I1035" s="141" t="s">
        <v>1929</v>
      </c>
      <c r="J1035" s="196"/>
      <c r="K1035" s="196" t="s">
        <v>1881</v>
      </c>
      <c r="L1035" s="141" t="s">
        <v>5913</v>
      </c>
      <c r="M1035" s="196">
        <v>62</v>
      </c>
      <c r="N1035" s="196"/>
      <c r="O1035" s="196" t="s">
        <v>5207</v>
      </c>
      <c r="P1035" s="144">
        <v>447</v>
      </c>
      <c r="Q1035" s="145">
        <f t="shared" si="61"/>
        <v>4.7563000000000004</v>
      </c>
      <c r="R1035" s="203">
        <v>3.09</v>
      </c>
      <c r="S1035" s="203"/>
      <c r="T1035" s="151"/>
      <c r="U1035" s="151">
        <v>1.2</v>
      </c>
      <c r="V1035" s="151">
        <v>0.25</v>
      </c>
      <c r="W1035" s="151">
        <f t="shared" si="60"/>
        <v>3.09</v>
      </c>
      <c r="X1035" s="152">
        <f t="shared" si="62"/>
        <v>0.21629999999999999</v>
      </c>
      <c r="Y1035" s="152"/>
      <c r="Z1035" s="148"/>
      <c r="AA1035" s="153"/>
      <c r="AB1035" s="153"/>
      <c r="AC1035" s="153"/>
      <c r="AD1035" s="153"/>
      <c r="AH1035" s="147"/>
    </row>
    <row r="1036" spans="1:34" s="146" customFormat="1" x14ac:dyDescent="0.25">
      <c r="A1036" s="196">
        <v>2689</v>
      </c>
      <c r="B1036" s="196" t="s">
        <v>5914</v>
      </c>
      <c r="C1036" s="196" t="s">
        <v>5915</v>
      </c>
      <c r="D1036" s="196" t="s">
        <v>5916</v>
      </c>
      <c r="E1036" s="196"/>
      <c r="F1036" s="196">
        <v>2000</v>
      </c>
      <c r="G1036" s="196"/>
      <c r="H1036" s="196" t="s">
        <v>2734</v>
      </c>
      <c r="I1036" s="141" t="s">
        <v>1879</v>
      </c>
      <c r="J1036" s="196" t="s">
        <v>2369</v>
      </c>
      <c r="K1036" s="196" t="s">
        <v>1881</v>
      </c>
      <c r="L1036" s="141" t="s">
        <v>5917</v>
      </c>
      <c r="M1036" s="196">
        <v>300</v>
      </c>
      <c r="N1036" s="196"/>
      <c r="O1036" s="196" t="s">
        <v>5208</v>
      </c>
      <c r="P1036" s="144">
        <v>726</v>
      </c>
      <c r="Q1036" s="145">
        <f t="shared" si="61"/>
        <v>2.2175000000000002</v>
      </c>
      <c r="R1036" s="203">
        <v>0.25</v>
      </c>
      <c r="S1036" s="203"/>
      <c r="T1036" s="151"/>
      <c r="U1036" s="151">
        <v>1.7</v>
      </c>
      <c r="V1036" s="151">
        <v>0.25</v>
      </c>
      <c r="W1036" s="151">
        <f t="shared" si="60"/>
        <v>0.25</v>
      </c>
      <c r="X1036" s="152">
        <f t="shared" si="62"/>
        <v>1.7500000000000002E-2</v>
      </c>
      <c r="Y1036" s="152"/>
      <c r="Z1036" s="148"/>
      <c r="AA1036" s="153"/>
      <c r="AB1036" s="153"/>
      <c r="AC1036" s="153"/>
      <c r="AD1036" s="153"/>
      <c r="AH1036" s="147"/>
    </row>
    <row r="1037" spans="1:34" s="146" customFormat="1" x14ac:dyDescent="0.25">
      <c r="A1037" s="196">
        <v>534</v>
      </c>
      <c r="B1037" s="196" t="s">
        <v>5918</v>
      </c>
      <c r="C1037" s="196" t="s">
        <v>5919</v>
      </c>
      <c r="D1037" s="196" t="s">
        <v>5920</v>
      </c>
      <c r="E1037" s="196"/>
      <c r="F1037" s="196">
        <v>1956</v>
      </c>
      <c r="G1037" s="196"/>
      <c r="H1037" s="196" t="s">
        <v>2008</v>
      </c>
      <c r="I1037" s="141" t="s">
        <v>1879</v>
      </c>
      <c r="J1037" s="196" t="s">
        <v>2222</v>
      </c>
      <c r="K1037" s="196" t="s">
        <v>1881</v>
      </c>
      <c r="L1037" s="141"/>
      <c r="M1037" s="196">
        <v>148</v>
      </c>
      <c r="N1037" s="196"/>
      <c r="O1037" s="196" t="s">
        <v>5209</v>
      </c>
      <c r="P1037" s="144">
        <v>312</v>
      </c>
      <c r="Q1037" s="145">
        <f t="shared" si="61"/>
        <v>4.1143000000000001</v>
      </c>
      <c r="R1037" s="203">
        <v>2.4900000000000002</v>
      </c>
      <c r="S1037" s="203"/>
      <c r="T1037" s="151"/>
      <c r="U1037" s="151">
        <v>1.2</v>
      </c>
      <c r="V1037" s="151">
        <v>0.25</v>
      </c>
      <c r="W1037" s="151">
        <f t="shared" si="60"/>
        <v>2.4900000000000002</v>
      </c>
      <c r="X1037" s="152">
        <f t="shared" si="62"/>
        <v>0.17430000000000001</v>
      </c>
      <c r="Y1037" s="152"/>
      <c r="Z1037" s="148"/>
      <c r="AA1037" s="153"/>
      <c r="AB1037" s="153"/>
      <c r="AC1037" s="153"/>
      <c r="AD1037" s="153"/>
      <c r="AH1037" s="147"/>
    </row>
    <row r="1038" spans="1:34" s="146" customFormat="1" x14ac:dyDescent="0.25">
      <c r="A1038" s="196">
        <v>1324</v>
      </c>
      <c r="B1038" s="196"/>
      <c r="C1038" s="196" t="s">
        <v>5921</v>
      </c>
      <c r="D1038" s="196" t="s">
        <v>5922</v>
      </c>
      <c r="E1038" s="196" t="s">
        <v>1913</v>
      </c>
      <c r="F1038" s="196">
        <v>1998</v>
      </c>
      <c r="G1038" s="196"/>
      <c r="H1038" s="196" t="s">
        <v>4297</v>
      </c>
      <c r="I1038" s="141" t="s">
        <v>1879</v>
      </c>
      <c r="J1038" s="196"/>
      <c r="K1038" s="196" t="s">
        <v>1881</v>
      </c>
      <c r="L1038" s="141" t="s">
        <v>5923</v>
      </c>
      <c r="M1038" s="196">
        <v>148</v>
      </c>
      <c r="N1038" s="196"/>
      <c r="O1038" s="196" t="s">
        <v>5210</v>
      </c>
      <c r="P1038" s="144">
        <v>372</v>
      </c>
      <c r="Q1038" s="145">
        <f t="shared" si="61"/>
        <v>2.5093000000000001</v>
      </c>
      <c r="R1038" s="203">
        <v>0.99</v>
      </c>
      <c r="S1038" s="203"/>
      <c r="T1038" s="151"/>
      <c r="U1038" s="151">
        <v>1.2</v>
      </c>
      <c r="V1038" s="151">
        <v>0.25</v>
      </c>
      <c r="W1038" s="151">
        <f t="shared" si="60"/>
        <v>0.99</v>
      </c>
      <c r="X1038" s="152">
        <f t="shared" si="62"/>
        <v>6.93E-2</v>
      </c>
      <c r="Y1038" s="152"/>
      <c r="Z1038" s="148"/>
      <c r="AA1038" s="153"/>
      <c r="AB1038" s="153"/>
      <c r="AC1038" s="153"/>
      <c r="AD1038" s="153"/>
      <c r="AH1038" s="147"/>
    </row>
    <row r="1039" spans="1:34" s="146" customFormat="1" x14ac:dyDescent="0.25">
      <c r="A1039" s="196">
        <v>1321</v>
      </c>
      <c r="B1039" s="196" t="s">
        <v>5924</v>
      </c>
      <c r="C1039" s="196" t="s">
        <v>5925</v>
      </c>
      <c r="D1039" s="196" t="s">
        <v>5926</v>
      </c>
      <c r="E1039" s="196"/>
      <c r="F1039" s="196">
        <v>1994</v>
      </c>
      <c r="G1039" s="196"/>
      <c r="H1039" s="196" t="s">
        <v>2734</v>
      </c>
      <c r="I1039" s="141" t="s">
        <v>1879</v>
      </c>
      <c r="J1039" s="196"/>
      <c r="K1039" s="196" t="s">
        <v>1881</v>
      </c>
      <c r="L1039" s="141" t="s">
        <v>5927</v>
      </c>
      <c r="M1039" s="196">
        <v>98</v>
      </c>
      <c r="N1039" s="196"/>
      <c r="O1039" s="196" t="s">
        <v>5211</v>
      </c>
      <c r="P1039" s="144">
        <v>485</v>
      </c>
      <c r="Q1039" s="145">
        <f t="shared" si="61"/>
        <v>3.0442999999999998</v>
      </c>
      <c r="R1039" s="203">
        <v>1.49</v>
      </c>
      <c r="S1039" s="203"/>
      <c r="T1039" s="151"/>
      <c r="U1039" s="151">
        <v>1.2</v>
      </c>
      <c r="V1039" s="151">
        <v>0.25</v>
      </c>
      <c r="W1039" s="151">
        <f t="shared" si="60"/>
        <v>1.49</v>
      </c>
      <c r="X1039" s="152">
        <f t="shared" si="62"/>
        <v>0.1043</v>
      </c>
      <c r="Y1039" s="152"/>
      <c r="Z1039" s="148"/>
      <c r="AA1039" s="153"/>
      <c r="AB1039" s="153"/>
      <c r="AC1039" s="153"/>
      <c r="AD1039" s="153"/>
      <c r="AH1039" s="147"/>
    </row>
    <row r="1040" spans="1:34" s="146" customFormat="1" x14ac:dyDescent="0.25">
      <c r="A1040" s="196">
        <v>323</v>
      </c>
      <c r="B1040" s="196" t="s">
        <v>5928</v>
      </c>
      <c r="C1040" s="196" t="s">
        <v>5929</v>
      </c>
      <c r="D1040" s="196" t="s">
        <v>5930</v>
      </c>
      <c r="E1040" s="196"/>
      <c r="F1040" s="196">
        <v>2004</v>
      </c>
      <c r="G1040" s="196"/>
      <c r="H1040" s="196" t="s">
        <v>2734</v>
      </c>
      <c r="I1040" s="141" t="s">
        <v>1929</v>
      </c>
      <c r="J1040" s="196"/>
      <c r="K1040" s="196" t="s">
        <v>1881</v>
      </c>
      <c r="L1040" s="141" t="s">
        <v>5931</v>
      </c>
      <c r="M1040" s="196">
        <v>130</v>
      </c>
      <c r="N1040" s="196"/>
      <c r="O1040" s="196" t="s">
        <v>5212</v>
      </c>
      <c r="P1040" s="144">
        <v>398</v>
      </c>
      <c r="Q1040" s="145">
        <f t="shared" si="61"/>
        <v>2.6162999999999998</v>
      </c>
      <c r="R1040" s="203">
        <v>1.0900000000000001</v>
      </c>
      <c r="S1040" s="203"/>
      <c r="T1040" s="151"/>
      <c r="U1040" s="151">
        <v>1.2</v>
      </c>
      <c r="V1040" s="151">
        <v>0.25</v>
      </c>
      <c r="W1040" s="151">
        <f t="shared" si="60"/>
        <v>1.0900000000000001</v>
      </c>
      <c r="X1040" s="152">
        <f t="shared" si="62"/>
        <v>7.6300000000000007E-2</v>
      </c>
      <c r="Y1040" s="152"/>
      <c r="Z1040" s="148"/>
      <c r="AA1040" s="153"/>
      <c r="AB1040" s="153"/>
      <c r="AC1040" s="153"/>
      <c r="AD1040" s="153"/>
      <c r="AH1040" s="147"/>
    </row>
    <row r="1041" spans="1:34" s="146" customFormat="1" x14ac:dyDescent="0.25">
      <c r="A1041" s="196">
        <v>972</v>
      </c>
      <c r="B1041" s="196" t="s">
        <v>5932</v>
      </c>
      <c r="C1041" s="196" t="s">
        <v>5933</v>
      </c>
      <c r="D1041" s="196" t="s">
        <v>2640</v>
      </c>
      <c r="E1041" s="196"/>
      <c r="F1041" s="196">
        <v>1993</v>
      </c>
      <c r="G1041" s="196"/>
      <c r="H1041" s="196" t="s">
        <v>2734</v>
      </c>
      <c r="I1041" s="141" t="s">
        <v>1879</v>
      </c>
      <c r="J1041" s="196" t="s">
        <v>5934</v>
      </c>
      <c r="K1041" s="196" t="s">
        <v>2025</v>
      </c>
      <c r="L1041" s="141" t="s">
        <v>5935</v>
      </c>
      <c r="M1041" s="196">
        <v>312</v>
      </c>
      <c r="N1041" s="196"/>
      <c r="O1041" s="196" t="s">
        <v>5213</v>
      </c>
      <c r="P1041" s="144">
        <v>682</v>
      </c>
      <c r="Q1041" s="145">
        <f t="shared" si="61"/>
        <v>4.6143000000000001</v>
      </c>
      <c r="R1041" s="203">
        <v>2.4900000000000002</v>
      </c>
      <c r="S1041" s="203"/>
      <c r="T1041" s="151"/>
      <c r="U1041" s="151">
        <v>1.7</v>
      </c>
      <c r="V1041" s="151">
        <v>0.25</v>
      </c>
      <c r="W1041" s="151">
        <f t="shared" si="60"/>
        <v>2.4900000000000002</v>
      </c>
      <c r="X1041" s="152">
        <f t="shared" si="62"/>
        <v>0.17430000000000001</v>
      </c>
      <c r="Y1041" s="152"/>
      <c r="Z1041" s="148"/>
      <c r="AA1041" s="153"/>
      <c r="AB1041" s="153"/>
      <c r="AC1041" s="153"/>
      <c r="AD1041" s="153"/>
      <c r="AH1041" s="147"/>
    </row>
    <row r="1042" spans="1:34" s="146" customFormat="1" x14ac:dyDescent="0.25">
      <c r="A1042" s="196">
        <v>689</v>
      </c>
      <c r="B1042" s="196" t="s">
        <v>5936</v>
      </c>
      <c r="C1042" s="196" t="s">
        <v>5937</v>
      </c>
      <c r="D1042" s="196" t="s">
        <v>2897</v>
      </c>
      <c r="E1042" s="196" t="s">
        <v>1913</v>
      </c>
      <c r="F1042" s="196">
        <v>1998</v>
      </c>
      <c r="G1042" s="196"/>
      <c r="H1042" s="196" t="s">
        <v>2734</v>
      </c>
      <c r="I1042" s="141" t="s">
        <v>1879</v>
      </c>
      <c r="J1042" s="196"/>
      <c r="K1042" s="196" t="s">
        <v>1881</v>
      </c>
      <c r="L1042" s="141" t="s">
        <v>5938</v>
      </c>
      <c r="M1042" s="196">
        <v>354</v>
      </c>
      <c r="N1042" s="196"/>
      <c r="O1042" s="196" t="s">
        <v>5214</v>
      </c>
      <c r="P1042" s="144">
        <v>550</v>
      </c>
      <c r="Q1042" s="145">
        <f t="shared" si="61"/>
        <v>2.4742999999999999</v>
      </c>
      <c r="R1042" s="203">
        <v>0.49</v>
      </c>
      <c r="S1042" s="203"/>
      <c r="T1042" s="151"/>
      <c r="U1042" s="151">
        <v>1.7</v>
      </c>
      <c r="V1042" s="151">
        <v>0.25</v>
      </c>
      <c r="W1042" s="151">
        <f t="shared" si="60"/>
        <v>0.49</v>
      </c>
      <c r="X1042" s="152">
        <f t="shared" si="62"/>
        <v>3.4299999999999997E-2</v>
      </c>
      <c r="Y1042" s="152"/>
      <c r="Z1042" s="148"/>
      <c r="AA1042" s="153"/>
      <c r="AB1042" s="153"/>
      <c r="AC1042" s="153"/>
      <c r="AD1042" s="153"/>
      <c r="AH1042" s="147"/>
    </row>
    <row r="1043" spans="1:34" s="146" customFormat="1" x14ac:dyDescent="0.25">
      <c r="A1043" s="196">
        <v>700</v>
      </c>
      <c r="B1043" s="196" t="s">
        <v>5939</v>
      </c>
      <c r="C1043" s="196" t="s">
        <v>5940</v>
      </c>
      <c r="D1043" s="196" t="s">
        <v>5941</v>
      </c>
      <c r="E1043" s="196"/>
      <c r="F1043" s="196">
        <v>1990</v>
      </c>
      <c r="G1043" s="196"/>
      <c r="H1043" s="196" t="s">
        <v>2734</v>
      </c>
      <c r="I1043" s="141" t="s">
        <v>1879</v>
      </c>
      <c r="J1043" s="196"/>
      <c r="K1043" s="196" t="s">
        <v>1881</v>
      </c>
      <c r="L1043" s="141" t="s">
        <v>5942</v>
      </c>
      <c r="M1043" s="196">
        <v>156</v>
      </c>
      <c r="N1043" s="196"/>
      <c r="O1043" s="196" t="s">
        <v>5215</v>
      </c>
      <c r="P1043" s="144">
        <v>381</v>
      </c>
      <c r="Q1043" s="145">
        <f t="shared" si="61"/>
        <v>5.7193000000000005</v>
      </c>
      <c r="R1043" s="203">
        <v>3.99</v>
      </c>
      <c r="S1043" s="203"/>
      <c r="T1043" s="151"/>
      <c r="U1043" s="151">
        <v>1.2</v>
      </c>
      <c r="V1043" s="151">
        <v>0.25</v>
      </c>
      <c r="W1043" s="151">
        <f t="shared" si="60"/>
        <v>3.99</v>
      </c>
      <c r="X1043" s="152">
        <f t="shared" si="62"/>
        <v>0.27930000000000005</v>
      </c>
      <c r="Y1043" s="152"/>
      <c r="Z1043" s="148"/>
      <c r="AA1043" s="153"/>
      <c r="AB1043" s="153"/>
      <c r="AC1043" s="153"/>
      <c r="AD1043" s="153"/>
      <c r="AH1043" s="147"/>
    </row>
    <row r="1044" spans="1:34" s="146" customFormat="1" x14ac:dyDescent="0.25">
      <c r="A1044" s="196">
        <v>972</v>
      </c>
      <c r="B1044" s="196" t="s">
        <v>2321</v>
      </c>
      <c r="C1044" s="196" t="s">
        <v>5943</v>
      </c>
      <c r="D1044" s="196" t="s">
        <v>5944</v>
      </c>
      <c r="E1044" s="196"/>
      <c r="F1044" s="196">
        <v>1999</v>
      </c>
      <c r="G1044" s="196"/>
      <c r="H1044" s="196" t="s">
        <v>2734</v>
      </c>
      <c r="I1044" s="141" t="s">
        <v>1879</v>
      </c>
      <c r="J1044" s="196" t="s">
        <v>5945</v>
      </c>
      <c r="K1044" s="196" t="s">
        <v>2025</v>
      </c>
      <c r="L1044" s="141" t="s">
        <v>5946</v>
      </c>
      <c r="M1044" s="196">
        <v>344</v>
      </c>
      <c r="N1044" s="196"/>
      <c r="O1044" s="196" t="s">
        <v>5216</v>
      </c>
      <c r="P1044" s="144">
        <v>602</v>
      </c>
      <c r="Q1044" s="145">
        <f t="shared" si="61"/>
        <v>3.9722999999999997</v>
      </c>
      <c r="R1044" s="203">
        <v>1.89</v>
      </c>
      <c r="S1044" s="203"/>
      <c r="T1044" s="151"/>
      <c r="U1044" s="151">
        <v>1.7</v>
      </c>
      <c r="V1044" s="151">
        <v>0.25</v>
      </c>
      <c r="W1044" s="151">
        <f t="shared" si="60"/>
        <v>1.89</v>
      </c>
      <c r="X1044" s="152">
        <f t="shared" si="62"/>
        <v>0.1323</v>
      </c>
      <c r="Y1044" s="152"/>
      <c r="Z1044" s="148"/>
      <c r="AA1044" s="153"/>
      <c r="AB1044" s="153"/>
      <c r="AC1044" s="153"/>
      <c r="AD1044" s="153"/>
      <c r="AH1044" s="147"/>
    </row>
    <row r="1045" spans="1:34" s="146" customFormat="1" x14ac:dyDescent="0.25">
      <c r="A1045" s="196">
        <v>2547</v>
      </c>
      <c r="B1045" s="196" t="s">
        <v>5842</v>
      </c>
      <c r="C1045" s="196" t="s">
        <v>5947</v>
      </c>
      <c r="D1045" s="196" t="s">
        <v>1912</v>
      </c>
      <c r="E1045" s="196" t="s">
        <v>1913</v>
      </c>
      <c r="F1045" s="196">
        <v>2004</v>
      </c>
      <c r="G1045" s="196"/>
      <c r="H1045" s="196" t="s">
        <v>2734</v>
      </c>
      <c r="I1045" s="141" t="s">
        <v>1929</v>
      </c>
      <c r="J1045" s="196"/>
      <c r="K1045" s="196" t="s">
        <v>1881</v>
      </c>
      <c r="L1045" s="141" t="s">
        <v>5948</v>
      </c>
      <c r="M1045" s="196">
        <v>450</v>
      </c>
      <c r="N1045" s="196"/>
      <c r="O1045" s="196" t="s">
        <v>5217</v>
      </c>
      <c r="P1045" s="144">
        <v>704</v>
      </c>
      <c r="Q1045" s="145">
        <f t="shared" si="61"/>
        <v>3.0093000000000001</v>
      </c>
      <c r="R1045" s="203">
        <v>0.99</v>
      </c>
      <c r="S1045" s="203"/>
      <c r="T1045" s="151"/>
      <c r="U1045" s="151">
        <v>1.7</v>
      </c>
      <c r="V1045" s="151">
        <v>0.25</v>
      </c>
      <c r="W1045" s="151">
        <f t="shared" si="60"/>
        <v>0.99</v>
      </c>
      <c r="X1045" s="152">
        <f t="shared" si="62"/>
        <v>6.93E-2</v>
      </c>
      <c r="Y1045" s="152"/>
      <c r="Z1045" s="148"/>
      <c r="AA1045" s="153"/>
      <c r="AB1045" s="153"/>
      <c r="AC1045" s="153"/>
      <c r="AD1045" s="153"/>
      <c r="AH1045" s="147"/>
    </row>
    <row r="1046" spans="1:34" s="146" customFormat="1" x14ac:dyDescent="0.25">
      <c r="A1046" s="196">
        <v>1324</v>
      </c>
      <c r="B1046" s="196" t="s">
        <v>5949</v>
      </c>
      <c r="C1046" s="196" t="s">
        <v>5950</v>
      </c>
      <c r="D1046" s="196" t="s">
        <v>5926</v>
      </c>
      <c r="E1046" s="196"/>
      <c r="F1046" s="196">
        <v>2000</v>
      </c>
      <c r="G1046" s="196"/>
      <c r="H1046" s="196" t="s">
        <v>2734</v>
      </c>
      <c r="I1046" s="141" t="s">
        <v>1929</v>
      </c>
      <c r="J1046" s="196"/>
      <c r="K1046" s="196" t="s">
        <v>1881</v>
      </c>
      <c r="L1046" s="141" t="s">
        <v>5951</v>
      </c>
      <c r="M1046" s="196">
        <v>290</v>
      </c>
      <c r="N1046" s="196"/>
      <c r="O1046" s="196" t="s">
        <v>5218</v>
      </c>
      <c r="P1046" s="144">
        <v>759</v>
      </c>
      <c r="Q1046" s="145">
        <f t="shared" si="61"/>
        <v>3.1162999999999998</v>
      </c>
      <c r="R1046" s="203">
        <v>1.0900000000000001</v>
      </c>
      <c r="S1046" s="203"/>
      <c r="T1046" s="151"/>
      <c r="U1046" s="151">
        <v>1.7</v>
      </c>
      <c r="V1046" s="151">
        <v>0.25</v>
      </c>
      <c r="W1046" s="151">
        <f t="shared" si="60"/>
        <v>1.0900000000000001</v>
      </c>
      <c r="X1046" s="152">
        <f t="shared" si="62"/>
        <v>7.6300000000000007E-2</v>
      </c>
      <c r="Y1046" s="152"/>
      <c r="Z1046" s="148"/>
      <c r="AA1046" s="153"/>
      <c r="AB1046" s="153"/>
      <c r="AC1046" s="153"/>
      <c r="AD1046" s="153"/>
      <c r="AH1046" s="147"/>
    </row>
    <row r="1047" spans="1:34" s="146" customFormat="1" x14ac:dyDescent="0.25">
      <c r="A1047" s="196">
        <v>2522</v>
      </c>
      <c r="B1047" s="196" t="s">
        <v>5952</v>
      </c>
      <c r="C1047" s="196" t="s">
        <v>5953</v>
      </c>
      <c r="D1047" s="196" t="s">
        <v>1993</v>
      </c>
      <c r="E1047" s="196" t="s">
        <v>1913</v>
      </c>
      <c r="F1047" s="196">
        <v>2008</v>
      </c>
      <c r="G1047" s="196"/>
      <c r="H1047" s="196" t="s">
        <v>1878</v>
      </c>
      <c r="I1047" s="141" t="s">
        <v>1914</v>
      </c>
      <c r="J1047" s="196"/>
      <c r="K1047" s="196" t="s">
        <v>1881</v>
      </c>
      <c r="L1047" s="141" t="s">
        <v>5954</v>
      </c>
      <c r="M1047" s="196">
        <v>384</v>
      </c>
      <c r="N1047" s="196"/>
      <c r="O1047" s="196" t="s">
        <v>5219</v>
      </c>
      <c r="P1047" s="144">
        <v>297</v>
      </c>
      <c r="Q1047" s="145">
        <f t="shared" si="61"/>
        <v>2.9373</v>
      </c>
      <c r="R1047" s="203">
        <v>1.39</v>
      </c>
      <c r="S1047" s="203"/>
      <c r="T1047" s="151"/>
      <c r="U1047" s="151">
        <v>1.2</v>
      </c>
      <c r="V1047" s="151">
        <v>0.25</v>
      </c>
      <c r="W1047" s="151">
        <f t="shared" si="60"/>
        <v>1.39</v>
      </c>
      <c r="X1047" s="152">
        <f t="shared" si="62"/>
        <v>9.7299999999999998E-2</v>
      </c>
      <c r="Y1047" s="152"/>
      <c r="Z1047" s="148"/>
      <c r="AA1047" s="153"/>
      <c r="AB1047" s="153"/>
      <c r="AC1047" s="153"/>
      <c r="AD1047" s="153"/>
      <c r="AH1047" s="147"/>
    </row>
    <row r="1048" spans="1:34" s="146" customFormat="1" x14ac:dyDescent="0.25">
      <c r="A1048" s="196">
        <v>2792</v>
      </c>
      <c r="B1048" s="196" t="s">
        <v>5955</v>
      </c>
      <c r="C1048" s="196" t="s">
        <v>5956</v>
      </c>
      <c r="D1048" s="196" t="s">
        <v>4517</v>
      </c>
      <c r="E1048" s="196" t="s">
        <v>1913</v>
      </c>
      <c r="F1048" s="196">
        <v>2003</v>
      </c>
      <c r="G1048" s="196"/>
      <c r="H1048" s="196" t="s">
        <v>1878</v>
      </c>
      <c r="I1048" s="141" t="s">
        <v>1914</v>
      </c>
      <c r="J1048" s="196"/>
      <c r="K1048" s="196" t="s">
        <v>1881</v>
      </c>
      <c r="L1048" s="141" t="s">
        <v>5957</v>
      </c>
      <c r="M1048" s="196">
        <v>400</v>
      </c>
      <c r="N1048" s="196"/>
      <c r="O1048" s="196" t="s">
        <v>5220</v>
      </c>
      <c r="P1048" s="144">
        <v>329</v>
      </c>
      <c r="Q1048" s="145">
        <f t="shared" si="61"/>
        <v>1.9742999999999999</v>
      </c>
      <c r="R1048" s="203">
        <v>0.49</v>
      </c>
      <c r="S1048" s="203"/>
      <c r="T1048" s="151"/>
      <c r="U1048" s="151">
        <v>1.2</v>
      </c>
      <c r="V1048" s="151">
        <v>0.25</v>
      </c>
      <c r="W1048" s="151">
        <f t="shared" si="60"/>
        <v>0.49</v>
      </c>
      <c r="X1048" s="152">
        <f t="shared" si="62"/>
        <v>3.4299999999999997E-2</v>
      </c>
      <c r="Y1048" s="152"/>
      <c r="Z1048" s="148"/>
      <c r="AA1048" s="153"/>
      <c r="AB1048" s="153"/>
      <c r="AC1048" s="153"/>
      <c r="AD1048" s="153"/>
      <c r="AH1048" s="147"/>
    </row>
    <row r="1049" spans="1:34" s="146" customFormat="1" x14ac:dyDescent="0.25">
      <c r="A1049" s="196">
        <v>1031</v>
      </c>
      <c r="B1049" s="196" t="s">
        <v>5958</v>
      </c>
      <c r="C1049" s="196" t="s">
        <v>5959</v>
      </c>
      <c r="D1049" s="196" t="s">
        <v>5960</v>
      </c>
      <c r="E1049" s="196"/>
      <c r="F1049" s="196"/>
      <c r="G1049" s="196"/>
      <c r="H1049" s="196" t="s">
        <v>2734</v>
      </c>
      <c r="I1049" s="141" t="s">
        <v>1879</v>
      </c>
      <c r="J1049" s="196"/>
      <c r="K1049" s="196" t="s">
        <v>1881</v>
      </c>
      <c r="L1049" s="141"/>
      <c r="M1049" s="196">
        <v>314</v>
      </c>
      <c r="N1049" s="196"/>
      <c r="O1049" s="196" t="s">
        <v>5221</v>
      </c>
      <c r="P1049" s="144">
        <v>449</v>
      </c>
      <c r="Q1049" s="145">
        <f t="shared" si="61"/>
        <v>1.7603</v>
      </c>
      <c r="R1049" s="203">
        <v>0.28999999999999998</v>
      </c>
      <c r="S1049" s="203"/>
      <c r="T1049" s="151"/>
      <c r="U1049" s="151">
        <v>1.2</v>
      </c>
      <c r="V1049" s="151">
        <v>0.25</v>
      </c>
      <c r="W1049" s="151">
        <f t="shared" ref="W1049:W1110" si="63">IF(R1049&gt;T1049,R1049,T1049)</f>
        <v>0.28999999999999998</v>
      </c>
      <c r="X1049" s="152">
        <f t="shared" si="62"/>
        <v>2.0299999999999999E-2</v>
      </c>
      <c r="Y1049" s="152"/>
      <c r="Z1049" s="148"/>
      <c r="AA1049" s="153"/>
      <c r="AB1049" s="153"/>
      <c r="AC1049" s="153"/>
      <c r="AD1049" s="153"/>
      <c r="AH1049" s="147"/>
    </row>
    <row r="1050" spans="1:34" s="146" customFormat="1" x14ac:dyDescent="0.25">
      <c r="A1050" s="196">
        <v>2712</v>
      </c>
      <c r="B1050" s="196" t="s">
        <v>5961</v>
      </c>
      <c r="C1050" s="196" t="s">
        <v>5962</v>
      </c>
      <c r="D1050" s="196" t="s">
        <v>5941</v>
      </c>
      <c r="E1050" s="196"/>
      <c r="F1050" s="196">
        <v>1976</v>
      </c>
      <c r="G1050" s="196"/>
      <c r="H1050" s="196" t="s">
        <v>2734</v>
      </c>
      <c r="I1050" s="141" t="s">
        <v>1879</v>
      </c>
      <c r="J1050" s="196" t="s">
        <v>5934</v>
      </c>
      <c r="K1050" s="196" t="s">
        <v>1881</v>
      </c>
      <c r="L1050" s="141" t="s">
        <v>5963</v>
      </c>
      <c r="M1050" s="196">
        <v>758</v>
      </c>
      <c r="N1050" s="196"/>
      <c r="O1050" s="196" t="s">
        <v>5222</v>
      </c>
      <c r="P1050" s="144">
        <v>882</v>
      </c>
      <c r="Q1050" s="145">
        <f t="shared" si="61"/>
        <v>3.1162999999999998</v>
      </c>
      <c r="R1050" s="203">
        <v>1.0900000000000001</v>
      </c>
      <c r="S1050" s="203"/>
      <c r="T1050" s="151"/>
      <c r="U1050" s="151">
        <v>1.7</v>
      </c>
      <c r="V1050" s="151">
        <v>0.25</v>
      </c>
      <c r="W1050" s="151">
        <f t="shared" si="63"/>
        <v>1.0900000000000001</v>
      </c>
      <c r="X1050" s="152">
        <f t="shared" si="62"/>
        <v>7.6300000000000007E-2</v>
      </c>
      <c r="Y1050" s="152"/>
      <c r="Z1050" s="148"/>
      <c r="AA1050" s="153"/>
      <c r="AB1050" s="153"/>
      <c r="AC1050" s="153"/>
      <c r="AD1050" s="153"/>
      <c r="AH1050" s="147"/>
    </row>
    <row r="1051" spans="1:34" s="146" customFormat="1" x14ac:dyDescent="0.25">
      <c r="A1051" s="196">
        <v>973</v>
      </c>
      <c r="B1051" s="196" t="s">
        <v>5964</v>
      </c>
      <c r="C1051" s="196" t="s">
        <v>5965</v>
      </c>
      <c r="D1051" s="196"/>
      <c r="E1051" s="196"/>
      <c r="F1051" s="196">
        <v>1999</v>
      </c>
      <c r="G1051" s="196"/>
      <c r="H1051" s="196" t="s">
        <v>2734</v>
      </c>
      <c r="I1051" s="141" t="s">
        <v>1879</v>
      </c>
      <c r="J1051" s="196"/>
      <c r="K1051" s="196" t="s">
        <v>2025</v>
      </c>
      <c r="L1051" s="141" t="s">
        <v>5966</v>
      </c>
      <c r="M1051" s="196">
        <v>268</v>
      </c>
      <c r="N1051" s="196"/>
      <c r="O1051" s="196" t="s">
        <v>5223</v>
      </c>
      <c r="P1051" s="144">
        <v>573</v>
      </c>
      <c r="Q1051" s="145">
        <f t="shared" si="61"/>
        <v>17.9893</v>
      </c>
      <c r="R1051" s="203">
        <v>14.99</v>
      </c>
      <c r="S1051" s="203"/>
      <c r="T1051" s="151"/>
      <c r="U1051" s="151">
        <v>1.7</v>
      </c>
      <c r="V1051" s="151">
        <v>0.25</v>
      </c>
      <c r="W1051" s="151">
        <f t="shared" si="63"/>
        <v>14.99</v>
      </c>
      <c r="X1051" s="152">
        <f t="shared" si="62"/>
        <v>1.0493000000000001</v>
      </c>
      <c r="Y1051" s="152"/>
      <c r="Z1051" s="148"/>
      <c r="AA1051" s="153"/>
      <c r="AB1051" s="153"/>
      <c r="AC1051" s="153"/>
      <c r="AD1051" s="153"/>
      <c r="AH1051" s="147"/>
    </row>
    <row r="1052" spans="1:34" s="146" customFormat="1" x14ac:dyDescent="0.25">
      <c r="A1052" s="196">
        <v>766</v>
      </c>
      <c r="B1052" s="196" t="s">
        <v>5967</v>
      </c>
      <c r="C1052" s="196" t="s">
        <v>5968</v>
      </c>
      <c r="D1052" s="196" t="s">
        <v>2300</v>
      </c>
      <c r="E1052" s="196"/>
      <c r="F1052" s="196">
        <v>1999</v>
      </c>
      <c r="G1052" s="196"/>
      <c r="H1052" s="196" t="s">
        <v>1878</v>
      </c>
      <c r="I1052" s="141" t="s">
        <v>1879</v>
      </c>
      <c r="J1052" s="196"/>
      <c r="K1052" s="196" t="s">
        <v>1881</v>
      </c>
      <c r="L1052" s="141" t="s">
        <v>5969</v>
      </c>
      <c r="M1052" s="196">
        <v>128</v>
      </c>
      <c r="N1052" s="196"/>
      <c r="O1052" s="196" t="s">
        <v>5224</v>
      </c>
      <c r="P1052" s="144">
        <v>151</v>
      </c>
      <c r="Q1052" s="145">
        <f t="shared" si="61"/>
        <v>2.7232999999999996</v>
      </c>
      <c r="R1052" s="203">
        <v>1.19</v>
      </c>
      <c r="S1052" s="203"/>
      <c r="T1052" s="151"/>
      <c r="U1052" s="151">
        <v>1.2</v>
      </c>
      <c r="V1052" s="151">
        <v>0.25</v>
      </c>
      <c r="W1052" s="151">
        <f t="shared" si="63"/>
        <v>1.19</v>
      </c>
      <c r="X1052" s="152">
        <f t="shared" si="62"/>
        <v>8.3299999999999999E-2</v>
      </c>
      <c r="Y1052" s="152"/>
      <c r="Z1052" s="148"/>
      <c r="AA1052" s="153"/>
      <c r="AB1052" s="153"/>
      <c r="AC1052" s="153"/>
      <c r="AD1052" s="153"/>
      <c r="AH1052" s="147"/>
    </row>
    <row r="1053" spans="1:34" s="146" customFormat="1" x14ac:dyDescent="0.25">
      <c r="A1053" s="196">
        <v>1216</v>
      </c>
      <c r="B1053" s="196" t="s">
        <v>5970</v>
      </c>
      <c r="C1053" s="196" t="s">
        <v>5971</v>
      </c>
      <c r="D1053" s="196" t="s">
        <v>5972</v>
      </c>
      <c r="E1053" s="196"/>
      <c r="F1053" s="196">
        <v>1983</v>
      </c>
      <c r="G1053" s="196"/>
      <c r="H1053" s="196" t="s">
        <v>1878</v>
      </c>
      <c r="I1053" s="141" t="s">
        <v>1879</v>
      </c>
      <c r="J1053" s="196"/>
      <c r="K1053" s="196" t="s">
        <v>1881</v>
      </c>
      <c r="L1053" s="141" t="s">
        <v>5973</v>
      </c>
      <c r="M1053" s="196">
        <v>192</v>
      </c>
      <c r="N1053" s="196"/>
      <c r="O1053" s="196" t="s">
        <v>5225</v>
      </c>
      <c r="P1053" s="144">
        <v>269</v>
      </c>
      <c r="Q1053" s="145">
        <f t="shared" si="61"/>
        <v>2.8303000000000003</v>
      </c>
      <c r="R1053" s="203">
        <v>1.29</v>
      </c>
      <c r="S1053" s="203"/>
      <c r="T1053" s="151"/>
      <c r="U1053" s="151">
        <v>1.2</v>
      </c>
      <c r="V1053" s="151">
        <v>0.25</v>
      </c>
      <c r="W1053" s="151">
        <f t="shared" si="63"/>
        <v>1.29</v>
      </c>
      <c r="X1053" s="152">
        <f t="shared" si="62"/>
        <v>9.0300000000000005E-2</v>
      </c>
      <c r="Y1053" s="152"/>
      <c r="Z1053" s="148"/>
      <c r="AA1053" s="153"/>
      <c r="AB1053" s="153"/>
      <c r="AC1053" s="153"/>
      <c r="AD1053" s="153"/>
      <c r="AH1053" s="147"/>
    </row>
    <row r="1054" spans="1:34" s="146" customFormat="1" x14ac:dyDescent="0.25">
      <c r="A1054" s="196">
        <v>704</v>
      </c>
      <c r="B1054" s="196" t="s">
        <v>5974</v>
      </c>
      <c r="C1054" s="196" t="s">
        <v>5975</v>
      </c>
      <c r="D1054" s="196" t="s">
        <v>5976</v>
      </c>
      <c r="E1054" s="196" t="s">
        <v>1913</v>
      </c>
      <c r="F1054" s="196">
        <v>2012</v>
      </c>
      <c r="G1054" s="196"/>
      <c r="H1054" s="196" t="s">
        <v>1878</v>
      </c>
      <c r="I1054" s="141" t="s">
        <v>1879</v>
      </c>
      <c r="J1054" s="196"/>
      <c r="K1054" s="196" t="s">
        <v>1881</v>
      </c>
      <c r="L1054" s="141" t="s">
        <v>5977</v>
      </c>
      <c r="M1054" s="196">
        <v>208</v>
      </c>
      <c r="N1054" s="196"/>
      <c r="O1054" s="196" t="s">
        <v>5226</v>
      </c>
      <c r="P1054" s="144">
        <v>234</v>
      </c>
      <c r="Q1054" s="145">
        <f t="shared" si="61"/>
        <v>3.0442999999999998</v>
      </c>
      <c r="R1054" s="203">
        <v>1.49</v>
      </c>
      <c r="S1054" s="203"/>
      <c r="T1054" s="151"/>
      <c r="U1054" s="151">
        <v>1.2</v>
      </c>
      <c r="V1054" s="151">
        <v>0.25</v>
      </c>
      <c r="W1054" s="151">
        <f t="shared" si="63"/>
        <v>1.49</v>
      </c>
      <c r="X1054" s="152">
        <f t="shared" si="62"/>
        <v>0.1043</v>
      </c>
      <c r="Y1054" s="152"/>
      <c r="Z1054" s="148"/>
      <c r="AA1054" s="153"/>
      <c r="AB1054" s="153"/>
      <c r="AC1054" s="153"/>
      <c r="AD1054" s="153"/>
      <c r="AH1054" s="147"/>
    </row>
    <row r="1055" spans="1:34" s="146" customFormat="1" x14ac:dyDescent="0.25">
      <c r="A1055" s="196">
        <v>651</v>
      </c>
      <c r="B1055" s="196" t="s">
        <v>5978</v>
      </c>
      <c r="C1055" s="196" t="s">
        <v>5979</v>
      </c>
      <c r="D1055" s="196" t="s">
        <v>2117</v>
      </c>
      <c r="E1055" s="196" t="s">
        <v>1913</v>
      </c>
      <c r="F1055" s="196">
        <v>2000</v>
      </c>
      <c r="G1055" s="196"/>
      <c r="H1055" s="196" t="s">
        <v>1878</v>
      </c>
      <c r="I1055" s="141" t="s">
        <v>1879</v>
      </c>
      <c r="J1055" s="196"/>
      <c r="K1055" s="196" t="s">
        <v>1881</v>
      </c>
      <c r="L1055" s="141" t="s">
        <v>5980</v>
      </c>
      <c r="M1055" s="196">
        <v>32</v>
      </c>
      <c r="N1055" s="196"/>
      <c r="O1055" s="196" t="s">
        <v>5227</v>
      </c>
      <c r="P1055" s="144">
        <v>128</v>
      </c>
      <c r="Q1055" s="145">
        <f t="shared" si="61"/>
        <v>4.1143000000000001</v>
      </c>
      <c r="R1055" s="203">
        <v>2.4900000000000002</v>
      </c>
      <c r="S1055" s="203"/>
      <c r="T1055" s="151"/>
      <c r="U1055" s="151">
        <v>1.2</v>
      </c>
      <c r="V1055" s="151">
        <v>0.25</v>
      </c>
      <c r="W1055" s="151">
        <f t="shared" si="63"/>
        <v>2.4900000000000002</v>
      </c>
      <c r="X1055" s="152">
        <f t="shared" si="62"/>
        <v>0.17430000000000001</v>
      </c>
      <c r="Y1055" s="152"/>
      <c r="Z1055" s="148"/>
      <c r="AA1055" s="153"/>
      <c r="AB1055" s="153"/>
      <c r="AC1055" s="153"/>
      <c r="AD1055" s="153"/>
      <c r="AH1055" s="147"/>
    </row>
    <row r="1056" spans="1:34" s="146" customFormat="1" x14ac:dyDescent="0.25">
      <c r="A1056" s="196">
        <v>1395</v>
      </c>
      <c r="B1056" s="196" t="s">
        <v>5981</v>
      </c>
      <c r="C1056" s="196" t="s">
        <v>5982</v>
      </c>
      <c r="D1056" s="196" t="s">
        <v>1920</v>
      </c>
      <c r="E1056" s="196"/>
      <c r="F1056" s="196">
        <v>2005</v>
      </c>
      <c r="G1056" s="196"/>
      <c r="H1056" s="196" t="s">
        <v>1878</v>
      </c>
      <c r="I1056" s="141" t="s">
        <v>1879</v>
      </c>
      <c r="J1056" s="196"/>
      <c r="K1056" s="196" t="s">
        <v>1881</v>
      </c>
      <c r="L1056" s="141" t="s">
        <v>5983</v>
      </c>
      <c r="M1056" s="196">
        <v>336</v>
      </c>
      <c r="N1056" s="196"/>
      <c r="O1056" s="196" t="s">
        <v>5228</v>
      </c>
      <c r="P1056" s="144">
        <v>289</v>
      </c>
      <c r="Q1056" s="145">
        <f t="shared" si="61"/>
        <v>2.4022999999999999</v>
      </c>
      <c r="R1056" s="203">
        <v>0.89</v>
      </c>
      <c r="S1056" s="203"/>
      <c r="T1056" s="151"/>
      <c r="U1056" s="151">
        <v>1.2</v>
      </c>
      <c r="V1056" s="151">
        <v>0.25</v>
      </c>
      <c r="W1056" s="151">
        <f t="shared" si="63"/>
        <v>0.89</v>
      </c>
      <c r="X1056" s="152">
        <f t="shared" si="62"/>
        <v>6.2300000000000001E-2</v>
      </c>
      <c r="Y1056" s="152"/>
      <c r="Z1056" s="148"/>
      <c r="AA1056" s="153"/>
      <c r="AB1056" s="153"/>
      <c r="AC1056" s="153"/>
      <c r="AD1056" s="153"/>
      <c r="AH1056" s="147"/>
    </row>
    <row r="1057" spans="1:34" s="146" customFormat="1" x14ac:dyDescent="0.25">
      <c r="A1057" s="196">
        <v>1386</v>
      </c>
      <c r="B1057" s="196" t="s">
        <v>5984</v>
      </c>
      <c r="C1057" s="196" t="s">
        <v>5985</v>
      </c>
      <c r="D1057" s="196" t="s">
        <v>2309</v>
      </c>
      <c r="E1057" s="196" t="s">
        <v>1877</v>
      </c>
      <c r="F1057" s="196">
        <v>2005</v>
      </c>
      <c r="G1057" s="196"/>
      <c r="H1057" s="196" t="s">
        <v>1878</v>
      </c>
      <c r="I1057" s="141" t="s">
        <v>1929</v>
      </c>
      <c r="J1057" s="143" t="s">
        <v>3854</v>
      </c>
      <c r="K1057" s="196" t="s">
        <v>1881</v>
      </c>
      <c r="L1057" s="141" t="s">
        <v>5986</v>
      </c>
      <c r="M1057" s="196">
        <v>274</v>
      </c>
      <c r="N1057" s="196"/>
      <c r="O1057" s="196" t="s">
        <v>5229</v>
      </c>
      <c r="P1057" s="144">
        <v>408</v>
      </c>
      <c r="Q1057" s="145">
        <f t="shared" si="61"/>
        <v>3.4722999999999997</v>
      </c>
      <c r="R1057" s="203">
        <v>1.89</v>
      </c>
      <c r="S1057" s="203"/>
      <c r="T1057" s="151"/>
      <c r="U1057" s="151">
        <v>1.2</v>
      </c>
      <c r="V1057" s="151">
        <v>0.25</v>
      </c>
      <c r="W1057" s="151">
        <f t="shared" si="63"/>
        <v>1.89</v>
      </c>
      <c r="X1057" s="152">
        <f t="shared" si="62"/>
        <v>0.1323</v>
      </c>
      <c r="Y1057" s="152"/>
      <c r="Z1057" s="148"/>
      <c r="AA1057" s="153"/>
      <c r="AB1057" s="153"/>
      <c r="AC1057" s="153"/>
      <c r="AD1057" s="153"/>
      <c r="AH1057" s="147"/>
    </row>
    <row r="1058" spans="1:34" s="146" customFormat="1" x14ac:dyDescent="0.25">
      <c r="A1058" s="196">
        <v>1395</v>
      </c>
      <c r="B1058" s="196" t="s">
        <v>3305</v>
      </c>
      <c r="C1058" s="196" t="s">
        <v>5987</v>
      </c>
      <c r="D1058" s="196" t="s">
        <v>2424</v>
      </c>
      <c r="E1058" s="196"/>
      <c r="F1058" s="196">
        <v>2016</v>
      </c>
      <c r="G1058" s="196"/>
      <c r="H1058" s="196" t="s">
        <v>1878</v>
      </c>
      <c r="I1058" s="141" t="s">
        <v>1929</v>
      </c>
      <c r="J1058" s="196"/>
      <c r="K1058" s="196" t="s">
        <v>1881</v>
      </c>
      <c r="L1058" s="141" t="s">
        <v>5988</v>
      </c>
      <c r="M1058" s="196">
        <v>368</v>
      </c>
      <c r="N1058" s="196"/>
      <c r="O1058" s="196" t="s">
        <v>5230</v>
      </c>
      <c r="P1058" s="144">
        <v>305</v>
      </c>
      <c r="Q1058" s="145">
        <f t="shared" si="61"/>
        <v>3.5792999999999999</v>
      </c>
      <c r="R1058" s="203">
        <v>1.99</v>
      </c>
      <c r="S1058" s="203"/>
      <c r="T1058" s="151"/>
      <c r="U1058" s="151">
        <v>1.2</v>
      </c>
      <c r="V1058" s="151">
        <v>0.25</v>
      </c>
      <c r="W1058" s="151">
        <f t="shared" si="63"/>
        <v>1.99</v>
      </c>
      <c r="X1058" s="152">
        <f t="shared" si="62"/>
        <v>0.13930000000000001</v>
      </c>
      <c r="Y1058" s="152"/>
      <c r="Z1058" s="148"/>
      <c r="AA1058" s="153"/>
      <c r="AB1058" s="153"/>
      <c r="AC1058" s="153"/>
      <c r="AD1058" s="153"/>
      <c r="AH1058" s="147"/>
    </row>
    <row r="1059" spans="1:34" s="146" customFormat="1" x14ac:dyDescent="0.25">
      <c r="A1059" s="196">
        <v>632</v>
      </c>
      <c r="B1059" s="196" t="s">
        <v>2515</v>
      </c>
      <c r="C1059" s="196" t="s">
        <v>5989</v>
      </c>
      <c r="D1059" s="196" t="s">
        <v>4517</v>
      </c>
      <c r="E1059" s="196" t="s">
        <v>1877</v>
      </c>
      <c r="F1059" s="196">
        <v>2001</v>
      </c>
      <c r="G1059" s="196"/>
      <c r="H1059" s="196" t="s">
        <v>1878</v>
      </c>
      <c r="I1059" s="141" t="s">
        <v>1914</v>
      </c>
      <c r="J1059" s="196"/>
      <c r="K1059" s="196" t="s">
        <v>1881</v>
      </c>
      <c r="L1059" s="141" t="s">
        <v>5990</v>
      </c>
      <c r="M1059" s="196">
        <v>576</v>
      </c>
      <c r="N1059" s="196"/>
      <c r="O1059" s="196" t="s">
        <v>5231</v>
      </c>
      <c r="P1059" s="144">
        <v>624</v>
      </c>
      <c r="Q1059" s="145">
        <f t="shared" si="61"/>
        <v>2.4742999999999999</v>
      </c>
      <c r="R1059" s="203">
        <v>0.49</v>
      </c>
      <c r="S1059" s="203"/>
      <c r="T1059" s="151"/>
      <c r="U1059" s="151">
        <v>1.7</v>
      </c>
      <c r="V1059" s="151">
        <v>0.25</v>
      </c>
      <c r="W1059" s="151">
        <f t="shared" si="63"/>
        <v>0.49</v>
      </c>
      <c r="X1059" s="152">
        <f t="shared" si="62"/>
        <v>3.4299999999999997E-2</v>
      </c>
      <c r="Y1059" s="152"/>
      <c r="Z1059" s="148"/>
      <c r="AA1059" s="153"/>
      <c r="AB1059" s="153"/>
      <c r="AC1059" s="153"/>
      <c r="AD1059" s="153"/>
      <c r="AH1059" s="147"/>
    </row>
    <row r="1060" spans="1:34" s="146" customFormat="1" x14ac:dyDescent="0.25">
      <c r="A1060" s="196">
        <v>632</v>
      </c>
      <c r="B1060" s="196" t="s">
        <v>2467</v>
      </c>
      <c r="C1060" s="196" t="s">
        <v>5991</v>
      </c>
      <c r="D1060" s="196" t="s">
        <v>2257</v>
      </c>
      <c r="E1060" s="196"/>
      <c r="F1060" s="196">
        <v>2012</v>
      </c>
      <c r="G1060" s="196"/>
      <c r="H1060" s="196" t="s">
        <v>1878</v>
      </c>
      <c r="I1060" s="141" t="s">
        <v>1914</v>
      </c>
      <c r="J1060" s="196"/>
      <c r="K1060" s="196" t="s">
        <v>1881</v>
      </c>
      <c r="L1060" s="141" t="s">
        <v>5992</v>
      </c>
      <c r="M1060" s="196">
        <v>640</v>
      </c>
      <c r="N1060" s="196"/>
      <c r="O1060" s="196" t="s">
        <v>5232</v>
      </c>
      <c r="P1060" s="144">
        <v>481</v>
      </c>
      <c r="Q1060" s="145">
        <f t="shared" si="61"/>
        <v>2.5093000000000001</v>
      </c>
      <c r="R1060" s="203">
        <v>0.99</v>
      </c>
      <c r="S1060" s="203"/>
      <c r="T1060" s="151"/>
      <c r="U1060" s="151">
        <v>1.2</v>
      </c>
      <c r="V1060" s="151">
        <v>0.25</v>
      </c>
      <c r="W1060" s="151">
        <f t="shared" si="63"/>
        <v>0.99</v>
      </c>
      <c r="X1060" s="152">
        <f t="shared" si="62"/>
        <v>6.93E-2</v>
      </c>
      <c r="Y1060" s="152"/>
      <c r="Z1060" s="148"/>
      <c r="AA1060" s="153"/>
      <c r="AB1060" s="153"/>
      <c r="AC1060" s="153"/>
      <c r="AD1060" s="153"/>
      <c r="AH1060" s="147"/>
    </row>
    <row r="1061" spans="1:34" s="146" customFormat="1" x14ac:dyDescent="0.25">
      <c r="A1061" s="196">
        <v>1927</v>
      </c>
      <c r="B1061" s="196" t="s">
        <v>5993</v>
      </c>
      <c r="C1061" s="196" t="s">
        <v>5994</v>
      </c>
      <c r="D1061" s="196" t="s">
        <v>5926</v>
      </c>
      <c r="E1061" s="196"/>
      <c r="F1061" s="196">
        <v>1999</v>
      </c>
      <c r="G1061" s="196"/>
      <c r="H1061" s="196" t="s">
        <v>1878</v>
      </c>
      <c r="I1061" s="141" t="s">
        <v>1879</v>
      </c>
      <c r="J1061" s="196"/>
      <c r="K1061" s="196" t="s">
        <v>1881</v>
      </c>
      <c r="L1061" s="141" t="s">
        <v>5995</v>
      </c>
      <c r="M1061" s="196">
        <v>320</v>
      </c>
      <c r="N1061" s="196"/>
      <c r="O1061" s="196" t="s">
        <v>5233</v>
      </c>
      <c r="P1061" s="144">
        <v>308</v>
      </c>
      <c r="Q1061" s="145">
        <f t="shared" si="61"/>
        <v>1.9742999999999999</v>
      </c>
      <c r="R1061" s="203">
        <v>0.49</v>
      </c>
      <c r="S1061" s="203"/>
      <c r="T1061" s="151"/>
      <c r="U1061" s="151">
        <v>1.2</v>
      </c>
      <c r="V1061" s="151">
        <v>0.25</v>
      </c>
      <c r="W1061" s="151">
        <f t="shared" si="63"/>
        <v>0.49</v>
      </c>
      <c r="X1061" s="152">
        <f t="shared" si="62"/>
        <v>3.4299999999999997E-2</v>
      </c>
      <c r="Y1061" s="152"/>
      <c r="Z1061" s="148"/>
      <c r="AA1061" s="153"/>
      <c r="AB1061" s="153"/>
      <c r="AC1061" s="153"/>
      <c r="AD1061" s="153"/>
      <c r="AH1061" s="147"/>
    </row>
    <row r="1062" spans="1:34" s="146" customFormat="1" x14ac:dyDescent="0.25">
      <c r="A1062" s="196">
        <v>632</v>
      </c>
      <c r="B1062" s="196" t="s">
        <v>5996</v>
      </c>
      <c r="C1062" s="196" t="s">
        <v>5997</v>
      </c>
      <c r="D1062" s="196" t="s">
        <v>2609</v>
      </c>
      <c r="E1062" s="196" t="s">
        <v>1877</v>
      </c>
      <c r="F1062" s="196">
        <v>2006</v>
      </c>
      <c r="G1062" s="196"/>
      <c r="H1062" s="196" t="s">
        <v>1878</v>
      </c>
      <c r="I1062" s="141" t="s">
        <v>1879</v>
      </c>
      <c r="J1062" s="196"/>
      <c r="K1062" s="196" t="s">
        <v>1881</v>
      </c>
      <c r="L1062" s="141" t="s">
        <v>5998</v>
      </c>
      <c r="M1062" s="196">
        <v>320</v>
      </c>
      <c r="N1062" s="196"/>
      <c r="O1062" s="196" t="s">
        <v>5234</v>
      </c>
      <c r="P1062" s="144">
        <v>278</v>
      </c>
      <c r="Q1062" s="145">
        <f t="shared" si="61"/>
        <v>1.9742999999999999</v>
      </c>
      <c r="R1062" s="203">
        <v>0.49</v>
      </c>
      <c r="S1062" s="203"/>
      <c r="T1062" s="151"/>
      <c r="U1062" s="151">
        <v>1.2</v>
      </c>
      <c r="V1062" s="151">
        <v>0.25</v>
      </c>
      <c r="W1062" s="151">
        <f t="shared" si="63"/>
        <v>0.49</v>
      </c>
      <c r="X1062" s="152">
        <f t="shared" si="62"/>
        <v>3.4299999999999997E-2</v>
      </c>
      <c r="Y1062" s="152"/>
      <c r="Z1062" s="148"/>
      <c r="AA1062" s="153"/>
      <c r="AB1062" s="153"/>
      <c r="AC1062" s="153"/>
      <c r="AD1062" s="153"/>
      <c r="AH1062" s="147"/>
    </row>
    <row r="1063" spans="1:34" s="146" customFormat="1" x14ac:dyDescent="0.25">
      <c r="A1063" s="196">
        <v>1395</v>
      </c>
      <c r="B1063" s="196" t="s">
        <v>2464</v>
      </c>
      <c r="C1063" s="196" t="s">
        <v>5999</v>
      </c>
      <c r="D1063" s="196" t="s">
        <v>1876</v>
      </c>
      <c r="E1063" s="196" t="s">
        <v>2412</v>
      </c>
      <c r="F1063" s="196">
        <v>2007</v>
      </c>
      <c r="G1063" s="196"/>
      <c r="H1063" s="196" t="s">
        <v>2734</v>
      </c>
      <c r="I1063" s="141" t="s">
        <v>1879</v>
      </c>
      <c r="J1063" s="196"/>
      <c r="K1063" s="196" t="s">
        <v>1881</v>
      </c>
      <c r="L1063" s="141" t="s">
        <v>6000</v>
      </c>
      <c r="M1063" s="196">
        <v>226</v>
      </c>
      <c r="N1063" s="196"/>
      <c r="O1063" s="196" t="s">
        <v>5235</v>
      </c>
      <c r="P1063" s="144">
        <v>333</v>
      </c>
      <c r="Q1063" s="145">
        <f t="shared" si="61"/>
        <v>2.5093000000000001</v>
      </c>
      <c r="R1063" s="203">
        <v>0.99</v>
      </c>
      <c r="S1063" s="203"/>
      <c r="T1063" s="151"/>
      <c r="U1063" s="151">
        <v>1.2</v>
      </c>
      <c r="V1063" s="151">
        <v>0.25</v>
      </c>
      <c r="W1063" s="151">
        <f t="shared" si="63"/>
        <v>0.99</v>
      </c>
      <c r="X1063" s="152">
        <f t="shared" si="62"/>
        <v>6.93E-2</v>
      </c>
      <c r="Y1063" s="152"/>
      <c r="Z1063" s="148"/>
      <c r="AA1063" s="153"/>
      <c r="AB1063" s="153"/>
      <c r="AC1063" s="153"/>
      <c r="AD1063" s="153"/>
      <c r="AH1063" s="147"/>
    </row>
    <row r="1064" spans="1:34" s="146" customFormat="1" x14ac:dyDescent="0.25">
      <c r="A1064" s="196">
        <v>920</v>
      </c>
      <c r="B1064" s="196" t="s">
        <v>6001</v>
      </c>
      <c r="C1064" s="196" t="s">
        <v>6002</v>
      </c>
      <c r="D1064" s="196" t="s">
        <v>4841</v>
      </c>
      <c r="E1064" s="196"/>
      <c r="F1064" s="196">
        <v>1985</v>
      </c>
      <c r="G1064" s="196"/>
      <c r="H1064" s="196" t="s">
        <v>1878</v>
      </c>
      <c r="I1064" s="141" t="s">
        <v>1914</v>
      </c>
      <c r="J1064" s="196"/>
      <c r="K1064" s="196" t="s">
        <v>1881</v>
      </c>
      <c r="L1064" s="141" t="s">
        <v>6003</v>
      </c>
      <c r="M1064" s="196">
        <v>160</v>
      </c>
      <c r="N1064" s="196"/>
      <c r="O1064" s="196" t="s">
        <v>5236</v>
      </c>
      <c r="P1064" s="144">
        <v>113</v>
      </c>
      <c r="Q1064" s="145">
        <f t="shared" si="61"/>
        <v>2.5093000000000001</v>
      </c>
      <c r="R1064" s="203">
        <v>0.99</v>
      </c>
      <c r="S1064" s="203"/>
      <c r="T1064" s="151"/>
      <c r="U1064" s="151">
        <v>1.2</v>
      </c>
      <c r="V1064" s="151">
        <v>0.25</v>
      </c>
      <c r="W1064" s="151">
        <f t="shared" si="63"/>
        <v>0.99</v>
      </c>
      <c r="X1064" s="152">
        <f t="shared" si="62"/>
        <v>6.93E-2</v>
      </c>
      <c r="Y1064" s="152"/>
      <c r="Z1064" s="148"/>
      <c r="AA1064" s="153"/>
      <c r="AB1064" s="153"/>
      <c r="AC1064" s="153"/>
      <c r="AD1064" s="153"/>
      <c r="AH1064" s="147"/>
    </row>
    <row r="1065" spans="1:34" s="146" customFormat="1" x14ac:dyDescent="0.25">
      <c r="A1065" s="196">
        <v>1395</v>
      </c>
      <c r="B1065" s="196" t="s">
        <v>6004</v>
      </c>
      <c r="C1065" s="196" t="s">
        <v>6005</v>
      </c>
      <c r="D1065" s="196" t="s">
        <v>2309</v>
      </c>
      <c r="E1065" s="196" t="s">
        <v>2412</v>
      </c>
      <c r="F1065" s="196">
        <v>2011</v>
      </c>
      <c r="G1065" s="196"/>
      <c r="H1065" s="196" t="s">
        <v>1878</v>
      </c>
      <c r="I1065" s="141" t="s">
        <v>1879</v>
      </c>
      <c r="J1065" s="196" t="s">
        <v>6006</v>
      </c>
      <c r="K1065" s="196" t="s">
        <v>1881</v>
      </c>
      <c r="L1065" s="141" t="s">
        <v>6007</v>
      </c>
      <c r="M1065" s="196">
        <v>400</v>
      </c>
      <c r="N1065" s="196"/>
      <c r="O1065" s="196" t="s">
        <v>5237</v>
      </c>
      <c r="P1065" s="144">
        <v>339</v>
      </c>
      <c r="Q1065" s="145">
        <f t="shared" si="61"/>
        <v>2.5093000000000001</v>
      </c>
      <c r="R1065" s="203">
        <v>0.99</v>
      </c>
      <c r="S1065" s="203"/>
      <c r="T1065" s="151"/>
      <c r="U1065" s="151">
        <v>1.2</v>
      </c>
      <c r="V1065" s="151">
        <v>0.25</v>
      </c>
      <c r="W1065" s="151">
        <f t="shared" si="63"/>
        <v>0.99</v>
      </c>
      <c r="X1065" s="152">
        <f t="shared" si="62"/>
        <v>6.93E-2</v>
      </c>
      <c r="Y1065" s="152"/>
      <c r="Z1065" s="148"/>
      <c r="AA1065" s="153"/>
      <c r="AB1065" s="153"/>
      <c r="AC1065" s="153"/>
      <c r="AD1065" s="153"/>
      <c r="AH1065" s="147"/>
    </row>
    <row r="1066" spans="1:34" s="146" customFormat="1" x14ac:dyDescent="0.25">
      <c r="A1066" s="196">
        <v>1287</v>
      </c>
      <c r="B1066" s="196" t="s">
        <v>6008</v>
      </c>
      <c r="C1066" s="196" t="s">
        <v>6009</v>
      </c>
      <c r="D1066" s="196" t="s">
        <v>6010</v>
      </c>
      <c r="E1066" s="196"/>
      <c r="F1066" s="196"/>
      <c r="G1066" s="196"/>
      <c r="H1066" s="196" t="s">
        <v>2734</v>
      </c>
      <c r="I1066" s="141" t="s">
        <v>1879</v>
      </c>
      <c r="J1066" s="196" t="s">
        <v>5945</v>
      </c>
      <c r="K1066" s="196" t="s">
        <v>1881</v>
      </c>
      <c r="L1066" s="141"/>
      <c r="M1066" s="196">
        <v>618</v>
      </c>
      <c r="N1066" s="196"/>
      <c r="O1066" s="196" t="s">
        <v>5238</v>
      </c>
      <c r="P1066" s="144">
        <v>1398</v>
      </c>
      <c r="Q1066" s="145">
        <f t="shared" si="61"/>
        <v>6.7042999999999999</v>
      </c>
      <c r="R1066" s="203">
        <v>2.4900000000000002</v>
      </c>
      <c r="S1066" s="203"/>
      <c r="T1066" s="151"/>
      <c r="U1066" s="151">
        <v>3.79</v>
      </c>
      <c r="V1066" s="151">
        <v>0.25</v>
      </c>
      <c r="W1066" s="151">
        <f t="shared" si="63"/>
        <v>2.4900000000000002</v>
      </c>
      <c r="X1066" s="152">
        <f t="shared" si="62"/>
        <v>0.17430000000000001</v>
      </c>
      <c r="Y1066" s="152"/>
      <c r="Z1066" s="148"/>
      <c r="AA1066" s="153"/>
      <c r="AB1066" s="153"/>
      <c r="AC1066" s="153"/>
      <c r="AD1066" s="153"/>
      <c r="AH1066" s="147"/>
    </row>
    <row r="1067" spans="1:34" s="146" customFormat="1" x14ac:dyDescent="0.25">
      <c r="A1067" s="196">
        <v>1875</v>
      </c>
      <c r="B1067" s="196"/>
      <c r="C1067" s="196" t="s">
        <v>6011</v>
      </c>
      <c r="D1067" s="196" t="s">
        <v>4841</v>
      </c>
      <c r="E1067" s="196"/>
      <c r="F1067" s="196">
        <v>1996</v>
      </c>
      <c r="G1067" s="196"/>
      <c r="H1067" s="196" t="s">
        <v>2734</v>
      </c>
      <c r="I1067" s="141" t="s">
        <v>1879</v>
      </c>
      <c r="J1067" s="196"/>
      <c r="K1067" s="196" t="s">
        <v>1881</v>
      </c>
      <c r="L1067" s="141" t="s">
        <v>6012</v>
      </c>
      <c r="M1067" s="196">
        <v>98</v>
      </c>
      <c r="N1067" s="196"/>
      <c r="O1067" s="196" t="s">
        <v>5239</v>
      </c>
      <c r="P1067" s="144">
        <v>435</v>
      </c>
      <c r="Q1067" s="145">
        <f t="shared" si="61"/>
        <v>2.7232999999999996</v>
      </c>
      <c r="R1067" s="203">
        <v>1.19</v>
      </c>
      <c r="S1067" s="203"/>
      <c r="T1067" s="151"/>
      <c r="U1067" s="151">
        <v>1.2</v>
      </c>
      <c r="V1067" s="151">
        <v>0.25</v>
      </c>
      <c r="W1067" s="151">
        <f t="shared" si="63"/>
        <v>1.19</v>
      </c>
      <c r="X1067" s="152">
        <f t="shared" si="62"/>
        <v>8.3299999999999999E-2</v>
      </c>
      <c r="Y1067" s="152"/>
      <c r="Z1067" s="148"/>
      <c r="AA1067" s="153"/>
      <c r="AB1067" s="153"/>
      <c r="AC1067" s="153"/>
      <c r="AD1067" s="153"/>
      <c r="AH1067" s="147"/>
    </row>
    <row r="1068" spans="1:34" s="146" customFormat="1" x14ac:dyDescent="0.25">
      <c r="A1068" s="196">
        <v>990</v>
      </c>
      <c r="B1068" s="196" t="s">
        <v>6013</v>
      </c>
      <c r="C1068" s="196" t="s">
        <v>6014</v>
      </c>
      <c r="D1068" s="196" t="s">
        <v>6015</v>
      </c>
      <c r="E1068" s="196"/>
      <c r="F1068" s="196">
        <v>2006</v>
      </c>
      <c r="G1068" s="196"/>
      <c r="H1068" s="196" t="s">
        <v>2734</v>
      </c>
      <c r="I1068" s="141" t="s">
        <v>1879</v>
      </c>
      <c r="J1068" s="196"/>
      <c r="K1068" s="196" t="s">
        <v>1881</v>
      </c>
      <c r="L1068" s="141" t="s">
        <v>6016</v>
      </c>
      <c r="M1068" s="196">
        <v>142</v>
      </c>
      <c r="N1068" s="196"/>
      <c r="O1068" s="196" t="s">
        <v>5240</v>
      </c>
      <c r="P1068" s="144">
        <v>295</v>
      </c>
      <c r="Q1068" s="145">
        <f t="shared" si="61"/>
        <v>4.6493000000000002</v>
      </c>
      <c r="R1068" s="203">
        <v>2.99</v>
      </c>
      <c r="S1068" s="203"/>
      <c r="T1068" s="151"/>
      <c r="U1068" s="151">
        <v>1.2</v>
      </c>
      <c r="V1068" s="151">
        <v>0.25</v>
      </c>
      <c r="W1068" s="151">
        <f t="shared" si="63"/>
        <v>2.99</v>
      </c>
      <c r="X1068" s="152">
        <f t="shared" si="62"/>
        <v>0.20930000000000001</v>
      </c>
      <c r="Y1068" s="152"/>
      <c r="Z1068" s="148"/>
      <c r="AA1068" s="153"/>
      <c r="AB1068" s="153"/>
      <c r="AC1068" s="153"/>
      <c r="AD1068" s="153"/>
      <c r="AH1068" s="147"/>
    </row>
    <row r="1069" spans="1:34" s="146" customFormat="1" x14ac:dyDescent="0.25">
      <c r="A1069" s="196">
        <v>606</v>
      </c>
      <c r="B1069" s="196" t="s">
        <v>6017</v>
      </c>
      <c r="C1069" s="196" t="s">
        <v>6018</v>
      </c>
      <c r="D1069" s="196" t="s">
        <v>6019</v>
      </c>
      <c r="E1069" s="196"/>
      <c r="F1069" s="196">
        <v>1953</v>
      </c>
      <c r="G1069" s="196"/>
      <c r="H1069" s="196" t="s">
        <v>2734</v>
      </c>
      <c r="I1069" s="141" t="s">
        <v>1914</v>
      </c>
      <c r="J1069" s="196" t="s">
        <v>5934</v>
      </c>
      <c r="K1069" s="196" t="s">
        <v>1881</v>
      </c>
      <c r="L1069" s="141"/>
      <c r="M1069" s="196">
        <v>254</v>
      </c>
      <c r="N1069" s="196"/>
      <c r="O1069" s="196" t="s">
        <v>5241</v>
      </c>
      <c r="P1069" s="144">
        <v>520</v>
      </c>
      <c r="Q1069" s="145">
        <f t="shared" si="61"/>
        <v>2.3672999999999997</v>
      </c>
      <c r="R1069" s="203">
        <v>0.39</v>
      </c>
      <c r="S1069" s="203"/>
      <c r="T1069" s="151"/>
      <c r="U1069" s="151">
        <v>1.7</v>
      </c>
      <c r="V1069" s="151">
        <v>0.25</v>
      </c>
      <c r="W1069" s="151">
        <f t="shared" si="63"/>
        <v>0.39</v>
      </c>
      <c r="X1069" s="152">
        <f t="shared" si="62"/>
        <v>2.7300000000000001E-2</v>
      </c>
      <c r="Y1069" s="152"/>
      <c r="Z1069" s="148"/>
      <c r="AA1069" s="153"/>
      <c r="AB1069" s="153"/>
      <c r="AC1069" s="153"/>
      <c r="AD1069" s="153"/>
      <c r="AH1069" s="147"/>
    </row>
    <row r="1070" spans="1:34" s="146" customFormat="1" x14ac:dyDescent="0.25">
      <c r="A1070" s="196">
        <v>1875</v>
      </c>
      <c r="B1070" s="196"/>
      <c r="C1070" s="196" t="s">
        <v>6020</v>
      </c>
      <c r="D1070" s="196" t="s">
        <v>6021</v>
      </c>
      <c r="E1070" s="196" t="s">
        <v>2922</v>
      </c>
      <c r="F1070" s="196">
        <v>1991</v>
      </c>
      <c r="G1070" s="196"/>
      <c r="H1070" s="196" t="s">
        <v>2734</v>
      </c>
      <c r="I1070" s="141" t="s">
        <v>1879</v>
      </c>
      <c r="J1070" s="196"/>
      <c r="K1070" s="196" t="s">
        <v>1881</v>
      </c>
      <c r="L1070" s="141" t="s">
        <v>6022</v>
      </c>
      <c r="M1070" s="196">
        <v>74</v>
      </c>
      <c r="N1070" s="196"/>
      <c r="O1070" s="196" t="s">
        <v>5242</v>
      </c>
      <c r="P1070" s="144">
        <v>171</v>
      </c>
      <c r="Q1070" s="145">
        <f t="shared" si="61"/>
        <v>2.6162999999999998</v>
      </c>
      <c r="R1070" s="203">
        <v>1.0900000000000001</v>
      </c>
      <c r="S1070" s="203"/>
      <c r="T1070" s="151"/>
      <c r="U1070" s="151">
        <v>1.2</v>
      </c>
      <c r="V1070" s="151">
        <v>0.25</v>
      </c>
      <c r="W1070" s="151">
        <f t="shared" si="63"/>
        <v>1.0900000000000001</v>
      </c>
      <c r="X1070" s="152">
        <f t="shared" si="62"/>
        <v>7.6300000000000007E-2</v>
      </c>
      <c r="Y1070" s="152"/>
      <c r="Z1070" s="148"/>
      <c r="AA1070" s="153"/>
      <c r="AB1070" s="153"/>
      <c r="AC1070" s="153"/>
      <c r="AD1070" s="153"/>
      <c r="AH1070" s="147"/>
    </row>
    <row r="1071" spans="1:34" s="146" customFormat="1" x14ac:dyDescent="0.25">
      <c r="A1071" s="196">
        <v>704</v>
      </c>
      <c r="B1071" s="196" t="s">
        <v>6023</v>
      </c>
      <c r="C1071" s="196" t="s">
        <v>6024</v>
      </c>
      <c r="D1071" s="196" t="s">
        <v>5762</v>
      </c>
      <c r="E1071" s="196"/>
      <c r="F1071" s="196">
        <v>2007</v>
      </c>
      <c r="G1071" s="196"/>
      <c r="H1071" s="196" t="s">
        <v>2734</v>
      </c>
      <c r="I1071" s="141" t="s">
        <v>1929</v>
      </c>
      <c r="J1071" s="196"/>
      <c r="K1071" s="196" t="s">
        <v>1881</v>
      </c>
      <c r="L1071" s="141" t="s">
        <v>6025</v>
      </c>
      <c r="M1071" s="196">
        <v>198</v>
      </c>
      <c r="N1071" s="196"/>
      <c r="O1071" s="196" t="s">
        <v>5243</v>
      </c>
      <c r="P1071" s="144">
        <v>390</v>
      </c>
      <c r="Q1071" s="145">
        <f t="shared" si="61"/>
        <v>2.6162999999999998</v>
      </c>
      <c r="R1071" s="203">
        <v>1.0900000000000001</v>
      </c>
      <c r="S1071" s="203"/>
      <c r="T1071" s="151"/>
      <c r="U1071" s="151">
        <v>1.2</v>
      </c>
      <c r="V1071" s="151">
        <v>0.25</v>
      </c>
      <c r="W1071" s="151">
        <f t="shared" si="63"/>
        <v>1.0900000000000001</v>
      </c>
      <c r="X1071" s="152">
        <f t="shared" si="62"/>
        <v>7.6300000000000007E-2</v>
      </c>
      <c r="Y1071" s="152"/>
      <c r="Z1071" s="148"/>
      <c r="AA1071" s="153"/>
      <c r="AB1071" s="153"/>
      <c r="AC1071" s="153"/>
      <c r="AD1071" s="153"/>
      <c r="AH1071" s="147"/>
    </row>
    <row r="1072" spans="1:34" s="146" customFormat="1" x14ac:dyDescent="0.25">
      <c r="A1072" s="196">
        <v>721</v>
      </c>
      <c r="B1072" s="196"/>
      <c r="C1072" s="196" t="s">
        <v>6026</v>
      </c>
      <c r="D1072" s="196" t="s">
        <v>6027</v>
      </c>
      <c r="E1072" s="196"/>
      <c r="F1072" s="196">
        <v>2009</v>
      </c>
      <c r="G1072" s="196"/>
      <c r="H1072" s="196" t="s">
        <v>1878</v>
      </c>
      <c r="I1072" s="141" t="s">
        <v>1879</v>
      </c>
      <c r="J1072" s="196"/>
      <c r="K1072" s="196" t="s">
        <v>1881</v>
      </c>
      <c r="L1072" s="141" t="s">
        <v>3683</v>
      </c>
      <c r="M1072" s="196">
        <v>64</v>
      </c>
      <c r="N1072" s="196"/>
      <c r="O1072" s="196" t="s">
        <v>5244</v>
      </c>
      <c r="P1072" s="144">
        <v>88</v>
      </c>
      <c r="Q1072" s="145">
        <f t="shared" si="61"/>
        <v>2.1882999999999995</v>
      </c>
      <c r="R1072" s="203">
        <v>0.69</v>
      </c>
      <c r="S1072" s="203"/>
      <c r="T1072" s="151"/>
      <c r="U1072" s="151">
        <v>1.2</v>
      </c>
      <c r="V1072" s="151">
        <v>0.25</v>
      </c>
      <c r="W1072" s="151">
        <f t="shared" si="63"/>
        <v>0.69</v>
      </c>
      <c r="X1072" s="152">
        <f t="shared" si="62"/>
        <v>4.8299999999999996E-2</v>
      </c>
      <c r="Y1072" s="152"/>
      <c r="Z1072" s="148"/>
      <c r="AA1072" s="153"/>
      <c r="AB1072" s="153"/>
      <c r="AC1072" s="153"/>
      <c r="AD1072" s="153"/>
      <c r="AH1072" s="147"/>
    </row>
    <row r="1073" spans="1:34" s="146" customFormat="1" x14ac:dyDescent="0.25">
      <c r="A1073" s="196">
        <v>2522</v>
      </c>
      <c r="B1073" s="196" t="s">
        <v>6028</v>
      </c>
      <c r="C1073" s="196" t="s">
        <v>6029</v>
      </c>
      <c r="D1073" s="196" t="s">
        <v>2036</v>
      </c>
      <c r="E1073" s="196"/>
      <c r="F1073" s="196">
        <v>1997</v>
      </c>
      <c r="G1073" s="196"/>
      <c r="H1073" s="196" t="s">
        <v>2734</v>
      </c>
      <c r="I1073" s="141" t="s">
        <v>1879</v>
      </c>
      <c r="J1073" s="196"/>
      <c r="K1073" s="196" t="s">
        <v>1881</v>
      </c>
      <c r="L1073" s="141" t="s">
        <v>6030</v>
      </c>
      <c r="M1073" s="196">
        <v>386</v>
      </c>
      <c r="N1073" s="196"/>
      <c r="O1073" s="196" t="s">
        <v>5245</v>
      </c>
      <c r="P1073" s="144">
        <v>435</v>
      </c>
      <c r="Q1073" s="145">
        <f t="shared" si="61"/>
        <v>1.9742999999999999</v>
      </c>
      <c r="R1073" s="203">
        <v>0.49</v>
      </c>
      <c r="S1073" s="203"/>
      <c r="T1073" s="151"/>
      <c r="U1073" s="151">
        <v>1.2</v>
      </c>
      <c r="V1073" s="151">
        <v>0.25</v>
      </c>
      <c r="W1073" s="151">
        <f t="shared" si="63"/>
        <v>0.49</v>
      </c>
      <c r="X1073" s="152">
        <f t="shared" si="62"/>
        <v>3.4299999999999997E-2</v>
      </c>
      <c r="Y1073" s="152"/>
      <c r="Z1073" s="148"/>
      <c r="AA1073" s="153"/>
      <c r="AB1073" s="153"/>
      <c r="AC1073" s="153"/>
      <c r="AD1073" s="153"/>
      <c r="AH1073" s="147"/>
    </row>
    <row r="1074" spans="1:34" s="146" customFormat="1" x14ac:dyDescent="0.25">
      <c r="A1074" s="196">
        <v>943</v>
      </c>
      <c r="B1074" s="196" t="s">
        <v>6031</v>
      </c>
      <c r="C1074" s="196" t="s">
        <v>6032</v>
      </c>
      <c r="D1074" s="196" t="s">
        <v>2054</v>
      </c>
      <c r="E1074" s="196"/>
      <c r="F1074" s="196">
        <v>1999</v>
      </c>
      <c r="G1074" s="196"/>
      <c r="H1074" s="196" t="s">
        <v>2734</v>
      </c>
      <c r="I1074" s="141" t="s">
        <v>1929</v>
      </c>
      <c r="J1074" s="196"/>
      <c r="K1074" s="196" t="s">
        <v>1881</v>
      </c>
      <c r="L1074" s="141" t="s">
        <v>6033</v>
      </c>
      <c r="M1074" s="196">
        <v>258</v>
      </c>
      <c r="N1074" s="196"/>
      <c r="O1074" s="196" t="s">
        <v>5246</v>
      </c>
      <c r="P1074" s="144">
        <v>756</v>
      </c>
      <c r="Q1074" s="145">
        <f t="shared" si="61"/>
        <v>3.5442999999999998</v>
      </c>
      <c r="R1074" s="203">
        <v>1.49</v>
      </c>
      <c r="S1074" s="203"/>
      <c r="T1074" s="151"/>
      <c r="U1074" s="151">
        <v>1.7</v>
      </c>
      <c r="V1074" s="151">
        <v>0.25</v>
      </c>
      <c r="W1074" s="151">
        <f t="shared" si="63"/>
        <v>1.49</v>
      </c>
      <c r="X1074" s="152">
        <f t="shared" si="62"/>
        <v>0.1043</v>
      </c>
      <c r="Y1074" s="152"/>
      <c r="Z1074" s="148"/>
      <c r="AA1074" s="153"/>
      <c r="AB1074" s="153"/>
      <c r="AC1074" s="153"/>
      <c r="AD1074" s="153"/>
      <c r="AH1074" s="147"/>
    </row>
    <row r="1075" spans="1:34" s="146" customFormat="1" x14ac:dyDescent="0.25">
      <c r="A1075" s="196">
        <v>1299</v>
      </c>
      <c r="B1075" s="196" t="s">
        <v>6038</v>
      </c>
      <c r="C1075" s="196" t="s">
        <v>6037</v>
      </c>
      <c r="D1075" s="196" t="s">
        <v>2068</v>
      </c>
      <c r="E1075" s="196"/>
      <c r="F1075" s="196">
        <v>1996</v>
      </c>
      <c r="G1075" s="196"/>
      <c r="H1075" s="196" t="s">
        <v>2734</v>
      </c>
      <c r="I1075" s="141" t="s">
        <v>1929</v>
      </c>
      <c r="J1075" s="196"/>
      <c r="K1075" s="196" t="s">
        <v>1881</v>
      </c>
      <c r="L1075" s="141" t="s">
        <v>6039</v>
      </c>
      <c r="M1075" s="196">
        <v>130</v>
      </c>
      <c r="N1075" s="196"/>
      <c r="O1075" s="196" t="s">
        <v>5248</v>
      </c>
      <c r="P1075" s="144">
        <v>770</v>
      </c>
      <c r="Q1075" s="145">
        <f t="shared" ref="Q1075:Q1135" si="64">SUM(T1075:X1075)</f>
        <v>3.8653000000000004</v>
      </c>
      <c r="R1075" s="203">
        <v>1.79</v>
      </c>
      <c r="S1075" s="203"/>
      <c r="T1075" s="151"/>
      <c r="U1075" s="151">
        <v>1.7</v>
      </c>
      <c r="V1075" s="151">
        <v>0.25</v>
      </c>
      <c r="W1075" s="151">
        <f t="shared" si="63"/>
        <v>1.79</v>
      </c>
      <c r="X1075" s="152">
        <f t="shared" si="62"/>
        <v>0.12529999999999999</v>
      </c>
      <c r="Y1075" s="152"/>
      <c r="Z1075" s="148"/>
      <c r="AA1075" s="153"/>
      <c r="AB1075" s="153"/>
      <c r="AC1075" s="153"/>
      <c r="AD1075" s="153"/>
      <c r="AH1075" s="147"/>
    </row>
    <row r="1076" spans="1:34" s="146" customFormat="1" x14ac:dyDescent="0.25">
      <c r="A1076" s="196">
        <v>1243</v>
      </c>
      <c r="B1076" s="196" t="s">
        <v>6040</v>
      </c>
      <c r="C1076" s="196" t="s">
        <v>6041</v>
      </c>
      <c r="D1076" s="196" t="s">
        <v>2068</v>
      </c>
      <c r="E1076" s="196"/>
      <c r="F1076" s="196">
        <v>2000</v>
      </c>
      <c r="G1076" s="196"/>
      <c r="H1076" s="196" t="s">
        <v>2734</v>
      </c>
      <c r="I1076" s="141" t="s">
        <v>1929</v>
      </c>
      <c r="J1076" s="196"/>
      <c r="K1076" s="196" t="s">
        <v>1881</v>
      </c>
      <c r="L1076" s="141" t="s">
        <v>6042</v>
      </c>
      <c r="M1076" s="196">
        <v>354</v>
      </c>
      <c r="N1076" s="196"/>
      <c r="O1076" s="196" t="s">
        <v>5249</v>
      </c>
      <c r="P1076" s="144">
        <v>978</v>
      </c>
      <c r="Q1076" s="145">
        <f t="shared" si="64"/>
        <v>3.8653000000000004</v>
      </c>
      <c r="R1076" s="203">
        <v>1.79</v>
      </c>
      <c r="S1076" s="203"/>
      <c r="T1076" s="151"/>
      <c r="U1076" s="151">
        <v>1.7</v>
      </c>
      <c r="V1076" s="151">
        <v>0.25</v>
      </c>
      <c r="W1076" s="151">
        <f t="shared" si="63"/>
        <v>1.79</v>
      </c>
      <c r="X1076" s="152">
        <f t="shared" si="62"/>
        <v>0.12529999999999999</v>
      </c>
      <c r="Y1076" s="152"/>
      <c r="Z1076" s="148"/>
      <c r="AA1076" s="153"/>
      <c r="AB1076" s="153"/>
      <c r="AC1076" s="153"/>
      <c r="AD1076" s="153"/>
      <c r="AH1076" s="147"/>
    </row>
    <row r="1077" spans="1:34" s="146" customFormat="1" x14ac:dyDescent="0.25">
      <c r="A1077" s="196">
        <v>1324</v>
      </c>
      <c r="B1077" s="196"/>
      <c r="C1077" s="196" t="s">
        <v>6043</v>
      </c>
      <c r="D1077" s="196" t="s">
        <v>2036</v>
      </c>
      <c r="E1077" s="196"/>
      <c r="F1077" s="196">
        <v>2000</v>
      </c>
      <c r="G1077" s="196"/>
      <c r="H1077" s="196" t="s">
        <v>2734</v>
      </c>
      <c r="I1077" s="141" t="s">
        <v>1879</v>
      </c>
      <c r="J1077" s="196"/>
      <c r="K1077" s="196" t="s">
        <v>1881</v>
      </c>
      <c r="L1077" s="141" t="s">
        <v>6044</v>
      </c>
      <c r="M1077" s="196">
        <v>532</v>
      </c>
      <c r="N1077" s="196"/>
      <c r="O1077" s="196" t="s">
        <v>5250</v>
      </c>
      <c r="P1077" s="144">
        <v>1036</v>
      </c>
      <c r="Q1077" s="145">
        <f t="shared" si="64"/>
        <v>4.5643000000000002</v>
      </c>
      <c r="R1077" s="203">
        <v>0.49</v>
      </c>
      <c r="S1077" s="203"/>
      <c r="T1077" s="151"/>
      <c r="U1077" s="151">
        <v>3.79</v>
      </c>
      <c r="V1077" s="151">
        <v>0.25</v>
      </c>
      <c r="W1077" s="151">
        <f t="shared" si="63"/>
        <v>0.49</v>
      </c>
      <c r="X1077" s="152">
        <f t="shared" si="62"/>
        <v>3.4299999999999997E-2</v>
      </c>
      <c r="Y1077" s="152"/>
      <c r="Z1077" s="148"/>
      <c r="AA1077" s="153"/>
      <c r="AB1077" s="153"/>
      <c r="AC1077" s="153"/>
      <c r="AD1077" s="153"/>
      <c r="AH1077" s="147"/>
    </row>
    <row r="1078" spans="1:34" s="146" customFormat="1" x14ac:dyDescent="0.25">
      <c r="A1078" s="196">
        <v>2666</v>
      </c>
      <c r="B1078" s="196"/>
      <c r="C1078" s="196" t="s">
        <v>6045</v>
      </c>
      <c r="D1078" s="196" t="s">
        <v>6046</v>
      </c>
      <c r="E1078" s="196" t="s">
        <v>1877</v>
      </c>
      <c r="F1078" s="196">
        <v>1999</v>
      </c>
      <c r="G1078" s="196"/>
      <c r="H1078" s="196" t="s">
        <v>2734</v>
      </c>
      <c r="I1078" s="141" t="s">
        <v>1879</v>
      </c>
      <c r="J1078" s="196"/>
      <c r="K1078" s="196" t="s">
        <v>1881</v>
      </c>
      <c r="L1078" s="141" t="s">
        <v>6047</v>
      </c>
      <c r="M1078" s="196">
        <v>386</v>
      </c>
      <c r="N1078" s="196"/>
      <c r="O1078" s="196" t="s">
        <v>5251</v>
      </c>
      <c r="P1078" s="144">
        <v>957</v>
      </c>
      <c r="Q1078" s="145">
        <f t="shared" si="64"/>
        <v>15.849299999999999</v>
      </c>
      <c r="R1078" s="203">
        <v>12.99</v>
      </c>
      <c r="S1078" s="203"/>
      <c r="T1078" s="151"/>
      <c r="U1078" s="151">
        <v>1.7</v>
      </c>
      <c r="V1078" s="151">
        <v>0.25</v>
      </c>
      <c r="W1078" s="151">
        <f t="shared" si="63"/>
        <v>12.99</v>
      </c>
      <c r="X1078" s="152">
        <f t="shared" si="62"/>
        <v>0.90930000000000011</v>
      </c>
      <c r="Y1078" s="152"/>
      <c r="Z1078" s="148"/>
      <c r="AA1078" s="153"/>
      <c r="AB1078" s="153"/>
      <c r="AC1078" s="153"/>
      <c r="AD1078" s="153"/>
      <c r="AH1078" s="147"/>
    </row>
    <row r="1079" spans="1:34" s="146" customFormat="1" x14ac:dyDescent="0.25">
      <c r="A1079" s="196">
        <v>993</v>
      </c>
      <c r="B1079" s="196"/>
      <c r="C1079" s="196" t="s">
        <v>6048</v>
      </c>
      <c r="D1079" s="196" t="s">
        <v>6049</v>
      </c>
      <c r="E1079" s="196"/>
      <c r="F1079" s="196">
        <v>2003</v>
      </c>
      <c r="G1079" s="196"/>
      <c r="H1079" s="196" t="s">
        <v>2734</v>
      </c>
      <c r="I1079" s="141" t="s">
        <v>1929</v>
      </c>
      <c r="J1079" s="196"/>
      <c r="K1079" s="196" t="s">
        <v>1881</v>
      </c>
      <c r="L1079" s="141" t="s">
        <v>6050</v>
      </c>
      <c r="M1079" s="196">
        <v>430</v>
      </c>
      <c r="N1079" s="196"/>
      <c r="O1079" s="196" t="s">
        <v>5252</v>
      </c>
      <c r="P1079" s="144">
        <v>1119</v>
      </c>
      <c r="Q1079" s="145">
        <f t="shared" si="64"/>
        <v>17.939300000000003</v>
      </c>
      <c r="R1079" s="203">
        <v>12.99</v>
      </c>
      <c r="S1079" s="203"/>
      <c r="T1079" s="151"/>
      <c r="U1079" s="151">
        <v>3.79</v>
      </c>
      <c r="V1079" s="151">
        <v>0.25</v>
      </c>
      <c r="W1079" s="151">
        <f t="shared" si="63"/>
        <v>12.99</v>
      </c>
      <c r="X1079" s="152">
        <f t="shared" si="62"/>
        <v>0.90930000000000011</v>
      </c>
      <c r="Y1079" s="152"/>
      <c r="Z1079" s="148"/>
      <c r="AA1079" s="153"/>
      <c r="AB1079" s="153"/>
      <c r="AC1079" s="153"/>
      <c r="AD1079" s="153"/>
      <c r="AH1079" s="147"/>
    </row>
    <row r="1080" spans="1:34" s="146" customFormat="1" x14ac:dyDescent="0.25">
      <c r="A1080" s="196">
        <v>796</v>
      </c>
      <c r="B1080" s="196"/>
      <c r="C1080" s="196" t="s">
        <v>6051</v>
      </c>
      <c r="D1080" s="196" t="s">
        <v>5902</v>
      </c>
      <c r="E1080" s="196"/>
      <c r="F1080" s="196">
        <v>2001</v>
      </c>
      <c r="G1080" s="196"/>
      <c r="H1080" s="196" t="s">
        <v>2734</v>
      </c>
      <c r="I1080" s="141" t="s">
        <v>1929</v>
      </c>
      <c r="J1080" s="196"/>
      <c r="K1080" s="196" t="s">
        <v>1881</v>
      </c>
      <c r="L1080" s="141" t="s">
        <v>6052</v>
      </c>
      <c r="M1080" s="196">
        <v>258</v>
      </c>
      <c r="N1080" s="196"/>
      <c r="O1080" s="196" t="s">
        <v>5253</v>
      </c>
      <c r="P1080" s="144">
        <v>777</v>
      </c>
      <c r="Q1080" s="145">
        <f t="shared" si="64"/>
        <v>3.0093000000000001</v>
      </c>
      <c r="R1080" s="203">
        <v>0.99</v>
      </c>
      <c r="S1080" s="203"/>
      <c r="T1080" s="151"/>
      <c r="U1080" s="151">
        <v>1.7</v>
      </c>
      <c r="V1080" s="151">
        <v>0.25</v>
      </c>
      <c r="W1080" s="151">
        <f t="shared" si="63"/>
        <v>0.99</v>
      </c>
      <c r="X1080" s="152">
        <f t="shared" si="62"/>
        <v>6.93E-2</v>
      </c>
      <c r="Y1080" s="152"/>
      <c r="Z1080" s="148"/>
      <c r="AA1080" s="153"/>
      <c r="AB1080" s="153"/>
      <c r="AC1080" s="153"/>
      <c r="AD1080" s="153"/>
      <c r="AH1080" s="147"/>
    </row>
    <row r="1081" spans="1:34" s="146" customFormat="1" x14ac:dyDescent="0.25">
      <c r="A1081" s="196">
        <v>1324</v>
      </c>
      <c r="B1081" s="196" t="s">
        <v>6053</v>
      </c>
      <c r="C1081" s="196" t="s">
        <v>6054</v>
      </c>
      <c r="D1081" s="196" t="s">
        <v>2054</v>
      </c>
      <c r="E1081" s="196"/>
      <c r="F1081" s="196">
        <v>2006</v>
      </c>
      <c r="G1081" s="196"/>
      <c r="H1081" s="196" t="s">
        <v>1878</v>
      </c>
      <c r="I1081" s="141" t="s">
        <v>1879</v>
      </c>
      <c r="J1081" s="196"/>
      <c r="K1081" s="196" t="s">
        <v>1881</v>
      </c>
      <c r="L1081" s="141" t="s">
        <v>6055</v>
      </c>
      <c r="M1081" s="196">
        <v>144</v>
      </c>
      <c r="N1081" s="196"/>
      <c r="O1081" s="196" t="s">
        <v>5254</v>
      </c>
      <c r="P1081" s="144">
        <v>430</v>
      </c>
      <c r="Q1081" s="145">
        <f t="shared" si="64"/>
        <v>2.5093000000000001</v>
      </c>
      <c r="R1081" s="203">
        <v>0.99</v>
      </c>
      <c r="S1081" s="203"/>
      <c r="T1081" s="151"/>
      <c r="U1081" s="151">
        <v>1.2</v>
      </c>
      <c r="V1081" s="151">
        <v>0.25</v>
      </c>
      <c r="W1081" s="151">
        <f t="shared" si="63"/>
        <v>0.99</v>
      </c>
      <c r="X1081" s="152">
        <f t="shared" si="62"/>
        <v>6.93E-2</v>
      </c>
      <c r="Y1081" s="152"/>
      <c r="Z1081" s="148"/>
      <c r="AA1081" s="153"/>
      <c r="AB1081" s="153"/>
      <c r="AC1081" s="153"/>
      <c r="AD1081" s="153"/>
      <c r="AH1081" s="147"/>
    </row>
    <row r="1082" spans="1:34" s="146" customFormat="1" x14ac:dyDescent="0.25">
      <c r="A1082" s="196">
        <v>665</v>
      </c>
      <c r="B1082" s="196"/>
      <c r="C1082" s="196" t="s">
        <v>6056</v>
      </c>
      <c r="D1082" s="196" t="s">
        <v>6057</v>
      </c>
      <c r="E1082" s="196"/>
      <c r="F1082" s="196">
        <v>2005</v>
      </c>
      <c r="G1082" s="196"/>
      <c r="H1082" s="196" t="s">
        <v>1878</v>
      </c>
      <c r="I1082" s="141" t="s">
        <v>1879</v>
      </c>
      <c r="J1082" s="196"/>
      <c r="K1082" s="196" t="s">
        <v>1881</v>
      </c>
      <c r="L1082" s="141" t="s">
        <v>6058</v>
      </c>
      <c r="M1082" s="196">
        <v>160</v>
      </c>
      <c r="N1082" s="196"/>
      <c r="O1082" s="196" t="s">
        <v>5255</v>
      </c>
      <c r="P1082" s="144">
        <v>291</v>
      </c>
      <c r="Q1082" s="145">
        <f t="shared" si="64"/>
        <v>4.6493000000000002</v>
      </c>
      <c r="R1082" s="203">
        <v>2.99</v>
      </c>
      <c r="S1082" s="203"/>
      <c r="T1082" s="151"/>
      <c r="U1082" s="151">
        <v>1.2</v>
      </c>
      <c r="V1082" s="151">
        <v>0.25</v>
      </c>
      <c r="W1082" s="151">
        <f t="shared" si="63"/>
        <v>2.99</v>
      </c>
      <c r="X1082" s="152">
        <f t="shared" si="62"/>
        <v>0.20930000000000001</v>
      </c>
      <c r="Y1082" s="152"/>
      <c r="Z1082" s="148"/>
      <c r="AA1082" s="153"/>
      <c r="AB1082" s="153"/>
      <c r="AC1082" s="153"/>
      <c r="AD1082" s="153"/>
      <c r="AH1082" s="147"/>
    </row>
    <row r="1083" spans="1:34" s="146" customFormat="1" x14ac:dyDescent="0.25">
      <c r="A1083" s="196">
        <v>796</v>
      </c>
      <c r="B1083" s="196" t="s">
        <v>6059</v>
      </c>
      <c r="C1083" s="196" t="s">
        <v>6060</v>
      </c>
      <c r="D1083" s="196" t="s">
        <v>2244</v>
      </c>
      <c r="E1083" s="196" t="s">
        <v>1899</v>
      </c>
      <c r="F1083" s="196">
        <v>2010</v>
      </c>
      <c r="G1083" s="196"/>
      <c r="H1083" s="196" t="s">
        <v>2734</v>
      </c>
      <c r="I1083" s="141" t="s">
        <v>1879</v>
      </c>
      <c r="J1083" s="196"/>
      <c r="K1083" s="196" t="s">
        <v>1881</v>
      </c>
      <c r="L1083" s="141" t="s">
        <v>6061</v>
      </c>
      <c r="M1083" s="196">
        <v>642</v>
      </c>
      <c r="N1083" s="196"/>
      <c r="O1083" s="196" t="s">
        <v>5256</v>
      </c>
      <c r="P1083" s="144">
        <v>897</v>
      </c>
      <c r="Q1083" s="145">
        <f t="shared" si="64"/>
        <v>2.7953000000000001</v>
      </c>
      <c r="R1083" s="203">
        <v>0.79</v>
      </c>
      <c r="S1083" s="203"/>
      <c r="T1083" s="151"/>
      <c r="U1083" s="151">
        <v>1.7</v>
      </c>
      <c r="V1083" s="151">
        <v>0.25</v>
      </c>
      <c r="W1083" s="151">
        <f t="shared" si="63"/>
        <v>0.79</v>
      </c>
      <c r="X1083" s="152">
        <f t="shared" si="62"/>
        <v>5.5300000000000002E-2</v>
      </c>
      <c r="Y1083" s="152"/>
      <c r="Z1083" s="148"/>
      <c r="AA1083" s="153"/>
      <c r="AB1083" s="153"/>
      <c r="AC1083" s="153"/>
      <c r="AD1083" s="153"/>
      <c r="AH1083" s="147"/>
    </row>
    <row r="1084" spans="1:34" s="146" customFormat="1" x14ac:dyDescent="0.25">
      <c r="A1084" s="196">
        <v>1939</v>
      </c>
      <c r="B1084" s="196" t="s">
        <v>6062</v>
      </c>
      <c r="C1084" s="196" t="s">
        <v>6063</v>
      </c>
      <c r="D1084" s="196" t="s">
        <v>2300</v>
      </c>
      <c r="E1084" s="196"/>
      <c r="F1084" s="196">
        <v>1994</v>
      </c>
      <c r="G1084" s="196"/>
      <c r="H1084" s="196" t="s">
        <v>1878</v>
      </c>
      <c r="I1084" s="141" t="s">
        <v>1879</v>
      </c>
      <c r="J1084" s="196"/>
      <c r="K1084" s="196" t="s">
        <v>1881</v>
      </c>
      <c r="L1084" s="141"/>
      <c r="M1084" s="196">
        <v>160</v>
      </c>
      <c r="N1084" s="196"/>
      <c r="O1084" s="196" t="s">
        <v>5257</v>
      </c>
      <c r="P1084" s="144">
        <v>135</v>
      </c>
      <c r="Q1084" s="145">
        <f t="shared" si="64"/>
        <v>1.9742999999999999</v>
      </c>
      <c r="R1084" s="203">
        <v>0.49</v>
      </c>
      <c r="S1084" s="203"/>
      <c r="T1084" s="151"/>
      <c r="U1084" s="151">
        <v>1.2</v>
      </c>
      <c r="V1084" s="151">
        <v>0.25</v>
      </c>
      <c r="W1084" s="151">
        <f t="shared" si="63"/>
        <v>0.49</v>
      </c>
      <c r="X1084" s="152">
        <f t="shared" si="62"/>
        <v>3.4299999999999997E-2</v>
      </c>
      <c r="Y1084" s="152"/>
      <c r="Z1084" s="148"/>
      <c r="AA1084" s="153"/>
      <c r="AB1084" s="153"/>
      <c r="AC1084" s="153"/>
      <c r="AD1084" s="153"/>
      <c r="AH1084" s="147"/>
    </row>
    <row r="1085" spans="1:34" s="146" customFormat="1" x14ac:dyDescent="0.25">
      <c r="A1085" s="196">
        <v>1395</v>
      </c>
      <c r="B1085" s="196" t="s">
        <v>6064</v>
      </c>
      <c r="C1085" s="196" t="s">
        <v>6065</v>
      </c>
      <c r="D1085" s="196" t="s">
        <v>6066</v>
      </c>
      <c r="E1085" s="196"/>
      <c r="F1085" s="196">
        <v>2005</v>
      </c>
      <c r="G1085" s="196"/>
      <c r="H1085" s="196" t="s">
        <v>1878</v>
      </c>
      <c r="I1085" s="141" t="s">
        <v>1879</v>
      </c>
      <c r="J1085" s="196"/>
      <c r="K1085" s="196" t="s">
        <v>1881</v>
      </c>
      <c r="L1085" s="141" t="s">
        <v>6067</v>
      </c>
      <c r="M1085" s="196">
        <v>336</v>
      </c>
      <c r="N1085" s="196"/>
      <c r="O1085" s="196" t="s">
        <v>5258</v>
      </c>
      <c r="P1085" s="144">
        <v>379</v>
      </c>
      <c r="Q1085" s="145">
        <f t="shared" si="64"/>
        <v>2.7232999999999996</v>
      </c>
      <c r="R1085" s="203">
        <v>1.19</v>
      </c>
      <c r="S1085" s="203"/>
      <c r="T1085" s="151"/>
      <c r="U1085" s="151">
        <v>1.2</v>
      </c>
      <c r="V1085" s="151">
        <v>0.25</v>
      </c>
      <c r="W1085" s="151">
        <f t="shared" si="63"/>
        <v>1.19</v>
      </c>
      <c r="X1085" s="152">
        <f t="shared" si="62"/>
        <v>8.3299999999999999E-2</v>
      </c>
      <c r="Y1085" s="152"/>
      <c r="Z1085" s="148"/>
      <c r="AA1085" s="153"/>
      <c r="AB1085" s="153"/>
      <c r="AC1085" s="153"/>
      <c r="AD1085" s="153"/>
      <c r="AH1085" s="147"/>
    </row>
    <row r="1086" spans="1:34" s="146" customFormat="1" x14ac:dyDescent="0.25">
      <c r="A1086" s="196">
        <v>2516</v>
      </c>
      <c r="B1086" s="196" t="s">
        <v>6068</v>
      </c>
      <c r="C1086" s="196" t="s">
        <v>6069</v>
      </c>
      <c r="D1086" s="196" t="s">
        <v>2209</v>
      </c>
      <c r="E1086" s="196"/>
      <c r="F1086" s="196">
        <v>1992</v>
      </c>
      <c r="G1086" s="196"/>
      <c r="H1086" s="196" t="s">
        <v>2734</v>
      </c>
      <c r="I1086" s="141" t="s">
        <v>1914</v>
      </c>
      <c r="J1086" s="196"/>
      <c r="K1086" s="196" t="s">
        <v>1881</v>
      </c>
      <c r="L1086" s="141"/>
      <c r="M1086" s="196">
        <v>434</v>
      </c>
      <c r="N1086" s="196"/>
      <c r="O1086" s="196" t="s">
        <v>5259</v>
      </c>
      <c r="P1086" s="144">
        <v>499</v>
      </c>
      <c r="Q1086" s="145">
        <f t="shared" si="64"/>
        <v>2.4742999999999999</v>
      </c>
      <c r="R1086" s="203">
        <v>0.49</v>
      </c>
      <c r="S1086" s="203"/>
      <c r="T1086" s="151"/>
      <c r="U1086" s="151">
        <v>1.7</v>
      </c>
      <c r="V1086" s="151">
        <v>0.25</v>
      </c>
      <c r="W1086" s="151">
        <f t="shared" si="63"/>
        <v>0.49</v>
      </c>
      <c r="X1086" s="152">
        <f t="shared" si="62"/>
        <v>3.4299999999999997E-2</v>
      </c>
      <c r="Y1086" s="152"/>
      <c r="Z1086" s="148"/>
      <c r="AA1086" s="153"/>
      <c r="AB1086" s="153"/>
      <c r="AC1086" s="153"/>
      <c r="AD1086" s="153"/>
      <c r="AH1086" s="147"/>
    </row>
    <row r="1087" spans="1:34" s="146" customFormat="1" x14ac:dyDescent="0.25">
      <c r="A1087" s="196">
        <v>2576</v>
      </c>
      <c r="B1087" s="196" t="s">
        <v>6070</v>
      </c>
      <c r="C1087" s="196" t="s">
        <v>6071</v>
      </c>
      <c r="D1087" s="196" t="s">
        <v>2453</v>
      </c>
      <c r="E1087" s="196" t="s">
        <v>1913</v>
      </c>
      <c r="F1087" s="196">
        <v>2010</v>
      </c>
      <c r="G1087" s="196"/>
      <c r="H1087" s="196" t="s">
        <v>1878</v>
      </c>
      <c r="I1087" s="141" t="s">
        <v>1914</v>
      </c>
      <c r="J1087" s="196"/>
      <c r="K1087" s="196" t="s">
        <v>1881</v>
      </c>
      <c r="L1087" s="141" t="s">
        <v>6072</v>
      </c>
      <c r="M1087" s="196">
        <v>224</v>
      </c>
      <c r="N1087" s="196"/>
      <c r="O1087" s="196" t="s">
        <v>5260</v>
      </c>
      <c r="P1087" s="144">
        <v>247</v>
      </c>
      <c r="Q1087" s="145">
        <f t="shared" si="64"/>
        <v>2.6162999999999998</v>
      </c>
      <c r="R1087" s="203">
        <v>1.0900000000000001</v>
      </c>
      <c r="S1087" s="203"/>
      <c r="T1087" s="151"/>
      <c r="U1087" s="151">
        <v>1.2</v>
      </c>
      <c r="V1087" s="151">
        <v>0.25</v>
      </c>
      <c r="W1087" s="151">
        <f t="shared" si="63"/>
        <v>1.0900000000000001</v>
      </c>
      <c r="X1087" s="152">
        <f t="shared" si="62"/>
        <v>7.6300000000000007E-2</v>
      </c>
      <c r="Y1087" s="152"/>
      <c r="Z1087" s="148"/>
      <c r="AA1087" s="153"/>
      <c r="AB1087" s="153"/>
      <c r="AC1087" s="153"/>
      <c r="AD1087" s="153"/>
      <c r="AH1087" s="147"/>
    </row>
    <row r="1088" spans="1:34" s="146" customFormat="1" x14ac:dyDescent="0.25">
      <c r="A1088" s="196">
        <v>1327</v>
      </c>
      <c r="B1088" s="196" t="s">
        <v>6073</v>
      </c>
      <c r="C1088" s="196" t="s">
        <v>6074</v>
      </c>
      <c r="D1088" s="196" t="s">
        <v>5941</v>
      </c>
      <c r="E1088" s="196"/>
      <c r="F1088" s="196">
        <v>2004</v>
      </c>
      <c r="G1088" s="196"/>
      <c r="H1088" s="196" t="s">
        <v>2734</v>
      </c>
      <c r="I1088" s="141" t="s">
        <v>1929</v>
      </c>
      <c r="J1088" s="196"/>
      <c r="K1088" s="196" t="s">
        <v>1881</v>
      </c>
      <c r="L1088" s="141"/>
      <c r="M1088" s="196">
        <v>514</v>
      </c>
      <c r="N1088" s="196"/>
      <c r="O1088" s="196" t="s">
        <v>5261</v>
      </c>
      <c r="P1088" s="144">
        <v>980</v>
      </c>
      <c r="Q1088" s="145">
        <f t="shared" si="64"/>
        <v>3.0093000000000001</v>
      </c>
      <c r="R1088" s="203">
        <v>0.99</v>
      </c>
      <c r="S1088" s="203"/>
      <c r="T1088" s="151"/>
      <c r="U1088" s="151">
        <v>1.7</v>
      </c>
      <c r="V1088" s="151">
        <v>0.25</v>
      </c>
      <c r="W1088" s="151">
        <f t="shared" si="63"/>
        <v>0.99</v>
      </c>
      <c r="X1088" s="152">
        <f t="shared" ref="X1088:X1147" si="65">(T1088+W1088)/100*7</f>
        <v>6.93E-2</v>
      </c>
      <c r="Y1088" s="152"/>
      <c r="Z1088" s="148"/>
      <c r="AA1088" s="153"/>
      <c r="AB1088" s="153"/>
      <c r="AC1088" s="153"/>
      <c r="AD1088" s="153"/>
      <c r="AH1088" s="147"/>
    </row>
    <row r="1089" spans="1:34" s="146" customFormat="1" x14ac:dyDescent="0.25">
      <c r="A1089" s="196">
        <v>2522</v>
      </c>
      <c r="B1089" s="196" t="s">
        <v>6075</v>
      </c>
      <c r="C1089" s="196" t="s">
        <v>6076</v>
      </c>
      <c r="D1089" s="196" t="s">
        <v>2036</v>
      </c>
      <c r="E1089" s="196"/>
      <c r="F1089" s="196">
        <v>2000</v>
      </c>
      <c r="G1089" s="196"/>
      <c r="H1089" s="196" t="s">
        <v>2734</v>
      </c>
      <c r="I1089" s="141" t="s">
        <v>1879</v>
      </c>
      <c r="J1089" s="196"/>
      <c r="K1089" s="196" t="s">
        <v>1881</v>
      </c>
      <c r="L1089" s="141" t="s">
        <v>6077</v>
      </c>
      <c r="M1089" s="196">
        <v>530</v>
      </c>
      <c r="N1089" s="196"/>
      <c r="O1089" s="196" t="s">
        <v>5262</v>
      </c>
      <c r="P1089" s="144">
        <v>724</v>
      </c>
      <c r="Q1089" s="145">
        <f t="shared" si="64"/>
        <v>2.4742999999999999</v>
      </c>
      <c r="R1089" s="203">
        <v>0.49</v>
      </c>
      <c r="S1089" s="203"/>
      <c r="T1089" s="151"/>
      <c r="U1089" s="151">
        <v>1.7</v>
      </c>
      <c r="V1089" s="151">
        <v>0.25</v>
      </c>
      <c r="W1089" s="151">
        <f t="shared" si="63"/>
        <v>0.49</v>
      </c>
      <c r="X1089" s="152">
        <f t="shared" si="65"/>
        <v>3.4299999999999997E-2</v>
      </c>
      <c r="Y1089" s="152"/>
      <c r="Z1089" s="148"/>
      <c r="AA1089" s="153"/>
      <c r="AB1089" s="153"/>
      <c r="AC1089" s="153"/>
      <c r="AD1089" s="153"/>
      <c r="AH1089" s="147"/>
    </row>
    <row r="1090" spans="1:34" s="146" customFormat="1" x14ac:dyDescent="0.25">
      <c r="A1090" s="196">
        <v>1333</v>
      </c>
      <c r="B1090" s="196" t="s">
        <v>6078</v>
      </c>
      <c r="C1090" s="196" t="s">
        <v>6079</v>
      </c>
      <c r="D1090" s="196" t="s">
        <v>4693</v>
      </c>
      <c r="E1090" s="196" t="s">
        <v>2175</v>
      </c>
      <c r="F1090" s="196">
        <v>2008</v>
      </c>
      <c r="G1090" s="196"/>
      <c r="H1090" s="196" t="s">
        <v>1878</v>
      </c>
      <c r="I1090" s="141" t="s">
        <v>1879</v>
      </c>
      <c r="J1090" s="196"/>
      <c r="K1090" s="196" t="s">
        <v>1881</v>
      </c>
      <c r="L1090" s="141" t="s">
        <v>6080</v>
      </c>
      <c r="M1090" s="196">
        <v>64</v>
      </c>
      <c r="N1090" s="196"/>
      <c r="O1090" s="196" t="s">
        <v>5263</v>
      </c>
      <c r="P1090" s="144">
        <v>162</v>
      </c>
      <c r="Q1090" s="145">
        <f t="shared" si="64"/>
        <v>2.5093000000000001</v>
      </c>
      <c r="R1090" s="203">
        <v>0.99</v>
      </c>
      <c r="S1090" s="203"/>
      <c r="T1090" s="151"/>
      <c r="U1090" s="151">
        <v>1.2</v>
      </c>
      <c r="V1090" s="151">
        <v>0.25</v>
      </c>
      <c r="W1090" s="151">
        <f t="shared" si="63"/>
        <v>0.99</v>
      </c>
      <c r="X1090" s="152">
        <f t="shared" si="65"/>
        <v>6.93E-2</v>
      </c>
      <c r="Y1090" s="152"/>
      <c r="Z1090" s="148"/>
      <c r="AA1090" s="153"/>
      <c r="AB1090" s="153"/>
      <c r="AC1090" s="153"/>
      <c r="AD1090" s="153"/>
      <c r="AH1090" s="147"/>
    </row>
    <row r="1091" spans="1:34" s="146" customFormat="1" x14ac:dyDescent="0.25">
      <c r="A1091" s="196">
        <v>1333</v>
      </c>
      <c r="B1091" s="196"/>
      <c r="C1091" s="196" t="s">
        <v>6081</v>
      </c>
      <c r="D1091" s="196" t="s">
        <v>3332</v>
      </c>
      <c r="E1091" s="196"/>
      <c r="F1091" s="196"/>
      <c r="G1091" s="196"/>
      <c r="H1091" s="196" t="s">
        <v>1878</v>
      </c>
      <c r="I1091" s="141" t="s">
        <v>1929</v>
      </c>
      <c r="J1091" s="196"/>
      <c r="K1091" s="196" t="s">
        <v>1881</v>
      </c>
      <c r="L1091" s="141" t="s">
        <v>6082</v>
      </c>
      <c r="M1091" s="196">
        <v>96</v>
      </c>
      <c r="N1091" s="196"/>
      <c r="O1091" s="196" t="s">
        <v>5264</v>
      </c>
      <c r="P1091" s="144">
        <v>245</v>
      </c>
      <c r="Q1091" s="145">
        <f t="shared" si="64"/>
        <v>2.7232999999999996</v>
      </c>
      <c r="R1091" s="203">
        <v>1.19</v>
      </c>
      <c r="S1091" s="203"/>
      <c r="T1091" s="151"/>
      <c r="U1091" s="151">
        <v>1.2</v>
      </c>
      <c r="V1091" s="151">
        <v>0.25</v>
      </c>
      <c r="W1091" s="151">
        <f t="shared" si="63"/>
        <v>1.19</v>
      </c>
      <c r="X1091" s="152">
        <f t="shared" si="65"/>
        <v>8.3299999999999999E-2</v>
      </c>
      <c r="Y1091" s="152"/>
      <c r="Z1091" s="148"/>
      <c r="AA1091" s="153"/>
      <c r="AB1091" s="153"/>
      <c r="AC1091" s="153"/>
      <c r="AD1091" s="153"/>
      <c r="AH1091" s="147"/>
    </row>
    <row r="1092" spans="1:34" s="146" customFormat="1" x14ac:dyDescent="0.25">
      <c r="A1092" s="196">
        <v>1314</v>
      </c>
      <c r="B1092" s="196" t="s">
        <v>6086</v>
      </c>
      <c r="C1092" s="196" t="s">
        <v>6087</v>
      </c>
      <c r="D1092" s="196" t="s">
        <v>2822</v>
      </c>
      <c r="E1092" s="196"/>
      <c r="F1092" s="196">
        <v>2003</v>
      </c>
      <c r="G1092" s="196"/>
      <c r="H1092" s="196" t="s">
        <v>1878</v>
      </c>
      <c r="I1092" s="141" t="s">
        <v>1879</v>
      </c>
      <c r="J1092" s="143" t="s">
        <v>3854</v>
      </c>
      <c r="K1092" s="196" t="s">
        <v>1881</v>
      </c>
      <c r="L1092" s="141" t="s">
        <v>6088</v>
      </c>
      <c r="M1092" s="196">
        <v>176</v>
      </c>
      <c r="N1092" s="196"/>
      <c r="O1092" s="196" t="s">
        <v>5266</v>
      </c>
      <c r="P1092" s="144">
        <v>199</v>
      </c>
      <c r="Q1092" s="145">
        <f t="shared" si="64"/>
        <v>2.5093000000000001</v>
      </c>
      <c r="R1092" s="203">
        <v>0.99</v>
      </c>
      <c r="S1092" s="203"/>
      <c r="T1092" s="151"/>
      <c r="U1092" s="151">
        <v>1.2</v>
      </c>
      <c r="V1092" s="151">
        <v>0.25</v>
      </c>
      <c r="W1092" s="151">
        <f t="shared" si="63"/>
        <v>0.99</v>
      </c>
      <c r="X1092" s="152">
        <f t="shared" si="65"/>
        <v>6.93E-2</v>
      </c>
      <c r="Y1092" s="152"/>
      <c r="Z1092" s="148"/>
      <c r="AA1092" s="153"/>
      <c r="AB1092" s="153"/>
      <c r="AC1092" s="153"/>
      <c r="AD1092" s="153"/>
      <c r="AH1092" s="147"/>
    </row>
    <row r="1093" spans="1:34" s="146" customFormat="1" x14ac:dyDescent="0.25">
      <c r="A1093" s="196">
        <v>634</v>
      </c>
      <c r="B1093" s="196" t="s">
        <v>6089</v>
      </c>
      <c r="C1093" s="196" t="s">
        <v>6090</v>
      </c>
      <c r="D1093" s="196" t="s">
        <v>2151</v>
      </c>
      <c r="E1093" s="196"/>
      <c r="F1093" s="196">
        <v>1982</v>
      </c>
      <c r="G1093" s="196"/>
      <c r="H1093" s="196" t="s">
        <v>1878</v>
      </c>
      <c r="I1093" s="141" t="s">
        <v>1914</v>
      </c>
      <c r="J1093" s="196"/>
      <c r="K1093" s="196" t="s">
        <v>1881</v>
      </c>
      <c r="L1093" s="141"/>
      <c r="M1093" s="196">
        <v>162</v>
      </c>
      <c r="N1093" s="196"/>
      <c r="O1093" s="196" t="s">
        <v>5267</v>
      </c>
      <c r="P1093" s="144">
        <v>111</v>
      </c>
      <c r="Q1093" s="145">
        <f t="shared" si="64"/>
        <v>2.5093000000000001</v>
      </c>
      <c r="R1093" s="203">
        <v>0.99</v>
      </c>
      <c r="S1093" s="203"/>
      <c r="T1093" s="151"/>
      <c r="U1093" s="151">
        <v>1.2</v>
      </c>
      <c r="V1093" s="151">
        <v>0.25</v>
      </c>
      <c r="W1093" s="151">
        <f t="shared" si="63"/>
        <v>0.99</v>
      </c>
      <c r="X1093" s="152">
        <f t="shared" si="65"/>
        <v>6.93E-2</v>
      </c>
      <c r="Y1093" s="152"/>
      <c r="Z1093" s="148"/>
      <c r="AA1093" s="153"/>
      <c r="AB1093" s="153"/>
      <c r="AC1093" s="153"/>
      <c r="AD1093" s="153"/>
      <c r="AH1093" s="147"/>
    </row>
    <row r="1094" spans="1:34" s="146" customFormat="1" x14ac:dyDescent="0.25">
      <c r="A1094" s="196">
        <v>1395</v>
      </c>
      <c r="B1094" s="196" t="s">
        <v>6091</v>
      </c>
      <c r="C1094" s="196" t="s">
        <v>6092</v>
      </c>
      <c r="D1094" s="196" t="s">
        <v>2257</v>
      </c>
      <c r="E1094" s="196"/>
      <c r="F1094" s="196">
        <v>1998</v>
      </c>
      <c r="G1094" s="196"/>
      <c r="H1094" s="196" t="s">
        <v>1878</v>
      </c>
      <c r="I1094" s="141" t="s">
        <v>1879</v>
      </c>
      <c r="J1094" s="143" t="s">
        <v>3854</v>
      </c>
      <c r="K1094" s="196" t="s">
        <v>1881</v>
      </c>
      <c r="L1094" s="141" t="s">
        <v>6093</v>
      </c>
      <c r="M1094" s="196">
        <v>288</v>
      </c>
      <c r="N1094" s="196"/>
      <c r="O1094" s="196" t="s">
        <v>5268</v>
      </c>
      <c r="P1094" s="144">
        <v>344</v>
      </c>
      <c r="Q1094" s="145">
        <f t="shared" si="64"/>
        <v>2.5093000000000001</v>
      </c>
      <c r="R1094" s="203">
        <v>0.99</v>
      </c>
      <c r="S1094" s="203"/>
      <c r="T1094" s="151"/>
      <c r="U1094" s="151">
        <v>1.2</v>
      </c>
      <c r="V1094" s="151">
        <v>0.25</v>
      </c>
      <c r="W1094" s="151">
        <f t="shared" si="63"/>
        <v>0.99</v>
      </c>
      <c r="X1094" s="152">
        <f t="shared" si="65"/>
        <v>6.93E-2</v>
      </c>
      <c r="Y1094" s="152"/>
      <c r="Z1094" s="148"/>
      <c r="AA1094" s="153"/>
      <c r="AB1094" s="153"/>
      <c r="AC1094" s="153"/>
      <c r="AD1094" s="153"/>
      <c r="AH1094" s="147"/>
    </row>
    <row r="1095" spans="1:34" s="146" customFormat="1" x14ac:dyDescent="0.25">
      <c r="A1095" s="196">
        <v>2551</v>
      </c>
      <c r="B1095" s="196" t="s">
        <v>4238</v>
      </c>
      <c r="C1095" s="196" t="s">
        <v>6094</v>
      </c>
      <c r="D1095" s="196" t="s">
        <v>2232</v>
      </c>
      <c r="E1095" s="196" t="s">
        <v>1913</v>
      </c>
      <c r="F1095" s="196">
        <v>2001</v>
      </c>
      <c r="G1095" s="196"/>
      <c r="H1095" s="196" t="s">
        <v>1878</v>
      </c>
      <c r="I1095" s="141" t="s">
        <v>1879</v>
      </c>
      <c r="J1095" s="196"/>
      <c r="K1095" s="196" t="s">
        <v>1881</v>
      </c>
      <c r="L1095" s="141" t="s">
        <v>6095</v>
      </c>
      <c r="M1095" s="196">
        <v>288</v>
      </c>
      <c r="N1095" s="196"/>
      <c r="O1095" s="196" t="s">
        <v>5269</v>
      </c>
      <c r="P1095" s="144">
        <v>275</v>
      </c>
      <c r="Q1095" s="145">
        <f t="shared" si="64"/>
        <v>2.5093000000000001</v>
      </c>
      <c r="R1095" s="203">
        <v>0.99</v>
      </c>
      <c r="S1095" s="203"/>
      <c r="T1095" s="151"/>
      <c r="U1095" s="151">
        <v>1.2</v>
      </c>
      <c r="V1095" s="151">
        <v>0.25</v>
      </c>
      <c r="W1095" s="151">
        <f t="shared" si="63"/>
        <v>0.99</v>
      </c>
      <c r="X1095" s="152">
        <f t="shared" si="65"/>
        <v>6.93E-2</v>
      </c>
      <c r="Y1095" s="152"/>
      <c r="Z1095" s="148"/>
      <c r="AA1095" s="153"/>
      <c r="AB1095" s="153"/>
      <c r="AC1095" s="153"/>
      <c r="AD1095" s="153"/>
      <c r="AH1095" s="147"/>
    </row>
    <row r="1096" spans="1:34" s="146" customFormat="1" x14ac:dyDescent="0.25">
      <c r="A1096" s="196">
        <v>2571</v>
      </c>
      <c r="B1096" s="196" t="s">
        <v>6073</v>
      </c>
      <c r="C1096" s="196" t="s">
        <v>6096</v>
      </c>
      <c r="D1096" s="196" t="s">
        <v>1988</v>
      </c>
      <c r="E1096" s="196" t="s">
        <v>6097</v>
      </c>
      <c r="F1096" s="196">
        <v>1997</v>
      </c>
      <c r="G1096" s="196"/>
      <c r="H1096" s="196" t="s">
        <v>1878</v>
      </c>
      <c r="I1096" s="141" t="s">
        <v>1879</v>
      </c>
      <c r="J1096" s="196"/>
      <c r="K1096" s="196" t="s">
        <v>1881</v>
      </c>
      <c r="L1096" s="141" t="s">
        <v>6098</v>
      </c>
      <c r="M1096" s="196">
        <v>688</v>
      </c>
      <c r="N1096" s="196"/>
      <c r="O1096" s="196" t="s">
        <v>5270</v>
      </c>
      <c r="P1096" s="144">
        <v>501</v>
      </c>
      <c r="Q1096" s="145">
        <f t="shared" si="64"/>
        <v>3.0093000000000001</v>
      </c>
      <c r="R1096" s="203">
        <v>0.99</v>
      </c>
      <c r="S1096" s="203"/>
      <c r="T1096" s="151"/>
      <c r="U1096" s="151">
        <v>1.7</v>
      </c>
      <c r="V1096" s="151">
        <v>0.25</v>
      </c>
      <c r="W1096" s="151">
        <f t="shared" si="63"/>
        <v>0.99</v>
      </c>
      <c r="X1096" s="152">
        <f t="shared" si="65"/>
        <v>6.93E-2</v>
      </c>
      <c r="Y1096" s="152"/>
      <c r="Z1096" s="148"/>
      <c r="AA1096" s="153"/>
      <c r="AB1096" s="153"/>
      <c r="AC1096" s="153"/>
      <c r="AD1096" s="153"/>
      <c r="AH1096" s="147"/>
    </row>
    <row r="1097" spans="1:34" s="146" customFormat="1" x14ac:dyDescent="0.25">
      <c r="A1097" s="196">
        <v>2522</v>
      </c>
      <c r="B1097" s="196" t="s">
        <v>6099</v>
      </c>
      <c r="C1097" s="196" t="s">
        <v>6100</v>
      </c>
      <c r="D1097" s="196" t="s">
        <v>4476</v>
      </c>
      <c r="E1097" s="196" t="s">
        <v>1913</v>
      </c>
      <c r="F1097" s="196">
        <v>1999</v>
      </c>
      <c r="G1097" s="196"/>
      <c r="H1097" s="196" t="s">
        <v>2734</v>
      </c>
      <c r="I1097" s="141" t="s">
        <v>1929</v>
      </c>
      <c r="J1097" s="196"/>
      <c r="K1097" s="196" t="s">
        <v>1881</v>
      </c>
      <c r="L1097" s="141" t="s">
        <v>6101</v>
      </c>
      <c r="M1097" s="196">
        <v>290</v>
      </c>
      <c r="N1097" s="196"/>
      <c r="O1097" s="196" t="s">
        <v>5271</v>
      </c>
      <c r="P1097" s="144">
        <v>491</v>
      </c>
      <c r="Q1097" s="145">
        <f t="shared" si="64"/>
        <v>3.0093000000000001</v>
      </c>
      <c r="R1097" s="203">
        <v>0.99</v>
      </c>
      <c r="S1097" s="203"/>
      <c r="T1097" s="151"/>
      <c r="U1097" s="151">
        <v>1.7</v>
      </c>
      <c r="V1097" s="151">
        <v>0.25</v>
      </c>
      <c r="W1097" s="151">
        <f t="shared" si="63"/>
        <v>0.99</v>
      </c>
      <c r="X1097" s="152">
        <f t="shared" si="65"/>
        <v>6.93E-2</v>
      </c>
      <c r="Y1097" s="152"/>
      <c r="Z1097" s="148"/>
      <c r="AA1097" s="153"/>
      <c r="AB1097" s="153"/>
      <c r="AC1097" s="153"/>
      <c r="AD1097" s="153"/>
      <c r="AH1097" s="147"/>
    </row>
    <row r="1098" spans="1:34" s="146" customFormat="1" x14ac:dyDescent="0.25">
      <c r="A1098" s="196">
        <v>2522</v>
      </c>
      <c r="B1098" s="196" t="s">
        <v>6102</v>
      </c>
      <c r="C1098" s="196" t="s">
        <v>6103</v>
      </c>
      <c r="D1098" s="196" t="s">
        <v>2386</v>
      </c>
      <c r="E1098" s="196"/>
      <c r="F1098" s="196">
        <v>1999</v>
      </c>
      <c r="G1098" s="196"/>
      <c r="H1098" s="196" t="s">
        <v>2734</v>
      </c>
      <c r="I1098" s="141" t="s">
        <v>1879</v>
      </c>
      <c r="J1098" s="196"/>
      <c r="K1098" s="196" t="s">
        <v>1881</v>
      </c>
      <c r="L1098" s="141" t="s">
        <v>6104</v>
      </c>
      <c r="M1098" s="196">
        <v>546</v>
      </c>
      <c r="N1098" s="196"/>
      <c r="O1098" s="196" t="s">
        <v>5272</v>
      </c>
      <c r="P1098" s="144">
        <v>751</v>
      </c>
      <c r="Q1098" s="145">
        <f t="shared" si="64"/>
        <v>3.1162999999999998</v>
      </c>
      <c r="R1098" s="203">
        <v>1.0900000000000001</v>
      </c>
      <c r="S1098" s="203"/>
      <c r="T1098" s="151"/>
      <c r="U1098" s="151">
        <v>1.7</v>
      </c>
      <c r="V1098" s="151">
        <v>0.25</v>
      </c>
      <c r="W1098" s="151">
        <f t="shared" si="63"/>
        <v>1.0900000000000001</v>
      </c>
      <c r="X1098" s="152">
        <f t="shared" si="65"/>
        <v>7.6300000000000007E-2</v>
      </c>
      <c r="Y1098" s="152"/>
      <c r="Z1098" s="148"/>
      <c r="AA1098" s="153"/>
      <c r="AB1098" s="153"/>
      <c r="AC1098" s="153"/>
      <c r="AD1098" s="153"/>
      <c r="AH1098" s="147"/>
    </row>
    <row r="1099" spans="1:34" s="146" customFormat="1" x14ac:dyDescent="0.25">
      <c r="A1099" s="196">
        <v>2522</v>
      </c>
      <c r="B1099" s="196" t="s">
        <v>6105</v>
      </c>
      <c r="C1099" s="196" t="s">
        <v>6106</v>
      </c>
      <c r="D1099" s="196" t="s">
        <v>2209</v>
      </c>
      <c r="E1099" s="196" t="s">
        <v>1877</v>
      </c>
      <c r="F1099" s="196">
        <v>2013</v>
      </c>
      <c r="G1099" s="196"/>
      <c r="H1099" s="196" t="s">
        <v>1878</v>
      </c>
      <c r="I1099" s="141" t="s">
        <v>1879</v>
      </c>
      <c r="J1099" s="196"/>
      <c r="K1099" s="196" t="s">
        <v>1881</v>
      </c>
      <c r="L1099" s="141" t="s">
        <v>6107</v>
      </c>
      <c r="M1099" s="196">
        <v>400</v>
      </c>
      <c r="N1099" s="196"/>
      <c r="O1099" s="196" t="s">
        <v>5273</v>
      </c>
      <c r="P1099" s="144">
        <v>524</v>
      </c>
      <c r="Q1099" s="145">
        <f t="shared" si="64"/>
        <v>3.2232999999999996</v>
      </c>
      <c r="R1099" s="203">
        <v>1.19</v>
      </c>
      <c r="S1099" s="203"/>
      <c r="T1099" s="151"/>
      <c r="U1099" s="151">
        <v>1.7</v>
      </c>
      <c r="V1099" s="151">
        <v>0.25</v>
      </c>
      <c r="W1099" s="151">
        <f t="shared" si="63"/>
        <v>1.19</v>
      </c>
      <c r="X1099" s="152">
        <f t="shared" si="65"/>
        <v>8.3299999999999999E-2</v>
      </c>
      <c r="Y1099" s="152"/>
      <c r="Z1099" s="148"/>
      <c r="AA1099" s="153"/>
      <c r="AB1099" s="153"/>
      <c r="AC1099" s="153"/>
      <c r="AD1099" s="153"/>
      <c r="AH1099" s="147"/>
    </row>
    <row r="1100" spans="1:34" s="146" customFormat="1" x14ac:dyDescent="0.25">
      <c r="A1100" s="196">
        <v>1327</v>
      </c>
      <c r="B1100" s="196" t="s">
        <v>6108</v>
      </c>
      <c r="C1100" s="196" t="s">
        <v>6109</v>
      </c>
      <c r="D1100" s="196" t="s">
        <v>1912</v>
      </c>
      <c r="E1100" s="196" t="s">
        <v>2335</v>
      </c>
      <c r="F1100" s="196">
        <v>2001</v>
      </c>
      <c r="G1100" s="196"/>
      <c r="H1100" s="196" t="s">
        <v>1878</v>
      </c>
      <c r="I1100" s="141" t="s">
        <v>1879</v>
      </c>
      <c r="J1100" s="196"/>
      <c r="K1100" s="196" t="s">
        <v>1881</v>
      </c>
      <c r="L1100" s="141" t="s">
        <v>6110</v>
      </c>
      <c r="M1100" s="196">
        <v>896</v>
      </c>
      <c r="N1100" s="196"/>
      <c r="O1100" s="196" t="s">
        <v>5274</v>
      </c>
      <c r="P1100" s="144">
        <v>588</v>
      </c>
      <c r="Q1100" s="145">
        <f t="shared" si="64"/>
        <v>2.4742999999999999</v>
      </c>
      <c r="R1100" s="203">
        <v>0.49</v>
      </c>
      <c r="S1100" s="203"/>
      <c r="T1100" s="151"/>
      <c r="U1100" s="151">
        <v>1.7</v>
      </c>
      <c r="V1100" s="151">
        <v>0.25</v>
      </c>
      <c r="W1100" s="151">
        <f t="shared" si="63"/>
        <v>0.49</v>
      </c>
      <c r="X1100" s="152">
        <f t="shared" si="65"/>
        <v>3.4299999999999997E-2</v>
      </c>
      <c r="Y1100" s="152"/>
      <c r="Z1100" s="148"/>
      <c r="AA1100" s="153"/>
      <c r="AB1100" s="153"/>
      <c r="AC1100" s="153"/>
      <c r="AD1100" s="153"/>
      <c r="AH1100" s="147"/>
    </row>
    <row r="1101" spans="1:34" s="146" customFormat="1" x14ac:dyDescent="0.25">
      <c r="A1101" s="196">
        <v>2571</v>
      </c>
      <c r="B1101" s="196" t="s">
        <v>6111</v>
      </c>
      <c r="C1101" s="196" t="s">
        <v>6112</v>
      </c>
      <c r="D1101" s="196" t="s">
        <v>6113</v>
      </c>
      <c r="E1101" s="196"/>
      <c r="F1101" s="196"/>
      <c r="G1101" s="196"/>
      <c r="H1101" s="196" t="s">
        <v>1878</v>
      </c>
      <c r="I1101" s="141" t="s">
        <v>1879</v>
      </c>
      <c r="J1101" s="196"/>
      <c r="K1101" s="196" t="s">
        <v>1881</v>
      </c>
      <c r="L1101" s="141" t="s">
        <v>6114</v>
      </c>
      <c r="M1101" s="196">
        <v>128</v>
      </c>
      <c r="N1101" s="196"/>
      <c r="O1101" s="196" t="s">
        <v>5275</v>
      </c>
      <c r="P1101" s="144">
        <v>146</v>
      </c>
      <c r="Q1101" s="145">
        <f t="shared" si="64"/>
        <v>3.3653000000000004</v>
      </c>
      <c r="R1101" s="203">
        <v>1.79</v>
      </c>
      <c r="S1101" s="203"/>
      <c r="T1101" s="151"/>
      <c r="U1101" s="151">
        <v>1.2</v>
      </c>
      <c r="V1101" s="151">
        <v>0.25</v>
      </c>
      <c r="W1101" s="151">
        <f t="shared" si="63"/>
        <v>1.79</v>
      </c>
      <c r="X1101" s="152">
        <f t="shared" si="65"/>
        <v>0.12529999999999999</v>
      </c>
      <c r="Y1101" s="152"/>
      <c r="Z1101" s="148"/>
      <c r="AA1101" s="153"/>
      <c r="AB1101" s="153"/>
      <c r="AC1101" s="153"/>
      <c r="AD1101" s="153"/>
      <c r="AH1101" s="147"/>
    </row>
    <row r="1102" spans="1:34" s="146" customFormat="1" x14ac:dyDescent="0.25">
      <c r="A1102" s="196">
        <v>692</v>
      </c>
      <c r="B1102" s="196" t="s">
        <v>3637</v>
      </c>
      <c r="C1102" s="196" t="s">
        <v>6115</v>
      </c>
      <c r="D1102" s="196" t="s">
        <v>1993</v>
      </c>
      <c r="E1102" s="196"/>
      <c r="F1102" s="196">
        <v>2011</v>
      </c>
      <c r="G1102" s="196"/>
      <c r="H1102" s="196" t="s">
        <v>1878</v>
      </c>
      <c r="I1102" s="141" t="s">
        <v>1879</v>
      </c>
      <c r="J1102" s="196"/>
      <c r="K1102" s="196" t="s">
        <v>1881</v>
      </c>
      <c r="L1102" s="141"/>
      <c r="M1102" s="196">
        <v>448</v>
      </c>
      <c r="N1102" s="196"/>
      <c r="O1102" s="196" t="s">
        <v>5276</v>
      </c>
      <c r="P1102" s="144">
        <v>329</v>
      </c>
      <c r="Q1102" s="145">
        <f t="shared" si="64"/>
        <v>2.2953000000000001</v>
      </c>
      <c r="R1102" s="203">
        <v>0.79</v>
      </c>
      <c r="S1102" s="203"/>
      <c r="T1102" s="151"/>
      <c r="U1102" s="151">
        <v>1.2</v>
      </c>
      <c r="V1102" s="151">
        <v>0.25</v>
      </c>
      <c r="W1102" s="151">
        <f t="shared" si="63"/>
        <v>0.79</v>
      </c>
      <c r="X1102" s="152">
        <f t="shared" si="65"/>
        <v>5.5300000000000002E-2</v>
      </c>
      <c r="Y1102" s="152"/>
      <c r="Z1102" s="148"/>
      <c r="AA1102" s="153"/>
      <c r="AB1102" s="153"/>
      <c r="AC1102" s="153"/>
      <c r="AD1102" s="153"/>
      <c r="AH1102" s="147"/>
    </row>
    <row r="1103" spans="1:34" s="146" customFormat="1" x14ac:dyDescent="0.25">
      <c r="A1103" s="196">
        <v>1327</v>
      </c>
      <c r="B1103" s="196" t="s">
        <v>4505</v>
      </c>
      <c r="C1103" s="196" t="s">
        <v>6116</v>
      </c>
      <c r="D1103" s="196" t="s">
        <v>1912</v>
      </c>
      <c r="E1103" s="196" t="s">
        <v>1877</v>
      </c>
      <c r="F1103" s="196">
        <v>1984</v>
      </c>
      <c r="G1103" s="196"/>
      <c r="H1103" s="196" t="s">
        <v>1878</v>
      </c>
      <c r="I1103" s="141" t="s">
        <v>1914</v>
      </c>
      <c r="J1103" s="196"/>
      <c r="K1103" s="196" t="s">
        <v>1881</v>
      </c>
      <c r="L1103" s="141" t="s">
        <v>6117</v>
      </c>
      <c r="M1103" s="196">
        <v>512</v>
      </c>
      <c r="N1103" s="196"/>
      <c r="O1103" s="196" t="s">
        <v>5277</v>
      </c>
      <c r="P1103" s="144">
        <v>303</v>
      </c>
      <c r="Q1103" s="145">
        <f t="shared" si="64"/>
        <v>2.7232999999999996</v>
      </c>
      <c r="R1103" s="203">
        <v>1.19</v>
      </c>
      <c r="S1103" s="203"/>
      <c r="T1103" s="151"/>
      <c r="U1103" s="151">
        <v>1.2</v>
      </c>
      <c r="V1103" s="151">
        <v>0.25</v>
      </c>
      <c r="W1103" s="151">
        <f t="shared" si="63"/>
        <v>1.19</v>
      </c>
      <c r="X1103" s="152">
        <f t="shared" si="65"/>
        <v>8.3299999999999999E-2</v>
      </c>
      <c r="Y1103" s="152"/>
      <c r="Z1103" s="148"/>
      <c r="AA1103" s="153"/>
      <c r="AB1103" s="153"/>
      <c r="AC1103" s="153"/>
      <c r="AD1103" s="153"/>
      <c r="AH1103" s="147"/>
    </row>
    <row r="1104" spans="1:34" s="146" customFormat="1" x14ac:dyDescent="0.25">
      <c r="A1104" s="196">
        <v>1327</v>
      </c>
      <c r="B1104" s="196" t="s">
        <v>6118</v>
      </c>
      <c r="C1104" s="196" t="s">
        <v>6119</v>
      </c>
      <c r="D1104" s="196" t="s">
        <v>6120</v>
      </c>
      <c r="E1104" s="196"/>
      <c r="F1104" s="196"/>
      <c r="G1104" s="196"/>
      <c r="H1104" s="196" t="s">
        <v>2734</v>
      </c>
      <c r="I1104" s="141" t="s">
        <v>1914</v>
      </c>
      <c r="J1104" s="196"/>
      <c r="K1104" s="196" t="s">
        <v>1881</v>
      </c>
      <c r="L1104" s="141" t="s">
        <v>6121</v>
      </c>
      <c r="M1104" s="196">
        <v>290</v>
      </c>
      <c r="N1104" s="196"/>
      <c r="O1104" s="196" t="s">
        <v>5278</v>
      </c>
      <c r="P1104" s="144">
        <v>526</v>
      </c>
      <c r="Q1104" s="145">
        <f t="shared" si="64"/>
        <v>4.0792999999999999</v>
      </c>
      <c r="R1104" s="203">
        <v>1.99</v>
      </c>
      <c r="S1104" s="203"/>
      <c r="T1104" s="151"/>
      <c r="U1104" s="151">
        <v>1.7</v>
      </c>
      <c r="V1104" s="151">
        <v>0.25</v>
      </c>
      <c r="W1104" s="151">
        <f t="shared" si="63"/>
        <v>1.99</v>
      </c>
      <c r="X1104" s="152">
        <f t="shared" si="65"/>
        <v>0.13930000000000001</v>
      </c>
      <c r="Y1104" s="152"/>
      <c r="Z1104" s="148"/>
      <c r="AA1104" s="153"/>
      <c r="AB1104" s="153"/>
      <c r="AC1104" s="153"/>
      <c r="AD1104" s="153"/>
      <c r="AH1104" s="147"/>
    </row>
    <row r="1105" spans="1:34" s="146" customFormat="1" x14ac:dyDescent="0.25">
      <c r="A1105" s="196">
        <v>1327</v>
      </c>
      <c r="B1105" s="196" t="s">
        <v>6122</v>
      </c>
      <c r="C1105" s="196" t="s">
        <v>6123</v>
      </c>
      <c r="D1105" s="196" t="s">
        <v>1912</v>
      </c>
      <c r="E1105" s="196" t="s">
        <v>1913</v>
      </c>
      <c r="F1105" s="196">
        <v>1989</v>
      </c>
      <c r="G1105" s="196"/>
      <c r="H1105" s="196" t="s">
        <v>1878</v>
      </c>
      <c r="I1105" s="141" t="s">
        <v>1914</v>
      </c>
      <c r="J1105" s="196"/>
      <c r="K1105" s="196" t="s">
        <v>1881</v>
      </c>
      <c r="L1105" s="141" t="s">
        <v>6124</v>
      </c>
      <c r="M1105" s="196">
        <v>288</v>
      </c>
      <c r="N1105" s="196"/>
      <c r="O1105" s="196" t="s">
        <v>5279</v>
      </c>
      <c r="P1105" s="144">
        <v>221</v>
      </c>
      <c r="Q1105" s="145">
        <f t="shared" si="64"/>
        <v>2.6162999999999998</v>
      </c>
      <c r="R1105" s="203">
        <v>1.0900000000000001</v>
      </c>
      <c r="S1105" s="203"/>
      <c r="T1105" s="151"/>
      <c r="U1105" s="151">
        <v>1.2</v>
      </c>
      <c r="V1105" s="151">
        <v>0.25</v>
      </c>
      <c r="W1105" s="151">
        <f t="shared" si="63"/>
        <v>1.0900000000000001</v>
      </c>
      <c r="X1105" s="152">
        <f t="shared" si="65"/>
        <v>7.6300000000000007E-2</v>
      </c>
      <c r="Y1105" s="152"/>
      <c r="Z1105" s="148"/>
      <c r="AA1105" s="153"/>
      <c r="AB1105" s="153"/>
      <c r="AC1105" s="153"/>
      <c r="AD1105" s="153"/>
      <c r="AH1105" s="147"/>
    </row>
    <row r="1106" spans="1:34" s="146" customFormat="1" x14ac:dyDescent="0.25">
      <c r="A1106" s="196">
        <v>1327</v>
      </c>
      <c r="B1106" s="196" t="s">
        <v>6125</v>
      </c>
      <c r="C1106" s="196" t="s">
        <v>6126</v>
      </c>
      <c r="D1106" s="196" t="s">
        <v>6127</v>
      </c>
      <c r="E1106" s="196"/>
      <c r="F1106" s="196"/>
      <c r="G1106" s="196"/>
      <c r="H1106" s="196" t="s">
        <v>2734</v>
      </c>
      <c r="I1106" s="141" t="s">
        <v>1879</v>
      </c>
      <c r="J1106" s="196"/>
      <c r="K1106" s="196" t="s">
        <v>1881</v>
      </c>
      <c r="L1106" s="141"/>
      <c r="M1106" s="196">
        <v>114</v>
      </c>
      <c r="N1106" s="196"/>
      <c r="O1106" s="196" t="s">
        <v>5280</v>
      </c>
      <c r="P1106" s="144">
        <v>347</v>
      </c>
      <c r="Q1106" s="145">
        <f t="shared" si="64"/>
        <v>3.0442999999999998</v>
      </c>
      <c r="R1106" s="203">
        <v>1.49</v>
      </c>
      <c r="S1106" s="203"/>
      <c r="T1106" s="151"/>
      <c r="U1106" s="151">
        <v>1.2</v>
      </c>
      <c r="V1106" s="151">
        <v>0.25</v>
      </c>
      <c r="W1106" s="151">
        <f t="shared" si="63"/>
        <v>1.49</v>
      </c>
      <c r="X1106" s="152">
        <f t="shared" si="65"/>
        <v>0.1043</v>
      </c>
      <c r="Y1106" s="152"/>
      <c r="Z1106" s="148"/>
      <c r="AA1106" s="153"/>
      <c r="AB1106" s="153"/>
      <c r="AC1106" s="153"/>
      <c r="AD1106" s="153"/>
      <c r="AH1106" s="147"/>
    </row>
    <row r="1107" spans="1:34" s="146" customFormat="1" x14ac:dyDescent="0.25">
      <c r="A1107" s="196">
        <v>1327</v>
      </c>
      <c r="B1107" s="196" t="s">
        <v>6128</v>
      </c>
      <c r="C1107" s="196" t="s">
        <v>6129</v>
      </c>
      <c r="D1107" s="196" t="s">
        <v>3312</v>
      </c>
      <c r="E1107" s="196"/>
      <c r="F1107" s="196">
        <v>1997</v>
      </c>
      <c r="G1107" s="196"/>
      <c r="H1107" s="196" t="s">
        <v>2734</v>
      </c>
      <c r="I1107" s="141" t="s">
        <v>1879</v>
      </c>
      <c r="J1107" s="196"/>
      <c r="K1107" s="196" t="s">
        <v>1881</v>
      </c>
      <c r="L1107" s="141"/>
      <c r="M1107" s="196">
        <v>434</v>
      </c>
      <c r="N1107" s="196"/>
      <c r="O1107" s="196" t="s">
        <v>5281</v>
      </c>
      <c r="P1107" s="144">
        <v>511</v>
      </c>
      <c r="Q1107" s="145">
        <f t="shared" si="64"/>
        <v>2.7953000000000001</v>
      </c>
      <c r="R1107" s="203">
        <v>0.79</v>
      </c>
      <c r="S1107" s="203"/>
      <c r="T1107" s="151"/>
      <c r="U1107" s="151">
        <v>1.7</v>
      </c>
      <c r="V1107" s="151">
        <v>0.25</v>
      </c>
      <c r="W1107" s="151">
        <f t="shared" si="63"/>
        <v>0.79</v>
      </c>
      <c r="X1107" s="152">
        <f t="shared" si="65"/>
        <v>5.5300000000000002E-2</v>
      </c>
      <c r="Y1107" s="152"/>
      <c r="Z1107" s="148"/>
      <c r="AA1107" s="153"/>
      <c r="AB1107" s="153"/>
      <c r="AC1107" s="153"/>
      <c r="AD1107" s="153"/>
      <c r="AH1107" s="147"/>
    </row>
    <row r="1108" spans="1:34" s="146" customFormat="1" x14ac:dyDescent="0.25">
      <c r="A1108" s="196">
        <v>1395</v>
      </c>
      <c r="B1108" s="196" t="s">
        <v>6130</v>
      </c>
      <c r="C1108" s="196" t="s">
        <v>6131</v>
      </c>
      <c r="D1108" s="196" t="s">
        <v>6132</v>
      </c>
      <c r="E1108" s="196"/>
      <c r="F1108" s="196">
        <v>2013</v>
      </c>
      <c r="G1108" s="196"/>
      <c r="H1108" s="196" t="s">
        <v>2734</v>
      </c>
      <c r="I1108" s="141" t="s">
        <v>1929</v>
      </c>
      <c r="J1108" s="196"/>
      <c r="K1108" s="196" t="s">
        <v>1881</v>
      </c>
      <c r="L1108" s="141"/>
      <c r="M1108" s="196">
        <v>194</v>
      </c>
      <c r="N1108" s="196"/>
      <c r="O1108" s="196" t="s">
        <v>5282</v>
      </c>
      <c r="P1108" s="144">
        <v>350</v>
      </c>
      <c r="Q1108" s="145">
        <f t="shared" si="64"/>
        <v>3.5792999999999999</v>
      </c>
      <c r="R1108" s="203">
        <v>1.99</v>
      </c>
      <c r="S1108" s="203"/>
      <c r="T1108" s="151"/>
      <c r="U1108" s="151">
        <v>1.2</v>
      </c>
      <c r="V1108" s="151">
        <v>0.25</v>
      </c>
      <c r="W1108" s="151">
        <f t="shared" si="63"/>
        <v>1.99</v>
      </c>
      <c r="X1108" s="152">
        <f t="shared" si="65"/>
        <v>0.13930000000000001</v>
      </c>
      <c r="Y1108" s="152"/>
      <c r="Z1108" s="148"/>
      <c r="AA1108" s="153"/>
      <c r="AB1108" s="153"/>
      <c r="AC1108" s="153"/>
      <c r="AD1108" s="153"/>
      <c r="AH1108" s="147"/>
    </row>
    <row r="1109" spans="1:34" s="146" customFormat="1" x14ac:dyDescent="0.25">
      <c r="A1109" s="196">
        <v>2522</v>
      </c>
      <c r="B1109" s="196" t="s">
        <v>6133</v>
      </c>
      <c r="C1109" s="196" t="s">
        <v>6134</v>
      </c>
      <c r="D1109" s="196" t="s">
        <v>6135</v>
      </c>
      <c r="E1109" s="196"/>
      <c r="F1109" s="196">
        <v>2017</v>
      </c>
      <c r="G1109" s="196"/>
      <c r="H1109" s="196" t="s">
        <v>1878</v>
      </c>
      <c r="I1109" s="141" t="s">
        <v>1879</v>
      </c>
      <c r="J1109" s="196"/>
      <c r="K1109" s="196" t="s">
        <v>1881</v>
      </c>
      <c r="L1109" s="141" t="s">
        <v>6136</v>
      </c>
      <c r="M1109" s="196">
        <v>400</v>
      </c>
      <c r="N1109" s="196"/>
      <c r="O1109" s="196" t="s">
        <v>5283</v>
      </c>
      <c r="P1109" s="144">
        <v>572</v>
      </c>
      <c r="Q1109" s="145">
        <f t="shared" si="64"/>
        <v>3.8653000000000004</v>
      </c>
      <c r="R1109" s="203">
        <v>1.79</v>
      </c>
      <c r="S1109" s="203"/>
      <c r="T1109" s="151"/>
      <c r="U1109" s="151">
        <v>1.7</v>
      </c>
      <c r="V1109" s="151">
        <v>0.25</v>
      </c>
      <c r="W1109" s="151">
        <f t="shared" si="63"/>
        <v>1.79</v>
      </c>
      <c r="X1109" s="152">
        <f t="shared" si="65"/>
        <v>0.12529999999999999</v>
      </c>
      <c r="Y1109" s="152"/>
      <c r="Z1109" s="148"/>
      <c r="AA1109" s="153"/>
      <c r="AB1109" s="153"/>
      <c r="AC1109" s="153"/>
      <c r="AD1109" s="153"/>
      <c r="AH1109" s="147"/>
    </row>
    <row r="1110" spans="1:34" s="146" customFormat="1" x14ac:dyDescent="0.25">
      <c r="A1110" s="196">
        <v>796</v>
      </c>
      <c r="B1110" s="196" t="s">
        <v>6137</v>
      </c>
      <c r="C1110" s="196" t="s">
        <v>6138</v>
      </c>
      <c r="D1110" s="196" t="s">
        <v>2209</v>
      </c>
      <c r="E1110" s="196"/>
      <c r="F1110" s="196">
        <v>2010</v>
      </c>
      <c r="G1110" s="196"/>
      <c r="H1110" s="196" t="s">
        <v>1878</v>
      </c>
      <c r="I1110" s="141" t="s">
        <v>1879</v>
      </c>
      <c r="J1110" s="196"/>
      <c r="K1110" s="196" t="s">
        <v>1881</v>
      </c>
      <c r="L1110" s="141" t="s">
        <v>6139</v>
      </c>
      <c r="M1110" s="196">
        <v>400</v>
      </c>
      <c r="N1110" s="196"/>
      <c r="O1110" s="196" t="s">
        <v>5284</v>
      </c>
      <c r="P1110" s="144">
        <v>323</v>
      </c>
      <c r="Q1110" s="145">
        <f t="shared" si="64"/>
        <v>2.5093000000000001</v>
      </c>
      <c r="R1110" s="203">
        <v>0.99</v>
      </c>
      <c r="S1110" s="203"/>
      <c r="T1110" s="151"/>
      <c r="U1110" s="151">
        <v>1.2</v>
      </c>
      <c r="V1110" s="151">
        <v>0.25</v>
      </c>
      <c r="W1110" s="151">
        <f t="shared" si="63"/>
        <v>0.99</v>
      </c>
      <c r="X1110" s="152">
        <f t="shared" si="65"/>
        <v>6.93E-2</v>
      </c>
      <c r="Y1110" s="152"/>
      <c r="Z1110" s="148"/>
      <c r="AA1110" s="153"/>
      <c r="AB1110" s="153"/>
      <c r="AC1110" s="153"/>
      <c r="AD1110" s="153"/>
      <c r="AH1110" s="147"/>
    </row>
    <row r="1111" spans="1:34" s="146" customFormat="1" x14ac:dyDescent="0.25">
      <c r="A1111" s="196">
        <v>573</v>
      </c>
      <c r="B1111" s="196" t="s">
        <v>6140</v>
      </c>
      <c r="C1111" s="196" t="s">
        <v>6142</v>
      </c>
      <c r="D1111" s="196" t="s">
        <v>6141</v>
      </c>
      <c r="E1111" s="196"/>
      <c r="F1111" s="196">
        <v>1991</v>
      </c>
      <c r="G1111" s="196"/>
      <c r="H1111" s="196" t="s">
        <v>1878</v>
      </c>
      <c r="I1111" s="141" t="s">
        <v>1879</v>
      </c>
      <c r="J1111" s="196"/>
      <c r="K1111" s="196" t="s">
        <v>1881</v>
      </c>
      <c r="L1111" s="141" t="s">
        <v>6143</v>
      </c>
      <c r="M1111" s="196">
        <v>192</v>
      </c>
      <c r="N1111" s="196"/>
      <c r="O1111" s="196" t="s">
        <v>5285</v>
      </c>
      <c r="P1111" s="144">
        <v>288</v>
      </c>
      <c r="Q1111" s="145">
        <f t="shared" si="64"/>
        <v>7.8593000000000002</v>
      </c>
      <c r="R1111" s="203">
        <v>5.99</v>
      </c>
      <c r="S1111" s="203"/>
      <c r="T1111" s="151"/>
      <c r="U1111" s="151">
        <v>1.2</v>
      </c>
      <c r="V1111" s="151">
        <v>0.25</v>
      </c>
      <c r="W1111" s="151">
        <f t="shared" ref="W1111:W1150" si="66">IF(R1111&gt;T1111,R1111,T1111)</f>
        <v>5.99</v>
      </c>
      <c r="X1111" s="152">
        <f t="shared" si="65"/>
        <v>0.41930000000000001</v>
      </c>
      <c r="Y1111" s="152"/>
      <c r="Z1111" s="148"/>
      <c r="AA1111" s="153"/>
      <c r="AB1111" s="153"/>
      <c r="AC1111" s="153"/>
      <c r="AD1111" s="153"/>
      <c r="AH1111" s="147"/>
    </row>
    <row r="1112" spans="1:34" s="146" customFormat="1" x14ac:dyDescent="0.25">
      <c r="A1112" s="196">
        <v>573</v>
      </c>
      <c r="B1112" s="196" t="s">
        <v>6140</v>
      </c>
      <c r="C1112" s="196" t="s">
        <v>6144</v>
      </c>
      <c r="D1112" s="196" t="s">
        <v>6141</v>
      </c>
      <c r="E1112" s="196"/>
      <c r="F1112" s="196">
        <v>1996</v>
      </c>
      <c r="G1112" s="196"/>
      <c r="H1112" s="196" t="s">
        <v>1878</v>
      </c>
      <c r="I1112" s="141" t="s">
        <v>1879</v>
      </c>
      <c r="J1112" s="196"/>
      <c r="K1112" s="196" t="s">
        <v>1881</v>
      </c>
      <c r="L1112" s="141" t="s">
        <v>6145</v>
      </c>
      <c r="M1112" s="196">
        <v>224</v>
      </c>
      <c r="N1112" s="196"/>
      <c r="O1112" s="196" t="s">
        <v>5286</v>
      </c>
      <c r="P1112" s="144">
        <v>326</v>
      </c>
      <c r="Q1112" s="145">
        <f t="shared" si="64"/>
        <v>9.9992999999999999</v>
      </c>
      <c r="R1112" s="203">
        <v>7.99</v>
      </c>
      <c r="S1112" s="203"/>
      <c r="T1112" s="151"/>
      <c r="U1112" s="151">
        <v>1.2</v>
      </c>
      <c r="V1112" s="151">
        <v>0.25</v>
      </c>
      <c r="W1112" s="151">
        <f t="shared" si="66"/>
        <v>7.99</v>
      </c>
      <c r="X1112" s="152">
        <f t="shared" si="65"/>
        <v>0.55930000000000002</v>
      </c>
      <c r="Y1112" s="152"/>
      <c r="Z1112" s="148"/>
      <c r="AA1112" s="153"/>
      <c r="AB1112" s="153"/>
      <c r="AC1112" s="153"/>
      <c r="AD1112" s="153"/>
      <c r="AH1112" s="147"/>
    </row>
    <row r="1113" spans="1:34" s="146" customFormat="1" x14ac:dyDescent="0.25">
      <c r="A1113" s="196">
        <v>2522</v>
      </c>
      <c r="B1113" s="196" t="s">
        <v>6146</v>
      </c>
      <c r="C1113" s="196" t="s">
        <v>6180</v>
      </c>
      <c r="D1113" s="196" t="s">
        <v>1912</v>
      </c>
      <c r="E1113" s="196"/>
      <c r="F1113" s="196">
        <v>1995</v>
      </c>
      <c r="G1113" s="196"/>
      <c r="H1113" s="196" t="s">
        <v>1878</v>
      </c>
      <c r="I1113" s="141" t="s">
        <v>1879</v>
      </c>
      <c r="J1113" s="196"/>
      <c r="K1113" s="196" t="s">
        <v>1881</v>
      </c>
      <c r="L1113" s="141"/>
      <c r="M1113" s="196">
        <v>576</v>
      </c>
      <c r="N1113" s="196"/>
      <c r="O1113" s="196" t="s">
        <v>5287</v>
      </c>
      <c r="P1113" s="144">
        <v>416</v>
      </c>
      <c r="Q1113" s="145">
        <f t="shared" si="64"/>
        <v>2.5093000000000001</v>
      </c>
      <c r="R1113" s="203">
        <v>0.99</v>
      </c>
      <c r="S1113" s="203"/>
      <c r="T1113" s="151"/>
      <c r="U1113" s="151">
        <v>1.2</v>
      </c>
      <c r="V1113" s="151">
        <v>0.25</v>
      </c>
      <c r="W1113" s="151">
        <f t="shared" si="66"/>
        <v>0.99</v>
      </c>
      <c r="X1113" s="152">
        <f t="shared" si="65"/>
        <v>6.93E-2</v>
      </c>
      <c r="Y1113" s="152"/>
      <c r="Z1113" s="148"/>
      <c r="AA1113" s="153"/>
      <c r="AB1113" s="153"/>
      <c r="AC1113" s="153"/>
      <c r="AD1113" s="153"/>
      <c r="AH1113" s="147"/>
    </row>
    <row r="1114" spans="1:34" s="146" customFormat="1" x14ac:dyDescent="0.25">
      <c r="A1114" s="196">
        <v>765</v>
      </c>
      <c r="B1114" s="196" t="s">
        <v>6147</v>
      </c>
      <c r="C1114" s="196" t="s">
        <v>6148</v>
      </c>
      <c r="D1114" s="196" t="s">
        <v>2300</v>
      </c>
      <c r="E1114" s="196" t="s">
        <v>1913</v>
      </c>
      <c r="F1114" s="196">
        <v>1992</v>
      </c>
      <c r="G1114" s="196"/>
      <c r="H1114" s="196" t="s">
        <v>2734</v>
      </c>
      <c r="I1114" s="141" t="s">
        <v>1879</v>
      </c>
      <c r="J1114" s="196" t="s">
        <v>5945</v>
      </c>
      <c r="K1114" s="196" t="s">
        <v>1881</v>
      </c>
      <c r="L1114" s="141" t="s">
        <v>6149</v>
      </c>
      <c r="M1114" s="196">
        <v>418</v>
      </c>
      <c r="N1114" s="196"/>
      <c r="O1114" s="196" t="s">
        <v>5288</v>
      </c>
      <c r="P1114" s="144">
        <v>582</v>
      </c>
      <c r="Q1114" s="145">
        <f t="shared" si="64"/>
        <v>4.0792999999999999</v>
      </c>
      <c r="R1114" s="203">
        <v>1.99</v>
      </c>
      <c r="S1114" s="203"/>
      <c r="T1114" s="151"/>
      <c r="U1114" s="151">
        <v>1.7</v>
      </c>
      <c r="V1114" s="151">
        <v>0.25</v>
      </c>
      <c r="W1114" s="151">
        <f t="shared" si="66"/>
        <v>1.99</v>
      </c>
      <c r="X1114" s="152">
        <f t="shared" si="65"/>
        <v>0.13930000000000001</v>
      </c>
      <c r="Y1114" s="152"/>
      <c r="Z1114" s="148"/>
      <c r="AA1114" s="153"/>
      <c r="AB1114" s="153"/>
      <c r="AC1114" s="153"/>
      <c r="AD1114" s="153"/>
      <c r="AH1114" s="147"/>
    </row>
    <row r="1115" spans="1:34" s="146" customFormat="1" x14ac:dyDescent="0.25">
      <c r="A1115" s="196">
        <v>692</v>
      </c>
      <c r="B1115" s="196" t="s">
        <v>4031</v>
      </c>
      <c r="C1115" s="196" t="s">
        <v>6150</v>
      </c>
      <c r="D1115" s="196" t="s">
        <v>2609</v>
      </c>
      <c r="E1115" s="196"/>
      <c r="F1115" s="196">
        <v>1996</v>
      </c>
      <c r="G1115" s="196"/>
      <c r="H1115" s="196" t="s">
        <v>1878</v>
      </c>
      <c r="I1115" s="141" t="s">
        <v>1879</v>
      </c>
      <c r="J1115" s="196"/>
      <c r="K1115" s="196" t="s">
        <v>1881</v>
      </c>
      <c r="L1115" s="141" t="s">
        <v>6151</v>
      </c>
      <c r="M1115" s="196">
        <v>272</v>
      </c>
      <c r="N1115" s="196"/>
      <c r="O1115" s="196" t="s">
        <v>5289</v>
      </c>
      <c r="P1115" s="144">
        <v>228</v>
      </c>
      <c r="Q1115" s="145">
        <f t="shared" si="64"/>
        <v>1.9742999999999999</v>
      </c>
      <c r="R1115" s="203">
        <v>0.49</v>
      </c>
      <c r="S1115" s="203"/>
      <c r="T1115" s="151"/>
      <c r="U1115" s="151">
        <v>1.2</v>
      </c>
      <c r="V1115" s="151">
        <v>0.25</v>
      </c>
      <c r="W1115" s="151">
        <f t="shared" si="66"/>
        <v>0.49</v>
      </c>
      <c r="X1115" s="152">
        <f t="shared" si="65"/>
        <v>3.4299999999999997E-2</v>
      </c>
      <c r="Y1115" s="152"/>
      <c r="Z1115" s="148"/>
      <c r="AA1115" s="153"/>
      <c r="AB1115" s="153"/>
      <c r="AC1115" s="153"/>
      <c r="AD1115" s="153"/>
      <c r="AH1115" s="147"/>
    </row>
    <row r="1116" spans="1:34" s="146" customFormat="1" x14ac:dyDescent="0.25">
      <c r="A1116" s="196">
        <v>1327</v>
      </c>
      <c r="B1116" s="196" t="s">
        <v>6152</v>
      </c>
      <c r="C1116" s="196" t="s">
        <v>6153</v>
      </c>
      <c r="D1116" s="196" t="s">
        <v>2419</v>
      </c>
      <c r="E1116" s="196" t="s">
        <v>1877</v>
      </c>
      <c r="F1116" s="196">
        <v>1996</v>
      </c>
      <c r="G1116" s="196"/>
      <c r="H1116" s="196" t="s">
        <v>1878</v>
      </c>
      <c r="I1116" s="141" t="s">
        <v>1914</v>
      </c>
      <c r="J1116" s="196"/>
      <c r="K1116" s="196" t="s">
        <v>1881</v>
      </c>
      <c r="L1116" s="141" t="s">
        <v>6154</v>
      </c>
      <c r="M1116" s="196">
        <v>264</v>
      </c>
      <c r="N1116" s="196"/>
      <c r="O1116" s="196" t="s">
        <v>5290</v>
      </c>
      <c r="P1116" s="144">
        <v>176</v>
      </c>
      <c r="Q1116" s="145">
        <f t="shared" si="64"/>
        <v>2.5093000000000001</v>
      </c>
      <c r="R1116" s="203">
        <v>0.99</v>
      </c>
      <c r="S1116" s="203"/>
      <c r="T1116" s="151"/>
      <c r="U1116" s="151">
        <v>1.2</v>
      </c>
      <c r="V1116" s="151">
        <v>0.25</v>
      </c>
      <c r="W1116" s="151">
        <f t="shared" si="66"/>
        <v>0.99</v>
      </c>
      <c r="X1116" s="152">
        <f t="shared" si="65"/>
        <v>6.93E-2</v>
      </c>
      <c r="Y1116" s="152"/>
      <c r="Z1116" s="148"/>
      <c r="AA1116" s="153"/>
      <c r="AB1116" s="153"/>
      <c r="AC1116" s="153"/>
      <c r="AD1116" s="153"/>
      <c r="AH1116" s="147"/>
    </row>
    <row r="1117" spans="1:34" s="146" customFormat="1" x14ac:dyDescent="0.25">
      <c r="A1117" s="196">
        <v>632</v>
      </c>
      <c r="B1117" s="196" t="s">
        <v>6155</v>
      </c>
      <c r="C1117" s="196" t="s">
        <v>6156</v>
      </c>
      <c r="D1117" s="196" t="s">
        <v>2644</v>
      </c>
      <c r="E1117" s="196"/>
      <c r="F1117" s="196">
        <v>2005</v>
      </c>
      <c r="G1117" s="196"/>
      <c r="H1117" s="196" t="s">
        <v>1878</v>
      </c>
      <c r="I1117" s="141" t="s">
        <v>1914</v>
      </c>
      <c r="J1117" s="196"/>
      <c r="K1117" s="196" t="s">
        <v>1881</v>
      </c>
      <c r="L1117" s="141" t="s">
        <v>6157</v>
      </c>
      <c r="M1117" s="196">
        <v>688</v>
      </c>
      <c r="N1117" s="196"/>
      <c r="O1117" s="196" t="s">
        <v>5291</v>
      </c>
      <c r="P1117" s="144">
        <v>478</v>
      </c>
      <c r="Q1117" s="145">
        <f t="shared" si="64"/>
        <v>3.3653000000000004</v>
      </c>
      <c r="R1117" s="203">
        <v>1.79</v>
      </c>
      <c r="S1117" s="203"/>
      <c r="T1117" s="151"/>
      <c r="U1117" s="151">
        <v>1.2</v>
      </c>
      <c r="V1117" s="151">
        <v>0.25</v>
      </c>
      <c r="W1117" s="151">
        <f t="shared" si="66"/>
        <v>1.79</v>
      </c>
      <c r="X1117" s="152">
        <f t="shared" si="65"/>
        <v>0.12529999999999999</v>
      </c>
      <c r="Y1117" s="152"/>
      <c r="Z1117" s="148"/>
      <c r="AA1117" s="153"/>
      <c r="AB1117" s="153"/>
      <c r="AC1117" s="153"/>
      <c r="AD1117" s="153"/>
      <c r="AH1117" s="147"/>
    </row>
    <row r="1118" spans="1:34" s="146" customFormat="1" x14ac:dyDescent="0.25">
      <c r="A1118" s="196">
        <v>1327</v>
      </c>
      <c r="B1118" s="196" t="s">
        <v>6158</v>
      </c>
      <c r="C1118" s="196" t="s">
        <v>6159</v>
      </c>
      <c r="D1118" s="196" t="s">
        <v>1912</v>
      </c>
      <c r="E1118" s="196" t="s">
        <v>1913</v>
      </c>
      <c r="F1118" s="196">
        <v>2003</v>
      </c>
      <c r="G1118" s="196"/>
      <c r="H1118" s="196" t="s">
        <v>1878</v>
      </c>
      <c r="I1118" s="141" t="s">
        <v>1879</v>
      </c>
      <c r="J1118" s="143" t="s">
        <v>3854</v>
      </c>
      <c r="K1118" s="196" t="s">
        <v>1881</v>
      </c>
      <c r="L1118" s="141" t="s">
        <v>6160</v>
      </c>
      <c r="M1118" s="196">
        <v>320</v>
      </c>
      <c r="N1118" s="196"/>
      <c r="O1118" s="196" t="s">
        <v>5292</v>
      </c>
      <c r="P1118" s="144">
        <v>287</v>
      </c>
      <c r="Q1118" s="145">
        <f t="shared" si="64"/>
        <v>2.5093000000000001</v>
      </c>
      <c r="R1118" s="203">
        <v>0.99</v>
      </c>
      <c r="S1118" s="203"/>
      <c r="T1118" s="151"/>
      <c r="U1118" s="151">
        <v>1.2</v>
      </c>
      <c r="V1118" s="151">
        <v>0.25</v>
      </c>
      <c r="W1118" s="151">
        <f t="shared" si="66"/>
        <v>0.99</v>
      </c>
      <c r="X1118" s="152">
        <f t="shared" si="65"/>
        <v>6.93E-2</v>
      </c>
      <c r="Y1118" s="152"/>
      <c r="Z1118" s="148"/>
      <c r="AA1118" s="153"/>
      <c r="AB1118" s="153"/>
      <c r="AC1118" s="153"/>
      <c r="AD1118" s="153"/>
      <c r="AH1118" s="147"/>
    </row>
    <row r="1119" spans="1:34" s="146" customFormat="1" x14ac:dyDescent="0.25">
      <c r="A1119" s="196">
        <v>704</v>
      </c>
      <c r="B1119" s="196" t="s">
        <v>6164</v>
      </c>
      <c r="C1119" s="196" t="s">
        <v>6165</v>
      </c>
      <c r="D1119" s="196" t="s">
        <v>2300</v>
      </c>
      <c r="E1119" s="196" t="s">
        <v>1913</v>
      </c>
      <c r="F1119" s="196">
        <v>1988</v>
      </c>
      <c r="G1119" s="196"/>
      <c r="H1119" s="196" t="s">
        <v>1878</v>
      </c>
      <c r="I1119" s="141" t="s">
        <v>1879</v>
      </c>
      <c r="J1119" s="196"/>
      <c r="K1119" s="196" t="s">
        <v>1881</v>
      </c>
      <c r="L1119" s="141" t="s">
        <v>6166</v>
      </c>
      <c r="M1119" s="196">
        <v>224</v>
      </c>
      <c r="N1119" s="196"/>
      <c r="O1119" s="196" t="s">
        <v>5294</v>
      </c>
      <c r="P1119" s="144">
        <v>297</v>
      </c>
      <c r="Q1119" s="145">
        <f t="shared" si="64"/>
        <v>2.7232999999999996</v>
      </c>
      <c r="R1119" s="203">
        <v>1.19</v>
      </c>
      <c r="S1119" s="203"/>
      <c r="T1119" s="151"/>
      <c r="U1119" s="151">
        <v>1.2</v>
      </c>
      <c r="V1119" s="151">
        <v>0.25</v>
      </c>
      <c r="W1119" s="151">
        <f t="shared" si="66"/>
        <v>1.19</v>
      </c>
      <c r="X1119" s="152">
        <f t="shared" si="65"/>
        <v>8.3299999999999999E-2</v>
      </c>
      <c r="Y1119" s="152"/>
      <c r="Z1119" s="148"/>
      <c r="AA1119" s="153"/>
      <c r="AB1119" s="153"/>
      <c r="AC1119" s="153"/>
      <c r="AD1119" s="153"/>
      <c r="AH1119" s="147"/>
    </row>
    <row r="1120" spans="1:34" s="146" customFormat="1" x14ac:dyDescent="0.25">
      <c r="A1120" s="196">
        <v>1327</v>
      </c>
      <c r="B1120" s="196" t="s">
        <v>6167</v>
      </c>
      <c r="C1120" s="196" t="s">
        <v>6168</v>
      </c>
      <c r="D1120" s="196" t="s">
        <v>2644</v>
      </c>
      <c r="E1120" s="196"/>
      <c r="F1120" s="196">
        <v>1991</v>
      </c>
      <c r="G1120" s="196"/>
      <c r="H1120" s="196" t="s">
        <v>2734</v>
      </c>
      <c r="I1120" s="141" t="s">
        <v>1879</v>
      </c>
      <c r="J1120" s="196"/>
      <c r="K1120" s="196" t="s">
        <v>1881</v>
      </c>
      <c r="L1120" s="141" t="s">
        <v>6169</v>
      </c>
      <c r="M1120" s="196">
        <v>134</v>
      </c>
      <c r="N1120" s="196"/>
      <c r="O1120" s="196" t="s">
        <v>5295</v>
      </c>
      <c r="P1120" s="144">
        <v>272</v>
      </c>
      <c r="Q1120" s="145">
        <f t="shared" si="64"/>
        <v>2.5093000000000001</v>
      </c>
      <c r="R1120" s="203">
        <v>0.99</v>
      </c>
      <c r="S1120" s="203"/>
      <c r="T1120" s="151"/>
      <c r="U1120" s="151">
        <v>1.2</v>
      </c>
      <c r="V1120" s="151">
        <v>0.25</v>
      </c>
      <c r="W1120" s="151">
        <f t="shared" si="66"/>
        <v>0.99</v>
      </c>
      <c r="X1120" s="152">
        <f t="shared" si="65"/>
        <v>6.93E-2</v>
      </c>
      <c r="Y1120" s="152"/>
      <c r="Z1120" s="148"/>
      <c r="AA1120" s="153"/>
      <c r="AB1120" s="153"/>
      <c r="AC1120" s="153"/>
      <c r="AD1120" s="153"/>
      <c r="AH1120" s="147"/>
    </row>
    <row r="1121" spans="1:34" s="146" customFormat="1" x14ac:dyDescent="0.25">
      <c r="A1121" s="196"/>
      <c r="B1121" s="196" t="s">
        <v>6171</v>
      </c>
      <c r="C1121" s="196" t="s">
        <v>6172</v>
      </c>
      <c r="D1121" s="196" t="s">
        <v>6173</v>
      </c>
      <c r="E1121" s="196"/>
      <c r="F1121" s="196">
        <v>1986</v>
      </c>
      <c r="G1121" s="196"/>
      <c r="H1121" s="196" t="s">
        <v>2734</v>
      </c>
      <c r="I1121" s="141" t="s">
        <v>1914</v>
      </c>
      <c r="J1121" s="196"/>
      <c r="K1121" s="196" t="s">
        <v>1881</v>
      </c>
      <c r="L1121" s="141" t="s">
        <v>6170</v>
      </c>
      <c r="M1121" s="196">
        <v>162</v>
      </c>
      <c r="N1121" s="196"/>
      <c r="O1121" s="196" t="s">
        <v>5296</v>
      </c>
      <c r="P1121" s="144">
        <v>251</v>
      </c>
      <c r="Q1121" s="145">
        <f t="shared" si="64"/>
        <v>2.9373</v>
      </c>
      <c r="R1121" s="203">
        <v>1.39</v>
      </c>
      <c r="S1121" s="203"/>
      <c r="T1121" s="151"/>
      <c r="U1121" s="151">
        <v>1.2</v>
      </c>
      <c r="V1121" s="151">
        <v>0.25</v>
      </c>
      <c r="W1121" s="151">
        <f t="shared" si="66"/>
        <v>1.39</v>
      </c>
      <c r="X1121" s="152">
        <f t="shared" si="65"/>
        <v>9.7299999999999998E-2</v>
      </c>
      <c r="Y1121" s="152"/>
      <c r="Z1121" s="148"/>
      <c r="AA1121" s="153"/>
      <c r="AB1121" s="153"/>
      <c r="AC1121" s="153"/>
      <c r="AD1121" s="153"/>
      <c r="AH1121" s="147"/>
    </row>
    <row r="1122" spans="1:34" s="146" customFormat="1" x14ac:dyDescent="0.25">
      <c r="A1122" s="196">
        <v>2898</v>
      </c>
      <c r="B1122" s="196" t="s">
        <v>6174</v>
      </c>
      <c r="C1122" s="196" t="s">
        <v>6175</v>
      </c>
      <c r="D1122" s="196" t="s">
        <v>6176</v>
      </c>
      <c r="E1122" s="196"/>
      <c r="F1122" s="196">
        <v>1977</v>
      </c>
      <c r="G1122" s="196"/>
      <c r="H1122" s="196" t="s">
        <v>2734</v>
      </c>
      <c r="I1122" s="141" t="s">
        <v>1914</v>
      </c>
      <c r="J1122" s="196"/>
      <c r="K1122" s="196" t="s">
        <v>1881</v>
      </c>
      <c r="L1122" s="141" t="s">
        <v>6177</v>
      </c>
      <c r="M1122" s="196">
        <v>82</v>
      </c>
      <c r="N1122" s="196"/>
      <c r="O1122" s="196" t="s">
        <v>5297</v>
      </c>
      <c r="P1122" s="144">
        <v>99</v>
      </c>
      <c r="Q1122" s="145">
        <f t="shared" si="64"/>
        <v>2.5093000000000001</v>
      </c>
      <c r="R1122" s="203">
        <v>0.99</v>
      </c>
      <c r="S1122" s="203"/>
      <c r="T1122" s="151"/>
      <c r="U1122" s="151">
        <v>1.2</v>
      </c>
      <c r="V1122" s="151">
        <v>0.25</v>
      </c>
      <c r="W1122" s="151">
        <f t="shared" si="66"/>
        <v>0.99</v>
      </c>
      <c r="X1122" s="152">
        <f t="shared" si="65"/>
        <v>6.93E-2</v>
      </c>
      <c r="Y1122" s="152"/>
      <c r="Z1122" s="148"/>
      <c r="AA1122" s="153"/>
      <c r="AB1122" s="153"/>
      <c r="AC1122" s="153"/>
      <c r="AD1122" s="153"/>
      <c r="AH1122" s="147"/>
    </row>
    <row r="1123" spans="1:34" s="146" customFormat="1" x14ac:dyDescent="0.25">
      <c r="A1123" s="196">
        <v>2522</v>
      </c>
      <c r="B1123" s="196" t="s">
        <v>2191</v>
      </c>
      <c r="C1123" s="196" t="s">
        <v>6181</v>
      </c>
      <c r="D1123" s="196" t="s">
        <v>1912</v>
      </c>
      <c r="E1123" s="196" t="s">
        <v>2335</v>
      </c>
      <c r="F1123" s="196">
        <v>2000</v>
      </c>
      <c r="G1123" s="196"/>
      <c r="H1123" s="196" t="s">
        <v>1878</v>
      </c>
      <c r="I1123" s="141" t="s">
        <v>1879</v>
      </c>
      <c r="J1123" s="196"/>
      <c r="K1123" s="196" t="s">
        <v>1881</v>
      </c>
      <c r="L1123" s="141" t="s">
        <v>6182</v>
      </c>
      <c r="M1123" s="196">
        <v>416</v>
      </c>
      <c r="N1123" s="196"/>
      <c r="O1123" s="196" t="s">
        <v>5298</v>
      </c>
      <c r="P1123" s="144">
        <v>276</v>
      </c>
      <c r="Q1123" s="145">
        <f t="shared" si="64"/>
        <v>2.5093000000000001</v>
      </c>
      <c r="R1123" s="203">
        <v>0.99</v>
      </c>
      <c r="S1123" s="203"/>
      <c r="T1123" s="151"/>
      <c r="U1123" s="151">
        <v>1.2</v>
      </c>
      <c r="V1123" s="151">
        <v>0.25</v>
      </c>
      <c r="W1123" s="151">
        <f t="shared" si="66"/>
        <v>0.99</v>
      </c>
      <c r="X1123" s="152">
        <f t="shared" si="65"/>
        <v>6.93E-2</v>
      </c>
      <c r="Y1123" s="152"/>
      <c r="AA1123" s="153"/>
      <c r="AB1123" s="153"/>
      <c r="AC1123" s="153"/>
      <c r="AD1123" s="153"/>
      <c r="AH1123" s="147"/>
    </row>
    <row r="1124" spans="1:34" s="146" customFormat="1" x14ac:dyDescent="0.25">
      <c r="A1124" s="196">
        <v>1396</v>
      </c>
      <c r="B1124" s="196" t="s">
        <v>6183</v>
      </c>
      <c r="C1124" s="196" t="s">
        <v>6184</v>
      </c>
      <c r="D1124" s="196" t="s">
        <v>2257</v>
      </c>
      <c r="E1124" s="196"/>
      <c r="F1124" s="196">
        <v>2003</v>
      </c>
      <c r="G1124" s="196"/>
      <c r="H1124" s="196" t="s">
        <v>1878</v>
      </c>
      <c r="I1124" s="141" t="s">
        <v>1879</v>
      </c>
      <c r="J1124" s="196"/>
      <c r="K1124" s="196" t="s">
        <v>1881</v>
      </c>
      <c r="L1124" s="141" t="s">
        <v>6185</v>
      </c>
      <c r="M1124" s="196">
        <v>448</v>
      </c>
      <c r="N1124" s="196"/>
      <c r="O1124" s="196" t="s">
        <v>5299</v>
      </c>
      <c r="P1124" s="144">
        <v>246</v>
      </c>
      <c r="Q1124" s="145">
        <f t="shared" si="64"/>
        <v>2.5093000000000001</v>
      </c>
      <c r="R1124" s="203">
        <v>0.99</v>
      </c>
      <c r="S1124" s="203"/>
      <c r="T1124" s="151"/>
      <c r="U1124" s="151">
        <v>1.2</v>
      </c>
      <c r="V1124" s="151">
        <v>0.25</v>
      </c>
      <c r="W1124" s="151">
        <f t="shared" si="66"/>
        <v>0.99</v>
      </c>
      <c r="X1124" s="152">
        <f t="shared" si="65"/>
        <v>6.93E-2</v>
      </c>
      <c r="Y1124" s="152"/>
      <c r="AA1124" s="153"/>
      <c r="AB1124" s="153"/>
      <c r="AC1124" s="153"/>
      <c r="AD1124" s="153"/>
      <c r="AH1124" s="147"/>
    </row>
    <row r="1125" spans="1:34" s="146" customFormat="1" x14ac:dyDescent="0.25">
      <c r="A1125" s="196">
        <v>796</v>
      </c>
      <c r="B1125" s="196" t="s">
        <v>6186</v>
      </c>
      <c r="C1125" s="196" t="s">
        <v>6187</v>
      </c>
      <c r="D1125" s="196" t="s">
        <v>2300</v>
      </c>
      <c r="E1125" s="196"/>
      <c r="F1125" s="196">
        <v>2006</v>
      </c>
      <c r="G1125" s="196"/>
      <c r="H1125" s="196" t="s">
        <v>1878</v>
      </c>
      <c r="I1125" s="141" t="s">
        <v>1879</v>
      </c>
      <c r="J1125" s="196"/>
      <c r="K1125" s="196" t="s">
        <v>1881</v>
      </c>
      <c r="L1125" s="141" t="s">
        <v>6188</v>
      </c>
      <c r="M1125" s="196">
        <v>224</v>
      </c>
      <c r="N1125" s="196"/>
      <c r="O1125" s="196" t="s">
        <v>5300</v>
      </c>
      <c r="P1125" s="144">
        <v>210</v>
      </c>
      <c r="Q1125" s="145">
        <f t="shared" si="64"/>
        <v>2.5093000000000001</v>
      </c>
      <c r="R1125" s="203">
        <v>0.99</v>
      </c>
      <c r="S1125" s="203"/>
      <c r="T1125" s="151"/>
      <c r="U1125" s="151">
        <v>1.2</v>
      </c>
      <c r="V1125" s="151">
        <v>0.25</v>
      </c>
      <c r="W1125" s="151">
        <f t="shared" si="66"/>
        <v>0.99</v>
      </c>
      <c r="X1125" s="152">
        <f t="shared" si="65"/>
        <v>6.93E-2</v>
      </c>
      <c r="Y1125" s="152"/>
      <c r="AA1125" s="153"/>
      <c r="AB1125" s="153"/>
      <c r="AC1125" s="153"/>
      <c r="AD1125" s="153"/>
      <c r="AH1125" s="147"/>
    </row>
    <row r="1126" spans="1:34" s="146" customFormat="1" x14ac:dyDescent="0.25">
      <c r="A1126" s="196">
        <v>1244</v>
      </c>
      <c r="B1126" s="196"/>
      <c r="C1126" s="196" t="s">
        <v>6189</v>
      </c>
      <c r="D1126" s="196" t="s">
        <v>6190</v>
      </c>
      <c r="E1126" s="196"/>
      <c r="F1126" s="196"/>
      <c r="G1126" s="196"/>
      <c r="H1126" s="196" t="s">
        <v>1878</v>
      </c>
      <c r="I1126" s="141" t="s">
        <v>1929</v>
      </c>
      <c r="J1126" s="196"/>
      <c r="K1126" s="196" t="s">
        <v>6191</v>
      </c>
      <c r="L1126" s="141" t="s">
        <v>6192</v>
      </c>
      <c r="M1126" s="196"/>
      <c r="N1126" s="196"/>
      <c r="O1126" s="196" t="s">
        <v>5301</v>
      </c>
      <c r="P1126" s="144">
        <v>234</v>
      </c>
      <c r="Q1126" s="145">
        <f t="shared" si="64"/>
        <v>4.6493000000000002</v>
      </c>
      <c r="R1126" s="203">
        <v>2.99</v>
      </c>
      <c r="S1126" s="203"/>
      <c r="T1126" s="151"/>
      <c r="U1126" s="151">
        <v>1.2</v>
      </c>
      <c r="V1126" s="151">
        <v>0.25</v>
      </c>
      <c r="W1126" s="151">
        <f t="shared" si="66"/>
        <v>2.99</v>
      </c>
      <c r="X1126" s="152">
        <f t="shared" si="65"/>
        <v>0.20930000000000001</v>
      </c>
      <c r="Y1126" s="152"/>
      <c r="AA1126" s="153"/>
      <c r="AB1126" s="153"/>
      <c r="AC1126" s="153"/>
      <c r="AD1126" s="153"/>
      <c r="AH1126" s="147"/>
    </row>
    <row r="1127" spans="1:34" s="146" customFormat="1" x14ac:dyDescent="0.25">
      <c r="A1127" s="196">
        <v>632</v>
      </c>
      <c r="B1127" s="196" t="s">
        <v>6193</v>
      </c>
      <c r="C1127" s="196" t="s">
        <v>6194</v>
      </c>
      <c r="D1127" s="196" t="s">
        <v>2054</v>
      </c>
      <c r="E1127" s="196"/>
      <c r="F1127" s="196">
        <v>2007</v>
      </c>
      <c r="G1127" s="196"/>
      <c r="H1127" s="196" t="s">
        <v>1878</v>
      </c>
      <c r="I1127" s="141" t="s">
        <v>1914</v>
      </c>
      <c r="J1127" s="196"/>
      <c r="K1127" s="196" t="s">
        <v>1881</v>
      </c>
      <c r="L1127" s="141" t="s">
        <v>6195</v>
      </c>
      <c r="M1127" s="196">
        <v>576</v>
      </c>
      <c r="N1127" s="196"/>
      <c r="O1127" s="196" t="s">
        <v>5302</v>
      </c>
      <c r="P1127" s="144">
        <v>425</v>
      </c>
      <c r="Q1127" s="145">
        <f t="shared" si="64"/>
        <v>2.5093000000000001</v>
      </c>
      <c r="R1127" s="203">
        <v>0.99</v>
      </c>
      <c r="S1127" s="203"/>
      <c r="T1127" s="151"/>
      <c r="U1127" s="151">
        <v>1.2</v>
      </c>
      <c r="V1127" s="151">
        <v>0.25</v>
      </c>
      <c r="W1127" s="151">
        <f t="shared" si="66"/>
        <v>0.99</v>
      </c>
      <c r="X1127" s="152">
        <f t="shared" si="65"/>
        <v>6.93E-2</v>
      </c>
      <c r="Y1127" s="152"/>
      <c r="AA1127" s="153"/>
      <c r="AB1127" s="153"/>
      <c r="AC1127" s="153"/>
      <c r="AD1127" s="153"/>
      <c r="AH1127" s="147"/>
    </row>
    <row r="1128" spans="1:34" s="146" customFormat="1" x14ac:dyDescent="0.25">
      <c r="A1128" s="196">
        <v>2649</v>
      </c>
      <c r="B1128" s="196" t="s">
        <v>6196</v>
      </c>
      <c r="C1128" s="196" t="s">
        <v>6197</v>
      </c>
      <c r="D1128" s="196" t="s">
        <v>2103</v>
      </c>
      <c r="E1128" s="196"/>
      <c r="F1128" s="196">
        <v>2012</v>
      </c>
      <c r="G1128" s="196"/>
      <c r="H1128" s="196" t="s">
        <v>1878</v>
      </c>
      <c r="I1128" s="141" t="s">
        <v>1914</v>
      </c>
      <c r="J1128" s="196"/>
      <c r="K1128" s="196" t="s">
        <v>1881</v>
      </c>
      <c r="L1128" s="141" t="s">
        <v>6198</v>
      </c>
      <c r="M1128" s="196">
        <v>258</v>
      </c>
      <c r="N1128" s="196"/>
      <c r="O1128" s="196" t="s">
        <v>5303</v>
      </c>
      <c r="P1128" s="144">
        <v>160</v>
      </c>
      <c r="Q1128" s="145">
        <f t="shared" si="64"/>
        <v>2.7232999999999996</v>
      </c>
      <c r="R1128" s="203">
        <v>1.19</v>
      </c>
      <c r="S1128" s="203"/>
      <c r="T1128" s="151"/>
      <c r="U1128" s="151">
        <v>1.2</v>
      </c>
      <c r="V1128" s="151">
        <v>0.25</v>
      </c>
      <c r="W1128" s="151">
        <f t="shared" si="66"/>
        <v>1.19</v>
      </c>
      <c r="X1128" s="152">
        <f t="shared" si="65"/>
        <v>8.3299999999999999E-2</v>
      </c>
      <c r="Y1128" s="152"/>
      <c r="AA1128" s="153"/>
      <c r="AB1128" s="153"/>
      <c r="AC1128" s="153"/>
      <c r="AD1128" s="153"/>
      <c r="AH1128" s="147"/>
    </row>
    <row r="1129" spans="1:34" s="146" customFormat="1" x14ac:dyDescent="0.25">
      <c r="A1129" s="196">
        <v>765</v>
      </c>
      <c r="B1129" s="196" t="s">
        <v>4797</v>
      </c>
      <c r="C1129" s="196" t="s">
        <v>6199</v>
      </c>
      <c r="D1129" s="196" t="s">
        <v>1876</v>
      </c>
      <c r="E1129" s="196" t="s">
        <v>3053</v>
      </c>
      <c r="F1129" s="196">
        <v>2002</v>
      </c>
      <c r="G1129" s="196"/>
      <c r="H1129" s="196" t="s">
        <v>1878</v>
      </c>
      <c r="I1129" s="141" t="s">
        <v>1879</v>
      </c>
      <c r="J1129" s="196"/>
      <c r="K1129" s="196" t="s">
        <v>1881</v>
      </c>
      <c r="L1129" s="141" t="s">
        <v>6200</v>
      </c>
      <c r="M1129" s="196">
        <v>96</v>
      </c>
      <c r="N1129" s="196"/>
      <c r="O1129" s="196" t="s">
        <v>5304</v>
      </c>
      <c r="P1129" s="144">
        <v>175</v>
      </c>
      <c r="Q1129" s="145">
        <f t="shared" si="64"/>
        <v>2.5093000000000001</v>
      </c>
      <c r="R1129" s="203">
        <v>0.99</v>
      </c>
      <c r="S1129" s="203"/>
      <c r="T1129" s="151"/>
      <c r="U1129" s="151">
        <v>1.2</v>
      </c>
      <c r="V1129" s="151">
        <v>0.25</v>
      </c>
      <c r="W1129" s="151">
        <f t="shared" si="66"/>
        <v>0.99</v>
      </c>
      <c r="X1129" s="152">
        <f t="shared" si="65"/>
        <v>6.93E-2</v>
      </c>
      <c r="Y1129" s="152"/>
      <c r="AA1129" s="153"/>
      <c r="AB1129" s="153"/>
      <c r="AC1129" s="153"/>
      <c r="AD1129" s="153"/>
      <c r="AH1129" s="147"/>
    </row>
    <row r="1130" spans="1:34" s="146" customFormat="1" x14ac:dyDescent="0.25">
      <c r="A1130" s="196">
        <v>1395</v>
      </c>
      <c r="B1130" s="196" t="s">
        <v>6201</v>
      </c>
      <c r="C1130" s="196" t="s">
        <v>6202</v>
      </c>
      <c r="D1130" s="196" t="s">
        <v>2209</v>
      </c>
      <c r="E1130" s="196"/>
      <c r="F1130" s="196">
        <v>2005</v>
      </c>
      <c r="G1130" s="196"/>
      <c r="H1130" s="196" t="s">
        <v>1878</v>
      </c>
      <c r="I1130" s="141" t="s">
        <v>1879</v>
      </c>
      <c r="J1130" s="143" t="s">
        <v>3854</v>
      </c>
      <c r="K1130" s="196" t="s">
        <v>1881</v>
      </c>
      <c r="L1130" s="141" t="s">
        <v>6203</v>
      </c>
      <c r="M1130" s="196">
        <v>416</v>
      </c>
      <c r="N1130" s="196"/>
      <c r="O1130" s="196" t="s">
        <v>5305</v>
      </c>
      <c r="P1130" s="144">
        <v>340</v>
      </c>
      <c r="Q1130" s="145">
        <f t="shared" si="64"/>
        <v>2.5093000000000001</v>
      </c>
      <c r="R1130" s="203">
        <v>0.99</v>
      </c>
      <c r="S1130" s="203"/>
      <c r="T1130" s="151"/>
      <c r="U1130" s="151">
        <v>1.2</v>
      </c>
      <c r="V1130" s="151">
        <v>0.25</v>
      </c>
      <c r="W1130" s="151">
        <f t="shared" si="66"/>
        <v>0.99</v>
      </c>
      <c r="X1130" s="152">
        <f t="shared" si="65"/>
        <v>6.93E-2</v>
      </c>
      <c r="Y1130" s="152"/>
      <c r="AA1130" s="153"/>
      <c r="AB1130" s="153"/>
      <c r="AC1130" s="153"/>
      <c r="AD1130" s="153"/>
      <c r="AH1130" s="147"/>
    </row>
    <row r="1131" spans="1:34" s="146" customFormat="1" x14ac:dyDescent="0.25">
      <c r="A1131" s="196">
        <v>618</v>
      </c>
      <c r="B1131" s="196" t="s">
        <v>6204</v>
      </c>
      <c r="C1131" s="196" t="s">
        <v>6205</v>
      </c>
      <c r="D1131" s="196" t="s">
        <v>2209</v>
      </c>
      <c r="E1131" s="196"/>
      <c r="F1131" s="196">
        <v>1986</v>
      </c>
      <c r="G1131" s="196"/>
      <c r="H1131" s="196" t="s">
        <v>1878</v>
      </c>
      <c r="I1131" s="141" t="s">
        <v>1914</v>
      </c>
      <c r="J1131" s="196"/>
      <c r="K1131" s="196" t="s">
        <v>1881</v>
      </c>
      <c r="L1131" s="141" t="s">
        <v>6206</v>
      </c>
      <c r="M1131" s="196">
        <v>336</v>
      </c>
      <c r="N1131" s="196"/>
      <c r="O1131" s="196" t="s">
        <v>5306</v>
      </c>
      <c r="P1131" s="144">
        <v>191</v>
      </c>
      <c r="Q1131" s="145">
        <f t="shared" si="64"/>
        <v>2.5093000000000001</v>
      </c>
      <c r="R1131" s="203">
        <v>0.99</v>
      </c>
      <c r="S1131" s="203"/>
      <c r="T1131" s="151"/>
      <c r="U1131" s="151">
        <v>1.2</v>
      </c>
      <c r="V1131" s="151">
        <v>0.25</v>
      </c>
      <c r="W1131" s="151">
        <f t="shared" si="66"/>
        <v>0.99</v>
      </c>
      <c r="X1131" s="152">
        <f t="shared" si="65"/>
        <v>6.93E-2</v>
      </c>
      <c r="Y1131" s="152"/>
      <c r="AA1131" s="153"/>
      <c r="AB1131" s="153"/>
      <c r="AC1131" s="153"/>
      <c r="AD1131" s="153"/>
      <c r="AH1131" s="147"/>
    </row>
    <row r="1132" spans="1:34" s="146" customFormat="1" x14ac:dyDescent="0.25">
      <c r="A1132" s="196">
        <v>632</v>
      </c>
      <c r="B1132" s="196" t="s">
        <v>6210</v>
      </c>
      <c r="C1132" s="196" t="s">
        <v>6211</v>
      </c>
      <c r="D1132" s="196" t="s">
        <v>1988</v>
      </c>
      <c r="E1132" s="196"/>
      <c r="F1132" s="196">
        <v>1999</v>
      </c>
      <c r="G1132" s="196"/>
      <c r="H1132" s="196" t="s">
        <v>1878</v>
      </c>
      <c r="I1132" s="141" t="s">
        <v>1879</v>
      </c>
      <c r="J1132" s="196"/>
      <c r="K1132" s="196" t="s">
        <v>1881</v>
      </c>
      <c r="L1132" s="141" t="s">
        <v>6212</v>
      </c>
      <c r="M1132" s="196">
        <v>240</v>
      </c>
      <c r="N1132" s="196"/>
      <c r="O1132" s="196" t="s">
        <v>5308</v>
      </c>
      <c r="P1132" s="144">
        <v>213</v>
      </c>
      <c r="Q1132" s="145">
        <f t="shared" si="64"/>
        <v>3.0442999999999998</v>
      </c>
      <c r="R1132" s="203">
        <v>1.49</v>
      </c>
      <c r="S1132" s="203"/>
      <c r="T1132" s="151"/>
      <c r="U1132" s="151">
        <v>1.2</v>
      </c>
      <c r="V1132" s="151">
        <v>0.25</v>
      </c>
      <c r="W1132" s="151">
        <f t="shared" si="66"/>
        <v>1.49</v>
      </c>
      <c r="X1132" s="152">
        <f t="shared" si="65"/>
        <v>0.1043</v>
      </c>
      <c r="Y1132" s="152"/>
      <c r="AA1132" s="153"/>
      <c r="AB1132" s="153"/>
      <c r="AC1132" s="153"/>
      <c r="AD1132" s="153"/>
      <c r="AH1132" s="147"/>
    </row>
    <row r="1133" spans="1:34" s="146" customFormat="1" x14ac:dyDescent="0.25">
      <c r="A1133" s="196">
        <v>1939</v>
      </c>
      <c r="B1133" s="196" t="s">
        <v>6213</v>
      </c>
      <c r="C1133" s="196" t="s">
        <v>6214</v>
      </c>
      <c r="D1133" s="196" t="s">
        <v>2209</v>
      </c>
      <c r="E1133" s="196"/>
      <c r="F1133" s="196">
        <v>2008</v>
      </c>
      <c r="G1133" s="196"/>
      <c r="H1133" s="196" t="s">
        <v>1878</v>
      </c>
      <c r="I1133" s="141" t="s">
        <v>1929</v>
      </c>
      <c r="J1133" s="196"/>
      <c r="K1133" s="196" t="s">
        <v>1881</v>
      </c>
      <c r="L1133" s="141" t="s">
        <v>6215</v>
      </c>
      <c r="M1133" s="196">
        <v>96</v>
      </c>
      <c r="N1133" s="196"/>
      <c r="O1133" s="196" t="s">
        <v>5309</v>
      </c>
      <c r="P1133" s="144">
        <v>166</v>
      </c>
      <c r="Q1133" s="145">
        <f t="shared" si="64"/>
        <v>4.5423</v>
      </c>
      <c r="R1133" s="203">
        <v>2.89</v>
      </c>
      <c r="S1133" s="203"/>
      <c r="T1133" s="151"/>
      <c r="U1133" s="151">
        <v>1.2</v>
      </c>
      <c r="V1133" s="151">
        <v>0.25</v>
      </c>
      <c r="W1133" s="151">
        <f t="shared" si="66"/>
        <v>2.89</v>
      </c>
      <c r="X1133" s="152">
        <f t="shared" si="65"/>
        <v>0.20230000000000001</v>
      </c>
      <c r="Y1133" s="152"/>
      <c r="AA1133" s="153"/>
      <c r="AB1133" s="153"/>
      <c r="AC1133" s="153"/>
      <c r="AD1133" s="153"/>
      <c r="AH1133" s="147"/>
    </row>
    <row r="1134" spans="1:34" s="146" customFormat="1" x14ac:dyDescent="0.25">
      <c r="A1134" s="196">
        <v>2463</v>
      </c>
      <c r="B1134" s="196" t="s">
        <v>6216</v>
      </c>
      <c r="C1134" s="196" t="s">
        <v>6217</v>
      </c>
      <c r="D1134" s="196" t="s">
        <v>6218</v>
      </c>
      <c r="E1134" s="196"/>
      <c r="F1134" s="196">
        <v>2002</v>
      </c>
      <c r="G1134" s="196"/>
      <c r="H1134" s="196" t="s">
        <v>1878</v>
      </c>
      <c r="I1134" s="141" t="s">
        <v>1929</v>
      </c>
      <c r="J1134" s="196"/>
      <c r="K1134" s="196" t="s">
        <v>1881</v>
      </c>
      <c r="L1134" s="141" t="s">
        <v>6219</v>
      </c>
      <c r="M1134" s="196">
        <v>128</v>
      </c>
      <c r="N1134" s="196"/>
      <c r="O1134" s="196" t="s">
        <v>5310</v>
      </c>
      <c r="P1134" s="144">
        <v>193</v>
      </c>
      <c r="Q1134" s="145">
        <f t="shared" si="64"/>
        <v>1.9742999999999999</v>
      </c>
      <c r="R1134" s="203">
        <v>0.49</v>
      </c>
      <c r="S1134" s="203"/>
      <c r="T1134" s="151"/>
      <c r="U1134" s="151">
        <v>1.2</v>
      </c>
      <c r="V1134" s="151">
        <v>0.25</v>
      </c>
      <c r="W1134" s="151">
        <f t="shared" si="66"/>
        <v>0.49</v>
      </c>
      <c r="X1134" s="152">
        <f t="shared" si="65"/>
        <v>3.4299999999999997E-2</v>
      </c>
      <c r="Y1134" s="152"/>
      <c r="AA1134" s="153"/>
      <c r="AB1134" s="153"/>
      <c r="AC1134" s="153"/>
      <c r="AD1134" s="153"/>
      <c r="AH1134" s="147"/>
    </row>
    <row r="1135" spans="1:34" s="146" customFormat="1" x14ac:dyDescent="0.25">
      <c r="A1135" s="196">
        <v>1314</v>
      </c>
      <c r="B1135" s="196" t="s">
        <v>6220</v>
      </c>
      <c r="C1135" s="196" t="s">
        <v>6221</v>
      </c>
      <c r="D1135" s="196" t="s">
        <v>2209</v>
      </c>
      <c r="E1135" s="196"/>
      <c r="F1135" s="196">
        <v>2003</v>
      </c>
      <c r="G1135" s="196"/>
      <c r="H1135" s="196" t="s">
        <v>1878</v>
      </c>
      <c r="I1135" s="141" t="s">
        <v>1879</v>
      </c>
      <c r="J1135" s="196"/>
      <c r="K1135" s="196" t="s">
        <v>1881</v>
      </c>
      <c r="L1135" s="141" t="s">
        <v>6222</v>
      </c>
      <c r="M1135" s="196">
        <v>224</v>
      </c>
      <c r="N1135" s="196"/>
      <c r="O1135" s="196" t="s">
        <v>5311</v>
      </c>
      <c r="P1135" s="144">
        <v>225</v>
      </c>
      <c r="Q1135" s="145">
        <f t="shared" si="64"/>
        <v>2.5093000000000001</v>
      </c>
      <c r="R1135" s="203">
        <v>0.99</v>
      </c>
      <c r="S1135" s="203"/>
      <c r="T1135" s="151"/>
      <c r="U1135" s="151">
        <v>1.2</v>
      </c>
      <c r="V1135" s="151">
        <v>0.25</v>
      </c>
      <c r="W1135" s="151">
        <f t="shared" si="66"/>
        <v>0.99</v>
      </c>
      <c r="X1135" s="152">
        <f t="shared" si="65"/>
        <v>6.93E-2</v>
      </c>
      <c r="Y1135" s="152"/>
      <c r="AA1135" s="153"/>
      <c r="AB1135" s="153"/>
      <c r="AC1135" s="153"/>
      <c r="AD1135" s="153"/>
      <c r="AH1135" s="147"/>
    </row>
    <row r="1136" spans="1:34" s="146" customFormat="1" x14ac:dyDescent="0.25">
      <c r="A1136" s="196">
        <v>1314</v>
      </c>
      <c r="B1136" s="196" t="s">
        <v>4127</v>
      </c>
      <c r="C1136" s="196" t="s">
        <v>6223</v>
      </c>
      <c r="D1136" s="196" t="s">
        <v>3116</v>
      </c>
      <c r="E1136" s="196" t="s">
        <v>1877</v>
      </c>
      <c r="F1136" s="196">
        <v>2008</v>
      </c>
      <c r="G1136" s="196"/>
      <c r="H1136" s="196" t="s">
        <v>1878</v>
      </c>
      <c r="I1136" s="141" t="s">
        <v>1879</v>
      </c>
      <c r="J1136" s="196"/>
      <c r="K1136" s="196" t="s">
        <v>1881</v>
      </c>
      <c r="L1136" s="141" t="s">
        <v>6224</v>
      </c>
      <c r="M1136" s="196">
        <v>256</v>
      </c>
      <c r="N1136" s="196"/>
      <c r="O1136" s="196" t="s">
        <v>5312</v>
      </c>
      <c r="P1136" s="144">
        <v>401</v>
      </c>
      <c r="Q1136" s="145">
        <f t="shared" ref="Q1136:Q1150" si="67">SUM(T1136:X1136)</f>
        <v>2.7232999999999996</v>
      </c>
      <c r="R1136" s="203">
        <v>1.19</v>
      </c>
      <c r="S1136" s="203"/>
      <c r="T1136" s="151"/>
      <c r="U1136" s="151">
        <v>1.2</v>
      </c>
      <c r="V1136" s="151">
        <v>0.25</v>
      </c>
      <c r="W1136" s="151">
        <f t="shared" si="66"/>
        <v>1.19</v>
      </c>
      <c r="X1136" s="152">
        <f t="shared" si="65"/>
        <v>8.3299999999999999E-2</v>
      </c>
      <c r="Y1136" s="152"/>
      <c r="AA1136" s="153"/>
      <c r="AB1136" s="153"/>
      <c r="AC1136" s="153"/>
      <c r="AD1136" s="153"/>
      <c r="AH1136" s="147"/>
    </row>
    <row r="1137" spans="1:34" s="146" customFormat="1" x14ac:dyDescent="0.25">
      <c r="A1137" s="196">
        <v>2551</v>
      </c>
      <c r="B1137" s="196" t="s">
        <v>6225</v>
      </c>
      <c r="C1137" s="196" t="s">
        <v>6226</v>
      </c>
      <c r="D1137" s="196" t="s">
        <v>2054</v>
      </c>
      <c r="E1137" s="196"/>
      <c r="F1137" s="196">
        <v>2012</v>
      </c>
      <c r="G1137" s="196"/>
      <c r="H1137" s="196" t="s">
        <v>1878</v>
      </c>
      <c r="I1137" s="141" t="s">
        <v>1879</v>
      </c>
      <c r="J1137" s="196"/>
      <c r="K1137" s="196" t="s">
        <v>1881</v>
      </c>
      <c r="L1137" s="141" t="s">
        <v>6227</v>
      </c>
      <c r="M1137" s="196">
        <v>512</v>
      </c>
      <c r="N1137" s="196"/>
      <c r="O1137" s="196" t="s">
        <v>5313</v>
      </c>
      <c r="P1137" s="144">
        <v>638</v>
      </c>
      <c r="Q1137" s="145">
        <f t="shared" si="67"/>
        <v>3.2232999999999996</v>
      </c>
      <c r="R1137" s="203">
        <v>1.19</v>
      </c>
      <c r="S1137" s="203"/>
      <c r="T1137" s="151"/>
      <c r="U1137" s="151">
        <v>1.7</v>
      </c>
      <c r="V1137" s="151">
        <v>0.25</v>
      </c>
      <c r="W1137" s="151">
        <f t="shared" si="66"/>
        <v>1.19</v>
      </c>
      <c r="X1137" s="152">
        <f t="shared" si="65"/>
        <v>8.3299999999999999E-2</v>
      </c>
      <c r="Y1137" s="152"/>
      <c r="AA1137" s="153"/>
      <c r="AB1137" s="153"/>
      <c r="AC1137" s="153"/>
      <c r="AD1137" s="153"/>
      <c r="AH1137" s="147"/>
    </row>
    <row r="1138" spans="1:34" s="146" customFormat="1" x14ac:dyDescent="0.25">
      <c r="A1138" s="196">
        <v>2551</v>
      </c>
      <c r="B1138" s="196" t="s">
        <v>4238</v>
      </c>
      <c r="C1138" s="196" t="s">
        <v>6228</v>
      </c>
      <c r="D1138" s="196" t="s">
        <v>5005</v>
      </c>
      <c r="E1138" s="196"/>
      <c r="F1138" s="196">
        <v>2001</v>
      </c>
      <c r="G1138" s="196"/>
      <c r="H1138" s="196" t="s">
        <v>1878</v>
      </c>
      <c r="I1138" s="141" t="s">
        <v>1914</v>
      </c>
      <c r="J1138" s="196"/>
      <c r="K1138" s="196" t="s">
        <v>1881</v>
      </c>
      <c r="L1138" s="141"/>
      <c r="M1138" s="196">
        <v>320</v>
      </c>
      <c r="N1138" s="196"/>
      <c r="O1138" s="196" t="s">
        <v>5314</v>
      </c>
      <c r="P1138" s="144">
        <v>235</v>
      </c>
      <c r="Q1138" s="145">
        <f t="shared" si="67"/>
        <v>2.5093000000000001</v>
      </c>
      <c r="R1138" s="203">
        <v>0.99</v>
      </c>
      <c r="S1138" s="203"/>
      <c r="T1138" s="151"/>
      <c r="U1138" s="151">
        <v>1.2</v>
      </c>
      <c r="V1138" s="151">
        <v>0.25</v>
      </c>
      <c r="W1138" s="151">
        <f t="shared" si="66"/>
        <v>0.99</v>
      </c>
      <c r="X1138" s="152">
        <f t="shared" si="65"/>
        <v>6.93E-2</v>
      </c>
      <c r="Y1138" s="152"/>
      <c r="AA1138" s="153"/>
      <c r="AB1138" s="153"/>
      <c r="AC1138" s="153"/>
      <c r="AD1138" s="153"/>
      <c r="AH1138" s="147"/>
    </row>
    <row r="1139" spans="1:34" s="146" customFormat="1" x14ac:dyDescent="0.25">
      <c r="A1139" s="196">
        <v>692</v>
      </c>
      <c r="B1139" s="196" t="s">
        <v>6229</v>
      </c>
      <c r="C1139" s="196" t="s">
        <v>6230</v>
      </c>
      <c r="D1139" s="196" t="s">
        <v>2309</v>
      </c>
      <c r="E1139" s="196" t="s">
        <v>1899</v>
      </c>
      <c r="F1139" s="196">
        <v>2009</v>
      </c>
      <c r="G1139" s="196"/>
      <c r="H1139" s="196" t="s">
        <v>1878</v>
      </c>
      <c r="I1139" s="141" t="s">
        <v>1879</v>
      </c>
      <c r="J1139" s="196" t="s">
        <v>4291</v>
      </c>
      <c r="K1139" s="196" t="s">
        <v>1881</v>
      </c>
      <c r="L1139" s="141" t="s">
        <v>6231</v>
      </c>
      <c r="M1139" s="196">
        <v>242</v>
      </c>
      <c r="N1139" s="196"/>
      <c r="O1139" s="196" t="s">
        <v>5315</v>
      </c>
      <c r="P1139" s="144">
        <v>403</v>
      </c>
      <c r="Q1139" s="145">
        <f t="shared" si="67"/>
        <v>2.5093000000000001</v>
      </c>
      <c r="R1139" s="203">
        <v>0.99</v>
      </c>
      <c r="S1139" s="203"/>
      <c r="T1139" s="151"/>
      <c r="U1139" s="151">
        <v>1.2</v>
      </c>
      <c r="V1139" s="151">
        <v>0.25</v>
      </c>
      <c r="W1139" s="151">
        <f t="shared" si="66"/>
        <v>0.99</v>
      </c>
      <c r="X1139" s="152">
        <f t="shared" si="65"/>
        <v>6.93E-2</v>
      </c>
      <c r="Y1139" s="152"/>
      <c r="AA1139" s="153"/>
      <c r="AB1139" s="153"/>
      <c r="AC1139" s="153"/>
      <c r="AD1139" s="153"/>
      <c r="AH1139" s="147"/>
    </row>
    <row r="1140" spans="1:34" s="146" customFormat="1" x14ac:dyDescent="0.25">
      <c r="A1140" s="196">
        <v>1386</v>
      </c>
      <c r="B1140" s="196" t="s">
        <v>6232</v>
      </c>
      <c r="C1140" s="196" t="s">
        <v>3814</v>
      </c>
      <c r="D1140" s="196" t="s">
        <v>5005</v>
      </c>
      <c r="E1140" s="196"/>
      <c r="F1140" s="196">
        <v>2006</v>
      </c>
      <c r="G1140" s="196"/>
      <c r="H1140" s="196" t="s">
        <v>1878</v>
      </c>
      <c r="I1140" s="141" t="s">
        <v>1914</v>
      </c>
      <c r="J1140" s="196"/>
      <c r="K1140" s="196" t="s">
        <v>1881</v>
      </c>
      <c r="L1140" s="141"/>
      <c r="M1140" s="196">
        <v>416</v>
      </c>
      <c r="N1140" s="196"/>
      <c r="O1140" s="196" t="s">
        <v>5316</v>
      </c>
      <c r="P1140" s="144">
        <v>303</v>
      </c>
      <c r="Q1140" s="145">
        <f t="shared" si="67"/>
        <v>2.5093000000000001</v>
      </c>
      <c r="R1140" s="203">
        <v>0.99</v>
      </c>
      <c r="S1140" s="203"/>
      <c r="T1140" s="151"/>
      <c r="U1140" s="151">
        <v>1.2</v>
      </c>
      <c r="V1140" s="151">
        <v>0.25</v>
      </c>
      <c r="W1140" s="151">
        <f t="shared" si="66"/>
        <v>0.99</v>
      </c>
      <c r="X1140" s="152">
        <f t="shared" si="65"/>
        <v>6.93E-2</v>
      </c>
      <c r="Y1140" s="152"/>
      <c r="AA1140" s="153"/>
      <c r="AB1140" s="153"/>
      <c r="AC1140" s="153"/>
      <c r="AD1140" s="153"/>
      <c r="AH1140" s="147"/>
    </row>
    <row r="1141" spans="1:34" s="146" customFormat="1" x14ac:dyDescent="0.25">
      <c r="A1141" s="196">
        <v>1395</v>
      </c>
      <c r="B1141" s="196" t="s">
        <v>6233</v>
      </c>
      <c r="C1141" s="196" t="s">
        <v>6234</v>
      </c>
      <c r="D1141" s="196" t="s">
        <v>2644</v>
      </c>
      <c r="E1141" s="196"/>
      <c r="F1141" s="196">
        <v>2009</v>
      </c>
      <c r="G1141" s="196"/>
      <c r="H1141" s="196" t="s">
        <v>1878</v>
      </c>
      <c r="I1141" s="141" t="s">
        <v>1929</v>
      </c>
      <c r="J1141" s="196"/>
      <c r="K1141" s="196" t="s">
        <v>1881</v>
      </c>
      <c r="L1141" s="141" t="s">
        <v>6241</v>
      </c>
      <c r="M1141" s="196">
        <v>320</v>
      </c>
      <c r="N1141" s="196"/>
      <c r="O1141" s="196" t="s">
        <v>5317</v>
      </c>
      <c r="P1141" s="144">
        <v>274</v>
      </c>
      <c r="Q1141" s="145">
        <f t="shared" si="67"/>
        <v>2.5093000000000001</v>
      </c>
      <c r="R1141" s="203">
        <v>0.99</v>
      </c>
      <c r="S1141" s="203"/>
      <c r="T1141" s="151"/>
      <c r="U1141" s="151">
        <v>1.2</v>
      </c>
      <c r="V1141" s="151">
        <v>0.25</v>
      </c>
      <c r="W1141" s="151">
        <f t="shared" si="66"/>
        <v>0.99</v>
      </c>
      <c r="X1141" s="152">
        <f t="shared" si="65"/>
        <v>6.93E-2</v>
      </c>
      <c r="Y1141" s="152"/>
      <c r="AA1141" s="153"/>
      <c r="AB1141" s="153"/>
      <c r="AC1141" s="153"/>
      <c r="AD1141" s="153"/>
      <c r="AH1141" s="147"/>
    </row>
    <row r="1142" spans="1:34" s="146" customFormat="1" x14ac:dyDescent="0.25">
      <c r="A1142" s="196">
        <v>704</v>
      </c>
      <c r="B1142" s="196" t="s">
        <v>6235</v>
      </c>
      <c r="C1142" s="196" t="s">
        <v>6236</v>
      </c>
      <c r="D1142" s="196" t="s">
        <v>1876</v>
      </c>
      <c r="E1142" s="196" t="s">
        <v>2175</v>
      </c>
      <c r="F1142" s="196">
        <v>2014</v>
      </c>
      <c r="G1142" s="196"/>
      <c r="H1142" s="196" t="s">
        <v>1878</v>
      </c>
      <c r="I1142" s="141" t="s">
        <v>1879</v>
      </c>
      <c r="J1142" s="143" t="s">
        <v>3854</v>
      </c>
      <c r="K1142" s="196" t="s">
        <v>1881</v>
      </c>
      <c r="L1142" s="141" t="s">
        <v>6240</v>
      </c>
      <c r="M1142" s="196">
        <v>320</v>
      </c>
      <c r="N1142" s="196"/>
      <c r="O1142" s="196" t="s">
        <v>5318</v>
      </c>
      <c r="P1142" s="144">
        <v>271</v>
      </c>
      <c r="Q1142" s="145">
        <f t="shared" si="67"/>
        <v>3.2582999999999998</v>
      </c>
      <c r="R1142" s="203">
        <v>1.69</v>
      </c>
      <c r="S1142" s="203"/>
      <c r="T1142" s="151"/>
      <c r="U1142" s="151">
        <v>1.2</v>
      </c>
      <c r="V1142" s="151">
        <v>0.25</v>
      </c>
      <c r="W1142" s="151">
        <f t="shared" si="66"/>
        <v>1.69</v>
      </c>
      <c r="X1142" s="152">
        <f t="shared" si="65"/>
        <v>0.11829999999999999</v>
      </c>
      <c r="Y1142" s="152"/>
      <c r="AA1142" s="153"/>
      <c r="AB1142" s="153"/>
      <c r="AC1142" s="153"/>
      <c r="AD1142" s="153"/>
      <c r="AH1142" s="147"/>
    </row>
    <row r="1143" spans="1:34" s="146" customFormat="1" x14ac:dyDescent="0.25">
      <c r="A1143" s="196">
        <v>1321</v>
      </c>
      <c r="B1143" s="196" t="s">
        <v>6237</v>
      </c>
      <c r="C1143" s="196" t="s">
        <v>6238</v>
      </c>
      <c r="D1143" s="196" t="s">
        <v>2257</v>
      </c>
      <c r="E1143" s="196"/>
      <c r="F1143" s="196">
        <v>2006</v>
      </c>
      <c r="G1143" s="196"/>
      <c r="H1143" s="196" t="s">
        <v>1878</v>
      </c>
      <c r="I1143" s="141" t="s">
        <v>1879</v>
      </c>
      <c r="J1143" s="196" t="s">
        <v>4291</v>
      </c>
      <c r="K1143" s="196" t="s">
        <v>1881</v>
      </c>
      <c r="L1143" s="141" t="s">
        <v>6239</v>
      </c>
      <c r="M1143" s="196">
        <v>240</v>
      </c>
      <c r="N1143" s="196"/>
      <c r="O1143" s="196" t="s">
        <v>5319</v>
      </c>
      <c r="P1143" s="144">
        <v>220</v>
      </c>
      <c r="Q1143" s="145">
        <f t="shared" si="67"/>
        <v>2.6162999999999998</v>
      </c>
      <c r="R1143" s="203">
        <v>1.0900000000000001</v>
      </c>
      <c r="S1143" s="203"/>
      <c r="T1143" s="151"/>
      <c r="U1143" s="151">
        <v>1.2</v>
      </c>
      <c r="V1143" s="151">
        <v>0.25</v>
      </c>
      <c r="W1143" s="151">
        <f t="shared" si="66"/>
        <v>1.0900000000000001</v>
      </c>
      <c r="X1143" s="152">
        <f t="shared" si="65"/>
        <v>7.6300000000000007E-2</v>
      </c>
      <c r="Y1143" s="152"/>
      <c r="AA1143" s="153"/>
      <c r="AB1143" s="153"/>
      <c r="AC1143" s="153"/>
      <c r="AD1143" s="153"/>
      <c r="AH1143" s="147"/>
    </row>
    <row r="1144" spans="1:34" s="146" customFormat="1" x14ac:dyDescent="0.25">
      <c r="A1144" s="196">
        <v>1395</v>
      </c>
      <c r="B1144" s="196" t="s">
        <v>6242</v>
      </c>
      <c r="C1144" s="196" t="s">
        <v>6243</v>
      </c>
      <c r="D1144" s="196" t="s">
        <v>1912</v>
      </c>
      <c r="E1144" s="196" t="s">
        <v>2412</v>
      </c>
      <c r="F1144" s="196">
        <v>2007</v>
      </c>
      <c r="G1144" s="196"/>
      <c r="H1144" s="196" t="s">
        <v>1878</v>
      </c>
      <c r="I1144" s="141" t="s">
        <v>1914</v>
      </c>
      <c r="J1144" s="196"/>
      <c r="K1144" s="196" t="s">
        <v>1881</v>
      </c>
      <c r="L1144" s="141" t="s">
        <v>6244</v>
      </c>
      <c r="M1144" s="196">
        <v>448</v>
      </c>
      <c r="N1144" s="196"/>
      <c r="O1144" s="196" t="s">
        <v>5320</v>
      </c>
      <c r="P1144" s="144">
        <v>369</v>
      </c>
      <c r="Q1144" s="145">
        <f t="shared" si="67"/>
        <v>1.9742999999999999</v>
      </c>
      <c r="R1144" s="203">
        <v>0.49</v>
      </c>
      <c r="S1144" s="203"/>
      <c r="T1144" s="151"/>
      <c r="U1144" s="151">
        <v>1.2</v>
      </c>
      <c r="V1144" s="151">
        <v>0.25</v>
      </c>
      <c r="W1144" s="151">
        <f t="shared" si="66"/>
        <v>0.49</v>
      </c>
      <c r="X1144" s="152">
        <f t="shared" si="65"/>
        <v>3.4299999999999997E-2</v>
      </c>
      <c r="Y1144" s="152"/>
      <c r="AA1144" s="153"/>
      <c r="AB1144" s="153"/>
      <c r="AC1144" s="153"/>
      <c r="AD1144" s="153"/>
      <c r="AH1144" s="147"/>
    </row>
    <row r="1145" spans="1:34" s="146" customFormat="1" x14ac:dyDescent="0.25">
      <c r="A1145" s="196">
        <v>704</v>
      </c>
      <c r="B1145" s="196" t="s">
        <v>6245</v>
      </c>
      <c r="C1145" s="196" t="s">
        <v>6246</v>
      </c>
      <c r="D1145" s="196" t="s">
        <v>2309</v>
      </c>
      <c r="E1145" s="196" t="s">
        <v>2358</v>
      </c>
      <c r="F1145" s="196">
        <v>2010</v>
      </c>
      <c r="G1145" s="196"/>
      <c r="H1145" s="196" t="s">
        <v>1878</v>
      </c>
      <c r="I1145" s="141" t="s">
        <v>1879</v>
      </c>
      <c r="J1145" s="196"/>
      <c r="K1145" s="196" t="s">
        <v>1881</v>
      </c>
      <c r="L1145" s="141" t="s">
        <v>6247</v>
      </c>
      <c r="M1145" s="196">
        <v>192</v>
      </c>
      <c r="N1145" s="196"/>
      <c r="O1145" s="196" t="s">
        <v>5321</v>
      </c>
      <c r="P1145" s="144">
        <v>210</v>
      </c>
      <c r="Q1145" s="145">
        <f t="shared" si="67"/>
        <v>2.5093000000000001</v>
      </c>
      <c r="R1145" s="203">
        <v>0.99</v>
      </c>
      <c r="S1145" s="203"/>
      <c r="T1145" s="151"/>
      <c r="U1145" s="151">
        <v>1.2</v>
      </c>
      <c r="V1145" s="151">
        <v>0.25</v>
      </c>
      <c r="W1145" s="151">
        <f t="shared" si="66"/>
        <v>0.99</v>
      </c>
      <c r="X1145" s="152">
        <f t="shared" si="65"/>
        <v>6.93E-2</v>
      </c>
      <c r="Y1145" s="152"/>
      <c r="AA1145" s="153"/>
      <c r="AB1145" s="153"/>
      <c r="AC1145" s="153"/>
      <c r="AD1145" s="153"/>
      <c r="AH1145" s="147"/>
    </row>
    <row r="1146" spans="1:34" s="146" customFormat="1" x14ac:dyDescent="0.25">
      <c r="A1146" s="196">
        <v>796</v>
      </c>
      <c r="B1146" s="196" t="s">
        <v>6248</v>
      </c>
      <c r="C1146" s="196" t="s">
        <v>6249</v>
      </c>
      <c r="D1146" s="196" t="s">
        <v>1993</v>
      </c>
      <c r="E1146" s="196" t="s">
        <v>1877</v>
      </c>
      <c r="F1146" s="196">
        <v>2014</v>
      </c>
      <c r="G1146" s="196"/>
      <c r="H1146" s="196" t="s">
        <v>1878</v>
      </c>
      <c r="I1146" s="141" t="s">
        <v>1879</v>
      </c>
      <c r="J1146" s="196" t="s">
        <v>4291</v>
      </c>
      <c r="K1146" s="196" t="s">
        <v>1881</v>
      </c>
      <c r="L1146" s="141" t="s">
        <v>6250</v>
      </c>
      <c r="M1146" s="196">
        <v>272</v>
      </c>
      <c r="N1146" s="196"/>
      <c r="O1146" s="196" t="s">
        <v>5322</v>
      </c>
      <c r="P1146" s="144">
        <v>231</v>
      </c>
      <c r="Q1146" s="145">
        <f t="shared" si="67"/>
        <v>5.6123000000000003</v>
      </c>
      <c r="R1146" s="203">
        <v>3.89</v>
      </c>
      <c r="S1146" s="203"/>
      <c r="T1146" s="151"/>
      <c r="U1146" s="151">
        <v>1.2</v>
      </c>
      <c r="V1146" s="151">
        <v>0.25</v>
      </c>
      <c r="W1146" s="151">
        <f t="shared" si="66"/>
        <v>3.89</v>
      </c>
      <c r="X1146" s="152">
        <f t="shared" si="65"/>
        <v>0.27230000000000004</v>
      </c>
      <c r="Y1146" s="152"/>
      <c r="AA1146" s="153"/>
      <c r="AB1146" s="153"/>
      <c r="AC1146" s="153"/>
      <c r="AD1146" s="153"/>
      <c r="AH1146" s="147"/>
    </row>
    <row r="1147" spans="1:34" s="146" customFormat="1" x14ac:dyDescent="0.25">
      <c r="A1147" s="196">
        <v>2522</v>
      </c>
      <c r="B1147" s="196" t="s">
        <v>3835</v>
      </c>
      <c r="C1147" s="196" t="s">
        <v>6251</v>
      </c>
      <c r="D1147" s="196" t="s">
        <v>2054</v>
      </c>
      <c r="E1147" s="196"/>
      <c r="F1147" s="196">
        <v>2018</v>
      </c>
      <c r="G1147" s="196"/>
      <c r="H1147" s="196" t="s">
        <v>1878</v>
      </c>
      <c r="I1147" s="141" t="s">
        <v>1879</v>
      </c>
      <c r="J1147" s="196" t="s">
        <v>2237</v>
      </c>
      <c r="K1147" s="196" t="s">
        <v>1881</v>
      </c>
      <c r="L1147" s="141" t="s">
        <v>6252</v>
      </c>
      <c r="M1147" s="196">
        <v>432</v>
      </c>
      <c r="N1147" s="196"/>
      <c r="O1147" s="196" t="s">
        <v>5323</v>
      </c>
      <c r="P1147" s="144">
        <v>422</v>
      </c>
      <c r="Q1147" s="145">
        <f t="shared" si="67"/>
        <v>4.1143000000000001</v>
      </c>
      <c r="R1147" s="203">
        <v>2.4900000000000002</v>
      </c>
      <c r="S1147" s="203"/>
      <c r="T1147" s="151"/>
      <c r="U1147" s="151">
        <v>1.2</v>
      </c>
      <c r="V1147" s="151">
        <v>0.25</v>
      </c>
      <c r="W1147" s="151">
        <f t="shared" si="66"/>
        <v>2.4900000000000002</v>
      </c>
      <c r="X1147" s="152">
        <f t="shared" si="65"/>
        <v>0.17430000000000001</v>
      </c>
      <c r="Y1147" s="152"/>
      <c r="AA1147" s="153"/>
      <c r="AB1147" s="153"/>
      <c r="AC1147" s="153"/>
      <c r="AD1147" s="153"/>
      <c r="AH1147" s="147"/>
    </row>
    <row r="1148" spans="1:34" s="146" customFormat="1" x14ac:dyDescent="0.25">
      <c r="A1148" s="196">
        <v>632</v>
      </c>
      <c r="B1148" s="196" t="s">
        <v>6256</v>
      </c>
      <c r="C1148" s="196" t="s">
        <v>6257</v>
      </c>
      <c r="D1148" s="196" t="s">
        <v>1920</v>
      </c>
      <c r="E1148" s="196"/>
      <c r="F1148" s="196">
        <v>1998</v>
      </c>
      <c r="G1148" s="196"/>
      <c r="H1148" s="196" t="s">
        <v>1878</v>
      </c>
      <c r="I1148" s="141" t="s">
        <v>1879</v>
      </c>
      <c r="J1148" s="196"/>
      <c r="K1148" s="196" t="s">
        <v>1881</v>
      </c>
      <c r="L1148" s="141" t="s">
        <v>6258</v>
      </c>
      <c r="M1148" s="196">
        <v>720</v>
      </c>
      <c r="N1148" s="196"/>
      <c r="O1148" s="196" t="s">
        <v>5325</v>
      </c>
      <c r="P1148" s="144">
        <v>608</v>
      </c>
      <c r="Q1148" s="145">
        <f t="shared" si="67"/>
        <v>3.0093000000000001</v>
      </c>
      <c r="R1148" s="203">
        <v>0.99</v>
      </c>
      <c r="S1148" s="203"/>
      <c r="T1148" s="151"/>
      <c r="U1148" s="151">
        <v>1.7</v>
      </c>
      <c r="V1148" s="151">
        <v>0.25</v>
      </c>
      <c r="W1148" s="151">
        <f t="shared" si="66"/>
        <v>0.99</v>
      </c>
      <c r="X1148" s="152">
        <f t="shared" ref="X1148:X1210" si="68">(T1148+W1148)/100*7</f>
        <v>6.93E-2</v>
      </c>
      <c r="Y1148" s="152"/>
      <c r="AA1148" s="153"/>
      <c r="AB1148" s="153"/>
      <c r="AC1148" s="153"/>
      <c r="AD1148" s="153"/>
      <c r="AH1148" s="147"/>
    </row>
    <row r="1149" spans="1:34" s="146" customFormat="1" x14ac:dyDescent="0.25">
      <c r="A1149" s="196">
        <v>766</v>
      </c>
      <c r="B1149" s="196" t="s">
        <v>6259</v>
      </c>
      <c r="C1149" s="196" t="s">
        <v>6260</v>
      </c>
      <c r="D1149" s="196" t="s">
        <v>4841</v>
      </c>
      <c r="E1149" s="196"/>
      <c r="F1149" s="196">
        <v>1997</v>
      </c>
      <c r="G1149" s="196"/>
      <c r="H1149" s="196" t="s">
        <v>1878</v>
      </c>
      <c r="I1149" s="141" t="s">
        <v>1879</v>
      </c>
      <c r="J1149" s="196"/>
      <c r="K1149" s="196" t="s">
        <v>1881</v>
      </c>
      <c r="L1149" s="141" t="s">
        <v>6261</v>
      </c>
      <c r="M1149" s="196">
        <v>208</v>
      </c>
      <c r="N1149" s="196"/>
      <c r="O1149" s="196" t="s">
        <v>5326</v>
      </c>
      <c r="P1149" s="144">
        <v>293</v>
      </c>
      <c r="Q1149" s="145">
        <f t="shared" si="67"/>
        <v>3.4722999999999997</v>
      </c>
      <c r="R1149" s="203">
        <v>1.89</v>
      </c>
      <c r="S1149" s="203"/>
      <c r="T1149" s="151"/>
      <c r="U1149" s="151">
        <v>1.2</v>
      </c>
      <c r="V1149" s="151">
        <v>0.25</v>
      </c>
      <c r="W1149" s="151">
        <f t="shared" si="66"/>
        <v>1.89</v>
      </c>
      <c r="X1149" s="152">
        <f t="shared" si="68"/>
        <v>0.1323</v>
      </c>
      <c r="Y1149" s="152"/>
      <c r="AA1149" s="153"/>
      <c r="AB1149" s="153"/>
      <c r="AC1149" s="153"/>
      <c r="AD1149" s="153"/>
      <c r="AH1149" s="147"/>
    </row>
    <row r="1150" spans="1:34" s="146" customFormat="1" x14ac:dyDescent="0.25">
      <c r="A1150" s="196">
        <v>2522</v>
      </c>
      <c r="B1150" s="196" t="s">
        <v>6262</v>
      </c>
      <c r="C1150" s="196" t="s">
        <v>6263</v>
      </c>
      <c r="D1150" s="196" t="s">
        <v>2209</v>
      </c>
      <c r="E1150" s="196"/>
      <c r="F1150" s="196">
        <v>2008</v>
      </c>
      <c r="G1150" s="196"/>
      <c r="H1150" s="196" t="s">
        <v>1878</v>
      </c>
      <c r="I1150" s="141" t="s">
        <v>1879</v>
      </c>
      <c r="J1150" s="196"/>
      <c r="K1150" s="196" t="s">
        <v>1881</v>
      </c>
      <c r="L1150" s="141" t="s">
        <v>6264</v>
      </c>
      <c r="M1150" s="196">
        <v>528</v>
      </c>
      <c r="N1150" s="196"/>
      <c r="O1150" s="196" t="s">
        <v>5327</v>
      </c>
      <c r="P1150" s="144">
        <v>312</v>
      </c>
      <c r="Q1150" s="145">
        <f t="shared" si="67"/>
        <v>2.5093000000000001</v>
      </c>
      <c r="R1150" s="203">
        <v>0.99</v>
      </c>
      <c r="S1150" s="203"/>
      <c r="T1150" s="151"/>
      <c r="U1150" s="151">
        <v>1.2</v>
      </c>
      <c r="V1150" s="151">
        <v>0.25</v>
      </c>
      <c r="W1150" s="151">
        <f t="shared" si="66"/>
        <v>0.99</v>
      </c>
      <c r="X1150" s="152">
        <f t="shared" si="68"/>
        <v>6.93E-2</v>
      </c>
      <c r="Y1150" s="152"/>
      <c r="AA1150" s="153"/>
      <c r="AB1150" s="153"/>
      <c r="AC1150" s="153"/>
      <c r="AD1150" s="153"/>
      <c r="AH1150" s="147"/>
    </row>
    <row r="1151" spans="1:34" s="146" customFormat="1" x14ac:dyDescent="0.25">
      <c r="A1151" s="196">
        <v>766</v>
      </c>
      <c r="B1151" s="196" t="s">
        <v>6237</v>
      </c>
      <c r="C1151" s="196" t="s">
        <v>6265</v>
      </c>
      <c r="D1151" s="196" t="s">
        <v>2257</v>
      </c>
      <c r="E1151" s="196"/>
      <c r="F1151" s="196">
        <v>2004</v>
      </c>
      <c r="G1151" s="196"/>
      <c r="H1151" s="196" t="s">
        <v>1878</v>
      </c>
      <c r="I1151" s="141" t="s">
        <v>1879</v>
      </c>
      <c r="J1151" s="196"/>
      <c r="K1151" s="196" t="s">
        <v>1881</v>
      </c>
      <c r="L1151" s="141" t="s">
        <v>6266</v>
      </c>
      <c r="M1151" s="196">
        <v>224</v>
      </c>
      <c r="N1151" s="196"/>
      <c r="O1151" s="196" t="s">
        <v>5328</v>
      </c>
      <c r="P1151" s="144">
        <v>207</v>
      </c>
      <c r="Q1151" s="145">
        <f>SUM(U1151:X1151)</f>
        <v>1.8148</v>
      </c>
      <c r="R1151" s="203">
        <v>0.25</v>
      </c>
      <c r="S1151" s="203"/>
      <c r="T1151" s="151">
        <v>0.32</v>
      </c>
      <c r="U1151" s="151">
        <v>1.2</v>
      </c>
      <c r="V1151" s="151">
        <v>0.25</v>
      </c>
      <c r="W1151" s="151">
        <f>IF(R1151&gt;T1151,R1151,T1151)</f>
        <v>0.32</v>
      </c>
      <c r="X1151" s="152">
        <f t="shared" si="68"/>
        <v>4.48E-2</v>
      </c>
      <c r="Y1151" s="152"/>
      <c r="AA1151" s="153"/>
      <c r="AB1151" s="153"/>
      <c r="AC1151" s="153"/>
      <c r="AD1151" s="153"/>
      <c r="AH1151" s="147"/>
    </row>
    <row r="1152" spans="1:34" s="146" customFormat="1" x14ac:dyDescent="0.25">
      <c r="A1152" s="196">
        <v>1231</v>
      </c>
      <c r="B1152" s="196" t="s">
        <v>6267</v>
      </c>
      <c r="C1152" s="196" t="s">
        <v>6268</v>
      </c>
      <c r="D1152" s="196" t="s">
        <v>2850</v>
      </c>
      <c r="E1152" s="196"/>
      <c r="F1152" s="196">
        <v>2015</v>
      </c>
      <c r="G1152" s="196"/>
      <c r="H1152" s="196" t="s">
        <v>1878</v>
      </c>
      <c r="I1152" s="141" t="s">
        <v>1879</v>
      </c>
      <c r="J1152" s="196"/>
      <c r="K1152" s="196" t="s">
        <v>1881</v>
      </c>
      <c r="L1152" s="141" t="s">
        <v>6269</v>
      </c>
      <c r="M1152" s="196">
        <v>320</v>
      </c>
      <c r="N1152" s="196"/>
      <c r="O1152" s="196" t="s">
        <v>5329</v>
      </c>
      <c r="P1152" s="144">
        <v>359</v>
      </c>
      <c r="Q1152" s="145">
        <f t="shared" ref="Q1152:Q1214" si="69">SUM(T1152:X1152)</f>
        <v>3.3974000000000002</v>
      </c>
      <c r="R1152" s="203">
        <v>1.5</v>
      </c>
      <c r="S1152" s="203"/>
      <c r="T1152" s="151">
        <v>0.32</v>
      </c>
      <c r="U1152" s="151">
        <v>1.2</v>
      </c>
      <c r="V1152" s="151">
        <v>0.25</v>
      </c>
      <c r="W1152" s="151">
        <f t="shared" ref="W1152:W1214" si="70">IF(R1152&gt;T1152,R1152,T1152)</f>
        <v>1.5</v>
      </c>
      <c r="X1152" s="152">
        <f t="shared" si="68"/>
        <v>0.12740000000000001</v>
      </c>
      <c r="Y1152" s="152"/>
      <c r="Z1152" s="148"/>
      <c r="AA1152" s="153"/>
      <c r="AB1152" s="153"/>
      <c r="AC1152" s="153"/>
      <c r="AD1152" s="153"/>
      <c r="AH1152" s="147"/>
    </row>
    <row r="1153" spans="1:34" s="146" customFormat="1" x14ac:dyDescent="0.25">
      <c r="A1153" s="196">
        <v>631</v>
      </c>
      <c r="B1153" s="196" t="s">
        <v>6270</v>
      </c>
      <c r="C1153" s="196" t="s">
        <v>6271</v>
      </c>
      <c r="D1153" s="196" t="s">
        <v>2300</v>
      </c>
      <c r="E1153" s="196"/>
      <c r="F1153" s="196">
        <v>2009</v>
      </c>
      <c r="G1153" s="196"/>
      <c r="H1153" s="196" t="s">
        <v>1878</v>
      </c>
      <c r="I1153" s="141" t="s">
        <v>1914</v>
      </c>
      <c r="J1153" s="196"/>
      <c r="K1153" s="196" t="s">
        <v>1881</v>
      </c>
      <c r="L1153" s="141" t="s">
        <v>6272</v>
      </c>
      <c r="M1153" s="196">
        <v>352</v>
      </c>
      <c r="N1153" s="196"/>
      <c r="O1153" s="196" t="s">
        <v>5330</v>
      </c>
      <c r="P1153" s="144">
        <v>292</v>
      </c>
      <c r="Q1153" s="145">
        <f t="shared" si="69"/>
        <v>3.8788999999999998</v>
      </c>
      <c r="R1153" s="203">
        <v>1.95</v>
      </c>
      <c r="S1153" s="203"/>
      <c r="T1153" s="151">
        <v>0.32</v>
      </c>
      <c r="U1153" s="151">
        <v>1.2</v>
      </c>
      <c r="V1153" s="151">
        <v>0.25</v>
      </c>
      <c r="W1153" s="151">
        <f t="shared" si="70"/>
        <v>1.95</v>
      </c>
      <c r="X1153" s="152">
        <f t="shared" si="68"/>
        <v>0.15890000000000001</v>
      </c>
      <c r="Y1153" s="152"/>
      <c r="Z1153" s="148"/>
      <c r="AA1153" s="153"/>
      <c r="AB1153" s="153"/>
      <c r="AC1153" s="153"/>
      <c r="AD1153" s="153"/>
      <c r="AH1153" s="147"/>
    </row>
    <row r="1154" spans="1:34" s="146" customFormat="1" ht="132" x14ac:dyDescent="0.25">
      <c r="A1154" s="196">
        <v>2522</v>
      </c>
      <c r="B1154" s="196" t="s">
        <v>6273</v>
      </c>
      <c r="C1154" s="196" t="s">
        <v>6274</v>
      </c>
      <c r="D1154" s="196" t="s">
        <v>6275</v>
      </c>
      <c r="E1154" s="196" t="s">
        <v>1913</v>
      </c>
      <c r="F1154" s="196">
        <v>2012</v>
      </c>
      <c r="G1154" s="196"/>
      <c r="H1154" s="196" t="s">
        <v>2734</v>
      </c>
      <c r="I1154" s="141" t="s">
        <v>1879</v>
      </c>
      <c r="J1154" s="142" t="s">
        <v>6276</v>
      </c>
      <c r="K1154" s="196" t="s">
        <v>1881</v>
      </c>
      <c r="L1154" s="141" t="s">
        <v>6277</v>
      </c>
      <c r="M1154" s="196">
        <v>226</v>
      </c>
      <c r="N1154" s="196"/>
      <c r="O1154" s="196" t="s">
        <v>5331</v>
      </c>
      <c r="P1154" s="144">
        <v>378</v>
      </c>
      <c r="Q1154" s="145">
        <f t="shared" si="69"/>
        <v>7.1316999999999995</v>
      </c>
      <c r="R1154" s="203">
        <v>4.99</v>
      </c>
      <c r="S1154" s="203"/>
      <c r="T1154" s="151">
        <v>0.32</v>
      </c>
      <c r="U1154" s="151">
        <v>1.2</v>
      </c>
      <c r="V1154" s="151">
        <v>0.25</v>
      </c>
      <c r="W1154" s="151">
        <f t="shared" si="70"/>
        <v>4.99</v>
      </c>
      <c r="X1154" s="152">
        <f t="shared" si="68"/>
        <v>0.37170000000000003</v>
      </c>
      <c r="Y1154" s="152"/>
      <c r="Z1154" s="148"/>
      <c r="AA1154" s="153"/>
      <c r="AB1154" s="153"/>
      <c r="AC1154" s="153"/>
      <c r="AD1154" s="153"/>
      <c r="AH1154" s="147"/>
    </row>
    <row r="1155" spans="1:34" s="146" customFormat="1" x14ac:dyDescent="0.25">
      <c r="A1155" s="196">
        <v>2967</v>
      </c>
      <c r="B1155" s="196" t="s">
        <v>6278</v>
      </c>
      <c r="C1155" s="196" t="s">
        <v>6279</v>
      </c>
      <c r="D1155" s="196" t="s">
        <v>2257</v>
      </c>
      <c r="E1155" s="196"/>
      <c r="F1155" s="196">
        <v>2010</v>
      </c>
      <c r="G1155" s="196"/>
      <c r="H1155" s="196" t="s">
        <v>1878</v>
      </c>
      <c r="I1155" s="141" t="s">
        <v>1914</v>
      </c>
      <c r="J1155" s="143" t="s">
        <v>3854</v>
      </c>
      <c r="K1155" s="196" t="s">
        <v>1881</v>
      </c>
      <c r="L1155" s="141" t="s">
        <v>6280</v>
      </c>
      <c r="M1155" s="196">
        <v>304</v>
      </c>
      <c r="N1155" s="196"/>
      <c r="O1155" s="196" t="s">
        <v>5332</v>
      </c>
      <c r="P1155" s="144">
        <v>231</v>
      </c>
      <c r="Q1155" s="145">
        <f t="shared" si="69"/>
        <v>3.0763999999999996</v>
      </c>
      <c r="R1155" s="203">
        <v>1.2</v>
      </c>
      <c r="S1155" s="203"/>
      <c r="T1155" s="151">
        <v>0.32</v>
      </c>
      <c r="U1155" s="151">
        <v>1.2</v>
      </c>
      <c r="V1155" s="151">
        <v>0.25</v>
      </c>
      <c r="W1155" s="151">
        <f t="shared" si="70"/>
        <v>1.2</v>
      </c>
      <c r="X1155" s="152">
        <f t="shared" si="68"/>
        <v>0.10639999999999999</v>
      </c>
      <c r="Y1155" s="152"/>
      <c r="Z1155" s="148"/>
      <c r="AA1155" s="153"/>
      <c r="AB1155" s="153"/>
      <c r="AC1155" s="153"/>
      <c r="AD1155" s="153"/>
      <c r="AH1155" s="147"/>
    </row>
    <row r="1156" spans="1:34" s="146" customFormat="1" x14ac:dyDescent="0.25">
      <c r="A1156" s="196">
        <v>1321</v>
      </c>
      <c r="B1156" s="196" t="s">
        <v>6281</v>
      </c>
      <c r="C1156" s="196" t="s">
        <v>6282</v>
      </c>
      <c r="D1156" s="196" t="s">
        <v>6283</v>
      </c>
      <c r="E1156" s="196" t="s">
        <v>1877</v>
      </c>
      <c r="F1156" s="196">
        <v>2003</v>
      </c>
      <c r="G1156" s="196"/>
      <c r="H1156" s="196" t="s">
        <v>1878</v>
      </c>
      <c r="I1156" s="141" t="s">
        <v>1879</v>
      </c>
      <c r="J1156" s="196"/>
      <c r="K1156" s="196" t="s">
        <v>1881</v>
      </c>
      <c r="L1156" s="141" t="s">
        <v>6284</v>
      </c>
      <c r="M1156" s="196">
        <v>128</v>
      </c>
      <c r="N1156" s="196"/>
      <c r="O1156" s="196" t="s">
        <v>5333</v>
      </c>
      <c r="P1156" s="144">
        <v>269</v>
      </c>
      <c r="Q1156" s="145">
        <f t="shared" si="69"/>
        <v>4.3925000000000001</v>
      </c>
      <c r="R1156" s="203">
        <v>2.4300000000000002</v>
      </c>
      <c r="S1156" s="203"/>
      <c r="T1156" s="151">
        <v>0.32</v>
      </c>
      <c r="U1156" s="151">
        <v>1.2</v>
      </c>
      <c r="V1156" s="151">
        <v>0.25</v>
      </c>
      <c r="W1156" s="151">
        <f t="shared" si="70"/>
        <v>2.4300000000000002</v>
      </c>
      <c r="X1156" s="152">
        <f t="shared" si="68"/>
        <v>0.1925</v>
      </c>
      <c r="Y1156" s="152"/>
      <c r="Z1156" s="148"/>
      <c r="AA1156" s="153"/>
      <c r="AB1156" s="153"/>
      <c r="AC1156" s="153"/>
      <c r="AD1156" s="153"/>
      <c r="AH1156" s="147"/>
    </row>
    <row r="1157" spans="1:34" s="146" customFormat="1" x14ac:dyDescent="0.25">
      <c r="A1157" s="196">
        <v>1231</v>
      </c>
      <c r="B1157" s="196" t="s">
        <v>6285</v>
      </c>
      <c r="C1157" s="196" t="s">
        <v>6286</v>
      </c>
      <c r="D1157" s="196" t="s">
        <v>4834</v>
      </c>
      <c r="E1157" s="196" t="s">
        <v>2375</v>
      </c>
      <c r="F1157" s="196">
        <v>1983</v>
      </c>
      <c r="G1157" s="196"/>
      <c r="H1157" s="196" t="s">
        <v>1878</v>
      </c>
      <c r="I1157" s="141" t="s">
        <v>1914</v>
      </c>
      <c r="J1157" s="196"/>
      <c r="K1157" s="196" t="s">
        <v>1881</v>
      </c>
      <c r="L1157" s="141" t="s">
        <v>6287</v>
      </c>
      <c r="M1157" s="196">
        <v>152</v>
      </c>
      <c r="N1157" s="196"/>
      <c r="O1157" s="196" t="s">
        <v>5334</v>
      </c>
      <c r="P1157" s="144">
        <v>186</v>
      </c>
      <c r="Q1157" s="145">
        <f t="shared" si="69"/>
        <v>2.1347999999999998</v>
      </c>
      <c r="R1157" s="203">
        <v>0.25</v>
      </c>
      <c r="S1157" s="203"/>
      <c r="T1157" s="151">
        <v>0.32</v>
      </c>
      <c r="U1157" s="151">
        <v>1.2</v>
      </c>
      <c r="V1157" s="151">
        <v>0.25</v>
      </c>
      <c r="W1157" s="151">
        <f t="shared" si="70"/>
        <v>0.32</v>
      </c>
      <c r="X1157" s="152">
        <f t="shared" si="68"/>
        <v>4.48E-2</v>
      </c>
      <c r="Y1157" s="152"/>
      <c r="Z1157" s="148"/>
      <c r="AA1157" s="153"/>
      <c r="AB1157" s="153"/>
      <c r="AC1157" s="153"/>
      <c r="AD1157" s="153"/>
      <c r="AH1157" s="147"/>
    </row>
    <row r="1158" spans="1:34" s="146" customFormat="1" x14ac:dyDescent="0.25">
      <c r="A1158" s="196">
        <v>618</v>
      </c>
      <c r="B1158" s="196" t="s">
        <v>6288</v>
      </c>
      <c r="C1158" s="196" t="s">
        <v>6289</v>
      </c>
      <c r="D1158" s="196" t="s">
        <v>1920</v>
      </c>
      <c r="E1158" s="196"/>
      <c r="F1158" s="196">
        <v>1986</v>
      </c>
      <c r="G1158" s="196"/>
      <c r="H1158" s="196" t="s">
        <v>1878</v>
      </c>
      <c r="I1158" s="141" t="s">
        <v>1914</v>
      </c>
      <c r="J1158" s="196"/>
      <c r="K1158" s="196" t="s">
        <v>1881</v>
      </c>
      <c r="L1158" s="141" t="s">
        <v>6290</v>
      </c>
      <c r="M1158" s="196">
        <v>224</v>
      </c>
      <c r="N1158" s="196"/>
      <c r="O1158" s="196" t="s">
        <v>5335</v>
      </c>
      <c r="P1158" s="144">
        <v>130</v>
      </c>
      <c r="Q1158" s="145">
        <f t="shared" si="69"/>
        <v>3.3974000000000002</v>
      </c>
      <c r="R1158" s="203">
        <v>1.5</v>
      </c>
      <c r="S1158" s="203"/>
      <c r="T1158" s="151">
        <v>0.32</v>
      </c>
      <c r="U1158" s="151">
        <v>1.2</v>
      </c>
      <c r="V1158" s="151">
        <v>0.25</v>
      </c>
      <c r="W1158" s="151">
        <f t="shared" si="70"/>
        <v>1.5</v>
      </c>
      <c r="X1158" s="152">
        <f t="shared" si="68"/>
        <v>0.12740000000000001</v>
      </c>
      <c r="Y1158" s="152"/>
      <c r="Z1158" s="148"/>
      <c r="AA1158" s="153"/>
      <c r="AB1158" s="153"/>
      <c r="AC1158" s="153"/>
      <c r="AD1158" s="153"/>
      <c r="AH1158" s="147"/>
    </row>
    <row r="1159" spans="1:34" s="146" customFormat="1" x14ac:dyDescent="0.25">
      <c r="A1159" s="196">
        <v>758</v>
      </c>
      <c r="B1159" s="196" t="s">
        <v>6291</v>
      </c>
      <c r="C1159" s="196" t="s">
        <v>6292</v>
      </c>
      <c r="D1159" s="196" t="s">
        <v>1912</v>
      </c>
      <c r="E1159" s="196" t="s">
        <v>2175</v>
      </c>
      <c r="F1159" s="196">
        <v>2005</v>
      </c>
      <c r="G1159" s="196"/>
      <c r="H1159" s="196" t="s">
        <v>1878</v>
      </c>
      <c r="I1159" s="141" t="s">
        <v>1879</v>
      </c>
      <c r="J1159" s="196"/>
      <c r="K1159" s="196" t="s">
        <v>1881</v>
      </c>
      <c r="L1159" s="141" t="s">
        <v>6293</v>
      </c>
      <c r="M1159" s="196">
        <v>192</v>
      </c>
      <c r="N1159" s="196"/>
      <c r="O1159" s="196" t="s">
        <v>5336</v>
      </c>
      <c r="P1159" s="144">
        <v>190</v>
      </c>
      <c r="Q1159" s="145">
        <f t="shared" si="69"/>
        <v>3.7184000000000004</v>
      </c>
      <c r="R1159" s="203">
        <v>1.8</v>
      </c>
      <c r="S1159" s="203"/>
      <c r="T1159" s="151">
        <v>0.32</v>
      </c>
      <c r="U1159" s="151">
        <v>1.2</v>
      </c>
      <c r="V1159" s="151">
        <v>0.25</v>
      </c>
      <c r="W1159" s="151">
        <f t="shared" si="70"/>
        <v>1.8</v>
      </c>
      <c r="X1159" s="152">
        <f t="shared" si="68"/>
        <v>0.1484</v>
      </c>
      <c r="Y1159" s="152"/>
      <c r="Z1159" s="148"/>
      <c r="AA1159" s="153"/>
      <c r="AB1159" s="153"/>
      <c r="AC1159" s="153"/>
      <c r="AD1159" s="153"/>
      <c r="AH1159" s="147"/>
    </row>
    <row r="1160" spans="1:34" s="146" customFormat="1" x14ac:dyDescent="0.25">
      <c r="A1160" s="196">
        <v>692</v>
      </c>
      <c r="B1160" s="196" t="s">
        <v>6294</v>
      </c>
      <c r="C1160" s="196" t="s">
        <v>6295</v>
      </c>
      <c r="D1160" s="196" t="s">
        <v>6296</v>
      </c>
      <c r="E1160" s="196"/>
      <c r="F1160" s="196">
        <v>1984</v>
      </c>
      <c r="G1160" s="196"/>
      <c r="H1160" s="196" t="s">
        <v>2734</v>
      </c>
      <c r="I1160" s="141" t="s">
        <v>1879</v>
      </c>
      <c r="J1160" s="196" t="s">
        <v>5945</v>
      </c>
      <c r="K1160" s="196" t="s">
        <v>1881</v>
      </c>
      <c r="L1160" s="141"/>
      <c r="M1160" s="196">
        <v>310</v>
      </c>
      <c r="N1160" s="196"/>
      <c r="O1160" s="196" t="s">
        <v>5337</v>
      </c>
      <c r="P1160" s="144">
        <v>434</v>
      </c>
      <c r="Q1160" s="145">
        <f t="shared" si="69"/>
        <v>2.5306999999999999</v>
      </c>
      <c r="R1160" s="203">
        <v>0.69</v>
      </c>
      <c r="S1160" s="203"/>
      <c r="T1160" s="151">
        <v>0.32</v>
      </c>
      <c r="U1160" s="151">
        <v>1.2</v>
      </c>
      <c r="V1160" s="151">
        <v>0.25</v>
      </c>
      <c r="W1160" s="151">
        <f t="shared" si="70"/>
        <v>0.69</v>
      </c>
      <c r="X1160" s="152">
        <f t="shared" si="68"/>
        <v>7.0699999999999999E-2</v>
      </c>
      <c r="Y1160" s="152"/>
      <c r="Z1160" s="148"/>
      <c r="AA1160" s="153"/>
      <c r="AB1160" s="153"/>
      <c r="AC1160" s="153"/>
      <c r="AD1160" s="153"/>
      <c r="AH1160" s="147"/>
    </row>
    <row r="1161" spans="1:34" s="146" customFormat="1" x14ac:dyDescent="0.25">
      <c r="A1161" s="196">
        <v>1898</v>
      </c>
      <c r="B1161" s="196" t="s">
        <v>6297</v>
      </c>
      <c r="C1161" s="196" t="s">
        <v>6298</v>
      </c>
      <c r="D1161" s="196" t="s">
        <v>6299</v>
      </c>
      <c r="E1161" s="196"/>
      <c r="F1161" s="196">
        <v>1992</v>
      </c>
      <c r="G1161" s="196"/>
      <c r="H1161" s="196" t="s">
        <v>1878</v>
      </c>
      <c r="I1161" s="141" t="s">
        <v>1879</v>
      </c>
      <c r="J1161" s="196"/>
      <c r="K1161" s="196" t="s">
        <v>1881</v>
      </c>
      <c r="L1161" s="141" t="s">
        <v>6300</v>
      </c>
      <c r="M1161" s="196">
        <v>120</v>
      </c>
      <c r="N1161" s="196"/>
      <c r="O1161" s="196" t="s">
        <v>5338</v>
      </c>
      <c r="P1161" s="144">
        <v>233</v>
      </c>
      <c r="Q1161" s="145">
        <f t="shared" si="69"/>
        <v>4.4139000000000008</v>
      </c>
      <c r="R1161" s="203">
        <v>2.4500000000000002</v>
      </c>
      <c r="S1161" s="203"/>
      <c r="T1161" s="151">
        <v>0.32</v>
      </c>
      <c r="U1161" s="151">
        <v>1.2</v>
      </c>
      <c r="V1161" s="151">
        <v>0.25</v>
      </c>
      <c r="W1161" s="151">
        <f t="shared" si="70"/>
        <v>2.4500000000000002</v>
      </c>
      <c r="X1161" s="152">
        <f t="shared" si="68"/>
        <v>0.19389999999999999</v>
      </c>
      <c r="Y1161" s="152"/>
      <c r="Z1161" s="148"/>
      <c r="AA1161" s="153"/>
      <c r="AB1161" s="153"/>
      <c r="AC1161" s="153"/>
      <c r="AD1161" s="153"/>
      <c r="AH1161" s="147"/>
    </row>
    <row r="1162" spans="1:34" s="146" customFormat="1" x14ac:dyDescent="0.25">
      <c r="A1162" s="196">
        <v>1360</v>
      </c>
      <c r="B1162" s="196" t="s">
        <v>6301</v>
      </c>
      <c r="C1162" s="196" t="s">
        <v>6302</v>
      </c>
      <c r="D1162" s="196" t="s">
        <v>2209</v>
      </c>
      <c r="E1162" s="196" t="s">
        <v>2518</v>
      </c>
      <c r="F1162" s="196">
        <v>2014</v>
      </c>
      <c r="G1162" s="196"/>
      <c r="H1162" s="196" t="s">
        <v>1878</v>
      </c>
      <c r="I1162" s="141" t="s">
        <v>1929</v>
      </c>
      <c r="J1162" s="196"/>
      <c r="K1162" s="196" t="s">
        <v>1881</v>
      </c>
      <c r="L1162" s="141" t="s">
        <v>6303</v>
      </c>
      <c r="M1162" s="196">
        <v>384</v>
      </c>
      <c r="N1162" s="196"/>
      <c r="O1162" s="196" t="s">
        <v>5339</v>
      </c>
      <c r="P1162" s="144">
        <v>309</v>
      </c>
      <c r="Q1162" s="145">
        <f t="shared" si="69"/>
        <v>2.6484000000000001</v>
      </c>
      <c r="R1162" s="203">
        <v>0.8</v>
      </c>
      <c r="S1162" s="203"/>
      <c r="T1162" s="151">
        <v>0.32</v>
      </c>
      <c r="U1162" s="151">
        <v>1.2</v>
      </c>
      <c r="V1162" s="151">
        <v>0.25</v>
      </c>
      <c r="W1162" s="151">
        <f t="shared" si="70"/>
        <v>0.8</v>
      </c>
      <c r="X1162" s="152">
        <f t="shared" si="68"/>
        <v>7.8400000000000011E-2</v>
      </c>
      <c r="Y1162" s="152"/>
      <c r="Z1162" s="148"/>
      <c r="AA1162" s="153"/>
      <c r="AB1162" s="153"/>
      <c r="AC1162" s="153"/>
      <c r="AD1162" s="153"/>
      <c r="AH1162" s="147"/>
    </row>
    <row r="1163" spans="1:34" s="146" customFormat="1" x14ac:dyDescent="0.25">
      <c r="A1163" s="196">
        <v>1360</v>
      </c>
      <c r="B1163" s="196" t="s">
        <v>6304</v>
      </c>
      <c r="C1163" s="196" t="s">
        <v>6305</v>
      </c>
      <c r="D1163" s="196" t="s">
        <v>2068</v>
      </c>
      <c r="E1163" s="196"/>
      <c r="F1163" s="196">
        <v>1983</v>
      </c>
      <c r="G1163" s="196"/>
      <c r="H1163" s="196" t="s">
        <v>1878</v>
      </c>
      <c r="I1163" s="141" t="s">
        <v>1914</v>
      </c>
      <c r="J1163" s="196"/>
      <c r="K1163" s="196" t="s">
        <v>1881</v>
      </c>
      <c r="L1163" s="141" t="s">
        <v>6306</v>
      </c>
      <c r="M1163" s="196">
        <v>128</v>
      </c>
      <c r="N1163" s="196"/>
      <c r="O1163" s="196" t="s">
        <v>5340</v>
      </c>
      <c r="P1163" s="144">
        <v>177</v>
      </c>
      <c r="Q1163" s="145">
        <f t="shared" si="69"/>
        <v>2.4236999999999997</v>
      </c>
      <c r="R1163" s="203">
        <v>0.59</v>
      </c>
      <c r="S1163" s="203"/>
      <c r="T1163" s="151">
        <v>0.32</v>
      </c>
      <c r="U1163" s="151">
        <v>1.2</v>
      </c>
      <c r="V1163" s="151">
        <v>0.25</v>
      </c>
      <c r="W1163" s="151">
        <f t="shared" si="70"/>
        <v>0.59</v>
      </c>
      <c r="X1163" s="152">
        <f t="shared" si="68"/>
        <v>6.3699999999999993E-2</v>
      </c>
      <c r="Y1163" s="152"/>
      <c r="Z1163" s="148"/>
      <c r="AA1163" s="153"/>
      <c r="AB1163" s="153"/>
      <c r="AC1163" s="153"/>
      <c r="AD1163" s="153"/>
      <c r="AH1163" s="147"/>
    </row>
    <row r="1164" spans="1:34" s="146" customFormat="1" x14ac:dyDescent="0.25">
      <c r="A1164" s="196">
        <v>1324</v>
      </c>
      <c r="B1164" s="196" t="s">
        <v>6307</v>
      </c>
      <c r="C1164" s="196" t="s">
        <v>6308</v>
      </c>
      <c r="D1164" s="196" t="s">
        <v>5743</v>
      </c>
      <c r="E1164" s="196" t="s">
        <v>2375</v>
      </c>
      <c r="F1164" s="196">
        <v>2001</v>
      </c>
      <c r="G1164" s="196"/>
      <c r="H1164" s="196" t="s">
        <v>1878</v>
      </c>
      <c r="I1164" s="141" t="s">
        <v>1879</v>
      </c>
      <c r="J1164" s="196"/>
      <c r="K1164" s="196" t="s">
        <v>1881</v>
      </c>
      <c r="L1164" s="141" t="s">
        <v>6309</v>
      </c>
      <c r="M1164" s="196">
        <v>184</v>
      </c>
      <c r="N1164" s="196"/>
      <c r="O1164" s="196" t="s">
        <v>5341</v>
      </c>
      <c r="P1164" s="144">
        <v>474</v>
      </c>
      <c r="Q1164" s="145">
        <f t="shared" si="69"/>
        <v>2.2097000000000002</v>
      </c>
      <c r="R1164" s="203">
        <v>0.39</v>
      </c>
      <c r="S1164" s="203"/>
      <c r="T1164" s="151">
        <v>0.32</v>
      </c>
      <c r="U1164" s="151">
        <v>1.2</v>
      </c>
      <c r="V1164" s="151">
        <v>0.25</v>
      </c>
      <c r="W1164" s="151">
        <f t="shared" si="70"/>
        <v>0.39</v>
      </c>
      <c r="X1164" s="152">
        <f t="shared" si="68"/>
        <v>4.9699999999999994E-2</v>
      </c>
      <c r="Y1164" s="152"/>
      <c r="Z1164" s="148"/>
      <c r="AA1164" s="153"/>
      <c r="AB1164" s="153"/>
      <c r="AC1164" s="153"/>
      <c r="AD1164" s="153"/>
      <c r="AH1164" s="147"/>
    </row>
    <row r="1165" spans="1:34" s="146" customFormat="1" x14ac:dyDescent="0.25">
      <c r="A1165" s="196">
        <v>991</v>
      </c>
      <c r="B1165" s="196"/>
      <c r="C1165" s="196" t="s">
        <v>6310</v>
      </c>
      <c r="D1165" s="196" t="s">
        <v>6311</v>
      </c>
      <c r="E1165" s="196"/>
      <c r="F1165" s="196">
        <v>2006</v>
      </c>
      <c r="G1165" s="196"/>
      <c r="H1165" s="196" t="s">
        <v>1878</v>
      </c>
      <c r="I1165" s="141" t="s">
        <v>1879</v>
      </c>
      <c r="J1165" s="196" t="s">
        <v>4291</v>
      </c>
      <c r="K1165" s="196" t="s">
        <v>1881</v>
      </c>
      <c r="L1165" s="141" t="s">
        <v>6312</v>
      </c>
      <c r="M1165" s="196">
        <v>256</v>
      </c>
      <c r="N1165" s="196"/>
      <c r="O1165" s="196" t="s">
        <v>5342</v>
      </c>
      <c r="P1165" s="144">
        <v>288</v>
      </c>
      <c r="Q1165" s="145">
        <f t="shared" si="69"/>
        <v>2.6377000000000002</v>
      </c>
      <c r="R1165" s="203">
        <v>0.79</v>
      </c>
      <c r="S1165" s="203"/>
      <c r="T1165" s="151">
        <v>0.32</v>
      </c>
      <c r="U1165" s="151">
        <v>1.2</v>
      </c>
      <c r="V1165" s="151">
        <v>0.25</v>
      </c>
      <c r="W1165" s="151">
        <f t="shared" si="70"/>
        <v>0.79</v>
      </c>
      <c r="X1165" s="152">
        <f t="shared" si="68"/>
        <v>7.7700000000000005E-2</v>
      </c>
      <c r="Y1165" s="152"/>
      <c r="Z1165" s="148"/>
      <c r="AA1165" s="153"/>
      <c r="AB1165" s="153"/>
      <c r="AC1165" s="153"/>
      <c r="AD1165" s="153"/>
      <c r="AH1165" s="147"/>
    </row>
    <row r="1166" spans="1:34" s="146" customFormat="1" x14ac:dyDescent="0.25">
      <c r="A1166" s="196">
        <v>2522</v>
      </c>
      <c r="B1166" s="196" t="s">
        <v>6313</v>
      </c>
      <c r="C1166" s="196" t="s">
        <v>6314</v>
      </c>
      <c r="D1166" s="196" t="s">
        <v>2232</v>
      </c>
      <c r="E1166" s="196" t="s">
        <v>1913</v>
      </c>
      <c r="F1166" s="196">
        <v>2018</v>
      </c>
      <c r="G1166" s="196"/>
      <c r="H1166" s="196" t="s">
        <v>1878</v>
      </c>
      <c r="I1166" s="141" t="s">
        <v>1929</v>
      </c>
      <c r="J1166" s="196"/>
      <c r="K1166" s="196" t="s">
        <v>1881</v>
      </c>
      <c r="L1166" s="141" t="s">
        <v>6315</v>
      </c>
      <c r="M1166" s="196">
        <v>352</v>
      </c>
      <c r="N1166" s="196"/>
      <c r="O1166" s="196" t="s">
        <v>5343</v>
      </c>
      <c r="P1166" s="144">
        <v>418</v>
      </c>
      <c r="Q1166" s="145">
        <f t="shared" si="69"/>
        <v>3.3866999999999998</v>
      </c>
      <c r="R1166" s="203">
        <v>1.49</v>
      </c>
      <c r="S1166" s="203"/>
      <c r="T1166" s="151">
        <v>0.32</v>
      </c>
      <c r="U1166" s="151">
        <v>1.2</v>
      </c>
      <c r="V1166" s="151">
        <v>0.25</v>
      </c>
      <c r="W1166" s="151">
        <f t="shared" si="70"/>
        <v>1.49</v>
      </c>
      <c r="X1166" s="152">
        <f t="shared" si="68"/>
        <v>0.12670000000000001</v>
      </c>
      <c r="Y1166" s="152"/>
      <c r="Z1166" s="148"/>
      <c r="AA1166" s="153"/>
      <c r="AB1166" s="153"/>
      <c r="AC1166" s="153"/>
      <c r="AD1166" s="153"/>
      <c r="AH1166" s="147"/>
    </row>
    <row r="1167" spans="1:34" s="146" customFormat="1" x14ac:dyDescent="0.25">
      <c r="A1167" s="196">
        <v>8</v>
      </c>
      <c r="B1167" s="196" t="s">
        <v>6316</v>
      </c>
      <c r="C1167" s="196" t="s">
        <v>6317</v>
      </c>
      <c r="D1167" s="196" t="s">
        <v>2257</v>
      </c>
      <c r="E1167" s="196" t="s">
        <v>2175</v>
      </c>
      <c r="F1167" s="196">
        <v>1993</v>
      </c>
      <c r="G1167" s="196"/>
      <c r="H1167" s="196" t="s">
        <v>1878</v>
      </c>
      <c r="I1167" s="141" t="s">
        <v>1914</v>
      </c>
      <c r="J1167" s="196"/>
      <c r="K1167" s="196" t="s">
        <v>1881</v>
      </c>
      <c r="L1167" s="141" t="s">
        <v>6318</v>
      </c>
      <c r="M1167" s="196">
        <v>432</v>
      </c>
      <c r="N1167" s="196"/>
      <c r="O1167" s="196" t="s">
        <v>5344</v>
      </c>
      <c r="P1167" s="144">
        <v>293</v>
      </c>
      <c r="Q1167" s="145">
        <f t="shared" si="69"/>
        <v>2.5306999999999999</v>
      </c>
      <c r="R1167" s="203">
        <v>0.69</v>
      </c>
      <c r="S1167" s="203"/>
      <c r="T1167" s="151">
        <v>0.32</v>
      </c>
      <c r="U1167" s="151">
        <v>1.2</v>
      </c>
      <c r="V1167" s="151">
        <v>0.25</v>
      </c>
      <c r="W1167" s="151">
        <f t="shared" si="70"/>
        <v>0.69</v>
      </c>
      <c r="X1167" s="152">
        <f t="shared" si="68"/>
        <v>7.0699999999999999E-2</v>
      </c>
      <c r="Y1167" s="152"/>
      <c r="Z1167" s="148"/>
      <c r="AA1167" s="153"/>
      <c r="AB1167" s="153"/>
      <c r="AC1167" s="153"/>
      <c r="AD1167" s="153"/>
      <c r="AH1167" s="147"/>
    </row>
    <row r="1168" spans="1:34" s="146" customFormat="1" x14ac:dyDescent="0.25">
      <c r="A1168" s="196">
        <v>1875</v>
      </c>
      <c r="B1168" s="196" t="s">
        <v>6319</v>
      </c>
      <c r="C1168" s="196" t="s">
        <v>6320</v>
      </c>
      <c r="D1168" s="196" t="s">
        <v>2818</v>
      </c>
      <c r="E1168" s="196" t="s">
        <v>1899</v>
      </c>
      <c r="F1168" s="196">
        <v>2000</v>
      </c>
      <c r="G1168" s="196"/>
      <c r="H1168" s="196" t="s">
        <v>2734</v>
      </c>
      <c r="I1168" s="141" t="s">
        <v>1879</v>
      </c>
      <c r="J1168" s="196"/>
      <c r="K1168" s="196" t="s">
        <v>1881</v>
      </c>
      <c r="L1168" s="141" t="s">
        <v>6321</v>
      </c>
      <c r="M1168" s="196"/>
      <c r="N1168" s="196"/>
      <c r="O1168" s="196" t="s">
        <v>5345</v>
      </c>
      <c r="P1168" s="144">
        <v>171</v>
      </c>
      <c r="Q1168" s="145">
        <f t="shared" si="69"/>
        <v>3.0657000000000001</v>
      </c>
      <c r="R1168" s="203">
        <v>1.19</v>
      </c>
      <c r="S1168" s="203"/>
      <c r="T1168" s="151">
        <v>0.32</v>
      </c>
      <c r="U1168" s="151">
        <v>1.2</v>
      </c>
      <c r="V1168" s="151">
        <v>0.25</v>
      </c>
      <c r="W1168" s="151">
        <f t="shared" si="70"/>
        <v>1.19</v>
      </c>
      <c r="X1168" s="152">
        <f t="shared" si="68"/>
        <v>0.1057</v>
      </c>
      <c r="Y1168" s="152"/>
      <c r="Z1168" s="148"/>
      <c r="AA1168" s="153"/>
      <c r="AB1168" s="153"/>
      <c r="AC1168" s="153"/>
      <c r="AD1168" s="153"/>
      <c r="AH1168" s="147"/>
    </row>
    <row r="1169" spans="1:34" s="146" customFormat="1" x14ac:dyDescent="0.25">
      <c r="A1169" s="196">
        <v>689</v>
      </c>
      <c r="B1169" s="196" t="s">
        <v>6322</v>
      </c>
      <c r="C1169" s="196" t="s">
        <v>6323</v>
      </c>
      <c r="D1169" s="196" t="s">
        <v>5005</v>
      </c>
      <c r="E1169" s="196"/>
      <c r="F1169" s="196">
        <v>2003</v>
      </c>
      <c r="G1169" s="196"/>
      <c r="H1169" s="196" t="s">
        <v>1878</v>
      </c>
      <c r="I1169" s="141" t="s">
        <v>1914</v>
      </c>
      <c r="J1169" s="196"/>
      <c r="K1169" s="196" t="s">
        <v>1881</v>
      </c>
      <c r="L1169" s="141"/>
      <c r="M1169" s="196">
        <v>576</v>
      </c>
      <c r="N1169" s="196"/>
      <c r="O1169" s="196" t="s">
        <v>5346</v>
      </c>
      <c r="P1169" s="144">
        <v>414</v>
      </c>
      <c r="Q1169" s="145">
        <f t="shared" si="69"/>
        <v>2.1347999999999998</v>
      </c>
      <c r="R1169" s="203">
        <v>0.25</v>
      </c>
      <c r="S1169" s="203"/>
      <c r="T1169" s="151">
        <v>0.32</v>
      </c>
      <c r="U1169" s="151">
        <v>1.2</v>
      </c>
      <c r="V1169" s="151">
        <v>0.25</v>
      </c>
      <c r="W1169" s="151">
        <f t="shared" si="70"/>
        <v>0.32</v>
      </c>
      <c r="X1169" s="152">
        <f t="shared" si="68"/>
        <v>4.48E-2</v>
      </c>
      <c r="Y1169" s="152"/>
      <c r="Z1169" s="148"/>
      <c r="AA1169" s="153"/>
      <c r="AB1169" s="153"/>
      <c r="AC1169" s="153"/>
      <c r="AD1169" s="153"/>
      <c r="AH1169" s="147"/>
    </row>
    <row r="1170" spans="1:34" s="146" customFormat="1" x14ac:dyDescent="0.25">
      <c r="A1170" s="196">
        <v>1957</v>
      </c>
      <c r="B1170" s="196" t="s">
        <v>6324</v>
      </c>
      <c r="C1170" s="196" t="s">
        <v>6325</v>
      </c>
      <c r="D1170" s="196" t="s">
        <v>2209</v>
      </c>
      <c r="E1170" s="196" t="s">
        <v>1877</v>
      </c>
      <c r="F1170" s="196">
        <v>1993</v>
      </c>
      <c r="G1170" s="196"/>
      <c r="H1170" s="196" t="s">
        <v>1878</v>
      </c>
      <c r="I1170" s="141" t="s">
        <v>1914</v>
      </c>
      <c r="J1170" s="196"/>
      <c r="K1170" s="196" t="s">
        <v>1881</v>
      </c>
      <c r="L1170" s="141" t="s">
        <v>6326</v>
      </c>
      <c r="M1170" s="196">
        <v>432</v>
      </c>
      <c r="N1170" s="196"/>
      <c r="O1170" s="196" t="s">
        <v>5347</v>
      </c>
      <c r="P1170" s="144">
        <v>288</v>
      </c>
      <c r="Q1170" s="145">
        <f t="shared" si="69"/>
        <v>2.7446999999999999</v>
      </c>
      <c r="R1170" s="203">
        <v>0.89</v>
      </c>
      <c r="S1170" s="203"/>
      <c r="T1170" s="151">
        <v>0.32</v>
      </c>
      <c r="U1170" s="151">
        <v>1.2</v>
      </c>
      <c r="V1170" s="151">
        <v>0.25</v>
      </c>
      <c r="W1170" s="151">
        <f t="shared" si="70"/>
        <v>0.89</v>
      </c>
      <c r="X1170" s="152">
        <f t="shared" si="68"/>
        <v>8.4699999999999998E-2</v>
      </c>
      <c r="Y1170" s="152"/>
      <c r="Z1170" s="148"/>
      <c r="AA1170" s="153"/>
      <c r="AB1170" s="153"/>
      <c r="AC1170" s="153"/>
      <c r="AD1170" s="153"/>
      <c r="AH1170" s="147"/>
    </row>
    <row r="1171" spans="1:34" s="146" customFormat="1" x14ac:dyDescent="0.25">
      <c r="A1171" s="196">
        <v>2551</v>
      </c>
      <c r="B1171" s="196" t="s">
        <v>6327</v>
      </c>
      <c r="C1171" s="196" t="s">
        <v>6328</v>
      </c>
      <c r="D1171" s="196" t="s">
        <v>2232</v>
      </c>
      <c r="E1171" s="196" t="s">
        <v>1921</v>
      </c>
      <c r="F1171" s="196">
        <v>2001</v>
      </c>
      <c r="G1171" s="196"/>
      <c r="H1171" s="196" t="s">
        <v>1878</v>
      </c>
      <c r="I1171" s="141" t="s">
        <v>1879</v>
      </c>
      <c r="J1171" s="196"/>
      <c r="K1171" s="196" t="s">
        <v>1881</v>
      </c>
      <c r="L1171" s="141" t="s">
        <v>6329</v>
      </c>
      <c r="M1171" s="196">
        <v>384</v>
      </c>
      <c r="N1171" s="196"/>
      <c r="O1171" s="196" t="s">
        <v>5348</v>
      </c>
      <c r="P1171" s="144">
        <v>322</v>
      </c>
      <c r="Q1171" s="145">
        <f t="shared" si="69"/>
        <v>2.3167</v>
      </c>
      <c r="R1171" s="203">
        <v>0.49</v>
      </c>
      <c r="S1171" s="203"/>
      <c r="T1171" s="151">
        <v>0.32</v>
      </c>
      <c r="U1171" s="151">
        <v>1.2</v>
      </c>
      <c r="V1171" s="151">
        <v>0.25</v>
      </c>
      <c r="W1171" s="151">
        <f t="shared" si="70"/>
        <v>0.49</v>
      </c>
      <c r="X1171" s="152">
        <f t="shared" si="68"/>
        <v>5.6700000000000007E-2</v>
      </c>
      <c r="Y1171" s="152"/>
      <c r="Z1171" s="148"/>
      <c r="AA1171" s="153"/>
      <c r="AB1171" s="153"/>
      <c r="AC1171" s="153"/>
      <c r="AD1171" s="153"/>
      <c r="AH1171" s="147"/>
    </row>
    <row r="1172" spans="1:34" s="146" customFormat="1" x14ac:dyDescent="0.25">
      <c r="A1172" s="196">
        <v>647</v>
      </c>
      <c r="B1172" s="196" t="s">
        <v>6330</v>
      </c>
      <c r="C1172" s="196" t="s">
        <v>6331</v>
      </c>
      <c r="D1172" s="196" t="s">
        <v>2068</v>
      </c>
      <c r="E1172" s="196"/>
      <c r="F1172" s="196">
        <v>2001</v>
      </c>
      <c r="G1172" s="196"/>
      <c r="H1172" s="196" t="s">
        <v>1878</v>
      </c>
      <c r="I1172" s="141" t="s">
        <v>1879</v>
      </c>
      <c r="J1172" s="196"/>
      <c r="K1172" s="196" t="s">
        <v>1881</v>
      </c>
      <c r="L1172" s="141" t="s">
        <v>6332</v>
      </c>
      <c r="M1172" s="196">
        <v>160</v>
      </c>
      <c r="N1172" s="196"/>
      <c r="O1172" s="196" t="s">
        <v>5349</v>
      </c>
      <c r="P1172" s="144">
        <v>260</v>
      </c>
      <c r="Q1172" s="145">
        <f t="shared" si="69"/>
        <v>2.7446999999999999</v>
      </c>
      <c r="R1172" s="203">
        <v>0.89</v>
      </c>
      <c r="S1172" s="203"/>
      <c r="T1172" s="151">
        <v>0.32</v>
      </c>
      <c r="U1172" s="151">
        <v>1.2</v>
      </c>
      <c r="V1172" s="151">
        <v>0.25</v>
      </c>
      <c r="W1172" s="151">
        <f t="shared" si="70"/>
        <v>0.89</v>
      </c>
      <c r="X1172" s="152">
        <f t="shared" si="68"/>
        <v>8.4699999999999998E-2</v>
      </c>
      <c r="Y1172" s="152"/>
      <c r="Z1172" s="148"/>
      <c r="AA1172" s="153"/>
      <c r="AB1172" s="153"/>
      <c r="AC1172" s="153"/>
      <c r="AD1172" s="153"/>
      <c r="AH1172" s="147"/>
    </row>
    <row r="1173" spans="1:34" s="146" customFormat="1" x14ac:dyDescent="0.25">
      <c r="A1173" s="196">
        <v>1927</v>
      </c>
      <c r="B1173" s="196" t="s">
        <v>6333</v>
      </c>
      <c r="C1173" s="196" t="s">
        <v>6334</v>
      </c>
      <c r="D1173" s="196" t="s">
        <v>2054</v>
      </c>
      <c r="E1173" s="196"/>
      <c r="F1173" s="196">
        <v>2011</v>
      </c>
      <c r="G1173" s="196"/>
      <c r="H1173" s="196" t="s">
        <v>1878</v>
      </c>
      <c r="I1173" s="141" t="s">
        <v>1879</v>
      </c>
      <c r="J1173" s="196"/>
      <c r="K1173" s="196" t="s">
        <v>1881</v>
      </c>
      <c r="L1173" s="141" t="s">
        <v>6335</v>
      </c>
      <c r="M1173" s="196">
        <v>192</v>
      </c>
      <c r="N1173" s="196"/>
      <c r="O1173" s="196" t="s">
        <v>5350</v>
      </c>
      <c r="P1173" s="144">
        <v>360</v>
      </c>
      <c r="Q1173" s="145">
        <f t="shared" si="69"/>
        <v>5.9546999999999999</v>
      </c>
      <c r="R1173" s="203">
        <v>3.89</v>
      </c>
      <c r="S1173" s="203"/>
      <c r="T1173" s="151">
        <v>0.32</v>
      </c>
      <c r="U1173" s="151">
        <v>1.2</v>
      </c>
      <c r="V1173" s="151">
        <v>0.25</v>
      </c>
      <c r="W1173" s="151">
        <f t="shared" si="70"/>
        <v>3.89</v>
      </c>
      <c r="X1173" s="152">
        <f t="shared" si="68"/>
        <v>0.29469999999999996</v>
      </c>
      <c r="Y1173" s="152"/>
      <c r="Z1173" s="148"/>
      <c r="AA1173" s="153"/>
      <c r="AB1173" s="153"/>
      <c r="AC1173" s="153"/>
      <c r="AD1173" s="153"/>
      <c r="AH1173" s="147"/>
    </row>
    <row r="1174" spans="1:34" s="146" customFormat="1" x14ac:dyDescent="0.25">
      <c r="A1174" s="196">
        <v>1395</v>
      </c>
      <c r="B1174" s="196" t="s">
        <v>6336</v>
      </c>
      <c r="C1174" s="196" t="s">
        <v>6337</v>
      </c>
      <c r="D1174" s="196" t="s">
        <v>1912</v>
      </c>
      <c r="E1174" s="196" t="s">
        <v>1913</v>
      </c>
      <c r="F1174" s="196">
        <v>2012</v>
      </c>
      <c r="G1174" s="196"/>
      <c r="H1174" s="196" t="s">
        <v>1878</v>
      </c>
      <c r="I1174" s="141" t="s">
        <v>1879</v>
      </c>
      <c r="J1174" s="143" t="s">
        <v>3854</v>
      </c>
      <c r="K1174" s="196" t="s">
        <v>1881</v>
      </c>
      <c r="L1174" s="141" t="s">
        <v>6338</v>
      </c>
      <c r="M1174" s="196">
        <v>320</v>
      </c>
      <c r="N1174" s="196"/>
      <c r="O1174" s="196" t="s">
        <v>5351</v>
      </c>
      <c r="P1174" s="144">
        <v>292</v>
      </c>
      <c r="Q1174" s="145">
        <f t="shared" si="69"/>
        <v>2.3167</v>
      </c>
      <c r="R1174" s="203">
        <v>0.49</v>
      </c>
      <c r="S1174" s="203"/>
      <c r="T1174" s="151">
        <v>0.32</v>
      </c>
      <c r="U1174" s="151">
        <v>1.2</v>
      </c>
      <c r="V1174" s="151">
        <v>0.25</v>
      </c>
      <c r="W1174" s="151">
        <f t="shared" si="70"/>
        <v>0.49</v>
      </c>
      <c r="X1174" s="152">
        <f t="shared" si="68"/>
        <v>5.6700000000000007E-2</v>
      </c>
      <c r="Y1174" s="152"/>
      <c r="Z1174" s="148"/>
      <c r="AA1174" s="153"/>
      <c r="AB1174" s="153"/>
      <c r="AC1174" s="153"/>
      <c r="AD1174" s="153"/>
      <c r="AH1174" s="147"/>
    </row>
    <row r="1175" spans="1:34" s="146" customFormat="1" x14ac:dyDescent="0.25">
      <c r="A1175" s="196">
        <v>2571</v>
      </c>
      <c r="B1175" s="196" t="s">
        <v>6339</v>
      </c>
      <c r="C1175" s="196" t="s">
        <v>6340</v>
      </c>
      <c r="D1175" s="196" t="s">
        <v>2257</v>
      </c>
      <c r="E1175" s="196"/>
      <c r="F1175" s="196">
        <v>2008</v>
      </c>
      <c r="G1175" s="196"/>
      <c r="H1175" s="196" t="s">
        <v>1878</v>
      </c>
      <c r="I1175" s="141" t="s">
        <v>1914</v>
      </c>
      <c r="J1175" s="196"/>
      <c r="K1175" s="196" t="s">
        <v>1881</v>
      </c>
      <c r="L1175" s="141" t="s">
        <v>6341</v>
      </c>
      <c r="M1175" s="196">
        <v>528</v>
      </c>
      <c r="N1175" s="196"/>
      <c r="O1175" s="196" t="s">
        <v>5352</v>
      </c>
      <c r="P1175" s="144">
        <v>354</v>
      </c>
      <c r="Q1175" s="145">
        <f t="shared" si="69"/>
        <v>2.9587000000000003</v>
      </c>
      <c r="R1175" s="203">
        <v>1.0900000000000001</v>
      </c>
      <c r="S1175" s="203"/>
      <c r="T1175" s="151">
        <v>0.32</v>
      </c>
      <c r="U1175" s="151">
        <v>1.2</v>
      </c>
      <c r="V1175" s="151">
        <v>0.25</v>
      </c>
      <c r="W1175" s="151">
        <f t="shared" si="70"/>
        <v>1.0900000000000001</v>
      </c>
      <c r="X1175" s="152">
        <f t="shared" si="68"/>
        <v>9.870000000000001E-2</v>
      </c>
      <c r="Y1175" s="152"/>
      <c r="Z1175" s="148"/>
      <c r="AA1175" s="153"/>
      <c r="AB1175" s="153"/>
      <c r="AC1175" s="153"/>
      <c r="AD1175" s="153"/>
      <c r="AH1175" s="147"/>
    </row>
    <row r="1176" spans="1:34" s="146" customFormat="1" x14ac:dyDescent="0.25">
      <c r="A1176" s="196">
        <v>2851</v>
      </c>
      <c r="B1176" s="196" t="s">
        <v>6342</v>
      </c>
      <c r="C1176" s="196" t="s">
        <v>6343</v>
      </c>
      <c r="D1176" s="196" t="s">
        <v>2176</v>
      </c>
      <c r="E1176" s="196"/>
      <c r="F1176" s="196">
        <v>1999</v>
      </c>
      <c r="G1176" s="196"/>
      <c r="H1176" s="196" t="s">
        <v>2734</v>
      </c>
      <c r="I1176" s="141" t="s">
        <v>1929</v>
      </c>
      <c r="J1176" s="196"/>
      <c r="K1176" s="196" t="s">
        <v>1881</v>
      </c>
      <c r="L1176" s="141" t="s">
        <v>6344</v>
      </c>
      <c r="M1176" s="196">
        <v>562</v>
      </c>
      <c r="N1176" s="196"/>
      <c r="O1176" s="196" t="s">
        <v>5353</v>
      </c>
      <c r="P1176" s="144">
        <v>977</v>
      </c>
      <c r="Q1176" s="145">
        <f t="shared" si="69"/>
        <v>3.2446999999999999</v>
      </c>
      <c r="R1176" s="203">
        <v>0.89</v>
      </c>
      <c r="S1176" s="203"/>
      <c r="T1176" s="151">
        <v>0.32</v>
      </c>
      <c r="U1176" s="151">
        <v>1.7</v>
      </c>
      <c r="V1176" s="151">
        <v>0.25</v>
      </c>
      <c r="W1176" s="151">
        <f t="shared" si="70"/>
        <v>0.89</v>
      </c>
      <c r="X1176" s="152">
        <f t="shared" si="68"/>
        <v>8.4699999999999998E-2</v>
      </c>
      <c r="Y1176" s="152"/>
      <c r="Z1176" s="148"/>
      <c r="AA1176" s="153"/>
      <c r="AB1176" s="153"/>
      <c r="AC1176" s="153"/>
      <c r="AD1176" s="153"/>
      <c r="AH1176" s="147"/>
    </row>
    <row r="1177" spans="1:34" s="146" customFormat="1" x14ac:dyDescent="0.25">
      <c r="A1177" s="196">
        <v>2571</v>
      </c>
      <c r="B1177" s="196" t="s">
        <v>6345</v>
      </c>
      <c r="C1177" s="196" t="s">
        <v>6346</v>
      </c>
      <c r="D1177" s="196" t="s">
        <v>2300</v>
      </c>
      <c r="E1177" s="196"/>
      <c r="F1177" s="196">
        <v>2012</v>
      </c>
      <c r="G1177" s="196"/>
      <c r="H1177" s="196" t="s">
        <v>1878</v>
      </c>
      <c r="I1177" s="141" t="s">
        <v>1879</v>
      </c>
      <c r="J1177" s="143" t="s">
        <v>3854</v>
      </c>
      <c r="K1177" s="196" t="s">
        <v>1881</v>
      </c>
      <c r="L1177" s="141" t="s">
        <v>6347</v>
      </c>
      <c r="M1177" s="196">
        <v>384</v>
      </c>
      <c r="N1177" s="196"/>
      <c r="O1177" s="196" t="s">
        <v>5354</v>
      </c>
      <c r="P1177" s="144">
        <v>343</v>
      </c>
      <c r="Q1177" s="145">
        <f t="shared" si="69"/>
        <v>2.4236999999999997</v>
      </c>
      <c r="R1177" s="203">
        <v>0.59</v>
      </c>
      <c r="S1177" s="203"/>
      <c r="T1177" s="151">
        <v>0.32</v>
      </c>
      <c r="U1177" s="151">
        <v>1.2</v>
      </c>
      <c r="V1177" s="151">
        <v>0.25</v>
      </c>
      <c r="W1177" s="151">
        <f t="shared" si="70"/>
        <v>0.59</v>
      </c>
      <c r="X1177" s="152">
        <f t="shared" si="68"/>
        <v>6.3699999999999993E-2</v>
      </c>
      <c r="Y1177" s="152"/>
      <c r="Z1177" s="148"/>
      <c r="AA1177" s="153"/>
      <c r="AB1177" s="153"/>
      <c r="AC1177" s="153"/>
      <c r="AD1177" s="153"/>
      <c r="AH1177" s="147"/>
    </row>
    <row r="1178" spans="1:34" s="146" customFormat="1" x14ac:dyDescent="0.25">
      <c r="A1178" s="196">
        <v>689</v>
      </c>
      <c r="B1178" s="196" t="s">
        <v>2470</v>
      </c>
      <c r="C1178" s="196" t="s">
        <v>6348</v>
      </c>
      <c r="D1178" s="196" t="s">
        <v>4669</v>
      </c>
      <c r="E1178" s="196"/>
      <c r="F1178" s="196">
        <v>2004</v>
      </c>
      <c r="G1178" s="196"/>
      <c r="H1178" s="196" t="s">
        <v>2734</v>
      </c>
      <c r="I1178" s="141" t="s">
        <v>1929</v>
      </c>
      <c r="J1178" s="196"/>
      <c r="K1178" s="196" t="s">
        <v>1881</v>
      </c>
      <c r="L1178" s="141" t="s">
        <v>6349</v>
      </c>
      <c r="M1178" s="196">
        <v>242</v>
      </c>
      <c r="N1178" s="196"/>
      <c r="O1178" s="196" t="s">
        <v>5355</v>
      </c>
      <c r="P1178" s="144">
        <v>460</v>
      </c>
      <c r="Q1178" s="145">
        <f t="shared" si="69"/>
        <v>2.8516999999999997</v>
      </c>
      <c r="R1178" s="203">
        <v>0.99</v>
      </c>
      <c r="S1178" s="203"/>
      <c r="T1178" s="151">
        <v>0.32</v>
      </c>
      <c r="U1178" s="151">
        <v>1.2</v>
      </c>
      <c r="V1178" s="151">
        <v>0.25</v>
      </c>
      <c r="W1178" s="151">
        <f t="shared" si="70"/>
        <v>0.99</v>
      </c>
      <c r="X1178" s="152">
        <f t="shared" si="68"/>
        <v>9.1700000000000004E-2</v>
      </c>
      <c r="Y1178" s="152"/>
      <c r="Z1178" s="148"/>
      <c r="AA1178" s="153"/>
      <c r="AB1178" s="153"/>
      <c r="AC1178" s="153"/>
      <c r="AD1178" s="153"/>
      <c r="AH1178" s="147"/>
    </row>
    <row r="1179" spans="1:34" s="146" customFormat="1" x14ac:dyDescent="0.25">
      <c r="A1179" s="196">
        <v>1395</v>
      </c>
      <c r="B1179" s="196" t="s">
        <v>6350</v>
      </c>
      <c r="C1179" s="196" t="s">
        <v>6351</v>
      </c>
      <c r="D1179" s="196" t="s">
        <v>1993</v>
      </c>
      <c r="E1179" s="196" t="s">
        <v>1913</v>
      </c>
      <c r="F1179" s="196">
        <v>2011</v>
      </c>
      <c r="G1179" s="196"/>
      <c r="H1179" s="196" t="s">
        <v>1878</v>
      </c>
      <c r="I1179" s="141" t="s">
        <v>1879</v>
      </c>
      <c r="J1179" s="196"/>
      <c r="K1179" s="196" t="s">
        <v>1881</v>
      </c>
      <c r="L1179" s="141" t="s">
        <v>6352</v>
      </c>
      <c r="M1179" s="196">
        <v>352</v>
      </c>
      <c r="N1179" s="196"/>
      <c r="O1179" s="196" t="s">
        <v>5356</v>
      </c>
      <c r="P1179" s="144">
        <v>296</v>
      </c>
      <c r="Q1179" s="145">
        <f t="shared" si="69"/>
        <v>2.1347999999999998</v>
      </c>
      <c r="R1179" s="203">
        <v>0.25</v>
      </c>
      <c r="S1179" s="203"/>
      <c r="T1179" s="151">
        <v>0.32</v>
      </c>
      <c r="U1179" s="151">
        <v>1.2</v>
      </c>
      <c r="V1179" s="151">
        <v>0.25</v>
      </c>
      <c r="W1179" s="151">
        <f t="shared" si="70"/>
        <v>0.32</v>
      </c>
      <c r="X1179" s="152">
        <f t="shared" si="68"/>
        <v>4.48E-2</v>
      </c>
      <c r="Y1179" s="152"/>
      <c r="Z1179" s="148"/>
      <c r="AA1179" s="153"/>
      <c r="AB1179" s="153"/>
      <c r="AC1179" s="153"/>
      <c r="AD1179" s="153"/>
      <c r="AH1179" s="147"/>
    </row>
    <row r="1180" spans="1:34" s="146" customFormat="1" x14ac:dyDescent="0.25">
      <c r="A1180" s="196">
        <v>1327</v>
      </c>
      <c r="B1180" s="196" t="s">
        <v>6353</v>
      </c>
      <c r="C1180" s="196" t="s">
        <v>6354</v>
      </c>
      <c r="D1180" s="196" t="s">
        <v>2151</v>
      </c>
      <c r="E1180" s="196" t="s">
        <v>1877</v>
      </c>
      <c r="F1180" s="196">
        <v>1985</v>
      </c>
      <c r="G1180" s="196"/>
      <c r="H1180" s="196" t="s">
        <v>1878</v>
      </c>
      <c r="I1180" s="141" t="s">
        <v>1914</v>
      </c>
      <c r="J1180" s="196"/>
      <c r="K1180" s="196" t="s">
        <v>1881</v>
      </c>
      <c r="L1180" s="141" t="s">
        <v>6355</v>
      </c>
      <c r="M1180" s="196">
        <v>240</v>
      </c>
      <c r="N1180" s="196"/>
      <c r="O1180" s="196" t="s">
        <v>5357</v>
      </c>
      <c r="P1180" s="144">
        <v>142</v>
      </c>
      <c r="Q1180" s="145">
        <f t="shared" si="69"/>
        <v>2.1347999999999998</v>
      </c>
      <c r="R1180" s="203">
        <v>0.25</v>
      </c>
      <c r="S1180" s="203"/>
      <c r="T1180" s="151">
        <v>0.32</v>
      </c>
      <c r="U1180" s="151">
        <v>1.2</v>
      </c>
      <c r="V1180" s="151">
        <v>0.25</v>
      </c>
      <c r="W1180" s="151">
        <f t="shared" si="70"/>
        <v>0.32</v>
      </c>
      <c r="X1180" s="152">
        <f t="shared" si="68"/>
        <v>4.48E-2</v>
      </c>
      <c r="Y1180" s="152"/>
      <c r="Z1180" s="148"/>
      <c r="AA1180" s="153"/>
      <c r="AB1180" s="153"/>
      <c r="AC1180" s="153"/>
      <c r="AD1180" s="153"/>
      <c r="AH1180" s="147"/>
    </row>
    <row r="1181" spans="1:34" s="146" customFormat="1" ht="21" customHeight="1" x14ac:dyDescent="0.25">
      <c r="A1181" s="196">
        <v>2851</v>
      </c>
      <c r="B1181" s="196" t="s">
        <v>6357</v>
      </c>
      <c r="C1181" s="196" t="s">
        <v>6358</v>
      </c>
      <c r="D1181" s="196" t="s">
        <v>3864</v>
      </c>
      <c r="E1181" s="196"/>
      <c r="F1181" s="196">
        <v>2016</v>
      </c>
      <c r="G1181" s="196"/>
      <c r="H1181" s="196" t="s">
        <v>2734</v>
      </c>
      <c r="I1181" s="141" t="s">
        <v>1929</v>
      </c>
      <c r="J1181" s="142" t="s">
        <v>6375</v>
      </c>
      <c r="K1181" s="196" t="s">
        <v>1881</v>
      </c>
      <c r="L1181" s="141" t="s">
        <v>6360</v>
      </c>
      <c r="M1181" s="196"/>
      <c r="N1181" s="196"/>
      <c r="O1181" s="196" t="s">
        <v>5358</v>
      </c>
      <c r="P1181" s="144">
        <v>384</v>
      </c>
      <c r="Q1181" s="145">
        <f t="shared" si="69"/>
        <v>1.6303000000000001</v>
      </c>
      <c r="R1181" s="203">
        <v>0.99</v>
      </c>
      <c r="S1181" s="203"/>
      <c r="T1181" s="78">
        <v>0.3</v>
      </c>
      <c r="U1181" s="151"/>
      <c r="V1181" s="151">
        <v>0.25</v>
      </c>
      <c r="W1181" s="151">
        <f t="shared" si="70"/>
        <v>0.99</v>
      </c>
      <c r="X1181" s="152">
        <f t="shared" si="68"/>
        <v>9.0300000000000005E-2</v>
      </c>
      <c r="Y1181" s="152"/>
      <c r="Z1181" s="148"/>
      <c r="AA1181" s="87"/>
      <c r="AB1181" s="87"/>
      <c r="AC1181" s="87"/>
      <c r="AD1181" s="87"/>
      <c r="AH1181" s="147"/>
    </row>
    <row r="1182" spans="1:34" s="146" customFormat="1" ht="18.75" customHeight="1" x14ac:dyDescent="0.25">
      <c r="A1182" s="196">
        <v>655</v>
      </c>
      <c r="B1182" s="196" t="s">
        <v>6362</v>
      </c>
      <c r="C1182" s="196" t="s">
        <v>6363</v>
      </c>
      <c r="D1182" s="196" t="s">
        <v>2117</v>
      </c>
      <c r="E1182" s="196" t="s">
        <v>1913</v>
      </c>
      <c r="F1182" s="196">
        <v>2016</v>
      </c>
      <c r="G1182" s="196"/>
      <c r="H1182" s="196"/>
      <c r="I1182" s="141" t="s">
        <v>1929</v>
      </c>
      <c r="J1182" s="52" t="s">
        <v>3854</v>
      </c>
      <c r="K1182" s="196" t="s">
        <v>6364</v>
      </c>
      <c r="L1182" s="141" t="s">
        <v>6361</v>
      </c>
      <c r="M1182" s="196">
        <v>50</v>
      </c>
      <c r="N1182" s="196"/>
      <c r="O1182" s="196" t="s">
        <v>5359</v>
      </c>
      <c r="P1182" s="144">
        <v>330</v>
      </c>
      <c r="Q1182" s="145">
        <f t="shared" si="69"/>
        <v>4.8403</v>
      </c>
      <c r="R1182" s="203">
        <v>3.99</v>
      </c>
      <c r="S1182" s="203"/>
      <c r="T1182" s="78">
        <v>0.3</v>
      </c>
      <c r="U1182" s="151"/>
      <c r="V1182" s="151">
        <v>0.25</v>
      </c>
      <c r="W1182" s="151">
        <f t="shared" si="70"/>
        <v>3.99</v>
      </c>
      <c r="X1182" s="152">
        <f t="shared" si="68"/>
        <v>0.30030000000000001</v>
      </c>
      <c r="Y1182" s="152"/>
      <c r="Z1182" s="148"/>
      <c r="AA1182" s="87"/>
      <c r="AB1182" s="87"/>
      <c r="AC1182" s="87"/>
      <c r="AD1182" s="87"/>
      <c r="AH1182" s="147"/>
    </row>
    <row r="1183" spans="1:34" s="146" customFormat="1" ht="12" customHeight="1" x14ac:dyDescent="0.25">
      <c r="A1183" s="196">
        <v>704</v>
      </c>
      <c r="B1183" s="196" t="s">
        <v>6365</v>
      </c>
      <c r="C1183" s="196" t="s">
        <v>6366</v>
      </c>
      <c r="D1183" s="196" t="s">
        <v>6367</v>
      </c>
      <c r="E1183" s="196"/>
      <c r="F1183" s="196">
        <v>2013</v>
      </c>
      <c r="G1183" s="196"/>
      <c r="H1183" s="196" t="s">
        <v>1878</v>
      </c>
      <c r="I1183" s="141" t="s">
        <v>1929</v>
      </c>
      <c r="J1183" s="52" t="s">
        <v>3854</v>
      </c>
      <c r="K1183" s="196" t="s">
        <v>1881</v>
      </c>
      <c r="L1183" s="141" t="s">
        <v>6368</v>
      </c>
      <c r="M1183" s="196">
        <v>208</v>
      </c>
      <c r="N1183" s="196"/>
      <c r="O1183" s="196" t="s">
        <v>5360</v>
      </c>
      <c r="P1183" s="144">
        <v>316</v>
      </c>
      <c r="Q1183" s="145">
        <f t="shared" si="69"/>
        <v>4.3052999999999999</v>
      </c>
      <c r="R1183" s="203">
        <v>3.49</v>
      </c>
      <c r="S1183" s="203"/>
      <c r="T1183" s="78">
        <v>0.3</v>
      </c>
      <c r="U1183" s="151"/>
      <c r="V1183" s="151">
        <v>0.25</v>
      </c>
      <c r="W1183" s="151">
        <f t="shared" si="70"/>
        <v>3.49</v>
      </c>
      <c r="X1183" s="152">
        <f t="shared" si="68"/>
        <v>0.26530000000000004</v>
      </c>
      <c r="Y1183" s="152"/>
      <c r="Z1183" s="148"/>
      <c r="AA1183" s="87"/>
      <c r="AB1183" s="87"/>
      <c r="AC1183" s="87"/>
      <c r="AD1183" s="87"/>
      <c r="AH1183" s="147"/>
    </row>
    <row r="1184" spans="1:34" s="146" customFormat="1" ht="14.25" customHeight="1" x14ac:dyDescent="0.25">
      <c r="A1184" s="196">
        <v>2706</v>
      </c>
      <c r="B1184" s="196" t="s">
        <v>6369</v>
      </c>
      <c r="C1184" s="196" t="s">
        <v>6370</v>
      </c>
      <c r="D1184" s="196" t="s">
        <v>2117</v>
      </c>
      <c r="E1184" s="196" t="s">
        <v>1913</v>
      </c>
      <c r="F1184" s="196">
        <v>2013</v>
      </c>
      <c r="G1184" s="196"/>
      <c r="H1184" s="196" t="s">
        <v>1878</v>
      </c>
      <c r="I1184" s="141" t="s">
        <v>1929</v>
      </c>
      <c r="J1184" s="52" t="s">
        <v>3854</v>
      </c>
      <c r="K1184" s="196" t="s">
        <v>1881</v>
      </c>
      <c r="L1184" s="141" t="s">
        <v>6371</v>
      </c>
      <c r="M1184" s="196">
        <v>128</v>
      </c>
      <c r="N1184" s="196"/>
      <c r="O1184" s="196" t="s">
        <v>5361</v>
      </c>
      <c r="P1184" s="144">
        <v>274</v>
      </c>
      <c r="Q1184" s="145">
        <f t="shared" si="69"/>
        <v>2.7002999999999999</v>
      </c>
      <c r="R1184" s="203">
        <v>1.99</v>
      </c>
      <c r="S1184" s="203"/>
      <c r="T1184" s="78">
        <v>0.3</v>
      </c>
      <c r="U1184" s="151"/>
      <c r="V1184" s="151">
        <v>0.25</v>
      </c>
      <c r="W1184" s="151">
        <f t="shared" si="70"/>
        <v>1.99</v>
      </c>
      <c r="X1184" s="152">
        <f t="shared" si="68"/>
        <v>0.1603</v>
      </c>
      <c r="Y1184" s="152"/>
      <c r="Z1184" s="148"/>
      <c r="AA1184" s="87"/>
      <c r="AB1184" s="87"/>
      <c r="AC1184" s="87"/>
      <c r="AD1184" s="87"/>
      <c r="AH1184" s="147"/>
    </row>
    <row r="1185" spans="1:34" s="146" customFormat="1" ht="13.5" customHeight="1" x14ac:dyDescent="0.25">
      <c r="A1185" s="196">
        <v>2706</v>
      </c>
      <c r="B1185" s="196" t="s">
        <v>6372</v>
      </c>
      <c r="C1185" s="196" t="s">
        <v>6373</v>
      </c>
      <c r="D1185" s="196" t="s">
        <v>2117</v>
      </c>
      <c r="E1185" s="196" t="s">
        <v>1877</v>
      </c>
      <c r="F1185" s="196">
        <v>2014</v>
      </c>
      <c r="G1185" s="196"/>
      <c r="H1185" s="196" t="s">
        <v>1878</v>
      </c>
      <c r="I1185" s="141" t="s">
        <v>1929</v>
      </c>
      <c r="J1185" s="52"/>
      <c r="K1185" s="196" t="s">
        <v>1881</v>
      </c>
      <c r="L1185" s="141" t="s">
        <v>6374</v>
      </c>
      <c r="M1185" s="196">
        <v>144</v>
      </c>
      <c r="N1185" s="196"/>
      <c r="O1185" s="196" t="s">
        <v>5362</v>
      </c>
      <c r="P1185" s="144">
        <v>328</v>
      </c>
      <c r="Q1185" s="145">
        <f t="shared" si="69"/>
        <v>2.0583</v>
      </c>
      <c r="R1185" s="203">
        <v>1.39</v>
      </c>
      <c r="S1185" s="203"/>
      <c r="T1185" s="78">
        <v>0.3</v>
      </c>
      <c r="U1185" s="151"/>
      <c r="V1185" s="151">
        <v>0.25</v>
      </c>
      <c r="W1185" s="151">
        <f t="shared" si="70"/>
        <v>1.39</v>
      </c>
      <c r="X1185" s="152">
        <f t="shared" si="68"/>
        <v>0.11829999999999999</v>
      </c>
      <c r="Y1185" s="152"/>
      <c r="Z1185" s="148"/>
      <c r="AA1185" s="87"/>
      <c r="AB1185" s="87"/>
      <c r="AC1185" s="87"/>
      <c r="AD1185" s="87"/>
      <c r="AH1185" s="147"/>
    </row>
    <row r="1186" spans="1:34" s="146" customFormat="1" ht="14.25" customHeight="1" x14ac:dyDescent="0.25">
      <c r="A1186" s="196">
        <v>689</v>
      </c>
      <c r="B1186" s="196" t="s">
        <v>6376</v>
      </c>
      <c r="C1186" s="196" t="s">
        <v>6377</v>
      </c>
      <c r="D1186" s="196" t="s">
        <v>2822</v>
      </c>
      <c r="E1186" s="196" t="s">
        <v>1877</v>
      </c>
      <c r="F1186" s="196">
        <v>2018</v>
      </c>
      <c r="G1186" s="196"/>
      <c r="H1186" s="196" t="s">
        <v>1878</v>
      </c>
      <c r="I1186" s="141" t="s">
        <v>1929</v>
      </c>
      <c r="J1186" s="52" t="s">
        <v>3854</v>
      </c>
      <c r="K1186" s="196" t="s">
        <v>1881</v>
      </c>
      <c r="L1186" s="141" t="s">
        <v>6378</v>
      </c>
      <c r="M1186" s="196">
        <v>400</v>
      </c>
      <c r="N1186" s="196"/>
      <c r="O1186" s="196" t="s">
        <v>5363</v>
      </c>
      <c r="P1186" s="144">
        <v>485</v>
      </c>
      <c r="Q1186" s="145">
        <f t="shared" si="69"/>
        <v>5.3753000000000002</v>
      </c>
      <c r="R1186" s="203">
        <v>4.49</v>
      </c>
      <c r="S1186" s="203"/>
      <c r="T1186" s="78">
        <v>0.3</v>
      </c>
      <c r="U1186" s="151"/>
      <c r="V1186" s="151">
        <v>0.25</v>
      </c>
      <c r="W1186" s="151">
        <f t="shared" si="70"/>
        <v>4.49</v>
      </c>
      <c r="X1186" s="152">
        <f t="shared" si="68"/>
        <v>0.33529999999999999</v>
      </c>
      <c r="Y1186" s="152"/>
      <c r="Z1186" s="148"/>
      <c r="AA1186" s="87"/>
      <c r="AB1186" s="87"/>
      <c r="AC1186" s="87"/>
      <c r="AD1186" s="87"/>
      <c r="AH1186" s="147"/>
    </row>
    <row r="1187" spans="1:34" s="146" customFormat="1" ht="13.5" customHeight="1" x14ac:dyDescent="0.25">
      <c r="A1187" s="196">
        <v>634</v>
      </c>
      <c r="B1187" s="196" t="s">
        <v>6379</v>
      </c>
      <c r="C1187" s="196" t="s">
        <v>6380</v>
      </c>
      <c r="D1187" s="196" t="s">
        <v>2609</v>
      </c>
      <c r="E1187" s="196"/>
      <c r="F1187" s="196">
        <v>2015</v>
      </c>
      <c r="G1187" s="196"/>
      <c r="H1187" s="196" t="s">
        <v>1878</v>
      </c>
      <c r="I1187" s="141" t="s">
        <v>1929</v>
      </c>
      <c r="J1187" s="52" t="s">
        <v>3854</v>
      </c>
      <c r="K1187" s="196" t="s">
        <v>1881</v>
      </c>
      <c r="L1187" s="141" t="s">
        <v>6381</v>
      </c>
      <c r="M1187" s="196">
        <v>352</v>
      </c>
      <c r="N1187" s="196"/>
      <c r="O1187" s="196" t="s">
        <v>5364</v>
      </c>
      <c r="P1187" s="144">
        <v>306</v>
      </c>
      <c r="Q1187" s="145">
        <f t="shared" si="69"/>
        <v>2.2830000000000004</v>
      </c>
      <c r="R1187" s="203">
        <v>1.6</v>
      </c>
      <c r="S1187" s="203"/>
      <c r="T1187" s="78">
        <v>0.3</v>
      </c>
      <c r="U1187" s="151"/>
      <c r="V1187" s="151">
        <v>0.25</v>
      </c>
      <c r="W1187" s="151">
        <f t="shared" si="70"/>
        <v>1.6</v>
      </c>
      <c r="X1187" s="152">
        <f t="shared" si="68"/>
        <v>0.13300000000000001</v>
      </c>
      <c r="Y1187" s="152"/>
      <c r="Z1187" s="148"/>
      <c r="AA1187" s="87"/>
      <c r="AB1187" s="87"/>
      <c r="AC1187" s="87"/>
      <c r="AD1187" s="87"/>
      <c r="AH1187" s="147"/>
    </row>
    <row r="1188" spans="1:34" s="146" customFormat="1" ht="17.25" customHeight="1" x14ac:dyDescent="0.25">
      <c r="A1188" s="196">
        <v>704</v>
      </c>
      <c r="B1188" s="196" t="s">
        <v>6382</v>
      </c>
      <c r="C1188" s="196" t="s">
        <v>6383</v>
      </c>
      <c r="D1188" s="196" t="s">
        <v>2901</v>
      </c>
      <c r="E1188" s="196" t="s">
        <v>1913</v>
      </c>
      <c r="F1188" s="196">
        <v>2010</v>
      </c>
      <c r="G1188" s="196"/>
      <c r="H1188" s="196" t="s">
        <v>2734</v>
      </c>
      <c r="I1188" s="141" t="s">
        <v>1929</v>
      </c>
      <c r="J1188" s="52"/>
      <c r="K1188" s="196" t="s">
        <v>1881</v>
      </c>
      <c r="L1188" s="141" t="s">
        <v>6384</v>
      </c>
      <c r="M1188" s="196"/>
      <c r="N1188" s="196"/>
      <c r="O1188" s="196" t="s">
        <v>5365</v>
      </c>
      <c r="P1188" s="144">
        <v>170</v>
      </c>
      <c r="Q1188" s="145">
        <f t="shared" si="69"/>
        <v>3.6633000000000004</v>
      </c>
      <c r="R1188" s="203">
        <v>2.89</v>
      </c>
      <c r="S1188" s="203"/>
      <c r="T1188" s="78">
        <v>0.3</v>
      </c>
      <c r="U1188" s="151"/>
      <c r="V1188" s="151">
        <v>0.25</v>
      </c>
      <c r="W1188" s="151">
        <f t="shared" si="70"/>
        <v>2.89</v>
      </c>
      <c r="X1188" s="152">
        <f t="shared" si="68"/>
        <v>0.2233</v>
      </c>
      <c r="Y1188" s="152"/>
      <c r="Z1188" s="148"/>
      <c r="AA1188" s="87"/>
      <c r="AB1188" s="87"/>
      <c r="AC1188" s="87"/>
      <c r="AD1188" s="87"/>
      <c r="AH1188" s="147"/>
    </row>
    <row r="1189" spans="1:34" s="146" customFormat="1" ht="17.25" customHeight="1" x14ac:dyDescent="0.25">
      <c r="A1189" s="196">
        <v>1395</v>
      </c>
      <c r="B1189" s="196" t="s">
        <v>6385</v>
      </c>
      <c r="C1189" s="196" t="s">
        <v>6386</v>
      </c>
      <c r="D1189" s="196" t="s">
        <v>2257</v>
      </c>
      <c r="E1189" s="196" t="s">
        <v>1921</v>
      </c>
      <c r="F1189" s="196">
        <v>2011</v>
      </c>
      <c r="G1189" s="196"/>
      <c r="H1189" s="196" t="s">
        <v>1878</v>
      </c>
      <c r="I1189" s="141" t="s">
        <v>1929</v>
      </c>
      <c r="J1189" s="52" t="s">
        <v>3854</v>
      </c>
      <c r="K1189" s="196" t="s">
        <v>1881</v>
      </c>
      <c r="L1189" s="141" t="s">
        <v>6387</v>
      </c>
      <c r="M1189" s="196">
        <v>448</v>
      </c>
      <c r="N1189" s="196"/>
      <c r="O1189" s="196" t="s">
        <v>5366</v>
      </c>
      <c r="P1189" s="144">
        <v>291</v>
      </c>
      <c r="Q1189" s="145">
        <f t="shared" si="69"/>
        <v>2.1759999999999997</v>
      </c>
      <c r="R1189" s="203">
        <v>1.5</v>
      </c>
      <c r="S1189" s="203"/>
      <c r="T1189" s="78">
        <v>0.3</v>
      </c>
      <c r="U1189" s="151"/>
      <c r="V1189" s="151">
        <v>0.25</v>
      </c>
      <c r="W1189" s="151">
        <f t="shared" si="70"/>
        <v>1.5</v>
      </c>
      <c r="X1189" s="152">
        <f t="shared" si="68"/>
        <v>0.126</v>
      </c>
      <c r="Y1189" s="152"/>
      <c r="Z1189" s="148"/>
      <c r="AA1189" s="87"/>
      <c r="AB1189" s="87"/>
      <c r="AC1189" s="87"/>
      <c r="AD1189" s="87"/>
      <c r="AH1189" s="147"/>
    </row>
    <row r="1190" spans="1:34" s="146" customFormat="1" x14ac:dyDescent="0.25">
      <c r="A1190" s="196">
        <v>2522</v>
      </c>
      <c r="B1190" s="196" t="s">
        <v>6388</v>
      </c>
      <c r="C1190" s="196" t="s">
        <v>6389</v>
      </c>
      <c r="D1190" s="196" t="s">
        <v>1912</v>
      </c>
      <c r="E1190" s="196" t="s">
        <v>1921</v>
      </c>
      <c r="F1190" s="196">
        <v>2008</v>
      </c>
      <c r="G1190" s="196"/>
      <c r="H1190" s="196" t="s">
        <v>1878</v>
      </c>
      <c r="I1190" s="141" t="s">
        <v>1914</v>
      </c>
      <c r="J1190" s="196"/>
      <c r="K1190" s="196" t="s">
        <v>1881</v>
      </c>
      <c r="L1190" s="141" t="s">
        <v>6390</v>
      </c>
      <c r="M1190" s="196">
        <v>510</v>
      </c>
      <c r="N1190" s="196"/>
      <c r="O1190" s="196" t="s">
        <v>5367</v>
      </c>
      <c r="P1190" s="144">
        <v>415</v>
      </c>
      <c r="Q1190" s="145">
        <f t="shared" si="69"/>
        <v>0.51749999999999996</v>
      </c>
      <c r="R1190" s="203">
        <v>0.25</v>
      </c>
      <c r="S1190" s="203"/>
      <c r="T1190" s="148"/>
      <c r="U1190" s="151"/>
      <c r="V1190" s="151">
        <v>0.25</v>
      </c>
      <c r="W1190" s="151">
        <f t="shared" si="70"/>
        <v>0.25</v>
      </c>
      <c r="X1190" s="152">
        <f t="shared" si="68"/>
        <v>1.7500000000000002E-2</v>
      </c>
      <c r="Y1190" s="152"/>
      <c r="Z1190" s="148"/>
      <c r="AA1190" s="153"/>
      <c r="AB1190" s="153"/>
      <c r="AC1190" s="153"/>
      <c r="AD1190" s="153"/>
      <c r="AH1190" s="147"/>
    </row>
    <row r="1191" spans="1:34" s="146" customFormat="1" x14ac:dyDescent="0.25">
      <c r="A1191" s="196">
        <v>2681</v>
      </c>
      <c r="B1191" s="196" t="s">
        <v>6391</v>
      </c>
      <c r="C1191" s="196" t="s">
        <v>6392</v>
      </c>
      <c r="D1191" s="196" t="s">
        <v>6393</v>
      </c>
      <c r="E1191" s="196"/>
      <c r="F1191" s="196">
        <v>2016</v>
      </c>
      <c r="G1191" s="196"/>
      <c r="H1191" s="196" t="s">
        <v>1878</v>
      </c>
      <c r="I1191" s="141" t="s">
        <v>1929</v>
      </c>
      <c r="J1191" s="52" t="s">
        <v>3854</v>
      </c>
      <c r="K1191" s="196" t="s">
        <v>1881</v>
      </c>
      <c r="L1191" s="141" t="s">
        <v>6394</v>
      </c>
      <c r="M1191" s="196">
        <v>240</v>
      </c>
      <c r="N1191" s="196"/>
      <c r="O1191" s="196" t="s">
        <v>5368</v>
      </c>
      <c r="P1191" s="144">
        <v>471</v>
      </c>
      <c r="Q1191" s="145">
        <f t="shared" si="69"/>
        <v>5.1612999999999998</v>
      </c>
      <c r="R1191" s="203">
        <v>4.29</v>
      </c>
      <c r="S1191" s="203"/>
      <c r="T1191" s="78">
        <v>0.3</v>
      </c>
      <c r="U1191" s="151"/>
      <c r="V1191" s="151">
        <v>0.25</v>
      </c>
      <c r="W1191" s="151">
        <f t="shared" si="70"/>
        <v>4.29</v>
      </c>
      <c r="X1191" s="152">
        <f t="shared" si="68"/>
        <v>0.32129999999999997</v>
      </c>
      <c r="Y1191" s="152"/>
      <c r="Z1191" s="148"/>
      <c r="AA1191" s="87"/>
      <c r="AB1191" s="87"/>
      <c r="AC1191" s="87"/>
      <c r="AD1191" s="87"/>
      <c r="AH1191" s="147"/>
    </row>
    <row r="1192" spans="1:34" s="146" customFormat="1" x14ac:dyDescent="0.25">
      <c r="A1192" s="196">
        <v>2894</v>
      </c>
      <c r="B1192" s="196"/>
      <c r="C1192" s="196" t="s">
        <v>6395</v>
      </c>
      <c r="D1192" s="196" t="s">
        <v>6396</v>
      </c>
      <c r="E1192" s="196" t="s">
        <v>1913</v>
      </c>
      <c r="F1192" s="196">
        <v>2015</v>
      </c>
      <c r="G1192" s="196"/>
      <c r="H1192" s="196" t="s">
        <v>2734</v>
      </c>
      <c r="I1192" s="141" t="s">
        <v>1929</v>
      </c>
      <c r="J1192" s="52" t="s">
        <v>3854</v>
      </c>
      <c r="K1192" s="196" t="s">
        <v>1881</v>
      </c>
      <c r="L1192" s="141" t="s">
        <v>6397</v>
      </c>
      <c r="M1192" s="196">
        <v>50</v>
      </c>
      <c r="N1192" s="196"/>
      <c r="O1192" s="196" t="s">
        <v>5369</v>
      </c>
      <c r="P1192" s="144">
        <v>250</v>
      </c>
      <c r="Q1192" s="145">
        <f t="shared" si="69"/>
        <v>3.7703000000000002</v>
      </c>
      <c r="R1192" s="203">
        <v>2.99</v>
      </c>
      <c r="S1192" s="203"/>
      <c r="T1192" s="78">
        <v>0.3</v>
      </c>
      <c r="U1192" s="151"/>
      <c r="V1192" s="151">
        <v>0.25</v>
      </c>
      <c r="W1192" s="151">
        <f t="shared" si="70"/>
        <v>2.99</v>
      </c>
      <c r="X1192" s="152">
        <f t="shared" si="68"/>
        <v>0.2303</v>
      </c>
      <c r="Y1192" s="152"/>
      <c r="Z1192" s="148"/>
      <c r="AA1192" s="87"/>
      <c r="AB1192" s="87"/>
      <c r="AC1192" s="87"/>
      <c r="AD1192" s="87"/>
      <c r="AH1192" s="147"/>
    </row>
    <row r="1193" spans="1:34" s="146" customFormat="1" x14ac:dyDescent="0.25">
      <c r="A1193" s="196">
        <v>593</v>
      </c>
      <c r="B1193" s="196" t="s">
        <v>6398</v>
      </c>
      <c r="C1193" s="196" t="s">
        <v>6399</v>
      </c>
      <c r="D1193" s="196" t="s">
        <v>4693</v>
      </c>
      <c r="E1193" s="196"/>
      <c r="F1193" s="196"/>
      <c r="G1193" s="196"/>
      <c r="H1193" s="196" t="s">
        <v>1878</v>
      </c>
      <c r="I1193" s="141" t="s">
        <v>1929</v>
      </c>
      <c r="J1193" s="196"/>
      <c r="K1193" s="196" t="s">
        <v>1881</v>
      </c>
      <c r="L1193" s="141" t="s">
        <v>6400</v>
      </c>
      <c r="M1193" s="196">
        <v>64</v>
      </c>
      <c r="N1193" s="196"/>
      <c r="O1193" s="196" t="s">
        <v>5370</v>
      </c>
      <c r="P1193" s="144">
        <v>177</v>
      </c>
      <c r="Q1193" s="145">
        <f t="shared" si="69"/>
        <v>3.4493</v>
      </c>
      <c r="R1193" s="203">
        <v>2.69</v>
      </c>
      <c r="S1193" s="203"/>
      <c r="T1193" s="78">
        <v>0.3</v>
      </c>
      <c r="U1193" s="151"/>
      <c r="V1193" s="151">
        <v>0.25</v>
      </c>
      <c r="W1193" s="151">
        <f t="shared" si="70"/>
        <v>2.69</v>
      </c>
      <c r="X1193" s="152">
        <f t="shared" si="68"/>
        <v>0.20929999999999999</v>
      </c>
      <c r="Y1193" s="152"/>
      <c r="Z1193" s="148"/>
      <c r="AA1193" s="87"/>
      <c r="AB1193" s="87"/>
      <c r="AC1193" s="87"/>
      <c r="AD1193" s="87"/>
      <c r="AH1193" s="147"/>
    </row>
    <row r="1194" spans="1:34" s="146" customFormat="1" x14ac:dyDescent="0.25">
      <c r="A1194" s="196">
        <v>987</v>
      </c>
      <c r="B1194" s="196" t="s">
        <v>6401</v>
      </c>
      <c r="C1194" s="196" t="s">
        <v>6402</v>
      </c>
      <c r="D1194" s="196" t="s">
        <v>6403</v>
      </c>
      <c r="E1194" s="196" t="s">
        <v>1877</v>
      </c>
      <c r="F1194" s="196">
        <v>2012</v>
      </c>
      <c r="G1194" s="196"/>
      <c r="H1194" s="196" t="s">
        <v>1878</v>
      </c>
      <c r="I1194" s="141" t="s">
        <v>1929</v>
      </c>
      <c r="J1194" s="52" t="s">
        <v>3854</v>
      </c>
      <c r="K1194" s="196" t="s">
        <v>1881</v>
      </c>
      <c r="L1194" s="141" t="s">
        <v>6404</v>
      </c>
      <c r="M1194" s="196">
        <v>268</v>
      </c>
      <c r="N1194" s="196"/>
      <c r="O1194" s="196" t="s">
        <v>5371</v>
      </c>
      <c r="P1194" s="144">
        <v>391</v>
      </c>
      <c r="Q1194" s="145">
        <f t="shared" si="69"/>
        <v>3.7168000000000001</v>
      </c>
      <c r="R1194" s="203">
        <v>2.94</v>
      </c>
      <c r="S1194" s="203"/>
      <c r="T1194" s="78">
        <v>0.3</v>
      </c>
      <c r="U1194" s="151"/>
      <c r="V1194" s="151">
        <v>0.25</v>
      </c>
      <c r="W1194" s="151">
        <f t="shared" si="70"/>
        <v>2.94</v>
      </c>
      <c r="X1194" s="152">
        <f t="shared" si="68"/>
        <v>0.2268</v>
      </c>
      <c r="Y1194" s="152"/>
      <c r="Z1194" s="148"/>
      <c r="AA1194" s="87"/>
      <c r="AB1194" s="87"/>
      <c r="AC1194" s="87"/>
      <c r="AD1194" s="87"/>
      <c r="AH1194" s="147"/>
    </row>
    <row r="1195" spans="1:34" s="146" customFormat="1" x14ac:dyDescent="0.25">
      <c r="A1195" s="196">
        <v>651</v>
      </c>
      <c r="B1195" s="196" t="s">
        <v>2115</v>
      </c>
      <c r="C1195" s="196" t="s">
        <v>6405</v>
      </c>
      <c r="D1195" s="196" t="s">
        <v>2117</v>
      </c>
      <c r="E1195" s="196" t="s">
        <v>1913</v>
      </c>
      <c r="F1195" s="196">
        <v>2013</v>
      </c>
      <c r="G1195" s="196"/>
      <c r="H1195" s="196" t="s">
        <v>1878</v>
      </c>
      <c r="I1195" s="141" t="s">
        <v>1929</v>
      </c>
      <c r="J1195" s="52" t="s">
        <v>3854</v>
      </c>
      <c r="K1195" s="196" t="s">
        <v>1881</v>
      </c>
      <c r="L1195" s="141" t="s">
        <v>6406</v>
      </c>
      <c r="M1195" s="196">
        <v>48</v>
      </c>
      <c r="N1195" s="196"/>
      <c r="O1195" s="196" t="s">
        <v>5372</v>
      </c>
      <c r="P1195" s="144">
        <v>222</v>
      </c>
      <c r="Q1195" s="145">
        <f t="shared" si="69"/>
        <v>3.5562999999999998</v>
      </c>
      <c r="R1195" s="203">
        <v>2.79</v>
      </c>
      <c r="S1195" s="203"/>
      <c r="T1195" s="78">
        <v>0.3</v>
      </c>
      <c r="U1195" s="151"/>
      <c r="V1195" s="151">
        <v>0.25</v>
      </c>
      <c r="W1195" s="151">
        <f t="shared" si="70"/>
        <v>2.79</v>
      </c>
      <c r="X1195" s="152">
        <f t="shared" si="68"/>
        <v>0.21629999999999999</v>
      </c>
      <c r="Y1195" s="152"/>
      <c r="Z1195" s="148"/>
      <c r="AA1195" s="87"/>
      <c r="AB1195" s="87"/>
      <c r="AC1195" s="87"/>
      <c r="AD1195" s="87"/>
      <c r="AH1195" s="147"/>
    </row>
    <row r="1196" spans="1:34" s="146" customFormat="1" x14ac:dyDescent="0.25">
      <c r="A1196" s="196">
        <v>651</v>
      </c>
      <c r="B1196" s="196" t="s">
        <v>6407</v>
      </c>
      <c r="C1196" s="196" t="s">
        <v>6408</v>
      </c>
      <c r="D1196" s="196" t="s">
        <v>2117</v>
      </c>
      <c r="E1196" s="196" t="s">
        <v>1913</v>
      </c>
      <c r="F1196" s="196">
        <v>2014</v>
      </c>
      <c r="G1196" s="196"/>
      <c r="H1196" s="196" t="s">
        <v>1878</v>
      </c>
      <c r="I1196" s="141" t="s">
        <v>1929</v>
      </c>
      <c r="J1196" s="52" t="s">
        <v>3854</v>
      </c>
      <c r="K1196" s="196" t="s">
        <v>1881</v>
      </c>
      <c r="L1196" s="141" t="s">
        <v>6409</v>
      </c>
      <c r="M1196" s="196">
        <v>32</v>
      </c>
      <c r="N1196" s="196"/>
      <c r="O1196" s="196" t="s">
        <v>5373</v>
      </c>
      <c r="P1196" s="144">
        <v>135</v>
      </c>
      <c r="Q1196" s="145">
        <f t="shared" si="69"/>
        <v>3.2353000000000001</v>
      </c>
      <c r="R1196" s="203">
        <v>2.4900000000000002</v>
      </c>
      <c r="S1196" s="203"/>
      <c r="T1196" s="78">
        <v>0.3</v>
      </c>
      <c r="U1196" s="151"/>
      <c r="V1196" s="151">
        <v>0.25</v>
      </c>
      <c r="W1196" s="151">
        <f t="shared" si="70"/>
        <v>2.4900000000000002</v>
      </c>
      <c r="X1196" s="152">
        <f t="shared" si="68"/>
        <v>0.1953</v>
      </c>
      <c r="Y1196" s="152"/>
      <c r="Z1196" s="148"/>
      <c r="AA1196" s="87"/>
      <c r="AB1196" s="87"/>
      <c r="AC1196" s="87"/>
      <c r="AD1196" s="87"/>
      <c r="AH1196" s="147"/>
    </row>
    <row r="1197" spans="1:34" s="146" customFormat="1" x14ac:dyDescent="0.25">
      <c r="A1197" s="196">
        <v>593</v>
      </c>
      <c r="B1197" s="196" t="s">
        <v>6410</v>
      </c>
      <c r="C1197" s="196" t="s">
        <v>6411</v>
      </c>
      <c r="D1197" s="196" t="s">
        <v>2117</v>
      </c>
      <c r="E1197" s="196" t="s">
        <v>1913</v>
      </c>
      <c r="F1197" s="196">
        <v>2013</v>
      </c>
      <c r="G1197" s="196"/>
      <c r="H1197" s="196" t="s">
        <v>2734</v>
      </c>
      <c r="I1197" s="141" t="s">
        <v>1929</v>
      </c>
      <c r="J1197" s="196"/>
      <c r="K1197" s="196" t="s">
        <v>1881</v>
      </c>
      <c r="L1197" s="141" t="s">
        <v>6412</v>
      </c>
      <c r="M1197" s="196">
        <v>66</v>
      </c>
      <c r="N1197" s="196"/>
      <c r="O1197" s="196" t="s">
        <v>5374</v>
      </c>
      <c r="P1197" s="144">
        <v>254</v>
      </c>
      <c r="Q1197" s="145">
        <f t="shared" si="69"/>
        <v>1.6303000000000001</v>
      </c>
      <c r="R1197" s="203">
        <v>0.99</v>
      </c>
      <c r="S1197" s="203"/>
      <c r="T1197" s="78">
        <v>0.3</v>
      </c>
      <c r="U1197" s="151"/>
      <c r="V1197" s="151">
        <v>0.25</v>
      </c>
      <c r="W1197" s="151">
        <f t="shared" si="70"/>
        <v>0.99</v>
      </c>
      <c r="X1197" s="152">
        <f t="shared" si="68"/>
        <v>9.0300000000000005E-2</v>
      </c>
      <c r="Y1197" s="152"/>
      <c r="Z1197" s="148"/>
      <c r="AA1197" s="87"/>
      <c r="AB1197" s="87"/>
      <c r="AC1197" s="87"/>
      <c r="AD1197" s="87"/>
      <c r="AH1197" s="147"/>
    </row>
    <row r="1198" spans="1:34" s="146" customFormat="1" x14ac:dyDescent="0.25">
      <c r="A1198" s="196">
        <v>593</v>
      </c>
      <c r="B1198" s="196" t="s">
        <v>6410</v>
      </c>
      <c r="C1198" s="196" t="s">
        <v>6413</v>
      </c>
      <c r="D1198" s="196" t="s">
        <v>2117</v>
      </c>
      <c r="E1198" s="196" t="s">
        <v>1913</v>
      </c>
      <c r="F1198" s="196">
        <v>2013</v>
      </c>
      <c r="G1198" s="196"/>
      <c r="H1198" s="196" t="s">
        <v>2734</v>
      </c>
      <c r="I1198" s="141" t="s">
        <v>1929</v>
      </c>
      <c r="J1198" s="196"/>
      <c r="K1198" s="196" t="s">
        <v>1881</v>
      </c>
      <c r="L1198" s="141" t="s">
        <v>6414</v>
      </c>
      <c r="M1198" s="196">
        <v>66</v>
      </c>
      <c r="N1198" s="196"/>
      <c r="O1198" s="196" t="s">
        <v>5375</v>
      </c>
      <c r="P1198" s="144">
        <v>257</v>
      </c>
      <c r="Q1198" s="145">
        <f t="shared" si="69"/>
        <v>3.2353000000000001</v>
      </c>
      <c r="R1198" s="203">
        <v>2.4900000000000002</v>
      </c>
      <c r="S1198" s="203"/>
      <c r="T1198" s="78">
        <v>0.3</v>
      </c>
      <c r="U1198" s="151"/>
      <c r="V1198" s="151">
        <v>0.25</v>
      </c>
      <c r="W1198" s="151">
        <f t="shared" si="70"/>
        <v>2.4900000000000002</v>
      </c>
      <c r="X1198" s="152">
        <f t="shared" si="68"/>
        <v>0.1953</v>
      </c>
      <c r="Y1198" s="152"/>
      <c r="Z1198" s="148"/>
      <c r="AA1198" s="87"/>
      <c r="AB1198" s="87"/>
      <c r="AC1198" s="87"/>
      <c r="AD1198" s="87"/>
      <c r="AH1198" s="147"/>
    </row>
    <row r="1199" spans="1:34" s="146" customFormat="1" x14ac:dyDescent="0.25">
      <c r="A1199" s="196">
        <v>765</v>
      </c>
      <c r="B1199" s="196" t="s">
        <v>6415</v>
      </c>
      <c r="C1199" s="196" t="s">
        <v>6416</v>
      </c>
      <c r="D1199" s="196" t="s">
        <v>2117</v>
      </c>
      <c r="E1199" s="196"/>
      <c r="F1199" s="196">
        <v>2016</v>
      </c>
      <c r="G1199" s="196"/>
      <c r="H1199" s="196" t="s">
        <v>1878</v>
      </c>
      <c r="I1199" s="141" t="s">
        <v>1929</v>
      </c>
      <c r="J1199" s="196"/>
      <c r="K1199" s="196" t="s">
        <v>1881</v>
      </c>
      <c r="L1199" s="141" t="s">
        <v>6417</v>
      </c>
      <c r="M1199" s="196">
        <v>64</v>
      </c>
      <c r="N1199" s="196"/>
      <c r="O1199" s="196" t="s">
        <v>5376</v>
      </c>
      <c r="P1199" s="144">
        <v>166</v>
      </c>
      <c r="Q1199" s="145">
        <f t="shared" si="69"/>
        <v>2.6575000000000002</v>
      </c>
      <c r="R1199" s="203">
        <v>1.95</v>
      </c>
      <c r="S1199" s="203"/>
      <c r="T1199" s="78">
        <v>0.3</v>
      </c>
      <c r="U1199" s="151"/>
      <c r="V1199" s="151">
        <v>0.25</v>
      </c>
      <c r="W1199" s="151">
        <f t="shared" si="70"/>
        <v>1.95</v>
      </c>
      <c r="X1199" s="152">
        <f t="shared" si="68"/>
        <v>0.1575</v>
      </c>
      <c r="Y1199" s="152"/>
      <c r="Z1199" s="148"/>
      <c r="AA1199" s="87"/>
      <c r="AB1199" s="87"/>
      <c r="AC1199" s="87"/>
      <c r="AD1199" s="87"/>
      <c r="AH1199" s="147"/>
    </row>
    <row r="1200" spans="1:34" s="146" customFormat="1" x14ac:dyDescent="0.25">
      <c r="A1200" s="196">
        <v>765</v>
      </c>
      <c r="B1200" s="196" t="s">
        <v>6415</v>
      </c>
      <c r="C1200" s="196" t="s">
        <v>6418</v>
      </c>
      <c r="D1200" s="196" t="s">
        <v>2117</v>
      </c>
      <c r="E1200" s="196"/>
      <c r="F1200" s="196">
        <v>2016</v>
      </c>
      <c r="G1200" s="196"/>
      <c r="H1200" s="196" t="s">
        <v>1878</v>
      </c>
      <c r="I1200" s="141" t="s">
        <v>1929</v>
      </c>
      <c r="J1200" s="196"/>
      <c r="K1200" s="196" t="s">
        <v>1881</v>
      </c>
      <c r="L1200" s="141" t="s">
        <v>6419</v>
      </c>
      <c r="M1200" s="196">
        <v>64</v>
      </c>
      <c r="N1200" s="196"/>
      <c r="O1200" s="196" t="s">
        <v>5377</v>
      </c>
      <c r="P1200" s="144">
        <v>165</v>
      </c>
      <c r="Q1200" s="145">
        <f t="shared" si="69"/>
        <v>2.6575000000000002</v>
      </c>
      <c r="R1200" s="203">
        <v>1.95</v>
      </c>
      <c r="S1200" s="203"/>
      <c r="T1200" s="78">
        <v>0.3</v>
      </c>
      <c r="U1200" s="151"/>
      <c r="V1200" s="151">
        <v>0.25</v>
      </c>
      <c r="W1200" s="151">
        <f t="shared" si="70"/>
        <v>1.95</v>
      </c>
      <c r="X1200" s="152">
        <f t="shared" si="68"/>
        <v>0.1575</v>
      </c>
      <c r="Y1200" s="152"/>
      <c r="Z1200" s="148"/>
      <c r="AA1200" s="87"/>
      <c r="AB1200" s="87"/>
      <c r="AC1200" s="87"/>
      <c r="AD1200" s="87"/>
      <c r="AH1200" s="147"/>
    </row>
    <row r="1201" spans="1:34" s="146" customFormat="1" x14ac:dyDescent="0.25">
      <c r="A1201" s="196">
        <v>2522</v>
      </c>
      <c r="B1201" s="196" t="s">
        <v>6420</v>
      </c>
      <c r="C1201" s="196" t="s">
        <v>6421</v>
      </c>
      <c r="D1201" s="196" t="s">
        <v>2209</v>
      </c>
      <c r="E1201" s="196"/>
      <c r="F1201" s="196">
        <v>1994</v>
      </c>
      <c r="G1201" s="196"/>
      <c r="H1201" s="196" t="s">
        <v>1878</v>
      </c>
      <c r="I1201" s="141" t="s">
        <v>1914</v>
      </c>
      <c r="J1201" s="196"/>
      <c r="K1201" s="196" t="s">
        <v>1881</v>
      </c>
      <c r="L1201" s="141" t="s">
        <v>6423</v>
      </c>
      <c r="M1201" s="196">
        <v>512</v>
      </c>
      <c r="N1201" s="196"/>
      <c r="O1201" s="196" t="s">
        <v>5378</v>
      </c>
      <c r="P1201" s="144">
        <v>334</v>
      </c>
      <c r="Q1201" s="145">
        <f t="shared" si="69"/>
        <v>0.98829999999999996</v>
      </c>
      <c r="R1201" s="203">
        <v>0.69</v>
      </c>
      <c r="S1201" s="203"/>
      <c r="T1201" s="151"/>
      <c r="U1201" s="151"/>
      <c r="V1201" s="151">
        <v>0.25</v>
      </c>
      <c r="W1201" s="151">
        <f t="shared" si="70"/>
        <v>0.69</v>
      </c>
      <c r="X1201" s="152">
        <f t="shared" si="68"/>
        <v>4.8299999999999996E-2</v>
      </c>
      <c r="Y1201" s="152"/>
      <c r="Z1201" s="148"/>
      <c r="AA1201" s="87"/>
      <c r="AB1201" s="87"/>
      <c r="AC1201" s="87"/>
      <c r="AD1201" s="87"/>
      <c r="AH1201" s="147"/>
    </row>
    <row r="1202" spans="1:34" s="146" customFormat="1" x14ac:dyDescent="0.25">
      <c r="A1202" s="196">
        <v>2522</v>
      </c>
      <c r="B1202" s="196" t="s">
        <v>6424</v>
      </c>
      <c r="C1202" s="196" t="s">
        <v>6425</v>
      </c>
      <c r="D1202" s="196" t="s">
        <v>1912</v>
      </c>
      <c r="E1202" s="196" t="s">
        <v>2032</v>
      </c>
      <c r="F1202" s="196">
        <v>2014</v>
      </c>
      <c r="G1202" s="196"/>
      <c r="H1202" s="196" t="s">
        <v>1878</v>
      </c>
      <c r="I1202" s="141" t="s">
        <v>1879</v>
      </c>
      <c r="J1202" s="196"/>
      <c r="K1202" s="196" t="s">
        <v>1881</v>
      </c>
      <c r="L1202" s="141" t="s">
        <v>6426</v>
      </c>
      <c r="M1202" s="196">
        <v>480</v>
      </c>
      <c r="N1202" s="196"/>
      <c r="O1202" s="196" t="s">
        <v>5379</v>
      </c>
      <c r="P1202" s="144">
        <v>567</v>
      </c>
      <c r="Q1202" s="145">
        <f t="shared" si="69"/>
        <v>0.98829999999999996</v>
      </c>
      <c r="R1202" s="203">
        <v>0.69</v>
      </c>
      <c r="S1202" s="203"/>
      <c r="T1202" s="151"/>
      <c r="U1202" s="151"/>
      <c r="V1202" s="151">
        <v>0.25</v>
      </c>
      <c r="W1202" s="151">
        <f t="shared" si="70"/>
        <v>0.69</v>
      </c>
      <c r="X1202" s="152">
        <f t="shared" si="68"/>
        <v>4.8299999999999996E-2</v>
      </c>
      <c r="Y1202" s="152"/>
      <c r="Z1202" s="148"/>
      <c r="AA1202" s="153"/>
      <c r="AB1202" s="153"/>
      <c r="AC1202" s="153"/>
      <c r="AD1202" s="153"/>
      <c r="AH1202" s="147"/>
    </row>
    <row r="1203" spans="1:34" s="146" customFormat="1" x14ac:dyDescent="0.25">
      <c r="A1203" s="196">
        <v>2522</v>
      </c>
      <c r="B1203" s="196" t="s">
        <v>6424</v>
      </c>
      <c r="C1203" s="196" t="s">
        <v>6427</v>
      </c>
      <c r="D1203" s="196" t="s">
        <v>1912</v>
      </c>
      <c r="E1203" s="196" t="s">
        <v>1921</v>
      </c>
      <c r="F1203" s="196">
        <v>2014</v>
      </c>
      <c r="G1203" s="196"/>
      <c r="H1203" s="196" t="s">
        <v>1878</v>
      </c>
      <c r="I1203" s="141" t="s">
        <v>1879</v>
      </c>
      <c r="J1203" s="196"/>
      <c r="K1203" s="196" t="s">
        <v>1881</v>
      </c>
      <c r="L1203" s="141" t="s">
        <v>6428</v>
      </c>
      <c r="M1203" s="196">
        <v>512</v>
      </c>
      <c r="N1203" s="196"/>
      <c r="O1203" s="196" t="s">
        <v>5380</v>
      </c>
      <c r="P1203" s="144">
        <v>582</v>
      </c>
      <c r="Q1203" s="145">
        <f t="shared" si="69"/>
        <v>1.3092999999999999</v>
      </c>
      <c r="R1203" s="203">
        <v>0.99</v>
      </c>
      <c r="S1203" s="203"/>
      <c r="T1203" s="151"/>
      <c r="U1203" s="151"/>
      <c r="V1203" s="151">
        <v>0.25</v>
      </c>
      <c r="W1203" s="151">
        <f t="shared" si="70"/>
        <v>0.99</v>
      </c>
      <c r="X1203" s="152">
        <f t="shared" si="68"/>
        <v>6.93E-2</v>
      </c>
      <c r="Y1203" s="152"/>
      <c r="Z1203" s="148"/>
      <c r="AA1203" s="153"/>
      <c r="AB1203" s="153"/>
      <c r="AC1203" s="153"/>
      <c r="AD1203" s="153"/>
      <c r="AH1203" s="147"/>
    </row>
    <row r="1205" spans="1:34" s="146" customFormat="1" x14ac:dyDescent="0.25">
      <c r="A1205" s="196">
        <v>2522</v>
      </c>
      <c r="B1205" s="196" t="s">
        <v>6431</v>
      </c>
      <c r="C1205" s="196" t="s">
        <v>6432</v>
      </c>
      <c r="D1205" s="196" t="s">
        <v>1912</v>
      </c>
      <c r="E1205" s="196" t="s">
        <v>1913</v>
      </c>
      <c r="F1205" s="196">
        <v>2004</v>
      </c>
      <c r="G1205" s="196"/>
      <c r="H1205" s="196" t="s">
        <v>1878</v>
      </c>
      <c r="I1205" s="141" t="s">
        <v>1914</v>
      </c>
      <c r="J1205" s="196"/>
      <c r="K1205" s="196" t="s">
        <v>1881</v>
      </c>
      <c r="L1205" s="141" t="s">
        <v>6433</v>
      </c>
      <c r="M1205" s="196">
        <v>416</v>
      </c>
      <c r="N1205" s="196"/>
      <c r="O1205" s="196" t="s">
        <v>5382</v>
      </c>
      <c r="P1205" s="144">
        <v>364</v>
      </c>
      <c r="Q1205" s="145">
        <f t="shared" si="69"/>
        <v>0.77429999999999999</v>
      </c>
      <c r="R1205" s="203">
        <v>0.49</v>
      </c>
      <c r="S1205" s="203"/>
      <c r="T1205" s="151"/>
      <c r="U1205" s="151"/>
      <c r="V1205" s="151">
        <v>0.25</v>
      </c>
      <c r="W1205" s="151">
        <f t="shared" si="70"/>
        <v>0.49</v>
      </c>
      <c r="X1205" s="152">
        <f t="shared" si="68"/>
        <v>3.4299999999999997E-2</v>
      </c>
      <c r="Y1205" s="152"/>
      <c r="Z1205" s="148"/>
      <c r="AA1205" s="153"/>
      <c r="AB1205" s="153"/>
      <c r="AC1205" s="153"/>
      <c r="AD1205" s="153"/>
      <c r="AH1205" s="147"/>
    </row>
    <row r="1206" spans="1:34" s="146" customFormat="1" x14ac:dyDescent="0.25">
      <c r="A1206" s="196">
        <v>2522</v>
      </c>
      <c r="B1206" s="196" t="s">
        <v>6437</v>
      </c>
      <c r="C1206" s="196" t="s">
        <v>6438</v>
      </c>
      <c r="D1206" s="196" t="s">
        <v>1988</v>
      </c>
      <c r="E1206" s="196"/>
      <c r="F1206" s="196">
        <v>2014</v>
      </c>
      <c r="G1206" s="196"/>
      <c r="H1206" s="196" t="s">
        <v>1878</v>
      </c>
      <c r="I1206" s="141" t="s">
        <v>1929</v>
      </c>
      <c r="J1206" s="196"/>
      <c r="K1206" s="196" t="s">
        <v>1881</v>
      </c>
      <c r="L1206" s="141"/>
      <c r="M1206" s="196">
        <v>432</v>
      </c>
      <c r="N1206" s="196"/>
      <c r="O1206" s="196" t="s">
        <v>5384</v>
      </c>
      <c r="P1206" s="144">
        <v>312</v>
      </c>
      <c r="Q1206" s="145">
        <f t="shared" si="69"/>
        <v>0.98829999999999996</v>
      </c>
      <c r="R1206" s="203">
        <v>0.69</v>
      </c>
      <c r="S1206" s="203"/>
      <c r="T1206" s="151"/>
      <c r="U1206" s="151"/>
      <c r="V1206" s="151">
        <v>0.25</v>
      </c>
      <c r="W1206" s="151">
        <f t="shared" si="70"/>
        <v>0.69</v>
      </c>
      <c r="X1206" s="152">
        <f t="shared" si="68"/>
        <v>4.8299999999999996E-2</v>
      </c>
      <c r="Y1206" s="152"/>
      <c r="Z1206" s="148"/>
      <c r="AA1206" s="153"/>
      <c r="AB1206" s="153"/>
      <c r="AC1206" s="153"/>
      <c r="AD1206" s="153"/>
      <c r="AH1206" s="147"/>
    </row>
    <row r="1207" spans="1:34" s="146" customFormat="1" x14ac:dyDescent="0.25">
      <c r="A1207" s="196">
        <v>2522</v>
      </c>
      <c r="B1207" s="196" t="s">
        <v>6439</v>
      </c>
      <c r="C1207" s="196" t="s">
        <v>6440</v>
      </c>
      <c r="D1207" s="196" t="s">
        <v>2054</v>
      </c>
      <c r="E1207" s="196"/>
      <c r="F1207" s="196">
        <v>2009</v>
      </c>
      <c r="G1207" s="196"/>
      <c r="H1207" s="196" t="s">
        <v>1878</v>
      </c>
      <c r="I1207" s="141" t="s">
        <v>1914</v>
      </c>
      <c r="J1207" s="196"/>
      <c r="K1207" s="196" t="s">
        <v>1881</v>
      </c>
      <c r="L1207" s="141" t="s">
        <v>6441</v>
      </c>
      <c r="M1207" s="196">
        <v>272</v>
      </c>
      <c r="N1207" s="196"/>
      <c r="O1207" s="196" t="s">
        <v>5385</v>
      </c>
      <c r="P1207" s="144">
        <v>267</v>
      </c>
      <c r="Q1207" s="145">
        <f t="shared" si="69"/>
        <v>3.3423000000000003</v>
      </c>
      <c r="R1207" s="203">
        <v>2.89</v>
      </c>
      <c r="S1207" s="203"/>
      <c r="T1207" s="151"/>
      <c r="U1207" s="151"/>
      <c r="V1207" s="151">
        <v>0.25</v>
      </c>
      <c r="W1207" s="151">
        <f t="shared" si="70"/>
        <v>2.89</v>
      </c>
      <c r="X1207" s="152">
        <f t="shared" si="68"/>
        <v>0.20230000000000001</v>
      </c>
      <c r="Y1207" s="152"/>
      <c r="Z1207" s="148"/>
      <c r="AA1207" s="153"/>
      <c r="AB1207" s="153"/>
      <c r="AC1207" s="153"/>
      <c r="AD1207" s="153"/>
      <c r="AH1207" s="147"/>
    </row>
    <row r="1208" spans="1:34" s="146" customFormat="1" x14ac:dyDescent="0.25">
      <c r="A1208" s="196">
        <v>1386</v>
      </c>
      <c r="B1208" s="196" t="s">
        <v>6442</v>
      </c>
      <c r="C1208" s="196" t="s">
        <v>6443</v>
      </c>
      <c r="D1208" s="196" t="s">
        <v>2232</v>
      </c>
      <c r="E1208" s="196" t="s">
        <v>1913</v>
      </c>
      <c r="F1208" s="196">
        <v>2001</v>
      </c>
      <c r="G1208" s="196"/>
      <c r="H1208" s="196" t="s">
        <v>1878</v>
      </c>
      <c r="I1208" s="141" t="s">
        <v>1929</v>
      </c>
      <c r="J1208" s="52" t="s">
        <v>3854</v>
      </c>
      <c r="K1208" s="196" t="s">
        <v>1881</v>
      </c>
      <c r="L1208" s="141" t="s">
        <v>6444</v>
      </c>
      <c r="M1208" s="196">
        <v>352</v>
      </c>
      <c r="N1208" s="196"/>
      <c r="O1208" s="196" t="s">
        <v>5386</v>
      </c>
      <c r="P1208" s="144">
        <v>331</v>
      </c>
      <c r="Q1208" s="145">
        <f t="shared" si="69"/>
        <v>0.6673</v>
      </c>
      <c r="R1208" s="203">
        <v>0.39</v>
      </c>
      <c r="S1208" s="203"/>
      <c r="T1208" s="151"/>
      <c r="U1208" s="151"/>
      <c r="V1208" s="151">
        <v>0.25</v>
      </c>
      <c r="W1208" s="151">
        <f t="shared" si="70"/>
        <v>0.39</v>
      </c>
      <c r="X1208" s="152">
        <f t="shared" si="68"/>
        <v>2.7300000000000001E-2</v>
      </c>
      <c r="Y1208" s="152"/>
      <c r="Z1208" s="148"/>
      <c r="AA1208" s="153"/>
      <c r="AB1208" s="153"/>
      <c r="AC1208" s="153"/>
      <c r="AD1208" s="153"/>
      <c r="AH1208" s="147"/>
    </row>
    <row r="1209" spans="1:34" s="146" customFormat="1" x14ac:dyDescent="0.25">
      <c r="A1209" s="196">
        <v>774</v>
      </c>
      <c r="B1209" s="196" t="s">
        <v>6445</v>
      </c>
      <c r="C1209" s="196" t="s">
        <v>6446</v>
      </c>
      <c r="D1209" s="196" t="s">
        <v>2209</v>
      </c>
      <c r="E1209" s="196" t="s">
        <v>1877</v>
      </c>
      <c r="F1209" s="196">
        <v>2001</v>
      </c>
      <c r="G1209" s="196"/>
      <c r="H1209" s="196" t="s">
        <v>1878</v>
      </c>
      <c r="I1209" s="141" t="s">
        <v>1914</v>
      </c>
      <c r="J1209" s="196"/>
      <c r="K1209" s="196" t="s">
        <v>1881</v>
      </c>
      <c r="L1209" s="141"/>
      <c r="M1209" s="196">
        <v>544</v>
      </c>
      <c r="N1209" s="196"/>
      <c r="O1209" s="196" t="s">
        <v>5387</v>
      </c>
      <c r="P1209" s="144">
        <v>421</v>
      </c>
      <c r="Q1209" s="145">
        <f t="shared" si="69"/>
        <v>0.51749999999999996</v>
      </c>
      <c r="R1209" s="203">
        <v>0.25</v>
      </c>
      <c r="S1209" s="203"/>
      <c r="T1209" s="151"/>
      <c r="U1209" s="151"/>
      <c r="V1209" s="151">
        <v>0.25</v>
      </c>
      <c r="W1209" s="151">
        <f t="shared" si="70"/>
        <v>0.25</v>
      </c>
      <c r="X1209" s="152">
        <f t="shared" si="68"/>
        <v>1.7500000000000002E-2</v>
      </c>
      <c r="Y1209" s="152"/>
      <c r="Z1209" s="148"/>
      <c r="AA1209" s="153"/>
      <c r="AB1209" s="153"/>
      <c r="AC1209" s="153"/>
      <c r="AD1209" s="153"/>
      <c r="AH1209" s="147"/>
    </row>
    <row r="1210" spans="1:34" s="146" customFormat="1" x14ac:dyDescent="0.25">
      <c r="A1210" s="196">
        <v>796</v>
      </c>
      <c r="B1210" s="196" t="s">
        <v>6447</v>
      </c>
      <c r="C1210" s="196" t="s">
        <v>6448</v>
      </c>
      <c r="D1210" s="196" t="s">
        <v>2424</v>
      </c>
      <c r="E1210" s="196" t="s">
        <v>1899</v>
      </c>
      <c r="F1210" s="196">
        <v>2014</v>
      </c>
      <c r="G1210" s="196"/>
      <c r="H1210" s="196" t="s">
        <v>1878</v>
      </c>
      <c r="I1210" s="141" t="s">
        <v>1929</v>
      </c>
      <c r="J1210" s="52" t="s">
        <v>3854</v>
      </c>
      <c r="K1210" s="196" t="s">
        <v>1881</v>
      </c>
      <c r="L1210" s="141" t="s">
        <v>6449</v>
      </c>
      <c r="M1210" s="196">
        <v>368</v>
      </c>
      <c r="N1210" s="196"/>
      <c r="O1210" s="196" t="s">
        <v>5388</v>
      </c>
      <c r="P1210" s="144">
        <v>494</v>
      </c>
      <c r="Q1210" s="145">
        <f t="shared" si="69"/>
        <v>1.6303000000000001</v>
      </c>
      <c r="R1210" s="203">
        <v>0.99</v>
      </c>
      <c r="S1210" s="203"/>
      <c r="T1210" s="78">
        <v>0.3</v>
      </c>
      <c r="U1210" s="151"/>
      <c r="V1210" s="151">
        <v>0.25</v>
      </c>
      <c r="W1210" s="151">
        <f t="shared" si="70"/>
        <v>0.99</v>
      </c>
      <c r="X1210" s="152">
        <f t="shared" si="68"/>
        <v>9.0300000000000005E-2</v>
      </c>
      <c r="Y1210" s="152"/>
      <c r="Z1210" s="148"/>
      <c r="AA1210" s="87"/>
      <c r="AB1210" s="87"/>
      <c r="AC1210" s="87"/>
      <c r="AD1210" s="87"/>
      <c r="AH1210" s="147"/>
    </row>
    <row r="1211" spans="1:34" s="146" customFormat="1" x14ac:dyDescent="0.25">
      <c r="A1211" s="196">
        <v>2593</v>
      </c>
      <c r="B1211" s="196" t="s">
        <v>6450</v>
      </c>
      <c r="C1211" s="196" t="s">
        <v>6451</v>
      </c>
      <c r="D1211" s="196" t="s">
        <v>4877</v>
      </c>
      <c r="E1211" s="196" t="s">
        <v>6452</v>
      </c>
      <c r="F1211" s="196">
        <v>2010</v>
      </c>
      <c r="G1211" s="196"/>
      <c r="H1211" s="196" t="s">
        <v>1878</v>
      </c>
      <c r="I1211" s="141" t="s">
        <v>1929</v>
      </c>
      <c r="J1211" s="52" t="s">
        <v>3854</v>
      </c>
      <c r="K1211" s="196" t="s">
        <v>1881</v>
      </c>
      <c r="L1211" s="141" t="s">
        <v>6453</v>
      </c>
      <c r="M1211" s="196">
        <v>480</v>
      </c>
      <c r="N1211" s="196"/>
      <c r="O1211" s="196" t="s">
        <v>5389</v>
      </c>
      <c r="P1211" s="144">
        <v>588</v>
      </c>
      <c r="Q1211" s="145">
        <f t="shared" si="69"/>
        <v>5.3753000000000002</v>
      </c>
      <c r="R1211" s="203">
        <v>4.49</v>
      </c>
      <c r="S1211" s="203"/>
      <c r="T1211" s="78">
        <v>0.3</v>
      </c>
      <c r="U1211" s="151"/>
      <c r="V1211" s="151">
        <v>0.25</v>
      </c>
      <c r="W1211" s="151">
        <f t="shared" si="70"/>
        <v>4.49</v>
      </c>
      <c r="X1211" s="152">
        <f t="shared" ref="X1211:X1270" si="71">(T1211+W1211)/100*7</f>
        <v>0.33529999999999999</v>
      </c>
      <c r="Y1211" s="152"/>
      <c r="Z1211" s="148"/>
      <c r="AA1211" s="87"/>
      <c r="AB1211" s="87"/>
      <c r="AC1211" s="87"/>
      <c r="AD1211" s="87"/>
      <c r="AH1211" s="147"/>
    </row>
    <row r="1212" spans="1:34" s="146" customFormat="1" x14ac:dyDescent="0.25">
      <c r="A1212" s="196">
        <v>1927</v>
      </c>
      <c r="B1212" s="196" t="s">
        <v>6454</v>
      </c>
      <c r="C1212" s="196" t="s">
        <v>6455</v>
      </c>
      <c r="D1212" s="196" t="s">
        <v>6456</v>
      </c>
      <c r="E1212" s="196"/>
      <c r="F1212" s="196">
        <v>2018</v>
      </c>
      <c r="G1212" s="196"/>
      <c r="H1212" s="196" t="s">
        <v>1878</v>
      </c>
      <c r="I1212" s="141" t="s">
        <v>1929</v>
      </c>
      <c r="J1212" s="52" t="s">
        <v>3854</v>
      </c>
      <c r="K1212" s="196" t="s">
        <v>1881</v>
      </c>
      <c r="L1212" s="141" t="s">
        <v>6457</v>
      </c>
      <c r="M1212" s="196">
        <v>280</v>
      </c>
      <c r="N1212" s="196"/>
      <c r="O1212" s="196" t="s">
        <v>5390</v>
      </c>
      <c r="P1212" s="144">
        <v>287</v>
      </c>
      <c r="Q1212" s="145">
        <f t="shared" si="69"/>
        <v>4.3052999999999999</v>
      </c>
      <c r="R1212" s="203">
        <v>3.49</v>
      </c>
      <c r="S1212" s="203"/>
      <c r="T1212" s="78">
        <v>0.3</v>
      </c>
      <c r="U1212" s="151"/>
      <c r="V1212" s="151">
        <v>0.25</v>
      </c>
      <c r="W1212" s="151">
        <f t="shared" si="70"/>
        <v>3.49</v>
      </c>
      <c r="X1212" s="152">
        <f t="shared" si="71"/>
        <v>0.26530000000000004</v>
      </c>
      <c r="Y1212" s="152"/>
      <c r="Z1212" s="148"/>
      <c r="AA1212" s="87"/>
      <c r="AB1212" s="87"/>
      <c r="AC1212" s="87"/>
      <c r="AD1212" s="87"/>
      <c r="AH1212" s="147"/>
    </row>
    <row r="1213" spans="1:34" s="146" customFormat="1" x14ac:dyDescent="0.25">
      <c r="A1213" s="196">
        <v>651</v>
      </c>
      <c r="B1213" s="196" t="s">
        <v>6458</v>
      </c>
      <c r="C1213" s="196" t="s">
        <v>6459</v>
      </c>
      <c r="D1213" s="196" t="s">
        <v>2117</v>
      </c>
      <c r="E1213" s="196" t="s">
        <v>1913</v>
      </c>
      <c r="F1213" s="196">
        <v>2016</v>
      </c>
      <c r="G1213" s="196"/>
      <c r="H1213" s="196" t="s">
        <v>1878</v>
      </c>
      <c r="I1213" s="141" t="s">
        <v>1929</v>
      </c>
      <c r="J1213" s="196"/>
      <c r="K1213" s="196" t="s">
        <v>1881</v>
      </c>
      <c r="L1213" s="141" t="s">
        <v>6460</v>
      </c>
      <c r="M1213" s="196">
        <v>30</v>
      </c>
      <c r="N1213" s="196"/>
      <c r="O1213" s="196" t="s">
        <v>5391</v>
      </c>
      <c r="P1213" s="144">
        <v>207</v>
      </c>
      <c r="Q1213" s="145">
        <f t="shared" si="69"/>
        <v>3.2353000000000001</v>
      </c>
      <c r="R1213" s="203">
        <v>2.4900000000000002</v>
      </c>
      <c r="S1213" s="203"/>
      <c r="T1213" s="78">
        <v>0.3</v>
      </c>
      <c r="U1213" s="151"/>
      <c r="V1213" s="151">
        <v>0.25</v>
      </c>
      <c r="W1213" s="151">
        <f t="shared" si="70"/>
        <v>2.4900000000000002</v>
      </c>
      <c r="X1213" s="152">
        <f t="shared" si="71"/>
        <v>0.1953</v>
      </c>
      <c r="Y1213" s="152"/>
      <c r="Z1213" s="148"/>
      <c r="AA1213" s="87"/>
      <c r="AB1213" s="87"/>
      <c r="AC1213" s="87"/>
      <c r="AD1213" s="87"/>
      <c r="AH1213" s="147"/>
    </row>
    <row r="1214" spans="1:34" s="146" customFormat="1" x14ac:dyDescent="0.25">
      <c r="A1214" s="196">
        <v>704</v>
      </c>
      <c r="B1214" s="196" t="s">
        <v>6461</v>
      </c>
      <c r="C1214" s="196" t="s">
        <v>6462</v>
      </c>
      <c r="D1214" s="196" t="s">
        <v>4626</v>
      </c>
      <c r="E1214" s="196" t="s">
        <v>1877</v>
      </c>
      <c r="F1214" s="196">
        <v>2015</v>
      </c>
      <c r="G1214" s="196"/>
      <c r="H1214" s="196" t="s">
        <v>1878</v>
      </c>
      <c r="I1214" s="141" t="s">
        <v>1929</v>
      </c>
      <c r="J1214" s="196"/>
      <c r="K1214" s="196" t="s">
        <v>1881</v>
      </c>
      <c r="L1214" s="141" t="s">
        <v>6463</v>
      </c>
      <c r="M1214" s="196">
        <v>256</v>
      </c>
      <c r="N1214" s="196"/>
      <c r="O1214" s="196" t="s">
        <v>5392</v>
      </c>
      <c r="P1214" s="144">
        <v>344</v>
      </c>
      <c r="Q1214" s="145">
        <f t="shared" si="69"/>
        <v>3.2353000000000001</v>
      </c>
      <c r="R1214" s="203">
        <v>2.4900000000000002</v>
      </c>
      <c r="S1214" s="203"/>
      <c r="T1214" s="78">
        <v>0.3</v>
      </c>
      <c r="U1214" s="151"/>
      <c r="V1214" s="151">
        <v>0.25</v>
      </c>
      <c r="W1214" s="151">
        <f t="shared" si="70"/>
        <v>2.4900000000000002</v>
      </c>
      <c r="X1214" s="152">
        <f t="shared" si="71"/>
        <v>0.1953</v>
      </c>
      <c r="Y1214" s="152"/>
      <c r="Z1214" s="148"/>
      <c r="AA1214" s="87"/>
      <c r="AB1214" s="87"/>
      <c r="AC1214" s="87"/>
      <c r="AD1214" s="87"/>
      <c r="AH1214" s="147"/>
    </row>
    <row r="1215" spans="1:34" s="146" customFormat="1" x14ac:dyDescent="0.25">
      <c r="A1215" s="196">
        <v>2518</v>
      </c>
      <c r="B1215" s="196" t="s">
        <v>6464</v>
      </c>
      <c r="C1215" s="196" t="s">
        <v>6465</v>
      </c>
      <c r="D1215" s="196" t="s">
        <v>1912</v>
      </c>
      <c r="E1215" s="196" t="s">
        <v>1877</v>
      </c>
      <c r="F1215" s="196">
        <v>2015</v>
      </c>
      <c r="G1215" s="196"/>
      <c r="H1215" s="196" t="s">
        <v>2734</v>
      </c>
      <c r="I1215" s="141" t="s">
        <v>1929</v>
      </c>
      <c r="J1215" s="52" t="s">
        <v>3854</v>
      </c>
      <c r="K1215" s="196" t="s">
        <v>1881</v>
      </c>
      <c r="L1215" s="141" t="s">
        <v>6466</v>
      </c>
      <c r="M1215" s="196">
        <v>450</v>
      </c>
      <c r="N1215" s="196"/>
      <c r="O1215" s="196" t="s">
        <v>5393</v>
      </c>
      <c r="P1215" s="144">
        <v>710</v>
      </c>
      <c r="Q1215" s="145">
        <f t="shared" ref="Q1215:Q1274" si="72">SUM(T1215:X1215)</f>
        <v>2.1653000000000002</v>
      </c>
      <c r="R1215" s="203">
        <v>1.49</v>
      </c>
      <c r="S1215" s="203"/>
      <c r="T1215" s="78">
        <v>0.3</v>
      </c>
      <c r="U1215" s="151"/>
      <c r="V1215" s="151">
        <v>0.25</v>
      </c>
      <c r="W1215" s="151">
        <f t="shared" ref="W1215:W1274" si="73">IF(R1215&gt;T1215,R1215,T1215)</f>
        <v>1.49</v>
      </c>
      <c r="X1215" s="152">
        <f t="shared" si="71"/>
        <v>0.12529999999999999</v>
      </c>
      <c r="Y1215" s="152"/>
      <c r="Z1215" s="148"/>
      <c r="AA1215" s="87"/>
      <c r="AB1215" s="87"/>
      <c r="AC1215" s="87"/>
      <c r="AD1215" s="87"/>
      <c r="AH1215" s="147"/>
    </row>
    <row r="1216" spans="1:34" s="146" customFormat="1" x14ac:dyDescent="0.25">
      <c r="A1216" s="196">
        <v>651</v>
      </c>
      <c r="B1216" s="196" t="s">
        <v>2115</v>
      </c>
      <c r="C1216" s="196" t="s">
        <v>6467</v>
      </c>
      <c r="D1216" s="196" t="s">
        <v>2117</v>
      </c>
      <c r="E1216" s="196" t="s">
        <v>1913</v>
      </c>
      <c r="F1216" s="196">
        <v>2014</v>
      </c>
      <c r="G1216" s="196"/>
      <c r="H1216" s="196" t="s">
        <v>1878</v>
      </c>
      <c r="I1216" s="141" t="s">
        <v>1929</v>
      </c>
      <c r="J1216" s="196"/>
      <c r="K1216" s="196" t="s">
        <v>1881</v>
      </c>
      <c r="L1216" s="141" t="s">
        <v>6468</v>
      </c>
      <c r="M1216" s="196">
        <v>32</v>
      </c>
      <c r="N1216" s="196"/>
      <c r="O1216" s="196" t="s">
        <v>5394</v>
      </c>
      <c r="P1216" s="144">
        <v>138</v>
      </c>
      <c r="Q1216" s="145">
        <f t="shared" si="72"/>
        <v>4.3052999999999999</v>
      </c>
      <c r="R1216" s="203">
        <v>3.49</v>
      </c>
      <c r="S1216" s="203"/>
      <c r="T1216" s="78">
        <v>0.3</v>
      </c>
      <c r="U1216" s="151"/>
      <c r="V1216" s="151">
        <v>0.25</v>
      </c>
      <c r="W1216" s="151">
        <f t="shared" si="73"/>
        <v>3.49</v>
      </c>
      <c r="X1216" s="152">
        <f t="shared" si="71"/>
        <v>0.26530000000000004</v>
      </c>
      <c r="Y1216" s="152"/>
      <c r="Z1216" s="148"/>
      <c r="AA1216" s="87"/>
      <c r="AB1216" s="87"/>
      <c r="AC1216" s="87"/>
      <c r="AD1216" s="87"/>
      <c r="AH1216" s="147"/>
    </row>
    <row r="1217" spans="1:34" s="146" customFormat="1" x14ac:dyDescent="0.25">
      <c r="A1217" s="196">
        <v>689</v>
      </c>
      <c r="B1217" s="196" t="s">
        <v>6469</v>
      </c>
      <c r="C1217" s="196" t="s">
        <v>6470</v>
      </c>
      <c r="D1217" s="196" t="s">
        <v>2530</v>
      </c>
      <c r="E1217" s="196"/>
      <c r="F1217" s="196">
        <v>2017</v>
      </c>
      <c r="G1217" s="196"/>
      <c r="H1217" s="196" t="s">
        <v>2734</v>
      </c>
      <c r="I1217" s="141" t="s">
        <v>1929</v>
      </c>
      <c r="J1217" s="52" t="s">
        <v>3854</v>
      </c>
      <c r="K1217" s="196" t="s">
        <v>1881</v>
      </c>
      <c r="L1217" s="141" t="s">
        <v>6471</v>
      </c>
      <c r="M1217" s="196">
        <v>466</v>
      </c>
      <c r="N1217" s="196"/>
      <c r="O1217" s="196" t="s">
        <v>5395</v>
      </c>
      <c r="P1217" s="144">
        <v>765</v>
      </c>
      <c r="Q1217" s="145">
        <f t="shared" si="72"/>
        <v>4.6262999999999996</v>
      </c>
      <c r="R1217" s="203">
        <v>3.79</v>
      </c>
      <c r="S1217" s="203"/>
      <c r="T1217" s="78">
        <v>0.3</v>
      </c>
      <c r="U1217" s="151"/>
      <c r="V1217" s="151">
        <v>0.25</v>
      </c>
      <c r="W1217" s="151">
        <f t="shared" si="73"/>
        <v>3.79</v>
      </c>
      <c r="X1217" s="152">
        <f t="shared" si="71"/>
        <v>0.2863</v>
      </c>
      <c r="Y1217" s="152"/>
      <c r="Z1217" s="148"/>
      <c r="AA1217" s="87"/>
      <c r="AB1217" s="87"/>
      <c r="AC1217" s="87"/>
      <c r="AD1217" s="87"/>
      <c r="AH1217" s="147"/>
    </row>
    <row r="1218" spans="1:34" s="146" customFormat="1" x14ac:dyDescent="0.25">
      <c r="A1218" s="196">
        <v>651</v>
      </c>
      <c r="B1218" s="196" t="s">
        <v>6472</v>
      </c>
      <c r="C1218" s="196" t="s">
        <v>6473</v>
      </c>
      <c r="D1218" s="196" t="s">
        <v>2117</v>
      </c>
      <c r="E1218" s="196" t="s">
        <v>1913</v>
      </c>
      <c r="F1218" s="196">
        <v>2015</v>
      </c>
      <c r="G1218" s="196"/>
      <c r="H1218" s="196" t="s">
        <v>1878</v>
      </c>
      <c r="I1218" s="141" t="s">
        <v>1929</v>
      </c>
      <c r="J1218" s="196"/>
      <c r="K1218" s="196" t="s">
        <v>1881</v>
      </c>
      <c r="L1218" s="141" t="s">
        <v>6474</v>
      </c>
      <c r="M1218" s="196">
        <v>48</v>
      </c>
      <c r="N1218" s="196"/>
      <c r="O1218" s="196" t="s">
        <v>5396</v>
      </c>
      <c r="P1218" s="144">
        <v>209</v>
      </c>
      <c r="Q1218" s="145">
        <f t="shared" si="72"/>
        <v>1.8443000000000001</v>
      </c>
      <c r="R1218" s="203">
        <v>1.19</v>
      </c>
      <c r="S1218" s="203"/>
      <c r="T1218" s="78">
        <v>0.3</v>
      </c>
      <c r="U1218" s="151"/>
      <c r="V1218" s="151">
        <v>0.25</v>
      </c>
      <c r="W1218" s="151">
        <f t="shared" si="73"/>
        <v>1.19</v>
      </c>
      <c r="X1218" s="152">
        <f t="shared" si="71"/>
        <v>0.1043</v>
      </c>
      <c r="Y1218" s="152"/>
      <c r="Z1218" s="148"/>
      <c r="AA1218" s="87"/>
      <c r="AB1218" s="87"/>
      <c r="AC1218" s="87"/>
      <c r="AD1218" s="87"/>
      <c r="AH1218" s="147"/>
    </row>
    <row r="1219" spans="1:34" s="146" customFormat="1" x14ac:dyDescent="0.25">
      <c r="A1219" s="196">
        <v>1332</v>
      </c>
      <c r="B1219" s="196" t="s">
        <v>6475</v>
      </c>
      <c r="C1219" s="196" t="s">
        <v>6476</v>
      </c>
      <c r="D1219" s="196" t="s">
        <v>2117</v>
      </c>
      <c r="E1219" s="196" t="s">
        <v>1913</v>
      </c>
      <c r="F1219" s="196">
        <v>2016</v>
      </c>
      <c r="G1219" s="196"/>
      <c r="H1219" s="196" t="s">
        <v>1878</v>
      </c>
      <c r="I1219" s="141" t="s">
        <v>1929</v>
      </c>
      <c r="J1219" s="196"/>
      <c r="K1219" s="196" t="s">
        <v>1881</v>
      </c>
      <c r="L1219" s="141" t="s">
        <v>6477</v>
      </c>
      <c r="M1219" s="196">
        <v>48</v>
      </c>
      <c r="N1219" s="196"/>
      <c r="O1219" s="196" t="s">
        <v>5397</v>
      </c>
      <c r="P1219" s="144">
        <v>203</v>
      </c>
      <c r="Q1219" s="145">
        <f t="shared" si="72"/>
        <v>1.9513</v>
      </c>
      <c r="R1219" s="203">
        <v>1.29</v>
      </c>
      <c r="S1219" s="203"/>
      <c r="T1219" s="78">
        <v>0.3</v>
      </c>
      <c r="U1219" s="151"/>
      <c r="V1219" s="151">
        <v>0.25</v>
      </c>
      <c r="W1219" s="151">
        <f t="shared" si="73"/>
        <v>1.29</v>
      </c>
      <c r="X1219" s="152">
        <f t="shared" si="71"/>
        <v>0.11130000000000001</v>
      </c>
      <c r="Y1219" s="152"/>
      <c r="Z1219" s="148"/>
      <c r="AA1219" s="87"/>
      <c r="AB1219" s="87"/>
      <c r="AC1219" s="87"/>
      <c r="AD1219" s="87"/>
      <c r="AH1219" s="147"/>
    </row>
    <row r="1220" spans="1:34" s="146" customFormat="1" x14ac:dyDescent="0.25">
      <c r="A1220" s="196">
        <v>651</v>
      </c>
      <c r="B1220" s="196" t="s">
        <v>6478</v>
      </c>
      <c r="C1220" s="196" t="s">
        <v>6479</v>
      </c>
      <c r="D1220" s="196" t="s">
        <v>2117</v>
      </c>
      <c r="E1220" s="196" t="s">
        <v>1913</v>
      </c>
      <c r="F1220" s="196">
        <v>2014</v>
      </c>
      <c r="G1220" s="196"/>
      <c r="H1220" s="196" t="s">
        <v>1878</v>
      </c>
      <c r="I1220" s="141" t="s">
        <v>1929</v>
      </c>
      <c r="J1220" s="196"/>
      <c r="K1220" s="196" t="s">
        <v>1881</v>
      </c>
      <c r="L1220" s="141" t="s">
        <v>6480</v>
      </c>
      <c r="M1220" s="196">
        <v>32</v>
      </c>
      <c r="N1220" s="196"/>
      <c r="O1220" s="196" t="s">
        <v>5398</v>
      </c>
      <c r="P1220" s="144">
        <v>188</v>
      </c>
      <c r="Q1220" s="145">
        <f t="shared" si="72"/>
        <v>1.9513</v>
      </c>
      <c r="R1220" s="203">
        <v>1.29</v>
      </c>
      <c r="S1220" s="203"/>
      <c r="T1220" s="78">
        <v>0.3</v>
      </c>
      <c r="U1220" s="151"/>
      <c r="V1220" s="151">
        <v>0.25</v>
      </c>
      <c r="W1220" s="151">
        <f t="shared" si="73"/>
        <v>1.29</v>
      </c>
      <c r="X1220" s="152">
        <f t="shared" si="71"/>
        <v>0.11130000000000001</v>
      </c>
      <c r="Y1220" s="152"/>
      <c r="Z1220" s="148"/>
      <c r="AA1220" s="87"/>
      <c r="AB1220" s="87"/>
      <c r="AC1220" s="87"/>
      <c r="AD1220" s="87"/>
      <c r="AH1220" s="147"/>
    </row>
    <row r="1221" spans="1:34" s="146" customFormat="1" x14ac:dyDescent="0.25">
      <c r="A1221" s="196">
        <v>704</v>
      </c>
      <c r="B1221" s="196" t="s">
        <v>6481</v>
      </c>
      <c r="C1221" s="196" t="s">
        <v>6482</v>
      </c>
      <c r="D1221" s="196" t="s">
        <v>6456</v>
      </c>
      <c r="E1221" s="196"/>
      <c r="F1221" s="196">
        <v>2017</v>
      </c>
      <c r="G1221" s="196"/>
      <c r="H1221" s="196" t="s">
        <v>1878</v>
      </c>
      <c r="I1221" s="141" t="s">
        <v>1929</v>
      </c>
      <c r="J1221" s="52" t="s">
        <v>3854</v>
      </c>
      <c r="K1221" s="196" t="s">
        <v>1881</v>
      </c>
      <c r="L1221" s="141" t="s">
        <v>6483</v>
      </c>
      <c r="M1221" s="196">
        <v>232</v>
      </c>
      <c r="N1221" s="196"/>
      <c r="O1221" s="196" t="s">
        <v>5399</v>
      </c>
      <c r="P1221" s="144">
        <v>238</v>
      </c>
      <c r="Q1221" s="145">
        <f t="shared" si="72"/>
        <v>3.2353000000000001</v>
      </c>
      <c r="R1221" s="203">
        <v>2.4900000000000002</v>
      </c>
      <c r="S1221" s="203"/>
      <c r="T1221" s="78">
        <v>0.3</v>
      </c>
      <c r="U1221" s="151"/>
      <c r="V1221" s="151">
        <v>0.25</v>
      </c>
      <c r="W1221" s="151">
        <f t="shared" si="73"/>
        <v>2.4900000000000002</v>
      </c>
      <c r="X1221" s="152">
        <f t="shared" si="71"/>
        <v>0.1953</v>
      </c>
      <c r="Y1221" s="152"/>
      <c r="Z1221" s="148"/>
      <c r="AA1221" s="87"/>
      <c r="AB1221" s="87"/>
      <c r="AC1221" s="87"/>
      <c r="AD1221" s="87"/>
      <c r="AH1221" s="147"/>
    </row>
    <row r="1222" spans="1:34" s="146" customFormat="1" x14ac:dyDescent="0.25">
      <c r="A1222" s="196">
        <v>742</v>
      </c>
      <c r="B1222" s="196" t="s">
        <v>6484</v>
      </c>
      <c r="C1222" s="196" t="s">
        <v>6485</v>
      </c>
      <c r="D1222" s="196" t="s">
        <v>6456</v>
      </c>
      <c r="E1222" s="196"/>
      <c r="F1222" s="196">
        <v>2018</v>
      </c>
      <c r="G1222" s="196"/>
      <c r="H1222" s="196" t="s">
        <v>1878</v>
      </c>
      <c r="I1222" s="141" t="s">
        <v>1929</v>
      </c>
      <c r="J1222" s="52" t="s">
        <v>3854</v>
      </c>
      <c r="K1222" s="196" t="s">
        <v>1881</v>
      </c>
      <c r="L1222" s="141" t="s">
        <v>6486</v>
      </c>
      <c r="M1222" s="196">
        <v>280</v>
      </c>
      <c r="N1222" s="196"/>
      <c r="O1222" s="196" t="s">
        <v>5400</v>
      </c>
      <c r="P1222" s="144">
        <v>285</v>
      </c>
      <c r="Q1222" s="145">
        <f t="shared" si="72"/>
        <v>4.3052999999999999</v>
      </c>
      <c r="R1222" s="203">
        <v>3.49</v>
      </c>
      <c r="S1222" s="203"/>
      <c r="T1222" s="78">
        <v>0.3</v>
      </c>
      <c r="U1222" s="151"/>
      <c r="V1222" s="151">
        <v>0.25</v>
      </c>
      <c r="W1222" s="151">
        <f t="shared" si="73"/>
        <v>3.49</v>
      </c>
      <c r="X1222" s="152">
        <f t="shared" si="71"/>
        <v>0.26530000000000004</v>
      </c>
      <c r="Y1222" s="152"/>
      <c r="Z1222" s="148"/>
      <c r="AA1222" s="87"/>
      <c r="AB1222" s="87"/>
      <c r="AC1222" s="87"/>
      <c r="AD1222" s="87"/>
      <c r="AH1222" s="147"/>
    </row>
    <row r="1223" spans="1:34" s="146" customFormat="1" x14ac:dyDescent="0.25">
      <c r="A1223" s="196">
        <v>1231</v>
      </c>
      <c r="B1223" s="196" t="s">
        <v>6487</v>
      </c>
      <c r="C1223" s="196" t="s">
        <v>6488</v>
      </c>
      <c r="D1223" s="196" t="s">
        <v>6489</v>
      </c>
      <c r="E1223" s="196"/>
      <c r="F1223" s="196">
        <v>2012</v>
      </c>
      <c r="G1223" s="196"/>
      <c r="H1223" s="196" t="s">
        <v>1878</v>
      </c>
      <c r="I1223" s="141" t="s">
        <v>1879</v>
      </c>
      <c r="J1223" s="52" t="s">
        <v>3854</v>
      </c>
      <c r="K1223" s="196" t="s">
        <v>1881</v>
      </c>
      <c r="L1223" s="141" t="s">
        <v>6490</v>
      </c>
      <c r="M1223" s="196">
        <v>304</v>
      </c>
      <c r="N1223" s="196"/>
      <c r="O1223" s="196" t="s">
        <v>5401</v>
      </c>
      <c r="P1223" s="144">
        <v>486</v>
      </c>
      <c r="Q1223" s="145">
        <f t="shared" si="72"/>
        <v>3.2353000000000001</v>
      </c>
      <c r="R1223" s="203">
        <v>2.4900000000000002</v>
      </c>
      <c r="S1223" s="203"/>
      <c r="T1223" s="78">
        <v>0.3</v>
      </c>
      <c r="U1223" s="151"/>
      <c r="V1223" s="151">
        <v>0.25</v>
      </c>
      <c r="W1223" s="151">
        <f t="shared" si="73"/>
        <v>2.4900000000000002</v>
      </c>
      <c r="X1223" s="152">
        <f t="shared" si="71"/>
        <v>0.1953</v>
      </c>
      <c r="Y1223" s="152"/>
      <c r="Z1223" s="148"/>
      <c r="AA1223" s="87"/>
      <c r="AB1223" s="87"/>
      <c r="AC1223" s="87"/>
      <c r="AD1223" s="87"/>
      <c r="AH1223" s="147"/>
    </row>
    <row r="1224" spans="1:34" s="146" customFormat="1" x14ac:dyDescent="0.25">
      <c r="A1224" s="196">
        <v>1339</v>
      </c>
      <c r="B1224" s="196" t="s">
        <v>6491</v>
      </c>
      <c r="C1224" s="196" t="s">
        <v>6492</v>
      </c>
      <c r="D1224" s="196" t="s">
        <v>4693</v>
      </c>
      <c r="E1224" s="196" t="s">
        <v>1913</v>
      </c>
      <c r="F1224" s="196">
        <v>2016</v>
      </c>
      <c r="G1224" s="196"/>
      <c r="H1224" s="196" t="s">
        <v>1878</v>
      </c>
      <c r="I1224" s="141" t="s">
        <v>1929</v>
      </c>
      <c r="J1224" s="52" t="s">
        <v>3854</v>
      </c>
      <c r="K1224" s="196" t="s">
        <v>1881</v>
      </c>
      <c r="L1224" s="141" t="s">
        <v>6493</v>
      </c>
      <c r="M1224" s="196">
        <v>176</v>
      </c>
      <c r="N1224" s="196"/>
      <c r="O1224" s="196" t="s">
        <v>5402</v>
      </c>
      <c r="P1224" s="144">
        <v>521</v>
      </c>
      <c r="Q1224" s="145">
        <f t="shared" si="72"/>
        <v>2.1653000000000002</v>
      </c>
      <c r="R1224" s="203">
        <v>1.49</v>
      </c>
      <c r="S1224" s="203"/>
      <c r="T1224" s="78">
        <v>0.3</v>
      </c>
      <c r="U1224" s="151"/>
      <c r="V1224" s="151">
        <v>0.25</v>
      </c>
      <c r="W1224" s="151">
        <f t="shared" si="73"/>
        <v>1.49</v>
      </c>
      <c r="X1224" s="152">
        <f t="shared" si="71"/>
        <v>0.12529999999999999</v>
      </c>
      <c r="Y1224" s="152"/>
      <c r="Z1224" s="148"/>
      <c r="AA1224" s="87"/>
      <c r="AB1224" s="87"/>
      <c r="AC1224" s="87"/>
      <c r="AD1224" s="87"/>
      <c r="AH1224" s="147"/>
    </row>
    <row r="1225" spans="1:34" s="146" customFormat="1" x14ac:dyDescent="0.25">
      <c r="A1225" s="196">
        <v>612</v>
      </c>
      <c r="B1225" s="196"/>
      <c r="C1225" s="196" t="s">
        <v>6494</v>
      </c>
      <c r="D1225" s="196" t="s">
        <v>6495</v>
      </c>
      <c r="E1225" s="196" t="s">
        <v>2032</v>
      </c>
      <c r="F1225" s="196">
        <v>1989</v>
      </c>
      <c r="G1225" s="196"/>
      <c r="H1225" s="196" t="s">
        <v>2734</v>
      </c>
      <c r="I1225" s="141" t="s">
        <v>1929</v>
      </c>
      <c r="J1225" s="196"/>
      <c r="K1225" s="196" t="s">
        <v>1881</v>
      </c>
      <c r="L1225" s="141" t="s">
        <v>6496</v>
      </c>
      <c r="M1225" s="196">
        <v>554</v>
      </c>
      <c r="N1225" s="196"/>
      <c r="O1225" s="196" t="s">
        <v>5403</v>
      </c>
      <c r="P1225" s="144">
        <v>856</v>
      </c>
      <c r="Q1225" s="145">
        <f t="shared" si="72"/>
        <v>5.3753000000000002</v>
      </c>
      <c r="R1225" s="203">
        <v>4.49</v>
      </c>
      <c r="S1225" s="203"/>
      <c r="T1225" s="78">
        <v>0.3</v>
      </c>
      <c r="U1225" s="151"/>
      <c r="V1225" s="151">
        <v>0.25</v>
      </c>
      <c r="W1225" s="151">
        <f t="shared" si="73"/>
        <v>4.49</v>
      </c>
      <c r="X1225" s="152">
        <f t="shared" si="71"/>
        <v>0.33529999999999999</v>
      </c>
      <c r="Y1225" s="152"/>
      <c r="Z1225" s="148"/>
      <c r="AA1225" s="87"/>
      <c r="AB1225" s="87"/>
      <c r="AC1225" s="87"/>
      <c r="AD1225" s="87"/>
      <c r="AH1225" s="147"/>
    </row>
    <row r="1226" spans="1:34" s="146" customFormat="1" x14ac:dyDescent="0.25">
      <c r="A1226" s="196">
        <v>704</v>
      </c>
      <c r="B1226" s="196" t="s">
        <v>4624</v>
      </c>
      <c r="C1226" s="196" t="s">
        <v>6497</v>
      </c>
      <c r="D1226" s="196" t="s">
        <v>4626</v>
      </c>
      <c r="E1226" s="196" t="s">
        <v>1913</v>
      </c>
      <c r="F1226" s="196">
        <v>2014</v>
      </c>
      <c r="G1226" s="196"/>
      <c r="H1226" s="196" t="s">
        <v>2734</v>
      </c>
      <c r="I1226" s="141" t="s">
        <v>1929</v>
      </c>
      <c r="J1226" s="52" t="s">
        <v>3854</v>
      </c>
      <c r="K1226" s="196" t="s">
        <v>1881</v>
      </c>
      <c r="L1226" s="141" t="s">
        <v>6500</v>
      </c>
      <c r="M1226" s="196">
        <v>98</v>
      </c>
      <c r="N1226" s="196"/>
      <c r="O1226" s="196" t="s">
        <v>5404</v>
      </c>
      <c r="P1226" s="144">
        <v>179</v>
      </c>
      <c r="Q1226" s="145">
        <f t="shared" si="72"/>
        <v>4.3052999999999999</v>
      </c>
      <c r="R1226" s="203">
        <v>3.49</v>
      </c>
      <c r="S1226" s="203"/>
      <c r="T1226" s="78">
        <v>0.3</v>
      </c>
      <c r="U1226" s="151"/>
      <c r="V1226" s="151">
        <v>0.25</v>
      </c>
      <c r="W1226" s="151">
        <f t="shared" si="73"/>
        <v>3.49</v>
      </c>
      <c r="X1226" s="152">
        <f t="shared" si="71"/>
        <v>0.26530000000000004</v>
      </c>
      <c r="Y1226" s="152"/>
      <c r="Z1226" s="148"/>
      <c r="AA1226" s="87"/>
      <c r="AB1226" s="87"/>
      <c r="AC1226" s="87"/>
      <c r="AD1226" s="87"/>
      <c r="AH1226" s="147"/>
    </row>
    <row r="1227" spans="1:34" s="146" customFormat="1" x14ac:dyDescent="0.25">
      <c r="A1227" s="196">
        <v>2894</v>
      </c>
      <c r="B1227" s="196"/>
      <c r="C1227" s="196" t="s">
        <v>6498</v>
      </c>
      <c r="D1227" s="196" t="s">
        <v>6499</v>
      </c>
      <c r="E1227" s="196"/>
      <c r="F1227" s="196">
        <v>2010</v>
      </c>
      <c r="G1227" s="196"/>
      <c r="H1227" s="196" t="s">
        <v>1878</v>
      </c>
      <c r="I1227" s="141" t="s">
        <v>1929</v>
      </c>
      <c r="J1227" s="196"/>
      <c r="K1227" s="196" t="s">
        <v>1881</v>
      </c>
      <c r="L1227" s="141" t="s">
        <v>6501</v>
      </c>
      <c r="M1227" s="196">
        <v>32</v>
      </c>
      <c r="N1227" s="196"/>
      <c r="O1227" s="196" t="s">
        <v>5405</v>
      </c>
      <c r="P1227" s="144">
        <v>99</v>
      </c>
      <c r="Q1227" s="145">
        <f t="shared" si="72"/>
        <v>3.2353000000000001</v>
      </c>
      <c r="R1227" s="203">
        <v>2.4900000000000002</v>
      </c>
      <c r="S1227" s="203"/>
      <c r="T1227" s="78">
        <v>0.3</v>
      </c>
      <c r="U1227" s="151"/>
      <c r="V1227" s="151">
        <v>0.25</v>
      </c>
      <c r="W1227" s="151">
        <f t="shared" si="73"/>
        <v>2.4900000000000002</v>
      </c>
      <c r="X1227" s="152">
        <f t="shared" si="71"/>
        <v>0.1953</v>
      </c>
      <c r="Y1227" s="152"/>
      <c r="Z1227" s="148"/>
      <c r="AA1227" s="87"/>
      <c r="AB1227" s="87"/>
      <c r="AC1227" s="87"/>
      <c r="AD1227" s="87"/>
      <c r="AH1227" s="147"/>
    </row>
    <row r="1228" spans="1:34" s="146" customFormat="1" x14ac:dyDescent="0.25">
      <c r="A1228" s="196">
        <v>2894</v>
      </c>
      <c r="B1228" s="196" t="s">
        <v>6502</v>
      </c>
      <c r="C1228" s="196" t="s">
        <v>6503</v>
      </c>
      <c r="D1228" s="196" t="s">
        <v>2117</v>
      </c>
      <c r="E1228" s="196" t="s">
        <v>1913</v>
      </c>
      <c r="F1228" s="196">
        <v>2015</v>
      </c>
      <c r="G1228" s="196"/>
      <c r="H1228" s="196" t="s">
        <v>1878</v>
      </c>
      <c r="I1228" s="141" t="s">
        <v>1929</v>
      </c>
      <c r="J1228" s="196"/>
      <c r="K1228" s="196" t="s">
        <v>1881</v>
      </c>
      <c r="L1228" s="141" t="s">
        <v>6504</v>
      </c>
      <c r="M1228" s="196">
        <v>64</v>
      </c>
      <c r="N1228" s="196"/>
      <c r="O1228" s="196" t="s">
        <v>5406</v>
      </c>
      <c r="P1228" s="144">
        <v>251</v>
      </c>
      <c r="Q1228" s="145">
        <f t="shared" si="72"/>
        <v>2.4863</v>
      </c>
      <c r="R1228" s="203">
        <v>1.79</v>
      </c>
      <c r="S1228" s="203"/>
      <c r="T1228" s="78">
        <v>0.3</v>
      </c>
      <c r="U1228" s="151"/>
      <c r="V1228" s="151">
        <v>0.25</v>
      </c>
      <c r="W1228" s="151">
        <f t="shared" si="73"/>
        <v>1.79</v>
      </c>
      <c r="X1228" s="152">
        <f t="shared" si="71"/>
        <v>0.14629999999999999</v>
      </c>
      <c r="Y1228" s="152"/>
      <c r="Z1228" s="148"/>
      <c r="AA1228" s="87"/>
      <c r="AB1228" s="87"/>
      <c r="AC1228" s="87"/>
      <c r="AD1228" s="87"/>
      <c r="AH1228" s="147"/>
    </row>
    <row r="1229" spans="1:34" s="146" customFormat="1" x14ac:dyDescent="0.25">
      <c r="A1229" s="196">
        <v>2522</v>
      </c>
      <c r="B1229" s="196" t="s">
        <v>4078</v>
      </c>
      <c r="C1229" s="196" t="s">
        <v>6505</v>
      </c>
      <c r="D1229" s="196" t="s">
        <v>1920</v>
      </c>
      <c r="E1229" s="196"/>
      <c r="F1229" s="196"/>
      <c r="G1229" s="196"/>
      <c r="H1229" s="196" t="s">
        <v>1878</v>
      </c>
      <c r="I1229" s="141" t="s">
        <v>1914</v>
      </c>
      <c r="J1229" s="196"/>
      <c r="K1229" s="196" t="s">
        <v>1881</v>
      </c>
      <c r="L1229" s="141" t="s">
        <v>6506</v>
      </c>
      <c r="M1229" s="196">
        <v>416</v>
      </c>
      <c r="N1229" s="196"/>
      <c r="O1229" s="196" t="s">
        <v>5407</v>
      </c>
      <c r="P1229" s="144">
        <v>365</v>
      </c>
      <c r="Q1229" s="145">
        <f t="shared" si="72"/>
        <v>0.89200000000000013</v>
      </c>
      <c r="R1229" s="203">
        <v>0.25</v>
      </c>
      <c r="S1229" s="203"/>
      <c r="T1229" s="78">
        <v>0.3</v>
      </c>
      <c r="U1229" s="151"/>
      <c r="V1229" s="151">
        <v>0.25</v>
      </c>
      <c r="W1229" s="151">
        <f t="shared" si="73"/>
        <v>0.3</v>
      </c>
      <c r="X1229" s="152">
        <f t="shared" si="71"/>
        <v>4.2000000000000003E-2</v>
      </c>
      <c r="Y1229" s="152"/>
      <c r="Z1229" s="148"/>
      <c r="AA1229" s="87"/>
      <c r="AB1229" s="87"/>
      <c r="AC1229" s="87"/>
      <c r="AD1229" s="87"/>
      <c r="AH1229" s="147"/>
    </row>
    <row r="1230" spans="1:34" s="146" customFormat="1" x14ac:dyDescent="0.25">
      <c r="A1230" s="196">
        <v>985</v>
      </c>
      <c r="B1230" s="196"/>
      <c r="C1230" s="196" t="s">
        <v>6507</v>
      </c>
      <c r="D1230" s="196" t="s">
        <v>6367</v>
      </c>
      <c r="E1230" s="196"/>
      <c r="F1230" s="196">
        <v>2016</v>
      </c>
      <c r="G1230" s="196"/>
      <c r="H1230" s="196" t="s">
        <v>2734</v>
      </c>
      <c r="I1230" s="141" t="s">
        <v>1879</v>
      </c>
      <c r="J1230" s="52" t="s">
        <v>3854</v>
      </c>
      <c r="K1230" s="196" t="s">
        <v>1881</v>
      </c>
      <c r="L1230" s="141" t="s">
        <v>6508</v>
      </c>
      <c r="M1230" s="196">
        <v>146</v>
      </c>
      <c r="N1230" s="196"/>
      <c r="O1230" s="196" t="s">
        <v>5408</v>
      </c>
      <c r="P1230" s="144">
        <v>815</v>
      </c>
      <c r="Q1230" s="145">
        <f t="shared" si="72"/>
        <v>4.6262999999999996</v>
      </c>
      <c r="R1230" s="203">
        <v>3.79</v>
      </c>
      <c r="S1230" s="203"/>
      <c r="T1230" s="78">
        <v>0.3</v>
      </c>
      <c r="U1230" s="151"/>
      <c r="V1230" s="151">
        <v>0.25</v>
      </c>
      <c r="W1230" s="151">
        <f t="shared" si="73"/>
        <v>3.79</v>
      </c>
      <c r="X1230" s="152">
        <f t="shared" si="71"/>
        <v>0.2863</v>
      </c>
      <c r="Y1230" s="152"/>
      <c r="Z1230" s="148"/>
      <c r="AA1230" s="87"/>
      <c r="AB1230" s="87"/>
      <c r="AC1230" s="87"/>
      <c r="AD1230" s="87"/>
      <c r="AH1230" s="147"/>
    </row>
    <row r="1231" spans="1:34" s="146" customFormat="1" x14ac:dyDescent="0.25">
      <c r="A1231" s="196">
        <v>1355</v>
      </c>
      <c r="B1231" s="196"/>
      <c r="C1231" s="196" t="s">
        <v>6509</v>
      </c>
      <c r="D1231" s="196" t="s">
        <v>2082</v>
      </c>
      <c r="E1231" s="196"/>
      <c r="F1231" s="196">
        <v>2018</v>
      </c>
      <c r="G1231" s="196"/>
      <c r="H1231" s="196" t="s">
        <v>2734</v>
      </c>
      <c r="I1231" s="141" t="s">
        <v>1929</v>
      </c>
      <c r="J1231" s="52" t="s">
        <v>3854</v>
      </c>
      <c r="K1231" s="196" t="s">
        <v>1881</v>
      </c>
      <c r="L1231" s="141" t="s">
        <v>6510</v>
      </c>
      <c r="M1231" s="196">
        <v>126</v>
      </c>
      <c r="N1231" s="196"/>
      <c r="O1231" s="196" t="s">
        <v>5409</v>
      </c>
      <c r="P1231" s="144">
        <v>605</v>
      </c>
      <c r="Q1231" s="145">
        <f t="shared" si="72"/>
        <v>5.4822999999999995</v>
      </c>
      <c r="R1231" s="203">
        <v>4.59</v>
      </c>
      <c r="S1231" s="203"/>
      <c r="T1231" s="78">
        <v>0.3</v>
      </c>
      <c r="U1231" s="151"/>
      <c r="V1231" s="151">
        <v>0.25</v>
      </c>
      <c r="W1231" s="151">
        <f t="shared" si="73"/>
        <v>4.59</v>
      </c>
      <c r="X1231" s="152">
        <f t="shared" si="71"/>
        <v>0.34229999999999999</v>
      </c>
      <c r="Y1231" s="152"/>
      <c r="Z1231" s="148"/>
      <c r="AA1231" s="87"/>
      <c r="AB1231" s="87"/>
      <c r="AC1231" s="87"/>
      <c r="AD1231" s="87"/>
      <c r="AH1231" s="147"/>
    </row>
    <row r="1232" spans="1:34" s="146" customFormat="1" x14ac:dyDescent="0.25">
      <c r="A1232" s="196">
        <v>2906</v>
      </c>
      <c r="B1232" s="196" t="s">
        <v>6511</v>
      </c>
      <c r="C1232" s="196" t="s">
        <v>6512</v>
      </c>
      <c r="D1232" s="196" t="s">
        <v>2117</v>
      </c>
      <c r="E1232" s="196" t="s">
        <v>1913</v>
      </c>
      <c r="F1232" s="196">
        <v>2012</v>
      </c>
      <c r="G1232" s="196"/>
      <c r="H1232" s="196" t="s">
        <v>2734</v>
      </c>
      <c r="I1232" s="141" t="s">
        <v>1929</v>
      </c>
      <c r="J1232" s="52" t="s">
        <v>3854</v>
      </c>
      <c r="K1232" s="196" t="s">
        <v>1881</v>
      </c>
      <c r="L1232" s="141" t="s">
        <v>6513</v>
      </c>
      <c r="M1232" s="196">
        <v>82</v>
      </c>
      <c r="N1232" s="196"/>
      <c r="O1232" s="196" t="s">
        <v>5410</v>
      </c>
      <c r="P1232" s="144">
        <v>538</v>
      </c>
      <c r="Q1232" s="145">
        <f t="shared" si="72"/>
        <v>3.2353000000000001</v>
      </c>
      <c r="R1232" s="203">
        <v>2.4900000000000002</v>
      </c>
      <c r="S1232" s="203"/>
      <c r="T1232" s="78">
        <v>0.3</v>
      </c>
      <c r="U1232" s="151"/>
      <c r="V1232" s="151">
        <v>0.25</v>
      </c>
      <c r="W1232" s="151">
        <f t="shared" si="73"/>
        <v>2.4900000000000002</v>
      </c>
      <c r="X1232" s="152">
        <f t="shared" si="71"/>
        <v>0.1953</v>
      </c>
      <c r="Y1232" s="152"/>
      <c r="Z1232" s="148"/>
      <c r="AA1232" s="87"/>
      <c r="AB1232" s="87"/>
      <c r="AC1232" s="87"/>
      <c r="AD1232" s="87"/>
      <c r="AH1232" s="147"/>
    </row>
    <row r="1233" spans="1:34" s="146" customFormat="1" x14ac:dyDescent="0.25">
      <c r="A1233" s="196">
        <v>614</v>
      </c>
      <c r="B1233" s="196" t="s">
        <v>6514</v>
      </c>
      <c r="C1233" s="196" t="s">
        <v>6515</v>
      </c>
      <c r="D1233" s="196" t="s">
        <v>6516</v>
      </c>
      <c r="E1233" s="196" t="s">
        <v>1913</v>
      </c>
      <c r="F1233" s="196">
        <v>2014</v>
      </c>
      <c r="G1233" s="196"/>
      <c r="H1233" s="196" t="s">
        <v>2734</v>
      </c>
      <c r="I1233" s="141" t="s">
        <v>1929</v>
      </c>
      <c r="J1233" s="196"/>
      <c r="K1233" s="196" t="s">
        <v>1881</v>
      </c>
      <c r="L1233" s="141" t="s">
        <v>6517</v>
      </c>
      <c r="M1233" s="196">
        <v>258</v>
      </c>
      <c r="N1233" s="196"/>
      <c r="O1233" s="196" t="s">
        <v>5411</v>
      </c>
      <c r="P1233" s="144">
        <v>1127</v>
      </c>
      <c r="Q1233" s="145">
        <f t="shared" si="72"/>
        <v>0.89200000000000013</v>
      </c>
      <c r="R1233" s="203"/>
      <c r="S1233" s="203"/>
      <c r="T1233" s="78">
        <v>0.3</v>
      </c>
      <c r="U1233" s="151"/>
      <c r="V1233" s="151">
        <v>0.25</v>
      </c>
      <c r="W1233" s="151">
        <f t="shared" si="73"/>
        <v>0.3</v>
      </c>
      <c r="X1233" s="152">
        <f t="shared" si="71"/>
        <v>4.2000000000000003E-2</v>
      </c>
      <c r="Y1233" s="152"/>
      <c r="Z1233" s="148"/>
      <c r="AA1233" s="87"/>
      <c r="AB1233" s="87"/>
      <c r="AC1233" s="87"/>
      <c r="AD1233" s="87"/>
      <c r="AH1233" s="147"/>
    </row>
    <row r="1234" spans="1:34" s="146" customFormat="1" x14ac:dyDescent="0.25">
      <c r="A1234" s="196">
        <v>651</v>
      </c>
      <c r="B1234" s="196" t="s">
        <v>6518</v>
      </c>
      <c r="C1234" s="196" t="s">
        <v>6519</v>
      </c>
      <c r="D1234" s="196" t="s">
        <v>2117</v>
      </c>
      <c r="E1234" s="196" t="s">
        <v>1913</v>
      </c>
      <c r="F1234" s="196">
        <v>2015</v>
      </c>
      <c r="G1234" s="196"/>
      <c r="H1234" s="196" t="s">
        <v>2734</v>
      </c>
      <c r="I1234" s="141" t="s">
        <v>1929</v>
      </c>
      <c r="J1234" s="196"/>
      <c r="K1234" s="196" t="s">
        <v>1881</v>
      </c>
      <c r="L1234" s="141" t="s">
        <v>6520</v>
      </c>
      <c r="M1234" s="196">
        <v>138</v>
      </c>
      <c r="N1234" s="196"/>
      <c r="O1234" s="196" t="s">
        <v>5412</v>
      </c>
      <c r="P1234" s="144">
        <v>818</v>
      </c>
      <c r="Q1234" s="145">
        <f t="shared" si="72"/>
        <v>4.7333000000000007</v>
      </c>
      <c r="R1234" s="203">
        <v>3.89</v>
      </c>
      <c r="S1234" s="203"/>
      <c r="T1234" s="78">
        <v>0.3</v>
      </c>
      <c r="U1234" s="151"/>
      <c r="V1234" s="151">
        <v>0.25</v>
      </c>
      <c r="W1234" s="151">
        <f t="shared" si="73"/>
        <v>3.89</v>
      </c>
      <c r="X1234" s="152">
        <f t="shared" si="71"/>
        <v>0.29330000000000006</v>
      </c>
      <c r="Y1234" s="152"/>
      <c r="Z1234" s="148"/>
      <c r="AA1234" s="87"/>
      <c r="AB1234" s="87"/>
      <c r="AC1234" s="87"/>
      <c r="AD1234" s="87"/>
      <c r="AH1234" s="147"/>
    </row>
    <row r="1235" spans="1:34" s="146" customFormat="1" x14ac:dyDescent="0.25">
      <c r="A1235" s="196">
        <v>1285</v>
      </c>
      <c r="B1235" s="196"/>
      <c r="C1235" s="196" t="s">
        <v>6525</v>
      </c>
      <c r="D1235" s="196" t="s">
        <v>6526</v>
      </c>
      <c r="E1235" s="196"/>
      <c r="F1235" s="196">
        <v>2004</v>
      </c>
      <c r="G1235" s="196"/>
      <c r="H1235" s="196" t="s">
        <v>2734</v>
      </c>
      <c r="I1235" s="141" t="s">
        <v>1929</v>
      </c>
      <c r="J1235" s="52" t="s">
        <v>3854</v>
      </c>
      <c r="K1235" s="196" t="s">
        <v>1881</v>
      </c>
      <c r="L1235" s="141" t="s">
        <v>6527</v>
      </c>
      <c r="M1235" s="196">
        <v>130</v>
      </c>
      <c r="N1235" s="196"/>
      <c r="O1235" s="196" t="s">
        <v>5414</v>
      </c>
      <c r="P1235" s="144">
        <v>887</v>
      </c>
      <c r="Q1235" s="145">
        <f t="shared" si="72"/>
        <v>2.9143000000000003</v>
      </c>
      <c r="R1235" s="203">
        <v>2.19</v>
      </c>
      <c r="S1235" s="203"/>
      <c r="T1235" s="78">
        <v>0.3</v>
      </c>
      <c r="U1235" s="151"/>
      <c r="V1235" s="151">
        <v>0.25</v>
      </c>
      <c r="W1235" s="151">
        <f t="shared" si="73"/>
        <v>2.19</v>
      </c>
      <c r="X1235" s="152">
        <f t="shared" si="71"/>
        <v>0.17429999999999998</v>
      </c>
      <c r="Y1235" s="152"/>
      <c r="Z1235" s="148"/>
      <c r="AA1235" s="87"/>
      <c r="AB1235" s="87"/>
      <c r="AC1235" s="87"/>
      <c r="AD1235" s="87"/>
      <c r="AH1235" s="147"/>
    </row>
    <row r="1236" spans="1:34" s="146" customFormat="1" x14ac:dyDescent="0.25">
      <c r="A1236" s="196">
        <v>1285</v>
      </c>
      <c r="B1236" s="196" t="s">
        <v>6529</v>
      </c>
      <c r="C1236" s="196" t="s">
        <v>6528</v>
      </c>
      <c r="D1236" s="196"/>
      <c r="E1236" s="196"/>
      <c r="F1236" s="196">
        <v>2007</v>
      </c>
      <c r="G1236" s="196"/>
      <c r="H1236" s="196" t="s">
        <v>2734</v>
      </c>
      <c r="I1236" s="141" t="s">
        <v>1929</v>
      </c>
      <c r="J1236" s="52" t="s">
        <v>3854</v>
      </c>
      <c r="K1236" s="196" t="s">
        <v>1881</v>
      </c>
      <c r="L1236" s="141" t="s">
        <v>6530</v>
      </c>
      <c r="M1236" s="196">
        <v>50</v>
      </c>
      <c r="N1236" s="196"/>
      <c r="O1236" s="196" t="s">
        <v>5415</v>
      </c>
      <c r="P1236" s="144">
        <v>404</v>
      </c>
      <c r="Q1236" s="145">
        <f t="shared" si="72"/>
        <v>0.89200000000000013</v>
      </c>
      <c r="R1236" s="203">
        <v>0.15</v>
      </c>
      <c r="S1236" s="203"/>
      <c r="T1236" s="78">
        <v>0.3</v>
      </c>
      <c r="U1236" s="151"/>
      <c r="V1236" s="151">
        <v>0.25</v>
      </c>
      <c r="W1236" s="151">
        <f t="shared" si="73"/>
        <v>0.3</v>
      </c>
      <c r="X1236" s="152">
        <f t="shared" si="71"/>
        <v>4.2000000000000003E-2</v>
      </c>
      <c r="Y1236" s="152"/>
      <c r="Z1236" s="148"/>
      <c r="AA1236" s="87"/>
      <c r="AB1236" s="87"/>
      <c r="AC1236" s="87"/>
      <c r="AD1236" s="87"/>
      <c r="AH1236" s="147"/>
    </row>
    <row r="1237" spans="1:34" s="146" customFormat="1" x14ac:dyDescent="0.25">
      <c r="A1237" s="196">
        <v>1299</v>
      </c>
      <c r="B1237" s="196"/>
      <c r="C1237" s="196" t="s">
        <v>6531</v>
      </c>
      <c r="D1237" s="196" t="s">
        <v>2117</v>
      </c>
      <c r="E1237" s="196" t="s">
        <v>1913</v>
      </c>
      <c r="F1237" s="196">
        <v>2016</v>
      </c>
      <c r="G1237" s="196"/>
      <c r="H1237" s="196" t="s">
        <v>5112</v>
      </c>
      <c r="I1237" s="141" t="s">
        <v>1929</v>
      </c>
      <c r="J1237" s="196"/>
      <c r="K1237" s="196" t="s">
        <v>1881</v>
      </c>
      <c r="L1237" s="141" t="s">
        <v>6532</v>
      </c>
      <c r="M1237" s="196"/>
      <c r="N1237" s="196"/>
      <c r="O1237" s="196" t="s">
        <v>5416</v>
      </c>
      <c r="P1237" s="144">
        <v>683</v>
      </c>
      <c r="Q1237" s="145">
        <f t="shared" si="72"/>
        <v>5.3753000000000002</v>
      </c>
      <c r="R1237" s="203">
        <v>4.49</v>
      </c>
      <c r="S1237" s="203"/>
      <c r="T1237" s="78">
        <v>0.3</v>
      </c>
      <c r="U1237" s="151"/>
      <c r="V1237" s="151">
        <v>0.25</v>
      </c>
      <c r="W1237" s="151">
        <f t="shared" si="73"/>
        <v>4.49</v>
      </c>
      <c r="X1237" s="152">
        <f t="shared" si="71"/>
        <v>0.33529999999999999</v>
      </c>
      <c r="Y1237" s="152"/>
      <c r="Z1237" s="148"/>
      <c r="AA1237" s="87"/>
      <c r="AB1237" s="87"/>
      <c r="AC1237" s="87"/>
      <c r="AD1237" s="87"/>
      <c r="AH1237" s="147"/>
    </row>
    <row r="1238" spans="1:34" s="146" customFormat="1" x14ac:dyDescent="0.25">
      <c r="A1238" s="196">
        <v>1972</v>
      </c>
      <c r="B1238" s="196" t="s">
        <v>6533</v>
      </c>
      <c r="C1238" s="196" t="s">
        <v>6534</v>
      </c>
      <c r="D1238" s="196" t="s">
        <v>6535</v>
      </c>
      <c r="E1238" s="196" t="s">
        <v>1913</v>
      </c>
      <c r="F1238" s="196">
        <v>2016</v>
      </c>
      <c r="G1238" s="196"/>
      <c r="H1238" s="196" t="s">
        <v>2734</v>
      </c>
      <c r="I1238" s="141" t="s">
        <v>1929</v>
      </c>
      <c r="J1238" s="52" t="s">
        <v>3854</v>
      </c>
      <c r="K1238" s="196" t="s">
        <v>1881</v>
      </c>
      <c r="L1238" s="141" t="s">
        <v>6536</v>
      </c>
      <c r="M1238" s="196">
        <v>210</v>
      </c>
      <c r="N1238" s="196"/>
      <c r="O1238" s="196" t="s">
        <v>5417</v>
      </c>
      <c r="P1238" s="144">
        <v>755</v>
      </c>
      <c r="Q1238" s="145">
        <f t="shared" si="72"/>
        <v>2.1653000000000002</v>
      </c>
      <c r="R1238" s="203">
        <v>1.49</v>
      </c>
      <c r="S1238" s="203"/>
      <c r="T1238" s="78">
        <v>0.3</v>
      </c>
      <c r="U1238" s="151"/>
      <c r="V1238" s="151">
        <v>0.25</v>
      </c>
      <c r="W1238" s="151">
        <f t="shared" si="73"/>
        <v>1.49</v>
      </c>
      <c r="X1238" s="152">
        <f t="shared" si="71"/>
        <v>0.12529999999999999</v>
      </c>
      <c r="Y1238" s="152"/>
      <c r="Z1238" s="148"/>
      <c r="AA1238" s="87"/>
      <c r="AB1238" s="87"/>
      <c r="AC1238" s="87"/>
      <c r="AD1238" s="87"/>
      <c r="AH1238" s="147"/>
    </row>
    <row r="1239" spans="1:34" s="146" customFormat="1" x14ac:dyDescent="0.25">
      <c r="A1239" s="196">
        <v>1940</v>
      </c>
      <c r="B1239" s="196" t="s">
        <v>6537</v>
      </c>
      <c r="C1239" s="196" t="s">
        <v>6538</v>
      </c>
      <c r="D1239" s="196" t="s">
        <v>3524</v>
      </c>
      <c r="E1239" s="196" t="s">
        <v>1913</v>
      </c>
      <c r="F1239" s="196">
        <v>1993</v>
      </c>
      <c r="G1239" s="196"/>
      <c r="H1239" s="196" t="s">
        <v>2734</v>
      </c>
      <c r="I1239" s="141" t="s">
        <v>6422</v>
      </c>
      <c r="J1239" s="196"/>
      <c r="K1239" s="196" t="s">
        <v>1881</v>
      </c>
      <c r="L1239" s="141" t="s">
        <v>6539</v>
      </c>
      <c r="M1239" s="196">
        <v>94</v>
      </c>
      <c r="N1239" s="196"/>
      <c r="O1239" s="196" t="s">
        <v>5418</v>
      </c>
      <c r="P1239" s="144">
        <v>615</v>
      </c>
      <c r="Q1239" s="145">
        <f t="shared" si="72"/>
        <v>0.59240000000000004</v>
      </c>
      <c r="R1239" s="203">
        <v>0.32</v>
      </c>
      <c r="S1239" s="203"/>
      <c r="T1239" s="151"/>
      <c r="U1239" s="151"/>
      <c r="V1239" s="151">
        <v>0.25</v>
      </c>
      <c r="W1239" s="151">
        <f t="shared" si="73"/>
        <v>0.32</v>
      </c>
      <c r="X1239" s="152">
        <f t="shared" si="71"/>
        <v>2.24E-2</v>
      </c>
      <c r="Y1239" s="152"/>
      <c r="Z1239" s="148"/>
      <c r="AA1239" s="87"/>
      <c r="AB1239" s="87"/>
      <c r="AC1239" s="87"/>
      <c r="AD1239" s="87"/>
      <c r="AH1239" s="147"/>
    </row>
    <row r="1240" spans="1:34" s="146" customFormat="1" x14ac:dyDescent="0.25">
      <c r="A1240" s="196">
        <v>106</v>
      </c>
      <c r="B1240" s="196" t="s">
        <v>6540</v>
      </c>
      <c r="C1240" s="196" t="s">
        <v>6541</v>
      </c>
      <c r="D1240" s="196" t="s">
        <v>6542</v>
      </c>
      <c r="E1240" s="196" t="s">
        <v>1913</v>
      </c>
      <c r="F1240" s="196">
        <v>2004</v>
      </c>
      <c r="G1240" s="196"/>
      <c r="H1240" s="196" t="s">
        <v>2734</v>
      </c>
      <c r="I1240" s="141" t="s">
        <v>1929</v>
      </c>
      <c r="J1240" s="196"/>
      <c r="K1240" s="196" t="s">
        <v>1881</v>
      </c>
      <c r="L1240" s="141" t="s">
        <v>6543</v>
      </c>
      <c r="M1240" s="196">
        <v>182</v>
      </c>
      <c r="N1240" s="196"/>
      <c r="O1240" s="196" t="s">
        <v>5419</v>
      </c>
      <c r="P1240" s="144">
        <v>737</v>
      </c>
      <c r="Q1240" s="145">
        <f t="shared" si="72"/>
        <v>0.77429999999999999</v>
      </c>
      <c r="R1240" s="203">
        <v>0.49</v>
      </c>
      <c r="S1240" s="203"/>
      <c r="T1240" s="151"/>
      <c r="U1240" s="151"/>
      <c r="V1240" s="151">
        <v>0.25</v>
      </c>
      <c r="W1240" s="151">
        <f t="shared" si="73"/>
        <v>0.49</v>
      </c>
      <c r="X1240" s="152">
        <f t="shared" si="71"/>
        <v>3.4299999999999997E-2</v>
      </c>
      <c r="Y1240" s="152"/>
      <c r="Z1240" s="148"/>
      <c r="AA1240" s="87"/>
      <c r="AB1240" s="87"/>
      <c r="AC1240" s="87"/>
      <c r="AD1240" s="87"/>
      <c r="AH1240" s="147"/>
    </row>
    <row r="1241" spans="1:34" s="146" customFormat="1" ht="26.4" x14ac:dyDescent="0.25">
      <c r="A1241" s="196">
        <v>18</v>
      </c>
      <c r="B1241" s="196" t="s">
        <v>6544</v>
      </c>
      <c r="C1241" s="196" t="s">
        <v>6545</v>
      </c>
      <c r="D1241" s="196" t="s">
        <v>6546</v>
      </c>
      <c r="E1241" s="196"/>
      <c r="F1241" s="196"/>
      <c r="G1241" s="196"/>
      <c r="H1241" s="196" t="s">
        <v>2734</v>
      </c>
      <c r="I1241" s="141" t="s">
        <v>1929</v>
      </c>
      <c r="J1241" s="142" t="s">
        <v>6359</v>
      </c>
      <c r="K1241" s="196" t="s">
        <v>1881</v>
      </c>
      <c r="L1241" s="141" t="s">
        <v>6547</v>
      </c>
      <c r="M1241" s="196"/>
      <c r="N1241" s="196"/>
      <c r="O1241" s="196" t="s">
        <v>5420</v>
      </c>
      <c r="P1241" s="144">
        <v>592</v>
      </c>
      <c r="Q1241" s="145">
        <f t="shared" si="72"/>
        <v>1.6303000000000001</v>
      </c>
      <c r="R1241" s="203">
        <v>0.99</v>
      </c>
      <c r="S1241" s="203"/>
      <c r="T1241" s="78">
        <v>0.3</v>
      </c>
      <c r="U1241" s="151"/>
      <c r="V1241" s="151">
        <v>0.25</v>
      </c>
      <c r="W1241" s="151">
        <f t="shared" si="73"/>
        <v>0.99</v>
      </c>
      <c r="X1241" s="152">
        <f t="shared" si="71"/>
        <v>9.0300000000000005E-2</v>
      </c>
      <c r="Y1241" s="152"/>
      <c r="Z1241" s="148"/>
      <c r="AA1241" s="87"/>
      <c r="AB1241" s="87"/>
      <c r="AC1241" s="87"/>
      <c r="AD1241" s="87"/>
      <c r="AH1241" s="147"/>
    </row>
    <row r="1242" spans="1:34" s="146" customFormat="1" x14ac:dyDescent="0.25">
      <c r="A1242" s="196">
        <v>624</v>
      </c>
      <c r="B1242" s="196" t="s">
        <v>6552</v>
      </c>
      <c r="C1242" s="196" t="s">
        <v>6551</v>
      </c>
      <c r="D1242" s="196" t="s">
        <v>3116</v>
      </c>
      <c r="E1242" s="196" t="s">
        <v>1913</v>
      </c>
      <c r="F1242" s="196">
        <v>1993</v>
      </c>
      <c r="G1242" s="196"/>
      <c r="H1242" s="196" t="s">
        <v>2734</v>
      </c>
      <c r="I1242" s="141" t="s">
        <v>1929</v>
      </c>
      <c r="J1242" s="52" t="s">
        <v>3854</v>
      </c>
      <c r="K1242" s="196" t="s">
        <v>1881</v>
      </c>
      <c r="L1242" s="141" t="s">
        <v>6553</v>
      </c>
      <c r="M1242" s="196">
        <v>114</v>
      </c>
      <c r="N1242" s="196"/>
      <c r="O1242" s="196" t="s">
        <v>5422</v>
      </c>
      <c r="P1242" s="144">
        <v>580</v>
      </c>
      <c r="Q1242" s="145">
        <f t="shared" si="72"/>
        <v>2.9249999999999998</v>
      </c>
      <c r="R1242" s="203">
        <v>2.2000000000000002</v>
      </c>
      <c r="S1242" s="203"/>
      <c r="T1242" s="78">
        <v>0.3</v>
      </c>
      <c r="U1242" s="151"/>
      <c r="V1242" s="151">
        <v>0.25</v>
      </c>
      <c r="W1242" s="151">
        <f t="shared" si="73"/>
        <v>2.2000000000000002</v>
      </c>
      <c r="X1242" s="152">
        <f t="shared" si="71"/>
        <v>0.17500000000000002</v>
      </c>
      <c r="Y1242" s="152"/>
      <c r="Z1242" s="148"/>
      <c r="AA1242" s="87"/>
      <c r="AB1242" s="87"/>
      <c r="AC1242" s="87"/>
      <c r="AD1242" s="87"/>
      <c r="AH1242" s="147"/>
    </row>
    <row r="1243" spans="1:34" s="146" customFormat="1" x14ac:dyDescent="0.25">
      <c r="A1243" s="196">
        <v>1309</v>
      </c>
      <c r="B1243" s="196" t="s">
        <v>7094</v>
      </c>
      <c r="C1243" s="196" t="s">
        <v>7095</v>
      </c>
      <c r="D1243" s="196" t="s">
        <v>3524</v>
      </c>
      <c r="E1243" s="196" t="s">
        <v>1913</v>
      </c>
      <c r="F1243" s="196">
        <v>2016</v>
      </c>
      <c r="G1243" s="196"/>
      <c r="H1243" s="196" t="s">
        <v>2734</v>
      </c>
      <c r="I1243" s="141" t="s">
        <v>1929</v>
      </c>
      <c r="J1243" s="52" t="s">
        <v>3854</v>
      </c>
      <c r="K1243" s="196" t="s">
        <v>1881</v>
      </c>
      <c r="L1243" s="141" t="s">
        <v>7096</v>
      </c>
      <c r="M1243" s="196">
        <v>126</v>
      </c>
      <c r="N1243" s="196"/>
      <c r="O1243" s="196" t="s">
        <v>5423</v>
      </c>
      <c r="P1243" s="144">
        <v>543</v>
      </c>
      <c r="Q1243" s="145">
        <f t="shared" si="72"/>
        <v>3.2567000000000004</v>
      </c>
      <c r="R1243" s="203">
        <v>2.4900000000000002</v>
      </c>
      <c r="S1243" s="203"/>
      <c r="T1243" s="151">
        <v>0.32</v>
      </c>
      <c r="U1243" s="151"/>
      <c r="V1243" s="151">
        <v>0.25</v>
      </c>
      <c r="W1243" s="151">
        <f t="shared" si="73"/>
        <v>2.4900000000000002</v>
      </c>
      <c r="X1243" s="152">
        <f t="shared" si="71"/>
        <v>0.19669999999999999</v>
      </c>
      <c r="Y1243" s="152"/>
      <c r="Z1243" s="148"/>
      <c r="AA1243" s="153"/>
      <c r="AB1243" s="153"/>
      <c r="AC1243" s="153"/>
      <c r="AD1243" s="153"/>
      <c r="AH1243" s="147"/>
    </row>
    <row r="1244" spans="1:34" s="146" customFormat="1" x14ac:dyDescent="0.25">
      <c r="A1244" s="196">
        <v>651</v>
      </c>
      <c r="B1244" s="196"/>
      <c r="C1244" s="196" t="s">
        <v>7097</v>
      </c>
      <c r="D1244" s="196" t="s">
        <v>2117</v>
      </c>
      <c r="E1244" s="196" t="s">
        <v>1913</v>
      </c>
      <c r="F1244" s="196">
        <v>2013</v>
      </c>
      <c r="G1244" s="196"/>
      <c r="H1244" s="196" t="s">
        <v>2734</v>
      </c>
      <c r="I1244" s="141" t="s">
        <v>1929</v>
      </c>
      <c r="J1244" s="196"/>
      <c r="K1244" s="196" t="s">
        <v>1881</v>
      </c>
      <c r="L1244" s="141" t="s">
        <v>7098</v>
      </c>
      <c r="M1244" s="196">
        <v>66</v>
      </c>
      <c r="N1244" s="196"/>
      <c r="O1244" s="196" t="s">
        <v>5424</v>
      </c>
      <c r="P1244" s="144">
        <v>478</v>
      </c>
      <c r="Q1244" s="145">
        <f t="shared" si="72"/>
        <v>4.4337</v>
      </c>
      <c r="R1244" s="203">
        <v>3.59</v>
      </c>
      <c r="S1244" s="203"/>
      <c r="T1244" s="151">
        <v>0.32</v>
      </c>
      <c r="U1244" s="151"/>
      <c r="V1244" s="151">
        <v>0.25</v>
      </c>
      <c r="W1244" s="151">
        <f t="shared" si="73"/>
        <v>3.59</v>
      </c>
      <c r="X1244" s="152">
        <f t="shared" si="71"/>
        <v>0.27369999999999994</v>
      </c>
      <c r="Y1244" s="152"/>
      <c r="Z1244" s="148"/>
      <c r="AA1244" s="153"/>
      <c r="AB1244" s="153"/>
      <c r="AC1244" s="153"/>
      <c r="AD1244" s="153"/>
      <c r="AH1244" s="147"/>
    </row>
    <row r="1245" spans="1:34" s="146" customFormat="1" x14ac:dyDescent="0.25">
      <c r="A1245" s="196">
        <v>13</v>
      </c>
      <c r="B1245" s="196"/>
      <c r="C1245" s="196" t="s">
        <v>7099</v>
      </c>
      <c r="D1245" s="196" t="s">
        <v>7100</v>
      </c>
      <c r="E1245" s="196"/>
      <c r="F1245" s="196"/>
      <c r="G1245" s="196"/>
      <c r="H1245" s="196" t="s">
        <v>1878</v>
      </c>
      <c r="I1245" s="141" t="s">
        <v>1879</v>
      </c>
      <c r="J1245" s="52" t="s">
        <v>3854</v>
      </c>
      <c r="K1245" s="196" t="s">
        <v>1881</v>
      </c>
      <c r="L1245" s="141" t="s">
        <v>7101</v>
      </c>
      <c r="M1245" s="196">
        <v>116</v>
      </c>
      <c r="N1245" s="196"/>
      <c r="O1245" s="196" t="s">
        <v>5425</v>
      </c>
      <c r="P1245" s="144">
        <v>424</v>
      </c>
      <c r="Q1245" s="145">
        <f t="shared" si="72"/>
        <v>8.0716999999999999</v>
      </c>
      <c r="R1245" s="203">
        <v>6.99</v>
      </c>
      <c r="S1245" s="203"/>
      <c r="T1245" s="151">
        <v>0.32</v>
      </c>
      <c r="U1245" s="151"/>
      <c r="V1245" s="151">
        <v>0.25</v>
      </c>
      <c r="W1245" s="151">
        <f t="shared" si="73"/>
        <v>6.99</v>
      </c>
      <c r="X1245" s="152">
        <f t="shared" si="71"/>
        <v>0.51170000000000004</v>
      </c>
      <c r="Y1245" s="152"/>
      <c r="Z1245" s="148"/>
      <c r="AA1245" s="153"/>
      <c r="AB1245" s="153"/>
      <c r="AC1245" s="153"/>
      <c r="AD1245" s="153"/>
      <c r="AH1245" s="147"/>
    </row>
    <row r="1246" spans="1:34" s="146" customFormat="1" x14ac:dyDescent="0.25">
      <c r="A1246" s="196">
        <v>735</v>
      </c>
      <c r="B1246" s="196"/>
      <c r="C1246" s="196" t="s">
        <v>7102</v>
      </c>
      <c r="D1246" s="196" t="s">
        <v>7103</v>
      </c>
      <c r="E1246" s="196"/>
      <c r="F1246" s="196">
        <v>2017</v>
      </c>
      <c r="G1246" s="196"/>
      <c r="H1246" s="196" t="s">
        <v>5119</v>
      </c>
      <c r="I1246" s="141" t="s">
        <v>1879</v>
      </c>
      <c r="J1246" s="196"/>
      <c r="K1246" s="196" t="s">
        <v>1881</v>
      </c>
      <c r="L1246" s="141" t="s">
        <v>7104</v>
      </c>
      <c r="M1246" s="196">
        <v>98</v>
      </c>
      <c r="N1246" s="196"/>
      <c r="O1246" s="196" t="s">
        <v>5426</v>
      </c>
      <c r="P1246" s="144">
        <v>321</v>
      </c>
      <c r="Q1246" s="145">
        <f t="shared" si="72"/>
        <v>12.351700000000001</v>
      </c>
      <c r="R1246" s="203">
        <v>10.99</v>
      </c>
      <c r="S1246" s="203"/>
      <c r="T1246" s="151">
        <v>0.32</v>
      </c>
      <c r="U1246" s="151"/>
      <c r="V1246" s="151">
        <v>0.25</v>
      </c>
      <c r="W1246" s="151">
        <f t="shared" si="73"/>
        <v>10.99</v>
      </c>
      <c r="X1246" s="152">
        <f t="shared" si="71"/>
        <v>0.79170000000000007</v>
      </c>
      <c r="Y1246" s="152"/>
      <c r="Z1246" s="148"/>
      <c r="AA1246" s="153"/>
      <c r="AB1246" s="153"/>
      <c r="AC1246" s="153"/>
      <c r="AD1246" s="153"/>
      <c r="AH1246" s="147"/>
    </row>
    <row r="1247" spans="1:34" s="146" customFormat="1" x14ac:dyDescent="0.25">
      <c r="A1247" s="196">
        <v>2671</v>
      </c>
      <c r="B1247" s="196"/>
      <c r="C1247" s="196" t="s">
        <v>7107</v>
      </c>
      <c r="D1247" s="196" t="s">
        <v>2117</v>
      </c>
      <c r="E1247" s="196" t="s">
        <v>1913</v>
      </c>
      <c r="F1247" s="196">
        <v>2012</v>
      </c>
      <c r="G1247" s="196"/>
      <c r="H1247" s="196" t="s">
        <v>1878</v>
      </c>
      <c r="I1247" s="141" t="s">
        <v>1929</v>
      </c>
      <c r="J1247" s="52" t="s">
        <v>3854</v>
      </c>
      <c r="K1247" s="196" t="s">
        <v>1881</v>
      </c>
      <c r="L1247" s="141" t="s">
        <v>7108</v>
      </c>
      <c r="M1247" s="196">
        <v>132</v>
      </c>
      <c r="N1247" s="196"/>
      <c r="O1247" s="196" t="s">
        <v>5428</v>
      </c>
      <c r="P1247" s="144">
        <v>582</v>
      </c>
      <c r="Q1247" s="145">
        <f t="shared" si="72"/>
        <v>1.9727000000000001</v>
      </c>
      <c r="R1247" s="203">
        <v>1.29</v>
      </c>
      <c r="S1247" s="203"/>
      <c r="T1247" s="151">
        <v>0.32</v>
      </c>
      <c r="U1247" s="151"/>
      <c r="V1247" s="151">
        <v>0.25</v>
      </c>
      <c r="W1247" s="151">
        <f t="shared" si="73"/>
        <v>1.29</v>
      </c>
      <c r="X1247" s="152">
        <f t="shared" si="71"/>
        <v>0.11269999999999999</v>
      </c>
      <c r="Y1247" s="152"/>
      <c r="Z1247" s="148"/>
      <c r="AA1247" s="153"/>
      <c r="AB1247" s="153"/>
      <c r="AC1247" s="153"/>
      <c r="AD1247" s="153"/>
      <c r="AH1247" s="147"/>
    </row>
    <row r="1248" spans="1:34" s="146" customFormat="1" x14ac:dyDescent="0.25">
      <c r="A1248" s="196">
        <v>2000</v>
      </c>
      <c r="B1248" s="196"/>
      <c r="C1248" s="196" t="s">
        <v>7109</v>
      </c>
      <c r="D1248" s="196" t="s">
        <v>2117</v>
      </c>
      <c r="E1248" s="196"/>
      <c r="F1248" s="196">
        <v>2016</v>
      </c>
      <c r="G1248" s="196"/>
      <c r="H1248" s="196" t="s">
        <v>5112</v>
      </c>
      <c r="I1248" s="141" t="s">
        <v>1929</v>
      </c>
      <c r="J1248" s="196"/>
      <c r="K1248" s="196" t="s">
        <v>1881</v>
      </c>
      <c r="L1248" s="141" t="s">
        <v>7110</v>
      </c>
      <c r="M1248" s="196">
        <v>48</v>
      </c>
      <c r="N1248" s="196"/>
      <c r="O1248" s="196" t="s">
        <v>5429</v>
      </c>
      <c r="P1248" s="144">
        <v>263</v>
      </c>
      <c r="Q1248" s="145">
        <f t="shared" si="72"/>
        <v>2.7109999999999999</v>
      </c>
      <c r="R1248" s="203">
        <v>1.98</v>
      </c>
      <c r="S1248" s="203"/>
      <c r="T1248" s="151">
        <v>0.32</v>
      </c>
      <c r="U1248" s="151"/>
      <c r="V1248" s="151">
        <v>0.25</v>
      </c>
      <c r="W1248" s="151">
        <f t="shared" si="73"/>
        <v>1.98</v>
      </c>
      <c r="X1248" s="152">
        <f t="shared" si="71"/>
        <v>0.161</v>
      </c>
      <c r="Y1248" s="152"/>
      <c r="Z1248" s="148"/>
      <c r="AA1248" s="153"/>
      <c r="AB1248" s="153"/>
      <c r="AC1248" s="153"/>
      <c r="AD1248" s="153"/>
      <c r="AH1248" s="147"/>
    </row>
    <row r="1249" spans="1:34" s="146" customFormat="1" x14ac:dyDescent="0.25">
      <c r="A1249" s="196">
        <v>990</v>
      </c>
      <c r="B1249" s="196" t="s">
        <v>7111</v>
      </c>
      <c r="C1249" s="196" t="s">
        <v>7112</v>
      </c>
      <c r="D1249" s="196" t="s">
        <v>6546</v>
      </c>
      <c r="E1249" s="196"/>
      <c r="F1249" s="196"/>
      <c r="G1249" s="196"/>
      <c r="H1249" s="196" t="s">
        <v>2734</v>
      </c>
      <c r="I1249" s="141" t="s">
        <v>1929</v>
      </c>
      <c r="J1249" s="196" t="s">
        <v>7113</v>
      </c>
      <c r="K1249" s="196" t="s">
        <v>1881</v>
      </c>
      <c r="L1249" s="141" t="s">
        <v>7114</v>
      </c>
      <c r="M1249" s="196"/>
      <c r="N1249" s="196"/>
      <c r="O1249" s="196" t="s">
        <v>5430</v>
      </c>
      <c r="P1249" s="144">
        <v>1063</v>
      </c>
      <c r="Q1249" s="145">
        <f t="shared" si="72"/>
        <v>17.701699999999999</v>
      </c>
      <c r="R1249" s="203">
        <v>15.99</v>
      </c>
      <c r="S1249" s="203"/>
      <c r="T1249" s="151">
        <v>0.32</v>
      </c>
      <c r="U1249" s="151"/>
      <c r="V1249" s="151">
        <v>0.25</v>
      </c>
      <c r="W1249" s="151">
        <f t="shared" si="73"/>
        <v>15.99</v>
      </c>
      <c r="X1249" s="152">
        <f t="shared" si="71"/>
        <v>1.1416999999999999</v>
      </c>
      <c r="Y1249" s="152"/>
      <c r="Z1249" s="148"/>
      <c r="AA1249" s="153"/>
      <c r="AB1249" s="153"/>
      <c r="AC1249" s="153"/>
      <c r="AD1249" s="153"/>
      <c r="AH1249" s="147"/>
    </row>
    <row r="1250" spans="1:34" s="146" customFormat="1" x14ac:dyDescent="0.25">
      <c r="A1250" s="196">
        <v>2000</v>
      </c>
      <c r="B1250" s="196"/>
      <c r="C1250" s="196" t="s">
        <v>7115</v>
      </c>
      <c r="D1250" s="196" t="s">
        <v>2117</v>
      </c>
      <c r="E1250" s="196" t="s">
        <v>1913</v>
      </c>
      <c r="F1250" s="196">
        <v>2016</v>
      </c>
      <c r="G1250" s="196"/>
      <c r="H1250" s="196" t="s">
        <v>1878</v>
      </c>
      <c r="I1250" s="141" t="s">
        <v>1929</v>
      </c>
      <c r="J1250" s="196"/>
      <c r="K1250" s="196" t="s">
        <v>1881</v>
      </c>
      <c r="L1250" s="141" t="s">
        <v>7116</v>
      </c>
      <c r="M1250" s="196"/>
      <c r="N1250" s="196"/>
      <c r="O1250" s="196" t="s">
        <v>5431</v>
      </c>
      <c r="P1250" s="144">
        <v>258</v>
      </c>
      <c r="Q1250" s="145">
        <f t="shared" si="72"/>
        <v>2.1867000000000001</v>
      </c>
      <c r="R1250" s="203">
        <v>1.49</v>
      </c>
      <c r="S1250" s="203"/>
      <c r="T1250" s="151">
        <v>0.32</v>
      </c>
      <c r="U1250" s="151"/>
      <c r="V1250" s="151">
        <v>0.25</v>
      </c>
      <c r="W1250" s="151">
        <f t="shared" si="73"/>
        <v>1.49</v>
      </c>
      <c r="X1250" s="152">
        <f t="shared" si="71"/>
        <v>0.12670000000000001</v>
      </c>
      <c r="Y1250" s="152"/>
      <c r="Z1250" s="148"/>
      <c r="AA1250" s="153"/>
      <c r="AB1250" s="153"/>
      <c r="AC1250" s="153"/>
      <c r="AD1250" s="153"/>
      <c r="AH1250" s="147"/>
    </row>
    <row r="1251" spans="1:34" s="146" customFormat="1" x14ac:dyDescent="0.25">
      <c r="A1251" s="196">
        <v>2706</v>
      </c>
      <c r="B1251" s="196" t="s">
        <v>7117</v>
      </c>
      <c r="C1251" s="196" t="s">
        <v>7118</v>
      </c>
      <c r="D1251" s="196" t="s">
        <v>7119</v>
      </c>
      <c r="E1251" s="196"/>
      <c r="F1251" s="196">
        <v>2009</v>
      </c>
      <c r="G1251" s="196"/>
      <c r="H1251" s="196" t="s">
        <v>2734</v>
      </c>
      <c r="I1251" s="141" t="s">
        <v>1929</v>
      </c>
      <c r="J1251" s="52" t="s">
        <v>3854</v>
      </c>
      <c r="K1251" s="196" t="s">
        <v>1881</v>
      </c>
      <c r="L1251" s="141" t="s">
        <v>7120</v>
      </c>
      <c r="M1251" s="196">
        <v>162</v>
      </c>
      <c r="N1251" s="196"/>
      <c r="O1251" s="196" t="s">
        <v>5432</v>
      </c>
      <c r="P1251" s="144">
        <v>1030</v>
      </c>
      <c r="Q1251" s="145">
        <f t="shared" si="72"/>
        <v>9.1417000000000002</v>
      </c>
      <c r="R1251" s="203">
        <v>7.99</v>
      </c>
      <c r="S1251" s="203"/>
      <c r="T1251" s="151">
        <v>0.32</v>
      </c>
      <c r="U1251" s="151"/>
      <c r="V1251" s="151">
        <v>0.25</v>
      </c>
      <c r="W1251" s="151">
        <f t="shared" si="73"/>
        <v>7.99</v>
      </c>
      <c r="X1251" s="152">
        <f t="shared" si="71"/>
        <v>0.58170000000000011</v>
      </c>
      <c r="Y1251" s="152"/>
      <c r="Z1251" s="148"/>
      <c r="AA1251" s="153"/>
      <c r="AB1251" s="153"/>
      <c r="AC1251" s="153"/>
      <c r="AD1251" s="153"/>
      <c r="AH1251" s="147"/>
    </row>
    <row r="1252" spans="1:34" s="146" customFormat="1" x14ac:dyDescent="0.25">
      <c r="A1252" s="196">
        <v>1282</v>
      </c>
      <c r="B1252" s="196"/>
      <c r="C1252" s="196" t="s">
        <v>7122</v>
      </c>
      <c r="D1252" s="196" t="s">
        <v>7121</v>
      </c>
      <c r="E1252" s="196"/>
      <c r="F1252" s="196">
        <v>2002</v>
      </c>
      <c r="G1252" s="196"/>
      <c r="H1252" s="196" t="s">
        <v>1878</v>
      </c>
      <c r="I1252" s="141" t="s">
        <v>1929</v>
      </c>
      <c r="J1252" s="52" t="s">
        <v>3854</v>
      </c>
      <c r="K1252" s="196" t="s">
        <v>1881</v>
      </c>
      <c r="L1252" s="141" t="s">
        <v>7123</v>
      </c>
      <c r="M1252" s="196">
        <v>296</v>
      </c>
      <c r="N1252" s="196"/>
      <c r="O1252" s="196" t="s">
        <v>5433</v>
      </c>
      <c r="P1252" s="144">
        <v>1541</v>
      </c>
      <c r="Q1252" s="145">
        <f t="shared" si="72"/>
        <v>8.0716999999999999</v>
      </c>
      <c r="R1252" s="203">
        <v>6.99</v>
      </c>
      <c r="S1252" s="203"/>
      <c r="T1252" s="151">
        <v>0.32</v>
      </c>
      <c r="U1252" s="151"/>
      <c r="V1252" s="151">
        <v>0.25</v>
      </c>
      <c r="W1252" s="151">
        <f t="shared" si="73"/>
        <v>6.99</v>
      </c>
      <c r="X1252" s="152">
        <f t="shared" si="71"/>
        <v>0.51170000000000004</v>
      </c>
      <c r="Y1252" s="152"/>
      <c r="Z1252" s="148"/>
      <c r="AA1252" s="153"/>
      <c r="AB1252" s="153"/>
      <c r="AC1252" s="153"/>
      <c r="AD1252" s="153"/>
      <c r="AH1252" s="147"/>
    </row>
    <row r="1253" spans="1:34" s="146" customFormat="1" x14ac:dyDescent="0.25">
      <c r="A1253" s="196">
        <v>1389</v>
      </c>
      <c r="B1253" s="196"/>
      <c r="C1253" s="196" t="s">
        <v>7124</v>
      </c>
      <c r="D1253" s="196" t="s">
        <v>2117</v>
      </c>
      <c r="E1253" s="196" t="s">
        <v>1913</v>
      </c>
      <c r="F1253" s="196">
        <v>2011</v>
      </c>
      <c r="G1253" s="196"/>
      <c r="H1253" s="196" t="s">
        <v>1878</v>
      </c>
      <c r="I1253" s="141" t="s">
        <v>1929</v>
      </c>
      <c r="J1253" s="52" t="s">
        <v>3854</v>
      </c>
      <c r="K1253" s="196" t="s">
        <v>1881</v>
      </c>
      <c r="L1253" s="141" t="s">
        <v>7125</v>
      </c>
      <c r="M1253" s="196">
        <v>134</v>
      </c>
      <c r="N1253" s="196"/>
      <c r="O1253" s="196" t="s">
        <v>5434</v>
      </c>
      <c r="P1253" s="144">
        <v>824</v>
      </c>
      <c r="Q1253" s="145">
        <f t="shared" si="72"/>
        <v>2.8287</v>
      </c>
      <c r="R1253" s="203">
        <v>2.09</v>
      </c>
      <c r="S1253" s="203"/>
      <c r="T1253" s="151">
        <v>0.32</v>
      </c>
      <c r="U1253" s="151"/>
      <c r="V1253" s="151">
        <v>0.25</v>
      </c>
      <c r="W1253" s="151">
        <f t="shared" si="73"/>
        <v>2.09</v>
      </c>
      <c r="X1253" s="152">
        <f t="shared" si="71"/>
        <v>0.16869999999999996</v>
      </c>
      <c r="Y1253" s="152"/>
      <c r="Z1253" s="148"/>
      <c r="AA1253" s="153"/>
      <c r="AB1253" s="153"/>
      <c r="AC1253" s="153"/>
      <c r="AD1253" s="153"/>
      <c r="AH1253" s="147"/>
    </row>
    <row r="1254" spans="1:34" s="146" customFormat="1" x14ac:dyDescent="0.25">
      <c r="A1254" s="196">
        <v>1389</v>
      </c>
      <c r="B1254" s="196" t="s">
        <v>7126</v>
      </c>
      <c r="C1254" s="196" t="s">
        <v>7127</v>
      </c>
      <c r="D1254" s="196" t="s">
        <v>6499</v>
      </c>
      <c r="E1254" s="196"/>
      <c r="F1254" s="196"/>
      <c r="G1254" s="196"/>
      <c r="H1254" s="196" t="s">
        <v>2734</v>
      </c>
      <c r="I1254" s="141" t="s">
        <v>1929</v>
      </c>
      <c r="J1254" s="196" t="s">
        <v>7113</v>
      </c>
      <c r="K1254" s="196" t="s">
        <v>1881</v>
      </c>
      <c r="L1254" s="141" t="s">
        <v>7128</v>
      </c>
      <c r="M1254" s="196"/>
      <c r="N1254" s="196"/>
      <c r="O1254" s="196" t="s">
        <v>5435</v>
      </c>
      <c r="P1254" s="144">
        <v>438</v>
      </c>
      <c r="Q1254" s="145">
        <f t="shared" si="72"/>
        <v>1.8656999999999999</v>
      </c>
      <c r="R1254" s="203">
        <v>1.19</v>
      </c>
      <c r="S1254" s="203"/>
      <c r="T1254" s="151">
        <v>0.32</v>
      </c>
      <c r="U1254" s="151"/>
      <c r="V1254" s="151">
        <v>0.25</v>
      </c>
      <c r="W1254" s="151">
        <f t="shared" si="73"/>
        <v>1.19</v>
      </c>
      <c r="X1254" s="152">
        <f t="shared" si="71"/>
        <v>0.1057</v>
      </c>
      <c r="Y1254" s="152"/>
      <c r="Z1254" s="148"/>
      <c r="AA1254" s="153"/>
      <c r="AB1254" s="153"/>
      <c r="AC1254" s="153"/>
      <c r="AD1254" s="153"/>
      <c r="AH1254" s="147"/>
    </row>
    <row r="1255" spans="1:34" s="146" customFormat="1" x14ac:dyDescent="0.25">
      <c r="A1255" s="196">
        <v>651</v>
      </c>
      <c r="B1255" s="196"/>
      <c r="C1255" s="196" t="s">
        <v>7129</v>
      </c>
      <c r="D1255" s="196" t="s">
        <v>2117</v>
      </c>
      <c r="E1255" s="196" t="s">
        <v>1913</v>
      </c>
      <c r="F1255" s="196">
        <v>2013</v>
      </c>
      <c r="G1255" s="196"/>
      <c r="H1255" s="196" t="s">
        <v>2734</v>
      </c>
      <c r="I1255" s="141" t="s">
        <v>1929</v>
      </c>
      <c r="J1255" s="52" t="s">
        <v>3854</v>
      </c>
      <c r="K1255" s="196" t="s">
        <v>1881</v>
      </c>
      <c r="L1255" s="141" t="s">
        <v>7130</v>
      </c>
      <c r="M1255" s="196">
        <v>82</v>
      </c>
      <c r="N1255" s="196"/>
      <c r="O1255" s="196" t="s">
        <v>5436</v>
      </c>
      <c r="P1255" s="144">
        <v>481</v>
      </c>
      <c r="Q1255" s="145">
        <f t="shared" si="72"/>
        <v>2.4434999999999998</v>
      </c>
      <c r="R1255" s="203">
        <v>1.73</v>
      </c>
      <c r="S1255" s="203"/>
      <c r="T1255" s="151">
        <v>0.32</v>
      </c>
      <c r="U1255" s="151"/>
      <c r="V1255" s="151">
        <v>0.25</v>
      </c>
      <c r="W1255" s="151">
        <f t="shared" si="73"/>
        <v>1.73</v>
      </c>
      <c r="X1255" s="152">
        <f t="shared" si="71"/>
        <v>0.14349999999999999</v>
      </c>
      <c r="Y1255" s="152"/>
      <c r="Z1255" s="148"/>
      <c r="AA1255" s="153"/>
      <c r="AB1255" s="153"/>
      <c r="AC1255" s="153"/>
      <c r="AD1255" s="153"/>
      <c r="AH1255" s="147"/>
    </row>
    <row r="1256" spans="1:34" s="146" customFormat="1" x14ac:dyDescent="0.25">
      <c r="A1256" s="196">
        <v>2000</v>
      </c>
      <c r="B1256" s="196"/>
      <c r="C1256" s="196" t="s">
        <v>7131</v>
      </c>
      <c r="D1256" s="196" t="s">
        <v>2117</v>
      </c>
      <c r="E1256" s="196" t="s">
        <v>1913</v>
      </c>
      <c r="F1256" s="196">
        <v>2016</v>
      </c>
      <c r="G1256" s="196"/>
      <c r="H1256" s="196" t="s">
        <v>1878</v>
      </c>
      <c r="I1256" s="141" t="s">
        <v>1929</v>
      </c>
      <c r="J1256" s="196"/>
      <c r="K1256" s="196" t="s">
        <v>1881</v>
      </c>
      <c r="L1256" s="141" t="s">
        <v>7132</v>
      </c>
      <c r="M1256" s="196">
        <v>32</v>
      </c>
      <c r="N1256" s="196"/>
      <c r="O1256" s="196" t="s">
        <v>5437</v>
      </c>
      <c r="P1256" s="144">
        <v>176</v>
      </c>
      <c r="Q1256" s="145">
        <f t="shared" si="72"/>
        <v>3.1497000000000002</v>
      </c>
      <c r="R1256" s="203">
        <v>2.39</v>
      </c>
      <c r="S1256" s="203"/>
      <c r="T1256" s="151">
        <v>0.32</v>
      </c>
      <c r="U1256" s="151"/>
      <c r="V1256" s="151">
        <v>0.25</v>
      </c>
      <c r="W1256" s="151">
        <f t="shared" si="73"/>
        <v>2.39</v>
      </c>
      <c r="X1256" s="152">
        <f t="shared" si="71"/>
        <v>0.18969999999999998</v>
      </c>
      <c r="Y1256" s="152"/>
      <c r="Z1256" s="148"/>
      <c r="AA1256" s="153"/>
      <c r="AB1256" s="153"/>
      <c r="AC1256" s="153"/>
      <c r="AD1256" s="153"/>
      <c r="AH1256" s="147"/>
    </row>
    <row r="1257" spans="1:34" s="146" customFormat="1" x14ac:dyDescent="0.25">
      <c r="A1257" s="196">
        <v>1717</v>
      </c>
      <c r="B1257" s="196" t="s">
        <v>7133</v>
      </c>
      <c r="C1257" s="196" t="s">
        <v>7134</v>
      </c>
      <c r="D1257" s="196" t="s">
        <v>2209</v>
      </c>
      <c r="E1257" s="196"/>
      <c r="F1257" s="196">
        <v>1999</v>
      </c>
      <c r="G1257" s="196"/>
      <c r="H1257" s="196" t="s">
        <v>1878</v>
      </c>
      <c r="I1257" s="141" t="s">
        <v>1879</v>
      </c>
      <c r="J1257" s="142"/>
      <c r="K1257" s="196" t="s">
        <v>1881</v>
      </c>
      <c r="L1257" s="141" t="s">
        <v>7135</v>
      </c>
      <c r="M1257" s="196">
        <v>156</v>
      </c>
      <c r="N1257" s="196"/>
      <c r="O1257" s="196" t="s">
        <v>5438</v>
      </c>
      <c r="P1257" s="144">
        <v>729</v>
      </c>
      <c r="Q1257" s="145">
        <f t="shared" si="72"/>
        <v>1.2237000000000002</v>
      </c>
      <c r="R1257" s="203">
        <v>0.59</v>
      </c>
      <c r="S1257" s="203"/>
      <c r="T1257" s="151">
        <v>0.32</v>
      </c>
      <c r="U1257" s="151"/>
      <c r="V1257" s="151">
        <v>0.25</v>
      </c>
      <c r="W1257" s="151">
        <f t="shared" si="73"/>
        <v>0.59</v>
      </c>
      <c r="X1257" s="152">
        <f t="shared" si="71"/>
        <v>6.3699999999999993E-2</v>
      </c>
      <c r="Y1257" s="152"/>
      <c r="Z1257" s="148"/>
      <c r="AA1257" s="153"/>
      <c r="AB1257" s="153"/>
      <c r="AC1257" s="153"/>
      <c r="AD1257" s="153"/>
      <c r="AH1257" s="147"/>
    </row>
    <row r="1258" spans="1:34" s="146" customFormat="1" x14ac:dyDescent="0.25">
      <c r="A1258" s="196">
        <v>137</v>
      </c>
      <c r="B1258" s="196" t="s">
        <v>5745</v>
      </c>
      <c r="C1258" s="196" t="s">
        <v>7136</v>
      </c>
      <c r="D1258" s="196" t="s">
        <v>7137</v>
      </c>
      <c r="E1258" s="196"/>
      <c r="F1258" s="196">
        <v>2007</v>
      </c>
      <c r="G1258" s="196"/>
      <c r="H1258" s="196" t="s">
        <v>1878</v>
      </c>
      <c r="I1258" s="141" t="s">
        <v>1914</v>
      </c>
      <c r="J1258" s="196"/>
      <c r="K1258" s="196" t="s">
        <v>5748</v>
      </c>
      <c r="L1258" s="141" t="s">
        <v>7138</v>
      </c>
      <c r="M1258" s="196">
        <v>160</v>
      </c>
      <c r="N1258" s="196"/>
      <c r="O1258" s="196" t="s">
        <v>5439</v>
      </c>
      <c r="P1258" s="144">
        <v>467</v>
      </c>
      <c r="Q1258" s="145">
        <f t="shared" si="72"/>
        <v>3.7917000000000005</v>
      </c>
      <c r="R1258" s="203">
        <v>2.99</v>
      </c>
      <c r="S1258" s="203"/>
      <c r="T1258" s="151">
        <v>0.32</v>
      </c>
      <c r="U1258" s="151"/>
      <c r="V1258" s="151">
        <v>0.25</v>
      </c>
      <c r="W1258" s="151">
        <f t="shared" si="73"/>
        <v>2.99</v>
      </c>
      <c r="X1258" s="152">
        <f t="shared" si="71"/>
        <v>0.23169999999999999</v>
      </c>
      <c r="Y1258" s="152"/>
      <c r="Z1258" s="148"/>
      <c r="AA1258" s="153"/>
      <c r="AB1258" s="153"/>
      <c r="AC1258" s="153"/>
      <c r="AD1258" s="153"/>
      <c r="AH1258" s="147"/>
    </row>
    <row r="1259" spans="1:34" s="146" customFormat="1" x14ac:dyDescent="0.25">
      <c r="A1259" s="196">
        <v>1320</v>
      </c>
      <c r="B1259" s="196" t="s">
        <v>7139</v>
      </c>
      <c r="C1259" s="196" t="s">
        <v>7140</v>
      </c>
      <c r="D1259" s="196" t="s">
        <v>5743</v>
      </c>
      <c r="E1259" s="196"/>
      <c r="F1259" s="196">
        <v>2009</v>
      </c>
      <c r="G1259" s="196"/>
      <c r="H1259" s="196" t="s">
        <v>2734</v>
      </c>
      <c r="I1259" s="141" t="s">
        <v>1929</v>
      </c>
      <c r="J1259" s="196"/>
      <c r="K1259" s="196" t="s">
        <v>1881</v>
      </c>
      <c r="L1259" s="141" t="s">
        <v>7141</v>
      </c>
      <c r="M1259" s="196">
        <v>394</v>
      </c>
      <c r="N1259" s="196"/>
      <c r="O1259" s="196" t="s">
        <v>5440</v>
      </c>
      <c r="P1259" s="144">
        <v>1381</v>
      </c>
      <c r="Q1259" s="145">
        <f t="shared" si="72"/>
        <v>5.7177000000000007</v>
      </c>
      <c r="R1259" s="203">
        <v>4.79</v>
      </c>
      <c r="S1259" s="203"/>
      <c r="T1259" s="151">
        <v>0.32</v>
      </c>
      <c r="U1259" s="151"/>
      <c r="V1259" s="151">
        <v>0.25</v>
      </c>
      <c r="W1259" s="151">
        <f t="shared" si="73"/>
        <v>4.79</v>
      </c>
      <c r="X1259" s="152">
        <f t="shared" si="71"/>
        <v>0.35770000000000002</v>
      </c>
      <c r="Y1259" s="152"/>
      <c r="Z1259" s="148"/>
      <c r="AA1259" s="153"/>
      <c r="AB1259" s="153"/>
      <c r="AC1259" s="153"/>
      <c r="AD1259" s="153"/>
      <c r="AH1259" s="147"/>
    </row>
    <row r="1260" spans="1:34" s="146" customFormat="1" x14ac:dyDescent="0.25">
      <c r="A1260" s="196">
        <v>1927</v>
      </c>
      <c r="B1260" s="196"/>
      <c r="C1260" s="196" t="s">
        <v>7142</v>
      </c>
      <c r="D1260" s="196" t="s">
        <v>7143</v>
      </c>
      <c r="E1260" s="196"/>
      <c r="F1260" s="196">
        <v>2001</v>
      </c>
      <c r="G1260" s="196"/>
      <c r="H1260" s="196" t="s">
        <v>2734</v>
      </c>
      <c r="I1260" s="141" t="s">
        <v>1929</v>
      </c>
      <c r="J1260" s="196"/>
      <c r="K1260" s="196" t="s">
        <v>1881</v>
      </c>
      <c r="L1260" s="141" t="s">
        <v>7144</v>
      </c>
      <c r="M1260" s="196">
        <v>234</v>
      </c>
      <c r="N1260" s="196"/>
      <c r="O1260" s="196" t="s">
        <v>5441</v>
      </c>
      <c r="P1260" s="144">
        <v>1117</v>
      </c>
      <c r="Q1260" s="145">
        <f t="shared" si="72"/>
        <v>1.1167</v>
      </c>
      <c r="R1260" s="203">
        <v>0.49</v>
      </c>
      <c r="S1260" s="203"/>
      <c r="T1260" s="151">
        <v>0.32</v>
      </c>
      <c r="U1260" s="151"/>
      <c r="V1260" s="151">
        <v>0.25</v>
      </c>
      <c r="W1260" s="151">
        <f t="shared" si="73"/>
        <v>0.49</v>
      </c>
      <c r="X1260" s="152">
        <f t="shared" si="71"/>
        <v>5.6700000000000007E-2</v>
      </c>
      <c r="Y1260" s="152"/>
      <c r="Z1260" s="148"/>
      <c r="AA1260" s="153"/>
      <c r="AB1260" s="153"/>
      <c r="AC1260" s="153"/>
      <c r="AD1260" s="153"/>
      <c r="AH1260" s="147"/>
    </row>
    <row r="1261" spans="1:34" s="146" customFormat="1" x14ac:dyDescent="0.25">
      <c r="A1261" s="196">
        <v>1322</v>
      </c>
      <c r="B1261" s="196" t="s">
        <v>7145</v>
      </c>
      <c r="C1261" s="196" t="s">
        <v>7146</v>
      </c>
      <c r="D1261" s="196" t="s">
        <v>7147</v>
      </c>
      <c r="E1261" s="196"/>
      <c r="F1261" s="196">
        <v>1996</v>
      </c>
      <c r="G1261" s="196"/>
      <c r="H1261" s="196" t="s">
        <v>2734</v>
      </c>
      <c r="I1261" s="141" t="s">
        <v>1879</v>
      </c>
      <c r="J1261" s="196"/>
      <c r="K1261" s="196" t="s">
        <v>1881</v>
      </c>
      <c r="L1261" s="141" t="s">
        <v>7148</v>
      </c>
      <c r="M1261" s="196">
        <v>146</v>
      </c>
      <c r="N1261" s="196"/>
      <c r="O1261" s="196" t="s">
        <v>5442</v>
      </c>
      <c r="P1261" s="144">
        <v>698</v>
      </c>
      <c r="Q1261" s="145">
        <f t="shared" si="72"/>
        <v>1.9727000000000001</v>
      </c>
      <c r="R1261" s="203">
        <v>1.29</v>
      </c>
      <c r="S1261" s="203"/>
      <c r="T1261" s="151">
        <v>0.32</v>
      </c>
      <c r="U1261" s="151"/>
      <c r="V1261" s="151">
        <v>0.25</v>
      </c>
      <c r="W1261" s="151">
        <f t="shared" si="73"/>
        <v>1.29</v>
      </c>
      <c r="X1261" s="152">
        <f t="shared" si="71"/>
        <v>0.11269999999999999</v>
      </c>
      <c r="Y1261" s="152"/>
      <c r="Z1261" s="148"/>
      <c r="AA1261" s="153"/>
      <c r="AB1261" s="153"/>
      <c r="AC1261" s="153"/>
      <c r="AD1261" s="153"/>
      <c r="AH1261" s="147"/>
    </row>
    <row r="1262" spans="1:34" s="146" customFormat="1" x14ac:dyDescent="0.25">
      <c r="A1262" s="196">
        <v>624</v>
      </c>
      <c r="B1262" s="196" t="s">
        <v>7151</v>
      </c>
      <c r="C1262" s="196" t="s">
        <v>7152</v>
      </c>
      <c r="D1262" s="196" t="s">
        <v>4334</v>
      </c>
      <c r="E1262" s="196"/>
      <c r="F1262" s="196">
        <v>1983</v>
      </c>
      <c r="G1262" s="196"/>
      <c r="H1262" s="196" t="s">
        <v>2734</v>
      </c>
      <c r="I1262" s="141" t="s">
        <v>1914</v>
      </c>
      <c r="J1262" s="196"/>
      <c r="K1262" s="196" t="s">
        <v>1881</v>
      </c>
      <c r="L1262" s="141"/>
      <c r="M1262" s="196">
        <v>158</v>
      </c>
      <c r="N1262" s="196"/>
      <c r="O1262" s="196" t="s">
        <v>5444</v>
      </c>
      <c r="P1262" s="144">
        <v>815</v>
      </c>
      <c r="Q1262" s="145">
        <f t="shared" si="72"/>
        <v>8.0716999999999999</v>
      </c>
      <c r="R1262" s="203">
        <v>6.99</v>
      </c>
      <c r="S1262" s="203"/>
      <c r="T1262" s="151">
        <v>0.32</v>
      </c>
      <c r="U1262" s="151"/>
      <c r="V1262" s="151">
        <v>0.25</v>
      </c>
      <c r="W1262" s="151">
        <f t="shared" si="73"/>
        <v>6.99</v>
      </c>
      <c r="X1262" s="152">
        <f t="shared" si="71"/>
        <v>0.51170000000000004</v>
      </c>
      <c r="Y1262" s="152"/>
      <c r="Z1262" s="148"/>
      <c r="AA1262" s="153"/>
      <c r="AB1262" s="153"/>
      <c r="AC1262" s="153"/>
      <c r="AD1262" s="153"/>
      <c r="AH1262" s="147"/>
    </row>
    <row r="1263" spans="1:34" s="146" customFormat="1" x14ac:dyDescent="0.25">
      <c r="A1263" s="196">
        <v>1324</v>
      </c>
      <c r="B1263" s="196" t="s">
        <v>7153</v>
      </c>
      <c r="C1263" s="196" t="s">
        <v>7154</v>
      </c>
      <c r="D1263" s="196" t="s">
        <v>7155</v>
      </c>
      <c r="E1263" s="196"/>
      <c r="F1263" s="196">
        <v>1958</v>
      </c>
      <c r="G1263" s="196"/>
      <c r="H1263" s="196" t="s">
        <v>2734</v>
      </c>
      <c r="I1263" s="141" t="s">
        <v>1914</v>
      </c>
      <c r="J1263" s="196"/>
      <c r="K1263" s="196" t="s">
        <v>1881</v>
      </c>
      <c r="L1263" s="141"/>
      <c r="M1263" s="196">
        <v>70</v>
      </c>
      <c r="N1263" s="196"/>
      <c r="O1263" s="196" t="s">
        <v>5445</v>
      </c>
      <c r="P1263" s="144">
        <v>779</v>
      </c>
      <c r="Q1263" s="145">
        <f t="shared" si="72"/>
        <v>1.2237000000000002</v>
      </c>
      <c r="R1263" s="203">
        <v>0.59</v>
      </c>
      <c r="S1263" s="203"/>
      <c r="T1263" s="151">
        <v>0.32</v>
      </c>
      <c r="U1263" s="151"/>
      <c r="V1263" s="151">
        <v>0.25</v>
      </c>
      <c r="W1263" s="151">
        <f t="shared" si="73"/>
        <v>0.59</v>
      </c>
      <c r="X1263" s="152">
        <f t="shared" si="71"/>
        <v>6.3699999999999993E-2</v>
      </c>
      <c r="Y1263" s="152"/>
      <c r="Z1263" s="148"/>
      <c r="AA1263" s="153"/>
      <c r="AB1263" s="153"/>
      <c r="AC1263" s="153"/>
      <c r="AD1263" s="153"/>
      <c r="AH1263" s="147"/>
    </row>
    <row r="1264" spans="1:34" s="146" customFormat="1" x14ac:dyDescent="0.25">
      <c r="A1264" s="196">
        <v>722</v>
      </c>
      <c r="B1264" s="196"/>
      <c r="C1264" s="196" t="s">
        <v>7156</v>
      </c>
      <c r="D1264" s="196" t="s">
        <v>7157</v>
      </c>
      <c r="E1264" s="196"/>
      <c r="F1264" s="196"/>
      <c r="G1264" s="196"/>
      <c r="H1264" s="196" t="s">
        <v>2734</v>
      </c>
      <c r="I1264" s="141" t="s">
        <v>1879</v>
      </c>
      <c r="J1264" s="196"/>
      <c r="K1264" s="196" t="s">
        <v>1881</v>
      </c>
      <c r="L1264" s="141"/>
      <c r="M1264" s="196">
        <v>258</v>
      </c>
      <c r="N1264" s="196"/>
      <c r="O1264" s="196" t="s">
        <v>5446</v>
      </c>
      <c r="P1264" s="144">
        <v>1646</v>
      </c>
      <c r="Q1264" s="145">
        <f t="shared" si="72"/>
        <v>5.8247</v>
      </c>
      <c r="R1264" s="203">
        <v>4.8899999999999997</v>
      </c>
      <c r="S1264" s="203"/>
      <c r="T1264" s="151">
        <v>0.32</v>
      </c>
      <c r="U1264" s="151"/>
      <c r="V1264" s="151">
        <v>0.25</v>
      </c>
      <c r="W1264" s="151">
        <f t="shared" si="73"/>
        <v>4.8899999999999997</v>
      </c>
      <c r="X1264" s="152">
        <f t="shared" si="71"/>
        <v>0.36470000000000002</v>
      </c>
      <c r="Y1264" s="152"/>
      <c r="Z1264" s="148"/>
      <c r="AA1264" s="153"/>
      <c r="AB1264" s="153"/>
      <c r="AC1264" s="153"/>
      <c r="AD1264" s="153"/>
      <c r="AH1264" s="147"/>
    </row>
    <row r="1265" spans="1:34" s="146" customFormat="1" x14ac:dyDescent="0.25">
      <c r="A1265" s="196">
        <v>1253</v>
      </c>
      <c r="B1265" s="196"/>
      <c r="C1265" s="196" t="s">
        <v>7158</v>
      </c>
      <c r="D1265" s="196" t="s">
        <v>5708</v>
      </c>
      <c r="E1265" s="196"/>
      <c r="F1265" s="196">
        <v>2003</v>
      </c>
      <c r="G1265" s="196"/>
      <c r="H1265" s="196" t="s">
        <v>2734</v>
      </c>
      <c r="I1265" s="141" t="s">
        <v>1929</v>
      </c>
      <c r="J1265" s="196"/>
      <c r="K1265" s="196" t="s">
        <v>1881</v>
      </c>
      <c r="L1265" s="141" t="s">
        <v>7159</v>
      </c>
      <c r="M1265" s="196">
        <v>386</v>
      </c>
      <c r="N1265" s="196"/>
      <c r="O1265" s="196" t="s">
        <v>5447</v>
      </c>
      <c r="P1265" s="144">
        <v>1616</v>
      </c>
      <c r="Q1265" s="145">
        <f t="shared" si="72"/>
        <v>1.2237000000000002</v>
      </c>
      <c r="R1265" s="203">
        <v>0.59</v>
      </c>
      <c r="S1265" s="203"/>
      <c r="T1265" s="151">
        <v>0.32</v>
      </c>
      <c r="U1265" s="151"/>
      <c r="V1265" s="151">
        <v>0.25</v>
      </c>
      <c r="W1265" s="151">
        <f t="shared" si="73"/>
        <v>0.59</v>
      </c>
      <c r="X1265" s="152">
        <f t="shared" si="71"/>
        <v>6.3699999999999993E-2</v>
      </c>
      <c r="Y1265" s="152"/>
      <c r="Z1265" s="148"/>
      <c r="AA1265" s="153"/>
      <c r="AB1265" s="153"/>
      <c r="AC1265" s="153"/>
      <c r="AD1265" s="153"/>
      <c r="AH1265" s="147"/>
    </row>
    <row r="1266" spans="1:34" s="146" customFormat="1" x14ac:dyDescent="0.25">
      <c r="A1266" s="196">
        <v>270</v>
      </c>
      <c r="B1266" s="196" t="s">
        <v>7160</v>
      </c>
      <c r="C1266" s="196" t="s">
        <v>7161</v>
      </c>
      <c r="D1266" s="196" t="s">
        <v>2054</v>
      </c>
      <c r="E1266" s="196"/>
      <c r="F1266" s="196">
        <v>1994</v>
      </c>
      <c r="G1266" s="196"/>
      <c r="H1266" s="196" t="s">
        <v>2734</v>
      </c>
      <c r="I1266" s="141" t="s">
        <v>1879</v>
      </c>
      <c r="J1266" s="196"/>
      <c r="K1266" s="196" t="s">
        <v>1881</v>
      </c>
      <c r="L1266" s="141" t="s">
        <v>7162</v>
      </c>
      <c r="M1266" s="196">
        <v>146</v>
      </c>
      <c r="N1266" s="196"/>
      <c r="O1266" s="196" t="s">
        <v>5448</v>
      </c>
      <c r="P1266" s="144">
        <v>995</v>
      </c>
      <c r="Q1266" s="145">
        <f t="shared" si="72"/>
        <v>1.7587000000000002</v>
      </c>
      <c r="R1266" s="203">
        <v>1.0900000000000001</v>
      </c>
      <c r="S1266" s="203"/>
      <c r="T1266" s="151">
        <v>0.32</v>
      </c>
      <c r="U1266" s="151"/>
      <c r="V1266" s="151">
        <v>0.25</v>
      </c>
      <c r="W1266" s="151">
        <f t="shared" si="73"/>
        <v>1.0900000000000001</v>
      </c>
      <c r="X1266" s="152">
        <f t="shared" si="71"/>
        <v>9.870000000000001E-2</v>
      </c>
      <c r="Y1266" s="152"/>
      <c r="Z1266" s="148"/>
      <c r="AA1266" s="153"/>
      <c r="AB1266" s="153"/>
      <c r="AC1266" s="153"/>
      <c r="AD1266" s="153"/>
      <c r="AH1266" s="147"/>
    </row>
    <row r="1267" spans="1:34" s="146" customFormat="1" x14ac:dyDescent="0.25">
      <c r="A1267" s="196">
        <v>806</v>
      </c>
      <c r="B1267" s="196"/>
      <c r="C1267" s="196" t="s">
        <v>7163</v>
      </c>
      <c r="D1267" s="196" t="s">
        <v>7157</v>
      </c>
      <c r="E1267" s="196"/>
      <c r="F1267" s="196"/>
      <c r="G1267" s="196"/>
      <c r="H1267" s="196" t="s">
        <v>2734</v>
      </c>
      <c r="I1267" s="141" t="s">
        <v>1879</v>
      </c>
      <c r="J1267" s="196"/>
      <c r="K1267" s="196" t="s">
        <v>1881</v>
      </c>
      <c r="L1267" s="141"/>
      <c r="M1267" s="196">
        <v>258</v>
      </c>
      <c r="N1267" s="196"/>
      <c r="O1267" s="196" t="s">
        <v>5449</v>
      </c>
      <c r="P1267" s="144">
        <v>1598</v>
      </c>
      <c r="Q1267" s="145">
        <f t="shared" si="72"/>
        <v>4.0057</v>
      </c>
      <c r="R1267" s="203">
        <v>3.19</v>
      </c>
      <c r="S1267" s="203"/>
      <c r="T1267" s="151">
        <v>0.32</v>
      </c>
      <c r="U1267" s="151"/>
      <c r="V1267" s="151">
        <v>0.25</v>
      </c>
      <c r="W1267" s="151">
        <f t="shared" si="73"/>
        <v>3.19</v>
      </c>
      <c r="X1267" s="152">
        <f t="shared" si="71"/>
        <v>0.2457</v>
      </c>
      <c r="Y1267" s="152"/>
      <c r="Z1267" s="148"/>
      <c r="AA1267" s="153"/>
      <c r="AB1267" s="153"/>
      <c r="AC1267" s="153"/>
      <c r="AD1267" s="153"/>
      <c r="AH1267" s="147"/>
    </row>
    <row r="1268" spans="1:34" s="146" customFormat="1" x14ac:dyDescent="0.25">
      <c r="A1268" s="196">
        <v>2442</v>
      </c>
      <c r="B1268" s="196"/>
      <c r="C1268" s="196" t="s">
        <v>7208</v>
      </c>
      <c r="D1268" s="196" t="s">
        <v>7164</v>
      </c>
      <c r="E1268" s="196"/>
      <c r="F1268" s="196">
        <v>1979</v>
      </c>
      <c r="G1268" s="196"/>
      <c r="H1268" s="196" t="s">
        <v>2734</v>
      </c>
      <c r="I1268" s="141" t="s">
        <v>1879</v>
      </c>
      <c r="J1268" s="196"/>
      <c r="K1268" s="196" t="s">
        <v>2025</v>
      </c>
      <c r="L1268" s="141"/>
      <c r="M1268" s="196">
        <v>130</v>
      </c>
      <c r="N1268" s="196"/>
      <c r="O1268" s="196" t="s">
        <v>5450</v>
      </c>
      <c r="P1268" s="144">
        <v>1034</v>
      </c>
      <c r="Q1268" s="145">
        <f t="shared" si="72"/>
        <v>14.4917</v>
      </c>
      <c r="R1268" s="203">
        <v>12.99</v>
      </c>
      <c r="S1268" s="203"/>
      <c r="T1268" s="151">
        <v>0.32</v>
      </c>
      <c r="U1268" s="151"/>
      <c r="V1268" s="151">
        <v>0.25</v>
      </c>
      <c r="W1268" s="151">
        <f t="shared" si="73"/>
        <v>12.99</v>
      </c>
      <c r="X1268" s="152">
        <f t="shared" si="71"/>
        <v>0.93169999999999997</v>
      </c>
      <c r="Y1268" s="152"/>
      <c r="Z1268" s="148"/>
      <c r="AA1268" s="153"/>
      <c r="AB1268" s="153"/>
      <c r="AC1268" s="153"/>
      <c r="AD1268" s="153"/>
      <c r="AH1268" s="147"/>
    </row>
    <row r="1269" spans="1:34" s="146" customFormat="1" x14ac:dyDescent="0.25">
      <c r="A1269" s="196">
        <v>844</v>
      </c>
      <c r="B1269" s="196" t="s">
        <v>7165</v>
      </c>
      <c r="C1269" s="196" t="s">
        <v>7166</v>
      </c>
      <c r="D1269" s="196"/>
      <c r="E1269" s="196" t="s">
        <v>3141</v>
      </c>
      <c r="F1269" s="196"/>
      <c r="G1269" s="196"/>
      <c r="H1269" s="196" t="s">
        <v>2734</v>
      </c>
      <c r="I1269" s="141" t="s">
        <v>1929</v>
      </c>
      <c r="J1269" s="196"/>
      <c r="K1269" s="196" t="s">
        <v>1881</v>
      </c>
      <c r="L1269" s="141" t="s">
        <v>7167</v>
      </c>
      <c r="M1269" s="196">
        <v>28</v>
      </c>
      <c r="N1269" s="196"/>
      <c r="O1269" s="196" t="s">
        <v>5451</v>
      </c>
      <c r="P1269" s="144">
        <v>301</v>
      </c>
      <c r="Q1269" s="145">
        <f t="shared" si="72"/>
        <v>2.2937000000000003</v>
      </c>
      <c r="R1269" s="203">
        <v>1.59</v>
      </c>
      <c r="S1269" s="203"/>
      <c r="T1269" s="151">
        <v>0.32</v>
      </c>
      <c r="U1269" s="151"/>
      <c r="V1269" s="151">
        <v>0.25</v>
      </c>
      <c r="W1269" s="151">
        <f t="shared" si="73"/>
        <v>1.59</v>
      </c>
      <c r="X1269" s="152">
        <f t="shared" si="71"/>
        <v>0.13370000000000001</v>
      </c>
      <c r="Y1269" s="152"/>
      <c r="Z1269" s="148"/>
      <c r="AA1269" s="153"/>
      <c r="AB1269" s="153"/>
      <c r="AC1269" s="153"/>
      <c r="AD1269" s="153"/>
      <c r="AH1269" s="147"/>
    </row>
    <row r="1270" spans="1:34" s="146" customFormat="1" x14ac:dyDescent="0.25">
      <c r="A1270" s="196">
        <v>2634</v>
      </c>
      <c r="B1270" s="196"/>
      <c r="C1270" s="196" t="s">
        <v>7168</v>
      </c>
      <c r="D1270" s="196" t="s">
        <v>7169</v>
      </c>
      <c r="E1270" s="196"/>
      <c r="F1270" s="196">
        <v>1982</v>
      </c>
      <c r="G1270" s="196"/>
      <c r="H1270" s="196" t="s">
        <v>2734</v>
      </c>
      <c r="I1270" s="141" t="s">
        <v>1879</v>
      </c>
      <c r="J1270" s="196"/>
      <c r="K1270" s="196" t="s">
        <v>1881</v>
      </c>
      <c r="L1270" s="141" t="s">
        <v>7170</v>
      </c>
      <c r="M1270" s="196">
        <v>210</v>
      </c>
      <c r="N1270" s="196"/>
      <c r="O1270" s="196" t="s">
        <v>5452</v>
      </c>
      <c r="P1270" s="144">
        <v>1519</v>
      </c>
      <c r="Q1270" s="145">
        <f t="shared" si="72"/>
        <v>4.1127000000000002</v>
      </c>
      <c r="R1270" s="203">
        <v>3.29</v>
      </c>
      <c r="S1270" s="203"/>
      <c r="T1270" s="151">
        <v>0.32</v>
      </c>
      <c r="U1270" s="151"/>
      <c r="V1270" s="151">
        <v>0.25</v>
      </c>
      <c r="W1270" s="151">
        <f t="shared" si="73"/>
        <v>3.29</v>
      </c>
      <c r="X1270" s="152">
        <f t="shared" si="71"/>
        <v>0.25269999999999998</v>
      </c>
      <c r="Y1270" s="152"/>
      <c r="Z1270" s="148"/>
      <c r="AA1270" s="153"/>
      <c r="AB1270" s="153"/>
      <c r="AC1270" s="153"/>
      <c r="AD1270" s="153"/>
      <c r="AH1270" s="147"/>
    </row>
    <row r="1271" spans="1:34" s="146" customFormat="1" x14ac:dyDescent="0.25">
      <c r="A1271" s="196">
        <v>212</v>
      </c>
      <c r="B1271" s="196"/>
      <c r="C1271" s="196" t="s">
        <v>7171</v>
      </c>
      <c r="D1271" s="196" t="s">
        <v>2050</v>
      </c>
      <c r="E1271" s="196"/>
      <c r="F1271" s="196">
        <v>1990</v>
      </c>
      <c r="G1271" s="196"/>
      <c r="H1271" s="196" t="s">
        <v>2734</v>
      </c>
      <c r="I1271" s="141" t="s">
        <v>1879</v>
      </c>
      <c r="J1271" s="196"/>
      <c r="K1271" s="196" t="s">
        <v>1881</v>
      </c>
      <c r="L1271" s="141" t="s">
        <v>7172</v>
      </c>
      <c r="M1271" s="196">
        <v>98</v>
      </c>
      <c r="N1271" s="196"/>
      <c r="O1271" s="196" t="s">
        <v>5453</v>
      </c>
      <c r="P1271" s="144">
        <v>722</v>
      </c>
      <c r="Q1271" s="145">
        <f t="shared" si="72"/>
        <v>1.3307</v>
      </c>
      <c r="R1271" s="203">
        <v>0.69</v>
      </c>
      <c r="S1271" s="203"/>
      <c r="T1271" s="151">
        <v>0.32</v>
      </c>
      <c r="U1271" s="151"/>
      <c r="V1271" s="151">
        <v>0.25</v>
      </c>
      <c r="W1271" s="151">
        <f t="shared" si="73"/>
        <v>0.69</v>
      </c>
      <c r="X1271" s="152">
        <f t="shared" ref="X1271:X1330" si="74">(T1271+W1271)/100*7</f>
        <v>7.0699999999999999E-2</v>
      </c>
      <c r="Y1271" s="152"/>
      <c r="Z1271" s="148"/>
      <c r="AA1271" s="153"/>
      <c r="AB1271" s="153"/>
      <c r="AC1271" s="153"/>
      <c r="AD1271" s="153"/>
      <c r="AH1271" s="147"/>
    </row>
    <row r="1272" spans="1:34" s="146" customFormat="1" x14ac:dyDescent="0.25">
      <c r="A1272" s="196">
        <v>273</v>
      </c>
      <c r="B1272" s="196" t="s">
        <v>7174</v>
      </c>
      <c r="C1272" s="196" t="s">
        <v>7173</v>
      </c>
      <c r="D1272" s="196"/>
      <c r="E1272" s="196"/>
      <c r="F1272" s="196">
        <v>1963</v>
      </c>
      <c r="G1272" s="196"/>
      <c r="H1272" s="196" t="s">
        <v>2734</v>
      </c>
      <c r="I1272" s="141" t="s">
        <v>1879</v>
      </c>
      <c r="J1272" s="196"/>
      <c r="K1272" s="196" t="s">
        <v>1881</v>
      </c>
      <c r="L1272" s="141"/>
      <c r="M1272" s="196">
        <v>98</v>
      </c>
      <c r="N1272" s="196"/>
      <c r="O1272" s="196" t="s">
        <v>5454</v>
      </c>
      <c r="P1272" s="144">
        <v>1129</v>
      </c>
      <c r="Q1272" s="145">
        <f t="shared" si="72"/>
        <v>3.4706999999999999</v>
      </c>
      <c r="R1272" s="203">
        <v>2.69</v>
      </c>
      <c r="S1272" s="203"/>
      <c r="T1272" s="151">
        <v>0.32</v>
      </c>
      <c r="U1272" s="151"/>
      <c r="V1272" s="151">
        <v>0.25</v>
      </c>
      <c r="W1272" s="151">
        <f t="shared" si="73"/>
        <v>2.69</v>
      </c>
      <c r="X1272" s="152">
        <f t="shared" si="74"/>
        <v>0.2107</v>
      </c>
      <c r="Y1272" s="152"/>
      <c r="Z1272" s="148"/>
      <c r="AA1272" s="153"/>
      <c r="AB1272" s="153"/>
      <c r="AC1272" s="153"/>
      <c r="AD1272" s="153"/>
      <c r="AH1272" s="147"/>
    </row>
    <row r="1273" spans="1:34" s="146" customFormat="1" x14ac:dyDescent="0.25">
      <c r="A1273" s="196">
        <v>273</v>
      </c>
      <c r="B1273" s="196"/>
      <c r="C1273" s="196" t="s">
        <v>7175</v>
      </c>
      <c r="D1273" s="196" t="s">
        <v>5005</v>
      </c>
      <c r="E1273" s="196"/>
      <c r="F1273" s="196">
        <v>1967</v>
      </c>
      <c r="G1273" s="196"/>
      <c r="H1273" s="196" t="s">
        <v>2734</v>
      </c>
      <c r="I1273" s="141" t="s">
        <v>1879</v>
      </c>
      <c r="J1273" s="196"/>
      <c r="K1273" s="196" t="s">
        <v>1881</v>
      </c>
      <c r="L1273" s="141"/>
      <c r="M1273" s="196">
        <v>176</v>
      </c>
      <c r="N1273" s="196"/>
      <c r="O1273" s="196" t="s">
        <v>5455</v>
      </c>
      <c r="P1273" s="144">
        <v>925</v>
      </c>
      <c r="Q1273" s="145">
        <f t="shared" si="72"/>
        <v>1.6516999999999999</v>
      </c>
      <c r="R1273" s="203">
        <v>0.99</v>
      </c>
      <c r="S1273" s="203"/>
      <c r="T1273" s="151">
        <v>0.32</v>
      </c>
      <c r="U1273" s="151"/>
      <c r="V1273" s="151">
        <v>0.25</v>
      </c>
      <c r="W1273" s="151">
        <f t="shared" si="73"/>
        <v>0.99</v>
      </c>
      <c r="X1273" s="152">
        <f t="shared" si="74"/>
        <v>9.1700000000000004E-2</v>
      </c>
      <c r="Y1273" s="152"/>
      <c r="Z1273" s="148"/>
      <c r="AA1273" s="153"/>
      <c r="AB1273" s="153"/>
      <c r="AC1273" s="153"/>
      <c r="AD1273" s="153"/>
      <c r="AH1273" s="147"/>
    </row>
    <row r="1274" spans="1:34" s="146" customFormat="1" x14ac:dyDescent="0.25">
      <c r="A1274" s="196">
        <v>692</v>
      </c>
      <c r="B1274" s="196" t="s">
        <v>7176</v>
      </c>
      <c r="C1274" s="196" t="s">
        <v>7177</v>
      </c>
      <c r="D1274" s="196" t="s">
        <v>7178</v>
      </c>
      <c r="E1274" s="196"/>
      <c r="F1274" s="196">
        <v>2010</v>
      </c>
      <c r="G1274" s="196"/>
      <c r="H1274" s="196" t="s">
        <v>1878</v>
      </c>
      <c r="I1274" s="141" t="s">
        <v>1929</v>
      </c>
      <c r="J1274" s="196"/>
      <c r="K1274" s="196" t="s">
        <v>1881</v>
      </c>
      <c r="L1274" s="141" t="s">
        <v>7179</v>
      </c>
      <c r="M1274" s="196">
        <v>304</v>
      </c>
      <c r="N1274" s="196"/>
      <c r="O1274" s="196" t="s">
        <v>5456</v>
      </c>
      <c r="P1274" s="144">
        <v>276</v>
      </c>
      <c r="Q1274" s="145">
        <f t="shared" si="72"/>
        <v>1.6516999999999999</v>
      </c>
      <c r="R1274" s="203">
        <v>0.99</v>
      </c>
      <c r="S1274" s="203"/>
      <c r="T1274" s="151">
        <v>0.32</v>
      </c>
      <c r="U1274" s="151"/>
      <c r="V1274" s="151">
        <v>0.25</v>
      </c>
      <c r="W1274" s="151">
        <f t="shared" si="73"/>
        <v>0.99</v>
      </c>
      <c r="X1274" s="152">
        <f t="shared" si="74"/>
        <v>9.1700000000000004E-2</v>
      </c>
      <c r="Y1274" s="152"/>
      <c r="Z1274" s="148"/>
      <c r="AA1274" s="153"/>
      <c r="AB1274" s="153"/>
      <c r="AC1274" s="153"/>
      <c r="AD1274" s="153"/>
      <c r="AH1274" s="147"/>
    </row>
    <row r="1275" spans="1:34" s="146" customFormat="1" x14ac:dyDescent="0.25">
      <c r="A1275" s="196">
        <v>796</v>
      </c>
      <c r="B1275" s="196" t="s">
        <v>6253</v>
      </c>
      <c r="C1275" s="196" t="s">
        <v>7180</v>
      </c>
      <c r="D1275" s="196" t="s">
        <v>2609</v>
      </c>
      <c r="E1275" s="196"/>
      <c r="F1275" s="196">
        <v>2008</v>
      </c>
      <c r="G1275" s="196"/>
      <c r="H1275" s="196" t="s">
        <v>1878</v>
      </c>
      <c r="I1275" s="141" t="s">
        <v>1879</v>
      </c>
      <c r="J1275" s="196"/>
      <c r="K1275" s="196" t="s">
        <v>1881</v>
      </c>
      <c r="L1275" s="141" t="s">
        <v>7181</v>
      </c>
      <c r="M1275" s="196">
        <v>448</v>
      </c>
      <c r="N1275" s="196"/>
      <c r="O1275" s="196" t="s">
        <v>5457</v>
      </c>
      <c r="P1275" s="144">
        <v>438</v>
      </c>
      <c r="Q1275" s="145">
        <f t="shared" ref="Q1275:Q1284" si="75">SUM(T1275:X1275)</f>
        <v>0.93480000000000008</v>
      </c>
      <c r="R1275" s="203">
        <v>0.25</v>
      </c>
      <c r="S1275" s="203"/>
      <c r="T1275" s="151">
        <v>0.32</v>
      </c>
      <c r="U1275" s="151"/>
      <c r="V1275" s="151">
        <v>0.25</v>
      </c>
      <c r="W1275" s="151">
        <f t="shared" ref="W1275:W1333" si="76">IF(R1275&gt;T1275,R1275,T1275)</f>
        <v>0.32</v>
      </c>
      <c r="X1275" s="152">
        <f t="shared" si="74"/>
        <v>4.48E-2</v>
      </c>
      <c r="Y1275" s="152"/>
      <c r="Z1275" s="148"/>
      <c r="AA1275" s="153"/>
      <c r="AB1275" s="153"/>
      <c r="AC1275" s="153"/>
      <c r="AD1275" s="153"/>
      <c r="AH1275" s="147"/>
    </row>
    <row r="1276" spans="1:34" s="146" customFormat="1" x14ac:dyDescent="0.25">
      <c r="A1276" s="196">
        <v>1315</v>
      </c>
      <c r="B1276" s="196" t="s">
        <v>7182</v>
      </c>
      <c r="C1276" s="196" t="s">
        <v>7183</v>
      </c>
      <c r="D1276" s="196" t="s">
        <v>2402</v>
      </c>
      <c r="E1276" s="196"/>
      <c r="F1276" s="196">
        <v>2003</v>
      </c>
      <c r="G1276" s="196"/>
      <c r="H1276" s="196" t="s">
        <v>2734</v>
      </c>
      <c r="I1276" s="141" t="s">
        <v>1879</v>
      </c>
      <c r="J1276" s="196"/>
      <c r="K1276" s="196" t="s">
        <v>1881</v>
      </c>
      <c r="L1276" s="141" t="s">
        <v>7184</v>
      </c>
      <c r="M1276" s="196">
        <v>386</v>
      </c>
      <c r="N1276" s="196"/>
      <c r="O1276" s="196" t="s">
        <v>5458</v>
      </c>
      <c r="P1276" s="144">
        <v>677</v>
      </c>
      <c r="Q1276" s="145">
        <f t="shared" si="75"/>
        <v>1.1167</v>
      </c>
      <c r="R1276" s="203">
        <v>0.49</v>
      </c>
      <c r="S1276" s="203"/>
      <c r="T1276" s="151">
        <v>0.32</v>
      </c>
      <c r="U1276" s="151"/>
      <c r="V1276" s="151">
        <v>0.25</v>
      </c>
      <c r="W1276" s="151">
        <f t="shared" si="76"/>
        <v>0.49</v>
      </c>
      <c r="X1276" s="152">
        <f t="shared" si="74"/>
        <v>5.6700000000000007E-2</v>
      </c>
      <c r="Y1276" s="152"/>
      <c r="Z1276" s="148"/>
      <c r="AA1276" s="153"/>
      <c r="AB1276" s="153"/>
      <c r="AC1276" s="153"/>
      <c r="AD1276" s="153"/>
      <c r="AH1276" s="147"/>
    </row>
    <row r="1277" spans="1:34" s="146" customFormat="1" x14ac:dyDescent="0.25">
      <c r="A1277" s="196">
        <v>1395</v>
      </c>
      <c r="B1277" s="196" t="s">
        <v>7185</v>
      </c>
      <c r="C1277" s="196" t="s">
        <v>7186</v>
      </c>
      <c r="D1277" s="196" t="s">
        <v>1993</v>
      </c>
      <c r="E1277" s="196" t="s">
        <v>1913</v>
      </c>
      <c r="F1277" s="196">
        <v>2016</v>
      </c>
      <c r="G1277" s="196"/>
      <c r="H1277" s="196" t="s">
        <v>1878</v>
      </c>
      <c r="I1277" s="141" t="s">
        <v>1879</v>
      </c>
      <c r="J1277" s="52" t="s">
        <v>3854</v>
      </c>
      <c r="K1277" s="196" t="s">
        <v>1881</v>
      </c>
      <c r="L1277" s="141" t="s">
        <v>7187</v>
      </c>
      <c r="M1277" s="196">
        <v>416</v>
      </c>
      <c r="N1277" s="196"/>
      <c r="O1277" s="196" t="s">
        <v>5459</v>
      </c>
      <c r="P1277" s="144">
        <v>346</v>
      </c>
      <c r="Q1277" s="145">
        <f t="shared" si="75"/>
        <v>2.6147</v>
      </c>
      <c r="R1277" s="203">
        <v>1.89</v>
      </c>
      <c r="S1277" s="203"/>
      <c r="T1277" s="151">
        <v>0.32</v>
      </c>
      <c r="U1277" s="151"/>
      <c r="V1277" s="151">
        <v>0.25</v>
      </c>
      <c r="W1277" s="151">
        <f t="shared" si="76"/>
        <v>1.89</v>
      </c>
      <c r="X1277" s="152">
        <f t="shared" si="74"/>
        <v>0.15469999999999998</v>
      </c>
      <c r="Y1277" s="152"/>
      <c r="Z1277" s="148"/>
      <c r="AA1277" s="153"/>
      <c r="AB1277" s="153"/>
      <c r="AC1277" s="153"/>
      <c r="AD1277" s="153"/>
      <c r="AH1277" s="147"/>
    </row>
    <row r="1278" spans="1:34" s="146" customFormat="1" x14ac:dyDescent="0.25">
      <c r="A1278" s="196">
        <v>2522</v>
      </c>
      <c r="B1278" s="196" t="s">
        <v>3832</v>
      </c>
      <c r="C1278" s="196" t="s">
        <v>7188</v>
      </c>
      <c r="D1278" s="196" t="s">
        <v>1920</v>
      </c>
      <c r="E1278" s="196"/>
      <c r="F1278" s="196">
        <v>2000</v>
      </c>
      <c r="G1278" s="196"/>
      <c r="H1278" s="196" t="s">
        <v>1878</v>
      </c>
      <c r="I1278" s="141" t="s">
        <v>1914</v>
      </c>
      <c r="J1278" s="196"/>
      <c r="K1278" s="196" t="s">
        <v>1881</v>
      </c>
      <c r="L1278" s="141" t="s">
        <v>7189</v>
      </c>
      <c r="M1278" s="196">
        <v>464</v>
      </c>
      <c r="N1278" s="196"/>
      <c r="O1278" s="196" t="s">
        <v>5460</v>
      </c>
      <c r="P1278" s="144">
        <v>394</v>
      </c>
      <c r="Q1278" s="145">
        <f t="shared" si="75"/>
        <v>0.93480000000000008</v>
      </c>
      <c r="R1278" s="203">
        <v>0.25</v>
      </c>
      <c r="S1278" s="203"/>
      <c r="T1278" s="151">
        <v>0.32</v>
      </c>
      <c r="U1278" s="151"/>
      <c r="V1278" s="151">
        <v>0.25</v>
      </c>
      <c r="W1278" s="151">
        <f t="shared" si="76"/>
        <v>0.32</v>
      </c>
      <c r="X1278" s="152">
        <f t="shared" si="74"/>
        <v>4.48E-2</v>
      </c>
      <c r="Y1278" s="152"/>
      <c r="Z1278" s="148"/>
      <c r="AA1278" s="153"/>
      <c r="AB1278" s="153"/>
      <c r="AC1278" s="153"/>
      <c r="AD1278" s="153"/>
      <c r="AH1278" s="147"/>
    </row>
    <row r="1279" spans="1:34" s="146" customFormat="1" x14ac:dyDescent="0.25">
      <c r="A1279" s="196">
        <v>2522</v>
      </c>
      <c r="B1279" s="196" t="s">
        <v>4599</v>
      </c>
      <c r="C1279" s="196" t="s">
        <v>7190</v>
      </c>
      <c r="D1279" s="196" t="s">
        <v>2257</v>
      </c>
      <c r="E1279" s="196"/>
      <c r="F1279" s="196">
        <v>2010</v>
      </c>
      <c r="G1279" s="196"/>
      <c r="H1279" s="196" t="s">
        <v>1878</v>
      </c>
      <c r="I1279" s="141" t="s">
        <v>1879</v>
      </c>
      <c r="J1279" s="52" t="s">
        <v>3854</v>
      </c>
      <c r="K1279" s="196" t="s">
        <v>1881</v>
      </c>
      <c r="L1279" s="141" t="s">
        <v>7191</v>
      </c>
      <c r="M1279" s="196">
        <v>528</v>
      </c>
      <c r="N1279" s="196"/>
      <c r="O1279" s="196" t="s">
        <v>5461</v>
      </c>
      <c r="P1279" s="144">
        <v>528</v>
      </c>
      <c r="Q1279" s="145">
        <f t="shared" si="75"/>
        <v>1.6516999999999999</v>
      </c>
      <c r="R1279" s="203">
        <v>0.99</v>
      </c>
      <c r="S1279" s="203"/>
      <c r="T1279" s="151">
        <v>0.32</v>
      </c>
      <c r="U1279" s="151"/>
      <c r="V1279" s="151">
        <v>0.25</v>
      </c>
      <c r="W1279" s="151">
        <f t="shared" si="76"/>
        <v>0.99</v>
      </c>
      <c r="X1279" s="152">
        <f t="shared" si="74"/>
        <v>9.1700000000000004E-2</v>
      </c>
      <c r="Y1279" s="152"/>
      <c r="Z1279" s="148"/>
      <c r="AA1279" s="153"/>
      <c r="AB1279" s="153"/>
      <c r="AC1279" s="153"/>
      <c r="AD1279" s="153"/>
      <c r="AH1279" s="147"/>
    </row>
    <row r="1280" spans="1:34" s="146" customFormat="1" x14ac:dyDescent="0.25">
      <c r="A1280" s="196">
        <v>2522</v>
      </c>
      <c r="B1280" s="196" t="s">
        <v>7192</v>
      </c>
      <c r="C1280" s="196" t="s">
        <v>7193</v>
      </c>
      <c r="D1280" s="196" t="s">
        <v>1912</v>
      </c>
      <c r="E1280" s="196" t="s">
        <v>1913</v>
      </c>
      <c r="F1280" s="196">
        <v>2007</v>
      </c>
      <c r="G1280" s="196"/>
      <c r="H1280" s="196" t="s">
        <v>1878</v>
      </c>
      <c r="I1280" s="141" t="s">
        <v>1879</v>
      </c>
      <c r="J1280" s="196"/>
      <c r="K1280" s="196" t="s">
        <v>1881</v>
      </c>
      <c r="L1280" s="141" t="s">
        <v>7194</v>
      </c>
      <c r="M1280" s="196">
        <v>512</v>
      </c>
      <c r="N1280" s="196"/>
      <c r="O1280" s="196" t="s">
        <v>5462</v>
      </c>
      <c r="P1280" s="144">
        <v>425</v>
      </c>
      <c r="Q1280" s="145">
        <f t="shared" si="75"/>
        <v>1.3307</v>
      </c>
      <c r="R1280" s="203">
        <v>0.69</v>
      </c>
      <c r="S1280" s="203"/>
      <c r="T1280" s="151">
        <v>0.32</v>
      </c>
      <c r="U1280" s="151"/>
      <c r="V1280" s="151">
        <v>0.25</v>
      </c>
      <c r="W1280" s="151">
        <f t="shared" si="76"/>
        <v>0.69</v>
      </c>
      <c r="X1280" s="152">
        <f t="shared" si="74"/>
        <v>7.0699999999999999E-2</v>
      </c>
      <c r="Y1280" s="152"/>
      <c r="Z1280" s="148"/>
      <c r="AA1280" s="153"/>
      <c r="AB1280" s="153"/>
      <c r="AC1280" s="153"/>
      <c r="AD1280" s="153"/>
      <c r="AH1280" s="147"/>
    </row>
    <row r="1281" spans="1:34" s="146" customFormat="1" x14ac:dyDescent="0.25">
      <c r="A1281" s="196">
        <v>1315</v>
      </c>
      <c r="B1281" s="196" t="s">
        <v>4186</v>
      </c>
      <c r="C1281" s="196" t="s">
        <v>7195</v>
      </c>
      <c r="D1281" s="196" t="s">
        <v>3312</v>
      </c>
      <c r="E1281" s="196"/>
      <c r="F1281" s="196">
        <v>2003</v>
      </c>
      <c r="G1281" s="196"/>
      <c r="H1281" s="196" t="s">
        <v>2734</v>
      </c>
      <c r="I1281" s="141" t="s">
        <v>1879</v>
      </c>
      <c r="J1281" s="52" t="s">
        <v>3854</v>
      </c>
      <c r="K1281" s="196" t="s">
        <v>1881</v>
      </c>
      <c r="L1281" s="141" t="s">
        <v>7196</v>
      </c>
      <c r="M1281" s="196">
        <v>322</v>
      </c>
      <c r="N1281" s="196"/>
      <c r="O1281" s="196" t="s">
        <v>5463</v>
      </c>
      <c r="P1281" s="144">
        <v>568</v>
      </c>
      <c r="Q1281" s="145">
        <f t="shared" si="75"/>
        <v>1.1167</v>
      </c>
      <c r="R1281" s="203">
        <v>0.49</v>
      </c>
      <c r="S1281" s="203"/>
      <c r="T1281" s="151">
        <v>0.32</v>
      </c>
      <c r="U1281" s="151"/>
      <c r="V1281" s="151">
        <v>0.25</v>
      </c>
      <c r="W1281" s="151">
        <f t="shared" si="76"/>
        <v>0.49</v>
      </c>
      <c r="X1281" s="152">
        <f t="shared" si="74"/>
        <v>5.6700000000000007E-2</v>
      </c>
      <c r="Y1281" s="152"/>
      <c r="Z1281" s="148"/>
      <c r="AA1281" s="153"/>
      <c r="AB1281" s="153"/>
      <c r="AC1281" s="153"/>
      <c r="AD1281" s="153"/>
      <c r="AH1281" s="147"/>
    </row>
    <row r="1282" spans="1:34" s="146" customFormat="1" ht="13.5" customHeight="1" x14ac:dyDescent="0.25">
      <c r="A1282" s="196">
        <v>1231</v>
      </c>
      <c r="B1282" s="196" t="s">
        <v>7197</v>
      </c>
      <c r="C1282" s="196" t="s">
        <v>7198</v>
      </c>
      <c r="D1282" s="196" t="s">
        <v>4841</v>
      </c>
      <c r="E1282" s="196"/>
      <c r="F1282" s="196">
        <v>2007</v>
      </c>
      <c r="G1282" s="196"/>
      <c r="H1282" s="196" t="s">
        <v>2734</v>
      </c>
      <c r="I1282" s="141" t="s">
        <v>1929</v>
      </c>
      <c r="J1282" s="196"/>
      <c r="K1282" s="196" t="s">
        <v>1881</v>
      </c>
      <c r="L1282" s="141" t="s">
        <v>7199</v>
      </c>
      <c r="M1282" s="196">
        <v>226</v>
      </c>
      <c r="N1282" s="196"/>
      <c r="O1282" s="196" t="s">
        <v>5464</v>
      </c>
      <c r="P1282" s="144">
        <v>418</v>
      </c>
      <c r="Q1282" s="145">
        <f t="shared" si="75"/>
        <v>1.8656999999999999</v>
      </c>
      <c r="R1282" s="203">
        <v>1.19</v>
      </c>
      <c r="S1282" s="203"/>
      <c r="T1282" s="151">
        <v>0.32</v>
      </c>
      <c r="U1282" s="151"/>
      <c r="V1282" s="151">
        <v>0.25</v>
      </c>
      <c r="W1282" s="151">
        <f t="shared" si="76"/>
        <v>1.19</v>
      </c>
      <c r="X1282" s="152">
        <f t="shared" si="74"/>
        <v>0.1057</v>
      </c>
      <c r="Y1282" s="152"/>
      <c r="Z1282" s="148"/>
      <c r="AA1282" s="153"/>
      <c r="AB1282" s="153"/>
      <c r="AC1282" s="153"/>
      <c r="AD1282" s="153"/>
      <c r="AH1282" s="147"/>
    </row>
    <row r="1283" spans="1:34" s="146" customFormat="1" x14ac:dyDescent="0.25">
      <c r="A1283" s="196">
        <v>1327</v>
      </c>
      <c r="B1283" s="196" t="s">
        <v>7203</v>
      </c>
      <c r="C1283" s="196" t="s">
        <v>7204</v>
      </c>
      <c r="D1283" s="196" t="s">
        <v>2609</v>
      </c>
      <c r="E1283" s="196"/>
      <c r="F1283" s="196">
        <v>2008</v>
      </c>
      <c r="G1283" s="196"/>
      <c r="H1283" s="196" t="s">
        <v>2734</v>
      </c>
      <c r="I1283" s="141" t="s">
        <v>1879</v>
      </c>
      <c r="J1283" s="196"/>
      <c r="K1283" s="196" t="s">
        <v>1881</v>
      </c>
      <c r="L1283" s="141"/>
      <c r="M1283" s="196">
        <v>450</v>
      </c>
      <c r="N1283" s="196"/>
      <c r="O1283" s="196" t="s">
        <v>5466</v>
      </c>
      <c r="P1283" s="144">
        <v>624</v>
      </c>
      <c r="Q1283" s="145">
        <f t="shared" si="75"/>
        <v>0.93480000000000008</v>
      </c>
      <c r="R1283" s="203">
        <v>0.25</v>
      </c>
      <c r="S1283" s="203"/>
      <c r="T1283" s="151">
        <v>0.32</v>
      </c>
      <c r="U1283" s="151"/>
      <c r="V1283" s="151">
        <v>0.25</v>
      </c>
      <c r="W1283" s="151">
        <f t="shared" si="76"/>
        <v>0.32</v>
      </c>
      <c r="X1283" s="152">
        <f t="shared" si="74"/>
        <v>4.48E-2</v>
      </c>
      <c r="Y1283" s="152"/>
      <c r="Z1283" s="148"/>
      <c r="AA1283" s="153"/>
      <c r="AB1283" s="153"/>
      <c r="AC1283" s="153"/>
      <c r="AD1283" s="153"/>
      <c r="AH1283" s="147"/>
    </row>
    <row r="1284" spans="1:34" s="146" customFormat="1" x14ac:dyDescent="0.25">
      <c r="A1284" s="196">
        <v>721</v>
      </c>
      <c r="B1284" s="196" t="s">
        <v>7205</v>
      </c>
      <c r="C1284" s="196" t="s">
        <v>7206</v>
      </c>
      <c r="D1284" s="196" t="s">
        <v>3057</v>
      </c>
      <c r="E1284" s="196"/>
      <c r="F1284" s="196"/>
      <c r="G1284" s="196"/>
      <c r="H1284" s="196" t="s">
        <v>1878</v>
      </c>
      <c r="I1284" s="141" t="s">
        <v>1879</v>
      </c>
      <c r="J1284" s="196"/>
      <c r="K1284" s="196" t="s">
        <v>1881</v>
      </c>
      <c r="L1284" s="141" t="s">
        <v>7207</v>
      </c>
      <c r="M1284" s="196">
        <v>128</v>
      </c>
      <c r="N1284" s="196"/>
      <c r="O1284" s="196" t="s">
        <v>5467</v>
      </c>
      <c r="P1284" s="144">
        <v>359</v>
      </c>
      <c r="Q1284" s="145">
        <f t="shared" si="75"/>
        <v>2.1867000000000001</v>
      </c>
      <c r="R1284" s="203">
        <v>1.49</v>
      </c>
      <c r="S1284" s="203"/>
      <c r="T1284" s="151">
        <v>0.32</v>
      </c>
      <c r="U1284" s="151"/>
      <c r="V1284" s="151">
        <v>0.25</v>
      </c>
      <c r="W1284" s="151">
        <f t="shared" si="76"/>
        <v>1.49</v>
      </c>
      <c r="X1284" s="152">
        <f t="shared" si="74"/>
        <v>0.12670000000000001</v>
      </c>
      <c r="Y1284" s="152"/>
      <c r="Z1284" s="148"/>
      <c r="AA1284" s="153"/>
      <c r="AB1284" s="153"/>
      <c r="AC1284" s="153"/>
      <c r="AD1284" s="153"/>
      <c r="AH1284" s="147"/>
    </row>
    <row r="1285" spans="1:34" s="146" customFormat="1" x14ac:dyDescent="0.25">
      <c r="A1285" s="196">
        <v>2514</v>
      </c>
      <c r="B1285" s="196" t="s">
        <v>7212</v>
      </c>
      <c r="C1285" s="196" t="s">
        <v>7213</v>
      </c>
      <c r="D1285" s="196" t="s">
        <v>7214</v>
      </c>
      <c r="E1285" s="196" t="s">
        <v>1877</v>
      </c>
      <c r="F1285" s="196">
        <v>1992</v>
      </c>
      <c r="G1285" s="196"/>
      <c r="H1285" s="196" t="s">
        <v>2734</v>
      </c>
      <c r="I1285" s="141" t="s">
        <v>1914</v>
      </c>
      <c r="J1285" s="196" t="s">
        <v>7225</v>
      </c>
      <c r="K1285" s="196" t="s">
        <v>1881</v>
      </c>
      <c r="L1285" s="141" t="s">
        <v>7215</v>
      </c>
      <c r="M1285" s="196">
        <v>130</v>
      </c>
      <c r="N1285" s="196"/>
      <c r="O1285" s="196" t="s">
        <v>5468</v>
      </c>
      <c r="P1285" s="144">
        <v>280</v>
      </c>
      <c r="Q1285" s="145">
        <f>SUM(U1285:X1285)</f>
        <v>1.3317000000000001</v>
      </c>
      <c r="R1285" s="203">
        <v>0.99</v>
      </c>
      <c r="S1285" s="203"/>
      <c r="T1285" s="151">
        <v>0.32</v>
      </c>
      <c r="U1285" s="151"/>
      <c r="V1285" s="151">
        <v>0.25</v>
      </c>
      <c r="W1285" s="151">
        <f t="shared" si="76"/>
        <v>0.99</v>
      </c>
      <c r="X1285" s="152">
        <f t="shared" si="74"/>
        <v>9.1700000000000004E-2</v>
      </c>
      <c r="Y1285" s="152"/>
      <c r="Z1285" s="148"/>
      <c r="AA1285" s="153"/>
      <c r="AB1285" s="153"/>
      <c r="AC1285" s="153"/>
      <c r="AD1285" s="153"/>
      <c r="AH1285" s="147"/>
    </row>
    <row r="1286" spans="1:34" s="146" customFormat="1" x14ac:dyDescent="0.25">
      <c r="A1286" s="196">
        <v>2514</v>
      </c>
      <c r="B1286" s="196" t="s">
        <v>7216</v>
      </c>
      <c r="C1286" s="196" t="s">
        <v>7217</v>
      </c>
      <c r="D1286" s="196" t="s">
        <v>4435</v>
      </c>
      <c r="E1286" s="196"/>
      <c r="F1286" s="196">
        <v>2004</v>
      </c>
      <c r="G1286" s="196"/>
      <c r="H1286" s="196" t="s">
        <v>2734</v>
      </c>
      <c r="I1286" s="141" t="s">
        <v>1879</v>
      </c>
      <c r="J1286" s="196"/>
      <c r="K1286" s="196" t="s">
        <v>1881</v>
      </c>
      <c r="L1286" s="141" t="s">
        <v>7218</v>
      </c>
      <c r="M1286" s="196">
        <v>238</v>
      </c>
      <c r="N1286" s="196"/>
      <c r="O1286" s="196" t="s">
        <v>5469</v>
      </c>
      <c r="P1286" s="144">
        <v>498</v>
      </c>
      <c r="Q1286" s="145">
        <f t="shared" ref="Q1286:Q1343" si="77">SUM(U1286:X1286)</f>
        <v>0.79669999999999996</v>
      </c>
      <c r="R1286" s="203">
        <v>0.49</v>
      </c>
      <c r="S1286" s="203"/>
      <c r="T1286" s="151">
        <v>0.32</v>
      </c>
      <c r="U1286" s="151"/>
      <c r="V1286" s="151">
        <v>0.25</v>
      </c>
      <c r="W1286" s="151">
        <f t="shared" si="76"/>
        <v>0.49</v>
      </c>
      <c r="X1286" s="152">
        <f t="shared" si="74"/>
        <v>5.6700000000000007E-2</v>
      </c>
      <c r="Y1286" s="152"/>
      <c r="Z1286" s="148"/>
      <c r="AA1286" s="153"/>
      <c r="AB1286" s="153"/>
      <c r="AC1286" s="153"/>
      <c r="AD1286" s="153"/>
      <c r="AH1286" s="147"/>
    </row>
    <row r="1287" spans="1:34" s="146" customFormat="1" x14ac:dyDescent="0.25">
      <c r="A1287" s="196">
        <v>2514</v>
      </c>
      <c r="B1287" s="196" t="s">
        <v>7222</v>
      </c>
      <c r="C1287" s="196" t="s">
        <v>7223</v>
      </c>
      <c r="D1287" s="196" t="s">
        <v>2402</v>
      </c>
      <c r="E1287" s="196"/>
      <c r="F1287" s="196">
        <v>1993</v>
      </c>
      <c r="G1287" s="196"/>
      <c r="H1287" s="196" t="s">
        <v>2734</v>
      </c>
      <c r="I1287" s="141" t="s">
        <v>1879</v>
      </c>
      <c r="J1287" s="196" t="s">
        <v>7224</v>
      </c>
      <c r="K1287" s="196" t="s">
        <v>1881</v>
      </c>
      <c r="L1287" s="141" t="s">
        <v>7226</v>
      </c>
      <c r="M1287" s="196">
        <v>224</v>
      </c>
      <c r="N1287" s="196"/>
      <c r="O1287" s="196" t="s">
        <v>5471</v>
      </c>
      <c r="P1287" s="144">
        <v>313</v>
      </c>
      <c r="Q1287" s="145">
        <f t="shared" si="77"/>
        <v>0.79669999999999996</v>
      </c>
      <c r="R1287" s="203">
        <v>0.49</v>
      </c>
      <c r="S1287" s="203"/>
      <c r="T1287" s="151">
        <v>0.32</v>
      </c>
      <c r="U1287" s="151"/>
      <c r="V1287" s="151">
        <v>0.25</v>
      </c>
      <c r="W1287" s="151">
        <f t="shared" si="76"/>
        <v>0.49</v>
      </c>
      <c r="X1287" s="152">
        <f t="shared" si="74"/>
        <v>5.6700000000000007E-2</v>
      </c>
      <c r="Y1287" s="152"/>
      <c r="Z1287" s="148"/>
      <c r="AA1287" s="153"/>
      <c r="AB1287" s="153"/>
      <c r="AC1287" s="153"/>
      <c r="AD1287" s="153"/>
      <c r="AH1287" s="147"/>
    </row>
    <row r="1288" spans="1:34" s="146" customFormat="1" x14ac:dyDescent="0.25">
      <c r="A1288" s="196">
        <v>2514</v>
      </c>
      <c r="B1288" s="196" t="s">
        <v>7227</v>
      </c>
      <c r="C1288" s="196" t="s">
        <v>7228</v>
      </c>
      <c r="D1288" s="196" t="s">
        <v>3524</v>
      </c>
      <c r="E1288" s="196" t="s">
        <v>1913</v>
      </c>
      <c r="F1288" s="196">
        <v>2010</v>
      </c>
      <c r="G1288" s="196"/>
      <c r="H1288" s="196" t="s">
        <v>1878</v>
      </c>
      <c r="I1288" s="141" t="s">
        <v>1879</v>
      </c>
      <c r="J1288" s="196"/>
      <c r="K1288" s="196" t="s">
        <v>1881</v>
      </c>
      <c r="L1288" s="141" t="s">
        <v>7229</v>
      </c>
      <c r="M1288" s="196">
        <v>288</v>
      </c>
      <c r="N1288" s="196"/>
      <c r="O1288" s="196" t="s">
        <v>5472</v>
      </c>
      <c r="P1288" s="144">
        <v>331</v>
      </c>
      <c r="Q1288" s="145">
        <f t="shared" si="77"/>
        <v>1.4387000000000001</v>
      </c>
      <c r="R1288" s="203">
        <v>1.0900000000000001</v>
      </c>
      <c r="S1288" s="203"/>
      <c r="T1288" s="151">
        <v>0.32</v>
      </c>
      <c r="U1288" s="151"/>
      <c r="V1288" s="151">
        <v>0.25</v>
      </c>
      <c r="W1288" s="151">
        <f t="shared" si="76"/>
        <v>1.0900000000000001</v>
      </c>
      <c r="X1288" s="152">
        <f t="shared" si="74"/>
        <v>9.870000000000001E-2</v>
      </c>
      <c r="Y1288" s="152"/>
      <c r="Z1288" s="148"/>
      <c r="AA1288" s="153"/>
      <c r="AB1288" s="153"/>
      <c r="AC1288" s="153"/>
      <c r="AD1288" s="153"/>
      <c r="AH1288" s="147"/>
    </row>
    <row r="1289" spans="1:34" s="146" customFormat="1" x14ac:dyDescent="0.25">
      <c r="A1289" s="196">
        <v>2514</v>
      </c>
      <c r="B1289" s="196" t="s">
        <v>7233</v>
      </c>
      <c r="C1289" s="196" t="s">
        <v>7234</v>
      </c>
      <c r="D1289" s="196" t="s">
        <v>2402</v>
      </c>
      <c r="E1289" s="196"/>
      <c r="F1289" s="196">
        <v>2010</v>
      </c>
      <c r="G1289" s="196"/>
      <c r="H1289" s="196" t="s">
        <v>2734</v>
      </c>
      <c r="I1289" s="141" t="s">
        <v>1879</v>
      </c>
      <c r="J1289" s="196"/>
      <c r="K1289" s="196" t="s">
        <v>1881</v>
      </c>
      <c r="L1289" s="141" t="s">
        <v>7235</v>
      </c>
      <c r="M1289" s="196">
        <v>98</v>
      </c>
      <c r="N1289" s="196"/>
      <c r="O1289" s="196" t="s">
        <v>5474</v>
      </c>
      <c r="P1289" s="144">
        <v>244</v>
      </c>
      <c r="Q1289" s="145">
        <f t="shared" si="77"/>
        <v>2.4017000000000004</v>
      </c>
      <c r="R1289" s="203">
        <v>1.99</v>
      </c>
      <c r="S1289" s="203"/>
      <c r="T1289" s="151">
        <v>0.32</v>
      </c>
      <c r="U1289" s="151"/>
      <c r="V1289" s="151">
        <v>0.25</v>
      </c>
      <c r="W1289" s="151">
        <f t="shared" si="76"/>
        <v>1.99</v>
      </c>
      <c r="X1289" s="152">
        <f t="shared" si="74"/>
        <v>0.16169999999999998</v>
      </c>
      <c r="Y1289" s="152"/>
      <c r="Z1289" s="148"/>
      <c r="AA1289" s="153"/>
      <c r="AB1289" s="153"/>
      <c r="AC1289" s="153"/>
      <c r="AD1289" s="153"/>
      <c r="AH1289" s="147"/>
    </row>
    <row r="1290" spans="1:34" s="146" customFormat="1" x14ac:dyDescent="0.25">
      <c r="A1290" s="196">
        <v>2514</v>
      </c>
      <c r="B1290" s="196" t="s">
        <v>7236</v>
      </c>
      <c r="C1290" s="196" t="s">
        <v>7237</v>
      </c>
      <c r="D1290" s="196" t="s">
        <v>2402</v>
      </c>
      <c r="E1290" s="196"/>
      <c r="F1290" s="196">
        <v>1976</v>
      </c>
      <c r="G1290" s="196"/>
      <c r="H1290" s="196" t="s">
        <v>2734</v>
      </c>
      <c r="I1290" s="141" t="s">
        <v>1914</v>
      </c>
      <c r="J1290" s="196"/>
      <c r="K1290" s="196" t="s">
        <v>1881</v>
      </c>
      <c r="L1290" s="141" t="s">
        <v>7238</v>
      </c>
      <c r="M1290" s="196">
        <v>126</v>
      </c>
      <c r="N1290" s="196"/>
      <c r="O1290" s="196" t="s">
        <v>5475</v>
      </c>
      <c r="P1290" s="144">
        <v>195</v>
      </c>
      <c r="Q1290" s="145">
        <f t="shared" si="77"/>
        <v>0.79669999999999996</v>
      </c>
      <c r="R1290" s="203">
        <v>0.49</v>
      </c>
      <c r="S1290" s="203"/>
      <c r="T1290" s="151">
        <v>0.32</v>
      </c>
      <c r="U1290" s="151"/>
      <c r="V1290" s="151">
        <v>0.25</v>
      </c>
      <c r="W1290" s="151">
        <f t="shared" si="76"/>
        <v>0.49</v>
      </c>
      <c r="X1290" s="152">
        <f t="shared" si="74"/>
        <v>5.6700000000000007E-2</v>
      </c>
      <c r="Y1290" s="152"/>
      <c r="Z1290" s="148"/>
      <c r="AA1290" s="153"/>
      <c r="AB1290" s="153"/>
      <c r="AC1290" s="153"/>
      <c r="AD1290" s="153"/>
      <c r="AH1290" s="147"/>
    </row>
    <row r="1291" spans="1:34" s="146" customFormat="1" x14ac:dyDescent="0.25">
      <c r="A1291" s="196">
        <v>2514</v>
      </c>
      <c r="B1291" s="196" t="s">
        <v>7236</v>
      </c>
      <c r="C1291" s="196" t="s">
        <v>7239</v>
      </c>
      <c r="D1291" s="196" t="s">
        <v>2402</v>
      </c>
      <c r="E1291" s="196"/>
      <c r="F1291" s="196">
        <v>1972</v>
      </c>
      <c r="G1291" s="196"/>
      <c r="H1291" s="196" t="s">
        <v>2734</v>
      </c>
      <c r="I1291" s="141" t="s">
        <v>1914</v>
      </c>
      <c r="J1291" s="196"/>
      <c r="K1291" s="196" t="s">
        <v>1881</v>
      </c>
      <c r="L1291" s="141" t="s">
        <v>7240</v>
      </c>
      <c r="M1291" s="196">
        <v>126</v>
      </c>
      <c r="N1291" s="196"/>
      <c r="O1291" s="196" t="s">
        <v>5476</v>
      </c>
      <c r="P1291" s="144">
        <v>201</v>
      </c>
      <c r="Q1291" s="145">
        <f t="shared" si="77"/>
        <v>0.79669999999999996</v>
      </c>
      <c r="R1291" s="203">
        <v>0.49</v>
      </c>
      <c r="S1291" s="203"/>
      <c r="T1291" s="151">
        <v>0.32</v>
      </c>
      <c r="U1291" s="151"/>
      <c r="V1291" s="151">
        <v>0.25</v>
      </c>
      <c r="W1291" s="151">
        <f t="shared" si="76"/>
        <v>0.49</v>
      </c>
      <c r="X1291" s="152">
        <f t="shared" si="74"/>
        <v>5.6700000000000007E-2</v>
      </c>
      <c r="Y1291" s="152"/>
      <c r="Z1291" s="148"/>
      <c r="AA1291" s="153"/>
      <c r="AB1291" s="153"/>
      <c r="AC1291" s="153"/>
      <c r="AD1291" s="153"/>
      <c r="AH1291" s="147"/>
    </row>
    <row r="1292" spans="1:34" s="146" customFormat="1" x14ac:dyDescent="0.25">
      <c r="A1292" s="196">
        <v>2776</v>
      </c>
      <c r="B1292" s="196"/>
      <c r="C1292" s="196" t="s">
        <v>7241</v>
      </c>
      <c r="D1292" s="196" t="s">
        <v>7242</v>
      </c>
      <c r="E1292" s="196"/>
      <c r="F1292" s="196">
        <v>2017</v>
      </c>
      <c r="G1292" s="196"/>
      <c r="H1292" s="196" t="s">
        <v>1878</v>
      </c>
      <c r="I1292" s="141" t="s">
        <v>1929</v>
      </c>
      <c r="J1292" s="196" t="s">
        <v>7243</v>
      </c>
      <c r="K1292" s="196" t="s">
        <v>1881</v>
      </c>
      <c r="L1292" s="141" t="s">
        <v>7244</v>
      </c>
      <c r="M1292" s="196"/>
      <c r="N1292" s="196"/>
      <c r="O1292" s="196" t="s">
        <v>5477</v>
      </c>
      <c r="P1292" s="144">
        <v>476</v>
      </c>
      <c r="Q1292" s="145">
        <f t="shared" si="77"/>
        <v>5.5689000000000002</v>
      </c>
      <c r="R1292" s="203">
        <v>4.95</v>
      </c>
      <c r="S1292" s="203"/>
      <c r="T1292" s="151">
        <v>0.32</v>
      </c>
      <c r="U1292" s="151"/>
      <c r="V1292" s="151">
        <v>0.25</v>
      </c>
      <c r="W1292" s="151">
        <f t="shared" si="76"/>
        <v>4.95</v>
      </c>
      <c r="X1292" s="152">
        <f t="shared" si="74"/>
        <v>0.36890000000000001</v>
      </c>
      <c r="Y1292" s="152"/>
      <c r="Z1292" s="148"/>
      <c r="AA1292" s="153"/>
      <c r="AB1292" s="153"/>
      <c r="AC1292" s="153"/>
      <c r="AD1292" s="153"/>
      <c r="AH1292" s="147"/>
    </row>
    <row r="1293" spans="1:34" s="146" customFormat="1" x14ac:dyDescent="0.25">
      <c r="A1293" s="196">
        <v>2522</v>
      </c>
      <c r="B1293" s="196" t="s">
        <v>7245</v>
      </c>
      <c r="C1293" s="196" t="s">
        <v>7246</v>
      </c>
      <c r="D1293" s="196" t="s">
        <v>5005</v>
      </c>
      <c r="E1293" s="196"/>
      <c r="F1293" s="196">
        <v>2009</v>
      </c>
      <c r="G1293" s="196"/>
      <c r="H1293" s="196" t="s">
        <v>1878</v>
      </c>
      <c r="I1293" s="141" t="s">
        <v>1879</v>
      </c>
      <c r="J1293" s="196"/>
      <c r="K1293" s="196" t="s">
        <v>1881</v>
      </c>
      <c r="L1293" s="141"/>
      <c r="M1293" s="196">
        <v>416</v>
      </c>
      <c r="N1293" s="196"/>
      <c r="O1293" s="196" t="s">
        <v>5478</v>
      </c>
      <c r="P1293" s="144">
        <v>302</v>
      </c>
      <c r="Q1293" s="145">
        <f t="shared" si="77"/>
        <v>0.79669999999999996</v>
      </c>
      <c r="R1293" s="203">
        <v>0.49</v>
      </c>
      <c r="S1293" s="203"/>
      <c r="T1293" s="151">
        <v>0.32</v>
      </c>
      <c r="U1293" s="151"/>
      <c r="V1293" s="151">
        <v>0.25</v>
      </c>
      <c r="W1293" s="151">
        <f t="shared" si="76"/>
        <v>0.49</v>
      </c>
      <c r="X1293" s="152">
        <f t="shared" si="74"/>
        <v>5.6700000000000007E-2</v>
      </c>
      <c r="Y1293" s="152"/>
      <c r="Z1293" s="148"/>
      <c r="AA1293" s="153"/>
      <c r="AB1293" s="153"/>
      <c r="AC1293" s="153"/>
      <c r="AD1293" s="153"/>
      <c r="AH1293" s="147"/>
    </row>
    <row r="1294" spans="1:34" s="146" customFormat="1" x14ac:dyDescent="0.25">
      <c r="A1294" s="196">
        <v>2518</v>
      </c>
      <c r="B1294" s="196" t="s">
        <v>5033</v>
      </c>
      <c r="C1294" s="196" t="s">
        <v>7247</v>
      </c>
      <c r="D1294" s="196" t="s">
        <v>7248</v>
      </c>
      <c r="E1294" s="196" t="s">
        <v>2937</v>
      </c>
      <c r="F1294" s="196">
        <v>2004</v>
      </c>
      <c r="G1294" s="196"/>
      <c r="H1294" s="196" t="s">
        <v>1878</v>
      </c>
      <c r="I1294" s="141" t="s">
        <v>1879</v>
      </c>
      <c r="J1294" s="196"/>
      <c r="K1294" s="196" t="s">
        <v>1881</v>
      </c>
      <c r="L1294" s="141" t="s">
        <v>7249</v>
      </c>
      <c r="M1294" s="196">
        <v>352</v>
      </c>
      <c r="N1294" s="196"/>
      <c r="O1294" s="196" t="s">
        <v>5479</v>
      </c>
      <c r="P1294" s="144">
        <v>254</v>
      </c>
      <c r="Q1294" s="145">
        <f t="shared" si="77"/>
        <v>0.79669999999999996</v>
      </c>
      <c r="R1294" s="203">
        <v>0.49</v>
      </c>
      <c r="S1294" s="203"/>
      <c r="T1294" s="151">
        <v>0.32</v>
      </c>
      <c r="U1294" s="151"/>
      <c r="V1294" s="151">
        <v>0.25</v>
      </c>
      <c r="W1294" s="151">
        <f t="shared" si="76"/>
        <v>0.49</v>
      </c>
      <c r="X1294" s="152">
        <f t="shared" si="74"/>
        <v>5.6700000000000007E-2</v>
      </c>
      <c r="Y1294" s="152"/>
      <c r="Z1294" s="148"/>
      <c r="AA1294" s="153"/>
      <c r="AB1294" s="153"/>
      <c r="AC1294" s="153"/>
      <c r="AD1294" s="153"/>
      <c r="AH1294" s="147"/>
    </row>
    <row r="1295" spans="1:34" s="146" customFormat="1" x14ac:dyDescent="0.25">
      <c r="A1295" s="196">
        <v>1386</v>
      </c>
      <c r="B1295" s="196" t="s">
        <v>2242</v>
      </c>
      <c r="C1295" s="196" t="s">
        <v>7250</v>
      </c>
      <c r="D1295" s="196" t="s">
        <v>2609</v>
      </c>
      <c r="E1295" s="196"/>
      <c r="F1295" s="196">
        <v>1994</v>
      </c>
      <c r="G1295" s="196"/>
      <c r="H1295" s="196" t="s">
        <v>1878</v>
      </c>
      <c r="I1295" s="141" t="s">
        <v>6422</v>
      </c>
      <c r="J1295" s="196"/>
      <c r="K1295" s="196" t="s">
        <v>1881</v>
      </c>
      <c r="L1295" s="141" t="s">
        <v>7251</v>
      </c>
      <c r="M1295" s="196">
        <v>288</v>
      </c>
      <c r="N1295" s="196"/>
      <c r="O1295" s="196" t="s">
        <v>5480</v>
      </c>
      <c r="P1295" s="144">
        <v>186</v>
      </c>
      <c r="Q1295" s="145">
        <f t="shared" si="77"/>
        <v>0.79669999999999996</v>
      </c>
      <c r="R1295" s="203">
        <v>0.49</v>
      </c>
      <c r="S1295" s="203"/>
      <c r="T1295" s="151">
        <v>0.32</v>
      </c>
      <c r="U1295" s="151"/>
      <c r="V1295" s="151">
        <v>0.25</v>
      </c>
      <c r="W1295" s="151">
        <f t="shared" si="76"/>
        <v>0.49</v>
      </c>
      <c r="X1295" s="152">
        <f t="shared" si="74"/>
        <v>5.6700000000000007E-2</v>
      </c>
      <c r="Y1295" s="152"/>
      <c r="Z1295" s="148"/>
      <c r="AA1295" s="153"/>
      <c r="AB1295" s="153"/>
      <c r="AC1295" s="153"/>
      <c r="AD1295" s="153"/>
      <c r="AH1295" s="147"/>
    </row>
    <row r="1296" spans="1:34" s="146" customFormat="1" x14ac:dyDescent="0.25">
      <c r="A1296" s="196">
        <v>2851</v>
      </c>
      <c r="B1296" s="196" t="s">
        <v>7252</v>
      </c>
      <c r="C1296" s="143" t="s">
        <v>7253</v>
      </c>
      <c r="D1296" s="196" t="s">
        <v>1920</v>
      </c>
      <c r="E1296" s="196"/>
      <c r="F1296" s="196">
        <v>1998</v>
      </c>
      <c r="G1296" s="196"/>
      <c r="H1296" s="196" t="s">
        <v>1878</v>
      </c>
      <c r="I1296" s="141" t="s">
        <v>1914</v>
      </c>
      <c r="J1296" s="196"/>
      <c r="K1296" s="196" t="s">
        <v>1881</v>
      </c>
      <c r="L1296" s="141" t="s">
        <v>7254</v>
      </c>
      <c r="M1296" s="196">
        <v>392</v>
      </c>
      <c r="N1296" s="196"/>
      <c r="O1296" s="196" t="s">
        <v>5481</v>
      </c>
      <c r="P1296" s="144">
        <v>329</v>
      </c>
      <c r="Q1296" s="145">
        <f t="shared" si="77"/>
        <v>1.3317000000000001</v>
      </c>
      <c r="R1296" s="203">
        <v>0.99</v>
      </c>
      <c r="S1296" s="203"/>
      <c r="T1296" s="151">
        <v>0.32</v>
      </c>
      <c r="U1296" s="151"/>
      <c r="V1296" s="151">
        <v>0.25</v>
      </c>
      <c r="W1296" s="151">
        <f t="shared" si="76"/>
        <v>0.99</v>
      </c>
      <c r="X1296" s="152">
        <f t="shared" si="74"/>
        <v>9.1700000000000004E-2</v>
      </c>
      <c r="Y1296" s="152"/>
      <c r="Z1296" s="148"/>
      <c r="AA1296" s="153"/>
      <c r="AB1296" s="153"/>
      <c r="AC1296" s="153"/>
      <c r="AD1296" s="153"/>
      <c r="AH1296" s="147"/>
    </row>
    <row r="1297" spans="1:34" s="146" customFormat="1" x14ac:dyDescent="0.25">
      <c r="A1297" s="196">
        <v>2522</v>
      </c>
      <c r="B1297" s="196" t="s">
        <v>7255</v>
      </c>
      <c r="C1297" s="196" t="s">
        <v>7256</v>
      </c>
      <c r="D1297" s="196" t="s">
        <v>2300</v>
      </c>
      <c r="E1297" s="196"/>
      <c r="F1297" s="196">
        <v>1990</v>
      </c>
      <c r="G1297" s="196"/>
      <c r="H1297" s="196" t="s">
        <v>1878</v>
      </c>
      <c r="I1297" s="141" t="s">
        <v>1914</v>
      </c>
      <c r="J1297" s="196"/>
      <c r="K1297" s="196" t="s">
        <v>1881</v>
      </c>
      <c r="L1297" s="141" t="s">
        <v>7257</v>
      </c>
      <c r="M1297" s="196">
        <v>542</v>
      </c>
      <c r="N1297" s="196"/>
      <c r="O1297" s="196" t="s">
        <v>5482</v>
      </c>
      <c r="P1297" s="144">
        <v>321</v>
      </c>
      <c r="Q1297" s="145">
        <f t="shared" si="77"/>
        <v>0.79669999999999996</v>
      </c>
      <c r="R1297" s="203">
        <v>0.49</v>
      </c>
      <c r="S1297" s="203"/>
      <c r="T1297" s="151">
        <v>0.32</v>
      </c>
      <c r="U1297" s="151"/>
      <c r="V1297" s="151">
        <v>0.25</v>
      </c>
      <c r="W1297" s="151">
        <f t="shared" si="76"/>
        <v>0.49</v>
      </c>
      <c r="X1297" s="152">
        <f t="shared" si="74"/>
        <v>5.6700000000000007E-2</v>
      </c>
      <c r="Y1297" s="152"/>
      <c r="Z1297" s="148"/>
      <c r="AA1297" s="153"/>
      <c r="AB1297" s="153"/>
      <c r="AC1297" s="153"/>
      <c r="AD1297" s="153"/>
      <c r="AH1297" s="147"/>
    </row>
    <row r="1298" spans="1:34" s="146" customFormat="1" x14ac:dyDescent="0.25">
      <c r="A1298" s="196">
        <v>1327</v>
      </c>
      <c r="B1298" s="196" t="s">
        <v>7258</v>
      </c>
      <c r="C1298" s="196" t="s">
        <v>7259</v>
      </c>
      <c r="D1298" s="196" t="s">
        <v>7260</v>
      </c>
      <c r="E1298" s="196"/>
      <c r="F1298" s="196">
        <v>1970</v>
      </c>
      <c r="G1298" s="196"/>
      <c r="H1298" s="196" t="s">
        <v>2734</v>
      </c>
      <c r="I1298" s="141" t="s">
        <v>1879</v>
      </c>
      <c r="J1298" s="196"/>
      <c r="K1298" s="196" t="s">
        <v>1881</v>
      </c>
      <c r="L1298" s="141"/>
      <c r="M1298" s="196">
        <v>402</v>
      </c>
      <c r="N1298" s="196"/>
      <c r="O1298" s="196" t="s">
        <v>5483</v>
      </c>
      <c r="P1298" s="144">
        <v>577</v>
      </c>
      <c r="Q1298" s="145">
        <f t="shared" si="77"/>
        <v>0.79669999999999996</v>
      </c>
      <c r="R1298" s="203">
        <v>0.49</v>
      </c>
      <c r="S1298" s="203"/>
      <c r="T1298" s="151">
        <v>0.32</v>
      </c>
      <c r="U1298" s="151"/>
      <c r="V1298" s="151">
        <v>0.25</v>
      </c>
      <c r="W1298" s="151">
        <f t="shared" si="76"/>
        <v>0.49</v>
      </c>
      <c r="X1298" s="152">
        <f t="shared" si="74"/>
        <v>5.6700000000000007E-2</v>
      </c>
      <c r="Y1298" s="152"/>
      <c r="Z1298" s="148"/>
      <c r="AA1298" s="153"/>
      <c r="AB1298" s="153"/>
      <c r="AC1298" s="153"/>
      <c r="AD1298" s="153"/>
      <c r="AH1298" s="147"/>
    </row>
    <row r="1299" spans="1:34" s="146" customFormat="1" x14ac:dyDescent="0.25">
      <c r="A1299" s="196">
        <v>2518</v>
      </c>
      <c r="B1299" s="196" t="s">
        <v>5033</v>
      </c>
      <c r="C1299" s="196" t="s">
        <v>7261</v>
      </c>
      <c r="D1299" s="196" t="s">
        <v>7260</v>
      </c>
      <c r="E1299" s="196"/>
      <c r="F1299" s="196">
        <v>2001</v>
      </c>
      <c r="G1299" s="196"/>
      <c r="H1299" s="196" t="s">
        <v>2734</v>
      </c>
      <c r="I1299" s="141" t="s">
        <v>1929</v>
      </c>
      <c r="J1299" s="196" t="s">
        <v>7262</v>
      </c>
      <c r="K1299" s="196" t="s">
        <v>1881</v>
      </c>
      <c r="L1299" s="141" t="s">
        <v>7263</v>
      </c>
      <c r="M1299" s="196">
        <v>386</v>
      </c>
      <c r="N1299" s="196"/>
      <c r="O1299" s="196" t="s">
        <v>5484</v>
      </c>
      <c r="P1299" s="144">
        <v>578</v>
      </c>
      <c r="Q1299" s="145">
        <f t="shared" si="77"/>
        <v>0.79669999999999996</v>
      </c>
      <c r="R1299" s="203">
        <v>0.49</v>
      </c>
      <c r="S1299" s="203"/>
      <c r="T1299" s="151">
        <v>0.32</v>
      </c>
      <c r="U1299" s="151"/>
      <c r="V1299" s="151">
        <v>0.25</v>
      </c>
      <c r="W1299" s="151">
        <f t="shared" si="76"/>
        <v>0.49</v>
      </c>
      <c r="X1299" s="152">
        <f t="shared" si="74"/>
        <v>5.6700000000000007E-2</v>
      </c>
      <c r="Y1299" s="152"/>
      <c r="Z1299" s="148"/>
      <c r="AA1299" s="153"/>
      <c r="AB1299" s="153"/>
      <c r="AC1299" s="153"/>
      <c r="AD1299" s="153"/>
      <c r="AH1299" s="147"/>
    </row>
    <row r="1300" spans="1:34" s="146" customFormat="1" x14ac:dyDescent="0.25">
      <c r="A1300" s="196">
        <v>2522</v>
      </c>
      <c r="B1300" s="196" t="s">
        <v>2889</v>
      </c>
      <c r="C1300" s="196" t="s">
        <v>7264</v>
      </c>
      <c r="D1300" s="196" t="s">
        <v>2054</v>
      </c>
      <c r="E1300" s="196" t="s">
        <v>3141</v>
      </c>
      <c r="F1300" s="196">
        <v>2008</v>
      </c>
      <c r="G1300" s="196"/>
      <c r="H1300" s="196" t="s">
        <v>1878</v>
      </c>
      <c r="I1300" s="141" t="s">
        <v>1929</v>
      </c>
      <c r="J1300" s="196"/>
      <c r="K1300" s="196" t="s">
        <v>1881</v>
      </c>
      <c r="L1300" s="141" t="s">
        <v>7265</v>
      </c>
      <c r="M1300" s="196">
        <v>320</v>
      </c>
      <c r="N1300" s="196"/>
      <c r="O1300" s="196" t="s">
        <v>5485</v>
      </c>
      <c r="P1300" s="144">
        <v>308</v>
      </c>
      <c r="Q1300" s="145">
        <f t="shared" si="77"/>
        <v>1.2247000000000001</v>
      </c>
      <c r="R1300" s="203">
        <v>0.89</v>
      </c>
      <c r="S1300" s="203"/>
      <c r="T1300" s="151">
        <v>0.32</v>
      </c>
      <c r="U1300" s="151"/>
      <c r="V1300" s="151">
        <v>0.25</v>
      </c>
      <c r="W1300" s="151">
        <f t="shared" si="76"/>
        <v>0.89</v>
      </c>
      <c r="X1300" s="152">
        <f t="shared" si="74"/>
        <v>8.4699999999999998E-2</v>
      </c>
      <c r="Y1300" s="152"/>
      <c r="Z1300" s="148"/>
      <c r="AA1300" s="153"/>
      <c r="AB1300" s="153"/>
      <c r="AC1300" s="153"/>
      <c r="AD1300" s="153"/>
      <c r="AH1300" s="147"/>
    </row>
    <row r="1301" spans="1:34" s="146" customFormat="1" x14ac:dyDescent="0.25">
      <c r="A1301" s="196">
        <v>735</v>
      </c>
      <c r="B1301" s="196" t="s">
        <v>7266</v>
      </c>
      <c r="C1301" s="196" t="s">
        <v>7267</v>
      </c>
      <c r="D1301" s="196" t="s">
        <v>2209</v>
      </c>
      <c r="E1301" s="196" t="s">
        <v>1921</v>
      </c>
      <c r="F1301" s="196">
        <v>1987</v>
      </c>
      <c r="G1301" s="196"/>
      <c r="H1301" s="196" t="s">
        <v>1878</v>
      </c>
      <c r="I1301" s="141" t="s">
        <v>1914</v>
      </c>
      <c r="J1301" s="196"/>
      <c r="K1301" s="196" t="s">
        <v>1881</v>
      </c>
      <c r="L1301" s="141" t="s">
        <v>7268</v>
      </c>
      <c r="M1301" s="196">
        <v>288</v>
      </c>
      <c r="N1301" s="196"/>
      <c r="O1301" s="196" t="s">
        <v>5486</v>
      </c>
      <c r="P1301" s="144">
        <v>160</v>
      </c>
      <c r="Q1301" s="145">
        <f t="shared" si="77"/>
        <v>0.79669999999999996</v>
      </c>
      <c r="R1301" s="203">
        <v>0.49</v>
      </c>
      <c r="S1301" s="203"/>
      <c r="T1301" s="151">
        <v>0.32</v>
      </c>
      <c r="U1301" s="151"/>
      <c r="V1301" s="151">
        <v>0.25</v>
      </c>
      <c r="W1301" s="151">
        <f t="shared" si="76"/>
        <v>0.49</v>
      </c>
      <c r="X1301" s="152">
        <f t="shared" si="74"/>
        <v>5.6700000000000007E-2</v>
      </c>
      <c r="Y1301" s="152"/>
      <c r="Z1301" s="148"/>
      <c r="AA1301" s="153"/>
      <c r="AB1301" s="153"/>
      <c r="AC1301" s="153"/>
      <c r="AD1301" s="153"/>
      <c r="AH1301" s="147"/>
    </row>
    <row r="1302" spans="1:34" s="146" customFormat="1" x14ac:dyDescent="0.25">
      <c r="A1302" s="196">
        <v>2681</v>
      </c>
      <c r="B1302" s="196"/>
      <c r="C1302" s="196" t="s">
        <v>7269</v>
      </c>
      <c r="D1302" s="196" t="s">
        <v>1927</v>
      </c>
      <c r="E1302" s="196"/>
      <c r="F1302" s="196"/>
      <c r="G1302" s="196"/>
      <c r="H1302" s="196" t="s">
        <v>2734</v>
      </c>
      <c r="I1302" s="141" t="s">
        <v>1929</v>
      </c>
      <c r="J1302" s="196"/>
      <c r="K1302" s="196" t="s">
        <v>1881</v>
      </c>
      <c r="L1302" s="141" t="s">
        <v>7270</v>
      </c>
      <c r="M1302" s="196">
        <v>210</v>
      </c>
      <c r="N1302" s="196"/>
      <c r="O1302" s="196" t="s">
        <v>5487</v>
      </c>
      <c r="P1302" s="144">
        <v>312</v>
      </c>
      <c r="Q1302" s="145">
        <f t="shared" si="77"/>
        <v>1.3317000000000001</v>
      </c>
      <c r="R1302" s="203">
        <v>0.99</v>
      </c>
      <c r="S1302" s="203"/>
      <c r="T1302" s="151">
        <v>0.32</v>
      </c>
      <c r="U1302" s="151"/>
      <c r="V1302" s="151">
        <v>0.25</v>
      </c>
      <c r="W1302" s="151">
        <f t="shared" si="76"/>
        <v>0.99</v>
      </c>
      <c r="X1302" s="152">
        <f t="shared" si="74"/>
        <v>9.1700000000000004E-2</v>
      </c>
      <c r="Y1302" s="152"/>
      <c r="Z1302" s="148"/>
      <c r="AA1302" s="153"/>
      <c r="AB1302" s="153"/>
      <c r="AC1302" s="153"/>
      <c r="AD1302" s="153"/>
      <c r="AH1302" s="147"/>
    </row>
    <row r="1303" spans="1:34" s="146" customFormat="1" x14ac:dyDescent="0.25">
      <c r="A1303" s="196">
        <v>632</v>
      </c>
      <c r="B1303" s="196" t="s">
        <v>2870</v>
      </c>
      <c r="C1303" s="196" t="s">
        <v>5050</v>
      </c>
      <c r="D1303" s="196" t="s">
        <v>2609</v>
      </c>
      <c r="E1303" s="196" t="s">
        <v>2055</v>
      </c>
      <c r="F1303" s="196">
        <v>1988</v>
      </c>
      <c r="G1303" s="196"/>
      <c r="H1303" s="196" t="s">
        <v>2734</v>
      </c>
      <c r="I1303" s="141" t="s">
        <v>1879</v>
      </c>
      <c r="J1303" s="196"/>
      <c r="K1303" s="196" t="s">
        <v>1881</v>
      </c>
      <c r="L1303" s="141"/>
      <c r="M1303" s="196">
        <v>658</v>
      </c>
      <c r="N1303" s="196"/>
      <c r="O1303" s="196" t="s">
        <v>5488</v>
      </c>
      <c r="P1303" s="144">
        <v>837</v>
      </c>
      <c r="Q1303" s="145">
        <f t="shared" si="77"/>
        <v>0.79669999999999996</v>
      </c>
      <c r="R1303" s="203">
        <v>0.49</v>
      </c>
      <c r="S1303" s="203"/>
      <c r="T1303" s="151">
        <v>0.32</v>
      </c>
      <c r="U1303" s="151"/>
      <c r="V1303" s="151">
        <v>0.25</v>
      </c>
      <c r="W1303" s="151">
        <f t="shared" si="76"/>
        <v>0.49</v>
      </c>
      <c r="X1303" s="152">
        <f t="shared" si="74"/>
        <v>5.6700000000000007E-2</v>
      </c>
      <c r="Y1303" s="152"/>
      <c r="Z1303" s="148"/>
      <c r="AA1303" s="153"/>
      <c r="AB1303" s="153"/>
      <c r="AC1303" s="153"/>
      <c r="AD1303" s="153"/>
      <c r="AH1303" s="147"/>
    </row>
    <row r="1304" spans="1:34" s="146" customFormat="1" x14ac:dyDescent="0.25">
      <c r="A1304" s="196">
        <v>774</v>
      </c>
      <c r="B1304" s="196" t="s">
        <v>7271</v>
      </c>
      <c r="C1304" s="196" t="s">
        <v>7272</v>
      </c>
      <c r="D1304" s="196" t="s">
        <v>2209</v>
      </c>
      <c r="E1304" s="196" t="s">
        <v>1921</v>
      </c>
      <c r="F1304" s="196">
        <v>1985</v>
      </c>
      <c r="G1304" s="196"/>
      <c r="H1304" s="196" t="s">
        <v>1878</v>
      </c>
      <c r="I1304" s="141" t="s">
        <v>1914</v>
      </c>
      <c r="J1304" s="196"/>
      <c r="K1304" s="196" t="s">
        <v>1881</v>
      </c>
      <c r="L1304" s="141" t="s">
        <v>7273</v>
      </c>
      <c r="M1304" s="196">
        <v>224</v>
      </c>
      <c r="N1304" s="196"/>
      <c r="O1304" s="196" t="s">
        <v>5489</v>
      </c>
      <c r="P1304" s="144">
        <v>156</v>
      </c>
      <c r="Q1304" s="145">
        <f t="shared" si="77"/>
        <v>1.0106999999999999</v>
      </c>
      <c r="R1304" s="203">
        <v>0.69</v>
      </c>
      <c r="S1304" s="203"/>
      <c r="T1304" s="151">
        <v>0.32</v>
      </c>
      <c r="U1304" s="151"/>
      <c r="V1304" s="151">
        <v>0.25</v>
      </c>
      <c r="W1304" s="151">
        <f t="shared" si="76"/>
        <v>0.69</v>
      </c>
      <c r="X1304" s="152">
        <f t="shared" si="74"/>
        <v>7.0699999999999999E-2</v>
      </c>
      <c r="Y1304" s="152"/>
      <c r="Z1304" s="148"/>
      <c r="AA1304" s="153"/>
      <c r="AB1304" s="153"/>
      <c r="AC1304" s="153"/>
      <c r="AD1304" s="153"/>
      <c r="AH1304" s="147"/>
    </row>
    <row r="1305" spans="1:34" s="146" customFormat="1" x14ac:dyDescent="0.25">
      <c r="A1305" s="196">
        <v>735</v>
      </c>
      <c r="B1305" s="196" t="s">
        <v>7274</v>
      </c>
      <c r="C1305" s="196" t="s">
        <v>7275</v>
      </c>
      <c r="D1305" s="196" t="s">
        <v>1912</v>
      </c>
      <c r="E1305" s="196" t="s">
        <v>1899</v>
      </c>
      <c r="F1305" s="196">
        <v>1984</v>
      </c>
      <c r="G1305" s="196"/>
      <c r="H1305" s="196" t="s">
        <v>1878</v>
      </c>
      <c r="I1305" s="141" t="s">
        <v>1914</v>
      </c>
      <c r="J1305" s="196"/>
      <c r="K1305" s="196" t="s">
        <v>1881</v>
      </c>
      <c r="L1305" s="141" t="s">
        <v>7276</v>
      </c>
      <c r="M1305" s="196">
        <v>368</v>
      </c>
      <c r="N1305" s="196"/>
      <c r="O1305" s="196" t="s">
        <v>5490</v>
      </c>
      <c r="P1305" s="144">
        <v>217</v>
      </c>
      <c r="Q1305" s="145">
        <f t="shared" si="77"/>
        <v>0.79669999999999996</v>
      </c>
      <c r="R1305" s="203">
        <v>0.49</v>
      </c>
      <c r="S1305" s="203"/>
      <c r="T1305" s="151">
        <v>0.32</v>
      </c>
      <c r="U1305" s="151"/>
      <c r="V1305" s="151">
        <v>0.25</v>
      </c>
      <c r="W1305" s="151">
        <f t="shared" si="76"/>
        <v>0.49</v>
      </c>
      <c r="X1305" s="152">
        <f t="shared" si="74"/>
        <v>5.6700000000000007E-2</v>
      </c>
      <c r="Y1305" s="152"/>
      <c r="Z1305" s="148"/>
      <c r="AA1305" s="153"/>
      <c r="AB1305" s="153"/>
      <c r="AC1305" s="153"/>
      <c r="AD1305" s="153"/>
      <c r="AH1305" s="147"/>
    </row>
    <row r="1306" spans="1:34" s="146" customFormat="1" x14ac:dyDescent="0.25">
      <c r="A1306" s="196">
        <v>2522</v>
      </c>
      <c r="B1306" s="196" t="s">
        <v>7277</v>
      </c>
      <c r="C1306" s="196" t="s">
        <v>7278</v>
      </c>
      <c r="D1306" s="196" t="s">
        <v>2209</v>
      </c>
      <c r="E1306" s="196"/>
      <c r="F1306" s="196">
        <v>1998</v>
      </c>
      <c r="G1306" s="196"/>
      <c r="H1306" s="196" t="s">
        <v>1878</v>
      </c>
      <c r="I1306" s="141" t="s">
        <v>1914</v>
      </c>
      <c r="J1306" s="196"/>
      <c r="K1306" s="196" t="s">
        <v>1881</v>
      </c>
      <c r="L1306" s="141" t="s">
        <v>7279</v>
      </c>
      <c r="M1306" s="196">
        <v>576</v>
      </c>
      <c r="N1306" s="196"/>
      <c r="O1306" s="196" t="s">
        <v>5491</v>
      </c>
      <c r="P1306" s="144">
        <v>319</v>
      </c>
      <c r="Q1306" s="145">
        <f t="shared" si="77"/>
        <v>0.79669999999999996</v>
      </c>
      <c r="R1306" s="203">
        <v>0.49</v>
      </c>
      <c r="S1306" s="203"/>
      <c r="T1306" s="151">
        <v>0.32</v>
      </c>
      <c r="U1306" s="151"/>
      <c r="V1306" s="151">
        <v>0.25</v>
      </c>
      <c r="W1306" s="151">
        <f t="shared" si="76"/>
        <v>0.49</v>
      </c>
      <c r="X1306" s="152">
        <f t="shared" si="74"/>
        <v>5.6700000000000007E-2</v>
      </c>
      <c r="Y1306" s="152"/>
      <c r="Z1306" s="148"/>
      <c r="AA1306" s="153"/>
      <c r="AB1306" s="153"/>
      <c r="AC1306" s="153"/>
      <c r="AD1306" s="153"/>
      <c r="AH1306" s="147"/>
    </row>
    <row r="1307" spans="1:34" s="146" customFormat="1" x14ac:dyDescent="0.25">
      <c r="A1307" s="196">
        <v>2894</v>
      </c>
      <c r="B1307" s="196" t="s">
        <v>7280</v>
      </c>
      <c r="C1307" s="196" t="s">
        <v>7281</v>
      </c>
      <c r="D1307" s="196" t="s">
        <v>7280</v>
      </c>
      <c r="E1307" s="196" t="s">
        <v>1877</v>
      </c>
      <c r="F1307" s="196">
        <v>2013</v>
      </c>
      <c r="G1307" s="196"/>
      <c r="H1307" s="196" t="s">
        <v>1878</v>
      </c>
      <c r="I1307" s="141" t="s">
        <v>1929</v>
      </c>
      <c r="J1307" s="196"/>
      <c r="K1307" s="196" t="s">
        <v>1881</v>
      </c>
      <c r="L1307" s="141" t="s">
        <v>7282</v>
      </c>
      <c r="M1307" s="196">
        <v>30</v>
      </c>
      <c r="N1307" s="196"/>
      <c r="O1307" s="196" t="s">
        <v>5492</v>
      </c>
      <c r="P1307" s="144">
        <v>54</v>
      </c>
      <c r="Q1307" s="145">
        <f t="shared" si="77"/>
        <v>0.79669999999999996</v>
      </c>
      <c r="R1307" s="203">
        <v>0.49</v>
      </c>
      <c r="S1307" s="203"/>
      <c r="T1307" s="151">
        <v>0.32</v>
      </c>
      <c r="U1307" s="151"/>
      <c r="V1307" s="151">
        <v>0.25</v>
      </c>
      <c r="W1307" s="151">
        <f t="shared" si="76"/>
        <v>0.49</v>
      </c>
      <c r="X1307" s="152">
        <f t="shared" si="74"/>
        <v>5.6700000000000007E-2</v>
      </c>
      <c r="Y1307" s="152"/>
      <c r="Z1307" s="148"/>
      <c r="AA1307" s="153"/>
      <c r="AB1307" s="153"/>
      <c r="AC1307" s="153"/>
      <c r="AD1307" s="153"/>
      <c r="AH1307" s="147"/>
    </row>
    <row r="1308" spans="1:34" s="146" customFormat="1" x14ac:dyDescent="0.25">
      <c r="A1308" s="196">
        <v>2522</v>
      </c>
      <c r="B1308" s="196" t="s">
        <v>7283</v>
      </c>
      <c r="C1308" s="196" t="s">
        <v>7284</v>
      </c>
      <c r="D1308" s="196" t="s">
        <v>1920</v>
      </c>
      <c r="E1308" s="196"/>
      <c r="F1308" s="196">
        <v>2014</v>
      </c>
      <c r="G1308" s="196"/>
      <c r="H1308" s="196" t="s">
        <v>1878</v>
      </c>
      <c r="I1308" s="141" t="s">
        <v>1879</v>
      </c>
      <c r="J1308" s="52" t="s">
        <v>3854</v>
      </c>
      <c r="K1308" s="196" t="s">
        <v>1881</v>
      </c>
      <c r="L1308" s="141" t="s">
        <v>7285</v>
      </c>
      <c r="M1308" s="196">
        <v>512</v>
      </c>
      <c r="N1308" s="196"/>
      <c r="O1308" s="196" t="s">
        <v>5493</v>
      </c>
      <c r="P1308" s="144">
        <v>439</v>
      </c>
      <c r="Q1308" s="145">
        <f t="shared" si="77"/>
        <v>1.8667</v>
      </c>
      <c r="R1308" s="203">
        <v>1.49</v>
      </c>
      <c r="S1308" s="203"/>
      <c r="T1308" s="151">
        <v>0.32</v>
      </c>
      <c r="U1308" s="151"/>
      <c r="V1308" s="151">
        <v>0.25</v>
      </c>
      <c r="W1308" s="151">
        <f t="shared" si="76"/>
        <v>1.49</v>
      </c>
      <c r="X1308" s="152">
        <f t="shared" si="74"/>
        <v>0.12670000000000001</v>
      </c>
      <c r="Y1308" s="152"/>
      <c r="Z1308" s="148"/>
      <c r="AA1308" s="153"/>
      <c r="AB1308" s="153"/>
      <c r="AC1308" s="153"/>
      <c r="AD1308" s="153"/>
      <c r="AH1308" s="147"/>
    </row>
    <row r="1309" spans="1:34" s="146" customFormat="1" x14ac:dyDescent="0.25">
      <c r="A1309" s="196">
        <v>1231</v>
      </c>
      <c r="B1309" s="196" t="s">
        <v>7286</v>
      </c>
      <c r="C1309" s="196" t="s">
        <v>7287</v>
      </c>
      <c r="D1309" s="196" t="s">
        <v>7288</v>
      </c>
      <c r="E1309" s="196"/>
      <c r="F1309" s="196">
        <v>2002</v>
      </c>
      <c r="G1309" s="196"/>
      <c r="H1309" s="196" t="s">
        <v>1878</v>
      </c>
      <c r="I1309" s="141" t="s">
        <v>1914</v>
      </c>
      <c r="J1309" s="196"/>
      <c r="K1309" s="196" t="s">
        <v>1881</v>
      </c>
      <c r="L1309" s="141" t="s">
        <v>7289</v>
      </c>
      <c r="M1309" s="196">
        <v>224</v>
      </c>
      <c r="N1309" s="196"/>
      <c r="O1309" s="196" t="s">
        <v>5494</v>
      </c>
      <c r="P1309" s="144">
        <v>315</v>
      </c>
      <c r="Q1309" s="145">
        <f t="shared" si="77"/>
        <v>5.0767000000000007</v>
      </c>
      <c r="R1309" s="203">
        <v>4.49</v>
      </c>
      <c r="S1309" s="203"/>
      <c r="T1309" s="151">
        <v>0.32</v>
      </c>
      <c r="U1309" s="151"/>
      <c r="V1309" s="151">
        <v>0.25</v>
      </c>
      <c r="W1309" s="151">
        <f t="shared" si="76"/>
        <v>4.49</v>
      </c>
      <c r="X1309" s="152">
        <f t="shared" si="74"/>
        <v>0.3367</v>
      </c>
      <c r="Y1309" s="152"/>
      <c r="Z1309" s="148"/>
      <c r="AA1309" s="153"/>
      <c r="AB1309" s="153"/>
      <c r="AC1309" s="153"/>
      <c r="AD1309" s="153"/>
      <c r="AH1309" s="147"/>
    </row>
    <row r="1310" spans="1:34" s="146" customFormat="1" x14ac:dyDescent="0.25">
      <c r="A1310" s="196">
        <v>692</v>
      </c>
      <c r="B1310" s="196" t="s">
        <v>7290</v>
      </c>
      <c r="C1310" s="196" t="s">
        <v>7291</v>
      </c>
      <c r="D1310" s="196" t="s">
        <v>2609</v>
      </c>
      <c r="E1310" s="196"/>
      <c r="F1310" s="196">
        <v>1999</v>
      </c>
      <c r="G1310" s="196"/>
      <c r="H1310" s="196" t="s">
        <v>1878</v>
      </c>
      <c r="I1310" s="141" t="s">
        <v>1879</v>
      </c>
      <c r="J1310" s="196"/>
      <c r="K1310" s="196" t="s">
        <v>1881</v>
      </c>
      <c r="L1310" s="141" t="s">
        <v>7292</v>
      </c>
      <c r="M1310" s="196">
        <v>288</v>
      </c>
      <c r="N1310" s="196"/>
      <c r="O1310" s="196" t="s">
        <v>5495</v>
      </c>
      <c r="P1310" s="144">
        <v>246</v>
      </c>
      <c r="Q1310" s="145">
        <f t="shared" si="77"/>
        <v>1.2247000000000001</v>
      </c>
      <c r="R1310" s="203">
        <v>0.89</v>
      </c>
      <c r="S1310" s="203"/>
      <c r="T1310" s="151">
        <v>0.32</v>
      </c>
      <c r="U1310" s="151"/>
      <c r="V1310" s="151">
        <v>0.25</v>
      </c>
      <c r="W1310" s="151">
        <f t="shared" si="76"/>
        <v>0.89</v>
      </c>
      <c r="X1310" s="152">
        <f t="shared" si="74"/>
        <v>8.4699999999999998E-2</v>
      </c>
      <c r="Y1310" s="152"/>
      <c r="Z1310" s="148"/>
      <c r="AA1310" s="153"/>
      <c r="AB1310" s="153"/>
      <c r="AC1310" s="153"/>
      <c r="AD1310" s="153"/>
      <c r="AH1310" s="147"/>
    </row>
    <row r="1311" spans="1:34" s="146" customFormat="1" x14ac:dyDescent="0.25">
      <c r="A1311" s="196">
        <v>1231</v>
      </c>
      <c r="B1311" s="196" t="s">
        <v>7293</v>
      </c>
      <c r="C1311" s="196" t="s">
        <v>7294</v>
      </c>
      <c r="D1311" s="196" t="s">
        <v>2394</v>
      </c>
      <c r="E1311" s="196"/>
      <c r="F1311" s="196">
        <v>1995</v>
      </c>
      <c r="G1311" s="196"/>
      <c r="H1311" s="196" t="s">
        <v>2734</v>
      </c>
      <c r="I1311" s="141" t="s">
        <v>1879</v>
      </c>
      <c r="J1311" s="196"/>
      <c r="K1311" s="196" t="s">
        <v>1881</v>
      </c>
      <c r="L1311" s="141" t="s">
        <v>7295</v>
      </c>
      <c r="M1311" s="196">
        <v>258</v>
      </c>
      <c r="N1311" s="196"/>
      <c r="O1311" s="196" t="s">
        <v>5496</v>
      </c>
      <c r="P1311" s="144">
        <v>410</v>
      </c>
      <c r="Q1311" s="145">
        <f t="shared" si="77"/>
        <v>0.79669999999999996</v>
      </c>
      <c r="R1311" s="203">
        <v>0.49</v>
      </c>
      <c r="S1311" s="203"/>
      <c r="T1311" s="151">
        <v>0.32</v>
      </c>
      <c r="U1311" s="151"/>
      <c r="V1311" s="151">
        <v>0.25</v>
      </c>
      <c r="W1311" s="151">
        <f t="shared" si="76"/>
        <v>0.49</v>
      </c>
      <c r="X1311" s="152">
        <f t="shared" si="74"/>
        <v>5.6700000000000007E-2</v>
      </c>
      <c r="Y1311" s="152"/>
      <c r="Z1311" s="148"/>
      <c r="AA1311" s="153"/>
      <c r="AB1311" s="153"/>
      <c r="AC1311" s="153"/>
      <c r="AD1311" s="153"/>
      <c r="AH1311" s="147"/>
    </row>
    <row r="1312" spans="1:34" s="146" customFormat="1" x14ac:dyDescent="0.25">
      <c r="A1312" s="196">
        <v>1395</v>
      </c>
      <c r="B1312" s="196" t="s">
        <v>7296</v>
      </c>
      <c r="C1312" s="196" t="s">
        <v>7297</v>
      </c>
      <c r="D1312" s="196" t="s">
        <v>2257</v>
      </c>
      <c r="E1312" s="196" t="s">
        <v>1921</v>
      </c>
      <c r="F1312" s="196">
        <v>2003</v>
      </c>
      <c r="G1312" s="196"/>
      <c r="H1312" s="196" t="s">
        <v>1878</v>
      </c>
      <c r="I1312" s="141" t="s">
        <v>1914</v>
      </c>
      <c r="J1312" s="196"/>
      <c r="K1312" s="196" t="s">
        <v>1881</v>
      </c>
      <c r="L1312" s="141" t="s">
        <v>7298</v>
      </c>
      <c r="M1312" s="196">
        <v>384</v>
      </c>
      <c r="N1312" s="196"/>
      <c r="O1312" s="196" t="s">
        <v>5497</v>
      </c>
      <c r="P1312" s="144">
        <v>251</v>
      </c>
      <c r="Q1312" s="145">
        <f t="shared" si="77"/>
        <v>0.79669999999999996</v>
      </c>
      <c r="R1312" s="203">
        <v>0.49</v>
      </c>
      <c r="S1312" s="203"/>
      <c r="T1312" s="151">
        <v>0.32</v>
      </c>
      <c r="U1312" s="151"/>
      <c r="V1312" s="151">
        <v>0.25</v>
      </c>
      <c r="W1312" s="151">
        <f t="shared" si="76"/>
        <v>0.49</v>
      </c>
      <c r="X1312" s="152">
        <f t="shared" si="74"/>
        <v>5.6700000000000007E-2</v>
      </c>
      <c r="Y1312" s="152"/>
      <c r="Z1312" s="148"/>
      <c r="AA1312" s="153"/>
      <c r="AB1312" s="153"/>
      <c r="AC1312" s="153"/>
      <c r="AD1312" s="153"/>
      <c r="AH1312" s="147"/>
    </row>
    <row r="1313" spans="1:34" s="146" customFormat="1" x14ac:dyDescent="0.25">
      <c r="A1313" s="196">
        <v>655</v>
      </c>
      <c r="B1313" s="196" t="s">
        <v>7299</v>
      </c>
      <c r="C1313" s="196" t="s">
        <v>7300</v>
      </c>
      <c r="D1313" s="196" t="s">
        <v>7301</v>
      </c>
      <c r="E1313" s="196" t="s">
        <v>1913</v>
      </c>
      <c r="F1313" s="196">
        <v>1999</v>
      </c>
      <c r="G1313" s="196"/>
      <c r="H1313" s="196" t="s">
        <v>2734</v>
      </c>
      <c r="I1313" s="141" t="s">
        <v>1879</v>
      </c>
      <c r="J1313" s="196"/>
      <c r="K1313" s="196" t="s">
        <v>1881</v>
      </c>
      <c r="L1313" s="141" t="s">
        <v>7302</v>
      </c>
      <c r="M1313" s="196">
        <v>146</v>
      </c>
      <c r="N1313" s="196"/>
      <c r="O1313" s="196" t="s">
        <v>5498</v>
      </c>
      <c r="P1313" s="144">
        <v>332</v>
      </c>
      <c r="Q1313" s="145">
        <f t="shared" si="77"/>
        <v>3.2576999999999998</v>
      </c>
      <c r="R1313" s="203">
        <v>2.79</v>
      </c>
      <c r="S1313" s="203"/>
      <c r="T1313" s="151">
        <v>0.32</v>
      </c>
      <c r="U1313" s="151"/>
      <c r="V1313" s="151">
        <v>0.25</v>
      </c>
      <c r="W1313" s="151">
        <f t="shared" si="76"/>
        <v>2.79</v>
      </c>
      <c r="X1313" s="152">
        <f t="shared" si="74"/>
        <v>0.2177</v>
      </c>
      <c r="Y1313" s="152"/>
      <c r="Z1313" s="148"/>
      <c r="AA1313" s="153"/>
      <c r="AB1313" s="153"/>
      <c r="AC1313" s="153"/>
      <c r="AD1313" s="153"/>
      <c r="AH1313" s="147"/>
    </row>
    <row r="1314" spans="1:34" s="146" customFormat="1" x14ac:dyDescent="0.25">
      <c r="A1314" s="196">
        <v>765</v>
      </c>
      <c r="B1314" s="196" t="s">
        <v>7303</v>
      </c>
      <c r="C1314" s="196" t="s">
        <v>7304</v>
      </c>
      <c r="D1314" s="196" t="s">
        <v>4841</v>
      </c>
      <c r="E1314" s="196"/>
      <c r="F1314" s="196">
        <v>2011</v>
      </c>
      <c r="G1314" s="196"/>
      <c r="H1314" s="196" t="s">
        <v>2734</v>
      </c>
      <c r="I1314" s="141" t="s">
        <v>1929</v>
      </c>
      <c r="J1314" s="52" t="s">
        <v>3854</v>
      </c>
      <c r="K1314" s="196" t="s">
        <v>1881</v>
      </c>
      <c r="L1314" s="141" t="s">
        <v>7305</v>
      </c>
      <c r="M1314" s="196">
        <v>422</v>
      </c>
      <c r="N1314" s="196"/>
      <c r="O1314" s="196" t="s">
        <v>5499</v>
      </c>
      <c r="P1314" s="144">
        <v>685</v>
      </c>
      <c r="Q1314" s="145">
        <f t="shared" si="77"/>
        <v>4.0067000000000004</v>
      </c>
      <c r="R1314" s="203">
        <v>3.49</v>
      </c>
      <c r="S1314" s="203"/>
      <c r="T1314" s="151">
        <v>0.32</v>
      </c>
      <c r="U1314" s="151"/>
      <c r="V1314" s="151">
        <v>0.25</v>
      </c>
      <c r="W1314" s="151">
        <f t="shared" si="76"/>
        <v>3.49</v>
      </c>
      <c r="X1314" s="152">
        <f t="shared" si="74"/>
        <v>0.26669999999999999</v>
      </c>
      <c r="Y1314" s="152"/>
      <c r="Z1314" s="148"/>
      <c r="AA1314" s="153"/>
      <c r="AB1314" s="153"/>
      <c r="AC1314" s="153"/>
      <c r="AD1314" s="153"/>
      <c r="AH1314" s="147"/>
    </row>
    <row r="1315" spans="1:34" s="146" customFormat="1" x14ac:dyDescent="0.25">
      <c r="A1315" s="196">
        <v>632</v>
      </c>
      <c r="B1315" s="196" t="s">
        <v>7306</v>
      </c>
      <c r="C1315" s="196" t="s">
        <v>7307</v>
      </c>
      <c r="D1315" s="196" t="s">
        <v>3223</v>
      </c>
      <c r="E1315" s="196"/>
      <c r="F1315" s="196">
        <v>2009</v>
      </c>
      <c r="G1315" s="196"/>
      <c r="H1315" s="196" t="s">
        <v>2734</v>
      </c>
      <c r="I1315" s="141" t="s">
        <v>1879</v>
      </c>
      <c r="J1315" s="196" t="s">
        <v>7308</v>
      </c>
      <c r="K1315" s="196" t="s">
        <v>1881</v>
      </c>
      <c r="L1315" s="141"/>
      <c r="M1315" s="196">
        <v>298</v>
      </c>
      <c r="N1315" s="196"/>
      <c r="O1315" s="196" t="s">
        <v>5500</v>
      </c>
      <c r="P1315" s="144">
        <v>337</v>
      </c>
      <c r="Q1315" s="145">
        <f t="shared" si="77"/>
        <v>0.79669999999999996</v>
      </c>
      <c r="R1315" s="203">
        <v>0.49</v>
      </c>
      <c r="S1315" s="203"/>
      <c r="T1315" s="151">
        <v>0.32</v>
      </c>
      <c r="U1315" s="151"/>
      <c r="V1315" s="151">
        <v>0.25</v>
      </c>
      <c r="W1315" s="151">
        <f t="shared" si="76"/>
        <v>0.49</v>
      </c>
      <c r="X1315" s="152">
        <f t="shared" si="74"/>
        <v>5.6700000000000007E-2</v>
      </c>
      <c r="Y1315" s="152"/>
      <c r="Z1315" s="148"/>
      <c r="AA1315" s="153"/>
      <c r="AB1315" s="153"/>
      <c r="AC1315" s="153"/>
      <c r="AD1315" s="153"/>
      <c r="AH1315" s="147"/>
    </row>
    <row r="1316" spans="1:34" s="146" customFormat="1" x14ac:dyDescent="0.25">
      <c r="A1316" s="196">
        <v>1928</v>
      </c>
      <c r="B1316" s="196" t="s">
        <v>7309</v>
      </c>
      <c r="C1316" s="196" t="s">
        <v>7310</v>
      </c>
      <c r="D1316" s="196" t="s">
        <v>1988</v>
      </c>
      <c r="E1316" s="196"/>
      <c r="F1316" s="196">
        <v>1997</v>
      </c>
      <c r="G1316" s="196"/>
      <c r="H1316" s="196" t="s">
        <v>1878</v>
      </c>
      <c r="I1316" s="141" t="s">
        <v>1914</v>
      </c>
      <c r="J1316" s="196"/>
      <c r="K1316" s="196" t="s">
        <v>1881</v>
      </c>
      <c r="L1316" s="141" t="s">
        <v>7311</v>
      </c>
      <c r="M1316" s="196">
        <v>216</v>
      </c>
      <c r="N1316" s="196"/>
      <c r="O1316" s="196" t="s">
        <v>5501</v>
      </c>
      <c r="P1316" s="144">
        <v>197</v>
      </c>
      <c r="Q1316" s="145">
        <f t="shared" si="77"/>
        <v>0.79669999999999996</v>
      </c>
      <c r="R1316" s="203">
        <v>0.49</v>
      </c>
      <c r="S1316" s="203"/>
      <c r="T1316" s="151">
        <v>0.32</v>
      </c>
      <c r="U1316" s="151"/>
      <c r="V1316" s="151">
        <v>0.25</v>
      </c>
      <c r="W1316" s="151">
        <f t="shared" si="76"/>
        <v>0.49</v>
      </c>
      <c r="X1316" s="152">
        <f t="shared" si="74"/>
        <v>5.6700000000000007E-2</v>
      </c>
      <c r="Y1316" s="152"/>
      <c r="Z1316" s="148"/>
      <c r="AA1316" s="153"/>
      <c r="AB1316" s="153"/>
      <c r="AC1316" s="153"/>
      <c r="AD1316" s="153"/>
      <c r="AH1316" s="147"/>
    </row>
    <row r="1317" spans="1:34" s="146" customFormat="1" x14ac:dyDescent="0.25">
      <c r="A1317" s="196">
        <v>774</v>
      </c>
      <c r="B1317" s="196" t="s">
        <v>7312</v>
      </c>
      <c r="C1317" s="196" t="s">
        <v>7313</v>
      </c>
      <c r="D1317" s="196" t="s">
        <v>2209</v>
      </c>
      <c r="E1317" s="196" t="s">
        <v>2922</v>
      </c>
      <c r="F1317" s="196">
        <v>1990</v>
      </c>
      <c r="G1317" s="196"/>
      <c r="H1317" s="196" t="s">
        <v>1878</v>
      </c>
      <c r="I1317" s="141" t="s">
        <v>1879</v>
      </c>
      <c r="J1317" s="196" t="s">
        <v>7314</v>
      </c>
      <c r="K1317" s="196" t="s">
        <v>1881</v>
      </c>
      <c r="L1317" s="141" t="s">
        <v>7315</v>
      </c>
      <c r="M1317" s="196">
        <v>176</v>
      </c>
      <c r="N1317" s="196"/>
      <c r="O1317" s="196" t="s">
        <v>5502</v>
      </c>
      <c r="P1317" s="144">
        <v>242</v>
      </c>
      <c r="Q1317" s="145">
        <f t="shared" si="77"/>
        <v>0.79669999999999996</v>
      </c>
      <c r="R1317" s="203">
        <v>0.49</v>
      </c>
      <c r="S1317" s="203"/>
      <c r="T1317" s="151">
        <v>0.32</v>
      </c>
      <c r="U1317" s="151"/>
      <c r="V1317" s="151">
        <v>0.25</v>
      </c>
      <c r="W1317" s="151">
        <f t="shared" si="76"/>
        <v>0.49</v>
      </c>
      <c r="X1317" s="152">
        <f t="shared" si="74"/>
        <v>5.6700000000000007E-2</v>
      </c>
      <c r="Y1317" s="152"/>
      <c r="Z1317" s="148"/>
      <c r="AA1317" s="153"/>
      <c r="AB1317" s="153"/>
      <c r="AC1317" s="153"/>
      <c r="AD1317" s="153"/>
      <c r="AH1317" s="147"/>
    </row>
    <row r="1318" spans="1:34" s="146" customFormat="1" x14ac:dyDescent="0.25">
      <c r="A1318" s="196">
        <v>607</v>
      </c>
      <c r="B1318" s="196" t="s">
        <v>6245</v>
      </c>
      <c r="C1318" s="196" t="s">
        <v>7316</v>
      </c>
      <c r="D1318" s="196" t="s">
        <v>2309</v>
      </c>
      <c r="E1318" s="196" t="s">
        <v>1913</v>
      </c>
      <c r="F1318" s="196">
        <v>2011</v>
      </c>
      <c r="G1318" s="196"/>
      <c r="H1318" s="196" t="s">
        <v>1878</v>
      </c>
      <c r="I1318" s="141" t="s">
        <v>1879</v>
      </c>
      <c r="J1318" s="196" t="s">
        <v>2237</v>
      </c>
      <c r="K1318" s="196" t="s">
        <v>1881</v>
      </c>
      <c r="L1318" s="141" t="s">
        <v>7317</v>
      </c>
      <c r="M1318" s="196">
        <v>224</v>
      </c>
      <c r="N1318" s="196"/>
      <c r="O1318" s="196" t="s">
        <v>5503</v>
      </c>
      <c r="P1318" s="144">
        <v>247</v>
      </c>
      <c r="Q1318" s="145">
        <f t="shared" si="77"/>
        <v>0.79669999999999996</v>
      </c>
      <c r="R1318" s="203">
        <v>0.49</v>
      </c>
      <c r="S1318" s="203"/>
      <c r="T1318" s="151">
        <v>0.32</v>
      </c>
      <c r="U1318" s="151"/>
      <c r="V1318" s="151">
        <v>0.25</v>
      </c>
      <c r="W1318" s="151">
        <f t="shared" si="76"/>
        <v>0.49</v>
      </c>
      <c r="X1318" s="152">
        <f t="shared" si="74"/>
        <v>5.6700000000000007E-2</v>
      </c>
      <c r="Y1318" s="152"/>
      <c r="Z1318" s="148"/>
      <c r="AA1318" s="153"/>
      <c r="AB1318" s="153"/>
      <c r="AC1318" s="153"/>
      <c r="AD1318" s="153"/>
      <c r="AH1318" s="147"/>
    </row>
    <row r="1319" spans="1:34" s="146" customFormat="1" x14ac:dyDescent="0.25">
      <c r="A1319" s="196">
        <v>1386</v>
      </c>
      <c r="B1319" s="196" t="s">
        <v>7318</v>
      </c>
      <c r="C1319" s="196" t="s">
        <v>7319</v>
      </c>
      <c r="D1319" s="196" t="s">
        <v>1912</v>
      </c>
      <c r="E1319" s="196" t="s">
        <v>1913</v>
      </c>
      <c r="F1319" s="196">
        <v>1989</v>
      </c>
      <c r="G1319" s="196"/>
      <c r="H1319" s="196" t="s">
        <v>1878</v>
      </c>
      <c r="I1319" s="141" t="s">
        <v>1879</v>
      </c>
      <c r="J1319" s="196"/>
      <c r="K1319" s="196" t="s">
        <v>1881</v>
      </c>
      <c r="L1319" s="141" t="s">
        <v>7320</v>
      </c>
      <c r="M1319" s="196">
        <v>640</v>
      </c>
      <c r="N1319" s="196"/>
      <c r="O1319" s="196" t="s">
        <v>5504</v>
      </c>
      <c r="P1319" s="144">
        <v>411</v>
      </c>
      <c r="Q1319" s="145">
        <f t="shared" si="77"/>
        <v>0.79669999999999996</v>
      </c>
      <c r="R1319" s="203">
        <v>0.49</v>
      </c>
      <c r="S1319" s="203"/>
      <c r="T1319" s="151">
        <v>0.32</v>
      </c>
      <c r="U1319" s="151"/>
      <c r="V1319" s="151">
        <v>0.25</v>
      </c>
      <c r="W1319" s="151">
        <f t="shared" si="76"/>
        <v>0.49</v>
      </c>
      <c r="X1319" s="152">
        <f t="shared" si="74"/>
        <v>5.6700000000000007E-2</v>
      </c>
      <c r="Y1319" s="152"/>
      <c r="Z1319" s="148"/>
      <c r="AA1319" s="153"/>
      <c r="AB1319" s="153"/>
      <c r="AC1319" s="153"/>
      <c r="AD1319" s="153"/>
      <c r="AH1319" s="147"/>
    </row>
    <row r="1320" spans="1:34" s="146" customFormat="1" x14ac:dyDescent="0.25">
      <c r="A1320" s="196">
        <v>1231</v>
      </c>
      <c r="B1320" s="196" t="s">
        <v>7321</v>
      </c>
      <c r="C1320" s="196" t="s">
        <v>7322</v>
      </c>
      <c r="D1320" s="196" t="s">
        <v>1920</v>
      </c>
      <c r="E1320" s="196"/>
      <c r="F1320" s="196">
        <v>1993</v>
      </c>
      <c r="G1320" s="196"/>
      <c r="H1320" s="196" t="s">
        <v>1878</v>
      </c>
      <c r="I1320" s="141" t="s">
        <v>1914</v>
      </c>
      <c r="J1320" s="196"/>
      <c r="K1320" s="196" t="s">
        <v>1881</v>
      </c>
      <c r="L1320" s="141" t="s">
        <v>7323</v>
      </c>
      <c r="M1320" s="196">
        <v>736</v>
      </c>
      <c r="N1320" s="196"/>
      <c r="O1320" s="196" t="s">
        <v>5505</v>
      </c>
      <c r="P1320" s="144">
        <v>571</v>
      </c>
      <c r="Q1320" s="145">
        <f t="shared" si="77"/>
        <v>1.8667</v>
      </c>
      <c r="R1320" s="203">
        <v>1.49</v>
      </c>
      <c r="S1320" s="203"/>
      <c r="T1320" s="151">
        <v>0.32</v>
      </c>
      <c r="U1320" s="151"/>
      <c r="V1320" s="151">
        <v>0.25</v>
      </c>
      <c r="W1320" s="151">
        <f t="shared" si="76"/>
        <v>1.49</v>
      </c>
      <c r="X1320" s="152">
        <f t="shared" si="74"/>
        <v>0.12670000000000001</v>
      </c>
      <c r="Y1320" s="152"/>
      <c r="Z1320" s="148"/>
      <c r="AA1320" s="153"/>
      <c r="AB1320" s="153"/>
      <c r="AC1320" s="153"/>
      <c r="AD1320" s="153"/>
      <c r="AH1320" s="147"/>
    </row>
    <row r="1321" spans="1:34" s="146" customFormat="1" x14ac:dyDescent="0.25">
      <c r="A1321" s="196">
        <v>2851</v>
      </c>
      <c r="B1321" s="196" t="s">
        <v>7324</v>
      </c>
      <c r="C1321" s="196" t="s">
        <v>7325</v>
      </c>
      <c r="D1321" s="196" t="s">
        <v>1920</v>
      </c>
      <c r="E1321" s="196"/>
      <c r="F1321" s="196">
        <v>2014</v>
      </c>
      <c r="G1321" s="196"/>
      <c r="H1321" s="196" t="s">
        <v>1878</v>
      </c>
      <c r="I1321" s="141" t="s">
        <v>1929</v>
      </c>
      <c r="J1321" s="52" t="s">
        <v>3854</v>
      </c>
      <c r="K1321" s="196" t="s">
        <v>1881</v>
      </c>
      <c r="L1321" s="141" t="s">
        <v>7326</v>
      </c>
      <c r="M1321" s="196">
        <v>464</v>
      </c>
      <c r="N1321" s="196"/>
      <c r="O1321" s="196" t="s">
        <v>5506</v>
      </c>
      <c r="P1321" s="144">
        <v>451</v>
      </c>
      <c r="Q1321" s="145">
        <f t="shared" si="77"/>
        <v>1.3317000000000001</v>
      </c>
      <c r="R1321" s="203">
        <v>0.99</v>
      </c>
      <c r="S1321" s="203"/>
      <c r="T1321" s="151">
        <v>0.32</v>
      </c>
      <c r="U1321" s="151"/>
      <c r="V1321" s="151">
        <v>0.25</v>
      </c>
      <c r="W1321" s="151">
        <f t="shared" si="76"/>
        <v>0.99</v>
      </c>
      <c r="X1321" s="152">
        <f t="shared" si="74"/>
        <v>9.1700000000000004E-2</v>
      </c>
      <c r="Y1321" s="152"/>
      <c r="Z1321" s="148"/>
      <c r="AA1321" s="153"/>
      <c r="AB1321" s="153"/>
      <c r="AC1321" s="153"/>
      <c r="AD1321" s="153"/>
      <c r="AH1321" s="147"/>
    </row>
    <row r="1322" spans="1:34" s="146" customFormat="1" x14ac:dyDescent="0.25">
      <c r="A1322" s="196">
        <v>2522</v>
      </c>
      <c r="B1322" s="196" t="s">
        <v>7327</v>
      </c>
      <c r="C1322" s="196" t="s">
        <v>7328</v>
      </c>
      <c r="D1322" s="196" t="s">
        <v>2309</v>
      </c>
      <c r="E1322" s="196" t="s">
        <v>1877</v>
      </c>
      <c r="F1322" s="196">
        <v>2003</v>
      </c>
      <c r="G1322" s="196"/>
      <c r="H1322" s="196" t="s">
        <v>1878</v>
      </c>
      <c r="I1322" s="141" t="s">
        <v>1879</v>
      </c>
      <c r="J1322" s="52" t="s">
        <v>3854</v>
      </c>
      <c r="K1322" s="196" t="s">
        <v>1881</v>
      </c>
      <c r="L1322" s="141" t="s">
        <v>7329</v>
      </c>
      <c r="M1322" s="196">
        <v>512</v>
      </c>
      <c r="N1322" s="196"/>
      <c r="O1322" s="196" t="s">
        <v>5507</v>
      </c>
      <c r="P1322" s="144">
        <v>348</v>
      </c>
      <c r="Q1322" s="145">
        <f t="shared" si="77"/>
        <v>1.3317000000000001</v>
      </c>
      <c r="R1322" s="203">
        <v>0.99</v>
      </c>
      <c r="S1322" s="203"/>
      <c r="T1322" s="151">
        <v>0.32</v>
      </c>
      <c r="U1322" s="151"/>
      <c r="V1322" s="151">
        <v>0.25</v>
      </c>
      <c r="W1322" s="151">
        <f t="shared" si="76"/>
        <v>0.99</v>
      </c>
      <c r="X1322" s="152">
        <f t="shared" si="74"/>
        <v>9.1700000000000004E-2</v>
      </c>
      <c r="Y1322" s="152"/>
      <c r="Z1322" s="148"/>
      <c r="AA1322" s="153"/>
      <c r="AB1322" s="153"/>
      <c r="AC1322" s="153"/>
      <c r="AD1322" s="153"/>
      <c r="AH1322" s="147"/>
    </row>
    <row r="1323" spans="1:34" s="146" customFormat="1" x14ac:dyDescent="0.25">
      <c r="A1323" s="196">
        <v>634</v>
      </c>
      <c r="B1323" s="196" t="s">
        <v>7330</v>
      </c>
      <c r="C1323" s="196" t="s">
        <v>7331</v>
      </c>
      <c r="D1323" s="196" t="s">
        <v>7332</v>
      </c>
      <c r="E1323" s="196" t="s">
        <v>1913</v>
      </c>
      <c r="F1323" s="196">
        <v>2012</v>
      </c>
      <c r="G1323" s="196"/>
      <c r="H1323" s="196" t="s">
        <v>2734</v>
      </c>
      <c r="I1323" s="141" t="s">
        <v>1929</v>
      </c>
      <c r="J1323" s="196"/>
      <c r="K1323" s="196" t="s">
        <v>1881</v>
      </c>
      <c r="L1323" s="141" t="s">
        <v>7333</v>
      </c>
      <c r="M1323" s="196">
        <v>498</v>
      </c>
      <c r="N1323" s="196"/>
      <c r="O1323" s="196" t="s">
        <v>5508</v>
      </c>
      <c r="P1323" s="144">
        <v>804</v>
      </c>
      <c r="Q1323" s="145">
        <f t="shared" si="77"/>
        <v>2.2946999999999997</v>
      </c>
      <c r="R1323" s="203">
        <v>1.89</v>
      </c>
      <c r="S1323" s="203"/>
      <c r="T1323" s="151">
        <v>0.32</v>
      </c>
      <c r="U1323" s="151"/>
      <c r="V1323" s="151">
        <v>0.25</v>
      </c>
      <c r="W1323" s="151">
        <f t="shared" si="76"/>
        <v>1.89</v>
      </c>
      <c r="X1323" s="152">
        <f t="shared" si="74"/>
        <v>0.15469999999999998</v>
      </c>
      <c r="Y1323" s="152"/>
      <c r="Z1323" s="148"/>
      <c r="AA1323" s="153"/>
      <c r="AB1323" s="153"/>
      <c r="AC1323" s="153"/>
      <c r="AD1323" s="153"/>
      <c r="AH1323" s="147"/>
    </row>
    <row r="1324" spans="1:34" s="146" customFormat="1" x14ac:dyDescent="0.25">
      <c r="A1324" s="196">
        <v>1386</v>
      </c>
      <c r="B1324" s="196" t="s">
        <v>7334</v>
      </c>
      <c r="C1324" s="196" t="s">
        <v>7335</v>
      </c>
      <c r="D1324" s="196" t="s">
        <v>2300</v>
      </c>
      <c r="E1324" s="196"/>
      <c r="F1324" s="196">
        <v>1993</v>
      </c>
      <c r="G1324" s="196"/>
      <c r="H1324" s="196" t="s">
        <v>2734</v>
      </c>
      <c r="I1324" s="141" t="s">
        <v>1879</v>
      </c>
      <c r="J1324" s="196"/>
      <c r="K1324" s="196" t="s">
        <v>1881</v>
      </c>
      <c r="L1324" s="141" t="s">
        <v>7336</v>
      </c>
      <c r="M1324" s="196">
        <v>706</v>
      </c>
      <c r="N1324" s="196"/>
      <c r="O1324" s="196" t="s">
        <v>5509</v>
      </c>
      <c r="P1324" s="144">
        <v>967</v>
      </c>
      <c r="Q1324" s="145">
        <f t="shared" si="77"/>
        <v>0.79669999999999996</v>
      </c>
      <c r="R1324" s="203">
        <v>0.49</v>
      </c>
      <c r="S1324" s="203"/>
      <c r="T1324" s="151">
        <v>0.32</v>
      </c>
      <c r="U1324" s="151"/>
      <c r="V1324" s="151">
        <v>0.25</v>
      </c>
      <c r="W1324" s="151">
        <f t="shared" si="76"/>
        <v>0.49</v>
      </c>
      <c r="X1324" s="152">
        <f t="shared" si="74"/>
        <v>5.6700000000000007E-2</v>
      </c>
      <c r="Y1324" s="152"/>
      <c r="Z1324" s="148"/>
      <c r="AA1324" s="153"/>
      <c r="AB1324" s="153"/>
      <c r="AC1324" s="153"/>
      <c r="AD1324" s="153"/>
      <c r="AH1324" s="147"/>
    </row>
    <row r="1325" spans="1:34" s="146" customFormat="1" x14ac:dyDescent="0.25">
      <c r="A1325" s="196">
        <v>613</v>
      </c>
      <c r="B1325" s="196" t="s">
        <v>7337</v>
      </c>
      <c r="C1325" s="196" t="s">
        <v>7338</v>
      </c>
      <c r="D1325" s="196" t="s">
        <v>2054</v>
      </c>
      <c r="E1325" s="196" t="s">
        <v>2094</v>
      </c>
      <c r="F1325" s="196">
        <v>2003</v>
      </c>
      <c r="G1325" s="196"/>
      <c r="H1325" s="196" t="s">
        <v>1878</v>
      </c>
      <c r="I1325" s="141" t="s">
        <v>1879</v>
      </c>
      <c r="J1325" s="196"/>
      <c r="K1325" s="196" t="s">
        <v>1881</v>
      </c>
      <c r="L1325" s="141" t="s">
        <v>7339</v>
      </c>
      <c r="M1325" s="196">
        <v>336</v>
      </c>
      <c r="N1325" s="196"/>
      <c r="O1325" s="196" t="s">
        <v>5510</v>
      </c>
      <c r="P1325" s="144">
        <v>389</v>
      </c>
      <c r="Q1325" s="145">
        <f t="shared" si="77"/>
        <v>0.79669999999999996</v>
      </c>
      <c r="R1325" s="203">
        <v>0.49</v>
      </c>
      <c r="S1325" s="203"/>
      <c r="T1325" s="151">
        <v>0.32</v>
      </c>
      <c r="U1325" s="151"/>
      <c r="V1325" s="151">
        <v>0.25</v>
      </c>
      <c r="W1325" s="151">
        <f t="shared" si="76"/>
        <v>0.49</v>
      </c>
      <c r="X1325" s="152">
        <f t="shared" si="74"/>
        <v>5.6700000000000007E-2</v>
      </c>
      <c r="Y1325" s="152"/>
      <c r="Z1325" s="148"/>
      <c r="AA1325" s="153"/>
      <c r="AB1325" s="153"/>
      <c r="AC1325" s="153"/>
      <c r="AD1325" s="153"/>
      <c r="AH1325" s="147"/>
    </row>
    <row r="1326" spans="1:34" s="146" customFormat="1" x14ac:dyDescent="0.25">
      <c r="A1326" s="196">
        <v>632</v>
      </c>
      <c r="B1326" s="196" t="s">
        <v>7343</v>
      </c>
      <c r="C1326" s="196" t="s">
        <v>7344</v>
      </c>
      <c r="D1326" s="196" t="s">
        <v>2209</v>
      </c>
      <c r="E1326" s="196" t="s">
        <v>1877</v>
      </c>
      <c r="F1326" s="196">
        <v>1991</v>
      </c>
      <c r="G1326" s="196"/>
      <c r="H1326" s="196" t="s">
        <v>1878</v>
      </c>
      <c r="I1326" s="141" t="s">
        <v>1914</v>
      </c>
      <c r="J1326" s="196"/>
      <c r="K1326" s="196" t="s">
        <v>1881</v>
      </c>
      <c r="L1326" s="141" t="s">
        <v>7345</v>
      </c>
      <c r="M1326" s="196">
        <v>432</v>
      </c>
      <c r="N1326" s="196"/>
      <c r="O1326" s="196" t="s">
        <v>5512</v>
      </c>
      <c r="P1326" s="144">
        <v>286</v>
      </c>
      <c r="Q1326" s="145">
        <f t="shared" si="77"/>
        <v>1.0106999999999999</v>
      </c>
      <c r="R1326" s="203">
        <v>0.69</v>
      </c>
      <c r="S1326" s="203"/>
      <c r="T1326" s="151">
        <v>0.32</v>
      </c>
      <c r="U1326" s="151"/>
      <c r="V1326" s="151">
        <v>0.25</v>
      </c>
      <c r="W1326" s="151">
        <f t="shared" si="76"/>
        <v>0.69</v>
      </c>
      <c r="X1326" s="152">
        <f t="shared" si="74"/>
        <v>7.0699999999999999E-2</v>
      </c>
      <c r="Y1326" s="152"/>
      <c r="Z1326" s="148"/>
      <c r="AA1326" s="153"/>
      <c r="AB1326" s="153"/>
      <c r="AC1326" s="153"/>
      <c r="AD1326" s="153"/>
      <c r="AH1326" s="147"/>
    </row>
    <row r="1327" spans="1:34" s="146" customFormat="1" x14ac:dyDescent="0.25">
      <c r="A1327" s="196">
        <v>1386</v>
      </c>
      <c r="B1327" s="196" t="s">
        <v>7346</v>
      </c>
      <c r="C1327" s="196" t="s">
        <v>7347</v>
      </c>
      <c r="D1327" s="196" t="s">
        <v>1920</v>
      </c>
      <c r="E1327" s="196" t="s">
        <v>1877</v>
      </c>
      <c r="F1327" s="196">
        <v>1989</v>
      </c>
      <c r="G1327" s="196"/>
      <c r="H1327" s="196" t="s">
        <v>1878</v>
      </c>
      <c r="I1327" s="141" t="s">
        <v>1914</v>
      </c>
      <c r="J1327" s="196"/>
      <c r="K1327" s="196" t="s">
        <v>1881</v>
      </c>
      <c r="L1327" s="141" t="s">
        <v>7348</v>
      </c>
      <c r="M1327" s="196">
        <v>608</v>
      </c>
      <c r="N1327" s="196"/>
      <c r="O1327" s="196" t="s">
        <v>5513</v>
      </c>
      <c r="P1327" s="144">
        <v>335</v>
      </c>
      <c r="Q1327" s="145">
        <f t="shared" si="77"/>
        <v>0.79669999999999996</v>
      </c>
      <c r="R1327" s="203">
        <v>0.49</v>
      </c>
      <c r="S1327" s="203"/>
      <c r="T1327" s="151">
        <v>0.32</v>
      </c>
      <c r="U1327" s="151"/>
      <c r="V1327" s="151">
        <v>0.25</v>
      </c>
      <c r="W1327" s="151">
        <f t="shared" si="76"/>
        <v>0.49</v>
      </c>
      <c r="X1327" s="152">
        <f t="shared" si="74"/>
        <v>5.6700000000000007E-2</v>
      </c>
      <c r="Y1327" s="152"/>
      <c r="Z1327" s="148"/>
      <c r="AA1327" s="153"/>
      <c r="AB1327" s="153"/>
      <c r="AC1327" s="153"/>
      <c r="AD1327" s="153"/>
      <c r="AH1327" s="147"/>
    </row>
    <row r="1328" spans="1:34" s="146" customFormat="1" x14ac:dyDescent="0.25">
      <c r="A1328" s="196">
        <v>2522</v>
      </c>
      <c r="B1328" s="196" t="s">
        <v>7349</v>
      </c>
      <c r="C1328" s="196" t="s">
        <v>7350</v>
      </c>
      <c r="D1328" s="196" t="s">
        <v>2209</v>
      </c>
      <c r="E1328" s="196" t="s">
        <v>2375</v>
      </c>
      <c r="F1328" s="196">
        <v>1995</v>
      </c>
      <c r="G1328" s="196"/>
      <c r="H1328" s="196" t="s">
        <v>1878</v>
      </c>
      <c r="I1328" s="141" t="s">
        <v>1914</v>
      </c>
      <c r="J1328" s="196"/>
      <c r="K1328" s="196" t="s">
        <v>1881</v>
      </c>
      <c r="L1328" s="141" t="s">
        <v>7351</v>
      </c>
      <c r="M1328" s="196">
        <v>576</v>
      </c>
      <c r="N1328" s="196"/>
      <c r="O1328" s="196" t="s">
        <v>5514</v>
      </c>
      <c r="P1328" s="144">
        <v>320</v>
      </c>
      <c r="Q1328" s="145">
        <f t="shared" si="77"/>
        <v>1.3317000000000001</v>
      </c>
      <c r="R1328" s="203">
        <v>0.99</v>
      </c>
      <c r="S1328" s="203"/>
      <c r="T1328" s="151">
        <v>0.32</v>
      </c>
      <c r="U1328" s="151"/>
      <c r="V1328" s="151">
        <v>0.25</v>
      </c>
      <c r="W1328" s="151">
        <f t="shared" si="76"/>
        <v>0.99</v>
      </c>
      <c r="X1328" s="152">
        <f t="shared" si="74"/>
        <v>9.1700000000000004E-2</v>
      </c>
      <c r="Y1328" s="152"/>
      <c r="Z1328" s="148"/>
      <c r="AA1328" s="153"/>
      <c r="AB1328" s="153"/>
      <c r="AC1328" s="153"/>
      <c r="AD1328" s="153"/>
      <c r="AH1328" s="147"/>
    </row>
    <row r="1329" spans="1:34" s="146" customFormat="1" x14ac:dyDescent="0.25">
      <c r="A1329" s="196">
        <v>1721</v>
      </c>
      <c r="B1329" s="196" t="s">
        <v>7352</v>
      </c>
      <c r="C1329" s="196" t="s">
        <v>7353</v>
      </c>
      <c r="D1329" s="196" t="s">
        <v>2309</v>
      </c>
      <c r="E1329" s="196"/>
      <c r="F1329" s="196">
        <v>1963</v>
      </c>
      <c r="G1329" s="196"/>
      <c r="H1329" s="196" t="s">
        <v>1878</v>
      </c>
      <c r="I1329" s="141" t="s">
        <v>6422</v>
      </c>
      <c r="J1329" s="196"/>
      <c r="K1329" s="196" t="s">
        <v>1881</v>
      </c>
      <c r="L1329" s="141"/>
      <c r="M1329" s="196">
        <v>272</v>
      </c>
      <c r="N1329" s="196"/>
      <c r="O1329" s="196" t="s">
        <v>5515</v>
      </c>
      <c r="P1329" s="144">
        <v>192</v>
      </c>
      <c r="Q1329" s="145">
        <f t="shared" si="77"/>
        <v>0.79669999999999996</v>
      </c>
      <c r="R1329" s="203">
        <v>0.49</v>
      </c>
      <c r="S1329" s="203"/>
      <c r="T1329" s="151">
        <v>0.32</v>
      </c>
      <c r="U1329" s="151"/>
      <c r="V1329" s="151">
        <v>0.25</v>
      </c>
      <c r="W1329" s="151">
        <f t="shared" si="76"/>
        <v>0.49</v>
      </c>
      <c r="X1329" s="152">
        <f t="shared" si="74"/>
        <v>5.6700000000000007E-2</v>
      </c>
      <c r="Y1329" s="152"/>
      <c r="Z1329" s="148"/>
      <c r="AA1329" s="153"/>
      <c r="AB1329" s="153"/>
      <c r="AC1329" s="153"/>
      <c r="AD1329" s="153"/>
      <c r="AH1329" s="147"/>
    </row>
    <row r="1330" spans="1:34" s="146" customFormat="1" x14ac:dyDescent="0.25">
      <c r="A1330" s="196">
        <v>2547</v>
      </c>
      <c r="B1330" s="196" t="s">
        <v>4071</v>
      </c>
      <c r="C1330" s="196" t="s">
        <v>7354</v>
      </c>
      <c r="D1330" s="196" t="s">
        <v>7355</v>
      </c>
      <c r="E1330" s="196" t="s">
        <v>2055</v>
      </c>
      <c r="F1330" s="196">
        <v>2003</v>
      </c>
      <c r="G1330" s="196"/>
      <c r="H1330" s="196" t="s">
        <v>1878</v>
      </c>
      <c r="I1330" s="141" t="s">
        <v>1879</v>
      </c>
      <c r="J1330" s="196" t="s">
        <v>7314</v>
      </c>
      <c r="K1330" s="196" t="s">
        <v>1881</v>
      </c>
      <c r="L1330" s="141"/>
      <c r="M1330" s="196">
        <v>482</v>
      </c>
      <c r="N1330" s="196"/>
      <c r="O1330" s="196" t="s">
        <v>5516</v>
      </c>
      <c r="P1330" s="144">
        <v>404</v>
      </c>
      <c r="Q1330" s="145">
        <f t="shared" si="77"/>
        <v>0.79669999999999996</v>
      </c>
      <c r="R1330" s="203">
        <v>0.49</v>
      </c>
      <c r="S1330" s="203"/>
      <c r="T1330" s="151">
        <v>0.32</v>
      </c>
      <c r="U1330" s="151"/>
      <c r="V1330" s="151">
        <v>0.25</v>
      </c>
      <c r="W1330" s="151">
        <f t="shared" si="76"/>
        <v>0.49</v>
      </c>
      <c r="X1330" s="152">
        <f t="shared" si="74"/>
        <v>5.6700000000000007E-2</v>
      </c>
      <c r="Y1330" s="152"/>
      <c r="Z1330" s="148"/>
      <c r="AA1330" s="153"/>
      <c r="AB1330" s="153"/>
      <c r="AC1330" s="153"/>
      <c r="AD1330" s="153"/>
      <c r="AH1330" s="147"/>
    </row>
    <row r="1331" spans="1:34" s="146" customFormat="1" x14ac:dyDescent="0.25">
      <c r="A1331" s="196">
        <v>614</v>
      </c>
      <c r="B1331" s="196" t="s">
        <v>7356</v>
      </c>
      <c r="C1331" s="196" t="s">
        <v>7357</v>
      </c>
      <c r="D1331" s="196" t="s">
        <v>7358</v>
      </c>
      <c r="E1331" s="196"/>
      <c r="F1331" s="196">
        <v>2006</v>
      </c>
      <c r="G1331" s="196"/>
      <c r="H1331" s="196" t="s">
        <v>2734</v>
      </c>
      <c r="I1331" s="141" t="s">
        <v>1879</v>
      </c>
      <c r="J1331" s="196"/>
      <c r="K1331" s="196" t="s">
        <v>1881</v>
      </c>
      <c r="L1331" s="141" t="s">
        <v>7359</v>
      </c>
      <c r="M1331" s="196">
        <v>210</v>
      </c>
      <c r="N1331" s="196"/>
      <c r="O1331" s="196" t="s">
        <v>5517</v>
      </c>
      <c r="P1331" s="144">
        <v>349</v>
      </c>
      <c r="Q1331" s="145">
        <f t="shared" si="77"/>
        <v>1.0106999999999999</v>
      </c>
      <c r="R1331" s="203">
        <v>0.69</v>
      </c>
      <c r="S1331" s="203"/>
      <c r="T1331" s="151">
        <v>0.32</v>
      </c>
      <c r="U1331" s="151"/>
      <c r="V1331" s="151">
        <v>0.25</v>
      </c>
      <c r="W1331" s="151">
        <f t="shared" si="76"/>
        <v>0.69</v>
      </c>
      <c r="X1331" s="152">
        <f t="shared" ref="X1331:X1386" si="78">(T1331+W1331)/100*7</f>
        <v>7.0699999999999999E-2</v>
      </c>
      <c r="Y1331" s="152"/>
      <c r="Z1331" s="148"/>
      <c r="AA1331" s="153"/>
      <c r="AB1331" s="153"/>
      <c r="AC1331" s="153"/>
      <c r="AD1331" s="153"/>
      <c r="AH1331" s="147"/>
    </row>
    <row r="1332" spans="1:34" s="146" customFormat="1" x14ac:dyDescent="0.25">
      <c r="A1332" s="196">
        <v>796</v>
      </c>
      <c r="B1332" s="196" t="s">
        <v>5856</v>
      </c>
      <c r="C1332" s="196" t="s">
        <v>7360</v>
      </c>
      <c r="D1332" s="196" t="s">
        <v>1993</v>
      </c>
      <c r="E1332" s="196" t="s">
        <v>1913</v>
      </c>
      <c r="F1332" s="196">
        <v>2013</v>
      </c>
      <c r="G1332" s="196"/>
      <c r="H1332" s="196" t="s">
        <v>1878</v>
      </c>
      <c r="I1332" s="141" t="s">
        <v>1914</v>
      </c>
      <c r="J1332" s="52" t="s">
        <v>3854</v>
      </c>
      <c r="K1332" s="196" t="s">
        <v>1881</v>
      </c>
      <c r="L1332" s="141" t="s">
        <v>7361</v>
      </c>
      <c r="M1332" s="196">
        <v>288</v>
      </c>
      <c r="N1332" s="196"/>
      <c r="O1332" s="196" t="s">
        <v>5518</v>
      </c>
      <c r="P1332" s="144">
        <v>282</v>
      </c>
      <c r="Q1332" s="145">
        <f t="shared" si="77"/>
        <v>1.6548</v>
      </c>
      <c r="R1332" s="203">
        <v>1.29</v>
      </c>
      <c r="S1332" s="203"/>
      <c r="T1332" s="151">
        <v>0.35</v>
      </c>
      <c r="U1332" s="151"/>
      <c r="V1332" s="151">
        <v>0.25</v>
      </c>
      <c r="W1332" s="151">
        <f t="shared" si="76"/>
        <v>1.29</v>
      </c>
      <c r="X1332" s="152">
        <f t="shared" si="78"/>
        <v>0.11480000000000001</v>
      </c>
      <c r="Y1332" s="152"/>
      <c r="Z1332" s="148"/>
      <c r="AA1332" s="153"/>
      <c r="AB1332" s="153"/>
      <c r="AC1332" s="153"/>
      <c r="AD1332" s="153"/>
      <c r="AH1332" s="147"/>
    </row>
    <row r="1333" spans="1:34" s="146" customFormat="1" x14ac:dyDescent="0.25">
      <c r="A1333" s="196">
        <v>1327</v>
      </c>
      <c r="B1333" s="196" t="s">
        <v>7362</v>
      </c>
      <c r="C1333" s="196" t="s">
        <v>7363</v>
      </c>
      <c r="D1333" s="196" t="s">
        <v>2609</v>
      </c>
      <c r="E1333" s="196" t="s">
        <v>2922</v>
      </c>
      <c r="F1333" s="196">
        <v>2002</v>
      </c>
      <c r="G1333" s="196"/>
      <c r="H1333" s="196" t="s">
        <v>1878</v>
      </c>
      <c r="I1333" s="141" t="s">
        <v>1879</v>
      </c>
      <c r="J1333" s="196"/>
      <c r="K1333" s="196" t="s">
        <v>1881</v>
      </c>
      <c r="L1333" s="141" t="s">
        <v>7364</v>
      </c>
      <c r="M1333" s="196">
        <v>384</v>
      </c>
      <c r="N1333" s="196"/>
      <c r="O1333" s="196" t="s">
        <v>5519</v>
      </c>
      <c r="P1333" s="144">
        <v>341</v>
      </c>
      <c r="Q1333" s="145">
        <f t="shared" si="77"/>
        <v>0.64900000000000002</v>
      </c>
      <c r="R1333" s="203">
        <v>0.25</v>
      </c>
      <c r="S1333" s="203"/>
      <c r="T1333" s="151">
        <v>0.35</v>
      </c>
      <c r="U1333" s="151"/>
      <c r="V1333" s="151">
        <v>0.25</v>
      </c>
      <c r="W1333" s="151">
        <f t="shared" si="76"/>
        <v>0.35</v>
      </c>
      <c r="X1333" s="152">
        <f t="shared" si="78"/>
        <v>4.8999999999999995E-2</v>
      </c>
      <c r="Y1333" s="152"/>
      <c r="Z1333" s="148"/>
      <c r="AA1333" s="153"/>
      <c r="AB1333" s="153"/>
      <c r="AC1333" s="153"/>
      <c r="AD1333" s="153"/>
      <c r="AH1333" s="147"/>
    </row>
    <row r="1334" spans="1:34" s="146" customFormat="1" x14ac:dyDescent="0.25">
      <c r="A1334" s="196">
        <v>1386</v>
      </c>
      <c r="B1334" s="196" t="s">
        <v>7368</v>
      </c>
      <c r="C1334" s="196" t="s">
        <v>7369</v>
      </c>
      <c r="D1334" s="196" t="s">
        <v>7370</v>
      </c>
      <c r="E1334" s="196" t="s">
        <v>1913</v>
      </c>
      <c r="F1334" s="196">
        <v>2010</v>
      </c>
      <c r="G1334" s="196"/>
      <c r="H1334" s="196" t="s">
        <v>1878</v>
      </c>
      <c r="I1334" s="141" t="s">
        <v>1879</v>
      </c>
      <c r="J1334" s="196"/>
      <c r="K1334" s="196" t="s">
        <v>1881</v>
      </c>
      <c r="L1334" s="141" t="s">
        <v>7371</v>
      </c>
      <c r="M1334" s="196">
        <v>240</v>
      </c>
      <c r="N1334" s="196"/>
      <c r="O1334" s="196" t="s">
        <v>5521</v>
      </c>
      <c r="P1334" s="144">
        <v>289</v>
      </c>
      <c r="Q1334" s="145">
        <f t="shared" si="77"/>
        <v>1.3338000000000001</v>
      </c>
      <c r="R1334" s="203">
        <v>0.99</v>
      </c>
      <c r="S1334" s="203"/>
      <c r="T1334" s="151">
        <v>0.35</v>
      </c>
      <c r="U1334" s="151"/>
      <c r="V1334" s="151">
        <v>0.25</v>
      </c>
      <c r="W1334" s="151">
        <f t="shared" ref="W1334:W1390" si="79">IF(R1334&gt;T1334,R1334,T1334)</f>
        <v>0.99</v>
      </c>
      <c r="X1334" s="152">
        <f t="shared" si="78"/>
        <v>9.3799999999999994E-2</v>
      </c>
      <c r="Y1334" s="152"/>
      <c r="Z1334" s="148"/>
      <c r="AA1334" s="153"/>
      <c r="AB1334" s="153"/>
      <c r="AC1334" s="153"/>
      <c r="AD1334" s="153"/>
      <c r="AH1334" s="147"/>
    </row>
    <row r="1336" spans="1:34" s="146" customFormat="1" x14ac:dyDescent="0.25">
      <c r="A1336" s="196">
        <v>1396</v>
      </c>
      <c r="B1336" s="196" t="s">
        <v>7375</v>
      </c>
      <c r="C1336" s="196" t="s">
        <v>7376</v>
      </c>
      <c r="D1336" s="196" t="s">
        <v>2309</v>
      </c>
      <c r="E1336" s="196" t="s">
        <v>1913</v>
      </c>
      <c r="F1336" s="196">
        <v>2002</v>
      </c>
      <c r="G1336" s="196"/>
      <c r="H1336" s="196" t="s">
        <v>1878</v>
      </c>
      <c r="I1336" s="141" t="s">
        <v>1914</v>
      </c>
      <c r="J1336" s="196"/>
      <c r="K1336" s="196" t="s">
        <v>1881</v>
      </c>
      <c r="L1336" s="141" t="s">
        <v>7377</v>
      </c>
      <c r="M1336" s="196">
        <v>368</v>
      </c>
      <c r="N1336" s="196"/>
      <c r="O1336" s="196" t="s">
        <v>5523</v>
      </c>
      <c r="P1336" s="144">
        <v>257</v>
      </c>
      <c r="Q1336" s="145">
        <f t="shared" si="77"/>
        <v>1.3338000000000001</v>
      </c>
      <c r="R1336" s="203">
        <v>0.99</v>
      </c>
      <c r="S1336" s="203"/>
      <c r="T1336" s="151">
        <v>0.35</v>
      </c>
      <c r="U1336" s="151"/>
      <c r="V1336" s="151">
        <v>0.25</v>
      </c>
      <c r="W1336" s="151">
        <f t="shared" si="79"/>
        <v>0.99</v>
      </c>
      <c r="X1336" s="152">
        <f t="shared" si="78"/>
        <v>9.3799999999999994E-2</v>
      </c>
      <c r="Y1336" s="152"/>
      <c r="Z1336" s="148"/>
      <c r="AA1336" s="153"/>
      <c r="AB1336" s="153"/>
      <c r="AC1336" s="153"/>
      <c r="AD1336" s="153"/>
      <c r="AH1336" s="147"/>
    </row>
    <row r="1337" spans="1:34" s="146" customFormat="1" x14ac:dyDescent="0.25">
      <c r="A1337" s="196">
        <v>634</v>
      </c>
      <c r="B1337" s="196" t="s">
        <v>7378</v>
      </c>
      <c r="C1337" s="196" t="s">
        <v>7379</v>
      </c>
      <c r="D1337" s="196" t="s">
        <v>1993</v>
      </c>
      <c r="E1337" s="196"/>
      <c r="F1337" s="196">
        <v>1998</v>
      </c>
      <c r="G1337" s="196"/>
      <c r="H1337" s="196" t="s">
        <v>1878</v>
      </c>
      <c r="I1337" s="141" t="s">
        <v>6422</v>
      </c>
      <c r="J1337" s="196"/>
      <c r="K1337" s="196" t="s">
        <v>1881</v>
      </c>
      <c r="L1337" s="141" t="s">
        <v>7380</v>
      </c>
      <c r="M1337" s="196">
        <v>160</v>
      </c>
      <c r="N1337" s="196"/>
      <c r="O1337" s="196" t="s">
        <v>5524</v>
      </c>
      <c r="P1337" s="144">
        <v>152</v>
      </c>
      <c r="Q1337" s="145">
        <f t="shared" si="77"/>
        <v>1.0127999999999999</v>
      </c>
      <c r="R1337" s="203">
        <v>0.69</v>
      </c>
      <c r="S1337" s="203"/>
      <c r="T1337" s="151">
        <v>0.35</v>
      </c>
      <c r="U1337" s="151"/>
      <c r="V1337" s="151">
        <v>0.25</v>
      </c>
      <c r="W1337" s="151">
        <f t="shared" si="79"/>
        <v>0.69</v>
      </c>
      <c r="X1337" s="152">
        <f t="shared" si="78"/>
        <v>7.2800000000000004E-2</v>
      </c>
      <c r="Y1337" s="152"/>
      <c r="Z1337" s="148"/>
      <c r="AA1337" s="153"/>
      <c r="AB1337" s="153"/>
      <c r="AC1337" s="153"/>
      <c r="AD1337" s="153"/>
      <c r="AH1337" s="147"/>
    </row>
    <row r="1338" spans="1:34" s="146" customFormat="1" x14ac:dyDescent="0.25">
      <c r="A1338" s="196">
        <v>634</v>
      </c>
      <c r="B1338" s="196" t="s">
        <v>2493</v>
      </c>
      <c r="C1338" s="196" t="s">
        <v>7381</v>
      </c>
      <c r="D1338" s="196" t="s">
        <v>1993</v>
      </c>
      <c r="E1338" s="196"/>
      <c r="F1338" s="196">
        <v>1999</v>
      </c>
      <c r="G1338" s="196"/>
      <c r="H1338" s="196" t="s">
        <v>1878</v>
      </c>
      <c r="I1338" s="141" t="s">
        <v>1914</v>
      </c>
      <c r="J1338" s="196"/>
      <c r="K1338" s="196" t="s">
        <v>1881</v>
      </c>
      <c r="L1338" s="141" t="s">
        <v>7382</v>
      </c>
      <c r="M1338" s="196">
        <v>192</v>
      </c>
      <c r="N1338" s="196"/>
      <c r="O1338" s="196" t="s">
        <v>5525</v>
      </c>
      <c r="P1338" s="144">
        <v>180</v>
      </c>
      <c r="Q1338" s="145">
        <f t="shared" si="77"/>
        <v>0.79879999999999995</v>
      </c>
      <c r="R1338" s="203">
        <v>0.49</v>
      </c>
      <c r="S1338" s="203"/>
      <c r="T1338" s="151">
        <v>0.35</v>
      </c>
      <c r="U1338" s="151"/>
      <c r="V1338" s="151">
        <v>0.25</v>
      </c>
      <c r="W1338" s="151">
        <f t="shared" si="79"/>
        <v>0.49</v>
      </c>
      <c r="X1338" s="152">
        <f t="shared" si="78"/>
        <v>5.8799999999999998E-2</v>
      </c>
      <c r="Y1338" s="152"/>
      <c r="Z1338" s="148"/>
      <c r="AA1338" s="153"/>
      <c r="AB1338" s="153"/>
      <c r="AC1338" s="153"/>
      <c r="AD1338" s="153"/>
      <c r="AH1338" s="147"/>
    </row>
    <row r="1339" spans="1:34" s="146" customFormat="1" x14ac:dyDescent="0.25">
      <c r="A1339" s="196">
        <v>634</v>
      </c>
      <c r="B1339" s="196" t="s">
        <v>7378</v>
      </c>
      <c r="C1339" s="196" t="s">
        <v>7383</v>
      </c>
      <c r="D1339" s="196" t="s">
        <v>1993</v>
      </c>
      <c r="E1339" s="196"/>
      <c r="F1339" s="196">
        <v>1998</v>
      </c>
      <c r="G1339" s="196"/>
      <c r="H1339" s="196" t="s">
        <v>1878</v>
      </c>
      <c r="I1339" s="141" t="s">
        <v>1914</v>
      </c>
      <c r="J1339" s="196"/>
      <c r="K1339" s="196" t="s">
        <v>1881</v>
      </c>
      <c r="L1339" s="141" t="s">
        <v>7384</v>
      </c>
      <c r="M1339" s="196">
        <v>192</v>
      </c>
      <c r="N1339" s="196"/>
      <c r="O1339" s="196" t="s">
        <v>5526</v>
      </c>
      <c r="P1339" s="144">
        <v>180</v>
      </c>
      <c r="Q1339" s="145">
        <f t="shared" si="77"/>
        <v>1.5478000000000001</v>
      </c>
      <c r="R1339" s="203">
        <v>1.19</v>
      </c>
      <c r="S1339" s="203"/>
      <c r="T1339" s="151">
        <v>0.35</v>
      </c>
      <c r="U1339" s="151"/>
      <c r="V1339" s="151">
        <v>0.25</v>
      </c>
      <c r="W1339" s="151">
        <f t="shared" si="79"/>
        <v>1.19</v>
      </c>
      <c r="X1339" s="152">
        <f t="shared" si="78"/>
        <v>0.10780000000000001</v>
      </c>
      <c r="Y1339" s="152"/>
      <c r="Z1339" s="148"/>
      <c r="AA1339" s="153"/>
      <c r="AB1339" s="153"/>
      <c r="AC1339" s="153"/>
      <c r="AD1339" s="153"/>
      <c r="AH1339" s="147"/>
    </row>
    <row r="1340" spans="1:34" s="146" customFormat="1" x14ac:dyDescent="0.25">
      <c r="A1340" s="196">
        <v>634</v>
      </c>
      <c r="B1340" s="196" t="s">
        <v>7385</v>
      </c>
      <c r="C1340" s="196" t="s">
        <v>7386</v>
      </c>
      <c r="D1340" s="196" t="s">
        <v>1912</v>
      </c>
      <c r="E1340" s="196"/>
      <c r="F1340" s="196">
        <v>1997</v>
      </c>
      <c r="G1340" s="196"/>
      <c r="H1340" s="196" t="s">
        <v>1878</v>
      </c>
      <c r="I1340" s="141" t="s">
        <v>1914</v>
      </c>
      <c r="J1340" s="52" t="s">
        <v>3854</v>
      </c>
      <c r="K1340" s="196" t="s">
        <v>1881</v>
      </c>
      <c r="L1340" s="141" t="s">
        <v>7387</v>
      </c>
      <c r="M1340" s="196">
        <v>192</v>
      </c>
      <c r="N1340" s="196"/>
      <c r="O1340" s="196" t="s">
        <v>5527</v>
      </c>
      <c r="P1340" s="144">
        <v>182</v>
      </c>
      <c r="Q1340" s="145">
        <f t="shared" si="77"/>
        <v>1.0127999999999999</v>
      </c>
      <c r="R1340" s="203">
        <v>0.69</v>
      </c>
      <c r="S1340" s="203"/>
      <c r="T1340" s="151">
        <v>0.35</v>
      </c>
      <c r="U1340" s="151"/>
      <c r="V1340" s="151">
        <v>0.25</v>
      </c>
      <c r="W1340" s="151">
        <f t="shared" si="79"/>
        <v>0.69</v>
      </c>
      <c r="X1340" s="152">
        <f t="shared" si="78"/>
        <v>7.2800000000000004E-2</v>
      </c>
      <c r="Y1340" s="152"/>
      <c r="Z1340" s="148"/>
      <c r="AA1340" s="153"/>
      <c r="AB1340" s="153"/>
      <c r="AC1340" s="153"/>
      <c r="AD1340" s="153"/>
      <c r="AH1340" s="147"/>
    </row>
    <row r="1341" spans="1:34" s="146" customFormat="1" x14ac:dyDescent="0.25">
      <c r="A1341" s="196">
        <v>2522</v>
      </c>
      <c r="B1341" s="196" t="s">
        <v>7388</v>
      </c>
      <c r="C1341" s="196" t="s">
        <v>7389</v>
      </c>
      <c r="D1341" s="196" t="s">
        <v>1912</v>
      </c>
      <c r="E1341" s="196" t="s">
        <v>1921</v>
      </c>
      <c r="F1341" s="196">
        <v>2009</v>
      </c>
      <c r="G1341" s="196"/>
      <c r="H1341" s="196" t="s">
        <v>1878</v>
      </c>
      <c r="I1341" s="141" t="s">
        <v>1879</v>
      </c>
      <c r="J1341" s="52" t="s">
        <v>3854</v>
      </c>
      <c r="K1341" s="196" t="s">
        <v>1881</v>
      </c>
      <c r="L1341" s="141" t="s">
        <v>7390</v>
      </c>
      <c r="M1341" s="196">
        <v>416</v>
      </c>
      <c r="N1341" s="196"/>
      <c r="O1341" s="196" t="s">
        <v>5528</v>
      </c>
      <c r="P1341" s="144">
        <v>338</v>
      </c>
      <c r="Q1341" s="145">
        <f t="shared" si="77"/>
        <v>0.79879999999999995</v>
      </c>
      <c r="R1341" s="203">
        <v>0.49</v>
      </c>
      <c r="S1341" s="203"/>
      <c r="T1341" s="151">
        <v>0.35</v>
      </c>
      <c r="U1341" s="151"/>
      <c r="V1341" s="151">
        <v>0.25</v>
      </c>
      <c r="W1341" s="151">
        <f t="shared" si="79"/>
        <v>0.49</v>
      </c>
      <c r="X1341" s="152">
        <f t="shared" si="78"/>
        <v>5.8799999999999998E-2</v>
      </c>
      <c r="Y1341" s="152"/>
      <c r="Z1341" s="148"/>
      <c r="AA1341" s="153"/>
      <c r="AB1341" s="153"/>
      <c r="AC1341" s="153"/>
      <c r="AD1341" s="153"/>
      <c r="AH1341" s="147"/>
    </row>
    <row r="1342" spans="1:34" s="146" customFormat="1" x14ac:dyDescent="0.25">
      <c r="A1342" s="196">
        <v>684</v>
      </c>
      <c r="B1342" s="196" t="s">
        <v>7397</v>
      </c>
      <c r="C1342" s="196" t="s">
        <v>7398</v>
      </c>
      <c r="D1342" s="196" t="s">
        <v>7399</v>
      </c>
      <c r="E1342" s="196"/>
      <c r="F1342" s="196">
        <v>2009</v>
      </c>
      <c r="G1342" s="196"/>
      <c r="H1342" s="196" t="s">
        <v>1878</v>
      </c>
      <c r="I1342" s="141" t="s">
        <v>1929</v>
      </c>
      <c r="J1342" s="196"/>
      <c r="K1342" s="196" t="s">
        <v>1881</v>
      </c>
      <c r="L1342" s="141" t="s">
        <v>7400</v>
      </c>
      <c r="M1342" s="196">
        <v>608</v>
      </c>
      <c r="N1342" s="196"/>
      <c r="O1342" s="196" t="s">
        <v>5531</v>
      </c>
      <c r="P1342" s="144">
        <v>381</v>
      </c>
      <c r="Q1342" s="145">
        <f t="shared" si="77"/>
        <v>0.79879999999999995</v>
      </c>
      <c r="R1342" s="203">
        <v>0.49</v>
      </c>
      <c r="S1342" s="203"/>
      <c r="T1342" s="151">
        <v>0.35</v>
      </c>
      <c r="U1342" s="151"/>
      <c r="V1342" s="151">
        <v>0.25</v>
      </c>
      <c r="W1342" s="151">
        <f t="shared" si="79"/>
        <v>0.49</v>
      </c>
      <c r="X1342" s="152">
        <f t="shared" si="78"/>
        <v>5.8799999999999998E-2</v>
      </c>
      <c r="Y1342" s="152"/>
      <c r="Z1342" s="148"/>
      <c r="AA1342" s="153"/>
      <c r="AB1342" s="153"/>
      <c r="AC1342" s="153"/>
      <c r="AD1342" s="153"/>
      <c r="AH1342" s="147"/>
    </row>
    <row r="1343" spans="1:34" s="146" customFormat="1" x14ac:dyDescent="0.25">
      <c r="A1343" s="196">
        <v>2663</v>
      </c>
      <c r="B1343" s="196" t="s">
        <v>3637</v>
      </c>
      <c r="C1343" s="196" t="s">
        <v>7401</v>
      </c>
      <c r="D1343" s="196" t="s">
        <v>2103</v>
      </c>
      <c r="E1343" s="196" t="s">
        <v>1913</v>
      </c>
      <c r="F1343" s="196">
        <v>2008</v>
      </c>
      <c r="G1343" s="196"/>
      <c r="H1343" s="196" t="s">
        <v>1878</v>
      </c>
      <c r="I1343" s="141" t="s">
        <v>1879</v>
      </c>
      <c r="J1343" s="196"/>
      <c r="K1343" s="196" t="s">
        <v>1881</v>
      </c>
      <c r="L1343" s="141" t="s">
        <v>7402</v>
      </c>
      <c r="M1343" s="196">
        <v>304</v>
      </c>
      <c r="N1343" s="196"/>
      <c r="O1343" s="196" t="s">
        <v>5532</v>
      </c>
      <c r="P1343" s="144">
        <v>301</v>
      </c>
      <c r="Q1343" s="145">
        <f t="shared" si="77"/>
        <v>0.79879999999999995</v>
      </c>
      <c r="R1343" s="203">
        <v>0.49</v>
      </c>
      <c r="S1343" s="203"/>
      <c r="T1343" s="151">
        <v>0.35</v>
      </c>
      <c r="U1343" s="151"/>
      <c r="V1343" s="151">
        <v>0.25</v>
      </c>
      <c r="W1343" s="151">
        <f t="shared" si="79"/>
        <v>0.49</v>
      </c>
      <c r="X1343" s="152">
        <f t="shared" si="78"/>
        <v>5.8799999999999998E-2</v>
      </c>
      <c r="Y1343" s="152"/>
      <c r="Z1343" s="148"/>
      <c r="AA1343" s="153"/>
      <c r="AB1343" s="153"/>
      <c r="AC1343" s="153"/>
      <c r="AD1343" s="153"/>
      <c r="AH1343" s="147"/>
    </row>
    <row r="1344" spans="1:34" s="146" customFormat="1" x14ac:dyDescent="0.25">
      <c r="A1344" s="196">
        <v>1320</v>
      </c>
      <c r="B1344" s="196" t="s">
        <v>7403</v>
      </c>
      <c r="C1344" s="196" t="s">
        <v>7404</v>
      </c>
      <c r="D1344" s="196" t="s">
        <v>2091</v>
      </c>
      <c r="E1344" s="196"/>
      <c r="F1344" s="196">
        <v>2007</v>
      </c>
      <c r="G1344" s="196"/>
      <c r="H1344" s="196" t="s">
        <v>1878</v>
      </c>
      <c r="I1344" s="141" t="s">
        <v>1879</v>
      </c>
      <c r="J1344" s="196"/>
      <c r="K1344" s="196" t="s">
        <v>1881</v>
      </c>
      <c r="L1344" s="141" t="s">
        <v>7405</v>
      </c>
      <c r="M1344" s="196">
        <v>160</v>
      </c>
      <c r="N1344" s="196"/>
      <c r="O1344" s="196" t="s">
        <v>5533</v>
      </c>
      <c r="P1344" s="144">
        <v>248</v>
      </c>
      <c r="Q1344" s="145">
        <f t="shared" ref="Q1344:Q1400" si="80">SUM(U1344:X1344)</f>
        <v>0.79879999999999995</v>
      </c>
      <c r="R1344" s="203">
        <v>0.49</v>
      </c>
      <c r="S1344" s="203"/>
      <c r="T1344" s="151">
        <v>0.35</v>
      </c>
      <c r="U1344" s="151"/>
      <c r="V1344" s="151">
        <v>0.25</v>
      </c>
      <c r="W1344" s="151">
        <f t="shared" si="79"/>
        <v>0.49</v>
      </c>
      <c r="X1344" s="152">
        <f t="shared" si="78"/>
        <v>5.8799999999999998E-2</v>
      </c>
      <c r="Y1344" s="152"/>
      <c r="Z1344" s="148"/>
      <c r="AA1344" s="153"/>
      <c r="AB1344" s="153"/>
      <c r="AC1344" s="153"/>
      <c r="AD1344" s="153"/>
      <c r="AH1344" s="147"/>
    </row>
    <row r="1345" spans="1:34" s="146" customFormat="1" x14ac:dyDescent="0.25">
      <c r="A1345" s="196">
        <v>632</v>
      </c>
      <c r="B1345" s="196" t="s">
        <v>2629</v>
      </c>
      <c r="C1345" s="196" t="s">
        <v>7406</v>
      </c>
      <c r="D1345" s="196" t="s">
        <v>1876</v>
      </c>
      <c r="E1345" s="196"/>
      <c r="F1345" s="196">
        <v>2002</v>
      </c>
      <c r="G1345" s="196"/>
      <c r="H1345" s="196" t="s">
        <v>1878</v>
      </c>
      <c r="I1345" s="141" t="s">
        <v>1879</v>
      </c>
      <c r="J1345" s="196"/>
      <c r="K1345" s="196" t="s">
        <v>1881</v>
      </c>
      <c r="L1345" s="141" t="s">
        <v>7407</v>
      </c>
      <c r="M1345" s="196">
        <v>576</v>
      </c>
      <c r="N1345" s="196"/>
      <c r="O1345" s="196" t="s">
        <v>5534</v>
      </c>
      <c r="P1345" s="144">
        <v>475</v>
      </c>
      <c r="Q1345" s="145">
        <f t="shared" si="80"/>
        <v>2.6177999999999999</v>
      </c>
      <c r="R1345" s="203">
        <v>2.19</v>
      </c>
      <c r="S1345" s="203"/>
      <c r="T1345" s="151">
        <v>0.35</v>
      </c>
      <c r="U1345" s="151"/>
      <c r="V1345" s="151">
        <v>0.25</v>
      </c>
      <c r="W1345" s="151">
        <f t="shared" si="79"/>
        <v>2.19</v>
      </c>
      <c r="X1345" s="152">
        <f t="shared" si="78"/>
        <v>0.17779999999999999</v>
      </c>
      <c r="Y1345" s="152"/>
      <c r="Z1345" s="148"/>
      <c r="AA1345" s="153"/>
      <c r="AB1345" s="153"/>
      <c r="AC1345" s="153"/>
      <c r="AD1345" s="153"/>
      <c r="AH1345" s="147"/>
    </row>
    <row r="1346" spans="1:34" s="146" customFormat="1" x14ac:dyDescent="0.25">
      <c r="A1346" s="196">
        <v>758</v>
      </c>
      <c r="B1346" s="196" t="s">
        <v>7408</v>
      </c>
      <c r="C1346" s="196" t="s">
        <v>7409</v>
      </c>
      <c r="D1346" s="196" t="s">
        <v>2971</v>
      </c>
      <c r="E1346" s="196"/>
      <c r="F1346" s="196">
        <v>2003</v>
      </c>
      <c r="G1346" s="196"/>
      <c r="H1346" s="196" t="s">
        <v>1878</v>
      </c>
      <c r="I1346" s="141" t="s">
        <v>1879</v>
      </c>
      <c r="J1346" s="196"/>
      <c r="K1346" s="196" t="s">
        <v>1881</v>
      </c>
      <c r="L1346" s="141" t="s">
        <v>7410</v>
      </c>
      <c r="M1346" s="196">
        <v>176</v>
      </c>
      <c r="N1346" s="196"/>
      <c r="O1346" s="196" t="s">
        <v>5535</v>
      </c>
      <c r="P1346" s="144">
        <v>191</v>
      </c>
      <c r="Q1346" s="145">
        <f t="shared" si="80"/>
        <v>0.79879999999999995</v>
      </c>
      <c r="R1346" s="203">
        <v>0.49</v>
      </c>
      <c r="S1346" s="203"/>
      <c r="T1346" s="151">
        <v>0.35</v>
      </c>
      <c r="U1346" s="151"/>
      <c r="V1346" s="151">
        <v>0.25</v>
      </c>
      <c r="W1346" s="151">
        <f t="shared" si="79"/>
        <v>0.49</v>
      </c>
      <c r="X1346" s="152">
        <f t="shared" si="78"/>
        <v>5.8799999999999998E-2</v>
      </c>
      <c r="Y1346" s="152"/>
      <c r="Z1346" s="148"/>
      <c r="AA1346" s="153"/>
      <c r="AB1346" s="153"/>
      <c r="AC1346" s="153"/>
      <c r="AD1346" s="153"/>
      <c r="AH1346" s="147"/>
    </row>
    <row r="1347" spans="1:34" s="146" customFormat="1" x14ac:dyDescent="0.25">
      <c r="A1347" s="196">
        <v>2516</v>
      </c>
      <c r="B1347" s="196" t="s">
        <v>7411</v>
      </c>
      <c r="C1347" s="196" t="s">
        <v>7412</v>
      </c>
      <c r="D1347" s="196" t="s">
        <v>7413</v>
      </c>
      <c r="E1347" s="196"/>
      <c r="F1347" s="196">
        <v>2005</v>
      </c>
      <c r="G1347" s="196"/>
      <c r="H1347" s="196" t="s">
        <v>1878</v>
      </c>
      <c r="I1347" s="141" t="s">
        <v>1879</v>
      </c>
      <c r="J1347" s="196" t="s">
        <v>7414</v>
      </c>
      <c r="K1347" s="196" t="s">
        <v>1881</v>
      </c>
      <c r="L1347" s="141" t="s">
        <v>7415</v>
      </c>
      <c r="M1347" s="196">
        <v>204</v>
      </c>
      <c r="N1347" s="196"/>
      <c r="O1347" s="196" t="s">
        <v>5536</v>
      </c>
      <c r="P1347" s="144">
        <v>216</v>
      </c>
      <c r="Q1347" s="145">
        <f t="shared" si="80"/>
        <v>0.79879999999999995</v>
      </c>
      <c r="R1347" s="203">
        <v>0.49</v>
      </c>
      <c r="S1347" s="203"/>
      <c r="T1347" s="151">
        <v>0.35</v>
      </c>
      <c r="U1347" s="151"/>
      <c r="V1347" s="151">
        <v>0.25</v>
      </c>
      <c r="W1347" s="151">
        <f t="shared" si="79"/>
        <v>0.49</v>
      </c>
      <c r="X1347" s="152">
        <f t="shared" si="78"/>
        <v>5.8799999999999998E-2</v>
      </c>
      <c r="Y1347" s="152"/>
      <c r="Z1347" s="148"/>
      <c r="AA1347" s="153"/>
      <c r="AB1347" s="153"/>
      <c r="AC1347" s="153"/>
      <c r="AD1347" s="153"/>
      <c r="AH1347" s="147"/>
    </row>
    <row r="1348" spans="1:34" s="146" customFormat="1" x14ac:dyDescent="0.25">
      <c r="A1348" s="196">
        <v>632</v>
      </c>
      <c r="B1348" s="196" t="s">
        <v>7416</v>
      </c>
      <c r="C1348" s="196" t="s">
        <v>7417</v>
      </c>
      <c r="D1348" s="196" t="s">
        <v>1920</v>
      </c>
      <c r="E1348" s="196"/>
      <c r="F1348" s="196">
        <v>2002</v>
      </c>
      <c r="G1348" s="196"/>
      <c r="H1348" s="196" t="s">
        <v>1878</v>
      </c>
      <c r="I1348" s="141" t="s">
        <v>1879</v>
      </c>
      <c r="J1348" s="52" t="s">
        <v>3854</v>
      </c>
      <c r="K1348" s="196" t="s">
        <v>1881</v>
      </c>
      <c r="L1348" s="141" t="s">
        <v>7418</v>
      </c>
      <c r="M1348" s="196">
        <v>512</v>
      </c>
      <c r="N1348" s="196"/>
      <c r="O1348" s="196" t="s">
        <v>5537</v>
      </c>
      <c r="P1348" s="144">
        <v>434</v>
      </c>
      <c r="Q1348" s="145">
        <f t="shared" si="80"/>
        <v>0.79879999999999995</v>
      </c>
      <c r="R1348" s="203">
        <v>0.49</v>
      </c>
      <c r="S1348" s="203"/>
      <c r="T1348" s="151">
        <v>0.35</v>
      </c>
      <c r="U1348" s="151"/>
      <c r="V1348" s="151">
        <v>0.25</v>
      </c>
      <c r="W1348" s="151">
        <f t="shared" si="79"/>
        <v>0.49</v>
      </c>
      <c r="X1348" s="152">
        <f t="shared" si="78"/>
        <v>5.8799999999999998E-2</v>
      </c>
      <c r="Y1348" s="152"/>
      <c r="Z1348" s="148"/>
      <c r="AA1348" s="153"/>
      <c r="AB1348" s="153"/>
      <c r="AC1348" s="153"/>
      <c r="AD1348" s="153"/>
      <c r="AH1348" s="147"/>
    </row>
    <row r="1349" spans="1:34" s="146" customFormat="1" x14ac:dyDescent="0.25">
      <c r="A1349" s="196">
        <v>323</v>
      </c>
      <c r="B1349" s="196" t="s">
        <v>7419</v>
      </c>
      <c r="C1349" s="196" t="s">
        <v>7420</v>
      </c>
      <c r="D1349" s="196" t="s">
        <v>7421</v>
      </c>
      <c r="E1349" s="196"/>
      <c r="F1349" s="196">
        <v>1995</v>
      </c>
      <c r="G1349" s="196"/>
      <c r="H1349" s="196" t="s">
        <v>2734</v>
      </c>
      <c r="I1349" s="141" t="s">
        <v>1929</v>
      </c>
      <c r="J1349" s="196"/>
      <c r="K1349" s="196" t="s">
        <v>1881</v>
      </c>
      <c r="L1349" s="141" t="s">
        <v>7422</v>
      </c>
      <c r="M1349" s="196">
        <v>342</v>
      </c>
      <c r="N1349" s="196"/>
      <c r="O1349" s="196" t="s">
        <v>5538</v>
      </c>
      <c r="P1349" s="144">
        <v>746</v>
      </c>
      <c r="Q1349" s="145">
        <f t="shared" si="80"/>
        <v>5.7207999999999997</v>
      </c>
      <c r="R1349" s="203">
        <v>5.09</v>
      </c>
      <c r="S1349" s="203"/>
      <c r="T1349" s="151">
        <v>0.35</v>
      </c>
      <c r="U1349" s="151"/>
      <c r="V1349" s="151">
        <v>0.25</v>
      </c>
      <c r="W1349" s="151">
        <f t="shared" si="79"/>
        <v>5.09</v>
      </c>
      <c r="X1349" s="152">
        <f t="shared" si="78"/>
        <v>0.38079999999999997</v>
      </c>
      <c r="Y1349" s="152"/>
      <c r="Z1349" s="148"/>
      <c r="AA1349" s="153"/>
      <c r="AB1349" s="153"/>
      <c r="AC1349" s="153"/>
      <c r="AD1349" s="153"/>
      <c r="AH1349" s="147"/>
    </row>
    <row r="1350" spans="1:34" s="146" customFormat="1" x14ac:dyDescent="0.25">
      <c r="A1350" s="196">
        <v>323</v>
      </c>
      <c r="B1350" s="196"/>
      <c r="C1350" s="196" t="s">
        <v>7423</v>
      </c>
      <c r="D1350" s="196" t="s">
        <v>2151</v>
      </c>
      <c r="E1350" s="196"/>
      <c r="F1350" s="196">
        <v>1996</v>
      </c>
      <c r="G1350" s="196"/>
      <c r="H1350" s="196" t="s">
        <v>1878</v>
      </c>
      <c r="I1350" s="141" t="s">
        <v>1879</v>
      </c>
      <c r="J1350" s="196"/>
      <c r="K1350" s="196" t="s">
        <v>1881</v>
      </c>
      <c r="L1350" s="141" t="s">
        <v>7424</v>
      </c>
      <c r="M1350" s="196">
        <v>128</v>
      </c>
      <c r="N1350" s="196"/>
      <c r="O1350" s="196" t="s">
        <v>5539</v>
      </c>
      <c r="P1350" s="144">
        <v>82</v>
      </c>
      <c r="Q1350" s="145">
        <f t="shared" si="80"/>
        <v>0.79879999999999995</v>
      </c>
      <c r="R1350" s="203">
        <v>0.49</v>
      </c>
      <c r="S1350" s="203"/>
      <c r="T1350" s="151">
        <v>0.35</v>
      </c>
      <c r="U1350" s="151"/>
      <c r="V1350" s="151">
        <v>0.25</v>
      </c>
      <c r="W1350" s="151">
        <f t="shared" si="79"/>
        <v>0.49</v>
      </c>
      <c r="X1350" s="152">
        <f t="shared" si="78"/>
        <v>5.8799999999999998E-2</v>
      </c>
      <c r="Y1350" s="152"/>
      <c r="Z1350" s="148"/>
      <c r="AA1350" s="153"/>
      <c r="AB1350" s="153"/>
      <c r="AC1350" s="153"/>
      <c r="AD1350" s="153"/>
      <c r="AH1350" s="147"/>
    </row>
    <row r="1351" spans="1:34" s="146" customFormat="1" x14ac:dyDescent="0.25">
      <c r="A1351" s="196">
        <v>796</v>
      </c>
      <c r="B1351" s="196" t="s">
        <v>7425</v>
      </c>
      <c r="C1351" s="196" t="s">
        <v>7426</v>
      </c>
      <c r="D1351" s="196" t="s">
        <v>2300</v>
      </c>
      <c r="E1351" s="196"/>
      <c r="F1351" s="196">
        <v>2005</v>
      </c>
      <c r="G1351" s="196"/>
      <c r="H1351" s="196" t="s">
        <v>1878</v>
      </c>
      <c r="I1351" s="141" t="s">
        <v>1929</v>
      </c>
      <c r="J1351" s="52" t="s">
        <v>3854</v>
      </c>
      <c r="K1351" s="196" t="s">
        <v>1881</v>
      </c>
      <c r="L1351" s="141" t="s">
        <v>7427</v>
      </c>
      <c r="M1351" s="196">
        <v>448</v>
      </c>
      <c r="N1351" s="196"/>
      <c r="O1351" s="196" t="s">
        <v>5540</v>
      </c>
      <c r="P1351" s="144">
        <v>311</v>
      </c>
      <c r="Q1351" s="145">
        <f t="shared" si="80"/>
        <v>0.79879999999999995</v>
      </c>
      <c r="R1351" s="203">
        <v>0.49</v>
      </c>
      <c r="S1351" s="203"/>
      <c r="T1351" s="151">
        <v>0.35</v>
      </c>
      <c r="U1351" s="151"/>
      <c r="V1351" s="151">
        <v>0.25</v>
      </c>
      <c r="W1351" s="151">
        <f t="shared" si="79"/>
        <v>0.49</v>
      </c>
      <c r="X1351" s="152">
        <f t="shared" si="78"/>
        <v>5.8799999999999998E-2</v>
      </c>
      <c r="Y1351" s="152"/>
      <c r="Z1351" s="148"/>
      <c r="AA1351" s="153"/>
      <c r="AB1351" s="153"/>
      <c r="AC1351" s="153"/>
      <c r="AD1351" s="153"/>
      <c r="AH1351" s="147"/>
    </row>
    <row r="1352" spans="1:34" s="146" customFormat="1" x14ac:dyDescent="0.25">
      <c r="A1352" s="196">
        <v>1231</v>
      </c>
      <c r="B1352" s="196" t="s">
        <v>7428</v>
      </c>
      <c r="C1352" s="196" t="s">
        <v>7429</v>
      </c>
      <c r="D1352" s="196" t="s">
        <v>2257</v>
      </c>
      <c r="E1352" s="196"/>
      <c r="F1352" s="196">
        <v>2016</v>
      </c>
      <c r="G1352" s="196"/>
      <c r="H1352" s="196" t="s">
        <v>1878</v>
      </c>
      <c r="I1352" s="141" t="s">
        <v>1929</v>
      </c>
      <c r="J1352" s="196"/>
      <c r="K1352" s="196" t="s">
        <v>1881</v>
      </c>
      <c r="L1352" s="141" t="s">
        <v>7430</v>
      </c>
      <c r="M1352" s="196">
        <v>240</v>
      </c>
      <c r="N1352" s="196"/>
      <c r="O1352" s="196" t="s">
        <v>5541</v>
      </c>
      <c r="P1352" s="144">
        <v>230</v>
      </c>
      <c r="Q1352" s="145">
        <f t="shared" si="80"/>
        <v>1.1198000000000001</v>
      </c>
      <c r="R1352" s="203">
        <v>0.79</v>
      </c>
      <c r="S1352" s="203"/>
      <c r="T1352" s="151">
        <v>0.35</v>
      </c>
      <c r="U1352" s="151"/>
      <c r="V1352" s="151">
        <v>0.25</v>
      </c>
      <c r="W1352" s="151">
        <f t="shared" si="79"/>
        <v>0.79</v>
      </c>
      <c r="X1352" s="152">
        <f t="shared" si="78"/>
        <v>7.980000000000001E-2</v>
      </c>
      <c r="Y1352" s="152"/>
      <c r="Z1352" s="148"/>
      <c r="AA1352" s="153"/>
      <c r="AB1352" s="153"/>
      <c r="AC1352" s="153"/>
      <c r="AD1352" s="153"/>
      <c r="AH1352" s="147"/>
    </row>
    <row r="1353" spans="1:34" s="146" customFormat="1" x14ac:dyDescent="0.25">
      <c r="A1353" s="196">
        <v>853</v>
      </c>
      <c r="B1353" s="196" t="s">
        <v>7434</v>
      </c>
      <c r="C1353" s="196" t="s">
        <v>7435</v>
      </c>
      <c r="D1353" s="196" t="s">
        <v>4669</v>
      </c>
      <c r="E1353" s="196"/>
      <c r="F1353" s="196"/>
      <c r="G1353" s="196"/>
      <c r="H1353" s="196" t="s">
        <v>2734</v>
      </c>
      <c r="I1353" s="141" t="s">
        <v>1879</v>
      </c>
      <c r="J1353" s="196"/>
      <c r="K1353" s="196" t="s">
        <v>1881</v>
      </c>
      <c r="L1353" s="141" t="s">
        <v>7436</v>
      </c>
      <c r="M1353" s="196">
        <v>410</v>
      </c>
      <c r="N1353" s="196"/>
      <c r="O1353" s="196" t="s">
        <v>5543</v>
      </c>
      <c r="P1353" s="144">
        <v>605</v>
      </c>
      <c r="Q1353" s="145">
        <f t="shared" si="80"/>
        <v>1.0127999999999999</v>
      </c>
      <c r="R1353" s="203">
        <v>0.69</v>
      </c>
      <c r="S1353" s="203"/>
      <c r="T1353" s="151">
        <v>0.35</v>
      </c>
      <c r="U1353" s="151"/>
      <c r="V1353" s="151">
        <v>0.25</v>
      </c>
      <c r="W1353" s="151">
        <f t="shared" si="79"/>
        <v>0.69</v>
      </c>
      <c r="X1353" s="152">
        <f t="shared" si="78"/>
        <v>7.2800000000000004E-2</v>
      </c>
      <c r="Y1353" s="152"/>
      <c r="Z1353" s="148"/>
      <c r="AA1353" s="153"/>
      <c r="AB1353" s="153"/>
      <c r="AC1353" s="153"/>
      <c r="AD1353" s="153"/>
      <c r="AH1353" s="147"/>
    </row>
    <row r="1354" spans="1:34" s="146" customFormat="1" x14ac:dyDescent="0.25">
      <c r="A1354" s="196">
        <v>1327</v>
      </c>
      <c r="B1354" s="196" t="s">
        <v>2242</v>
      </c>
      <c r="C1354" s="196" t="s">
        <v>7437</v>
      </c>
      <c r="D1354" s="196" t="s">
        <v>2244</v>
      </c>
      <c r="E1354" s="196"/>
      <c r="F1354" s="196">
        <v>2001</v>
      </c>
      <c r="G1354" s="196"/>
      <c r="H1354" s="196" t="s">
        <v>2734</v>
      </c>
      <c r="I1354" s="141" t="s">
        <v>1879</v>
      </c>
      <c r="J1354" s="196"/>
      <c r="K1354" s="196" t="s">
        <v>1881</v>
      </c>
      <c r="L1354" s="141" t="s">
        <v>7438</v>
      </c>
      <c r="M1354" s="196">
        <v>498</v>
      </c>
      <c r="N1354" s="196"/>
      <c r="O1354" s="196" t="s">
        <v>5544</v>
      </c>
      <c r="P1354" s="144">
        <v>797</v>
      </c>
      <c r="Q1354" s="145">
        <f t="shared" si="80"/>
        <v>0.64900000000000002</v>
      </c>
      <c r="R1354" s="203">
        <v>0.25</v>
      </c>
      <c r="S1354" s="203"/>
      <c r="T1354" s="151">
        <v>0.35</v>
      </c>
      <c r="U1354" s="151"/>
      <c r="V1354" s="151">
        <v>0.25</v>
      </c>
      <c r="W1354" s="151">
        <f t="shared" si="79"/>
        <v>0.35</v>
      </c>
      <c r="X1354" s="152">
        <f t="shared" si="78"/>
        <v>4.8999999999999995E-2</v>
      </c>
      <c r="Y1354" s="152"/>
      <c r="Z1354" s="148"/>
      <c r="AA1354" s="153"/>
      <c r="AB1354" s="153"/>
      <c r="AC1354" s="153"/>
      <c r="AD1354" s="153"/>
      <c r="AH1354" s="147"/>
    </row>
    <row r="1355" spans="1:34" s="146" customFormat="1" x14ac:dyDescent="0.25">
      <c r="A1355" s="196">
        <v>573</v>
      </c>
      <c r="B1355" s="196" t="s">
        <v>7439</v>
      </c>
      <c r="C1355" s="196" t="s">
        <v>7440</v>
      </c>
      <c r="D1355" s="196" t="s">
        <v>7441</v>
      </c>
      <c r="E1355" s="196" t="s">
        <v>2922</v>
      </c>
      <c r="F1355" s="196">
        <v>2000</v>
      </c>
      <c r="G1355" s="196"/>
      <c r="H1355" s="196" t="s">
        <v>1878</v>
      </c>
      <c r="I1355" s="141" t="s">
        <v>1879</v>
      </c>
      <c r="J1355" s="196"/>
      <c r="K1355" s="196" t="s">
        <v>1881</v>
      </c>
      <c r="L1355" s="141" t="s">
        <v>7442</v>
      </c>
      <c r="M1355" s="196">
        <v>216</v>
      </c>
      <c r="N1355" s="196"/>
      <c r="O1355" s="196" t="s">
        <v>5545</v>
      </c>
      <c r="P1355" s="144">
        <v>285</v>
      </c>
      <c r="Q1355" s="145">
        <f t="shared" si="80"/>
        <v>16.313800000000001</v>
      </c>
      <c r="R1355" s="203">
        <v>14.99</v>
      </c>
      <c r="S1355" s="203"/>
      <c r="T1355" s="151">
        <v>0.35</v>
      </c>
      <c r="U1355" s="151"/>
      <c r="V1355" s="151">
        <v>0.25</v>
      </c>
      <c r="W1355" s="151">
        <f t="shared" si="79"/>
        <v>14.99</v>
      </c>
      <c r="X1355" s="152">
        <f t="shared" si="78"/>
        <v>1.0738000000000001</v>
      </c>
      <c r="Y1355" s="152"/>
      <c r="Z1355" s="148"/>
      <c r="AA1355" s="153"/>
      <c r="AB1355" s="153"/>
      <c r="AC1355" s="153"/>
      <c r="AD1355" s="153"/>
      <c r="AH1355" s="147"/>
    </row>
    <row r="1356" spans="1:34" s="146" customFormat="1" x14ac:dyDescent="0.25">
      <c r="A1356" s="196">
        <v>690</v>
      </c>
      <c r="B1356" s="196" t="s">
        <v>7443</v>
      </c>
      <c r="C1356" s="196" t="s">
        <v>7444</v>
      </c>
      <c r="D1356" s="196" t="s">
        <v>7445</v>
      </c>
      <c r="E1356" s="196" t="s">
        <v>1921</v>
      </c>
      <c r="F1356" s="196">
        <v>2008</v>
      </c>
      <c r="G1356" s="196"/>
      <c r="H1356" s="196" t="s">
        <v>2734</v>
      </c>
      <c r="I1356" s="141" t="s">
        <v>1879</v>
      </c>
      <c r="J1356" s="196"/>
      <c r="K1356" s="196" t="s">
        <v>1881</v>
      </c>
      <c r="L1356" s="141" t="s">
        <v>7446</v>
      </c>
      <c r="M1356" s="196">
        <v>306</v>
      </c>
      <c r="N1356" s="196"/>
      <c r="O1356" s="196" t="s">
        <v>5546</v>
      </c>
      <c r="P1356" s="144">
        <v>525</v>
      </c>
      <c r="Q1356" s="145">
        <f t="shared" si="80"/>
        <v>0.79879999999999995</v>
      </c>
      <c r="R1356" s="203">
        <v>0.49</v>
      </c>
      <c r="S1356" s="203"/>
      <c r="T1356" s="151">
        <v>0.35</v>
      </c>
      <c r="U1356" s="151"/>
      <c r="V1356" s="151">
        <v>0.25</v>
      </c>
      <c r="W1356" s="151">
        <f t="shared" si="79"/>
        <v>0.49</v>
      </c>
      <c r="X1356" s="152">
        <f t="shared" si="78"/>
        <v>5.8799999999999998E-2</v>
      </c>
      <c r="Y1356" s="152"/>
      <c r="Z1356" s="148"/>
      <c r="AA1356" s="153"/>
      <c r="AB1356" s="153"/>
      <c r="AC1356" s="153"/>
      <c r="AD1356" s="153"/>
      <c r="AH1356" s="147"/>
    </row>
    <row r="1357" spans="1:34" s="146" customFormat="1" x14ac:dyDescent="0.25">
      <c r="A1357" s="196">
        <v>1231</v>
      </c>
      <c r="B1357" s="196" t="s">
        <v>7447</v>
      </c>
      <c r="C1357" s="196" t="s">
        <v>7448</v>
      </c>
      <c r="D1357" s="196" t="s">
        <v>4667</v>
      </c>
      <c r="E1357" s="196"/>
      <c r="F1357" s="196">
        <v>1997</v>
      </c>
      <c r="G1357" s="196"/>
      <c r="H1357" s="196" t="s">
        <v>2734</v>
      </c>
      <c r="I1357" s="141" t="s">
        <v>1879</v>
      </c>
      <c r="J1357" s="196"/>
      <c r="K1357" s="196" t="s">
        <v>1881</v>
      </c>
      <c r="L1357" s="141"/>
      <c r="M1357" s="196">
        <v>290</v>
      </c>
      <c r="N1357" s="196"/>
      <c r="O1357" s="196" t="s">
        <v>5547</v>
      </c>
      <c r="P1357" s="144">
        <v>423</v>
      </c>
      <c r="Q1357" s="145">
        <f t="shared" si="80"/>
        <v>0.79879999999999995</v>
      </c>
      <c r="R1357" s="203">
        <v>0.49</v>
      </c>
      <c r="S1357" s="203"/>
      <c r="T1357" s="151">
        <v>0.35</v>
      </c>
      <c r="U1357" s="151"/>
      <c r="V1357" s="151">
        <v>0.25</v>
      </c>
      <c r="W1357" s="151">
        <f t="shared" si="79"/>
        <v>0.49</v>
      </c>
      <c r="X1357" s="152">
        <f t="shared" si="78"/>
        <v>5.8799999999999998E-2</v>
      </c>
      <c r="Y1357" s="152"/>
      <c r="Z1357" s="148"/>
      <c r="AA1357" s="153"/>
      <c r="AB1357" s="153"/>
      <c r="AC1357" s="153"/>
      <c r="AD1357" s="153"/>
      <c r="AH1357" s="147"/>
    </row>
    <row r="1358" spans="1:34" s="146" customFormat="1" x14ac:dyDescent="0.25">
      <c r="A1358" s="196">
        <v>2522</v>
      </c>
      <c r="B1358" s="196" t="s">
        <v>7449</v>
      </c>
      <c r="C1358" s="196" t="s">
        <v>7450</v>
      </c>
      <c r="D1358" s="196" t="s">
        <v>2257</v>
      </c>
      <c r="E1358" s="196"/>
      <c r="F1358" s="196">
        <v>2007</v>
      </c>
      <c r="G1358" s="196"/>
      <c r="H1358" s="196" t="s">
        <v>1878</v>
      </c>
      <c r="I1358" s="141" t="s">
        <v>1879</v>
      </c>
      <c r="J1358" s="52" t="s">
        <v>3854</v>
      </c>
      <c r="K1358" s="196" t="s">
        <v>1881</v>
      </c>
      <c r="L1358" s="141" t="s">
        <v>7451</v>
      </c>
      <c r="M1358" s="196">
        <v>512</v>
      </c>
      <c r="N1358" s="196"/>
      <c r="O1358" s="196" t="s">
        <v>5548</v>
      </c>
      <c r="P1358" s="144">
        <v>378</v>
      </c>
      <c r="Q1358" s="145">
        <f t="shared" si="80"/>
        <v>0.64900000000000002</v>
      </c>
      <c r="R1358" s="203">
        <v>0.25</v>
      </c>
      <c r="S1358" s="203"/>
      <c r="T1358" s="151">
        <v>0.35</v>
      </c>
      <c r="U1358" s="151"/>
      <c r="V1358" s="151">
        <v>0.25</v>
      </c>
      <c r="W1358" s="151">
        <f t="shared" si="79"/>
        <v>0.35</v>
      </c>
      <c r="X1358" s="152">
        <f t="shared" si="78"/>
        <v>4.8999999999999995E-2</v>
      </c>
      <c r="Y1358" s="152"/>
      <c r="Z1358" s="148"/>
      <c r="AA1358" s="153"/>
      <c r="AB1358" s="153"/>
      <c r="AC1358" s="153"/>
      <c r="AD1358" s="153"/>
      <c r="AH1358" s="147"/>
    </row>
    <row r="1359" spans="1:34" s="146" customFormat="1" x14ac:dyDescent="0.25">
      <c r="A1359" s="196">
        <v>1395</v>
      </c>
      <c r="B1359" s="196" t="s">
        <v>7452</v>
      </c>
      <c r="C1359" s="196" t="s">
        <v>7453</v>
      </c>
      <c r="D1359" s="196" t="s">
        <v>2300</v>
      </c>
      <c r="E1359" s="196"/>
      <c r="F1359" s="196">
        <v>1995</v>
      </c>
      <c r="G1359" s="196"/>
      <c r="H1359" s="196" t="s">
        <v>1878</v>
      </c>
      <c r="I1359" s="141" t="s">
        <v>7454</v>
      </c>
      <c r="J1359" s="196"/>
      <c r="K1359" s="196" t="s">
        <v>1881</v>
      </c>
      <c r="L1359" s="141" t="s">
        <v>7455</v>
      </c>
      <c r="M1359" s="196">
        <v>400</v>
      </c>
      <c r="N1359" s="196"/>
      <c r="O1359" s="196" t="s">
        <v>5549</v>
      </c>
      <c r="P1359" s="144">
        <v>234</v>
      </c>
      <c r="Q1359" s="145">
        <f t="shared" si="80"/>
        <v>0.64900000000000002</v>
      </c>
      <c r="R1359" s="203">
        <v>0.25</v>
      </c>
      <c r="S1359" s="203"/>
      <c r="T1359" s="151">
        <v>0.35</v>
      </c>
      <c r="U1359" s="151"/>
      <c r="V1359" s="151">
        <v>0.25</v>
      </c>
      <c r="W1359" s="151">
        <f t="shared" si="79"/>
        <v>0.35</v>
      </c>
      <c r="X1359" s="152">
        <f t="shared" si="78"/>
        <v>4.8999999999999995E-2</v>
      </c>
      <c r="Y1359" s="152"/>
      <c r="Z1359" s="148"/>
      <c r="AA1359" s="153"/>
      <c r="AB1359" s="153"/>
      <c r="AC1359" s="153"/>
      <c r="AD1359" s="153"/>
      <c r="AH1359" s="147"/>
    </row>
    <row r="1360" spans="1:34" s="146" customFormat="1" x14ac:dyDescent="0.25">
      <c r="A1360" s="196">
        <v>634</v>
      </c>
      <c r="B1360" s="196" t="s">
        <v>7456</v>
      </c>
      <c r="C1360" s="196" t="s">
        <v>7457</v>
      </c>
      <c r="D1360" s="196" t="s">
        <v>3077</v>
      </c>
      <c r="E1360" s="196"/>
      <c r="F1360" s="196">
        <v>1999</v>
      </c>
      <c r="G1360" s="196"/>
      <c r="H1360" s="196" t="s">
        <v>1878</v>
      </c>
      <c r="I1360" s="141" t="s">
        <v>1879</v>
      </c>
      <c r="J1360" s="196"/>
      <c r="K1360" s="196" t="s">
        <v>1881</v>
      </c>
      <c r="L1360" s="141" t="s">
        <v>7458</v>
      </c>
      <c r="M1360" s="196">
        <v>192</v>
      </c>
      <c r="N1360" s="196"/>
      <c r="O1360" s="196" t="s">
        <v>5550</v>
      </c>
      <c r="P1360" s="144">
        <v>179</v>
      </c>
      <c r="Q1360" s="145">
        <f t="shared" si="80"/>
        <v>0.79879999999999995</v>
      </c>
      <c r="R1360" s="203">
        <v>0.49</v>
      </c>
      <c r="S1360" s="203"/>
      <c r="T1360" s="151">
        <v>0.35</v>
      </c>
      <c r="U1360" s="151"/>
      <c r="V1360" s="151">
        <v>0.25</v>
      </c>
      <c r="W1360" s="151">
        <f t="shared" si="79"/>
        <v>0.49</v>
      </c>
      <c r="X1360" s="152">
        <f t="shared" si="78"/>
        <v>5.8799999999999998E-2</v>
      </c>
      <c r="Y1360" s="152"/>
      <c r="Z1360" s="148"/>
      <c r="AA1360" s="153"/>
      <c r="AB1360" s="153"/>
      <c r="AC1360" s="153"/>
      <c r="AD1360" s="153"/>
      <c r="AH1360" s="147"/>
    </row>
    <row r="1361" spans="1:34" s="146" customFormat="1" x14ac:dyDescent="0.25">
      <c r="A1361" s="196">
        <v>2522</v>
      </c>
      <c r="B1361" s="196" t="s">
        <v>7459</v>
      </c>
      <c r="C1361" s="196" t="s">
        <v>7460</v>
      </c>
      <c r="D1361" s="196" t="s">
        <v>1876</v>
      </c>
      <c r="E1361" s="196" t="s">
        <v>1921</v>
      </c>
      <c r="F1361" s="196">
        <v>2016</v>
      </c>
      <c r="G1361" s="196"/>
      <c r="H1361" s="196" t="s">
        <v>1878</v>
      </c>
      <c r="I1361" s="141" t="s">
        <v>1929</v>
      </c>
      <c r="J1361" s="52" t="s">
        <v>3854</v>
      </c>
      <c r="K1361" s="196" t="s">
        <v>1881</v>
      </c>
      <c r="L1361" s="141" t="s">
        <v>7461</v>
      </c>
      <c r="M1361" s="196">
        <v>464</v>
      </c>
      <c r="N1361" s="196"/>
      <c r="O1361" s="196" t="s">
        <v>5551</v>
      </c>
      <c r="P1361" s="144">
        <v>332</v>
      </c>
      <c r="Q1361" s="145">
        <f t="shared" si="80"/>
        <v>1.7617999999999998</v>
      </c>
      <c r="R1361" s="203">
        <v>1.39</v>
      </c>
      <c r="S1361" s="203"/>
      <c r="T1361" s="151">
        <v>0.35</v>
      </c>
      <c r="U1361" s="151"/>
      <c r="V1361" s="151">
        <v>0.25</v>
      </c>
      <c r="W1361" s="151">
        <f t="shared" si="79"/>
        <v>1.39</v>
      </c>
      <c r="X1361" s="152">
        <f t="shared" si="78"/>
        <v>0.12179999999999999</v>
      </c>
      <c r="Y1361" s="152"/>
      <c r="Z1361" s="148"/>
      <c r="AA1361" s="153"/>
      <c r="AB1361" s="153"/>
      <c r="AC1361" s="153"/>
      <c r="AD1361" s="153"/>
      <c r="AH1361" s="147"/>
    </row>
    <row r="1362" spans="1:34" s="146" customFormat="1" x14ac:dyDescent="0.25">
      <c r="A1362" s="196">
        <v>632</v>
      </c>
      <c r="B1362" s="196" t="s">
        <v>7462</v>
      </c>
      <c r="C1362" s="196" t="s">
        <v>7463</v>
      </c>
      <c r="D1362" s="196" t="s">
        <v>1912</v>
      </c>
      <c r="E1362" s="196" t="s">
        <v>1913</v>
      </c>
      <c r="F1362" s="196">
        <v>1988</v>
      </c>
      <c r="G1362" s="196"/>
      <c r="H1362" s="196" t="s">
        <v>1878</v>
      </c>
      <c r="I1362" s="141" t="s">
        <v>1914</v>
      </c>
      <c r="J1362" s="196"/>
      <c r="K1362" s="196" t="s">
        <v>1881</v>
      </c>
      <c r="L1362" s="141" t="s">
        <v>7464</v>
      </c>
      <c r="M1362" s="196">
        <v>544</v>
      </c>
      <c r="N1362" s="196"/>
      <c r="O1362" s="196" t="s">
        <v>5552</v>
      </c>
      <c r="P1362" s="144">
        <v>297</v>
      </c>
      <c r="Q1362" s="145">
        <f t="shared" si="80"/>
        <v>1.4408000000000001</v>
      </c>
      <c r="R1362" s="203">
        <v>1.0900000000000001</v>
      </c>
      <c r="S1362" s="203"/>
      <c r="T1362" s="151">
        <v>0.35</v>
      </c>
      <c r="U1362" s="151"/>
      <c r="V1362" s="151">
        <v>0.25</v>
      </c>
      <c r="W1362" s="151">
        <f t="shared" si="79"/>
        <v>1.0900000000000001</v>
      </c>
      <c r="X1362" s="152">
        <f t="shared" si="78"/>
        <v>0.1008</v>
      </c>
      <c r="Y1362" s="152"/>
      <c r="Z1362" s="148"/>
      <c r="AA1362" s="153"/>
      <c r="AB1362" s="153"/>
      <c r="AC1362" s="153"/>
      <c r="AD1362" s="153"/>
      <c r="AH1362" s="147"/>
    </row>
    <row r="1363" spans="1:34" s="146" customFormat="1" x14ac:dyDescent="0.25">
      <c r="A1363" s="196">
        <v>815</v>
      </c>
      <c r="B1363" s="196" t="s">
        <v>7465</v>
      </c>
      <c r="C1363" s="196" t="s">
        <v>7466</v>
      </c>
      <c r="D1363" s="196" t="s">
        <v>7467</v>
      </c>
      <c r="E1363" s="196"/>
      <c r="F1363" s="196">
        <v>1985</v>
      </c>
      <c r="G1363" s="196"/>
      <c r="H1363" s="196" t="s">
        <v>1878</v>
      </c>
      <c r="I1363" s="141" t="s">
        <v>1879</v>
      </c>
      <c r="J1363" s="196"/>
      <c r="K1363" s="196" t="s">
        <v>1881</v>
      </c>
      <c r="L1363" s="141" t="s">
        <v>7468</v>
      </c>
      <c r="M1363" s="196">
        <v>384</v>
      </c>
      <c r="N1363" s="196"/>
      <c r="O1363" s="196" t="s">
        <v>5553</v>
      </c>
      <c r="P1363" s="144">
        <v>349</v>
      </c>
      <c r="Q1363" s="145">
        <f t="shared" si="80"/>
        <v>0.79879999999999995</v>
      </c>
      <c r="R1363" s="203">
        <v>0.49</v>
      </c>
      <c r="S1363" s="203"/>
      <c r="T1363" s="151">
        <v>0.35</v>
      </c>
      <c r="U1363" s="151"/>
      <c r="V1363" s="151">
        <v>0.25</v>
      </c>
      <c r="W1363" s="151">
        <f t="shared" si="79"/>
        <v>0.49</v>
      </c>
      <c r="X1363" s="152">
        <f t="shared" si="78"/>
        <v>5.8799999999999998E-2</v>
      </c>
      <c r="Y1363" s="152"/>
      <c r="Z1363" s="148"/>
      <c r="AA1363" s="153"/>
      <c r="AB1363" s="153"/>
      <c r="AC1363" s="153"/>
      <c r="AD1363" s="153"/>
      <c r="AH1363" s="147"/>
    </row>
    <row r="1364" spans="1:34" s="146" customFormat="1" x14ac:dyDescent="0.25">
      <c r="A1364" s="196">
        <v>806</v>
      </c>
      <c r="B1364" s="196" t="s">
        <v>7469</v>
      </c>
      <c r="C1364" s="196" t="s">
        <v>7470</v>
      </c>
      <c r="D1364" s="196" t="s">
        <v>2257</v>
      </c>
      <c r="E1364" s="196"/>
      <c r="F1364" s="196">
        <v>1978</v>
      </c>
      <c r="G1364" s="196"/>
      <c r="H1364" s="196" t="s">
        <v>1878</v>
      </c>
      <c r="I1364" s="141" t="s">
        <v>1914</v>
      </c>
      <c r="J1364" s="196"/>
      <c r="K1364" s="196" t="s">
        <v>1881</v>
      </c>
      <c r="L1364" s="141" t="s">
        <v>7471</v>
      </c>
      <c r="M1364" s="196">
        <v>256</v>
      </c>
      <c r="N1364" s="196"/>
      <c r="O1364" s="196" t="s">
        <v>5554</v>
      </c>
      <c r="P1364" s="144">
        <v>278</v>
      </c>
      <c r="Q1364" s="145">
        <f t="shared" si="80"/>
        <v>1.0127999999999999</v>
      </c>
      <c r="R1364" s="203">
        <v>0.69</v>
      </c>
      <c r="S1364" s="203"/>
      <c r="T1364" s="151">
        <v>0.35</v>
      </c>
      <c r="U1364" s="151"/>
      <c r="V1364" s="151">
        <v>0.25</v>
      </c>
      <c r="W1364" s="151">
        <f t="shared" si="79"/>
        <v>0.69</v>
      </c>
      <c r="X1364" s="152">
        <f t="shared" si="78"/>
        <v>7.2800000000000004E-2</v>
      </c>
      <c r="Y1364" s="152"/>
      <c r="Z1364" s="148"/>
      <c r="AA1364" s="153"/>
      <c r="AB1364" s="153"/>
      <c r="AC1364" s="153"/>
      <c r="AD1364" s="153"/>
      <c r="AH1364" s="147"/>
    </row>
    <row r="1365" spans="1:34" s="146" customFormat="1" x14ac:dyDescent="0.25">
      <c r="A1365" s="196">
        <v>651</v>
      </c>
      <c r="B1365" s="196" t="s">
        <v>7472</v>
      </c>
      <c r="C1365" s="196" t="s">
        <v>7473</v>
      </c>
      <c r="D1365" s="196" t="s">
        <v>2117</v>
      </c>
      <c r="E1365" s="196" t="s">
        <v>1913</v>
      </c>
      <c r="F1365" s="196">
        <v>2000</v>
      </c>
      <c r="G1365" s="196"/>
      <c r="H1365" s="196" t="s">
        <v>1878</v>
      </c>
      <c r="I1365" s="141" t="s">
        <v>1879</v>
      </c>
      <c r="J1365" s="196"/>
      <c r="K1365" s="196" t="s">
        <v>1881</v>
      </c>
      <c r="L1365" s="141" t="s">
        <v>7474</v>
      </c>
      <c r="M1365" s="196">
        <v>32</v>
      </c>
      <c r="N1365" s="196"/>
      <c r="O1365" s="196" t="s">
        <v>5555</v>
      </c>
      <c r="P1365" s="144">
        <v>126</v>
      </c>
      <c r="Q1365" s="145">
        <f t="shared" si="80"/>
        <v>0.79879999999999995</v>
      </c>
      <c r="R1365" s="203">
        <v>0.49</v>
      </c>
      <c r="S1365" s="203"/>
      <c r="T1365" s="151">
        <v>0.35</v>
      </c>
      <c r="U1365" s="151"/>
      <c r="V1365" s="151">
        <v>0.25</v>
      </c>
      <c r="W1365" s="151">
        <f t="shared" si="79"/>
        <v>0.49</v>
      </c>
      <c r="X1365" s="152">
        <f t="shared" si="78"/>
        <v>5.8799999999999998E-2</v>
      </c>
      <c r="Y1365" s="152"/>
      <c r="Z1365" s="148"/>
      <c r="AA1365" s="153"/>
      <c r="AB1365" s="153"/>
      <c r="AC1365" s="153"/>
      <c r="AD1365" s="153"/>
      <c r="AH1365" s="147"/>
    </row>
    <row r="1366" spans="1:34" s="146" customFormat="1" x14ac:dyDescent="0.25">
      <c r="A1366" s="196">
        <v>4</v>
      </c>
      <c r="B1366" s="196" t="s">
        <v>7475</v>
      </c>
      <c r="C1366" s="196" t="s">
        <v>7476</v>
      </c>
      <c r="D1366" s="196" t="s">
        <v>7441</v>
      </c>
      <c r="E1366" s="196"/>
      <c r="F1366" s="196">
        <v>2004</v>
      </c>
      <c r="G1366" s="196"/>
      <c r="H1366" s="196" t="s">
        <v>1878</v>
      </c>
      <c r="I1366" s="141" t="s">
        <v>1879</v>
      </c>
      <c r="J1366" s="196"/>
      <c r="K1366" s="196" t="s">
        <v>1881</v>
      </c>
      <c r="L1366" s="141" t="s">
        <v>7477</v>
      </c>
      <c r="M1366" s="196">
        <v>288</v>
      </c>
      <c r="N1366" s="196"/>
      <c r="O1366" s="196" t="s">
        <v>5556</v>
      </c>
      <c r="P1366" s="144">
        <v>423</v>
      </c>
      <c r="Q1366" s="145">
        <f t="shared" si="80"/>
        <v>5.7207999999999997</v>
      </c>
      <c r="R1366" s="203">
        <v>5.09</v>
      </c>
      <c r="S1366" s="203"/>
      <c r="T1366" s="151">
        <v>0.35</v>
      </c>
      <c r="U1366" s="151"/>
      <c r="V1366" s="151">
        <v>0.25</v>
      </c>
      <c r="W1366" s="151">
        <f t="shared" si="79"/>
        <v>5.09</v>
      </c>
      <c r="X1366" s="152">
        <f t="shared" si="78"/>
        <v>0.38079999999999997</v>
      </c>
      <c r="Y1366" s="152"/>
      <c r="Z1366" s="148"/>
      <c r="AA1366" s="153"/>
      <c r="AB1366" s="153"/>
      <c r="AC1366" s="153"/>
      <c r="AD1366" s="153"/>
      <c r="AH1366" s="147"/>
    </row>
    <row r="1367" spans="1:34" s="146" customFormat="1" x14ac:dyDescent="0.25">
      <c r="A1367" s="196">
        <v>1395</v>
      </c>
      <c r="B1367" s="196" t="s">
        <v>7478</v>
      </c>
      <c r="C1367" s="196" t="s">
        <v>7479</v>
      </c>
      <c r="D1367" s="196" t="s">
        <v>1912</v>
      </c>
      <c r="E1367" s="196" t="s">
        <v>1913</v>
      </c>
      <c r="F1367" s="196">
        <v>2004</v>
      </c>
      <c r="G1367" s="196"/>
      <c r="H1367" s="196" t="s">
        <v>1878</v>
      </c>
      <c r="I1367" s="141" t="s">
        <v>1879</v>
      </c>
      <c r="J1367" s="196"/>
      <c r="K1367" s="196" t="s">
        <v>1881</v>
      </c>
      <c r="L1367" s="141" t="s">
        <v>7480</v>
      </c>
      <c r="M1367" s="196">
        <v>352</v>
      </c>
      <c r="N1367" s="196"/>
      <c r="O1367" s="196" t="s">
        <v>5557</v>
      </c>
      <c r="P1367" s="144">
        <v>276</v>
      </c>
      <c r="Q1367" s="145">
        <f t="shared" si="80"/>
        <v>0.79879999999999995</v>
      </c>
      <c r="R1367" s="203">
        <v>0.49</v>
      </c>
      <c r="S1367" s="203"/>
      <c r="T1367" s="151">
        <v>0.35</v>
      </c>
      <c r="U1367" s="151"/>
      <c r="V1367" s="151">
        <v>0.25</v>
      </c>
      <c r="W1367" s="151">
        <f t="shared" si="79"/>
        <v>0.49</v>
      </c>
      <c r="X1367" s="152">
        <f t="shared" si="78"/>
        <v>5.8799999999999998E-2</v>
      </c>
      <c r="Y1367" s="152"/>
      <c r="Z1367" s="148"/>
      <c r="AA1367" s="153"/>
      <c r="AB1367" s="153"/>
      <c r="AC1367" s="153"/>
      <c r="AD1367" s="153"/>
      <c r="AH1367" s="147"/>
    </row>
    <row r="1368" spans="1:34" s="146" customFormat="1" x14ac:dyDescent="0.25">
      <c r="A1368" s="196">
        <v>8</v>
      </c>
      <c r="B1368" s="196" t="s">
        <v>7481</v>
      </c>
      <c r="C1368" s="196" t="s">
        <v>7482</v>
      </c>
      <c r="D1368" s="196" t="s">
        <v>1998</v>
      </c>
      <c r="E1368" s="196" t="s">
        <v>1913</v>
      </c>
      <c r="F1368" s="196">
        <v>1997</v>
      </c>
      <c r="G1368" s="196"/>
      <c r="H1368" s="196" t="s">
        <v>1878</v>
      </c>
      <c r="I1368" s="141" t="s">
        <v>1879</v>
      </c>
      <c r="J1368" s="196"/>
      <c r="K1368" s="196" t="s">
        <v>1881</v>
      </c>
      <c r="L1368" s="141" t="s">
        <v>7483</v>
      </c>
      <c r="M1368" s="196">
        <v>352</v>
      </c>
      <c r="N1368" s="196"/>
      <c r="O1368" s="196" t="s">
        <v>5558</v>
      </c>
      <c r="P1368" s="144">
        <v>302</v>
      </c>
      <c r="Q1368" s="145">
        <f t="shared" si="80"/>
        <v>1.0127999999999999</v>
      </c>
      <c r="R1368" s="203">
        <v>0.69</v>
      </c>
      <c r="S1368" s="203"/>
      <c r="T1368" s="151">
        <v>0.35</v>
      </c>
      <c r="U1368" s="151"/>
      <c r="V1368" s="151">
        <v>0.25</v>
      </c>
      <c r="W1368" s="151">
        <f t="shared" si="79"/>
        <v>0.69</v>
      </c>
      <c r="X1368" s="152">
        <f t="shared" si="78"/>
        <v>7.2800000000000004E-2</v>
      </c>
      <c r="Y1368" s="152"/>
      <c r="Z1368" s="148"/>
      <c r="AA1368" s="153"/>
      <c r="AB1368" s="153"/>
      <c r="AC1368" s="153"/>
      <c r="AD1368" s="153"/>
      <c r="AH1368" s="147"/>
    </row>
    <row r="1369" spans="1:34" s="146" customFormat="1" x14ac:dyDescent="0.25">
      <c r="A1369" s="196">
        <v>655</v>
      </c>
      <c r="B1369" s="196" t="s">
        <v>7484</v>
      </c>
      <c r="C1369" s="196" t="s">
        <v>7485</v>
      </c>
      <c r="D1369" s="196"/>
      <c r="E1369" s="196"/>
      <c r="F1369" s="196">
        <v>2010</v>
      </c>
      <c r="G1369" s="196"/>
      <c r="H1369" s="196" t="s">
        <v>1878</v>
      </c>
      <c r="I1369" s="141" t="s">
        <v>1929</v>
      </c>
      <c r="J1369" s="196"/>
      <c r="K1369" s="196" t="s">
        <v>1881</v>
      </c>
      <c r="L1369" s="141" t="s">
        <v>7486</v>
      </c>
      <c r="M1369" s="196">
        <v>288</v>
      </c>
      <c r="N1369" s="196"/>
      <c r="O1369" s="196" t="s">
        <v>5559</v>
      </c>
      <c r="P1369" s="144">
        <v>279</v>
      </c>
      <c r="Q1369" s="145">
        <f t="shared" si="80"/>
        <v>0.79879999999999995</v>
      </c>
      <c r="R1369" s="203">
        <v>0.49</v>
      </c>
      <c r="S1369" s="203"/>
      <c r="T1369" s="151">
        <v>0.35</v>
      </c>
      <c r="U1369" s="151"/>
      <c r="V1369" s="151">
        <v>0.25</v>
      </c>
      <c r="W1369" s="151">
        <f t="shared" si="79"/>
        <v>0.49</v>
      </c>
      <c r="X1369" s="152">
        <f t="shared" si="78"/>
        <v>5.8799999999999998E-2</v>
      </c>
      <c r="Y1369" s="152"/>
      <c r="Z1369" s="148"/>
      <c r="AA1369" s="153"/>
      <c r="AB1369" s="153"/>
      <c r="AC1369" s="153"/>
      <c r="AD1369" s="153"/>
      <c r="AH1369" s="147"/>
    </row>
    <row r="1370" spans="1:34" s="146" customFormat="1" x14ac:dyDescent="0.25">
      <c r="A1370" s="196">
        <v>2573</v>
      </c>
      <c r="B1370" s="196" t="s">
        <v>7487</v>
      </c>
      <c r="C1370" s="196" t="s">
        <v>7488</v>
      </c>
      <c r="D1370" s="196" t="s">
        <v>7489</v>
      </c>
      <c r="E1370" s="196"/>
      <c r="F1370" s="196">
        <v>2004</v>
      </c>
      <c r="G1370" s="196"/>
      <c r="H1370" s="196" t="s">
        <v>1878</v>
      </c>
      <c r="I1370" s="141" t="s">
        <v>1879</v>
      </c>
      <c r="J1370" s="196"/>
      <c r="K1370" s="196" t="s">
        <v>1881</v>
      </c>
      <c r="L1370" s="141" t="s">
        <v>7490</v>
      </c>
      <c r="M1370" s="196">
        <v>464</v>
      </c>
      <c r="N1370" s="196"/>
      <c r="O1370" s="196" t="s">
        <v>5560</v>
      </c>
      <c r="P1370" s="144">
        <v>685</v>
      </c>
      <c r="Q1370" s="145">
        <f t="shared" si="80"/>
        <v>1.2268000000000001</v>
      </c>
      <c r="R1370" s="203">
        <v>0.89</v>
      </c>
      <c r="S1370" s="203"/>
      <c r="T1370" s="151">
        <v>0.35</v>
      </c>
      <c r="U1370" s="151"/>
      <c r="V1370" s="151">
        <v>0.25</v>
      </c>
      <c r="W1370" s="151">
        <f t="shared" si="79"/>
        <v>0.89</v>
      </c>
      <c r="X1370" s="152">
        <f t="shared" si="78"/>
        <v>8.6800000000000002E-2</v>
      </c>
      <c r="Y1370" s="152"/>
      <c r="Z1370" s="148"/>
      <c r="AA1370" s="153"/>
      <c r="AB1370" s="153"/>
      <c r="AC1370" s="153"/>
      <c r="AD1370" s="153"/>
      <c r="AH1370" s="147"/>
    </row>
    <row r="1371" spans="1:34" s="146" customFormat="1" x14ac:dyDescent="0.25">
      <c r="A1371" s="196">
        <v>774</v>
      </c>
      <c r="B1371" s="196" t="s">
        <v>7491</v>
      </c>
      <c r="C1371" s="196" t="s">
        <v>7492</v>
      </c>
      <c r="D1371" s="196" t="s">
        <v>2209</v>
      </c>
      <c r="E1371" s="196"/>
      <c r="F1371" s="196">
        <v>2015</v>
      </c>
      <c r="G1371" s="196"/>
      <c r="H1371" s="196" t="s">
        <v>1878</v>
      </c>
      <c r="I1371" s="141" t="s">
        <v>1929</v>
      </c>
      <c r="J1371" s="196"/>
      <c r="K1371" s="196" t="s">
        <v>1881</v>
      </c>
      <c r="L1371" s="141" t="s">
        <v>7493</v>
      </c>
      <c r="M1371" s="196">
        <v>304</v>
      </c>
      <c r="N1371" s="196"/>
      <c r="O1371" s="196" t="s">
        <v>5561</v>
      </c>
      <c r="P1371" s="144">
        <v>286</v>
      </c>
      <c r="Q1371" s="145">
        <f t="shared" si="80"/>
        <v>2.2967999999999997</v>
      </c>
      <c r="R1371" s="203">
        <v>1.89</v>
      </c>
      <c r="S1371" s="203"/>
      <c r="T1371" s="151">
        <v>0.35</v>
      </c>
      <c r="U1371" s="151"/>
      <c r="V1371" s="151">
        <v>0.25</v>
      </c>
      <c r="W1371" s="151">
        <f t="shared" si="79"/>
        <v>1.89</v>
      </c>
      <c r="X1371" s="152">
        <f t="shared" si="78"/>
        <v>0.15679999999999997</v>
      </c>
      <c r="Y1371" s="152"/>
      <c r="Z1371" s="148"/>
      <c r="AA1371" s="153"/>
      <c r="AB1371" s="153"/>
      <c r="AC1371" s="153"/>
      <c r="AD1371" s="153"/>
      <c r="AH1371" s="147"/>
    </row>
    <row r="1372" spans="1:34" s="146" customFormat="1" x14ac:dyDescent="0.25">
      <c r="A1372" s="196">
        <v>1395</v>
      </c>
      <c r="B1372" s="196" t="s">
        <v>7494</v>
      </c>
      <c r="C1372" s="196" t="s">
        <v>7495</v>
      </c>
      <c r="D1372" s="196" t="s">
        <v>2300</v>
      </c>
      <c r="E1372" s="196"/>
      <c r="F1372" s="196">
        <v>1986</v>
      </c>
      <c r="G1372" s="196"/>
      <c r="H1372" s="196" t="s">
        <v>1878</v>
      </c>
      <c r="I1372" s="141" t="s">
        <v>1879</v>
      </c>
      <c r="J1372" s="196"/>
      <c r="K1372" s="196" t="s">
        <v>1881</v>
      </c>
      <c r="L1372" s="141"/>
      <c r="M1372" s="196">
        <v>210</v>
      </c>
      <c r="N1372" s="196"/>
      <c r="O1372" s="196" t="s">
        <v>5562</v>
      </c>
      <c r="P1372" s="144">
        <v>270</v>
      </c>
      <c r="Q1372" s="145">
        <f t="shared" si="80"/>
        <v>0.64900000000000002</v>
      </c>
      <c r="R1372" s="203">
        <v>0.31</v>
      </c>
      <c r="S1372" s="203"/>
      <c r="T1372" s="151">
        <v>0.35</v>
      </c>
      <c r="U1372" s="151"/>
      <c r="V1372" s="151">
        <v>0.25</v>
      </c>
      <c r="W1372" s="151">
        <f t="shared" si="79"/>
        <v>0.35</v>
      </c>
      <c r="X1372" s="152">
        <f t="shared" si="78"/>
        <v>4.8999999999999995E-2</v>
      </c>
      <c r="Y1372" s="152"/>
      <c r="Z1372" s="148"/>
      <c r="AA1372" s="153"/>
      <c r="AB1372" s="153"/>
      <c r="AC1372" s="153"/>
      <c r="AD1372" s="153"/>
      <c r="AH1372" s="147"/>
    </row>
    <row r="1373" spans="1:34" s="146" customFormat="1" x14ac:dyDescent="0.25">
      <c r="A1373" s="196">
        <v>632</v>
      </c>
      <c r="B1373" s="196" t="s">
        <v>7496</v>
      </c>
      <c r="C1373" s="196" t="s">
        <v>7497</v>
      </c>
      <c r="D1373" s="196" t="s">
        <v>1912</v>
      </c>
      <c r="E1373" s="196" t="s">
        <v>1921</v>
      </c>
      <c r="F1373" s="196">
        <v>1998</v>
      </c>
      <c r="G1373" s="196"/>
      <c r="H1373" s="196" t="s">
        <v>1878</v>
      </c>
      <c r="I1373" s="141" t="s">
        <v>1879</v>
      </c>
      <c r="J1373" s="196"/>
      <c r="K1373" s="196" t="s">
        <v>1881</v>
      </c>
      <c r="L1373" s="141" t="s">
        <v>7498</v>
      </c>
      <c r="M1373" s="196">
        <v>416</v>
      </c>
      <c r="N1373" s="196"/>
      <c r="O1373" s="196" t="s">
        <v>5563</v>
      </c>
      <c r="P1373" s="144">
        <v>276</v>
      </c>
      <c r="Q1373" s="145">
        <f t="shared" si="80"/>
        <v>0.79879999999999995</v>
      </c>
      <c r="R1373" s="203">
        <v>0.49</v>
      </c>
      <c r="S1373" s="203"/>
      <c r="T1373" s="151">
        <v>0.35</v>
      </c>
      <c r="U1373" s="151"/>
      <c r="V1373" s="151">
        <v>0.25</v>
      </c>
      <c r="W1373" s="151">
        <f t="shared" si="79"/>
        <v>0.49</v>
      </c>
      <c r="X1373" s="152">
        <f t="shared" si="78"/>
        <v>5.8799999999999998E-2</v>
      </c>
      <c r="Y1373" s="152"/>
      <c r="Z1373" s="148"/>
      <c r="AA1373" s="153"/>
      <c r="AB1373" s="153"/>
      <c r="AC1373" s="153"/>
      <c r="AD1373" s="153"/>
      <c r="AH1373" s="147"/>
    </row>
    <row r="1374" spans="1:34" s="146" customFormat="1" x14ac:dyDescent="0.25">
      <c r="A1374" s="196">
        <v>796</v>
      </c>
      <c r="B1374" s="196" t="s">
        <v>7499</v>
      </c>
      <c r="C1374" s="196" t="s">
        <v>7500</v>
      </c>
      <c r="D1374" s="196" t="s">
        <v>1920</v>
      </c>
      <c r="E1374" s="196" t="s">
        <v>1921</v>
      </c>
      <c r="F1374" s="196">
        <v>2016</v>
      </c>
      <c r="G1374" s="196"/>
      <c r="H1374" s="196" t="s">
        <v>1878</v>
      </c>
      <c r="I1374" s="141" t="s">
        <v>1879</v>
      </c>
      <c r="J1374" s="52" t="s">
        <v>3854</v>
      </c>
      <c r="K1374" s="196" t="s">
        <v>1881</v>
      </c>
      <c r="L1374" s="141" t="s">
        <v>7501</v>
      </c>
      <c r="M1374" s="196">
        <v>320</v>
      </c>
      <c r="N1374" s="196"/>
      <c r="O1374" s="196" t="s">
        <v>5564</v>
      </c>
      <c r="P1374" s="144">
        <v>317</v>
      </c>
      <c r="Q1374" s="145">
        <f t="shared" si="80"/>
        <v>0.79879999999999995</v>
      </c>
      <c r="R1374" s="203">
        <v>0.49</v>
      </c>
      <c r="S1374" s="203"/>
      <c r="T1374" s="151">
        <v>0.35</v>
      </c>
      <c r="U1374" s="151"/>
      <c r="V1374" s="151">
        <v>0.25</v>
      </c>
      <c r="W1374" s="151">
        <f t="shared" si="79"/>
        <v>0.49</v>
      </c>
      <c r="X1374" s="152">
        <f t="shared" si="78"/>
        <v>5.8799999999999998E-2</v>
      </c>
      <c r="Y1374" s="152"/>
      <c r="Z1374" s="148"/>
      <c r="AA1374" s="153"/>
      <c r="AB1374" s="153"/>
      <c r="AC1374" s="153"/>
      <c r="AD1374" s="153"/>
      <c r="AH1374" s="147"/>
    </row>
    <row r="1375" spans="1:34" s="146" customFormat="1" x14ac:dyDescent="0.25">
      <c r="A1375" s="196">
        <v>796</v>
      </c>
      <c r="B1375" s="196" t="s">
        <v>7502</v>
      </c>
      <c r="C1375" s="196" t="s">
        <v>7503</v>
      </c>
      <c r="D1375" s="196" t="s">
        <v>2054</v>
      </c>
      <c r="E1375" s="196"/>
      <c r="F1375" s="196">
        <v>2002</v>
      </c>
      <c r="G1375" s="196"/>
      <c r="H1375" s="196" t="s">
        <v>2734</v>
      </c>
      <c r="I1375" s="141" t="s">
        <v>1879</v>
      </c>
      <c r="J1375" s="196"/>
      <c r="K1375" s="196" t="s">
        <v>1881</v>
      </c>
      <c r="L1375" s="141" t="s">
        <v>7504</v>
      </c>
      <c r="M1375" s="196">
        <v>322</v>
      </c>
      <c r="N1375" s="196"/>
      <c r="O1375" s="196" t="s">
        <v>5565</v>
      </c>
      <c r="P1375" s="144">
        <v>397</v>
      </c>
      <c r="Q1375" s="145">
        <f t="shared" si="80"/>
        <v>0.79879999999999995</v>
      </c>
      <c r="R1375" s="203">
        <v>0.49</v>
      </c>
      <c r="S1375" s="203"/>
      <c r="T1375" s="151">
        <v>0.35</v>
      </c>
      <c r="U1375" s="151"/>
      <c r="V1375" s="151">
        <v>0.25</v>
      </c>
      <c r="W1375" s="151">
        <f t="shared" si="79"/>
        <v>0.49</v>
      </c>
      <c r="X1375" s="152">
        <f t="shared" si="78"/>
        <v>5.8799999999999998E-2</v>
      </c>
      <c r="Y1375" s="152"/>
      <c r="Z1375" s="148"/>
      <c r="AA1375" s="153"/>
      <c r="AB1375" s="153"/>
      <c r="AC1375" s="153"/>
      <c r="AD1375" s="153"/>
      <c r="AH1375" s="147"/>
    </row>
    <row r="1376" spans="1:34" s="146" customFormat="1" x14ac:dyDescent="0.25">
      <c r="A1376" s="196">
        <v>1927</v>
      </c>
      <c r="B1376" s="196" t="s">
        <v>7505</v>
      </c>
      <c r="C1376" s="196" t="s">
        <v>7506</v>
      </c>
      <c r="D1376" s="196" t="s">
        <v>2257</v>
      </c>
      <c r="E1376" s="196"/>
      <c r="F1376" s="196">
        <v>2009</v>
      </c>
      <c r="G1376" s="196"/>
      <c r="H1376" s="196" t="s">
        <v>1878</v>
      </c>
      <c r="I1376" s="141" t="s">
        <v>1879</v>
      </c>
      <c r="J1376" s="196"/>
      <c r="K1376" s="196" t="s">
        <v>1881</v>
      </c>
      <c r="L1376" s="141" t="s">
        <v>7507</v>
      </c>
      <c r="M1376" s="196">
        <v>256</v>
      </c>
      <c r="N1376" s="196"/>
      <c r="O1376" s="196" t="s">
        <v>5566</v>
      </c>
      <c r="P1376" s="144">
        <v>196</v>
      </c>
      <c r="Q1376" s="145">
        <f t="shared" si="80"/>
        <v>0.64900000000000002</v>
      </c>
      <c r="R1376" s="203">
        <v>0.25</v>
      </c>
      <c r="S1376" s="203"/>
      <c r="T1376" s="151">
        <v>0.35</v>
      </c>
      <c r="U1376" s="151"/>
      <c r="V1376" s="151">
        <v>0.25</v>
      </c>
      <c r="W1376" s="151">
        <f t="shared" si="79"/>
        <v>0.35</v>
      </c>
      <c r="X1376" s="152">
        <f t="shared" si="78"/>
        <v>4.8999999999999995E-2</v>
      </c>
      <c r="Y1376" s="152"/>
      <c r="Z1376" s="148"/>
      <c r="AA1376" s="153"/>
      <c r="AB1376" s="153"/>
      <c r="AC1376" s="153"/>
      <c r="AD1376" s="153"/>
      <c r="AH1376" s="147"/>
    </row>
    <row r="1377" spans="1:34" s="146" customFormat="1" x14ac:dyDescent="0.25">
      <c r="A1377" s="196">
        <v>1335</v>
      </c>
      <c r="B1377" s="196" t="s">
        <v>7508</v>
      </c>
      <c r="C1377" s="196" t="s">
        <v>7509</v>
      </c>
      <c r="D1377" s="196" t="s">
        <v>7510</v>
      </c>
      <c r="E1377" s="196"/>
      <c r="F1377" s="196">
        <v>2015</v>
      </c>
      <c r="G1377" s="196"/>
      <c r="H1377" s="196" t="s">
        <v>2734</v>
      </c>
      <c r="I1377" s="141" t="s">
        <v>1929</v>
      </c>
      <c r="J1377" s="196"/>
      <c r="K1377" s="196" t="s">
        <v>1881</v>
      </c>
      <c r="L1377" s="141" t="s">
        <v>7511</v>
      </c>
      <c r="M1377" s="196">
        <v>90</v>
      </c>
      <c r="N1377" s="196"/>
      <c r="O1377" s="196" t="s">
        <v>5567</v>
      </c>
      <c r="P1377" s="144">
        <v>354</v>
      </c>
      <c r="Q1377" s="145">
        <f t="shared" si="80"/>
        <v>3.7948</v>
      </c>
      <c r="R1377" s="203">
        <v>3.29</v>
      </c>
      <c r="S1377" s="203"/>
      <c r="T1377" s="151">
        <v>0.35</v>
      </c>
      <c r="U1377" s="151"/>
      <c r="V1377" s="151">
        <v>0.25</v>
      </c>
      <c r="W1377" s="151">
        <f t="shared" si="79"/>
        <v>3.29</v>
      </c>
      <c r="X1377" s="152">
        <f t="shared" si="78"/>
        <v>0.25480000000000003</v>
      </c>
      <c r="Y1377" s="152"/>
      <c r="Z1377" s="148"/>
      <c r="AA1377" s="153"/>
      <c r="AB1377" s="153"/>
      <c r="AC1377" s="153"/>
      <c r="AD1377" s="153"/>
      <c r="AH1377" s="147"/>
    </row>
    <row r="1378" spans="1:34" s="146" customFormat="1" x14ac:dyDescent="0.25">
      <c r="A1378" s="196">
        <v>2522</v>
      </c>
      <c r="B1378" s="196" t="s">
        <v>1986</v>
      </c>
      <c r="C1378" s="196" t="s">
        <v>7512</v>
      </c>
      <c r="D1378" s="196" t="s">
        <v>1988</v>
      </c>
      <c r="E1378" s="196" t="s">
        <v>2157</v>
      </c>
      <c r="F1378" s="196">
        <v>2011</v>
      </c>
      <c r="G1378" s="196"/>
      <c r="H1378" s="196" t="s">
        <v>1878</v>
      </c>
      <c r="I1378" s="141" t="s">
        <v>1879</v>
      </c>
      <c r="J1378" s="196"/>
      <c r="K1378" s="196" t="s">
        <v>1881</v>
      </c>
      <c r="L1378" s="141" t="s">
        <v>7513</v>
      </c>
      <c r="M1378" s="196">
        <v>464</v>
      </c>
      <c r="N1378" s="196"/>
      <c r="O1378" s="196" t="s">
        <v>5568</v>
      </c>
      <c r="P1378" s="144">
        <v>575</v>
      </c>
      <c r="Q1378" s="145">
        <f t="shared" si="80"/>
        <v>0.79879999999999995</v>
      </c>
      <c r="R1378" s="203">
        <v>0.49</v>
      </c>
      <c r="S1378" s="203"/>
      <c r="T1378" s="151">
        <v>0.35</v>
      </c>
      <c r="U1378" s="151"/>
      <c r="V1378" s="151">
        <v>0.25</v>
      </c>
      <c r="W1378" s="151">
        <f t="shared" si="79"/>
        <v>0.49</v>
      </c>
      <c r="X1378" s="152">
        <f t="shared" si="78"/>
        <v>5.8799999999999998E-2</v>
      </c>
      <c r="Y1378" s="152"/>
      <c r="Z1378" s="148"/>
      <c r="AA1378" s="153"/>
      <c r="AB1378" s="153"/>
      <c r="AC1378" s="153"/>
      <c r="AD1378" s="153"/>
      <c r="AH1378" s="147"/>
    </row>
    <row r="1379" spans="1:34" s="146" customFormat="1" x14ac:dyDescent="0.25">
      <c r="A1379" s="196">
        <v>704</v>
      </c>
      <c r="B1379" s="196" t="s">
        <v>7514</v>
      </c>
      <c r="C1379" s="196" t="s">
        <v>7515</v>
      </c>
      <c r="D1379" s="196" t="s">
        <v>7516</v>
      </c>
      <c r="E1379" s="196"/>
      <c r="F1379" s="196">
        <v>2012</v>
      </c>
      <c r="G1379" s="196"/>
      <c r="H1379" s="196" t="s">
        <v>1878</v>
      </c>
      <c r="I1379" s="141" t="s">
        <v>1879</v>
      </c>
      <c r="J1379" s="196"/>
      <c r="K1379" s="196" t="s">
        <v>1881</v>
      </c>
      <c r="L1379" s="141" t="s">
        <v>7517</v>
      </c>
      <c r="M1379" s="196">
        <v>240</v>
      </c>
      <c r="N1379" s="196"/>
      <c r="O1379" s="196" t="s">
        <v>5569</v>
      </c>
      <c r="P1379" s="144">
        <v>587</v>
      </c>
      <c r="Q1379" s="145">
        <f t="shared" si="80"/>
        <v>0.64900000000000002</v>
      </c>
      <c r="R1379" s="203">
        <v>0.25</v>
      </c>
      <c r="S1379" s="203"/>
      <c r="T1379" s="151">
        <v>0.35</v>
      </c>
      <c r="U1379" s="151"/>
      <c r="V1379" s="151">
        <v>0.25</v>
      </c>
      <c r="W1379" s="151">
        <f t="shared" si="79"/>
        <v>0.35</v>
      </c>
      <c r="X1379" s="152">
        <f t="shared" si="78"/>
        <v>4.8999999999999995E-2</v>
      </c>
      <c r="Y1379" s="152"/>
      <c r="Z1379" s="148"/>
      <c r="AA1379" s="153"/>
      <c r="AB1379" s="153"/>
      <c r="AC1379" s="153"/>
      <c r="AD1379" s="153"/>
      <c r="AH1379" s="147"/>
    </row>
    <row r="1380" spans="1:34" s="146" customFormat="1" x14ac:dyDescent="0.25">
      <c r="A1380" s="196">
        <v>704</v>
      </c>
      <c r="B1380" s="196" t="s">
        <v>2397</v>
      </c>
      <c r="C1380" s="196" t="s">
        <v>7520</v>
      </c>
      <c r="D1380" s="196" t="s">
        <v>2309</v>
      </c>
      <c r="E1380" s="196"/>
      <c r="F1380" s="196">
        <v>1989</v>
      </c>
      <c r="G1380" s="196"/>
      <c r="H1380" s="196" t="s">
        <v>1878</v>
      </c>
      <c r="I1380" s="141" t="s">
        <v>1879</v>
      </c>
      <c r="J1380" s="196"/>
      <c r="K1380" s="196" t="s">
        <v>1881</v>
      </c>
      <c r="L1380" s="141" t="s">
        <v>7521</v>
      </c>
      <c r="M1380" s="196">
        <v>174</v>
      </c>
      <c r="N1380" s="196"/>
      <c r="O1380" s="196" t="s">
        <v>5571</v>
      </c>
      <c r="P1380" s="144">
        <v>164</v>
      </c>
      <c r="Q1380" s="145">
        <f t="shared" si="80"/>
        <v>0.64900000000000002</v>
      </c>
      <c r="R1380" s="203">
        <v>0.25</v>
      </c>
      <c r="S1380" s="203"/>
      <c r="T1380" s="151">
        <v>0.35</v>
      </c>
      <c r="U1380" s="151"/>
      <c r="V1380" s="151">
        <v>0.25</v>
      </c>
      <c r="W1380" s="151">
        <f t="shared" si="79"/>
        <v>0.35</v>
      </c>
      <c r="X1380" s="152">
        <f t="shared" si="78"/>
        <v>4.8999999999999995E-2</v>
      </c>
      <c r="Y1380" s="152"/>
      <c r="Z1380" s="148"/>
      <c r="AA1380" s="153"/>
      <c r="AB1380" s="153"/>
      <c r="AC1380" s="153"/>
      <c r="AD1380" s="153"/>
      <c r="AH1380" s="147"/>
    </row>
    <row r="1381" spans="1:34" s="146" customFormat="1" x14ac:dyDescent="0.25">
      <c r="A1381" s="196">
        <v>1327</v>
      </c>
      <c r="B1381" s="196" t="s">
        <v>7522</v>
      </c>
      <c r="C1381" s="196" t="s">
        <v>7523</v>
      </c>
      <c r="D1381" s="196" t="s">
        <v>1988</v>
      </c>
      <c r="E1381" s="196" t="s">
        <v>1877</v>
      </c>
      <c r="F1381" s="196">
        <v>2013</v>
      </c>
      <c r="G1381" s="196"/>
      <c r="H1381" s="196" t="s">
        <v>1878</v>
      </c>
      <c r="I1381" s="141" t="s">
        <v>1879</v>
      </c>
      <c r="J1381" s="196"/>
      <c r="K1381" s="196" t="s">
        <v>1881</v>
      </c>
      <c r="L1381" s="141" t="s">
        <v>7524</v>
      </c>
      <c r="M1381" s="196">
        <v>418</v>
      </c>
      <c r="N1381" s="196"/>
      <c r="O1381" s="196" t="s">
        <v>5572</v>
      </c>
      <c r="P1381" s="144">
        <v>513</v>
      </c>
      <c r="Q1381" s="145">
        <f t="shared" si="80"/>
        <v>0.70250000000000001</v>
      </c>
      <c r="R1381" s="203">
        <v>0.4</v>
      </c>
      <c r="S1381" s="203"/>
      <c r="T1381" s="151">
        <v>0.35</v>
      </c>
      <c r="U1381" s="151"/>
      <c r="V1381" s="151">
        <v>0.25</v>
      </c>
      <c r="W1381" s="151">
        <f t="shared" si="79"/>
        <v>0.4</v>
      </c>
      <c r="X1381" s="152">
        <f t="shared" si="78"/>
        <v>5.2499999999999998E-2</v>
      </c>
      <c r="Y1381" s="152"/>
      <c r="Z1381" s="148"/>
      <c r="AA1381" s="153"/>
      <c r="AB1381" s="153"/>
      <c r="AC1381" s="153"/>
      <c r="AD1381" s="153"/>
      <c r="AH1381" s="147"/>
    </row>
    <row r="1382" spans="1:34" s="146" customFormat="1" x14ac:dyDescent="0.25">
      <c r="A1382" s="196">
        <v>2522</v>
      </c>
      <c r="B1382" s="196" t="s">
        <v>7525</v>
      </c>
      <c r="C1382" s="196" t="s">
        <v>7526</v>
      </c>
      <c r="D1382" s="196" t="s">
        <v>2209</v>
      </c>
      <c r="E1382" s="196"/>
      <c r="F1382" s="196">
        <v>2004</v>
      </c>
      <c r="G1382" s="196"/>
      <c r="H1382" s="196" t="s">
        <v>1878</v>
      </c>
      <c r="I1382" s="141" t="s">
        <v>7527</v>
      </c>
      <c r="J1382" s="196"/>
      <c r="K1382" s="196" t="s">
        <v>1881</v>
      </c>
      <c r="L1382" s="141" t="s">
        <v>7528</v>
      </c>
      <c r="M1382" s="196">
        <v>832</v>
      </c>
      <c r="N1382" s="196"/>
      <c r="O1382" s="196" t="s">
        <v>5573</v>
      </c>
      <c r="P1382" s="144">
        <v>603</v>
      </c>
      <c r="Q1382" s="145">
        <f t="shared" si="80"/>
        <v>0.64900000000000002</v>
      </c>
      <c r="R1382" s="203">
        <v>0.25</v>
      </c>
      <c r="S1382" s="203"/>
      <c r="T1382" s="151">
        <v>0.35</v>
      </c>
      <c r="U1382" s="151"/>
      <c r="V1382" s="151">
        <v>0.25</v>
      </c>
      <c r="W1382" s="151">
        <f t="shared" si="79"/>
        <v>0.35</v>
      </c>
      <c r="X1382" s="152">
        <f t="shared" si="78"/>
        <v>4.8999999999999995E-2</v>
      </c>
      <c r="Y1382" s="152"/>
      <c r="Z1382" s="148"/>
      <c r="AA1382" s="153"/>
      <c r="AB1382" s="153"/>
      <c r="AC1382" s="153"/>
      <c r="AD1382" s="153"/>
      <c r="AH1382" s="147"/>
    </row>
    <row r="1383" spans="1:34" s="146" customFormat="1" x14ac:dyDescent="0.25">
      <c r="A1383" s="196">
        <v>2522</v>
      </c>
      <c r="B1383" s="196" t="s">
        <v>7535</v>
      </c>
      <c r="C1383" s="196" t="s">
        <v>7536</v>
      </c>
      <c r="D1383" s="196" t="s">
        <v>3524</v>
      </c>
      <c r="E1383" s="196" t="s">
        <v>1913</v>
      </c>
      <c r="F1383" s="196">
        <v>2013</v>
      </c>
      <c r="G1383" s="196"/>
      <c r="H1383" s="196" t="s">
        <v>2734</v>
      </c>
      <c r="I1383" s="141" t="s">
        <v>1879</v>
      </c>
      <c r="J1383" s="196"/>
      <c r="K1383" s="196" t="s">
        <v>1881</v>
      </c>
      <c r="L1383" s="141" t="s">
        <v>7537</v>
      </c>
      <c r="M1383" s="196">
        <v>354</v>
      </c>
      <c r="N1383" s="196"/>
      <c r="O1383" s="196" t="s">
        <v>5576</v>
      </c>
      <c r="P1383" s="144">
        <v>639</v>
      </c>
      <c r="Q1383" s="145">
        <f t="shared" si="80"/>
        <v>1.3445</v>
      </c>
      <c r="R1383" s="203">
        <v>1</v>
      </c>
      <c r="S1383" s="203"/>
      <c r="T1383" s="151">
        <v>0.35</v>
      </c>
      <c r="U1383" s="151"/>
      <c r="V1383" s="151">
        <v>0.25</v>
      </c>
      <c r="W1383" s="151">
        <f t="shared" si="79"/>
        <v>1</v>
      </c>
      <c r="X1383" s="152">
        <f t="shared" si="78"/>
        <v>9.4500000000000015E-2</v>
      </c>
      <c r="Y1383" s="152"/>
      <c r="Z1383" s="148"/>
      <c r="AA1383" s="153"/>
      <c r="AB1383" s="153"/>
      <c r="AC1383" s="153"/>
      <c r="AD1383" s="153"/>
      <c r="AH1383" s="147"/>
    </row>
    <row r="1384" spans="1:34" s="146" customFormat="1" x14ac:dyDescent="0.25">
      <c r="A1384" s="196">
        <v>2522</v>
      </c>
      <c r="B1384" s="196" t="s">
        <v>7538</v>
      </c>
      <c r="C1384" s="196" t="s">
        <v>7539</v>
      </c>
      <c r="D1384" s="196" t="s">
        <v>2257</v>
      </c>
      <c r="E1384" s="196"/>
      <c r="F1384" s="196">
        <v>2018</v>
      </c>
      <c r="G1384" s="196"/>
      <c r="H1384" s="196" t="s">
        <v>1878</v>
      </c>
      <c r="I1384" s="141" t="s">
        <v>1929</v>
      </c>
      <c r="J1384" s="196"/>
      <c r="K1384" s="196" t="s">
        <v>1881</v>
      </c>
      <c r="L1384" s="141" t="s">
        <v>7540</v>
      </c>
      <c r="M1384" s="196">
        <v>398</v>
      </c>
      <c r="N1384" s="196"/>
      <c r="O1384" s="196" t="s">
        <v>5577</v>
      </c>
      <c r="P1384" s="144">
        <v>307</v>
      </c>
      <c r="Q1384" s="145">
        <f t="shared" si="80"/>
        <v>3.6985000000000001</v>
      </c>
      <c r="R1384" s="203">
        <v>3.2</v>
      </c>
      <c r="S1384" s="203"/>
      <c r="T1384" s="151">
        <v>0.35</v>
      </c>
      <c r="U1384" s="151"/>
      <c r="V1384" s="151">
        <v>0.25</v>
      </c>
      <c r="W1384" s="151">
        <f t="shared" si="79"/>
        <v>3.2</v>
      </c>
      <c r="X1384" s="152">
        <f t="shared" si="78"/>
        <v>0.24850000000000003</v>
      </c>
      <c r="Y1384" s="152"/>
      <c r="Z1384" s="148"/>
      <c r="AA1384" s="153"/>
      <c r="AB1384" s="153"/>
      <c r="AC1384" s="153"/>
      <c r="AD1384" s="153"/>
      <c r="AH1384" s="147"/>
    </row>
    <row r="1385" spans="1:34" s="146" customFormat="1" x14ac:dyDescent="0.25">
      <c r="A1385" s="196">
        <v>2522</v>
      </c>
      <c r="B1385" s="196" t="s">
        <v>7544</v>
      </c>
      <c r="C1385" s="196" t="s">
        <v>7545</v>
      </c>
      <c r="D1385" s="196" t="s">
        <v>2209</v>
      </c>
      <c r="E1385" s="196" t="s">
        <v>1877</v>
      </c>
      <c r="F1385" s="196">
        <v>2014</v>
      </c>
      <c r="G1385" s="196"/>
      <c r="H1385" s="196" t="s">
        <v>2734</v>
      </c>
      <c r="I1385" s="141" t="s">
        <v>1929</v>
      </c>
      <c r="J1385" s="196"/>
      <c r="K1385" s="196" t="s">
        <v>1881</v>
      </c>
      <c r="L1385" s="141" t="s">
        <v>7546</v>
      </c>
      <c r="M1385" s="196">
        <v>850</v>
      </c>
      <c r="N1385" s="196"/>
      <c r="O1385" s="196" t="s">
        <v>5579</v>
      </c>
      <c r="P1385" s="144">
        <v>972</v>
      </c>
      <c r="Q1385" s="145">
        <f t="shared" si="80"/>
        <v>8.2995000000000001</v>
      </c>
      <c r="R1385" s="203">
        <v>7.5</v>
      </c>
      <c r="S1385" s="203"/>
      <c r="T1385" s="151">
        <v>0.35</v>
      </c>
      <c r="U1385" s="151"/>
      <c r="V1385" s="151">
        <v>0.25</v>
      </c>
      <c r="W1385" s="151">
        <f t="shared" si="79"/>
        <v>7.5</v>
      </c>
      <c r="X1385" s="152">
        <f t="shared" si="78"/>
        <v>0.54949999999999999</v>
      </c>
      <c r="Y1385" s="152"/>
      <c r="Z1385" s="148"/>
      <c r="AA1385" s="153"/>
      <c r="AB1385" s="153"/>
      <c r="AC1385" s="153"/>
      <c r="AD1385" s="153"/>
      <c r="AH1385" s="147"/>
    </row>
    <row r="1386" spans="1:34" s="146" customFormat="1" x14ac:dyDescent="0.25">
      <c r="A1386" s="196">
        <v>968</v>
      </c>
      <c r="B1386" s="196"/>
      <c r="C1386" s="196" t="s">
        <v>7548</v>
      </c>
      <c r="D1386" s="196" t="s">
        <v>7547</v>
      </c>
      <c r="E1386" s="196"/>
      <c r="F1386" s="196">
        <v>1990</v>
      </c>
      <c r="G1386" s="196"/>
      <c r="H1386" s="196" t="s">
        <v>1878</v>
      </c>
      <c r="I1386" s="141" t="s">
        <v>1879</v>
      </c>
      <c r="J1386" s="196"/>
      <c r="K1386" s="196" t="s">
        <v>2025</v>
      </c>
      <c r="L1386" s="141"/>
      <c r="M1386" s="196">
        <v>208</v>
      </c>
      <c r="N1386" s="196"/>
      <c r="O1386" s="196" t="s">
        <v>5580</v>
      </c>
      <c r="P1386" s="144">
        <v>174</v>
      </c>
      <c r="Q1386" s="145">
        <f t="shared" si="80"/>
        <v>2.4038000000000004</v>
      </c>
      <c r="R1386" s="203">
        <v>1.99</v>
      </c>
      <c r="S1386" s="203"/>
      <c r="T1386" s="151">
        <v>0.35</v>
      </c>
      <c r="U1386" s="151"/>
      <c r="V1386" s="151">
        <v>0.25</v>
      </c>
      <c r="W1386" s="151">
        <f t="shared" si="79"/>
        <v>1.99</v>
      </c>
      <c r="X1386" s="152">
        <f t="shared" si="78"/>
        <v>0.16379999999999997</v>
      </c>
      <c r="Y1386" s="152"/>
      <c r="Z1386" s="148"/>
      <c r="AA1386" s="153"/>
      <c r="AB1386" s="153"/>
      <c r="AC1386" s="153"/>
      <c r="AD1386" s="153"/>
      <c r="AH1386" s="147"/>
    </row>
    <row r="1387" spans="1:34" s="146" customFormat="1" x14ac:dyDescent="0.25">
      <c r="A1387" s="196">
        <v>2551</v>
      </c>
      <c r="B1387" s="196" t="s">
        <v>5033</v>
      </c>
      <c r="C1387" s="196" t="s">
        <v>7549</v>
      </c>
      <c r="D1387" s="196" t="s">
        <v>7260</v>
      </c>
      <c r="E1387" s="196"/>
      <c r="F1387" s="196">
        <v>2002</v>
      </c>
      <c r="G1387" s="196"/>
      <c r="H1387" s="196" t="s">
        <v>2734</v>
      </c>
      <c r="I1387" s="141" t="s">
        <v>1879</v>
      </c>
      <c r="J1387" s="196"/>
      <c r="K1387" s="196" t="s">
        <v>1881</v>
      </c>
      <c r="L1387" s="141" t="s">
        <v>7550</v>
      </c>
      <c r="M1387" s="196">
        <v>482</v>
      </c>
      <c r="N1387" s="196"/>
      <c r="O1387" s="196" t="s">
        <v>5581</v>
      </c>
      <c r="P1387" s="144">
        <v>635</v>
      </c>
      <c r="Q1387" s="145">
        <f t="shared" si="80"/>
        <v>0.64900000000000002</v>
      </c>
      <c r="R1387" s="203">
        <v>0.3</v>
      </c>
      <c r="S1387" s="203"/>
      <c r="T1387" s="151">
        <v>0.35</v>
      </c>
      <c r="U1387" s="151"/>
      <c r="V1387" s="151">
        <v>0.25</v>
      </c>
      <c r="W1387" s="151">
        <f t="shared" si="79"/>
        <v>0.35</v>
      </c>
      <c r="X1387" s="152">
        <f t="shared" ref="X1387:X1441" si="81">(T1387+W1387)/100*7</f>
        <v>4.8999999999999995E-2</v>
      </c>
      <c r="Y1387" s="152"/>
      <c r="Z1387" s="148"/>
      <c r="AA1387" s="153"/>
      <c r="AB1387" s="153"/>
      <c r="AC1387" s="153"/>
      <c r="AD1387" s="153"/>
      <c r="AH1387" s="147"/>
    </row>
    <row r="1388" spans="1:34" s="146" customFormat="1" x14ac:dyDescent="0.25">
      <c r="A1388" s="196">
        <v>2551</v>
      </c>
      <c r="B1388" s="196" t="s">
        <v>5033</v>
      </c>
      <c r="C1388" s="196" t="s">
        <v>7551</v>
      </c>
      <c r="D1388" s="196" t="s">
        <v>5005</v>
      </c>
      <c r="E1388" s="196"/>
      <c r="F1388" s="196">
        <v>2001</v>
      </c>
      <c r="G1388" s="196"/>
      <c r="H1388" s="196" t="s">
        <v>2734</v>
      </c>
      <c r="I1388" s="141" t="s">
        <v>1879</v>
      </c>
      <c r="J1388" s="196"/>
      <c r="K1388" s="196" t="s">
        <v>1881</v>
      </c>
      <c r="L1388" s="141"/>
      <c r="M1388" s="196">
        <v>578</v>
      </c>
      <c r="N1388" s="196"/>
      <c r="O1388" s="196" t="s">
        <v>5582</v>
      </c>
      <c r="P1388" s="144">
        <v>774</v>
      </c>
      <c r="Q1388" s="145">
        <f t="shared" si="80"/>
        <v>0.64900000000000002</v>
      </c>
      <c r="R1388" s="203">
        <v>0.25</v>
      </c>
      <c r="S1388" s="203"/>
      <c r="T1388" s="151">
        <v>0.35</v>
      </c>
      <c r="U1388" s="151"/>
      <c r="V1388" s="151">
        <v>0.25</v>
      </c>
      <c r="W1388" s="151">
        <f t="shared" si="79"/>
        <v>0.35</v>
      </c>
      <c r="X1388" s="152">
        <f t="shared" si="81"/>
        <v>4.8999999999999995E-2</v>
      </c>
      <c r="Y1388" s="152"/>
      <c r="Z1388" s="148"/>
      <c r="AA1388" s="153"/>
      <c r="AB1388" s="153"/>
      <c r="AC1388" s="153"/>
      <c r="AD1388" s="153"/>
      <c r="AH1388" s="147"/>
    </row>
    <row r="1389" spans="1:34" s="146" customFormat="1" x14ac:dyDescent="0.25">
      <c r="A1389" s="196">
        <v>2547</v>
      </c>
      <c r="B1389" s="196" t="s">
        <v>7552</v>
      </c>
      <c r="C1389" s="196" t="s">
        <v>7553</v>
      </c>
      <c r="D1389" s="196" t="s">
        <v>2309</v>
      </c>
      <c r="E1389" s="196" t="s">
        <v>1913</v>
      </c>
      <c r="F1389" s="196">
        <v>2003</v>
      </c>
      <c r="G1389" s="196"/>
      <c r="H1389" s="196" t="s">
        <v>1878</v>
      </c>
      <c r="I1389" s="141" t="s">
        <v>1914</v>
      </c>
      <c r="J1389" s="196"/>
      <c r="K1389" s="196" t="s">
        <v>1881</v>
      </c>
      <c r="L1389" s="141" t="s">
        <v>7554</v>
      </c>
      <c r="M1389" s="196">
        <v>416</v>
      </c>
      <c r="N1389" s="196"/>
      <c r="O1389" s="196" t="s">
        <v>5583</v>
      </c>
      <c r="P1389" s="144">
        <v>280</v>
      </c>
      <c r="Q1389" s="145">
        <f t="shared" si="80"/>
        <v>0.79879999999999995</v>
      </c>
      <c r="R1389" s="203">
        <v>0.49</v>
      </c>
      <c r="S1389" s="203"/>
      <c r="T1389" s="151">
        <v>0.35</v>
      </c>
      <c r="U1389" s="151"/>
      <c r="V1389" s="151">
        <v>0.25</v>
      </c>
      <c r="W1389" s="151">
        <f t="shared" si="79"/>
        <v>0.49</v>
      </c>
      <c r="X1389" s="152">
        <f t="shared" si="81"/>
        <v>5.8799999999999998E-2</v>
      </c>
      <c r="Y1389" s="152"/>
      <c r="Z1389" s="148"/>
      <c r="AA1389" s="153"/>
      <c r="AB1389" s="153"/>
      <c r="AC1389" s="153"/>
      <c r="AD1389" s="153"/>
      <c r="AH1389" s="147"/>
    </row>
    <row r="1390" spans="1:34" s="146" customFormat="1" x14ac:dyDescent="0.25">
      <c r="A1390" s="196">
        <v>689</v>
      </c>
      <c r="B1390" s="196" t="s">
        <v>2470</v>
      </c>
      <c r="C1390" s="196" t="s">
        <v>7555</v>
      </c>
      <c r="D1390" s="196" t="s">
        <v>2209</v>
      </c>
      <c r="E1390" s="196" t="s">
        <v>2518</v>
      </c>
      <c r="F1390" s="196">
        <v>2002</v>
      </c>
      <c r="G1390" s="196"/>
      <c r="H1390" s="196" t="s">
        <v>1878</v>
      </c>
      <c r="I1390" s="141" t="s">
        <v>1879</v>
      </c>
      <c r="J1390" s="196"/>
      <c r="K1390" s="196" t="s">
        <v>1881</v>
      </c>
      <c r="L1390" s="141" t="s">
        <v>7556</v>
      </c>
      <c r="M1390" s="196">
        <v>512</v>
      </c>
      <c r="N1390" s="196"/>
      <c r="O1390" s="196" t="s">
        <v>5584</v>
      </c>
      <c r="P1390" s="144">
        <v>292</v>
      </c>
      <c r="Q1390" s="145">
        <f t="shared" si="80"/>
        <v>0.64900000000000002</v>
      </c>
      <c r="R1390" s="203">
        <v>0.25</v>
      </c>
      <c r="S1390" s="203"/>
      <c r="T1390" s="151">
        <v>0.35</v>
      </c>
      <c r="U1390" s="151"/>
      <c r="V1390" s="151">
        <v>0.25</v>
      </c>
      <c r="W1390" s="151">
        <f t="shared" si="79"/>
        <v>0.35</v>
      </c>
      <c r="X1390" s="152">
        <f t="shared" si="81"/>
        <v>4.8999999999999995E-2</v>
      </c>
      <c r="Y1390" s="152"/>
      <c r="Z1390" s="148"/>
      <c r="AA1390" s="153"/>
      <c r="AB1390" s="153"/>
      <c r="AC1390" s="153"/>
      <c r="AD1390" s="153"/>
      <c r="AH1390" s="147"/>
    </row>
    <row r="1391" spans="1:34" s="146" customFormat="1" x14ac:dyDescent="0.25">
      <c r="A1391" s="196">
        <v>1231</v>
      </c>
      <c r="B1391" s="196" t="s">
        <v>7560</v>
      </c>
      <c r="C1391" s="196" t="s">
        <v>7561</v>
      </c>
      <c r="D1391" s="196" t="s">
        <v>2257</v>
      </c>
      <c r="E1391" s="196"/>
      <c r="F1391" s="196">
        <v>2006</v>
      </c>
      <c r="G1391" s="196"/>
      <c r="H1391" s="196" t="s">
        <v>1878</v>
      </c>
      <c r="I1391" s="141" t="s">
        <v>1929</v>
      </c>
      <c r="J1391" s="196"/>
      <c r="K1391" s="196" t="s">
        <v>1881</v>
      </c>
      <c r="L1391" s="141" t="s">
        <v>7562</v>
      </c>
      <c r="M1391" s="196">
        <v>240</v>
      </c>
      <c r="N1391" s="196"/>
      <c r="O1391" s="196" t="s">
        <v>5586</v>
      </c>
      <c r="P1391" s="144">
        <v>187</v>
      </c>
      <c r="Q1391" s="145">
        <f t="shared" si="80"/>
        <v>0.79879999999999995</v>
      </c>
      <c r="R1391" s="203">
        <v>0.49</v>
      </c>
      <c r="S1391" s="203"/>
      <c r="T1391" s="151">
        <v>0.35</v>
      </c>
      <c r="U1391" s="151"/>
      <c r="V1391" s="151">
        <v>0.25</v>
      </c>
      <c r="W1391" s="151">
        <f t="shared" ref="W1391:W1445" si="82">IF(R1391&gt;T1391,R1391,T1391)</f>
        <v>0.49</v>
      </c>
      <c r="X1391" s="152">
        <f t="shared" si="81"/>
        <v>5.8799999999999998E-2</v>
      </c>
      <c r="Y1391" s="152"/>
      <c r="Z1391" s="148"/>
      <c r="AA1391" s="153"/>
      <c r="AB1391" s="153"/>
      <c r="AC1391" s="153"/>
      <c r="AD1391" s="153"/>
      <c r="AH1391" s="147"/>
    </row>
    <row r="1392" spans="1:34" s="146" customFormat="1" x14ac:dyDescent="0.25">
      <c r="A1392" s="196">
        <v>692</v>
      </c>
      <c r="B1392" s="196" t="s">
        <v>7563</v>
      </c>
      <c r="C1392" s="196" t="s">
        <v>7564</v>
      </c>
      <c r="D1392" s="196" t="s">
        <v>1912</v>
      </c>
      <c r="E1392" s="196" t="s">
        <v>2157</v>
      </c>
      <c r="F1392" s="196">
        <v>2001</v>
      </c>
      <c r="G1392" s="196"/>
      <c r="H1392" s="196" t="s">
        <v>1878</v>
      </c>
      <c r="I1392" s="141" t="s">
        <v>1929</v>
      </c>
      <c r="J1392" s="196"/>
      <c r="K1392" s="196" t="s">
        <v>1881</v>
      </c>
      <c r="L1392" s="141" t="s">
        <v>7565</v>
      </c>
      <c r="M1392" s="196">
        <v>256</v>
      </c>
      <c r="N1392" s="196"/>
      <c r="O1392" s="196" t="s">
        <v>5587</v>
      </c>
      <c r="P1392" s="144">
        <v>228</v>
      </c>
      <c r="Q1392" s="145">
        <f t="shared" si="80"/>
        <v>0.64900000000000002</v>
      </c>
      <c r="R1392" s="203">
        <v>0.25</v>
      </c>
      <c r="S1392" s="203"/>
      <c r="T1392" s="151">
        <v>0.35</v>
      </c>
      <c r="U1392" s="151"/>
      <c r="V1392" s="151">
        <v>0.25</v>
      </c>
      <c r="W1392" s="151">
        <f t="shared" si="82"/>
        <v>0.35</v>
      </c>
      <c r="X1392" s="152">
        <f t="shared" si="81"/>
        <v>4.8999999999999995E-2</v>
      </c>
      <c r="Y1392" s="152"/>
      <c r="Z1392" s="148"/>
      <c r="AA1392" s="153"/>
      <c r="AB1392" s="153"/>
      <c r="AC1392" s="153"/>
      <c r="AD1392" s="153"/>
      <c r="AH1392" s="147"/>
    </row>
    <row r="1393" spans="1:34" s="146" customFormat="1" x14ac:dyDescent="0.25">
      <c r="A1393" s="196">
        <v>692</v>
      </c>
      <c r="B1393" s="196" t="s">
        <v>4827</v>
      </c>
      <c r="C1393" s="196" t="s">
        <v>7566</v>
      </c>
      <c r="D1393" s="196" t="s">
        <v>1876</v>
      </c>
      <c r="E1393" s="196" t="s">
        <v>2157</v>
      </c>
      <c r="F1393" s="196">
        <v>2002</v>
      </c>
      <c r="G1393" s="196"/>
      <c r="H1393" s="196" t="s">
        <v>1878</v>
      </c>
      <c r="I1393" s="141" t="s">
        <v>1879</v>
      </c>
      <c r="J1393" s="196"/>
      <c r="K1393" s="196" t="s">
        <v>1881</v>
      </c>
      <c r="L1393" s="141" t="s">
        <v>7567</v>
      </c>
      <c r="M1393" s="196">
        <v>320</v>
      </c>
      <c r="N1393" s="196"/>
      <c r="O1393" s="196" t="s">
        <v>5588</v>
      </c>
      <c r="P1393" s="144">
        <v>272</v>
      </c>
      <c r="Q1393" s="145">
        <f t="shared" si="80"/>
        <v>0.64900000000000002</v>
      </c>
      <c r="R1393" s="203">
        <v>0.25</v>
      </c>
      <c r="S1393" s="203"/>
      <c r="T1393" s="151">
        <v>0.35</v>
      </c>
      <c r="U1393" s="151"/>
      <c r="V1393" s="151">
        <v>0.25</v>
      </c>
      <c r="W1393" s="151">
        <f t="shared" si="82"/>
        <v>0.35</v>
      </c>
      <c r="X1393" s="152">
        <f t="shared" si="81"/>
        <v>4.8999999999999995E-2</v>
      </c>
      <c r="Y1393" s="152"/>
      <c r="Z1393" s="148"/>
      <c r="AA1393" s="153"/>
      <c r="AB1393" s="153"/>
      <c r="AC1393" s="153"/>
      <c r="AD1393" s="153"/>
      <c r="AH1393" s="147"/>
    </row>
    <row r="1394" spans="1:34" s="146" customFormat="1" x14ac:dyDescent="0.25">
      <c r="A1394" s="196">
        <v>1231</v>
      </c>
      <c r="B1394" s="196" t="s">
        <v>7568</v>
      </c>
      <c r="C1394" s="196" t="s">
        <v>7569</v>
      </c>
      <c r="D1394" s="196" t="s">
        <v>7570</v>
      </c>
      <c r="E1394" s="196"/>
      <c r="F1394" s="196">
        <v>1986</v>
      </c>
      <c r="G1394" s="196"/>
      <c r="H1394" s="196" t="s">
        <v>1878</v>
      </c>
      <c r="I1394" s="141" t="s">
        <v>1914</v>
      </c>
      <c r="J1394" s="196"/>
      <c r="K1394" s="196" t="s">
        <v>1881</v>
      </c>
      <c r="L1394" s="141" t="s">
        <v>7571</v>
      </c>
      <c r="M1394" s="196">
        <v>384</v>
      </c>
      <c r="N1394" s="196"/>
      <c r="O1394" s="196" t="s">
        <v>5589</v>
      </c>
      <c r="P1394" s="144">
        <v>371</v>
      </c>
      <c r="Q1394" s="145">
        <f t="shared" si="80"/>
        <v>1.8794999999999999</v>
      </c>
      <c r="R1394" s="203">
        <v>1.5</v>
      </c>
      <c r="S1394" s="203"/>
      <c r="T1394" s="151">
        <v>0.35</v>
      </c>
      <c r="U1394" s="151"/>
      <c r="V1394" s="151">
        <v>0.25</v>
      </c>
      <c r="W1394" s="151">
        <f t="shared" si="82"/>
        <v>1.5</v>
      </c>
      <c r="X1394" s="152">
        <f t="shared" si="81"/>
        <v>0.1295</v>
      </c>
      <c r="Y1394" s="152"/>
      <c r="Z1394" s="148"/>
      <c r="AA1394" s="153"/>
      <c r="AB1394" s="153"/>
      <c r="AC1394" s="153"/>
      <c r="AD1394" s="153"/>
      <c r="AH1394" s="147"/>
    </row>
    <row r="1395" spans="1:34" s="146" customFormat="1" x14ac:dyDescent="0.25">
      <c r="A1395" s="196">
        <v>2706</v>
      </c>
      <c r="B1395" s="196" t="s">
        <v>7572</v>
      </c>
      <c r="C1395" s="196" t="s">
        <v>7573</v>
      </c>
      <c r="D1395" s="196" t="s">
        <v>3682</v>
      </c>
      <c r="E1395" s="196"/>
      <c r="F1395" s="196">
        <v>2005</v>
      </c>
      <c r="G1395" s="196"/>
      <c r="H1395" s="196" t="s">
        <v>1878</v>
      </c>
      <c r="I1395" s="141" t="s">
        <v>1879</v>
      </c>
      <c r="J1395" s="196"/>
      <c r="K1395" s="196" t="s">
        <v>1881</v>
      </c>
      <c r="L1395" s="141" t="s">
        <v>7574</v>
      </c>
      <c r="M1395" s="196">
        <v>112</v>
      </c>
      <c r="N1395" s="196"/>
      <c r="O1395" s="196" t="s">
        <v>5590</v>
      </c>
      <c r="P1395" s="144">
        <v>157</v>
      </c>
      <c r="Q1395" s="145">
        <f t="shared" si="80"/>
        <v>0.64900000000000002</v>
      </c>
      <c r="R1395" s="203">
        <v>0.25</v>
      </c>
      <c r="S1395" s="203"/>
      <c r="T1395" s="151">
        <v>0.35</v>
      </c>
      <c r="U1395" s="151"/>
      <c r="V1395" s="151">
        <v>0.25</v>
      </c>
      <c r="W1395" s="151">
        <f t="shared" si="82"/>
        <v>0.35</v>
      </c>
      <c r="X1395" s="152">
        <f t="shared" si="81"/>
        <v>4.8999999999999995E-2</v>
      </c>
      <c r="Y1395" s="152"/>
      <c r="Z1395" s="148"/>
      <c r="AA1395" s="153"/>
      <c r="AB1395" s="153"/>
      <c r="AC1395" s="153"/>
      <c r="AD1395" s="153"/>
      <c r="AH1395" s="147"/>
    </row>
    <row r="1396" spans="1:34" s="146" customFormat="1" x14ac:dyDescent="0.25">
      <c r="A1396" s="196">
        <v>765</v>
      </c>
      <c r="B1396" s="196" t="s">
        <v>5810</v>
      </c>
      <c r="C1396" s="196" t="s">
        <v>5811</v>
      </c>
      <c r="D1396" s="196" t="s">
        <v>2209</v>
      </c>
      <c r="E1396" s="196"/>
      <c r="F1396" s="196">
        <v>2009</v>
      </c>
      <c r="G1396" s="196"/>
      <c r="H1396" s="196" t="s">
        <v>1878</v>
      </c>
      <c r="I1396" s="141" t="s">
        <v>1879</v>
      </c>
      <c r="J1396" s="196"/>
      <c r="K1396" s="196" t="s">
        <v>1881</v>
      </c>
      <c r="L1396" s="141" t="s">
        <v>5812</v>
      </c>
      <c r="M1396" s="196">
        <v>192</v>
      </c>
      <c r="N1396" s="196"/>
      <c r="O1396" s="196" t="s">
        <v>5592</v>
      </c>
      <c r="P1396" s="144">
        <v>262</v>
      </c>
      <c r="Q1396" s="145">
        <f t="shared" si="80"/>
        <v>0.64900000000000002</v>
      </c>
      <c r="R1396" s="203">
        <v>0.25</v>
      </c>
      <c r="S1396" s="203"/>
      <c r="T1396" s="151">
        <v>0.35</v>
      </c>
      <c r="U1396" s="151"/>
      <c r="V1396" s="151">
        <v>0.25</v>
      </c>
      <c r="W1396" s="151">
        <f t="shared" si="82"/>
        <v>0.35</v>
      </c>
      <c r="X1396" s="152">
        <f t="shared" si="81"/>
        <v>4.8999999999999995E-2</v>
      </c>
      <c r="Y1396" s="152"/>
      <c r="Z1396" s="148"/>
      <c r="AA1396" s="153"/>
      <c r="AB1396" s="153"/>
      <c r="AC1396" s="153"/>
      <c r="AD1396" s="153"/>
      <c r="AH1396" s="147"/>
    </row>
    <row r="1397" spans="1:34" s="146" customFormat="1" x14ac:dyDescent="0.25">
      <c r="A1397" s="196">
        <v>1315</v>
      </c>
      <c r="B1397" s="196" t="s">
        <v>7578</v>
      </c>
      <c r="C1397" s="196" t="s">
        <v>7579</v>
      </c>
      <c r="D1397" s="196" t="s">
        <v>807</v>
      </c>
      <c r="E1397" s="196"/>
      <c r="F1397" s="196">
        <v>2009</v>
      </c>
      <c r="G1397" s="196"/>
      <c r="H1397" s="196" t="s">
        <v>1878</v>
      </c>
      <c r="I1397" s="141" t="s">
        <v>1879</v>
      </c>
      <c r="J1397" s="196"/>
      <c r="K1397" s="196" t="s">
        <v>1881</v>
      </c>
      <c r="L1397" s="141" t="s">
        <v>7580</v>
      </c>
      <c r="M1397" s="196">
        <v>192</v>
      </c>
      <c r="N1397" s="196"/>
      <c r="O1397" s="196" t="s">
        <v>5593</v>
      </c>
      <c r="P1397" s="144">
        <v>207</v>
      </c>
      <c r="Q1397" s="145">
        <f t="shared" si="80"/>
        <v>1.2054</v>
      </c>
      <c r="R1397" s="203">
        <v>0.87</v>
      </c>
      <c r="S1397" s="203"/>
      <c r="T1397" s="151">
        <v>0.35</v>
      </c>
      <c r="U1397" s="151"/>
      <c r="V1397" s="151">
        <v>0.25</v>
      </c>
      <c r="W1397" s="151">
        <f t="shared" si="82"/>
        <v>0.87</v>
      </c>
      <c r="X1397" s="152">
        <f t="shared" si="81"/>
        <v>8.539999999999999E-2</v>
      </c>
      <c r="Y1397" s="152"/>
      <c r="Z1397" s="148"/>
      <c r="AA1397" s="153"/>
      <c r="AB1397" s="153"/>
      <c r="AC1397" s="153"/>
      <c r="AD1397" s="153"/>
      <c r="AH1397" s="147"/>
    </row>
    <row r="1398" spans="1:34" s="146" customFormat="1" x14ac:dyDescent="0.25">
      <c r="A1398" s="196">
        <v>1324</v>
      </c>
      <c r="B1398" s="196" t="s">
        <v>7581</v>
      </c>
      <c r="C1398" s="196" t="s">
        <v>7582</v>
      </c>
      <c r="D1398" s="196" t="s">
        <v>7583</v>
      </c>
      <c r="E1398" s="196" t="s">
        <v>1913</v>
      </c>
      <c r="F1398" s="196">
        <v>2009</v>
      </c>
      <c r="G1398" s="196"/>
      <c r="H1398" s="196" t="s">
        <v>2734</v>
      </c>
      <c r="I1398" s="141" t="s">
        <v>1929</v>
      </c>
      <c r="J1398" s="196"/>
      <c r="K1398" s="196" t="s">
        <v>1881</v>
      </c>
      <c r="L1398" s="141" t="s">
        <v>7584</v>
      </c>
      <c r="M1398" s="196">
        <v>418</v>
      </c>
      <c r="N1398" s="196"/>
      <c r="O1398" s="196" t="s">
        <v>5594</v>
      </c>
      <c r="P1398" s="144">
        <v>810</v>
      </c>
      <c r="Q1398" s="145">
        <f t="shared" si="80"/>
        <v>1.8794999999999999</v>
      </c>
      <c r="R1398" s="203">
        <v>1.5</v>
      </c>
      <c r="S1398" s="203"/>
      <c r="T1398" s="151">
        <v>0.35</v>
      </c>
      <c r="U1398" s="151"/>
      <c r="V1398" s="151">
        <v>0.25</v>
      </c>
      <c r="W1398" s="151">
        <f t="shared" si="82"/>
        <v>1.5</v>
      </c>
      <c r="X1398" s="152">
        <f t="shared" si="81"/>
        <v>0.1295</v>
      </c>
      <c r="Y1398" s="152"/>
      <c r="Z1398" s="148"/>
      <c r="AA1398" s="153"/>
      <c r="AB1398" s="153"/>
      <c r="AC1398" s="153"/>
      <c r="AD1398" s="153"/>
      <c r="AH1398" s="147"/>
    </row>
    <row r="1399" spans="1:34" s="146" customFormat="1" x14ac:dyDescent="0.25">
      <c r="A1399" s="196">
        <v>153</v>
      </c>
      <c r="B1399" s="196" t="s">
        <v>7585</v>
      </c>
      <c r="C1399" s="196" t="s">
        <v>7586</v>
      </c>
      <c r="D1399" s="196" t="s">
        <v>2007</v>
      </c>
      <c r="E1399" s="196"/>
      <c r="F1399" s="196">
        <v>1998</v>
      </c>
      <c r="G1399" s="196"/>
      <c r="H1399" s="196" t="s">
        <v>2008</v>
      </c>
      <c r="I1399" s="141" t="s">
        <v>1879</v>
      </c>
      <c r="J1399" s="196"/>
      <c r="K1399" s="196" t="s">
        <v>1881</v>
      </c>
      <c r="L1399" s="141" t="s">
        <v>7587</v>
      </c>
      <c r="M1399" s="196">
        <v>392</v>
      </c>
      <c r="N1399" s="196"/>
      <c r="O1399" s="196" t="s">
        <v>5595</v>
      </c>
      <c r="P1399" s="144">
        <v>181</v>
      </c>
      <c r="Q1399" s="145">
        <f t="shared" si="80"/>
        <v>0.64900000000000002</v>
      </c>
      <c r="R1399" s="203">
        <v>0.25</v>
      </c>
      <c r="S1399" s="203"/>
      <c r="T1399" s="151">
        <v>0.35</v>
      </c>
      <c r="U1399" s="151"/>
      <c r="V1399" s="151">
        <v>0.25</v>
      </c>
      <c r="W1399" s="151">
        <f t="shared" si="82"/>
        <v>0.35</v>
      </c>
      <c r="X1399" s="152">
        <f t="shared" si="81"/>
        <v>4.8999999999999995E-2</v>
      </c>
      <c r="Y1399" s="152"/>
      <c r="Z1399" s="148"/>
      <c r="AA1399" s="153"/>
      <c r="AB1399" s="153"/>
      <c r="AC1399" s="153"/>
      <c r="AD1399" s="153"/>
      <c r="AH1399" s="147"/>
    </row>
    <row r="1400" spans="1:34" s="146" customFormat="1" x14ac:dyDescent="0.25">
      <c r="A1400" s="196">
        <v>18</v>
      </c>
      <c r="B1400" s="196" t="s">
        <v>7588</v>
      </c>
      <c r="C1400" s="196" t="s">
        <v>7589</v>
      </c>
      <c r="D1400" s="196" t="s">
        <v>5005</v>
      </c>
      <c r="E1400" s="196"/>
      <c r="F1400" s="196">
        <v>1972</v>
      </c>
      <c r="G1400" s="196"/>
      <c r="H1400" s="196" t="s">
        <v>2734</v>
      </c>
      <c r="I1400" s="141" t="s">
        <v>1879</v>
      </c>
      <c r="J1400" s="196"/>
      <c r="K1400" s="196" t="s">
        <v>1881</v>
      </c>
      <c r="L1400" s="141" t="s">
        <v>7590</v>
      </c>
      <c r="M1400" s="196">
        <v>238</v>
      </c>
      <c r="N1400" s="196"/>
      <c r="O1400" s="196" t="s">
        <v>5596</v>
      </c>
      <c r="P1400" s="144">
        <v>115</v>
      </c>
      <c r="Q1400" s="145">
        <f t="shared" si="80"/>
        <v>2.9281000000000001</v>
      </c>
      <c r="R1400" s="203">
        <v>2.48</v>
      </c>
      <c r="S1400" s="203"/>
      <c r="T1400" s="151">
        <v>0.35</v>
      </c>
      <c r="U1400" s="151"/>
      <c r="V1400" s="151">
        <v>0.25</v>
      </c>
      <c r="W1400" s="151">
        <f t="shared" si="82"/>
        <v>2.48</v>
      </c>
      <c r="X1400" s="152">
        <f t="shared" si="81"/>
        <v>0.19810000000000003</v>
      </c>
      <c r="Y1400" s="152"/>
      <c r="Z1400" s="148"/>
      <c r="AA1400" s="153"/>
      <c r="AB1400" s="153"/>
      <c r="AC1400" s="153"/>
      <c r="AD1400" s="153"/>
      <c r="AH1400" s="147"/>
    </row>
    <row r="1401" spans="1:34" s="146" customFormat="1" x14ac:dyDescent="0.25">
      <c r="A1401" s="196">
        <v>1875</v>
      </c>
      <c r="B1401" s="196" t="s">
        <v>7592</v>
      </c>
      <c r="C1401" s="196" t="s">
        <v>7591</v>
      </c>
      <c r="D1401" s="196" t="s">
        <v>2926</v>
      </c>
      <c r="E1401" s="196"/>
      <c r="F1401" s="196"/>
      <c r="G1401" s="196"/>
      <c r="H1401" s="196" t="s">
        <v>2734</v>
      </c>
      <c r="I1401" s="141" t="s">
        <v>1879</v>
      </c>
      <c r="J1401" s="196"/>
      <c r="K1401" s="196" t="s">
        <v>1881</v>
      </c>
      <c r="L1401" s="141" t="s">
        <v>7593</v>
      </c>
      <c r="M1401" s="196">
        <v>162</v>
      </c>
      <c r="N1401" s="196"/>
      <c r="O1401" s="196" t="s">
        <v>5597</v>
      </c>
      <c r="P1401" s="144">
        <v>154</v>
      </c>
      <c r="Q1401" s="145">
        <f t="shared" ref="Q1401:Q1455" si="83">SUM(U1401:X1401)</f>
        <v>0.64900000000000002</v>
      </c>
      <c r="R1401" s="203">
        <v>0.25</v>
      </c>
      <c r="S1401" s="203"/>
      <c r="T1401" s="151">
        <v>0.35</v>
      </c>
      <c r="U1401" s="151"/>
      <c r="V1401" s="151">
        <v>0.25</v>
      </c>
      <c r="W1401" s="151">
        <f t="shared" si="82"/>
        <v>0.35</v>
      </c>
      <c r="X1401" s="152">
        <f t="shared" si="81"/>
        <v>4.8999999999999995E-2</v>
      </c>
      <c r="Y1401" s="152"/>
      <c r="Z1401" s="148"/>
      <c r="AA1401" s="153"/>
      <c r="AB1401" s="153"/>
      <c r="AC1401" s="153"/>
      <c r="AD1401" s="153"/>
      <c r="AH1401" s="147"/>
    </row>
    <row r="1402" spans="1:34" s="146" customFormat="1" x14ac:dyDescent="0.25">
      <c r="A1402" s="196">
        <v>1939</v>
      </c>
      <c r="B1402" s="196" t="s">
        <v>7594</v>
      </c>
      <c r="C1402" s="196" t="s">
        <v>7595</v>
      </c>
      <c r="D1402" s="196" t="s">
        <v>7596</v>
      </c>
      <c r="E1402" s="196" t="s">
        <v>1877</v>
      </c>
      <c r="F1402" s="196">
        <v>2005</v>
      </c>
      <c r="G1402" s="196"/>
      <c r="H1402" s="196" t="s">
        <v>1878</v>
      </c>
      <c r="I1402" s="141" t="s">
        <v>1879</v>
      </c>
      <c r="J1402" s="196"/>
      <c r="K1402" s="196" t="s">
        <v>1881</v>
      </c>
      <c r="L1402" s="141" t="s">
        <v>7597</v>
      </c>
      <c r="M1402" s="196">
        <v>192</v>
      </c>
      <c r="N1402" s="196"/>
      <c r="O1402" s="196" t="s">
        <v>5598</v>
      </c>
      <c r="P1402" s="144">
        <v>162</v>
      </c>
      <c r="Q1402" s="145">
        <f t="shared" si="83"/>
        <v>0.95930000000000004</v>
      </c>
      <c r="R1402" s="203">
        <v>0.64</v>
      </c>
      <c r="S1402" s="203"/>
      <c r="T1402" s="151">
        <v>0.35</v>
      </c>
      <c r="U1402" s="151"/>
      <c r="V1402" s="151">
        <v>0.25</v>
      </c>
      <c r="W1402" s="151">
        <f t="shared" si="82"/>
        <v>0.64</v>
      </c>
      <c r="X1402" s="152">
        <f t="shared" si="81"/>
        <v>6.93E-2</v>
      </c>
      <c r="Y1402" s="152"/>
      <c r="Z1402" s="148"/>
      <c r="AA1402" s="153"/>
      <c r="AB1402" s="153"/>
      <c r="AC1402" s="153"/>
      <c r="AD1402" s="153"/>
      <c r="AH1402" s="147"/>
    </row>
    <row r="1403" spans="1:34" s="146" customFormat="1" x14ac:dyDescent="0.25">
      <c r="A1403" s="196">
        <v>1324</v>
      </c>
      <c r="B1403" s="196" t="s">
        <v>7603</v>
      </c>
      <c r="C1403" s="196" t="s">
        <v>7604</v>
      </c>
      <c r="D1403" s="196" t="s">
        <v>1912</v>
      </c>
      <c r="E1403" s="196" t="s">
        <v>1921</v>
      </c>
      <c r="F1403" s="196">
        <v>2000</v>
      </c>
      <c r="G1403" s="196"/>
      <c r="H1403" s="196" t="s">
        <v>1878</v>
      </c>
      <c r="I1403" s="141" t="s">
        <v>1879</v>
      </c>
      <c r="J1403" s="196"/>
      <c r="K1403" s="196" t="s">
        <v>1881</v>
      </c>
      <c r="L1403" s="141" t="s">
        <v>7605</v>
      </c>
      <c r="M1403" s="196">
        <v>160</v>
      </c>
      <c r="N1403" s="196"/>
      <c r="O1403" s="196" t="s">
        <v>5600</v>
      </c>
      <c r="P1403" s="144">
        <v>124</v>
      </c>
      <c r="Q1403" s="145">
        <f t="shared" si="83"/>
        <v>0.64900000000000002</v>
      </c>
      <c r="R1403" s="203">
        <v>0.25</v>
      </c>
      <c r="S1403" s="203"/>
      <c r="T1403" s="151">
        <v>0.35</v>
      </c>
      <c r="U1403" s="151"/>
      <c r="V1403" s="151">
        <v>0.25</v>
      </c>
      <c r="W1403" s="151">
        <f t="shared" si="82"/>
        <v>0.35</v>
      </c>
      <c r="X1403" s="152">
        <f t="shared" si="81"/>
        <v>4.8999999999999995E-2</v>
      </c>
      <c r="Y1403" s="152"/>
      <c r="Z1403" s="148"/>
      <c r="AA1403" s="153"/>
      <c r="AB1403" s="153"/>
      <c r="AC1403" s="153"/>
      <c r="AD1403" s="153"/>
      <c r="AH1403" s="147"/>
    </row>
    <row r="1404" spans="1:34" s="146" customFormat="1" x14ac:dyDescent="0.25">
      <c r="A1404" s="196">
        <v>1875</v>
      </c>
      <c r="B1404" s="196"/>
      <c r="C1404" s="196" t="s">
        <v>7606</v>
      </c>
      <c r="D1404" s="196" t="s">
        <v>1876</v>
      </c>
      <c r="E1404" s="196" t="s">
        <v>2157</v>
      </c>
      <c r="F1404" s="196">
        <v>2008</v>
      </c>
      <c r="G1404" s="196"/>
      <c r="H1404" s="196" t="s">
        <v>1878</v>
      </c>
      <c r="I1404" s="141" t="s">
        <v>1879</v>
      </c>
      <c r="J1404" s="196"/>
      <c r="K1404" s="196" t="s">
        <v>1881</v>
      </c>
      <c r="L1404" s="141" t="s">
        <v>7607</v>
      </c>
      <c r="M1404" s="196">
        <v>240</v>
      </c>
      <c r="N1404" s="196"/>
      <c r="O1404" s="196" t="s">
        <v>5601</v>
      </c>
      <c r="P1404" s="144">
        <v>145</v>
      </c>
      <c r="Q1404" s="145">
        <f t="shared" si="83"/>
        <v>0.79879999999999995</v>
      </c>
      <c r="R1404" s="203">
        <v>0.49</v>
      </c>
      <c r="S1404" s="203"/>
      <c r="T1404" s="151">
        <v>0.35</v>
      </c>
      <c r="U1404" s="151"/>
      <c r="V1404" s="151">
        <v>0.25</v>
      </c>
      <c r="W1404" s="151">
        <f t="shared" si="82"/>
        <v>0.49</v>
      </c>
      <c r="X1404" s="152">
        <f t="shared" si="81"/>
        <v>5.8799999999999998E-2</v>
      </c>
      <c r="Y1404" s="152"/>
      <c r="Z1404" s="148"/>
      <c r="AA1404" s="153"/>
      <c r="AB1404" s="153"/>
      <c r="AC1404" s="153"/>
      <c r="AD1404" s="153"/>
      <c r="AH1404" s="147"/>
    </row>
    <row r="1405" spans="1:34" s="146" customFormat="1" x14ac:dyDescent="0.25">
      <c r="A1405" s="196">
        <v>689</v>
      </c>
      <c r="B1405" s="196" t="s">
        <v>2470</v>
      </c>
      <c r="C1405" s="196" t="s">
        <v>7608</v>
      </c>
      <c r="D1405" s="196" t="s">
        <v>2209</v>
      </c>
      <c r="E1405" s="196"/>
      <c r="F1405" s="196">
        <v>1998</v>
      </c>
      <c r="G1405" s="196"/>
      <c r="H1405" s="196" t="s">
        <v>1878</v>
      </c>
      <c r="I1405" s="141" t="s">
        <v>1879</v>
      </c>
      <c r="J1405" s="196"/>
      <c r="K1405" s="196" t="s">
        <v>1881</v>
      </c>
      <c r="L1405" s="141" t="s">
        <v>7609</v>
      </c>
      <c r="M1405" s="196">
        <v>224</v>
      </c>
      <c r="N1405" s="196"/>
      <c r="O1405" s="196" t="s">
        <v>5602</v>
      </c>
      <c r="P1405" s="144">
        <v>160</v>
      </c>
      <c r="Q1405" s="145">
        <f t="shared" si="83"/>
        <v>0.64900000000000002</v>
      </c>
      <c r="R1405" s="203">
        <v>0.25</v>
      </c>
      <c r="S1405" s="203"/>
      <c r="T1405" s="151">
        <v>0.35</v>
      </c>
      <c r="U1405" s="151"/>
      <c r="V1405" s="151">
        <v>0.25</v>
      </c>
      <c r="W1405" s="151">
        <f t="shared" si="82"/>
        <v>0.35</v>
      </c>
      <c r="X1405" s="152">
        <f t="shared" si="81"/>
        <v>4.8999999999999995E-2</v>
      </c>
      <c r="Y1405" s="152"/>
      <c r="Z1405" s="148"/>
      <c r="AA1405" s="153"/>
      <c r="AB1405" s="153"/>
      <c r="AC1405" s="153"/>
      <c r="AD1405" s="153"/>
      <c r="AH1405" s="147"/>
    </row>
    <row r="1406" spans="1:34" s="146" customFormat="1" x14ac:dyDescent="0.25">
      <c r="A1406" s="196">
        <v>2591</v>
      </c>
      <c r="B1406" s="196"/>
      <c r="C1406" s="196" t="s">
        <v>7610</v>
      </c>
      <c r="D1406" s="196" t="s">
        <v>7611</v>
      </c>
      <c r="E1406" s="196"/>
      <c r="F1406" s="196">
        <v>2017</v>
      </c>
      <c r="G1406" s="196"/>
      <c r="H1406" s="196" t="s">
        <v>1878</v>
      </c>
      <c r="I1406" s="141" t="s">
        <v>1879</v>
      </c>
      <c r="J1406" s="196"/>
      <c r="K1406" s="196" t="s">
        <v>1881</v>
      </c>
      <c r="L1406" s="141" t="s">
        <v>7612</v>
      </c>
      <c r="M1406" s="196">
        <v>16</v>
      </c>
      <c r="N1406" s="196"/>
      <c r="O1406" s="196" t="s">
        <v>5603</v>
      </c>
      <c r="P1406" s="144">
        <v>16</v>
      </c>
      <c r="Q1406" s="145">
        <f t="shared" si="83"/>
        <v>7.7645</v>
      </c>
      <c r="R1406" s="203">
        <v>7</v>
      </c>
      <c r="S1406" s="203"/>
      <c r="T1406" s="151">
        <v>0.35</v>
      </c>
      <c r="U1406" s="151"/>
      <c r="V1406" s="151">
        <v>0.25</v>
      </c>
      <c r="W1406" s="151">
        <f t="shared" si="82"/>
        <v>7</v>
      </c>
      <c r="X1406" s="152">
        <f t="shared" si="81"/>
        <v>0.51449999999999996</v>
      </c>
      <c r="Y1406" s="152"/>
      <c r="Z1406" s="148"/>
      <c r="AA1406" s="153"/>
      <c r="AB1406" s="153"/>
      <c r="AC1406" s="153"/>
      <c r="AD1406" s="153"/>
      <c r="AH1406" s="147"/>
    </row>
    <row r="1407" spans="1:34" s="146" customFormat="1" x14ac:dyDescent="0.25">
      <c r="A1407" s="196">
        <v>2591</v>
      </c>
      <c r="B1407" s="196"/>
      <c r="C1407" s="196" t="s">
        <v>7613</v>
      </c>
      <c r="D1407" s="196" t="s">
        <v>7611</v>
      </c>
      <c r="E1407" s="196"/>
      <c r="F1407" s="196">
        <v>2017</v>
      </c>
      <c r="G1407" s="196"/>
      <c r="H1407" s="196" t="s">
        <v>1878</v>
      </c>
      <c r="I1407" s="141" t="s">
        <v>1929</v>
      </c>
      <c r="J1407" s="196"/>
      <c r="K1407" s="196" t="s">
        <v>1881</v>
      </c>
      <c r="L1407" s="141" t="s">
        <v>7612</v>
      </c>
      <c r="M1407" s="196">
        <v>16</v>
      </c>
      <c r="N1407" s="196"/>
      <c r="O1407" s="196" t="s">
        <v>5604</v>
      </c>
      <c r="P1407" s="144">
        <v>17</v>
      </c>
      <c r="Q1407" s="145">
        <f t="shared" si="83"/>
        <v>7.7645</v>
      </c>
      <c r="R1407" s="203">
        <v>7</v>
      </c>
      <c r="S1407" s="203"/>
      <c r="T1407" s="151">
        <v>0.35</v>
      </c>
      <c r="U1407" s="151"/>
      <c r="V1407" s="151">
        <v>0.25</v>
      </c>
      <c r="W1407" s="151">
        <f t="shared" si="82"/>
        <v>7</v>
      </c>
      <c r="X1407" s="152">
        <f t="shared" si="81"/>
        <v>0.51449999999999996</v>
      </c>
      <c r="Y1407" s="152"/>
      <c r="Z1407" s="148"/>
      <c r="AA1407" s="153"/>
      <c r="AB1407" s="153"/>
      <c r="AC1407" s="153"/>
      <c r="AD1407" s="153"/>
      <c r="AH1407" s="147"/>
    </row>
    <row r="1408" spans="1:34" s="146" customFormat="1" x14ac:dyDescent="0.25">
      <c r="A1408" s="196">
        <v>2591</v>
      </c>
      <c r="B1408" s="196"/>
      <c r="C1408" s="196" t="s">
        <v>7614</v>
      </c>
      <c r="D1408" s="196" t="s">
        <v>7611</v>
      </c>
      <c r="E1408" s="196"/>
      <c r="F1408" s="196">
        <v>2017</v>
      </c>
      <c r="G1408" s="196"/>
      <c r="H1408" s="196" t="s">
        <v>1878</v>
      </c>
      <c r="I1408" s="141" t="s">
        <v>1929</v>
      </c>
      <c r="J1408" s="196"/>
      <c r="K1408" s="196" t="s">
        <v>1881</v>
      </c>
      <c r="L1408" s="141" t="s">
        <v>7615</v>
      </c>
      <c r="M1408" s="196">
        <v>16</v>
      </c>
      <c r="N1408" s="196"/>
      <c r="O1408" s="196" t="s">
        <v>5605</v>
      </c>
      <c r="P1408" s="144">
        <v>17</v>
      </c>
      <c r="Q1408" s="145">
        <f t="shared" si="83"/>
        <v>7.7645</v>
      </c>
      <c r="R1408" s="203">
        <v>7</v>
      </c>
      <c r="S1408" s="203"/>
      <c r="T1408" s="151">
        <v>0.35</v>
      </c>
      <c r="U1408" s="151"/>
      <c r="V1408" s="151">
        <v>0.25</v>
      </c>
      <c r="W1408" s="151">
        <f t="shared" si="82"/>
        <v>7</v>
      </c>
      <c r="X1408" s="152">
        <f t="shared" si="81"/>
        <v>0.51449999999999996</v>
      </c>
      <c r="Y1408" s="152"/>
      <c r="Z1408" s="148"/>
      <c r="AA1408" s="153"/>
      <c r="AB1408" s="153"/>
      <c r="AC1408" s="153"/>
      <c r="AD1408" s="153"/>
      <c r="AH1408" s="147"/>
    </row>
    <row r="1409" spans="1:34" s="146" customFormat="1" x14ac:dyDescent="0.25">
      <c r="A1409" s="196">
        <v>1905</v>
      </c>
      <c r="B1409" s="196" t="s">
        <v>7616</v>
      </c>
      <c r="C1409" s="196" t="s">
        <v>7617</v>
      </c>
      <c r="D1409" s="196" t="s">
        <v>2835</v>
      </c>
      <c r="E1409" s="196" t="s">
        <v>1877</v>
      </c>
      <c r="F1409" s="196">
        <v>2012</v>
      </c>
      <c r="G1409" s="196"/>
      <c r="H1409" s="196" t="s">
        <v>1878</v>
      </c>
      <c r="I1409" s="141" t="s">
        <v>1879</v>
      </c>
      <c r="J1409" s="196"/>
      <c r="K1409" s="196" t="s">
        <v>1881</v>
      </c>
      <c r="L1409" s="141" t="s">
        <v>7618</v>
      </c>
      <c r="M1409" s="196">
        <v>144</v>
      </c>
      <c r="N1409" s="196"/>
      <c r="O1409" s="196" t="s">
        <v>5606</v>
      </c>
      <c r="P1409" s="144">
        <v>95</v>
      </c>
      <c r="Q1409" s="145">
        <f t="shared" si="83"/>
        <v>3.3668</v>
      </c>
      <c r="R1409" s="203">
        <v>2.89</v>
      </c>
      <c r="S1409" s="203"/>
      <c r="T1409" s="151">
        <v>0.35</v>
      </c>
      <c r="U1409" s="151"/>
      <c r="V1409" s="151">
        <v>0.25</v>
      </c>
      <c r="W1409" s="151">
        <f t="shared" si="82"/>
        <v>2.89</v>
      </c>
      <c r="X1409" s="152">
        <f t="shared" si="81"/>
        <v>0.22680000000000003</v>
      </c>
      <c r="Y1409" s="152"/>
      <c r="Z1409" s="148"/>
      <c r="AA1409" s="153"/>
      <c r="AB1409" s="153"/>
      <c r="AC1409" s="153"/>
      <c r="AD1409" s="153"/>
      <c r="AH1409" s="147"/>
    </row>
    <row r="1410" spans="1:34" s="146" customFormat="1" x14ac:dyDescent="0.25">
      <c r="A1410" s="196">
        <v>769</v>
      </c>
      <c r="B1410" s="196"/>
      <c r="C1410" s="196" t="s">
        <v>7619</v>
      </c>
      <c r="D1410" s="196" t="s">
        <v>7620</v>
      </c>
      <c r="E1410" s="196" t="s">
        <v>1899</v>
      </c>
      <c r="F1410" s="196">
        <v>1991</v>
      </c>
      <c r="G1410" s="196"/>
      <c r="H1410" s="196" t="s">
        <v>2734</v>
      </c>
      <c r="I1410" s="141" t="s">
        <v>1929</v>
      </c>
      <c r="J1410" s="196"/>
      <c r="K1410" s="196" t="s">
        <v>1881</v>
      </c>
      <c r="L1410" s="240" t="s">
        <v>7621</v>
      </c>
      <c r="M1410" s="196">
        <v>450</v>
      </c>
      <c r="N1410" s="196"/>
      <c r="O1410" s="196" t="s">
        <v>5607</v>
      </c>
      <c r="P1410" s="144">
        <v>314</v>
      </c>
      <c r="Q1410" s="145">
        <f t="shared" si="83"/>
        <v>0.64900000000000002</v>
      </c>
      <c r="R1410" s="203">
        <v>0.25</v>
      </c>
      <c r="S1410" s="203"/>
      <c r="T1410" s="151">
        <v>0.35</v>
      </c>
      <c r="U1410" s="151"/>
      <c r="V1410" s="151">
        <v>0.25</v>
      </c>
      <c r="W1410" s="151">
        <f t="shared" si="82"/>
        <v>0.35</v>
      </c>
      <c r="X1410" s="152">
        <f t="shared" si="81"/>
        <v>4.8999999999999995E-2</v>
      </c>
      <c r="Y1410" s="152"/>
      <c r="Z1410" s="148"/>
      <c r="AA1410" s="153"/>
      <c r="AB1410" s="153"/>
      <c r="AC1410" s="153"/>
      <c r="AD1410" s="153"/>
      <c r="AH1410" s="147"/>
    </row>
    <row r="1411" spans="1:34" s="146" customFormat="1" x14ac:dyDescent="0.25">
      <c r="A1411" s="196">
        <v>765</v>
      </c>
      <c r="B1411" s="196" t="s">
        <v>4797</v>
      </c>
      <c r="C1411" s="196" t="s">
        <v>6199</v>
      </c>
      <c r="D1411" s="196" t="s">
        <v>1876</v>
      </c>
      <c r="E1411" s="196" t="s">
        <v>7558</v>
      </c>
      <c r="F1411" s="196">
        <v>2010</v>
      </c>
      <c r="G1411" s="196"/>
      <c r="H1411" s="196" t="s">
        <v>1878</v>
      </c>
      <c r="I1411" s="141" t="s">
        <v>1929</v>
      </c>
      <c r="J1411" s="196"/>
      <c r="K1411" s="196" t="s">
        <v>1881</v>
      </c>
      <c r="L1411" s="240" t="s">
        <v>6200</v>
      </c>
      <c r="M1411" s="196">
        <v>96</v>
      </c>
      <c r="N1411" s="196"/>
      <c r="O1411" s="196" t="s">
        <v>5609</v>
      </c>
      <c r="P1411" s="144">
        <v>175</v>
      </c>
      <c r="Q1411" s="145">
        <f t="shared" si="83"/>
        <v>0.64900000000000002</v>
      </c>
      <c r="R1411" s="203">
        <v>0.25</v>
      </c>
      <c r="S1411" s="203"/>
      <c r="T1411" s="151">
        <v>0.35</v>
      </c>
      <c r="U1411" s="151"/>
      <c r="V1411" s="151">
        <v>0.25</v>
      </c>
      <c r="W1411" s="151">
        <f t="shared" si="82"/>
        <v>0.35</v>
      </c>
      <c r="X1411" s="152">
        <f t="shared" si="81"/>
        <v>4.8999999999999995E-2</v>
      </c>
      <c r="Y1411" s="152"/>
      <c r="Z1411" s="148"/>
      <c r="AA1411" s="153"/>
      <c r="AB1411" s="153"/>
      <c r="AC1411" s="153"/>
      <c r="AD1411" s="153"/>
      <c r="AH1411" s="147"/>
    </row>
    <row r="1412" spans="1:34" s="146" customFormat="1" x14ac:dyDescent="0.25">
      <c r="A1412" s="196">
        <v>704</v>
      </c>
      <c r="B1412" s="196" t="s">
        <v>7625</v>
      </c>
      <c r="C1412" s="196" t="s">
        <v>7626</v>
      </c>
      <c r="D1412" s="196" t="s">
        <v>2300</v>
      </c>
      <c r="E1412" s="196" t="s">
        <v>2175</v>
      </c>
      <c r="F1412" s="196">
        <v>2004</v>
      </c>
      <c r="G1412" s="196"/>
      <c r="H1412" s="196" t="s">
        <v>1878</v>
      </c>
      <c r="I1412" s="141" t="s">
        <v>1879</v>
      </c>
      <c r="J1412" s="196"/>
      <c r="K1412" s="196" t="s">
        <v>1881</v>
      </c>
      <c r="L1412" s="240" t="s">
        <v>7627</v>
      </c>
      <c r="M1412" s="196">
        <v>144</v>
      </c>
      <c r="N1412" s="196"/>
      <c r="O1412" s="196" t="s">
        <v>5610</v>
      </c>
      <c r="P1412" s="144">
        <v>138</v>
      </c>
      <c r="Q1412" s="145">
        <f t="shared" si="83"/>
        <v>0.64900000000000002</v>
      </c>
      <c r="R1412" s="203">
        <v>0.25</v>
      </c>
      <c r="S1412" s="203"/>
      <c r="T1412" s="151">
        <v>0.35</v>
      </c>
      <c r="U1412" s="151"/>
      <c r="V1412" s="151">
        <v>0.25</v>
      </c>
      <c r="W1412" s="151">
        <f t="shared" si="82"/>
        <v>0.35</v>
      </c>
      <c r="X1412" s="152">
        <f t="shared" si="81"/>
        <v>4.8999999999999995E-2</v>
      </c>
      <c r="Y1412" s="152"/>
      <c r="Z1412" s="148"/>
      <c r="AA1412" s="153"/>
      <c r="AB1412" s="153"/>
      <c r="AC1412" s="153"/>
      <c r="AD1412" s="153"/>
      <c r="AH1412" s="147"/>
    </row>
    <row r="1413" spans="1:34" s="146" customFormat="1" x14ac:dyDescent="0.25">
      <c r="A1413" s="196">
        <v>765</v>
      </c>
      <c r="B1413" s="196" t="s">
        <v>7628</v>
      </c>
      <c r="C1413" s="196" t="s">
        <v>7629</v>
      </c>
      <c r="D1413" s="196" t="s">
        <v>7630</v>
      </c>
      <c r="E1413" s="196"/>
      <c r="F1413" s="196">
        <v>2005</v>
      </c>
      <c r="G1413" s="196"/>
      <c r="H1413" s="196" t="s">
        <v>1878</v>
      </c>
      <c r="I1413" s="141" t="s">
        <v>1879</v>
      </c>
      <c r="J1413" s="196"/>
      <c r="K1413" s="196" t="s">
        <v>1881</v>
      </c>
      <c r="L1413" s="240" t="s">
        <v>7631</v>
      </c>
      <c r="M1413" s="196">
        <v>240</v>
      </c>
      <c r="N1413" s="196"/>
      <c r="O1413" s="196" t="s">
        <v>5611</v>
      </c>
      <c r="P1413" s="144">
        <v>212</v>
      </c>
      <c r="Q1413" s="145">
        <f t="shared" si="83"/>
        <v>2.8424999999999998</v>
      </c>
      <c r="R1413" s="203">
        <v>2.4</v>
      </c>
      <c r="S1413" s="203"/>
      <c r="T1413" s="151">
        <v>0.35</v>
      </c>
      <c r="U1413" s="151"/>
      <c r="V1413" s="151">
        <v>0.25</v>
      </c>
      <c r="W1413" s="151">
        <f t="shared" si="82"/>
        <v>2.4</v>
      </c>
      <c r="X1413" s="152">
        <f t="shared" si="81"/>
        <v>0.1925</v>
      </c>
      <c r="Y1413" s="152"/>
      <c r="Z1413" s="148"/>
      <c r="AA1413" s="153"/>
      <c r="AB1413" s="153"/>
      <c r="AC1413" s="153"/>
      <c r="AD1413" s="153"/>
      <c r="AH1413" s="147"/>
    </row>
    <row r="1414" spans="1:34" s="146" customFormat="1" x14ac:dyDescent="0.25">
      <c r="A1414" s="196">
        <v>18</v>
      </c>
      <c r="B1414" s="196" t="s">
        <v>7632</v>
      </c>
      <c r="C1414" s="196" t="s">
        <v>7633</v>
      </c>
      <c r="D1414" s="196" t="s">
        <v>7634</v>
      </c>
      <c r="E1414" s="196"/>
      <c r="F1414" s="196">
        <v>2018</v>
      </c>
      <c r="G1414" s="196"/>
      <c r="H1414" s="196" t="s">
        <v>1878</v>
      </c>
      <c r="I1414" s="141" t="s">
        <v>1929</v>
      </c>
      <c r="J1414" s="196"/>
      <c r="K1414" s="196" t="s">
        <v>1881</v>
      </c>
      <c r="L1414" s="240" t="s">
        <v>7635</v>
      </c>
      <c r="M1414" s="196">
        <v>244</v>
      </c>
      <c r="N1414" s="196"/>
      <c r="O1414" s="196" t="s">
        <v>5612</v>
      </c>
      <c r="P1414" s="144">
        <v>349</v>
      </c>
      <c r="Q1414" s="145">
        <f t="shared" si="83"/>
        <v>3.4738000000000002</v>
      </c>
      <c r="R1414" s="203">
        <v>2.99</v>
      </c>
      <c r="S1414" s="203"/>
      <c r="T1414" s="151">
        <v>0.35</v>
      </c>
      <c r="U1414" s="151"/>
      <c r="V1414" s="151">
        <v>0.25</v>
      </c>
      <c r="W1414" s="151">
        <f t="shared" si="82"/>
        <v>2.99</v>
      </c>
      <c r="X1414" s="152">
        <f t="shared" si="81"/>
        <v>0.23380000000000004</v>
      </c>
      <c r="Y1414" s="152"/>
      <c r="Z1414" s="148"/>
      <c r="AA1414" s="153"/>
      <c r="AB1414" s="153"/>
      <c r="AC1414" s="153"/>
      <c r="AD1414" s="153"/>
      <c r="AH1414" s="147"/>
    </row>
    <row r="1415" spans="1:34" s="146" customFormat="1" x14ac:dyDescent="0.25">
      <c r="A1415" s="196">
        <v>2551</v>
      </c>
      <c r="B1415" s="196" t="s">
        <v>5033</v>
      </c>
      <c r="C1415" s="196" t="s">
        <v>7636</v>
      </c>
      <c r="D1415" s="196" t="s">
        <v>5005</v>
      </c>
      <c r="E1415" s="196"/>
      <c r="F1415" s="196">
        <v>2000</v>
      </c>
      <c r="G1415" s="196"/>
      <c r="H1415" s="196" t="s">
        <v>2734</v>
      </c>
      <c r="I1415" s="141" t="s">
        <v>1879</v>
      </c>
      <c r="J1415" s="196"/>
      <c r="K1415" s="196" t="s">
        <v>1881</v>
      </c>
      <c r="L1415" s="240"/>
      <c r="M1415" s="196">
        <v>610</v>
      </c>
      <c r="N1415" s="196"/>
      <c r="O1415" s="196" t="s">
        <v>5613</v>
      </c>
      <c r="P1415" s="144">
        <v>796</v>
      </c>
      <c r="Q1415" s="145">
        <f t="shared" si="83"/>
        <v>0.64900000000000002</v>
      </c>
      <c r="R1415" s="203">
        <v>0.25</v>
      </c>
      <c r="S1415" s="203"/>
      <c r="T1415" s="151">
        <v>0.35</v>
      </c>
      <c r="U1415" s="151"/>
      <c r="V1415" s="151">
        <v>0.25</v>
      </c>
      <c r="W1415" s="151">
        <f t="shared" si="82"/>
        <v>0.35</v>
      </c>
      <c r="X1415" s="152">
        <f t="shared" si="81"/>
        <v>4.8999999999999995E-2</v>
      </c>
      <c r="Y1415" s="152"/>
      <c r="Z1415" s="148"/>
      <c r="AA1415" s="153"/>
      <c r="AB1415" s="153"/>
      <c r="AC1415" s="153"/>
      <c r="AD1415" s="153"/>
      <c r="AH1415" s="147"/>
    </row>
    <row r="1416" spans="1:34" s="146" customFormat="1" x14ac:dyDescent="0.25">
      <c r="A1416" s="196">
        <v>1395</v>
      </c>
      <c r="B1416" s="196" t="s">
        <v>7637</v>
      </c>
      <c r="C1416" s="196" t="s">
        <v>7638</v>
      </c>
      <c r="D1416" s="196" t="s">
        <v>2257</v>
      </c>
      <c r="E1416" s="196"/>
      <c r="F1416" s="196">
        <v>1990</v>
      </c>
      <c r="G1416" s="196"/>
      <c r="H1416" s="196" t="s">
        <v>1878</v>
      </c>
      <c r="I1416" s="141" t="s">
        <v>6422</v>
      </c>
      <c r="J1416" s="196"/>
      <c r="K1416" s="196" t="s">
        <v>1881</v>
      </c>
      <c r="L1416" s="240" t="s">
        <v>7639</v>
      </c>
      <c r="M1416" s="196">
        <v>880</v>
      </c>
      <c r="N1416" s="196"/>
      <c r="O1416" s="196" t="s">
        <v>5614</v>
      </c>
      <c r="P1416" s="144">
        <v>509</v>
      </c>
      <c r="Q1416" s="145">
        <f t="shared" si="83"/>
        <v>0.8095</v>
      </c>
      <c r="R1416" s="203">
        <v>0.5</v>
      </c>
      <c r="S1416" s="203"/>
      <c r="T1416" s="151">
        <v>0.35</v>
      </c>
      <c r="U1416" s="151"/>
      <c r="V1416" s="151">
        <v>0.25</v>
      </c>
      <c r="W1416" s="151">
        <f t="shared" si="82"/>
        <v>0.5</v>
      </c>
      <c r="X1416" s="152">
        <f t="shared" si="81"/>
        <v>5.9500000000000004E-2</v>
      </c>
      <c r="Y1416" s="152"/>
      <c r="Z1416" s="148"/>
      <c r="AA1416" s="153"/>
      <c r="AB1416" s="153"/>
      <c r="AC1416" s="153"/>
      <c r="AD1416" s="153"/>
      <c r="AH1416" s="147"/>
    </row>
    <row r="1417" spans="1:34" s="146" customFormat="1" x14ac:dyDescent="0.25">
      <c r="A1417" s="196">
        <v>2522</v>
      </c>
      <c r="B1417" s="196" t="s">
        <v>7349</v>
      </c>
      <c r="C1417" s="196" t="s">
        <v>7640</v>
      </c>
      <c r="D1417" s="196" t="s">
        <v>2209</v>
      </c>
      <c r="E1417" s="196"/>
      <c r="F1417" s="196">
        <v>1991</v>
      </c>
      <c r="G1417" s="196"/>
      <c r="H1417" s="196" t="s">
        <v>1878</v>
      </c>
      <c r="I1417" s="141" t="s">
        <v>6422</v>
      </c>
      <c r="J1417" s="196"/>
      <c r="K1417" s="196" t="s">
        <v>1881</v>
      </c>
      <c r="L1417" s="240" t="s">
        <v>7641</v>
      </c>
      <c r="M1417" s="196">
        <v>480</v>
      </c>
      <c r="N1417" s="196"/>
      <c r="O1417" s="196" t="s">
        <v>5615</v>
      </c>
      <c r="P1417" s="144">
        <v>261</v>
      </c>
      <c r="Q1417" s="145">
        <f t="shared" si="83"/>
        <v>0.8095</v>
      </c>
      <c r="R1417" s="203">
        <v>0.5</v>
      </c>
      <c r="S1417" s="203"/>
      <c r="T1417" s="151">
        <v>0.35</v>
      </c>
      <c r="U1417" s="151"/>
      <c r="V1417" s="151">
        <v>0.25</v>
      </c>
      <c r="W1417" s="151">
        <f t="shared" si="82"/>
        <v>0.5</v>
      </c>
      <c r="X1417" s="152">
        <f t="shared" si="81"/>
        <v>5.9500000000000004E-2</v>
      </c>
      <c r="Y1417" s="152"/>
      <c r="Z1417" s="148"/>
      <c r="AA1417" s="153"/>
      <c r="AB1417" s="153"/>
      <c r="AC1417" s="153"/>
      <c r="AD1417" s="153"/>
      <c r="AH1417" s="147"/>
    </row>
    <row r="1418" spans="1:34" s="146" customFormat="1" x14ac:dyDescent="0.25">
      <c r="A1418" s="196">
        <v>734</v>
      </c>
      <c r="B1418" s="196" t="s">
        <v>7392</v>
      </c>
      <c r="C1418" s="196" t="s">
        <v>7644</v>
      </c>
      <c r="D1418" s="196" t="s">
        <v>2209</v>
      </c>
      <c r="E1418" s="196" t="s">
        <v>2032</v>
      </c>
      <c r="F1418" s="196">
        <v>1991</v>
      </c>
      <c r="G1418" s="196"/>
      <c r="H1418" s="196" t="s">
        <v>1878</v>
      </c>
      <c r="I1418" s="141" t="s">
        <v>1914</v>
      </c>
      <c r="J1418" s="196"/>
      <c r="K1418" s="196" t="s">
        <v>1881</v>
      </c>
      <c r="L1418" s="240" t="s">
        <v>7645</v>
      </c>
      <c r="M1418" s="196">
        <v>688</v>
      </c>
      <c r="N1418" s="196"/>
      <c r="O1418" s="196" t="s">
        <v>5617</v>
      </c>
      <c r="P1418" s="144">
        <v>421</v>
      </c>
      <c r="Q1418" s="145">
        <f t="shared" si="83"/>
        <v>0.64900000000000002</v>
      </c>
      <c r="R1418" s="203">
        <v>0.25</v>
      </c>
      <c r="S1418" s="203"/>
      <c r="T1418" s="151">
        <v>0.35</v>
      </c>
      <c r="U1418" s="151"/>
      <c r="V1418" s="151">
        <v>0.25</v>
      </c>
      <c r="W1418" s="151">
        <f t="shared" si="82"/>
        <v>0.35</v>
      </c>
      <c r="X1418" s="152">
        <f t="shared" si="81"/>
        <v>4.8999999999999995E-2</v>
      </c>
      <c r="Y1418" s="152"/>
      <c r="Z1418" s="148"/>
      <c r="AA1418" s="153"/>
      <c r="AB1418" s="153"/>
      <c r="AC1418" s="153"/>
      <c r="AD1418" s="153"/>
      <c r="AH1418" s="147"/>
    </row>
    <row r="1419" spans="1:34" s="146" customFormat="1" x14ac:dyDescent="0.25">
      <c r="A1419" s="196">
        <v>632</v>
      </c>
      <c r="B1419" s="196" t="s">
        <v>6322</v>
      </c>
      <c r="C1419" s="196" t="s">
        <v>7646</v>
      </c>
      <c r="D1419" s="196" t="s">
        <v>1993</v>
      </c>
      <c r="E1419" s="196"/>
      <c r="F1419" s="196">
        <v>2002</v>
      </c>
      <c r="G1419" s="196"/>
      <c r="H1419" s="196" t="s">
        <v>1878</v>
      </c>
      <c r="I1419" s="141" t="s">
        <v>1879</v>
      </c>
      <c r="J1419" s="196"/>
      <c r="K1419" s="196" t="s">
        <v>1881</v>
      </c>
      <c r="L1419" s="240" t="s">
        <v>7647</v>
      </c>
      <c r="M1419" s="196">
        <v>576</v>
      </c>
      <c r="N1419" s="196"/>
      <c r="O1419" s="196" t="s">
        <v>5618</v>
      </c>
      <c r="P1419" s="144">
        <v>408</v>
      </c>
      <c r="Q1419" s="145">
        <f t="shared" si="83"/>
        <v>1.2374999999999998</v>
      </c>
      <c r="R1419" s="203">
        <v>0.9</v>
      </c>
      <c r="S1419" s="203"/>
      <c r="T1419" s="151">
        <v>0.35</v>
      </c>
      <c r="U1419" s="151"/>
      <c r="V1419" s="151">
        <v>0.25</v>
      </c>
      <c r="W1419" s="151">
        <f t="shared" si="82"/>
        <v>0.9</v>
      </c>
      <c r="X1419" s="152">
        <f t="shared" si="81"/>
        <v>8.7500000000000008E-2</v>
      </c>
      <c r="Y1419" s="152"/>
      <c r="Z1419" s="148"/>
      <c r="AA1419" s="153"/>
      <c r="AB1419" s="153"/>
      <c r="AC1419" s="153"/>
      <c r="AD1419" s="153"/>
      <c r="AH1419" s="147"/>
    </row>
    <row r="1420" spans="1:34" s="146" customFormat="1" x14ac:dyDescent="0.25">
      <c r="A1420" s="196">
        <v>734</v>
      </c>
      <c r="B1420" s="196" t="s">
        <v>7648</v>
      </c>
      <c r="C1420" s="196" t="s">
        <v>7649</v>
      </c>
      <c r="D1420" s="196" t="s">
        <v>2257</v>
      </c>
      <c r="E1420" s="196" t="s">
        <v>1921</v>
      </c>
      <c r="F1420" s="196">
        <v>2008</v>
      </c>
      <c r="G1420" s="196"/>
      <c r="H1420" s="196" t="s">
        <v>1878</v>
      </c>
      <c r="I1420" s="141" t="s">
        <v>1914</v>
      </c>
      <c r="J1420" s="196"/>
      <c r="K1420" s="196" t="s">
        <v>1881</v>
      </c>
      <c r="L1420" s="240" t="s">
        <v>7650</v>
      </c>
      <c r="M1420" s="196">
        <v>688</v>
      </c>
      <c r="N1420" s="196"/>
      <c r="O1420" s="196" t="s">
        <v>5619</v>
      </c>
      <c r="P1420" s="144">
        <v>509</v>
      </c>
      <c r="Q1420" s="145">
        <f t="shared" si="83"/>
        <v>0.64900000000000002</v>
      </c>
      <c r="R1420" s="203">
        <v>0.25</v>
      </c>
      <c r="S1420" s="203"/>
      <c r="T1420" s="151">
        <v>0.35</v>
      </c>
      <c r="U1420" s="151"/>
      <c r="V1420" s="151">
        <v>0.25</v>
      </c>
      <c r="W1420" s="151">
        <f t="shared" si="82"/>
        <v>0.35</v>
      </c>
      <c r="X1420" s="152">
        <f t="shared" si="81"/>
        <v>4.8999999999999995E-2</v>
      </c>
      <c r="Y1420" s="152"/>
      <c r="Z1420" s="148"/>
      <c r="AA1420" s="153"/>
      <c r="AB1420" s="153"/>
      <c r="AC1420" s="153"/>
      <c r="AD1420" s="153"/>
      <c r="AH1420" s="147"/>
    </row>
    <row r="1421" spans="1:34" s="146" customFormat="1" x14ac:dyDescent="0.25">
      <c r="A1421" s="196">
        <v>632</v>
      </c>
      <c r="B1421" s="196" t="s">
        <v>7654</v>
      </c>
      <c r="C1421" s="196" t="s">
        <v>7655</v>
      </c>
      <c r="D1421" s="196" t="s">
        <v>2257</v>
      </c>
      <c r="E1421" s="196"/>
      <c r="F1421" s="196">
        <v>2011</v>
      </c>
      <c r="G1421" s="196"/>
      <c r="H1421" s="196" t="s">
        <v>1878</v>
      </c>
      <c r="I1421" s="141" t="s">
        <v>1879</v>
      </c>
      <c r="J1421" s="196"/>
      <c r="K1421" s="196" t="s">
        <v>1881</v>
      </c>
      <c r="L1421" s="240" t="s">
        <v>7656</v>
      </c>
      <c r="M1421" s="196">
        <v>432</v>
      </c>
      <c r="N1421" s="196"/>
      <c r="O1421" s="196" t="s">
        <v>5621</v>
      </c>
      <c r="P1421" s="144">
        <v>384</v>
      </c>
      <c r="Q1421" s="145">
        <f t="shared" si="83"/>
        <v>1.1305000000000001</v>
      </c>
      <c r="R1421" s="203">
        <v>0.8</v>
      </c>
      <c r="S1421" s="203"/>
      <c r="T1421" s="151">
        <v>0.35</v>
      </c>
      <c r="U1421" s="151"/>
      <c r="V1421" s="151">
        <v>0.25</v>
      </c>
      <c r="W1421" s="151">
        <f t="shared" si="82"/>
        <v>0.8</v>
      </c>
      <c r="X1421" s="152">
        <f t="shared" si="81"/>
        <v>8.0500000000000002E-2</v>
      </c>
      <c r="Y1421" s="152"/>
      <c r="Z1421" s="148"/>
      <c r="AA1421" s="153"/>
      <c r="AB1421" s="153"/>
      <c r="AC1421" s="153"/>
      <c r="AD1421" s="153"/>
      <c r="AH1421" s="147"/>
    </row>
    <row r="1422" spans="1:34" s="146" customFormat="1" x14ac:dyDescent="0.25">
      <c r="A1422" s="196">
        <v>229</v>
      </c>
      <c r="B1422" s="196"/>
      <c r="C1422" s="196" t="s">
        <v>7657</v>
      </c>
      <c r="D1422" s="196" t="s">
        <v>1912</v>
      </c>
      <c r="E1422" s="196"/>
      <c r="F1422" s="196"/>
      <c r="G1422" s="196"/>
      <c r="H1422" s="196" t="s">
        <v>1878</v>
      </c>
      <c r="I1422" s="141" t="s">
        <v>1914</v>
      </c>
      <c r="J1422" s="196"/>
      <c r="K1422" s="196" t="s">
        <v>1881</v>
      </c>
      <c r="L1422" s="240" t="s">
        <v>7658</v>
      </c>
      <c r="M1422" s="196">
        <v>512</v>
      </c>
      <c r="N1422" s="196"/>
      <c r="O1422" s="196" t="s">
        <v>5622</v>
      </c>
      <c r="P1422" s="144">
        <v>285</v>
      </c>
      <c r="Q1422" s="145">
        <f t="shared" si="83"/>
        <v>2.2967999999999997</v>
      </c>
      <c r="R1422" s="203">
        <v>1.89</v>
      </c>
      <c r="S1422" s="203"/>
      <c r="T1422" s="151">
        <v>0.35</v>
      </c>
      <c r="U1422" s="151"/>
      <c r="V1422" s="151">
        <v>0.25</v>
      </c>
      <c r="W1422" s="151">
        <f t="shared" si="82"/>
        <v>1.89</v>
      </c>
      <c r="X1422" s="152">
        <f t="shared" si="81"/>
        <v>0.15679999999999997</v>
      </c>
      <c r="Y1422" s="152"/>
      <c r="Z1422" s="148"/>
      <c r="AA1422" s="153"/>
      <c r="AB1422" s="153"/>
      <c r="AC1422" s="153"/>
      <c r="AD1422" s="153"/>
      <c r="AH1422" s="147"/>
    </row>
    <row r="1423" spans="1:34" s="146" customFormat="1" x14ac:dyDescent="0.25">
      <c r="A1423" s="196">
        <v>1326</v>
      </c>
      <c r="B1423" s="196" t="s">
        <v>6167</v>
      </c>
      <c r="C1423" s="196" t="s">
        <v>6168</v>
      </c>
      <c r="D1423" s="196" t="s">
        <v>2644</v>
      </c>
      <c r="E1423" s="196"/>
      <c r="F1423" s="196">
        <v>1994</v>
      </c>
      <c r="G1423" s="196"/>
      <c r="H1423" s="196" t="s">
        <v>1878</v>
      </c>
      <c r="I1423" s="141" t="s">
        <v>1879</v>
      </c>
      <c r="J1423" s="196"/>
      <c r="K1423" s="196" t="s">
        <v>1881</v>
      </c>
      <c r="L1423" s="240" t="s">
        <v>7659</v>
      </c>
      <c r="M1423" s="196">
        <v>136</v>
      </c>
      <c r="N1423" s="196"/>
      <c r="O1423" s="196" t="s">
        <v>5623</v>
      </c>
      <c r="P1423" s="144">
        <v>204</v>
      </c>
      <c r="Q1423" s="145">
        <f t="shared" si="83"/>
        <v>0.64900000000000002</v>
      </c>
      <c r="R1423" s="203">
        <v>0.25</v>
      </c>
      <c r="S1423" s="203"/>
      <c r="T1423" s="151">
        <v>0.35</v>
      </c>
      <c r="U1423" s="151"/>
      <c r="V1423" s="151">
        <v>0.25</v>
      </c>
      <c r="W1423" s="151">
        <f t="shared" si="82"/>
        <v>0.35</v>
      </c>
      <c r="X1423" s="152">
        <f t="shared" si="81"/>
        <v>4.8999999999999995E-2</v>
      </c>
      <c r="Y1423" s="152"/>
      <c r="Z1423" s="148"/>
      <c r="AA1423" s="153"/>
      <c r="AB1423" s="153"/>
      <c r="AC1423" s="153"/>
      <c r="AD1423" s="153"/>
      <c r="AH1423" s="147"/>
    </row>
    <row r="1424" spans="1:34" s="146" customFormat="1" x14ac:dyDescent="0.25">
      <c r="A1424" s="196">
        <v>624</v>
      </c>
      <c r="B1424" s="196" t="s">
        <v>7660</v>
      </c>
      <c r="C1424" s="196" t="s">
        <v>7661</v>
      </c>
      <c r="D1424" s="196" t="s">
        <v>7662</v>
      </c>
      <c r="E1424" s="196" t="s">
        <v>2518</v>
      </c>
      <c r="F1424" s="196">
        <v>1994</v>
      </c>
      <c r="G1424" s="196"/>
      <c r="H1424" s="196" t="s">
        <v>1878</v>
      </c>
      <c r="I1424" s="141" t="s">
        <v>1914</v>
      </c>
      <c r="J1424" s="196"/>
      <c r="K1424" s="196" t="s">
        <v>1881</v>
      </c>
      <c r="L1424" s="240" t="s">
        <v>7663</v>
      </c>
      <c r="M1424" s="196">
        <v>96</v>
      </c>
      <c r="N1424" s="196"/>
      <c r="O1424" s="196" t="s">
        <v>5624</v>
      </c>
      <c r="P1424" s="144">
        <v>142</v>
      </c>
      <c r="Q1424" s="145">
        <f t="shared" si="83"/>
        <v>1.0556000000000001</v>
      </c>
      <c r="R1424" s="203">
        <v>0.73</v>
      </c>
      <c r="S1424" s="203"/>
      <c r="T1424" s="151">
        <v>0.35</v>
      </c>
      <c r="U1424" s="151"/>
      <c r="V1424" s="151">
        <v>0.25</v>
      </c>
      <c r="W1424" s="151">
        <f t="shared" si="82"/>
        <v>0.73</v>
      </c>
      <c r="X1424" s="152">
        <f t="shared" si="81"/>
        <v>7.5600000000000001E-2</v>
      </c>
      <c r="Y1424" s="152"/>
      <c r="Z1424" s="148"/>
      <c r="AA1424" s="153"/>
      <c r="AB1424" s="153"/>
      <c r="AC1424" s="153"/>
      <c r="AD1424" s="153"/>
      <c r="AH1424" s="147"/>
    </row>
    <row r="1425" spans="1:34" s="146" customFormat="1" x14ac:dyDescent="0.25">
      <c r="A1425" s="196">
        <v>1396</v>
      </c>
      <c r="B1425" s="196" t="s">
        <v>7664</v>
      </c>
      <c r="C1425" s="196" t="s">
        <v>7665</v>
      </c>
      <c r="D1425" s="196" t="s">
        <v>1912</v>
      </c>
      <c r="E1425" s="196" t="s">
        <v>2922</v>
      </c>
      <c r="F1425" s="196">
        <v>2000</v>
      </c>
      <c r="G1425" s="196"/>
      <c r="H1425" s="196" t="s">
        <v>1878</v>
      </c>
      <c r="I1425" s="141" t="s">
        <v>1879</v>
      </c>
      <c r="J1425" s="196"/>
      <c r="K1425" s="196" t="s">
        <v>1881</v>
      </c>
      <c r="L1425" s="240" t="s">
        <v>7666</v>
      </c>
      <c r="M1425" s="196">
        <v>544</v>
      </c>
      <c r="N1425" s="196"/>
      <c r="O1425" s="196" t="s">
        <v>5625</v>
      </c>
      <c r="P1425" s="144">
        <v>516</v>
      </c>
      <c r="Q1425" s="145">
        <f t="shared" si="83"/>
        <v>0.64900000000000002</v>
      </c>
      <c r="R1425" s="203">
        <v>0.25</v>
      </c>
      <c r="S1425" s="203"/>
      <c r="T1425" s="151">
        <v>0.35</v>
      </c>
      <c r="U1425" s="151"/>
      <c r="V1425" s="151">
        <v>0.25</v>
      </c>
      <c r="W1425" s="151">
        <f t="shared" si="82"/>
        <v>0.35</v>
      </c>
      <c r="X1425" s="152">
        <f t="shared" si="81"/>
        <v>4.8999999999999995E-2</v>
      </c>
      <c r="Y1425" s="152"/>
      <c r="Z1425" s="148"/>
      <c r="AA1425" s="153"/>
      <c r="AB1425" s="153"/>
      <c r="AC1425" s="153"/>
      <c r="AD1425" s="153"/>
      <c r="AH1425" s="147"/>
    </row>
    <row r="1426" spans="1:34" s="146" customFormat="1" x14ac:dyDescent="0.25">
      <c r="A1426" s="196">
        <v>2522</v>
      </c>
      <c r="B1426" s="196" t="s">
        <v>4038</v>
      </c>
      <c r="C1426" s="196" t="s">
        <v>4234</v>
      </c>
      <c r="D1426" s="196" t="s">
        <v>2300</v>
      </c>
      <c r="E1426" s="196" t="s">
        <v>1921</v>
      </c>
      <c r="F1426" s="196">
        <v>2005</v>
      </c>
      <c r="G1426" s="196"/>
      <c r="H1426" s="196" t="s">
        <v>1878</v>
      </c>
      <c r="I1426" s="141" t="s">
        <v>1914</v>
      </c>
      <c r="J1426" s="196"/>
      <c r="K1426" s="196" t="s">
        <v>1881</v>
      </c>
      <c r="L1426" s="240" t="s">
        <v>4040</v>
      </c>
      <c r="M1426" s="196">
        <v>560</v>
      </c>
      <c r="N1426" s="196"/>
      <c r="O1426" s="196" t="s">
        <v>5627</v>
      </c>
      <c r="P1426" s="144">
        <v>624</v>
      </c>
      <c r="Q1426" s="145">
        <f t="shared" si="83"/>
        <v>0.64900000000000002</v>
      </c>
      <c r="R1426" s="203">
        <v>0.25</v>
      </c>
      <c r="S1426" s="203"/>
      <c r="T1426" s="151">
        <v>0.35</v>
      </c>
      <c r="U1426" s="151"/>
      <c r="V1426" s="151">
        <v>0.25</v>
      </c>
      <c r="W1426" s="151">
        <f t="shared" si="82"/>
        <v>0.35</v>
      </c>
      <c r="X1426" s="152">
        <f t="shared" si="81"/>
        <v>4.8999999999999995E-2</v>
      </c>
      <c r="Y1426" s="152"/>
      <c r="Z1426" s="148"/>
      <c r="AA1426" s="153"/>
      <c r="AB1426" s="153"/>
      <c r="AC1426" s="153"/>
      <c r="AD1426" s="153"/>
      <c r="AH1426" s="147"/>
    </row>
    <row r="1427" spans="1:34" s="146" customFormat="1" x14ac:dyDescent="0.25">
      <c r="A1427" s="196">
        <v>655</v>
      </c>
      <c r="B1427" s="196" t="s">
        <v>7133</v>
      </c>
      <c r="C1427" s="196" t="s">
        <v>7669</v>
      </c>
      <c r="D1427" s="196" t="s">
        <v>2209</v>
      </c>
      <c r="E1427" s="196" t="s">
        <v>1899</v>
      </c>
      <c r="F1427" s="196">
        <v>2004</v>
      </c>
      <c r="G1427" s="196"/>
      <c r="H1427" s="196" t="s">
        <v>2734</v>
      </c>
      <c r="I1427" s="141" t="s">
        <v>1929</v>
      </c>
      <c r="J1427" s="196"/>
      <c r="K1427" s="196" t="s">
        <v>1881</v>
      </c>
      <c r="L1427" s="240" t="s">
        <v>7670</v>
      </c>
      <c r="M1427" s="196">
        <v>82</v>
      </c>
      <c r="N1427" s="196"/>
      <c r="O1427" s="196" t="s">
        <v>5628</v>
      </c>
      <c r="P1427" s="144">
        <v>476</v>
      </c>
      <c r="Q1427" s="145">
        <f t="shared" si="83"/>
        <v>10.963800000000001</v>
      </c>
      <c r="R1427" s="203">
        <v>9.99</v>
      </c>
      <c r="S1427" s="203"/>
      <c r="T1427" s="151">
        <v>0.35</v>
      </c>
      <c r="U1427" s="151"/>
      <c r="V1427" s="151">
        <v>0.25</v>
      </c>
      <c r="W1427" s="151">
        <f t="shared" si="82"/>
        <v>9.99</v>
      </c>
      <c r="X1427" s="152">
        <f t="shared" si="81"/>
        <v>0.7238</v>
      </c>
      <c r="Y1427" s="152"/>
      <c r="Z1427" s="148"/>
      <c r="AA1427" s="153"/>
      <c r="AB1427" s="153"/>
      <c r="AC1427" s="153"/>
      <c r="AD1427" s="153"/>
      <c r="AH1427" s="147"/>
    </row>
    <row r="1428" spans="1:34" s="146" customFormat="1" x14ac:dyDescent="0.25">
      <c r="A1428" s="196">
        <v>758</v>
      </c>
      <c r="B1428" s="196" t="s">
        <v>7671</v>
      </c>
      <c r="C1428" s="196" t="s">
        <v>7672</v>
      </c>
      <c r="D1428" s="196" t="s">
        <v>2050</v>
      </c>
      <c r="E1428" s="196"/>
      <c r="F1428" s="196">
        <v>1995</v>
      </c>
      <c r="G1428" s="196"/>
      <c r="H1428" s="196" t="s">
        <v>2734</v>
      </c>
      <c r="I1428" s="141" t="s">
        <v>1879</v>
      </c>
      <c r="J1428" s="196"/>
      <c r="K1428" s="196" t="s">
        <v>1881</v>
      </c>
      <c r="L1428" s="240" t="s">
        <v>7673</v>
      </c>
      <c r="M1428" s="196">
        <v>302</v>
      </c>
      <c r="N1428" s="196"/>
      <c r="O1428" s="196" t="s">
        <v>5629</v>
      </c>
      <c r="P1428" s="144">
        <v>621</v>
      </c>
      <c r="Q1428" s="145">
        <f t="shared" si="83"/>
        <v>0.64900000000000002</v>
      </c>
      <c r="R1428" s="203">
        <v>0.25</v>
      </c>
      <c r="S1428" s="203"/>
      <c r="T1428" s="151">
        <v>0.35</v>
      </c>
      <c r="U1428" s="151"/>
      <c r="V1428" s="151">
        <v>0.25</v>
      </c>
      <c r="W1428" s="151">
        <f t="shared" si="82"/>
        <v>0.35</v>
      </c>
      <c r="X1428" s="152">
        <f t="shared" si="81"/>
        <v>4.8999999999999995E-2</v>
      </c>
      <c r="Y1428" s="152"/>
      <c r="Z1428" s="148"/>
      <c r="AA1428" s="153"/>
      <c r="AB1428" s="153"/>
      <c r="AC1428" s="153"/>
      <c r="AD1428" s="153"/>
      <c r="AH1428" s="147"/>
    </row>
    <row r="1429" spans="1:34" s="146" customFormat="1" x14ac:dyDescent="0.25">
      <c r="A1429" s="196">
        <v>1875</v>
      </c>
      <c r="B1429" s="196"/>
      <c r="C1429" s="196" t="s">
        <v>7674</v>
      </c>
      <c r="D1429" s="196" t="s">
        <v>2676</v>
      </c>
      <c r="E1429" s="196" t="s">
        <v>1913</v>
      </c>
      <c r="F1429" s="196">
        <v>2002</v>
      </c>
      <c r="G1429" s="196"/>
      <c r="H1429" s="196" t="s">
        <v>2734</v>
      </c>
      <c r="I1429" s="141" t="s">
        <v>1929</v>
      </c>
      <c r="J1429" s="196"/>
      <c r="K1429" s="196" t="s">
        <v>1881</v>
      </c>
      <c r="L1429" s="240" t="s">
        <v>7675</v>
      </c>
      <c r="M1429" s="196"/>
      <c r="N1429" s="196"/>
      <c r="O1429" s="196" t="s">
        <v>5630</v>
      </c>
      <c r="P1429" s="144">
        <v>462</v>
      </c>
      <c r="Q1429" s="145">
        <f t="shared" si="83"/>
        <v>1.3445</v>
      </c>
      <c r="R1429" s="203">
        <v>1</v>
      </c>
      <c r="S1429" s="203"/>
      <c r="T1429" s="151">
        <v>0.35</v>
      </c>
      <c r="U1429" s="151"/>
      <c r="V1429" s="151">
        <v>0.25</v>
      </c>
      <c r="W1429" s="151">
        <f t="shared" si="82"/>
        <v>1</v>
      </c>
      <c r="X1429" s="152">
        <f t="shared" si="81"/>
        <v>9.4500000000000015E-2</v>
      </c>
      <c r="Y1429" s="152"/>
      <c r="Z1429" s="148"/>
      <c r="AA1429" s="153"/>
      <c r="AB1429" s="153"/>
      <c r="AC1429" s="153"/>
      <c r="AD1429" s="153"/>
      <c r="AH1429" s="147"/>
    </row>
    <row r="1430" spans="1:34" s="146" customFormat="1" x14ac:dyDescent="0.25">
      <c r="A1430" s="196">
        <v>765</v>
      </c>
      <c r="B1430" s="196" t="s">
        <v>7676</v>
      </c>
      <c r="C1430" s="196" t="s">
        <v>7677</v>
      </c>
      <c r="D1430" s="196" t="s">
        <v>7678</v>
      </c>
      <c r="E1430" s="196"/>
      <c r="F1430" s="196">
        <v>2001</v>
      </c>
      <c r="G1430" s="196"/>
      <c r="H1430" s="196" t="s">
        <v>1878</v>
      </c>
      <c r="I1430" s="141" t="s">
        <v>1879</v>
      </c>
      <c r="J1430" s="196"/>
      <c r="K1430" s="196" t="s">
        <v>1881</v>
      </c>
      <c r="L1430" s="240" t="s">
        <v>7679</v>
      </c>
      <c r="M1430" s="196">
        <v>136</v>
      </c>
      <c r="N1430" s="196"/>
      <c r="O1430" s="196" t="s">
        <v>5631</v>
      </c>
      <c r="P1430" s="144">
        <v>182</v>
      </c>
      <c r="Q1430" s="145">
        <f t="shared" si="83"/>
        <v>10.963800000000001</v>
      </c>
      <c r="R1430" s="203">
        <v>9.99</v>
      </c>
      <c r="S1430" s="203"/>
      <c r="T1430" s="151">
        <v>0.35</v>
      </c>
      <c r="U1430" s="151"/>
      <c r="V1430" s="151">
        <v>0.25</v>
      </c>
      <c r="W1430" s="151">
        <f t="shared" si="82"/>
        <v>9.99</v>
      </c>
      <c r="X1430" s="152">
        <f t="shared" si="81"/>
        <v>0.7238</v>
      </c>
      <c r="Y1430" s="152"/>
      <c r="Z1430" s="148"/>
      <c r="AA1430" s="153"/>
      <c r="AB1430" s="153"/>
      <c r="AC1430" s="153"/>
      <c r="AD1430" s="153"/>
      <c r="AH1430" s="147"/>
    </row>
    <row r="1431" spans="1:34" s="146" customFormat="1" x14ac:dyDescent="0.25">
      <c r="A1431" s="196">
        <v>852</v>
      </c>
      <c r="B1431" s="196" t="s">
        <v>7680</v>
      </c>
      <c r="C1431" s="196" t="s">
        <v>7681</v>
      </c>
      <c r="D1431" s="196" t="s">
        <v>1988</v>
      </c>
      <c r="E1431" s="196" t="s">
        <v>2175</v>
      </c>
      <c r="F1431" s="196">
        <v>2011</v>
      </c>
      <c r="G1431" s="196"/>
      <c r="H1431" s="196" t="s">
        <v>1878</v>
      </c>
      <c r="I1431" s="141" t="s">
        <v>1879</v>
      </c>
      <c r="J1431" s="196"/>
      <c r="K1431" s="196" t="s">
        <v>1881</v>
      </c>
      <c r="L1431" s="240" t="s">
        <v>7682</v>
      </c>
      <c r="M1431" s="196">
        <v>272</v>
      </c>
      <c r="N1431" s="196"/>
      <c r="O1431" s="196" t="s">
        <v>5632</v>
      </c>
      <c r="P1431" s="144">
        <v>290</v>
      </c>
      <c r="Q1431" s="145">
        <f t="shared" si="83"/>
        <v>0.64900000000000002</v>
      </c>
      <c r="R1431" s="203">
        <v>0.25</v>
      </c>
      <c r="S1431" s="203"/>
      <c r="T1431" s="151">
        <v>0.35</v>
      </c>
      <c r="U1431" s="151"/>
      <c r="V1431" s="151">
        <v>0.25</v>
      </c>
      <c r="W1431" s="151">
        <f t="shared" si="82"/>
        <v>0.35</v>
      </c>
      <c r="X1431" s="152">
        <f t="shared" si="81"/>
        <v>4.8999999999999995E-2</v>
      </c>
      <c r="Y1431" s="152"/>
      <c r="Z1431" s="148"/>
      <c r="AA1431" s="153"/>
      <c r="AB1431" s="153"/>
      <c r="AC1431" s="153"/>
      <c r="AD1431" s="153"/>
      <c r="AH1431" s="147"/>
    </row>
    <row r="1432" spans="1:34" s="146" customFormat="1" x14ac:dyDescent="0.25">
      <c r="A1432" s="196">
        <v>690</v>
      </c>
      <c r="B1432" s="196" t="s">
        <v>7686</v>
      </c>
      <c r="C1432" s="196" t="s">
        <v>7687</v>
      </c>
      <c r="D1432" s="196" t="s">
        <v>7688</v>
      </c>
      <c r="E1432" s="196"/>
      <c r="F1432" s="196">
        <v>1990</v>
      </c>
      <c r="G1432" s="196"/>
      <c r="H1432" s="196" t="s">
        <v>1878</v>
      </c>
      <c r="I1432" s="141" t="s">
        <v>1879</v>
      </c>
      <c r="J1432" s="196"/>
      <c r="K1432" s="196" t="s">
        <v>1881</v>
      </c>
      <c r="L1432" s="240" t="s">
        <v>7689</v>
      </c>
      <c r="M1432" s="196">
        <v>176</v>
      </c>
      <c r="N1432" s="196"/>
      <c r="O1432" s="196" t="s">
        <v>5634</v>
      </c>
      <c r="P1432" s="144">
        <v>202</v>
      </c>
      <c r="Q1432" s="145">
        <f t="shared" si="83"/>
        <v>0.79879999999999995</v>
      </c>
      <c r="R1432" s="203">
        <v>0.49</v>
      </c>
      <c r="S1432" s="203"/>
      <c r="T1432" s="151">
        <v>0.35</v>
      </c>
      <c r="U1432" s="151"/>
      <c r="V1432" s="151">
        <v>0.25</v>
      </c>
      <c r="W1432" s="151">
        <f t="shared" si="82"/>
        <v>0.49</v>
      </c>
      <c r="X1432" s="152">
        <f t="shared" si="81"/>
        <v>5.8799999999999998E-2</v>
      </c>
      <c r="Y1432" s="152"/>
      <c r="Z1432" s="148"/>
      <c r="AA1432" s="153"/>
      <c r="AB1432" s="153"/>
      <c r="AC1432" s="153"/>
      <c r="AD1432" s="153"/>
      <c r="AH1432" s="147"/>
    </row>
    <row r="1433" spans="1:34" s="146" customFormat="1" x14ac:dyDescent="0.25">
      <c r="A1433" s="196">
        <v>765</v>
      </c>
      <c r="B1433" s="196" t="s">
        <v>7690</v>
      </c>
      <c r="C1433" s="196" t="s">
        <v>7691</v>
      </c>
      <c r="D1433" s="196" t="s">
        <v>1912</v>
      </c>
      <c r="E1433" s="196"/>
      <c r="F1433" s="196">
        <v>2000</v>
      </c>
      <c r="G1433" s="196"/>
      <c r="H1433" s="196" t="s">
        <v>1878</v>
      </c>
      <c r="I1433" s="141" t="s">
        <v>1914</v>
      </c>
      <c r="J1433" s="196"/>
      <c r="K1433" s="196" t="s">
        <v>1881</v>
      </c>
      <c r="L1433" s="240" t="s">
        <v>7692</v>
      </c>
      <c r="M1433" s="196">
        <v>448</v>
      </c>
      <c r="N1433" s="196"/>
      <c r="O1433" s="196" t="s">
        <v>5635</v>
      </c>
      <c r="P1433" s="144">
        <v>431</v>
      </c>
      <c r="Q1433" s="145">
        <f t="shared" si="83"/>
        <v>1.2374999999999998</v>
      </c>
      <c r="R1433" s="203">
        <v>0.9</v>
      </c>
      <c r="S1433" s="203"/>
      <c r="T1433" s="151">
        <v>0.35</v>
      </c>
      <c r="U1433" s="151"/>
      <c r="V1433" s="151">
        <v>0.25</v>
      </c>
      <c r="W1433" s="151">
        <f t="shared" si="82"/>
        <v>0.9</v>
      </c>
      <c r="X1433" s="152">
        <f t="shared" si="81"/>
        <v>8.7500000000000008E-2</v>
      </c>
      <c r="Y1433" s="152"/>
      <c r="Z1433" s="148"/>
      <c r="AA1433" s="153"/>
      <c r="AB1433" s="153"/>
      <c r="AC1433" s="153"/>
      <c r="AD1433" s="153"/>
      <c r="AH1433" s="147"/>
    </row>
    <row r="1434" spans="1:34" s="146" customFormat="1" x14ac:dyDescent="0.25">
      <c r="A1434" s="196">
        <v>2522</v>
      </c>
      <c r="B1434" s="196" t="s">
        <v>7693</v>
      </c>
      <c r="C1434" s="196" t="s">
        <v>7694</v>
      </c>
      <c r="D1434" s="196" t="s">
        <v>2933</v>
      </c>
      <c r="E1434" s="196"/>
      <c r="F1434" s="196">
        <v>2012</v>
      </c>
      <c r="G1434" s="196"/>
      <c r="H1434" s="196" t="s">
        <v>1878</v>
      </c>
      <c r="I1434" s="141" t="s">
        <v>1879</v>
      </c>
      <c r="J1434" s="196"/>
      <c r="K1434" s="196" t="s">
        <v>1881</v>
      </c>
      <c r="L1434" s="240" t="s">
        <v>7695</v>
      </c>
      <c r="M1434" s="196">
        <v>320</v>
      </c>
      <c r="N1434" s="196"/>
      <c r="O1434" s="196" t="s">
        <v>5636</v>
      </c>
      <c r="P1434" s="144">
        <v>283</v>
      </c>
      <c r="Q1434" s="145">
        <f t="shared" si="83"/>
        <v>2.4038000000000004</v>
      </c>
      <c r="R1434" s="203">
        <v>1.99</v>
      </c>
      <c r="S1434" s="203"/>
      <c r="T1434" s="151">
        <v>0.35</v>
      </c>
      <c r="U1434" s="151"/>
      <c r="V1434" s="151">
        <v>0.25</v>
      </c>
      <c r="W1434" s="151">
        <f t="shared" si="82"/>
        <v>1.99</v>
      </c>
      <c r="X1434" s="152">
        <f t="shared" si="81"/>
        <v>0.16379999999999997</v>
      </c>
      <c r="Y1434" s="152"/>
      <c r="Z1434" s="148"/>
      <c r="AA1434" s="153"/>
      <c r="AB1434" s="153"/>
      <c r="AC1434" s="153"/>
      <c r="AD1434" s="153"/>
      <c r="AH1434" s="147"/>
    </row>
    <row r="1435" spans="1:34" s="146" customFormat="1" x14ac:dyDescent="0.25">
      <c r="A1435" s="196">
        <v>2522</v>
      </c>
      <c r="B1435" s="196" t="s">
        <v>7696</v>
      </c>
      <c r="C1435" s="196" t="s">
        <v>7697</v>
      </c>
      <c r="D1435" s="196" t="s">
        <v>7698</v>
      </c>
      <c r="E1435" s="196"/>
      <c r="F1435" s="196">
        <v>2009</v>
      </c>
      <c r="G1435" s="196"/>
      <c r="H1435" s="196" t="s">
        <v>1878</v>
      </c>
      <c r="I1435" s="141" t="s">
        <v>1879</v>
      </c>
      <c r="J1435" s="196"/>
      <c r="K1435" s="196" t="s">
        <v>1881</v>
      </c>
      <c r="L1435" s="240"/>
      <c r="M1435" s="196">
        <v>304</v>
      </c>
      <c r="N1435" s="196"/>
      <c r="O1435" s="196" t="s">
        <v>5637</v>
      </c>
      <c r="P1435" s="144">
        <v>273</v>
      </c>
      <c r="Q1435" s="145">
        <f t="shared" si="83"/>
        <v>0.64900000000000002</v>
      </c>
      <c r="R1435" s="203">
        <v>0.25</v>
      </c>
      <c r="S1435" s="203"/>
      <c r="T1435" s="151">
        <v>0.35</v>
      </c>
      <c r="U1435" s="151"/>
      <c r="V1435" s="151">
        <v>0.25</v>
      </c>
      <c r="W1435" s="151">
        <f t="shared" si="82"/>
        <v>0.35</v>
      </c>
      <c r="X1435" s="152">
        <f t="shared" si="81"/>
        <v>4.8999999999999995E-2</v>
      </c>
      <c r="Y1435" s="152"/>
      <c r="Z1435" s="148"/>
      <c r="AA1435" s="153"/>
      <c r="AB1435" s="153"/>
      <c r="AC1435" s="153"/>
      <c r="AD1435" s="153"/>
      <c r="AH1435" s="147"/>
    </row>
    <row r="1436" spans="1:34" s="146" customFormat="1" x14ac:dyDescent="0.25">
      <c r="A1436" s="196">
        <v>852</v>
      </c>
      <c r="B1436" s="196" t="s">
        <v>7699</v>
      </c>
      <c r="C1436" s="196" t="s">
        <v>7700</v>
      </c>
      <c r="D1436" s="196" t="s">
        <v>1920</v>
      </c>
      <c r="E1436" s="196"/>
      <c r="F1436" s="196">
        <v>2011</v>
      </c>
      <c r="G1436" s="196"/>
      <c r="H1436" s="196" t="s">
        <v>1878</v>
      </c>
      <c r="I1436" s="141" t="s">
        <v>1879</v>
      </c>
      <c r="J1436" s="196"/>
      <c r="K1436" s="196" t="s">
        <v>1881</v>
      </c>
      <c r="L1436" s="240" t="s">
        <v>7701</v>
      </c>
      <c r="M1436" s="196">
        <v>208</v>
      </c>
      <c r="N1436" s="196"/>
      <c r="O1436" s="196" t="s">
        <v>5638</v>
      </c>
      <c r="P1436" s="144">
        <v>277</v>
      </c>
      <c r="Q1436" s="145">
        <f t="shared" si="83"/>
        <v>0.64900000000000002</v>
      </c>
      <c r="R1436" s="203">
        <v>0.25</v>
      </c>
      <c r="S1436" s="203"/>
      <c r="T1436" s="151">
        <v>0.35</v>
      </c>
      <c r="U1436" s="151"/>
      <c r="V1436" s="151">
        <v>0.25</v>
      </c>
      <c r="W1436" s="151">
        <f t="shared" si="82"/>
        <v>0.35</v>
      </c>
      <c r="X1436" s="152">
        <f t="shared" si="81"/>
        <v>4.8999999999999995E-2</v>
      </c>
      <c r="Y1436" s="152"/>
      <c r="Z1436" s="148"/>
      <c r="AA1436" s="153"/>
      <c r="AB1436" s="153"/>
      <c r="AC1436" s="153"/>
      <c r="AD1436" s="153"/>
      <c r="AH1436" s="147"/>
    </row>
    <row r="1437" spans="1:34" s="146" customFormat="1" x14ac:dyDescent="0.25">
      <c r="A1437" s="196">
        <v>2576</v>
      </c>
      <c r="B1437" s="196" t="s">
        <v>7702</v>
      </c>
      <c r="C1437" s="196" t="s">
        <v>7703</v>
      </c>
      <c r="D1437" s="196" t="s">
        <v>1912</v>
      </c>
      <c r="E1437" s="196" t="s">
        <v>1899</v>
      </c>
      <c r="F1437" s="196">
        <v>2006</v>
      </c>
      <c r="G1437" s="196"/>
      <c r="H1437" s="196" t="s">
        <v>1878</v>
      </c>
      <c r="I1437" s="141" t="s">
        <v>1879</v>
      </c>
      <c r="J1437" s="52" t="s">
        <v>3854</v>
      </c>
      <c r="K1437" s="196" t="s">
        <v>1881</v>
      </c>
      <c r="L1437" s="240" t="s">
        <v>7704</v>
      </c>
      <c r="M1437" s="196">
        <v>608</v>
      </c>
      <c r="N1437" s="196"/>
      <c r="O1437" s="196" t="s">
        <v>5639</v>
      </c>
      <c r="P1437" s="144">
        <v>469</v>
      </c>
      <c r="Q1437" s="145">
        <f t="shared" si="83"/>
        <v>5.6138000000000003</v>
      </c>
      <c r="R1437" s="203">
        <v>4.99</v>
      </c>
      <c r="S1437" s="203"/>
      <c r="T1437" s="151">
        <v>0.35</v>
      </c>
      <c r="U1437" s="151"/>
      <c r="V1437" s="151">
        <v>0.25</v>
      </c>
      <c r="W1437" s="151">
        <f t="shared" si="82"/>
        <v>4.99</v>
      </c>
      <c r="X1437" s="152">
        <f t="shared" si="81"/>
        <v>0.37379999999999997</v>
      </c>
      <c r="Y1437" s="152"/>
      <c r="Z1437" s="148"/>
      <c r="AA1437" s="153"/>
      <c r="AB1437" s="153"/>
      <c r="AC1437" s="153"/>
      <c r="AD1437" s="153"/>
      <c r="AH1437" s="147"/>
    </row>
    <row r="1438" spans="1:34" s="146" customFormat="1" x14ac:dyDescent="0.25">
      <c r="A1438" s="196">
        <v>2789</v>
      </c>
      <c r="B1438" s="196" t="s">
        <v>7708</v>
      </c>
      <c r="C1438" s="196" t="s">
        <v>7709</v>
      </c>
      <c r="D1438" s="196" t="s">
        <v>7710</v>
      </c>
      <c r="E1438" s="196"/>
      <c r="F1438" s="196"/>
      <c r="G1438" s="196"/>
      <c r="H1438" s="196" t="s">
        <v>2734</v>
      </c>
      <c r="I1438" s="141" t="s">
        <v>1879</v>
      </c>
      <c r="J1438" s="196"/>
      <c r="K1438" s="196" t="s">
        <v>1881</v>
      </c>
      <c r="L1438" s="240" t="s">
        <v>7711</v>
      </c>
      <c r="M1438" s="196">
        <v>242</v>
      </c>
      <c r="N1438" s="196"/>
      <c r="O1438" s="196" t="s">
        <v>5641</v>
      </c>
      <c r="P1438" s="144">
        <v>270</v>
      </c>
      <c r="Q1438" s="145">
        <f t="shared" si="83"/>
        <v>2.8104</v>
      </c>
      <c r="R1438" s="203">
        <v>2.37</v>
      </c>
      <c r="S1438" s="203"/>
      <c r="T1438" s="151">
        <v>0.35</v>
      </c>
      <c r="U1438" s="151"/>
      <c r="V1438" s="151">
        <v>0.25</v>
      </c>
      <c r="W1438" s="151">
        <f t="shared" si="82"/>
        <v>2.37</v>
      </c>
      <c r="X1438" s="152">
        <f t="shared" si="81"/>
        <v>0.19040000000000001</v>
      </c>
      <c r="Y1438" s="152"/>
      <c r="Z1438" s="148"/>
      <c r="AA1438" s="153"/>
      <c r="AB1438" s="153"/>
      <c r="AC1438" s="153"/>
      <c r="AD1438" s="153"/>
      <c r="AH1438" s="147"/>
    </row>
    <row r="1439" spans="1:34" s="146" customFormat="1" x14ac:dyDescent="0.25">
      <c r="A1439" s="196">
        <v>852</v>
      </c>
      <c r="B1439" s="196" t="s">
        <v>7712</v>
      </c>
      <c r="C1439" s="196" t="s">
        <v>7713</v>
      </c>
      <c r="D1439" s="196" t="s">
        <v>7714</v>
      </c>
      <c r="E1439" s="196" t="s">
        <v>1913</v>
      </c>
      <c r="F1439" s="196">
        <v>2007</v>
      </c>
      <c r="G1439" s="196"/>
      <c r="H1439" s="196" t="s">
        <v>1878</v>
      </c>
      <c r="I1439" s="141" t="s">
        <v>1879</v>
      </c>
      <c r="J1439" s="196"/>
      <c r="K1439" s="196" t="s">
        <v>1881</v>
      </c>
      <c r="L1439" s="240" t="s">
        <v>7715</v>
      </c>
      <c r="M1439" s="196">
        <v>204</v>
      </c>
      <c r="N1439" s="196"/>
      <c r="O1439" s="196" t="s">
        <v>5642</v>
      </c>
      <c r="P1439" s="144">
        <v>243</v>
      </c>
      <c r="Q1439" s="145">
        <f t="shared" si="83"/>
        <v>3.4738000000000002</v>
      </c>
      <c r="R1439" s="203">
        <v>2.99</v>
      </c>
      <c r="S1439" s="203"/>
      <c r="T1439" s="151">
        <v>0.35</v>
      </c>
      <c r="U1439" s="151"/>
      <c r="V1439" s="151">
        <v>0.25</v>
      </c>
      <c r="W1439" s="151">
        <f t="shared" si="82"/>
        <v>2.99</v>
      </c>
      <c r="X1439" s="152">
        <f t="shared" si="81"/>
        <v>0.23380000000000004</v>
      </c>
      <c r="Y1439" s="152"/>
      <c r="Z1439" s="148"/>
      <c r="AA1439" s="153"/>
      <c r="AB1439" s="153"/>
      <c r="AC1439" s="153"/>
      <c r="AD1439" s="153"/>
      <c r="AH1439" s="147"/>
    </row>
    <row r="1440" spans="1:34" s="146" customFormat="1" x14ac:dyDescent="0.25">
      <c r="A1440" s="196">
        <v>1395</v>
      </c>
      <c r="B1440" s="196" t="s">
        <v>7716</v>
      </c>
      <c r="C1440" s="196" t="s">
        <v>7717</v>
      </c>
      <c r="D1440" s="196" t="s">
        <v>7718</v>
      </c>
      <c r="E1440" s="196" t="s">
        <v>1913</v>
      </c>
      <c r="F1440" s="196">
        <v>1999</v>
      </c>
      <c r="G1440" s="196"/>
      <c r="H1440" s="196" t="s">
        <v>2734</v>
      </c>
      <c r="I1440" s="141" t="s">
        <v>1929</v>
      </c>
      <c r="J1440" s="196"/>
      <c r="K1440" s="196" t="s">
        <v>1881</v>
      </c>
      <c r="L1440" s="240"/>
      <c r="M1440" s="196">
        <v>272</v>
      </c>
      <c r="N1440" s="196"/>
      <c r="O1440" s="196" t="s">
        <v>5643</v>
      </c>
      <c r="P1440" s="144">
        <v>435</v>
      </c>
      <c r="Q1440" s="145">
        <f t="shared" si="83"/>
        <v>1.0127999999999999</v>
      </c>
      <c r="R1440" s="203">
        <v>0.69</v>
      </c>
      <c r="S1440" s="203"/>
      <c r="T1440" s="151">
        <v>0.35</v>
      </c>
      <c r="U1440" s="151"/>
      <c r="V1440" s="151">
        <v>0.25</v>
      </c>
      <c r="W1440" s="151">
        <f t="shared" si="82"/>
        <v>0.69</v>
      </c>
      <c r="X1440" s="152">
        <f t="shared" si="81"/>
        <v>7.2800000000000004E-2</v>
      </c>
      <c r="Y1440" s="152"/>
      <c r="Z1440" s="148"/>
      <c r="AA1440" s="153"/>
      <c r="AB1440" s="153"/>
      <c r="AC1440" s="153"/>
      <c r="AD1440" s="153"/>
      <c r="AH1440" s="147"/>
    </row>
    <row r="1441" spans="1:34" s="146" customFormat="1" x14ac:dyDescent="0.25">
      <c r="A1441" s="196">
        <v>1320</v>
      </c>
      <c r="B1441" s="196" t="s">
        <v>7133</v>
      </c>
      <c r="C1441" s="196" t="s">
        <v>7719</v>
      </c>
      <c r="D1441" s="196" t="s">
        <v>2209</v>
      </c>
      <c r="E1441" s="196" t="s">
        <v>1877</v>
      </c>
      <c r="F1441" s="196">
        <v>2003</v>
      </c>
      <c r="G1441" s="196"/>
      <c r="H1441" s="196" t="s">
        <v>2734</v>
      </c>
      <c r="I1441" s="141" t="s">
        <v>1879</v>
      </c>
      <c r="J1441" s="196"/>
      <c r="K1441" s="196" t="s">
        <v>1881</v>
      </c>
      <c r="L1441" s="240" t="s">
        <v>7720</v>
      </c>
      <c r="M1441" s="196"/>
      <c r="N1441" s="196"/>
      <c r="O1441" s="196" t="s">
        <v>5644</v>
      </c>
      <c r="P1441" s="144">
        <v>399</v>
      </c>
      <c r="Q1441" s="145">
        <f t="shared" si="83"/>
        <v>1.7617999999999998</v>
      </c>
      <c r="R1441" s="203">
        <v>1.39</v>
      </c>
      <c r="S1441" s="203"/>
      <c r="T1441" s="151">
        <v>0.35</v>
      </c>
      <c r="U1441" s="151"/>
      <c r="V1441" s="151">
        <v>0.25</v>
      </c>
      <c r="W1441" s="151">
        <f t="shared" si="82"/>
        <v>1.39</v>
      </c>
      <c r="X1441" s="152">
        <f t="shared" si="81"/>
        <v>0.12179999999999999</v>
      </c>
      <c r="Y1441" s="152"/>
      <c r="Z1441" s="148"/>
      <c r="AA1441" s="153"/>
      <c r="AB1441" s="153"/>
      <c r="AC1441" s="153"/>
      <c r="AD1441" s="153"/>
      <c r="AH1441" s="147"/>
    </row>
    <row r="1442" spans="1:34" s="146" customFormat="1" x14ac:dyDescent="0.25">
      <c r="A1442" s="196">
        <v>852</v>
      </c>
      <c r="B1442" s="196" t="s">
        <v>7721</v>
      </c>
      <c r="C1442" s="196" t="s">
        <v>7722</v>
      </c>
      <c r="D1442" s="196" t="s">
        <v>2309</v>
      </c>
      <c r="E1442" s="196"/>
      <c r="F1442" s="196">
        <v>2006</v>
      </c>
      <c r="G1442" s="196"/>
      <c r="H1442" s="196" t="s">
        <v>2734</v>
      </c>
      <c r="I1442" s="141" t="s">
        <v>1879</v>
      </c>
      <c r="J1442" s="196"/>
      <c r="K1442" s="196" t="s">
        <v>1881</v>
      </c>
      <c r="L1442" s="240" t="s">
        <v>7723</v>
      </c>
      <c r="M1442" s="196">
        <v>290</v>
      </c>
      <c r="N1442" s="196"/>
      <c r="O1442" s="196" t="s">
        <v>5645</v>
      </c>
      <c r="P1442" s="144">
        <v>486</v>
      </c>
      <c r="Q1442" s="145">
        <f t="shared" si="83"/>
        <v>3.3668</v>
      </c>
      <c r="R1442" s="203">
        <v>2.89</v>
      </c>
      <c r="S1442" s="203"/>
      <c r="T1442" s="151">
        <v>0.35</v>
      </c>
      <c r="U1442" s="151"/>
      <c r="V1442" s="151">
        <v>0.25</v>
      </c>
      <c r="W1442" s="151">
        <f t="shared" si="82"/>
        <v>2.89</v>
      </c>
      <c r="X1442" s="152">
        <f t="shared" ref="X1442:X1496" si="84">(T1442+W1442)/100*7</f>
        <v>0.22680000000000003</v>
      </c>
      <c r="Y1442" s="152"/>
      <c r="Z1442" s="148"/>
      <c r="AA1442" s="153"/>
      <c r="AB1442" s="153"/>
      <c r="AC1442" s="153"/>
      <c r="AD1442" s="153"/>
      <c r="AH1442" s="147"/>
    </row>
    <row r="1443" spans="1:34" s="146" customFormat="1" x14ac:dyDescent="0.25">
      <c r="A1443" s="196">
        <v>2706</v>
      </c>
      <c r="B1443" s="196"/>
      <c r="C1443" s="196" t="s">
        <v>7724</v>
      </c>
      <c r="D1443" s="196" t="s">
        <v>2077</v>
      </c>
      <c r="E1443" s="196"/>
      <c r="F1443" s="196">
        <v>2007</v>
      </c>
      <c r="G1443" s="196"/>
      <c r="H1443" s="196" t="s">
        <v>2734</v>
      </c>
      <c r="I1443" s="141" t="s">
        <v>1879</v>
      </c>
      <c r="J1443" s="196"/>
      <c r="K1443" s="196" t="s">
        <v>1881</v>
      </c>
      <c r="L1443" s="240" t="s">
        <v>7725</v>
      </c>
      <c r="M1443" s="196">
        <v>144</v>
      </c>
      <c r="N1443" s="196"/>
      <c r="O1443" s="196" t="s">
        <v>5646</v>
      </c>
      <c r="P1443" s="144">
        <v>406</v>
      </c>
      <c r="Q1443" s="145">
        <f t="shared" si="83"/>
        <v>0.64900000000000002</v>
      </c>
      <c r="R1443" s="203">
        <v>0.3</v>
      </c>
      <c r="S1443" s="203"/>
      <c r="T1443" s="151">
        <v>0.35</v>
      </c>
      <c r="U1443" s="151"/>
      <c r="V1443" s="151">
        <v>0.25</v>
      </c>
      <c r="W1443" s="151">
        <f t="shared" si="82"/>
        <v>0.35</v>
      </c>
      <c r="X1443" s="152">
        <f t="shared" si="84"/>
        <v>4.8999999999999995E-2</v>
      </c>
      <c r="Y1443" s="152"/>
      <c r="Z1443" s="148"/>
      <c r="AA1443" s="153"/>
      <c r="AB1443" s="153"/>
      <c r="AC1443" s="153"/>
      <c r="AD1443" s="153"/>
      <c r="AH1443" s="147"/>
    </row>
    <row r="1444" spans="1:34" s="146" customFormat="1" x14ac:dyDescent="0.25">
      <c r="A1444" s="196">
        <v>704</v>
      </c>
      <c r="B1444" s="196" t="s">
        <v>3715</v>
      </c>
      <c r="C1444" s="196" t="s">
        <v>7726</v>
      </c>
      <c r="D1444" s="196" t="s">
        <v>2309</v>
      </c>
      <c r="E1444" s="196" t="s">
        <v>4259</v>
      </c>
      <c r="F1444" s="196">
        <v>2002</v>
      </c>
      <c r="G1444" s="196"/>
      <c r="H1444" s="196" t="s">
        <v>1878</v>
      </c>
      <c r="I1444" s="141" t="s">
        <v>1879</v>
      </c>
      <c r="J1444" s="196"/>
      <c r="K1444" s="196" t="s">
        <v>1881</v>
      </c>
      <c r="L1444" s="240" t="s">
        <v>7727</v>
      </c>
      <c r="M1444" s="196">
        <v>400</v>
      </c>
      <c r="N1444" s="196"/>
      <c r="O1444" s="196" t="s">
        <v>5647</v>
      </c>
      <c r="P1444" s="144">
        <v>253</v>
      </c>
      <c r="Q1444" s="145">
        <f t="shared" si="83"/>
        <v>0.64900000000000002</v>
      </c>
      <c r="R1444" s="203">
        <v>0.25</v>
      </c>
      <c r="S1444" s="203"/>
      <c r="T1444" s="151">
        <v>0.35</v>
      </c>
      <c r="U1444" s="151"/>
      <c r="V1444" s="151">
        <v>0.25</v>
      </c>
      <c r="W1444" s="151">
        <f t="shared" si="82"/>
        <v>0.35</v>
      </c>
      <c r="X1444" s="152">
        <f t="shared" si="84"/>
        <v>4.8999999999999995E-2</v>
      </c>
      <c r="Y1444" s="152"/>
      <c r="Z1444" s="148"/>
      <c r="AA1444" s="153"/>
      <c r="AB1444" s="153"/>
      <c r="AC1444" s="153"/>
      <c r="AD1444" s="153"/>
      <c r="AH1444" s="147"/>
    </row>
    <row r="1445" spans="1:34" s="146" customFormat="1" x14ac:dyDescent="0.25">
      <c r="A1445" s="196">
        <v>1818</v>
      </c>
      <c r="B1445" s="196" t="s">
        <v>7728</v>
      </c>
      <c r="C1445" s="196" t="s">
        <v>7729</v>
      </c>
      <c r="D1445" s="196" t="s">
        <v>6456</v>
      </c>
      <c r="E1445" s="196"/>
      <c r="F1445" s="196">
        <v>2011</v>
      </c>
      <c r="G1445" s="196"/>
      <c r="H1445" s="196" t="s">
        <v>1878</v>
      </c>
      <c r="I1445" s="141" t="s">
        <v>1879</v>
      </c>
      <c r="J1445" s="196"/>
      <c r="K1445" s="196" t="s">
        <v>1881</v>
      </c>
      <c r="L1445" s="240" t="s">
        <v>7730</v>
      </c>
      <c r="M1445" s="196">
        <v>208</v>
      </c>
      <c r="N1445" s="196"/>
      <c r="O1445" s="196" t="s">
        <v>5648</v>
      </c>
      <c r="P1445" s="144">
        <v>242</v>
      </c>
      <c r="Q1445" s="145">
        <f t="shared" si="83"/>
        <v>0.79879999999999995</v>
      </c>
      <c r="R1445" s="203">
        <v>0.49</v>
      </c>
      <c r="S1445" s="203"/>
      <c r="T1445" s="151">
        <v>0.35</v>
      </c>
      <c r="U1445" s="151"/>
      <c r="V1445" s="151">
        <v>0.25</v>
      </c>
      <c r="W1445" s="151">
        <f t="shared" si="82"/>
        <v>0.49</v>
      </c>
      <c r="X1445" s="152">
        <f t="shared" si="84"/>
        <v>5.8799999999999998E-2</v>
      </c>
      <c r="Y1445" s="152"/>
      <c r="Z1445" s="148"/>
      <c r="AA1445" s="153"/>
      <c r="AB1445" s="153"/>
      <c r="AC1445" s="153"/>
      <c r="AD1445" s="153"/>
      <c r="AH1445" s="147"/>
    </row>
    <row r="1446" spans="1:34" s="146" customFormat="1" x14ac:dyDescent="0.25">
      <c r="A1446" s="196">
        <v>665</v>
      </c>
      <c r="B1446" s="196" t="s">
        <v>7732</v>
      </c>
      <c r="C1446" s="196" t="s">
        <v>7731</v>
      </c>
      <c r="D1446" s="196" t="s">
        <v>7733</v>
      </c>
      <c r="E1446" s="196" t="s">
        <v>2937</v>
      </c>
      <c r="F1446" s="196">
        <v>2011</v>
      </c>
      <c r="G1446" s="196"/>
      <c r="H1446" s="196" t="s">
        <v>1878</v>
      </c>
      <c r="I1446" s="141" t="s">
        <v>1879</v>
      </c>
      <c r="J1446" s="196"/>
      <c r="K1446" s="196" t="s">
        <v>1881</v>
      </c>
      <c r="L1446" s="240" t="s">
        <v>7734</v>
      </c>
      <c r="M1446" s="196">
        <v>244</v>
      </c>
      <c r="N1446" s="196"/>
      <c r="O1446" s="196" t="s">
        <v>5649</v>
      </c>
      <c r="P1446" s="144">
        <v>235</v>
      </c>
      <c r="Q1446" s="145">
        <f t="shared" si="83"/>
        <v>0.8095</v>
      </c>
      <c r="R1446" s="203">
        <v>0.5</v>
      </c>
      <c r="S1446" s="203"/>
      <c r="T1446" s="151">
        <v>0.35</v>
      </c>
      <c r="U1446" s="151"/>
      <c r="V1446" s="151">
        <v>0.25</v>
      </c>
      <c r="W1446" s="151">
        <f t="shared" ref="W1446:W1499" si="85">IF(R1446&gt;T1446,R1446,T1446)</f>
        <v>0.5</v>
      </c>
      <c r="X1446" s="152">
        <f t="shared" si="84"/>
        <v>5.9500000000000004E-2</v>
      </c>
      <c r="Y1446" s="152"/>
      <c r="Z1446" s="148"/>
      <c r="AA1446" s="153"/>
      <c r="AB1446" s="153"/>
      <c r="AC1446" s="153"/>
      <c r="AD1446" s="153"/>
      <c r="AH1446" s="147"/>
    </row>
    <row r="1447" spans="1:34" s="146" customFormat="1" x14ac:dyDescent="0.25">
      <c r="A1447" s="196">
        <v>2522</v>
      </c>
      <c r="B1447" s="196" t="s">
        <v>2889</v>
      </c>
      <c r="C1447" s="196" t="s">
        <v>7739</v>
      </c>
      <c r="D1447" s="196" t="s">
        <v>3077</v>
      </c>
      <c r="E1447" s="196" t="s">
        <v>1913</v>
      </c>
      <c r="F1447" s="196">
        <v>2010</v>
      </c>
      <c r="G1447" s="196"/>
      <c r="H1447" s="196" t="s">
        <v>2734</v>
      </c>
      <c r="I1447" s="141" t="s">
        <v>1879</v>
      </c>
      <c r="J1447" s="196"/>
      <c r="K1447" s="196" t="s">
        <v>1881</v>
      </c>
      <c r="L1447" s="240" t="s">
        <v>7740</v>
      </c>
      <c r="M1447" s="196">
        <v>514</v>
      </c>
      <c r="N1447" s="196"/>
      <c r="O1447" s="196" t="s">
        <v>5651</v>
      </c>
      <c r="P1447" s="144">
        <v>711</v>
      </c>
      <c r="Q1447" s="145">
        <f t="shared" si="83"/>
        <v>1.3338000000000001</v>
      </c>
      <c r="R1447" s="203">
        <v>0.99</v>
      </c>
      <c r="S1447" s="203"/>
      <c r="T1447" s="151">
        <v>0.35</v>
      </c>
      <c r="U1447" s="151"/>
      <c r="V1447" s="151">
        <v>0.25</v>
      </c>
      <c r="W1447" s="151">
        <f t="shared" si="85"/>
        <v>0.99</v>
      </c>
      <c r="X1447" s="152">
        <f t="shared" si="84"/>
        <v>9.3799999999999994E-2</v>
      </c>
      <c r="Y1447" s="152"/>
      <c r="Z1447" s="148"/>
      <c r="AA1447" s="153"/>
      <c r="AB1447" s="153"/>
      <c r="AC1447" s="153"/>
      <c r="AD1447" s="153"/>
      <c r="AH1447" s="147"/>
    </row>
    <row r="1448" spans="1:34" s="146" customFormat="1" x14ac:dyDescent="0.25">
      <c r="A1448" s="196">
        <v>2522</v>
      </c>
      <c r="B1448" s="196" t="s">
        <v>7741</v>
      </c>
      <c r="C1448" s="196" t="s">
        <v>7742</v>
      </c>
      <c r="D1448" s="196" t="s">
        <v>5005</v>
      </c>
      <c r="E1448" s="196"/>
      <c r="F1448" s="196">
        <v>1992</v>
      </c>
      <c r="G1448" s="196"/>
      <c r="H1448" s="196" t="s">
        <v>2734</v>
      </c>
      <c r="I1448" s="141" t="s">
        <v>1879</v>
      </c>
      <c r="J1448" s="196"/>
      <c r="K1448" s="196" t="s">
        <v>1881</v>
      </c>
      <c r="L1448" s="240"/>
      <c r="M1448" s="196">
        <v>434</v>
      </c>
      <c r="N1448" s="196"/>
      <c r="O1448" s="196" t="s">
        <v>5652</v>
      </c>
      <c r="P1448" s="144">
        <v>624</v>
      </c>
      <c r="Q1448" s="145">
        <f t="shared" si="83"/>
        <v>0.64900000000000002</v>
      </c>
      <c r="R1448" s="203">
        <v>0.25</v>
      </c>
      <c r="S1448" s="203"/>
      <c r="T1448" s="151">
        <v>0.35</v>
      </c>
      <c r="U1448" s="151"/>
      <c r="V1448" s="151">
        <v>0.25</v>
      </c>
      <c r="W1448" s="151">
        <f t="shared" si="85"/>
        <v>0.35</v>
      </c>
      <c r="X1448" s="152">
        <f t="shared" si="84"/>
        <v>4.8999999999999995E-2</v>
      </c>
      <c r="Y1448" s="152"/>
      <c r="Z1448" s="148"/>
      <c r="AA1448" s="153"/>
      <c r="AB1448" s="153"/>
      <c r="AC1448" s="153"/>
      <c r="AD1448" s="153"/>
      <c r="AH1448" s="147"/>
    </row>
    <row r="1449" spans="1:34" s="146" customFormat="1" x14ac:dyDescent="0.25">
      <c r="A1449" s="196">
        <v>2547</v>
      </c>
      <c r="B1449" s="196" t="s">
        <v>7743</v>
      </c>
      <c r="C1449" s="196" t="s">
        <v>7744</v>
      </c>
      <c r="D1449" s="196" t="s">
        <v>7745</v>
      </c>
      <c r="E1449" s="196"/>
      <c r="F1449" s="196">
        <v>1984</v>
      </c>
      <c r="G1449" s="196"/>
      <c r="H1449" s="196" t="s">
        <v>1878</v>
      </c>
      <c r="I1449" s="141" t="s">
        <v>1879</v>
      </c>
      <c r="J1449" s="196"/>
      <c r="K1449" s="196" t="s">
        <v>1881</v>
      </c>
      <c r="L1449" s="240"/>
      <c r="M1449" s="196">
        <v>176</v>
      </c>
      <c r="N1449" s="196"/>
      <c r="O1449" s="196" t="s">
        <v>5653</v>
      </c>
      <c r="P1449" s="144">
        <v>112</v>
      </c>
      <c r="Q1449" s="145">
        <f t="shared" si="83"/>
        <v>1.1198000000000001</v>
      </c>
      <c r="R1449" s="203">
        <v>0.79</v>
      </c>
      <c r="S1449" s="203"/>
      <c r="T1449" s="151">
        <v>0.35</v>
      </c>
      <c r="U1449" s="151"/>
      <c r="V1449" s="151">
        <v>0.25</v>
      </c>
      <c r="W1449" s="151">
        <f t="shared" si="85"/>
        <v>0.79</v>
      </c>
      <c r="X1449" s="152">
        <f t="shared" si="84"/>
        <v>7.980000000000001E-2</v>
      </c>
      <c r="Y1449" s="152"/>
      <c r="Z1449" s="148"/>
      <c r="AA1449" s="153"/>
      <c r="AB1449" s="153"/>
      <c r="AC1449" s="153"/>
      <c r="AD1449" s="153"/>
      <c r="AH1449" s="147"/>
    </row>
    <row r="1450" spans="1:34" s="146" customFormat="1" x14ac:dyDescent="0.25">
      <c r="A1450" s="196">
        <v>614</v>
      </c>
      <c r="B1450" s="196"/>
      <c r="C1450" s="196" t="s">
        <v>7749</v>
      </c>
      <c r="D1450" s="196" t="s">
        <v>1912</v>
      </c>
      <c r="E1450" s="196" t="s">
        <v>1913</v>
      </c>
      <c r="F1450" s="196">
        <v>2011</v>
      </c>
      <c r="G1450" s="196"/>
      <c r="H1450" s="196" t="s">
        <v>1878</v>
      </c>
      <c r="I1450" s="141" t="s">
        <v>1879</v>
      </c>
      <c r="J1450" s="196"/>
      <c r="K1450" s="196" t="s">
        <v>1881</v>
      </c>
      <c r="L1450" s="240" t="s">
        <v>7750</v>
      </c>
      <c r="M1450" s="196">
        <v>240</v>
      </c>
      <c r="N1450" s="196"/>
      <c r="O1450" s="196" t="s">
        <v>5655</v>
      </c>
      <c r="P1450" s="144">
        <v>514</v>
      </c>
      <c r="Q1450" s="145">
        <f t="shared" si="83"/>
        <v>1.3338000000000001</v>
      </c>
      <c r="R1450" s="203">
        <v>0.99</v>
      </c>
      <c r="S1450" s="203"/>
      <c r="T1450" s="151">
        <v>0.35</v>
      </c>
      <c r="U1450" s="151"/>
      <c r="V1450" s="151">
        <v>0.25</v>
      </c>
      <c r="W1450" s="151">
        <f t="shared" si="85"/>
        <v>0.99</v>
      </c>
      <c r="X1450" s="152">
        <f t="shared" si="84"/>
        <v>9.3799999999999994E-2</v>
      </c>
      <c r="Y1450" s="152"/>
      <c r="Z1450" s="148"/>
      <c r="AA1450" s="153"/>
      <c r="AB1450" s="153"/>
      <c r="AC1450" s="153"/>
      <c r="AD1450" s="153"/>
      <c r="AH1450" s="147"/>
    </row>
    <row r="1451" spans="1:34" s="146" customFormat="1" x14ac:dyDescent="0.25">
      <c r="A1451" s="196">
        <v>2514</v>
      </c>
      <c r="B1451" s="196" t="s">
        <v>7751</v>
      </c>
      <c r="C1451" s="196" t="s">
        <v>7752</v>
      </c>
      <c r="D1451" s="196" t="s">
        <v>3524</v>
      </c>
      <c r="E1451" s="196" t="s">
        <v>1913</v>
      </c>
      <c r="F1451" s="196">
        <v>1994</v>
      </c>
      <c r="G1451" s="196"/>
      <c r="H1451" s="196" t="s">
        <v>2734</v>
      </c>
      <c r="I1451" s="141" t="s">
        <v>1879</v>
      </c>
      <c r="J1451" s="196"/>
      <c r="K1451" s="196" t="s">
        <v>1881</v>
      </c>
      <c r="L1451" s="240" t="s">
        <v>7753</v>
      </c>
      <c r="M1451" s="196">
        <v>244</v>
      </c>
      <c r="N1451" s="196"/>
      <c r="O1451" s="196" t="s">
        <v>5656</v>
      </c>
      <c r="P1451" s="144">
        <v>440</v>
      </c>
      <c r="Q1451" s="145">
        <f t="shared" si="83"/>
        <v>1.8260000000000001</v>
      </c>
      <c r="R1451" s="203">
        <v>1.45</v>
      </c>
      <c r="S1451" s="203"/>
      <c r="T1451" s="151">
        <v>0.35</v>
      </c>
      <c r="U1451" s="151"/>
      <c r="V1451" s="151">
        <v>0.25</v>
      </c>
      <c r="W1451" s="151">
        <f t="shared" si="85"/>
        <v>1.45</v>
      </c>
      <c r="X1451" s="152">
        <f t="shared" si="84"/>
        <v>0.126</v>
      </c>
      <c r="Y1451" s="152"/>
      <c r="Z1451" s="148"/>
      <c r="AA1451" s="153"/>
      <c r="AB1451" s="153"/>
      <c r="AC1451" s="153"/>
      <c r="AD1451" s="153"/>
      <c r="AH1451" s="147"/>
    </row>
    <row r="1452" spans="1:34" s="146" customFormat="1" x14ac:dyDescent="0.25">
      <c r="A1452" s="196">
        <v>852</v>
      </c>
      <c r="B1452" s="196" t="s">
        <v>7754</v>
      </c>
      <c r="C1452" s="196" t="s">
        <v>7755</v>
      </c>
      <c r="D1452" s="196" t="s">
        <v>1920</v>
      </c>
      <c r="E1452" s="196"/>
      <c r="F1452" s="196">
        <v>2017</v>
      </c>
      <c r="G1452" s="196"/>
      <c r="H1452" s="196" t="s">
        <v>1878</v>
      </c>
      <c r="I1452" s="141" t="s">
        <v>1879</v>
      </c>
      <c r="J1452" s="52" t="s">
        <v>3854</v>
      </c>
      <c r="K1452" s="196" t="s">
        <v>1881</v>
      </c>
      <c r="L1452" s="240" t="s">
        <v>7756</v>
      </c>
      <c r="M1452" s="196">
        <v>224</v>
      </c>
      <c r="N1452" s="196"/>
      <c r="O1452" s="196" t="s">
        <v>5657</v>
      </c>
      <c r="P1452" s="144">
        <v>317</v>
      </c>
      <c r="Q1452" s="145">
        <f t="shared" si="83"/>
        <v>4.18</v>
      </c>
      <c r="R1452" s="203">
        <v>3.65</v>
      </c>
      <c r="S1452" s="203"/>
      <c r="T1452" s="151">
        <v>0.35</v>
      </c>
      <c r="U1452" s="151"/>
      <c r="V1452" s="151">
        <v>0.25</v>
      </c>
      <c r="W1452" s="151">
        <f t="shared" si="85"/>
        <v>3.65</v>
      </c>
      <c r="X1452" s="152">
        <f t="shared" si="84"/>
        <v>0.28000000000000003</v>
      </c>
      <c r="Y1452" s="152"/>
      <c r="Z1452" s="148"/>
      <c r="AA1452" s="153"/>
      <c r="AB1452" s="153"/>
      <c r="AC1452" s="153"/>
      <c r="AD1452" s="153"/>
      <c r="AH1452" s="147"/>
    </row>
    <row r="1453" spans="1:34" s="146" customFormat="1" x14ac:dyDescent="0.25">
      <c r="A1453" s="196">
        <v>689</v>
      </c>
      <c r="B1453" s="196" t="s">
        <v>7702</v>
      </c>
      <c r="C1453" s="196" t="s">
        <v>7757</v>
      </c>
      <c r="D1453" s="196" t="s">
        <v>2054</v>
      </c>
      <c r="E1453" s="196" t="s">
        <v>1877</v>
      </c>
      <c r="F1453" s="196">
        <v>2000</v>
      </c>
      <c r="G1453" s="196"/>
      <c r="H1453" s="196" t="s">
        <v>1878</v>
      </c>
      <c r="I1453" s="141" t="s">
        <v>1879</v>
      </c>
      <c r="J1453" s="196"/>
      <c r="K1453" s="196" t="s">
        <v>1881</v>
      </c>
      <c r="L1453" s="240" t="s">
        <v>7758</v>
      </c>
      <c r="M1453" s="196">
        <v>450</v>
      </c>
      <c r="N1453" s="196"/>
      <c r="O1453" s="196" t="s">
        <v>5658</v>
      </c>
      <c r="P1453" s="144">
        <v>518</v>
      </c>
      <c r="Q1453" s="145">
        <f t="shared" si="83"/>
        <v>0.79879999999999995</v>
      </c>
      <c r="R1453" s="203">
        <v>0.49</v>
      </c>
      <c r="S1453" s="203"/>
      <c r="T1453" s="151">
        <v>0.35</v>
      </c>
      <c r="U1453" s="151"/>
      <c r="V1453" s="151">
        <v>0.25</v>
      </c>
      <c r="W1453" s="151">
        <f t="shared" si="85"/>
        <v>0.49</v>
      </c>
      <c r="X1453" s="152">
        <f t="shared" si="84"/>
        <v>5.8799999999999998E-2</v>
      </c>
      <c r="Y1453" s="152"/>
      <c r="Z1453" s="148"/>
      <c r="AA1453" s="153"/>
      <c r="AB1453" s="153"/>
      <c r="AC1453" s="153"/>
      <c r="AD1453" s="153"/>
      <c r="AH1453" s="147"/>
    </row>
    <row r="1454" spans="1:34" s="146" customFormat="1" x14ac:dyDescent="0.25">
      <c r="A1454" s="196">
        <v>689</v>
      </c>
      <c r="B1454" s="196" t="s">
        <v>7702</v>
      </c>
      <c r="C1454" s="196" t="s">
        <v>7759</v>
      </c>
      <c r="D1454" s="196" t="s">
        <v>2054</v>
      </c>
      <c r="E1454" s="196"/>
      <c r="F1454" s="196">
        <v>2001</v>
      </c>
      <c r="G1454" s="196"/>
      <c r="H1454" s="196" t="s">
        <v>1878</v>
      </c>
      <c r="I1454" s="141" t="s">
        <v>1879</v>
      </c>
      <c r="J1454" s="196"/>
      <c r="K1454" s="196" t="s">
        <v>1881</v>
      </c>
      <c r="L1454" s="240" t="s">
        <v>7760</v>
      </c>
      <c r="M1454" s="196">
        <v>338</v>
      </c>
      <c r="N1454" s="196"/>
      <c r="O1454" s="196" t="s">
        <v>5659</v>
      </c>
      <c r="P1454" s="144">
        <v>387</v>
      </c>
      <c r="Q1454" s="145">
        <f t="shared" si="83"/>
        <v>1.3338000000000001</v>
      </c>
      <c r="R1454" s="203">
        <v>0.99</v>
      </c>
      <c r="S1454" s="203"/>
      <c r="T1454" s="151">
        <v>0.35</v>
      </c>
      <c r="U1454" s="151"/>
      <c r="V1454" s="151">
        <v>0.25</v>
      </c>
      <c r="W1454" s="151">
        <f t="shared" si="85"/>
        <v>0.99</v>
      </c>
      <c r="X1454" s="152">
        <f t="shared" si="84"/>
        <v>9.3799999999999994E-2</v>
      </c>
      <c r="Y1454" s="152"/>
      <c r="Z1454" s="148"/>
      <c r="AA1454" s="153"/>
      <c r="AB1454" s="153"/>
      <c r="AC1454" s="153"/>
      <c r="AD1454" s="153"/>
      <c r="AH1454" s="147"/>
    </row>
    <row r="1455" spans="1:34" s="146" customFormat="1" x14ac:dyDescent="0.25">
      <c r="A1455" s="196">
        <v>631</v>
      </c>
      <c r="B1455" s="196" t="s">
        <v>7761</v>
      </c>
      <c r="C1455" s="196" t="s">
        <v>7762</v>
      </c>
      <c r="D1455" s="196" t="s">
        <v>2309</v>
      </c>
      <c r="E1455" s="196" t="s">
        <v>1877</v>
      </c>
      <c r="F1455" s="196">
        <v>2009</v>
      </c>
      <c r="G1455" s="196"/>
      <c r="H1455" s="196" t="s">
        <v>1878</v>
      </c>
      <c r="I1455" s="141" t="s">
        <v>1914</v>
      </c>
      <c r="J1455" s="196"/>
      <c r="K1455" s="196" t="s">
        <v>1881</v>
      </c>
      <c r="L1455" s="240" t="s">
        <v>7763</v>
      </c>
      <c r="M1455" s="196">
        <v>224</v>
      </c>
      <c r="N1455" s="196"/>
      <c r="O1455" s="196" t="s">
        <v>5660</v>
      </c>
      <c r="P1455" s="144">
        <v>242</v>
      </c>
      <c r="Q1455" s="145">
        <f t="shared" si="83"/>
        <v>0.64900000000000002</v>
      </c>
      <c r="R1455" s="203">
        <v>0.25</v>
      </c>
      <c r="S1455" s="203"/>
      <c r="T1455" s="151">
        <v>0.35</v>
      </c>
      <c r="U1455" s="151"/>
      <c r="V1455" s="151">
        <v>0.25</v>
      </c>
      <c r="W1455" s="151">
        <f t="shared" si="85"/>
        <v>0.35</v>
      </c>
      <c r="X1455" s="152">
        <f t="shared" si="84"/>
        <v>4.8999999999999995E-2</v>
      </c>
      <c r="Y1455" s="152"/>
      <c r="Z1455" s="148"/>
      <c r="AA1455" s="153"/>
      <c r="AB1455" s="153"/>
      <c r="AC1455" s="153"/>
      <c r="AD1455" s="153"/>
      <c r="AH1455" s="147"/>
    </row>
    <row r="1456" spans="1:34" s="146" customFormat="1" x14ac:dyDescent="0.25">
      <c r="A1456" s="196">
        <v>775</v>
      </c>
      <c r="B1456" s="196" t="s">
        <v>7764</v>
      </c>
      <c r="C1456" s="196" t="s">
        <v>7765</v>
      </c>
      <c r="D1456" s="196" t="s">
        <v>7766</v>
      </c>
      <c r="E1456" s="196"/>
      <c r="F1456" s="196">
        <v>1999</v>
      </c>
      <c r="G1456" s="196"/>
      <c r="H1456" s="196" t="s">
        <v>2734</v>
      </c>
      <c r="I1456" s="141" t="s">
        <v>1879</v>
      </c>
      <c r="J1456" s="196"/>
      <c r="K1456" s="196" t="s">
        <v>1881</v>
      </c>
      <c r="L1456" s="240"/>
      <c r="M1456" s="196">
        <v>898</v>
      </c>
      <c r="N1456" s="196"/>
      <c r="O1456" s="196" t="s">
        <v>5661</v>
      </c>
      <c r="P1456" s="144">
        <v>1012</v>
      </c>
      <c r="Q1456" s="145">
        <f t="shared" ref="Q1456:Q1510" si="86">SUM(U1456:X1456)</f>
        <v>0.64900000000000002</v>
      </c>
      <c r="R1456" s="203">
        <v>0.25</v>
      </c>
      <c r="S1456" s="203"/>
      <c r="T1456" s="151">
        <v>0.35</v>
      </c>
      <c r="U1456" s="151"/>
      <c r="V1456" s="151">
        <v>0.25</v>
      </c>
      <c r="W1456" s="151">
        <f t="shared" si="85"/>
        <v>0.35</v>
      </c>
      <c r="X1456" s="152">
        <f t="shared" si="84"/>
        <v>4.8999999999999995E-2</v>
      </c>
      <c r="Y1456" s="152"/>
      <c r="Z1456" s="148"/>
      <c r="AA1456" s="153"/>
      <c r="AB1456" s="153"/>
      <c r="AC1456" s="153"/>
      <c r="AD1456" s="153"/>
      <c r="AH1456" s="147"/>
    </row>
    <row r="1457" spans="1:34" s="146" customFormat="1" x14ac:dyDescent="0.25">
      <c r="A1457" s="196">
        <v>2518</v>
      </c>
      <c r="B1457" s="196" t="s">
        <v>7767</v>
      </c>
      <c r="C1457" s="196" t="s">
        <v>7768</v>
      </c>
      <c r="D1457" s="196" t="s">
        <v>3646</v>
      </c>
      <c r="E1457" s="196"/>
      <c r="F1457" s="196">
        <v>1999</v>
      </c>
      <c r="G1457" s="196"/>
      <c r="H1457" s="196" t="s">
        <v>1878</v>
      </c>
      <c r="I1457" s="141" t="s">
        <v>1879</v>
      </c>
      <c r="J1457" s="196"/>
      <c r="K1457" s="196" t="s">
        <v>1881</v>
      </c>
      <c r="L1457" s="240"/>
      <c r="M1457" s="196">
        <v>352</v>
      </c>
      <c r="N1457" s="196"/>
      <c r="O1457" s="196" t="s">
        <v>5662</v>
      </c>
      <c r="P1457" s="144">
        <v>317</v>
      </c>
      <c r="Q1457" s="145">
        <f t="shared" si="86"/>
        <v>0.75600000000000001</v>
      </c>
      <c r="R1457" s="203">
        <v>0.45</v>
      </c>
      <c r="S1457" s="203"/>
      <c r="T1457" s="151">
        <v>0.35</v>
      </c>
      <c r="U1457" s="151"/>
      <c r="V1457" s="151">
        <v>0.25</v>
      </c>
      <c r="W1457" s="151">
        <f t="shared" si="85"/>
        <v>0.45</v>
      </c>
      <c r="X1457" s="152">
        <f t="shared" si="84"/>
        <v>5.6000000000000001E-2</v>
      </c>
      <c r="Y1457" s="152"/>
      <c r="Z1457" s="148"/>
      <c r="AA1457" s="153"/>
      <c r="AB1457" s="153"/>
      <c r="AC1457" s="153"/>
      <c r="AD1457" s="153"/>
      <c r="AH1457" s="147"/>
    </row>
    <row r="1458" spans="1:34" s="146" customFormat="1" x14ac:dyDescent="0.25">
      <c r="A1458" s="196">
        <v>632</v>
      </c>
      <c r="B1458" s="196" t="s">
        <v>7769</v>
      </c>
      <c r="C1458" s="196" t="s">
        <v>7770</v>
      </c>
      <c r="D1458" s="196" t="s">
        <v>1920</v>
      </c>
      <c r="E1458" s="196"/>
      <c r="F1458" s="196">
        <v>2003</v>
      </c>
      <c r="G1458" s="196"/>
      <c r="H1458" s="196" t="s">
        <v>1878</v>
      </c>
      <c r="I1458" s="141" t="s">
        <v>1879</v>
      </c>
      <c r="J1458" s="196"/>
      <c r="K1458" s="196" t="s">
        <v>1881</v>
      </c>
      <c r="L1458" s="240" t="s">
        <v>7771</v>
      </c>
      <c r="M1458" s="196">
        <v>560</v>
      </c>
      <c r="N1458" s="196"/>
      <c r="O1458" s="196" t="s">
        <v>5663</v>
      </c>
      <c r="P1458" s="144">
        <v>467</v>
      </c>
      <c r="Q1458" s="145">
        <f t="shared" si="86"/>
        <v>0.64900000000000002</v>
      </c>
      <c r="R1458" s="203">
        <v>0.25</v>
      </c>
      <c r="S1458" s="203"/>
      <c r="T1458" s="151">
        <v>0.35</v>
      </c>
      <c r="U1458" s="151"/>
      <c r="V1458" s="151">
        <v>0.25</v>
      </c>
      <c r="W1458" s="151">
        <f t="shared" si="85"/>
        <v>0.35</v>
      </c>
      <c r="X1458" s="152">
        <f t="shared" si="84"/>
        <v>4.8999999999999995E-2</v>
      </c>
      <c r="Y1458" s="152"/>
      <c r="Z1458" s="148"/>
      <c r="AA1458" s="153"/>
      <c r="AB1458" s="153"/>
      <c r="AC1458" s="153"/>
      <c r="AD1458" s="153"/>
      <c r="AH1458" s="147"/>
    </row>
    <row r="1459" spans="1:34" s="146" customFormat="1" x14ac:dyDescent="0.25">
      <c r="A1459" s="196">
        <v>1395</v>
      </c>
      <c r="B1459" s="196" t="s">
        <v>7772</v>
      </c>
      <c r="C1459" s="196" t="s">
        <v>7773</v>
      </c>
      <c r="D1459" s="196" t="s">
        <v>2609</v>
      </c>
      <c r="E1459" s="196" t="s">
        <v>1877</v>
      </c>
      <c r="F1459" s="196">
        <v>2003</v>
      </c>
      <c r="G1459" s="196"/>
      <c r="H1459" s="196" t="s">
        <v>1878</v>
      </c>
      <c r="I1459" s="141" t="s">
        <v>1879</v>
      </c>
      <c r="J1459" s="196"/>
      <c r="K1459" s="196" t="s">
        <v>1881</v>
      </c>
      <c r="L1459" s="240" t="s">
        <v>7774</v>
      </c>
      <c r="M1459" s="196">
        <v>224</v>
      </c>
      <c r="N1459" s="196"/>
      <c r="O1459" s="196" t="s">
        <v>5664</v>
      </c>
      <c r="P1459" s="144">
        <v>194</v>
      </c>
      <c r="Q1459" s="145">
        <f t="shared" si="86"/>
        <v>1.4408000000000001</v>
      </c>
      <c r="R1459" s="203">
        <v>1.0900000000000001</v>
      </c>
      <c r="S1459" s="203"/>
      <c r="T1459" s="151">
        <v>0.35</v>
      </c>
      <c r="U1459" s="151"/>
      <c r="V1459" s="151">
        <v>0.25</v>
      </c>
      <c r="W1459" s="151">
        <f t="shared" si="85"/>
        <v>1.0900000000000001</v>
      </c>
      <c r="X1459" s="152">
        <f t="shared" si="84"/>
        <v>0.1008</v>
      </c>
      <c r="Y1459" s="152"/>
      <c r="Z1459" s="148"/>
      <c r="AA1459" s="153"/>
      <c r="AB1459" s="153"/>
      <c r="AC1459" s="153"/>
      <c r="AD1459" s="153"/>
      <c r="AH1459" s="147"/>
    </row>
    <row r="1460" spans="1:34" s="146" customFormat="1" x14ac:dyDescent="0.25">
      <c r="A1460" s="196">
        <v>1395</v>
      </c>
      <c r="B1460" s="196" t="s">
        <v>4638</v>
      </c>
      <c r="C1460" s="196" t="s">
        <v>5063</v>
      </c>
      <c r="D1460" s="196" t="s">
        <v>2609</v>
      </c>
      <c r="E1460" s="196" t="s">
        <v>1899</v>
      </c>
      <c r="F1460" s="196">
        <v>2012</v>
      </c>
      <c r="G1460" s="196"/>
      <c r="H1460" s="196" t="s">
        <v>1878</v>
      </c>
      <c r="I1460" s="141" t="s">
        <v>1914</v>
      </c>
      <c r="J1460" s="196"/>
      <c r="K1460" s="196" t="s">
        <v>1881</v>
      </c>
      <c r="L1460" s="240" t="s">
        <v>7775</v>
      </c>
      <c r="M1460" s="196">
        <v>320</v>
      </c>
      <c r="N1460" s="196"/>
      <c r="O1460" s="196" t="s">
        <v>5665</v>
      </c>
      <c r="P1460" s="144">
        <v>286</v>
      </c>
      <c r="Q1460" s="145">
        <f t="shared" si="86"/>
        <v>0.64900000000000002</v>
      </c>
      <c r="R1460" s="203">
        <v>0.25</v>
      </c>
      <c r="S1460" s="203"/>
      <c r="T1460" s="151">
        <v>0.35</v>
      </c>
      <c r="U1460" s="151"/>
      <c r="V1460" s="151">
        <v>0.25</v>
      </c>
      <c r="W1460" s="151">
        <f t="shared" si="85"/>
        <v>0.35</v>
      </c>
      <c r="X1460" s="152">
        <f t="shared" si="84"/>
        <v>4.8999999999999995E-2</v>
      </c>
      <c r="Y1460" s="152"/>
      <c r="Z1460" s="148"/>
      <c r="AA1460" s="153"/>
      <c r="AB1460" s="153"/>
      <c r="AC1460" s="153"/>
      <c r="AD1460" s="153"/>
      <c r="AH1460" s="147"/>
    </row>
    <row r="1461" spans="1:34" s="146" customFormat="1" x14ac:dyDescent="0.25">
      <c r="A1461" s="196">
        <v>2576</v>
      </c>
      <c r="B1461" s="196" t="s">
        <v>7702</v>
      </c>
      <c r="C1461" s="196" t="s">
        <v>7776</v>
      </c>
      <c r="D1461" s="196" t="s">
        <v>2054</v>
      </c>
      <c r="E1461" s="196"/>
      <c r="F1461" s="196">
        <v>2002</v>
      </c>
      <c r="G1461" s="196"/>
      <c r="H1461" s="196" t="s">
        <v>1878</v>
      </c>
      <c r="I1461" s="141" t="s">
        <v>1879</v>
      </c>
      <c r="J1461" s="196"/>
      <c r="K1461" s="196" t="s">
        <v>1881</v>
      </c>
      <c r="L1461" s="240" t="s">
        <v>7777</v>
      </c>
      <c r="M1461" s="196">
        <v>546</v>
      </c>
      <c r="N1461" s="196"/>
      <c r="O1461" s="196" t="s">
        <v>5666</v>
      </c>
      <c r="P1461" s="144">
        <v>594</v>
      </c>
      <c r="Q1461" s="145">
        <f t="shared" si="86"/>
        <v>1.1198000000000001</v>
      </c>
      <c r="R1461" s="203">
        <v>0.79</v>
      </c>
      <c r="S1461" s="203"/>
      <c r="T1461" s="151">
        <v>0.35</v>
      </c>
      <c r="U1461" s="151"/>
      <c r="V1461" s="151">
        <v>0.25</v>
      </c>
      <c r="W1461" s="151">
        <f t="shared" si="85"/>
        <v>0.79</v>
      </c>
      <c r="X1461" s="152">
        <f t="shared" si="84"/>
        <v>7.980000000000001E-2</v>
      </c>
      <c r="Y1461" s="152"/>
      <c r="Z1461" s="148"/>
      <c r="AA1461" s="153"/>
      <c r="AB1461" s="153"/>
      <c r="AC1461" s="153"/>
      <c r="AD1461" s="153"/>
      <c r="AH1461" s="147"/>
    </row>
    <row r="1462" spans="1:34" s="146" customFormat="1" x14ac:dyDescent="0.25">
      <c r="A1462" s="196">
        <v>655</v>
      </c>
      <c r="B1462" s="196" t="s">
        <v>3004</v>
      </c>
      <c r="C1462" s="196" t="s">
        <v>7778</v>
      </c>
      <c r="D1462" s="196" t="s">
        <v>2300</v>
      </c>
      <c r="E1462" s="196" t="s">
        <v>1877</v>
      </c>
      <c r="F1462" s="196">
        <v>2009</v>
      </c>
      <c r="G1462" s="196"/>
      <c r="H1462" s="196" t="s">
        <v>1878</v>
      </c>
      <c r="I1462" s="141" t="s">
        <v>1879</v>
      </c>
      <c r="J1462" s="196"/>
      <c r="K1462" s="196" t="s">
        <v>1881</v>
      </c>
      <c r="L1462" s="240" t="s">
        <v>3007</v>
      </c>
      <c r="M1462" s="196">
        <v>304</v>
      </c>
      <c r="N1462" s="196"/>
      <c r="O1462" s="196" t="s">
        <v>5667</v>
      </c>
      <c r="P1462" s="144">
        <v>373</v>
      </c>
      <c r="Q1462" s="145">
        <f t="shared" si="86"/>
        <v>0.79879999999999995</v>
      </c>
      <c r="R1462" s="203">
        <v>0.49</v>
      </c>
      <c r="S1462" s="203"/>
      <c r="T1462" s="151">
        <v>0.35</v>
      </c>
      <c r="U1462" s="151"/>
      <c r="V1462" s="151">
        <v>0.25</v>
      </c>
      <c r="W1462" s="151">
        <f t="shared" si="85"/>
        <v>0.49</v>
      </c>
      <c r="X1462" s="152">
        <f t="shared" si="84"/>
        <v>5.8799999999999998E-2</v>
      </c>
      <c r="Y1462" s="152"/>
      <c r="Z1462" s="148"/>
      <c r="AA1462" s="153"/>
      <c r="AB1462" s="153"/>
      <c r="AC1462" s="153"/>
      <c r="AD1462" s="153"/>
      <c r="AH1462" s="147"/>
    </row>
    <row r="1463" spans="1:34" s="146" customFormat="1" x14ac:dyDescent="0.25">
      <c r="A1463" s="196">
        <v>947</v>
      </c>
      <c r="B1463" s="196" t="s">
        <v>7779</v>
      </c>
      <c r="C1463" s="196" t="s">
        <v>7780</v>
      </c>
      <c r="D1463" s="196" t="s">
        <v>2054</v>
      </c>
      <c r="E1463" s="196"/>
      <c r="F1463" s="196"/>
      <c r="G1463" s="196"/>
      <c r="H1463" s="196" t="s">
        <v>2734</v>
      </c>
      <c r="I1463" s="141" t="s">
        <v>1879</v>
      </c>
      <c r="J1463" s="196"/>
      <c r="K1463" s="196" t="s">
        <v>1881</v>
      </c>
      <c r="L1463" s="240" t="s">
        <v>7781</v>
      </c>
      <c r="M1463" s="196">
        <v>354</v>
      </c>
      <c r="N1463" s="196"/>
      <c r="O1463" s="196" t="s">
        <v>5668</v>
      </c>
      <c r="P1463" s="144">
        <v>473</v>
      </c>
      <c r="Q1463" s="145">
        <f t="shared" si="86"/>
        <v>0.70250000000000001</v>
      </c>
      <c r="R1463" s="203">
        <v>0.4</v>
      </c>
      <c r="S1463" s="203"/>
      <c r="T1463" s="151">
        <v>0.35</v>
      </c>
      <c r="U1463" s="151"/>
      <c r="V1463" s="151">
        <v>0.25</v>
      </c>
      <c r="W1463" s="151">
        <f t="shared" si="85"/>
        <v>0.4</v>
      </c>
      <c r="X1463" s="152">
        <f t="shared" si="84"/>
        <v>5.2499999999999998E-2</v>
      </c>
      <c r="Y1463" s="152"/>
      <c r="Z1463" s="148"/>
      <c r="AA1463" s="153"/>
      <c r="AB1463" s="153"/>
      <c r="AC1463" s="153"/>
      <c r="AD1463" s="153"/>
      <c r="AH1463" s="147"/>
    </row>
    <row r="1464" spans="1:34" s="146" customFormat="1" x14ac:dyDescent="0.25">
      <c r="A1464" s="196">
        <v>1028</v>
      </c>
      <c r="B1464" s="196"/>
      <c r="C1464" s="196" t="s">
        <v>7782</v>
      </c>
      <c r="D1464" s="196" t="s">
        <v>2117</v>
      </c>
      <c r="E1464" s="196" t="s">
        <v>1913</v>
      </c>
      <c r="F1464" s="196">
        <v>2013</v>
      </c>
      <c r="G1464" s="196"/>
      <c r="H1464" s="196" t="s">
        <v>2734</v>
      </c>
      <c r="I1464" s="141" t="s">
        <v>1929</v>
      </c>
      <c r="J1464" s="196"/>
      <c r="K1464" s="196" t="s">
        <v>1881</v>
      </c>
      <c r="L1464" s="240" t="s">
        <v>7783</v>
      </c>
      <c r="M1464" s="196">
        <v>66</v>
      </c>
      <c r="N1464" s="196"/>
      <c r="O1464" s="196" t="s">
        <v>5669</v>
      </c>
      <c r="P1464" s="144">
        <v>256</v>
      </c>
      <c r="Q1464" s="145">
        <f t="shared" si="86"/>
        <v>3.4738000000000002</v>
      </c>
      <c r="R1464" s="203">
        <v>2.99</v>
      </c>
      <c r="S1464" s="203"/>
      <c r="T1464" s="151">
        <v>0.35</v>
      </c>
      <c r="U1464" s="151"/>
      <c r="V1464" s="151">
        <v>0.25</v>
      </c>
      <c r="W1464" s="151">
        <f t="shared" si="85"/>
        <v>2.99</v>
      </c>
      <c r="X1464" s="152">
        <f t="shared" si="84"/>
        <v>0.23380000000000004</v>
      </c>
      <c r="Y1464" s="152"/>
      <c r="Z1464" s="148"/>
      <c r="AA1464" s="153"/>
      <c r="AB1464" s="153"/>
      <c r="AC1464" s="153"/>
      <c r="AD1464" s="153"/>
      <c r="AH1464" s="147"/>
    </row>
    <row r="1465" spans="1:34" s="146" customFormat="1" x14ac:dyDescent="0.25">
      <c r="A1465" s="196">
        <v>1355</v>
      </c>
      <c r="B1465" s="196" t="s">
        <v>7784</v>
      </c>
      <c r="C1465" s="196" t="s">
        <v>7785</v>
      </c>
      <c r="D1465" s="196" t="s">
        <v>4626</v>
      </c>
      <c r="E1465" s="196" t="s">
        <v>1913</v>
      </c>
      <c r="F1465" s="196">
        <v>2015</v>
      </c>
      <c r="G1465" s="196"/>
      <c r="H1465" s="196" t="s">
        <v>2734</v>
      </c>
      <c r="I1465" s="141" t="s">
        <v>1929</v>
      </c>
      <c r="J1465" s="196"/>
      <c r="K1465" s="196" t="s">
        <v>1881</v>
      </c>
      <c r="L1465" s="240" t="s">
        <v>7786</v>
      </c>
      <c r="M1465" s="196">
        <v>98</v>
      </c>
      <c r="N1465" s="196"/>
      <c r="O1465" s="196" t="s">
        <v>5670</v>
      </c>
      <c r="P1465" s="144">
        <v>379</v>
      </c>
      <c r="Q1465" s="145">
        <f t="shared" si="86"/>
        <v>2.4038000000000004</v>
      </c>
      <c r="R1465" s="203">
        <v>1.99</v>
      </c>
      <c r="S1465" s="203"/>
      <c r="T1465" s="151">
        <v>0.35</v>
      </c>
      <c r="U1465" s="151"/>
      <c r="V1465" s="151">
        <v>0.25</v>
      </c>
      <c r="W1465" s="151">
        <f t="shared" si="85"/>
        <v>1.99</v>
      </c>
      <c r="X1465" s="152">
        <f t="shared" si="84"/>
        <v>0.16379999999999997</v>
      </c>
      <c r="Y1465" s="152"/>
      <c r="Z1465" s="148"/>
      <c r="AA1465" s="153"/>
      <c r="AB1465" s="153"/>
      <c r="AC1465" s="153"/>
      <c r="AD1465" s="153"/>
      <c r="AH1465" s="147"/>
    </row>
    <row r="1466" spans="1:34" s="146" customFormat="1" x14ac:dyDescent="0.25">
      <c r="A1466" s="196">
        <v>651</v>
      </c>
      <c r="B1466" s="196" t="s">
        <v>7788</v>
      </c>
      <c r="C1466" s="196" t="s">
        <v>7789</v>
      </c>
      <c r="D1466" s="196" t="s">
        <v>6499</v>
      </c>
      <c r="E1466" s="196"/>
      <c r="F1466" s="196">
        <v>2015</v>
      </c>
      <c r="G1466" s="196"/>
      <c r="H1466" s="196" t="s">
        <v>1878</v>
      </c>
      <c r="I1466" s="141" t="s">
        <v>1929</v>
      </c>
      <c r="J1466" s="52" t="s">
        <v>3854</v>
      </c>
      <c r="K1466" s="196" t="s">
        <v>1881</v>
      </c>
      <c r="L1466" s="240" t="s">
        <v>7790</v>
      </c>
      <c r="M1466" s="196">
        <v>48</v>
      </c>
      <c r="N1466" s="196"/>
      <c r="O1466" s="196" t="s">
        <v>5672</v>
      </c>
      <c r="P1466" s="144">
        <v>177</v>
      </c>
      <c r="Q1466" s="145">
        <f t="shared" si="86"/>
        <v>0.95930000000000004</v>
      </c>
      <c r="R1466" s="203">
        <v>0.64</v>
      </c>
      <c r="S1466" s="203"/>
      <c r="T1466" s="151">
        <v>0.35</v>
      </c>
      <c r="U1466" s="151"/>
      <c r="V1466" s="151">
        <v>0.25</v>
      </c>
      <c r="W1466" s="151">
        <f t="shared" si="85"/>
        <v>0.64</v>
      </c>
      <c r="X1466" s="152">
        <f t="shared" si="84"/>
        <v>6.93E-2</v>
      </c>
      <c r="Y1466" s="152"/>
      <c r="Z1466" s="148"/>
      <c r="AA1466" s="153"/>
      <c r="AB1466" s="153"/>
      <c r="AC1466" s="153"/>
      <c r="AD1466" s="153"/>
      <c r="AH1466" s="147"/>
    </row>
    <row r="1467" spans="1:34" s="146" customFormat="1" x14ac:dyDescent="0.25">
      <c r="A1467" s="196">
        <v>651</v>
      </c>
      <c r="B1467" s="196" t="s">
        <v>6478</v>
      </c>
      <c r="C1467" s="196" t="s">
        <v>7791</v>
      </c>
      <c r="D1467" s="196" t="s">
        <v>2117</v>
      </c>
      <c r="E1467" s="196" t="s">
        <v>1913</v>
      </c>
      <c r="F1467" s="196">
        <v>2014</v>
      </c>
      <c r="G1467" s="196"/>
      <c r="H1467" s="196" t="s">
        <v>1878</v>
      </c>
      <c r="I1467" s="141" t="s">
        <v>1929</v>
      </c>
      <c r="J1467" s="196"/>
      <c r="K1467" s="196" t="s">
        <v>1881</v>
      </c>
      <c r="L1467" s="240" t="s">
        <v>7792</v>
      </c>
      <c r="M1467" s="196">
        <v>32</v>
      </c>
      <c r="N1467" s="196"/>
      <c r="O1467" s="196" t="s">
        <v>5673</v>
      </c>
      <c r="P1467" s="144">
        <v>188</v>
      </c>
      <c r="Q1467" s="145">
        <f t="shared" si="86"/>
        <v>2.3075000000000001</v>
      </c>
      <c r="R1467" s="203">
        <v>1.9</v>
      </c>
      <c r="S1467" s="203"/>
      <c r="T1467" s="151">
        <v>0.35</v>
      </c>
      <c r="U1467" s="151"/>
      <c r="V1467" s="151">
        <v>0.25</v>
      </c>
      <c r="W1467" s="151">
        <f t="shared" si="85"/>
        <v>1.9</v>
      </c>
      <c r="X1467" s="152">
        <f t="shared" si="84"/>
        <v>0.1575</v>
      </c>
      <c r="Y1467" s="152"/>
      <c r="Z1467" s="148"/>
      <c r="AA1467" s="153"/>
      <c r="AB1467" s="153"/>
      <c r="AC1467" s="153"/>
      <c r="AD1467" s="153"/>
      <c r="AH1467" s="147"/>
    </row>
    <row r="1468" spans="1:34" s="146" customFormat="1" x14ac:dyDescent="0.25">
      <c r="A1468" s="196">
        <v>1327</v>
      </c>
      <c r="B1468" s="196" t="s">
        <v>7796</v>
      </c>
      <c r="C1468" s="196" t="s">
        <v>7797</v>
      </c>
      <c r="D1468" s="196" t="s">
        <v>7798</v>
      </c>
      <c r="E1468" s="196"/>
      <c r="F1468" s="196"/>
      <c r="G1468" s="196"/>
      <c r="H1468" s="196" t="s">
        <v>2734</v>
      </c>
      <c r="I1468" s="141" t="s">
        <v>1929</v>
      </c>
      <c r="J1468" s="196"/>
      <c r="K1468" s="196" t="s">
        <v>1881</v>
      </c>
      <c r="L1468" s="240" t="s">
        <v>7799</v>
      </c>
      <c r="M1468" s="196">
        <v>218</v>
      </c>
      <c r="N1468" s="196"/>
      <c r="O1468" s="196" t="s">
        <v>5675</v>
      </c>
      <c r="P1468" s="144">
        <v>353</v>
      </c>
      <c r="Q1468" s="145">
        <f t="shared" si="86"/>
        <v>1.1840000000000002</v>
      </c>
      <c r="R1468" s="203">
        <v>0.85</v>
      </c>
      <c r="S1468" s="203"/>
      <c r="T1468" s="151">
        <v>0.35</v>
      </c>
      <c r="U1468" s="151"/>
      <c r="V1468" s="151">
        <v>0.25</v>
      </c>
      <c r="W1468" s="151">
        <f t="shared" si="85"/>
        <v>0.85</v>
      </c>
      <c r="X1468" s="152">
        <f t="shared" si="84"/>
        <v>8.4000000000000005E-2</v>
      </c>
      <c r="Y1468" s="152"/>
      <c r="Z1468" s="148"/>
      <c r="AA1468" s="153"/>
      <c r="AB1468" s="153"/>
      <c r="AC1468" s="153"/>
      <c r="AD1468" s="153"/>
      <c r="AH1468" s="147"/>
    </row>
    <row r="1469" spans="1:34" s="146" customFormat="1" x14ac:dyDescent="0.25">
      <c r="A1469" s="196">
        <v>704</v>
      </c>
      <c r="B1469" s="196" t="s">
        <v>7800</v>
      </c>
      <c r="C1469" s="196" t="s">
        <v>7801</v>
      </c>
      <c r="D1469" s="196" t="s">
        <v>1876</v>
      </c>
      <c r="E1469" s="196" t="s">
        <v>2032</v>
      </c>
      <c r="F1469" s="196">
        <v>2012</v>
      </c>
      <c r="G1469" s="196"/>
      <c r="H1469" s="196" t="s">
        <v>1878</v>
      </c>
      <c r="I1469" s="141" t="s">
        <v>1929</v>
      </c>
      <c r="J1469" s="196"/>
      <c r="K1469" s="196" t="s">
        <v>1881</v>
      </c>
      <c r="L1469" s="240" t="s">
        <v>7802</v>
      </c>
      <c r="M1469" s="196">
        <v>256</v>
      </c>
      <c r="N1469" s="196"/>
      <c r="O1469" s="196" t="s">
        <v>5676</v>
      </c>
      <c r="P1469" s="144">
        <v>290</v>
      </c>
      <c r="Q1469" s="145">
        <f t="shared" si="86"/>
        <v>1.3338000000000001</v>
      </c>
      <c r="R1469" s="203">
        <v>0.99</v>
      </c>
      <c r="S1469" s="203"/>
      <c r="T1469" s="151">
        <v>0.35</v>
      </c>
      <c r="U1469" s="151"/>
      <c r="V1469" s="151">
        <v>0.25</v>
      </c>
      <c r="W1469" s="151">
        <f t="shared" si="85"/>
        <v>0.99</v>
      </c>
      <c r="X1469" s="152">
        <f t="shared" si="84"/>
        <v>9.3799999999999994E-2</v>
      </c>
      <c r="Y1469" s="152"/>
      <c r="Z1469" s="148"/>
      <c r="AA1469" s="153"/>
      <c r="AB1469" s="153"/>
      <c r="AC1469" s="153"/>
      <c r="AD1469" s="153"/>
      <c r="AH1469" s="147"/>
    </row>
    <row r="1470" spans="1:34" s="146" customFormat="1" x14ac:dyDescent="0.25">
      <c r="A1470" s="196">
        <v>1327</v>
      </c>
      <c r="B1470" s="196" t="s">
        <v>7803</v>
      </c>
      <c r="C1470" s="196" t="s">
        <v>7804</v>
      </c>
      <c r="D1470" s="196" t="s">
        <v>7718</v>
      </c>
      <c r="E1470" s="196"/>
      <c r="F1470" s="196">
        <v>1988</v>
      </c>
      <c r="G1470" s="196"/>
      <c r="H1470" s="196" t="s">
        <v>2734</v>
      </c>
      <c r="I1470" s="141" t="s">
        <v>1879</v>
      </c>
      <c r="J1470" s="196"/>
      <c r="K1470" s="196" t="s">
        <v>1881</v>
      </c>
      <c r="L1470" s="240" t="s">
        <v>7805</v>
      </c>
      <c r="M1470" s="196">
        <v>306</v>
      </c>
      <c r="N1470" s="196"/>
      <c r="O1470" s="196" t="s">
        <v>5677</v>
      </c>
      <c r="P1470" s="144">
        <v>449</v>
      </c>
      <c r="Q1470" s="145">
        <f t="shared" si="86"/>
        <v>1.0127999999999999</v>
      </c>
      <c r="R1470" s="203">
        <v>0.69</v>
      </c>
      <c r="S1470" s="203"/>
      <c r="T1470" s="151">
        <v>0.35</v>
      </c>
      <c r="U1470" s="151"/>
      <c r="V1470" s="151">
        <v>0.25</v>
      </c>
      <c r="W1470" s="151">
        <f t="shared" si="85"/>
        <v>0.69</v>
      </c>
      <c r="X1470" s="152">
        <f t="shared" si="84"/>
        <v>7.2800000000000004E-2</v>
      </c>
      <c r="Y1470" s="152"/>
      <c r="Z1470" s="148"/>
      <c r="AA1470" s="153"/>
      <c r="AB1470" s="153"/>
      <c r="AC1470" s="153"/>
      <c r="AD1470" s="153"/>
      <c r="AH1470" s="147"/>
    </row>
    <row r="1471" spans="1:34" s="146" customFormat="1" x14ac:dyDescent="0.25">
      <c r="A1471" s="196">
        <v>1386</v>
      </c>
      <c r="B1471" s="196" t="s">
        <v>7806</v>
      </c>
      <c r="C1471" s="196" t="s">
        <v>7807</v>
      </c>
      <c r="D1471" s="196" t="s">
        <v>5005</v>
      </c>
      <c r="E1471" s="196"/>
      <c r="F1471" s="196">
        <v>1996</v>
      </c>
      <c r="G1471" s="196"/>
      <c r="H1471" s="196" t="s">
        <v>2734</v>
      </c>
      <c r="I1471" s="141" t="s">
        <v>1929</v>
      </c>
      <c r="J1471" s="196"/>
      <c r="K1471" s="196" t="s">
        <v>1881</v>
      </c>
      <c r="L1471" s="240"/>
      <c r="M1471" s="196">
        <v>354</v>
      </c>
      <c r="N1471" s="196"/>
      <c r="O1471" s="196" t="s">
        <v>5678</v>
      </c>
      <c r="P1471" s="144">
        <v>504</v>
      </c>
      <c r="Q1471" s="145">
        <f t="shared" si="86"/>
        <v>0.64900000000000002</v>
      </c>
      <c r="R1471" s="203"/>
      <c r="S1471" s="203"/>
      <c r="T1471" s="151">
        <v>0.35</v>
      </c>
      <c r="U1471" s="151"/>
      <c r="V1471" s="151">
        <v>0.25</v>
      </c>
      <c r="W1471" s="151">
        <f t="shared" si="85"/>
        <v>0.35</v>
      </c>
      <c r="X1471" s="152">
        <f t="shared" si="84"/>
        <v>4.8999999999999995E-2</v>
      </c>
      <c r="Y1471" s="152"/>
      <c r="Z1471" s="148"/>
      <c r="AA1471" s="153"/>
      <c r="AB1471" s="153"/>
      <c r="AC1471" s="153"/>
      <c r="AD1471" s="153"/>
      <c r="AH1471" s="147"/>
    </row>
    <row r="1472" spans="1:34" s="146" customFormat="1" x14ac:dyDescent="0.25">
      <c r="A1472" s="196">
        <v>2514</v>
      </c>
      <c r="B1472" s="196" t="s">
        <v>7808</v>
      </c>
      <c r="C1472" s="196" t="s">
        <v>7809</v>
      </c>
      <c r="D1472" s="196" t="s">
        <v>4669</v>
      </c>
      <c r="E1472" s="196"/>
      <c r="F1472" s="196"/>
      <c r="G1472" s="196"/>
      <c r="H1472" s="196" t="s">
        <v>2734</v>
      </c>
      <c r="I1472" s="141" t="s">
        <v>7527</v>
      </c>
      <c r="J1472" s="196"/>
      <c r="K1472" s="196" t="s">
        <v>1881</v>
      </c>
      <c r="L1472" s="240" t="s">
        <v>7811</v>
      </c>
      <c r="M1472" s="196">
        <v>132</v>
      </c>
      <c r="N1472" s="196"/>
      <c r="O1472" s="196" t="s">
        <v>5679</v>
      </c>
      <c r="P1472" s="144">
        <v>273</v>
      </c>
      <c r="Q1472" s="145">
        <f t="shared" si="86"/>
        <v>1.5585</v>
      </c>
      <c r="R1472" s="203">
        <v>1.2</v>
      </c>
      <c r="S1472" s="203"/>
      <c r="T1472" s="151">
        <v>0.35</v>
      </c>
      <c r="U1472" s="151"/>
      <c r="V1472" s="151">
        <v>0.25</v>
      </c>
      <c r="W1472" s="151">
        <f t="shared" si="85"/>
        <v>1.2</v>
      </c>
      <c r="X1472" s="152">
        <f t="shared" si="84"/>
        <v>0.10849999999999999</v>
      </c>
      <c r="Y1472" s="152"/>
      <c r="Z1472" s="148"/>
      <c r="AA1472" s="153"/>
      <c r="AB1472" s="153"/>
      <c r="AC1472" s="153"/>
      <c r="AD1472" s="153"/>
      <c r="AH1472" s="147"/>
    </row>
    <row r="1473" spans="1:34" s="146" customFormat="1" x14ac:dyDescent="0.25">
      <c r="A1473" s="196">
        <v>2514</v>
      </c>
      <c r="B1473" s="196" t="s">
        <v>7808</v>
      </c>
      <c r="C1473" s="196" t="s">
        <v>7810</v>
      </c>
      <c r="D1473" s="196" t="s">
        <v>4669</v>
      </c>
      <c r="E1473" s="196"/>
      <c r="F1473" s="196"/>
      <c r="G1473" s="196"/>
      <c r="H1473" s="196" t="s">
        <v>2734</v>
      </c>
      <c r="I1473" s="141" t="s">
        <v>7527</v>
      </c>
      <c r="J1473" s="196"/>
      <c r="K1473" s="196" t="s">
        <v>1881</v>
      </c>
      <c r="L1473" s="240" t="s">
        <v>7812</v>
      </c>
      <c r="M1473" s="196">
        <v>134</v>
      </c>
      <c r="N1473" s="196"/>
      <c r="O1473" s="196" t="s">
        <v>5680</v>
      </c>
      <c r="P1473" s="144">
        <v>268</v>
      </c>
      <c r="Q1473" s="145">
        <f t="shared" si="86"/>
        <v>3.0457999999999998</v>
      </c>
      <c r="R1473" s="203">
        <v>2.59</v>
      </c>
      <c r="S1473" s="203"/>
      <c r="T1473" s="151">
        <v>0.35</v>
      </c>
      <c r="U1473" s="151"/>
      <c r="V1473" s="151">
        <v>0.25</v>
      </c>
      <c r="W1473" s="151">
        <f t="shared" si="85"/>
        <v>2.59</v>
      </c>
      <c r="X1473" s="152">
        <f t="shared" si="84"/>
        <v>0.20579999999999998</v>
      </c>
      <c r="Y1473" s="152"/>
      <c r="Z1473" s="148"/>
      <c r="AA1473" s="153"/>
      <c r="AB1473" s="153"/>
      <c r="AC1473" s="153"/>
      <c r="AD1473" s="153"/>
      <c r="AH1473" s="147"/>
    </row>
    <row r="1474" spans="1:34" s="146" customFormat="1" x14ac:dyDescent="0.25">
      <c r="A1474" s="196">
        <v>2894</v>
      </c>
      <c r="B1474" s="196"/>
      <c r="C1474" s="196" t="s">
        <v>7813</v>
      </c>
      <c r="D1474" s="196" t="s">
        <v>7280</v>
      </c>
      <c r="E1474" s="196" t="s">
        <v>1877</v>
      </c>
      <c r="F1474" s="196">
        <v>2013</v>
      </c>
      <c r="G1474" s="196"/>
      <c r="H1474" s="196" t="s">
        <v>1878</v>
      </c>
      <c r="I1474" s="141" t="s">
        <v>1929</v>
      </c>
      <c r="J1474" s="196"/>
      <c r="K1474" s="196" t="s">
        <v>1881</v>
      </c>
      <c r="L1474" s="240" t="s">
        <v>7814</v>
      </c>
      <c r="M1474" s="196">
        <v>30</v>
      </c>
      <c r="N1474" s="196"/>
      <c r="O1474" s="196" t="s">
        <v>5681</v>
      </c>
      <c r="P1474" s="144">
        <v>54</v>
      </c>
      <c r="Q1474" s="145">
        <f t="shared" si="86"/>
        <v>0.64900000000000002</v>
      </c>
      <c r="R1474" s="203">
        <v>0.25</v>
      </c>
      <c r="S1474" s="203"/>
      <c r="T1474" s="151">
        <v>0.35</v>
      </c>
      <c r="U1474" s="151"/>
      <c r="V1474" s="151">
        <v>0.25</v>
      </c>
      <c r="W1474" s="151">
        <f t="shared" si="85"/>
        <v>0.35</v>
      </c>
      <c r="X1474" s="152">
        <f t="shared" si="84"/>
        <v>4.8999999999999995E-2</v>
      </c>
      <c r="Y1474" s="152"/>
      <c r="Z1474" s="148"/>
      <c r="AA1474" s="153"/>
      <c r="AB1474" s="153"/>
      <c r="AC1474" s="153"/>
      <c r="AD1474" s="153"/>
      <c r="AH1474" s="147"/>
    </row>
    <row r="1475" spans="1:34" s="146" customFormat="1" x14ac:dyDescent="0.25">
      <c r="A1475" s="196">
        <v>1221</v>
      </c>
      <c r="B1475" s="196" t="s">
        <v>7815</v>
      </c>
      <c r="C1475" s="196" t="s">
        <v>7816</v>
      </c>
      <c r="D1475" s="196" t="s">
        <v>2300</v>
      </c>
      <c r="E1475" s="196" t="s">
        <v>1913</v>
      </c>
      <c r="F1475" s="196">
        <v>2002</v>
      </c>
      <c r="G1475" s="196"/>
      <c r="H1475" s="196" t="s">
        <v>2734</v>
      </c>
      <c r="I1475" s="141" t="s">
        <v>7817</v>
      </c>
      <c r="J1475" s="196"/>
      <c r="K1475" s="196" t="s">
        <v>1881</v>
      </c>
      <c r="L1475" s="240" t="s">
        <v>7818</v>
      </c>
      <c r="M1475" s="196">
        <v>146</v>
      </c>
      <c r="N1475" s="196"/>
      <c r="O1475" s="196" t="s">
        <v>5682</v>
      </c>
      <c r="P1475" s="144">
        <v>349</v>
      </c>
      <c r="Q1475" s="145">
        <f t="shared" si="86"/>
        <v>1.5585</v>
      </c>
      <c r="R1475" s="203">
        <v>1.2</v>
      </c>
      <c r="S1475" s="203"/>
      <c r="T1475" s="151">
        <v>0.35</v>
      </c>
      <c r="U1475" s="151"/>
      <c r="V1475" s="151">
        <v>0.25</v>
      </c>
      <c r="W1475" s="151">
        <f t="shared" si="85"/>
        <v>1.2</v>
      </c>
      <c r="X1475" s="152">
        <f t="shared" si="84"/>
        <v>0.10849999999999999</v>
      </c>
      <c r="Y1475" s="152"/>
      <c r="Z1475" s="148"/>
      <c r="AA1475" s="153"/>
      <c r="AB1475" s="153"/>
      <c r="AC1475" s="153"/>
      <c r="AD1475" s="153"/>
      <c r="AH1475" s="147"/>
    </row>
    <row r="1476" spans="1:34" s="146" customFormat="1" x14ac:dyDescent="0.25">
      <c r="A1476" s="196">
        <v>739</v>
      </c>
      <c r="B1476" s="196" t="s">
        <v>7820</v>
      </c>
      <c r="C1476" s="196" t="s">
        <v>7819</v>
      </c>
      <c r="D1476" s="196" t="s">
        <v>7821</v>
      </c>
      <c r="E1476" s="196" t="s">
        <v>2175</v>
      </c>
      <c r="F1476" s="196">
        <v>1986</v>
      </c>
      <c r="G1476" s="196"/>
      <c r="H1476" s="196" t="s">
        <v>1878</v>
      </c>
      <c r="I1476" s="141" t="s">
        <v>1879</v>
      </c>
      <c r="J1476" s="196"/>
      <c r="K1476" s="196" t="s">
        <v>1881</v>
      </c>
      <c r="L1476" s="240"/>
      <c r="M1476" s="196">
        <v>136</v>
      </c>
      <c r="N1476" s="196"/>
      <c r="O1476" s="196" t="s">
        <v>5683</v>
      </c>
      <c r="P1476" s="144">
        <v>174</v>
      </c>
      <c r="Q1476" s="145">
        <f t="shared" si="86"/>
        <v>0.64900000000000002</v>
      </c>
      <c r="R1476" s="203"/>
      <c r="S1476" s="203"/>
      <c r="T1476" s="151">
        <v>0.35</v>
      </c>
      <c r="U1476" s="151"/>
      <c r="V1476" s="151">
        <v>0.25</v>
      </c>
      <c r="W1476" s="151">
        <f t="shared" si="85"/>
        <v>0.35</v>
      </c>
      <c r="X1476" s="152">
        <f t="shared" si="84"/>
        <v>4.8999999999999995E-2</v>
      </c>
      <c r="Y1476" s="152"/>
      <c r="Z1476" s="148"/>
      <c r="AA1476" s="153"/>
      <c r="AB1476" s="153"/>
      <c r="AC1476" s="153"/>
      <c r="AD1476" s="153"/>
      <c r="AH1476" s="147"/>
    </row>
    <row r="1477" spans="1:34" s="146" customFormat="1" x14ac:dyDescent="0.25">
      <c r="A1477" s="196">
        <v>2547</v>
      </c>
      <c r="B1477" s="196" t="s">
        <v>2456</v>
      </c>
      <c r="C1477" s="196" t="s">
        <v>7822</v>
      </c>
      <c r="D1477" s="196" t="s">
        <v>5005</v>
      </c>
      <c r="E1477" s="196"/>
      <c r="F1477" s="196">
        <v>2003</v>
      </c>
      <c r="G1477" s="196"/>
      <c r="H1477" s="196" t="s">
        <v>2734</v>
      </c>
      <c r="I1477" s="141" t="s">
        <v>1879</v>
      </c>
      <c r="J1477" s="196"/>
      <c r="K1477" s="196" t="s">
        <v>1881</v>
      </c>
      <c r="L1477" s="240"/>
      <c r="M1477" s="196">
        <v>610</v>
      </c>
      <c r="N1477" s="196"/>
      <c r="O1477" s="196" t="s">
        <v>5684</v>
      </c>
      <c r="P1477" s="144">
        <v>715</v>
      </c>
      <c r="Q1477" s="145">
        <f t="shared" si="86"/>
        <v>0.64900000000000002</v>
      </c>
      <c r="R1477" s="203"/>
      <c r="S1477" s="203"/>
      <c r="T1477" s="151">
        <v>0.35</v>
      </c>
      <c r="U1477" s="151"/>
      <c r="V1477" s="151">
        <v>0.25</v>
      </c>
      <c r="W1477" s="151">
        <f t="shared" si="85"/>
        <v>0.35</v>
      </c>
      <c r="X1477" s="152">
        <f t="shared" si="84"/>
        <v>4.8999999999999995E-2</v>
      </c>
      <c r="Y1477" s="152"/>
      <c r="Z1477" s="148"/>
      <c r="AA1477" s="153"/>
      <c r="AB1477" s="153"/>
      <c r="AC1477" s="153"/>
      <c r="AD1477" s="153"/>
      <c r="AH1477" s="147"/>
    </row>
    <row r="1478" spans="1:34" s="146" customFormat="1" x14ac:dyDescent="0.25">
      <c r="A1478" s="196">
        <v>1386</v>
      </c>
      <c r="B1478" s="196" t="s">
        <v>7823</v>
      </c>
      <c r="C1478" s="196" t="s">
        <v>7824</v>
      </c>
      <c r="D1478" s="196" t="s">
        <v>2850</v>
      </c>
      <c r="E1478" s="196"/>
      <c r="F1478" s="196">
        <v>2011</v>
      </c>
      <c r="G1478" s="196"/>
      <c r="H1478" s="196" t="s">
        <v>2734</v>
      </c>
      <c r="I1478" s="141" t="s">
        <v>1929</v>
      </c>
      <c r="J1478" s="52" t="s">
        <v>3854</v>
      </c>
      <c r="K1478" s="196" t="s">
        <v>1881</v>
      </c>
      <c r="L1478" s="240" t="s">
        <v>7825</v>
      </c>
      <c r="M1478" s="196">
        <v>466</v>
      </c>
      <c r="N1478" s="196"/>
      <c r="O1478" s="196" t="s">
        <v>5685</v>
      </c>
      <c r="P1478" s="144">
        <v>676</v>
      </c>
      <c r="Q1478" s="145">
        <f t="shared" si="86"/>
        <v>1.3338000000000001</v>
      </c>
      <c r="R1478" s="203">
        <v>0.99</v>
      </c>
      <c r="S1478" s="203"/>
      <c r="T1478" s="151">
        <v>0.35</v>
      </c>
      <c r="U1478" s="151"/>
      <c r="V1478" s="151">
        <v>0.25</v>
      </c>
      <c r="W1478" s="151">
        <f t="shared" si="85"/>
        <v>0.99</v>
      </c>
      <c r="X1478" s="152">
        <f t="shared" si="84"/>
        <v>9.3799999999999994E-2</v>
      </c>
      <c r="Y1478" s="152"/>
      <c r="Z1478" s="148"/>
      <c r="AA1478" s="153"/>
      <c r="AB1478" s="153"/>
      <c r="AC1478" s="153"/>
      <c r="AD1478" s="153"/>
      <c r="AH1478" s="147"/>
    </row>
    <row r="1479" spans="1:34" s="146" customFormat="1" x14ac:dyDescent="0.25">
      <c r="A1479" s="196">
        <v>2522</v>
      </c>
      <c r="B1479" s="196" t="s">
        <v>7826</v>
      </c>
      <c r="C1479" s="196" t="s">
        <v>7827</v>
      </c>
      <c r="D1479" s="196" t="s">
        <v>1912</v>
      </c>
      <c r="E1479" s="196" t="s">
        <v>1877</v>
      </c>
      <c r="F1479" s="196">
        <v>2014</v>
      </c>
      <c r="G1479" s="196"/>
      <c r="H1479" s="196" t="s">
        <v>1878</v>
      </c>
      <c r="I1479" s="141" t="s">
        <v>1879</v>
      </c>
      <c r="J1479" s="52" t="s">
        <v>3854</v>
      </c>
      <c r="K1479" s="196" t="s">
        <v>1881</v>
      </c>
      <c r="L1479" s="240" t="s">
        <v>7828</v>
      </c>
      <c r="M1479" s="196">
        <v>448</v>
      </c>
      <c r="N1479" s="196"/>
      <c r="O1479" s="196" t="s">
        <v>5686</v>
      </c>
      <c r="P1479" s="144">
        <v>360</v>
      </c>
      <c r="Q1479" s="145">
        <f t="shared" si="86"/>
        <v>0.69179999999999997</v>
      </c>
      <c r="R1479" s="203">
        <v>0.39</v>
      </c>
      <c r="S1479" s="203"/>
      <c r="T1479" s="151">
        <v>0.35</v>
      </c>
      <c r="U1479" s="151"/>
      <c r="V1479" s="151">
        <v>0.25</v>
      </c>
      <c r="W1479" s="151">
        <f t="shared" si="85"/>
        <v>0.39</v>
      </c>
      <c r="X1479" s="152">
        <f t="shared" si="84"/>
        <v>5.1799999999999999E-2</v>
      </c>
      <c r="Y1479" s="152"/>
      <c r="Z1479" s="148"/>
      <c r="AA1479" s="153"/>
      <c r="AB1479" s="153"/>
      <c r="AC1479" s="153"/>
      <c r="AD1479" s="153"/>
      <c r="AH1479" s="147"/>
    </row>
    <row r="1480" spans="1:34" s="146" customFormat="1" x14ac:dyDescent="0.25">
      <c r="A1480" s="196">
        <v>2522</v>
      </c>
      <c r="B1480" s="196" t="s">
        <v>7829</v>
      </c>
      <c r="C1480" s="196" t="s">
        <v>7830</v>
      </c>
      <c r="D1480" s="196" t="s">
        <v>2850</v>
      </c>
      <c r="E1480" s="196"/>
      <c r="F1480" s="196">
        <v>2010</v>
      </c>
      <c r="G1480" s="196"/>
      <c r="H1480" s="196" t="s">
        <v>2734</v>
      </c>
      <c r="I1480" s="141" t="s">
        <v>1929</v>
      </c>
      <c r="J1480" s="196"/>
      <c r="K1480" s="196" t="s">
        <v>1881</v>
      </c>
      <c r="L1480" s="240" t="s">
        <v>7831</v>
      </c>
      <c r="M1480" s="196">
        <v>402</v>
      </c>
      <c r="N1480" s="196"/>
      <c r="O1480" s="196" t="s">
        <v>5687</v>
      </c>
      <c r="P1480" s="144">
        <v>649</v>
      </c>
      <c r="Q1480" s="145">
        <f t="shared" si="86"/>
        <v>1.8688</v>
      </c>
      <c r="R1480" s="203">
        <v>1.49</v>
      </c>
      <c r="S1480" s="203"/>
      <c r="T1480" s="151">
        <v>0.35</v>
      </c>
      <c r="U1480" s="151"/>
      <c r="V1480" s="151">
        <v>0.25</v>
      </c>
      <c r="W1480" s="151">
        <f t="shared" si="85"/>
        <v>1.49</v>
      </c>
      <c r="X1480" s="152">
        <f t="shared" si="84"/>
        <v>0.1288</v>
      </c>
      <c r="Y1480" s="152"/>
      <c r="Z1480" s="148"/>
      <c r="AA1480" s="153"/>
      <c r="AB1480" s="153"/>
      <c r="AC1480" s="153"/>
      <c r="AD1480" s="153"/>
      <c r="AH1480" s="147"/>
    </row>
    <row r="1481" spans="1:34" s="146" customFormat="1" x14ac:dyDescent="0.25">
      <c r="A1481" s="196">
        <v>632</v>
      </c>
      <c r="B1481" s="196" t="s">
        <v>3832</v>
      </c>
      <c r="C1481" s="196" t="s">
        <v>7832</v>
      </c>
      <c r="D1481" s="196" t="s">
        <v>2386</v>
      </c>
      <c r="E1481" s="196"/>
      <c r="F1481" s="196">
        <v>2002</v>
      </c>
      <c r="G1481" s="196"/>
      <c r="H1481" s="196" t="s">
        <v>2734</v>
      </c>
      <c r="I1481" s="141" t="s">
        <v>1879</v>
      </c>
      <c r="J1481" s="196"/>
      <c r="K1481" s="196" t="s">
        <v>1881</v>
      </c>
      <c r="L1481" s="240" t="s">
        <v>7833</v>
      </c>
      <c r="M1481" s="196">
        <v>546</v>
      </c>
      <c r="N1481" s="196"/>
      <c r="O1481" s="196" t="s">
        <v>5688</v>
      </c>
      <c r="P1481" s="144">
        <v>750</v>
      </c>
      <c r="Q1481" s="145">
        <f t="shared" si="86"/>
        <v>0.64900000000000002</v>
      </c>
      <c r="R1481" s="203">
        <v>0.35</v>
      </c>
      <c r="S1481" s="203"/>
      <c r="T1481" s="151">
        <v>0.35</v>
      </c>
      <c r="U1481" s="151"/>
      <c r="V1481" s="151">
        <v>0.25</v>
      </c>
      <c r="W1481" s="151">
        <f t="shared" si="85"/>
        <v>0.35</v>
      </c>
      <c r="X1481" s="152">
        <f t="shared" si="84"/>
        <v>4.8999999999999995E-2</v>
      </c>
      <c r="Y1481" s="152"/>
      <c r="Z1481" s="148"/>
      <c r="AA1481" s="153"/>
      <c r="AB1481" s="153"/>
      <c r="AC1481" s="153"/>
      <c r="AD1481" s="153"/>
      <c r="AH1481" s="147"/>
    </row>
    <row r="1482" spans="1:34" s="146" customFormat="1" x14ac:dyDescent="0.25">
      <c r="A1482" s="196">
        <v>692</v>
      </c>
      <c r="B1482" s="196" t="s">
        <v>7834</v>
      </c>
      <c r="C1482" s="196" t="s">
        <v>7835</v>
      </c>
      <c r="D1482" s="196" t="s">
        <v>5766</v>
      </c>
      <c r="E1482" s="196"/>
      <c r="F1482" s="196">
        <v>2004</v>
      </c>
      <c r="G1482" s="196"/>
      <c r="H1482" s="196" t="s">
        <v>2734</v>
      </c>
      <c r="I1482" s="141" t="s">
        <v>1879</v>
      </c>
      <c r="J1482" s="196"/>
      <c r="K1482" s="196" t="s">
        <v>1881</v>
      </c>
      <c r="L1482" s="240" t="s">
        <v>7836</v>
      </c>
      <c r="M1482" s="196">
        <v>162</v>
      </c>
      <c r="N1482" s="196"/>
      <c r="O1482" s="196" t="s">
        <v>5689</v>
      </c>
      <c r="P1482" s="144">
        <v>284</v>
      </c>
      <c r="Q1482" s="145">
        <f t="shared" si="86"/>
        <v>2.2967999999999997</v>
      </c>
      <c r="R1482" s="203">
        <v>1.89</v>
      </c>
      <c r="S1482" s="203"/>
      <c r="T1482" s="151">
        <v>0.35</v>
      </c>
      <c r="U1482" s="151"/>
      <c r="V1482" s="151">
        <v>0.25</v>
      </c>
      <c r="W1482" s="151">
        <f t="shared" si="85"/>
        <v>1.89</v>
      </c>
      <c r="X1482" s="152">
        <f t="shared" si="84"/>
        <v>0.15679999999999997</v>
      </c>
      <c r="Y1482" s="152"/>
      <c r="Z1482" s="148"/>
      <c r="AA1482" s="153"/>
      <c r="AB1482" s="153"/>
      <c r="AC1482" s="153"/>
      <c r="AD1482" s="153"/>
      <c r="AH1482" s="147"/>
    </row>
    <row r="1483" spans="1:34" s="146" customFormat="1" x14ac:dyDescent="0.25">
      <c r="A1483" s="196">
        <v>1395</v>
      </c>
      <c r="B1483" s="196" t="s">
        <v>7840</v>
      </c>
      <c r="C1483" s="196" t="s">
        <v>7841</v>
      </c>
      <c r="D1483" s="196" t="s">
        <v>3895</v>
      </c>
      <c r="E1483" s="196"/>
      <c r="F1483" s="196">
        <v>2002</v>
      </c>
      <c r="G1483" s="196"/>
      <c r="H1483" s="196" t="s">
        <v>1878</v>
      </c>
      <c r="I1483" s="141" t="s">
        <v>1879</v>
      </c>
      <c r="J1483" s="196"/>
      <c r="K1483" s="196" t="s">
        <v>1881</v>
      </c>
      <c r="L1483" s="240" t="s">
        <v>7842</v>
      </c>
      <c r="M1483" s="196">
        <v>480</v>
      </c>
      <c r="N1483" s="196"/>
      <c r="O1483" s="196" t="s">
        <v>5691</v>
      </c>
      <c r="P1483" s="144">
        <v>408</v>
      </c>
      <c r="Q1483" s="145">
        <f t="shared" si="86"/>
        <v>0.75600000000000001</v>
      </c>
      <c r="R1483" s="203">
        <v>0.45</v>
      </c>
      <c r="S1483" s="203"/>
      <c r="T1483" s="151">
        <v>0.35</v>
      </c>
      <c r="U1483" s="151"/>
      <c r="V1483" s="151">
        <v>0.25</v>
      </c>
      <c r="W1483" s="151">
        <f t="shared" si="85"/>
        <v>0.45</v>
      </c>
      <c r="X1483" s="152">
        <f t="shared" si="84"/>
        <v>5.6000000000000001E-2</v>
      </c>
      <c r="Y1483" s="152"/>
      <c r="Z1483" s="148"/>
      <c r="AA1483" s="153"/>
      <c r="AB1483" s="153"/>
      <c r="AC1483" s="153"/>
      <c r="AD1483" s="153"/>
      <c r="AH1483" s="147"/>
    </row>
    <row r="1484" spans="1:34" s="146" customFormat="1" x14ac:dyDescent="0.25">
      <c r="A1484" s="196">
        <v>632</v>
      </c>
      <c r="B1484" s="196" t="s">
        <v>2467</v>
      </c>
      <c r="C1484" s="196" t="s">
        <v>7843</v>
      </c>
      <c r="D1484" s="196" t="s">
        <v>2257</v>
      </c>
      <c r="E1484" s="196"/>
      <c r="F1484" s="196">
        <v>2004</v>
      </c>
      <c r="G1484" s="196"/>
      <c r="H1484" s="196" t="s">
        <v>1878</v>
      </c>
      <c r="I1484" s="141" t="s">
        <v>1914</v>
      </c>
      <c r="J1484" s="196"/>
      <c r="K1484" s="196" t="s">
        <v>1881</v>
      </c>
      <c r="L1484" s="240" t="s">
        <v>7844</v>
      </c>
      <c r="M1484" s="196">
        <v>608</v>
      </c>
      <c r="N1484" s="196"/>
      <c r="O1484" s="196" t="s">
        <v>5692</v>
      </c>
      <c r="P1484" s="144">
        <v>456</v>
      </c>
      <c r="Q1484" s="145">
        <f t="shared" si="86"/>
        <v>0.64900000000000002</v>
      </c>
      <c r="R1484" s="203">
        <v>0.25</v>
      </c>
      <c r="S1484" s="203"/>
      <c r="T1484" s="151">
        <v>0.35</v>
      </c>
      <c r="U1484" s="151"/>
      <c r="V1484" s="151">
        <v>0.25</v>
      </c>
      <c r="W1484" s="151">
        <f t="shared" si="85"/>
        <v>0.35</v>
      </c>
      <c r="X1484" s="152">
        <f t="shared" si="84"/>
        <v>4.8999999999999995E-2</v>
      </c>
      <c r="Y1484" s="152"/>
      <c r="Z1484" s="148"/>
      <c r="AA1484" s="153"/>
      <c r="AB1484" s="153"/>
      <c r="AC1484" s="153"/>
      <c r="AD1484" s="153"/>
      <c r="AH1484" s="147"/>
    </row>
    <row r="1485" spans="1:34" s="146" customFormat="1" x14ac:dyDescent="0.25">
      <c r="A1485" s="196">
        <v>632</v>
      </c>
      <c r="B1485" s="196" t="s">
        <v>7845</v>
      </c>
      <c r="C1485" s="196" t="s">
        <v>7846</v>
      </c>
      <c r="D1485" s="196" t="s">
        <v>7847</v>
      </c>
      <c r="E1485" s="196" t="s">
        <v>2937</v>
      </c>
      <c r="F1485" s="196">
        <v>1999</v>
      </c>
      <c r="G1485" s="196"/>
      <c r="H1485" s="196" t="s">
        <v>2734</v>
      </c>
      <c r="I1485" s="141" t="s">
        <v>1879</v>
      </c>
      <c r="J1485" s="196"/>
      <c r="K1485" s="196" t="s">
        <v>1881</v>
      </c>
      <c r="L1485" s="240" t="s">
        <v>7848</v>
      </c>
      <c r="M1485" s="196">
        <v>642</v>
      </c>
      <c r="N1485" s="196"/>
      <c r="O1485" s="196" t="s">
        <v>5693</v>
      </c>
      <c r="P1485" s="144">
        <v>700</v>
      </c>
      <c r="Q1485" s="145">
        <f t="shared" si="86"/>
        <v>10.963800000000001</v>
      </c>
      <c r="R1485" s="203">
        <v>9.99</v>
      </c>
      <c r="S1485" s="203"/>
      <c r="T1485" s="151">
        <v>0.35</v>
      </c>
      <c r="U1485" s="151"/>
      <c r="V1485" s="151">
        <v>0.25</v>
      </c>
      <c r="W1485" s="151">
        <f t="shared" si="85"/>
        <v>9.99</v>
      </c>
      <c r="X1485" s="152">
        <f t="shared" si="84"/>
        <v>0.7238</v>
      </c>
      <c r="Y1485" s="152"/>
      <c r="Z1485" s="148"/>
      <c r="AA1485" s="153"/>
      <c r="AB1485" s="153"/>
      <c r="AC1485" s="153"/>
      <c r="AD1485" s="153"/>
      <c r="AH1485" s="147"/>
    </row>
    <row r="1486" spans="1:34" s="146" customFormat="1" x14ac:dyDescent="0.25">
      <c r="A1486" s="196">
        <v>1386</v>
      </c>
      <c r="B1486" s="196" t="s">
        <v>7855</v>
      </c>
      <c r="C1486" s="196" t="s">
        <v>7856</v>
      </c>
      <c r="D1486" s="196" t="s">
        <v>2209</v>
      </c>
      <c r="E1486" s="196"/>
      <c r="F1486" s="196">
        <v>2008</v>
      </c>
      <c r="G1486" s="196"/>
      <c r="H1486" s="196" t="s">
        <v>1878</v>
      </c>
      <c r="I1486" s="141" t="s">
        <v>1914</v>
      </c>
      <c r="J1486" s="196" t="s">
        <v>7858</v>
      </c>
      <c r="K1486" s="196" t="s">
        <v>1881</v>
      </c>
      <c r="L1486" s="240" t="s">
        <v>7857</v>
      </c>
      <c r="M1486" s="196">
        <v>416</v>
      </c>
      <c r="N1486" s="196"/>
      <c r="O1486" s="196" t="s">
        <v>6557</v>
      </c>
      <c r="P1486" s="144">
        <v>337</v>
      </c>
      <c r="Q1486" s="145">
        <f t="shared" si="86"/>
        <v>0.64900000000000002</v>
      </c>
      <c r="R1486" s="203">
        <v>0.25</v>
      </c>
      <c r="S1486" s="203"/>
      <c r="T1486" s="151">
        <v>0.35</v>
      </c>
      <c r="U1486" s="151"/>
      <c r="V1486" s="151">
        <v>0.25</v>
      </c>
      <c r="W1486" s="151">
        <f t="shared" si="85"/>
        <v>0.35</v>
      </c>
      <c r="X1486" s="152">
        <f t="shared" si="84"/>
        <v>4.8999999999999995E-2</v>
      </c>
      <c r="Y1486" s="152"/>
      <c r="Z1486" s="148"/>
      <c r="AA1486" s="153"/>
      <c r="AB1486" s="153"/>
      <c r="AC1486" s="153"/>
      <c r="AD1486" s="153"/>
      <c r="AH1486" s="147"/>
    </row>
    <row r="1487" spans="1:34" s="146" customFormat="1" x14ac:dyDescent="0.25">
      <c r="A1487" s="196">
        <v>2522</v>
      </c>
      <c r="B1487" s="196" t="s">
        <v>5033</v>
      </c>
      <c r="C1487" s="196" t="s">
        <v>5034</v>
      </c>
      <c r="D1487" s="196" t="s">
        <v>1988</v>
      </c>
      <c r="E1487" s="196" t="s">
        <v>2937</v>
      </c>
      <c r="F1487" s="196">
        <v>2001</v>
      </c>
      <c r="G1487" s="196"/>
      <c r="H1487" s="196" t="s">
        <v>1878</v>
      </c>
      <c r="I1487" s="141" t="s">
        <v>1914</v>
      </c>
      <c r="J1487" s="196"/>
      <c r="K1487" s="196" t="s">
        <v>1881</v>
      </c>
      <c r="L1487" s="240" t="s">
        <v>5037</v>
      </c>
      <c r="M1487" s="196">
        <v>36</v>
      </c>
      <c r="N1487" s="196"/>
      <c r="O1487" s="196" t="s">
        <v>6558</v>
      </c>
      <c r="P1487" s="144">
        <v>246</v>
      </c>
      <c r="Q1487" s="145">
        <f t="shared" si="86"/>
        <v>0.64900000000000002</v>
      </c>
      <c r="R1487" s="203">
        <v>0.25</v>
      </c>
      <c r="S1487" s="203"/>
      <c r="T1487" s="151">
        <v>0.35</v>
      </c>
      <c r="U1487" s="151"/>
      <c r="V1487" s="151">
        <v>0.25</v>
      </c>
      <c r="W1487" s="151">
        <f t="shared" si="85"/>
        <v>0.35</v>
      </c>
      <c r="X1487" s="152">
        <f t="shared" si="84"/>
        <v>4.8999999999999995E-2</v>
      </c>
      <c r="Y1487" s="152"/>
      <c r="Z1487" s="148"/>
      <c r="AA1487" s="153"/>
      <c r="AB1487" s="153"/>
      <c r="AC1487" s="153"/>
      <c r="AD1487" s="153"/>
      <c r="AH1487" s="147"/>
    </row>
    <row r="1488" spans="1:34" s="146" customFormat="1" x14ac:dyDescent="0.25">
      <c r="A1488" s="196">
        <v>721</v>
      </c>
      <c r="B1488" s="196" t="s">
        <v>7859</v>
      </c>
      <c r="C1488" s="196" t="s">
        <v>7860</v>
      </c>
      <c r="D1488" s="196" t="s">
        <v>4334</v>
      </c>
      <c r="E1488" s="196"/>
      <c r="F1488" s="196"/>
      <c r="G1488" s="196"/>
      <c r="H1488" s="196" t="s">
        <v>2734</v>
      </c>
      <c r="I1488" s="141" t="s">
        <v>1879</v>
      </c>
      <c r="J1488" s="196"/>
      <c r="K1488" s="196" t="s">
        <v>1881</v>
      </c>
      <c r="L1488" s="240" t="s">
        <v>7861</v>
      </c>
      <c r="M1488" s="196">
        <v>50</v>
      </c>
      <c r="N1488" s="196"/>
      <c r="O1488" s="196" t="s">
        <v>6559</v>
      </c>
      <c r="P1488" s="144">
        <v>516</v>
      </c>
      <c r="Q1488" s="145">
        <f t="shared" si="86"/>
        <v>0.64900000000000002</v>
      </c>
      <c r="R1488" s="203"/>
      <c r="S1488" s="203"/>
      <c r="T1488" s="151">
        <v>0.35</v>
      </c>
      <c r="U1488" s="151"/>
      <c r="V1488" s="151">
        <v>0.25</v>
      </c>
      <c r="W1488" s="151">
        <f t="shared" si="85"/>
        <v>0.35</v>
      </c>
      <c r="X1488" s="152">
        <f t="shared" si="84"/>
        <v>4.8999999999999995E-2</v>
      </c>
      <c r="Y1488" s="152"/>
      <c r="Z1488" s="148"/>
      <c r="AA1488" s="153"/>
      <c r="AB1488" s="153"/>
      <c r="AC1488" s="153"/>
      <c r="AD1488" s="153"/>
      <c r="AH1488" s="147"/>
    </row>
    <row r="1489" spans="1:34" s="146" customFormat="1" x14ac:dyDescent="0.25">
      <c r="A1489" s="196">
        <v>2514</v>
      </c>
      <c r="B1489" s="196"/>
      <c r="C1489" s="196" t="s">
        <v>7862</v>
      </c>
      <c r="D1489" s="196" t="s">
        <v>7863</v>
      </c>
      <c r="E1489" s="196"/>
      <c r="F1489" s="196">
        <v>1993</v>
      </c>
      <c r="G1489" s="196"/>
      <c r="H1489" s="196" t="s">
        <v>2734</v>
      </c>
      <c r="I1489" s="141" t="s">
        <v>1879</v>
      </c>
      <c r="J1489" s="196"/>
      <c r="K1489" s="196" t="s">
        <v>1881</v>
      </c>
      <c r="L1489" s="240" t="s">
        <v>7864</v>
      </c>
      <c r="M1489" s="196">
        <v>82</v>
      </c>
      <c r="N1489" s="196"/>
      <c r="O1489" s="196" t="s">
        <v>6560</v>
      </c>
      <c r="P1489" s="144">
        <v>559</v>
      </c>
      <c r="Q1489" s="145">
        <f t="shared" si="86"/>
        <v>3.4738000000000002</v>
      </c>
      <c r="R1489" s="203">
        <v>2.99</v>
      </c>
      <c r="S1489" s="203"/>
      <c r="T1489" s="151">
        <v>0.35</v>
      </c>
      <c r="U1489" s="151"/>
      <c r="V1489" s="151">
        <v>0.25</v>
      </c>
      <c r="W1489" s="151">
        <f t="shared" si="85"/>
        <v>2.99</v>
      </c>
      <c r="X1489" s="152">
        <f t="shared" si="84"/>
        <v>0.23380000000000004</v>
      </c>
      <c r="Y1489" s="152"/>
      <c r="Z1489" s="148"/>
      <c r="AA1489" s="153"/>
      <c r="AB1489" s="153"/>
      <c r="AC1489" s="153"/>
      <c r="AD1489" s="153"/>
      <c r="AH1489" s="147"/>
    </row>
    <row r="1490" spans="1:34" s="146" customFormat="1" x14ac:dyDescent="0.25">
      <c r="A1490" s="196">
        <v>721</v>
      </c>
      <c r="B1490" s="196" t="s">
        <v>7866</v>
      </c>
      <c r="C1490" s="196" t="s">
        <v>7865</v>
      </c>
      <c r="D1490" s="196" t="s">
        <v>7863</v>
      </c>
      <c r="E1490" s="196"/>
      <c r="F1490" s="196">
        <v>2005</v>
      </c>
      <c r="G1490" s="196"/>
      <c r="H1490" s="196" t="s">
        <v>2734</v>
      </c>
      <c r="I1490" s="141" t="s">
        <v>1879</v>
      </c>
      <c r="J1490" s="196"/>
      <c r="K1490" s="196" t="s">
        <v>1881</v>
      </c>
      <c r="L1490" s="240" t="s">
        <v>7867</v>
      </c>
      <c r="M1490" s="196">
        <v>50</v>
      </c>
      <c r="N1490" s="196"/>
      <c r="O1490" s="196" t="s">
        <v>6561</v>
      </c>
      <c r="P1490" s="144">
        <v>468</v>
      </c>
      <c r="Q1490" s="145">
        <f t="shared" si="86"/>
        <v>3.2170000000000001</v>
      </c>
      <c r="R1490" s="203">
        <v>2.75</v>
      </c>
      <c r="S1490" s="203"/>
      <c r="T1490" s="151">
        <v>0.35</v>
      </c>
      <c r="U1490" s="151"/>
      <c r="V1490" s="151">
        <v>0.25</v>
      </c>
      <c r="W1490" s="151">
        <f t="shared" si="85"/>
        <v>2.75</v>
      </c>
      <c r="X1490" s="152">
        <f t="shared" si="84"/>
        <v>0.217</v>
      </c>
      <c r="Y1490" s="152"/>
      <c r="Z1490" s="148"/>
      <c r="AA1490" s="153"/>
      <c r="AB1490" s="153"/>
      <c r="AC1490" s="153"/>
      <c r="AD1490" s="153"/>
      <c r="AH1490" s="147"/>
    </row>
    <row r="1491" spans="1:34" s="146" customFormat="1" x14ac:dyDescent="0.25">
      <c r="A1491" s="196">
        <v>2514</v>
      </c>
      <c r="B1491" s="196" t="s">
        <v>7868</v>
      </c>
      <c r="C1491" s="196" t="s">
        <v>7862</v>
      </c>
      <c r="D1491" s="196" t="s">
        <v>7869</v>
      </c>
      <c r="E1491" s="196"/>
      <c r="F1491" s="196"/>
      <c r="G1491" s="196"/>
      <c r="H1491" s="196" t="s">
        <v>2734</v>
      </c>
      <c r="I1491" s="141" t="s">
        <v>1879</v>
      </c>
      <c r="J1491" s="196"/>
      <c r="K1491" s="196" t="s">
        <v>1881</v>
      </c>
      <c r="L1491" s="240" t="s">
        <v>7870</v>
      </c>
      <c r="M1491" s="196">
        <v>62</v>
      </c>
      <c r="N1491" s="196"/>
      <c r="O1491" s="196" t="s">
        <v>6562</v>
      </c>
      <c r="P1491" s="144">
        <v>573</v>
      </c>
      <c r="Q1491" s="145">
        <f t="shared" si="86"/>
        <v>1.3338000000000001</v>
      </c>
      <c r="R1491" s="203">
        <v>0.99</v>
      </c>
      <c r="S1491" s="203"/>
      <c r="T1491" s="151">
        <v>0.35</v>
      </c>
      <c r="U1491" s="151"/>
      <c r="V1491" s="151">
        <v>0.25</v>
      </c>
      <c r="W1491" s="151">
        <f t="shared" si="85"/>
        <v>0.99</v>
      </c>
      <c r="X1491" s="152">
        <f t="shared" si="84"/>
        <v>9.3799999999999994E-2</v>
      </c>
      <c r="Y1491" s="152"/>
      <c r="Z1491" s="148"/>
      <c r="AA1491" s="153"/>
      <c r="AB1491" s="153"/>
      <c r="AC1491" s="153"/>
      <c r="AD1491" s="153"/>
      <c r="AH1491" s="147"/>
    </row>
    <row r="1492" spans="1:34" s="146" customFormat="1" x14ac:dyDescent="0.25">
      <c r="A1492" s="196">
        <v>721</v>
      </c>
      <c r="B1492" s="196" t="s">
        <v>7871</v>
      </c>
      <c r="C1492" s="196" t="s">
        <v>7872</v>
      </c>
      <c r="D1492" s="196" t="s">
        <v>7873</v>
      </c>
      <c r="E1492" s="196" t="s">
        <v>2518</v>
      </c>
      <c r="F1492" s="196">
        <v>2006</v>
      </c>
      <c r="G1492" s="196"/>
      <c r="H1492" s="196" t="s">
        <v>2734</v>
      </c>
      <c r="I1492" s="141" t="s">
        <v>1879</v>
      </c>
      <c r="J1492" s="196"/>
      <c r="K1492" s="196" t="s">
        <v>1881</v>
      </c>
      <c r="L1492" s="240" t="s">
        <v>7874</v>
      </c>
      <c r="M1492" s="196">
        <v>258</v>
      </c>
      <c r="N1492" s="196"/>
      <c r="O1492" s="196" t="s">
        <v>6563</v>
      </c>
      <c r="P1492" s="144">
        <v>873</v>
      </c>
      <c r="Q1492" s="145">
        <f t="shared" si="86"/>
        <v>1.8688</v>
      </c>
      <c r="R1492" s="203">
        <v>1.49</v>
      </c>
      <c r="S1492" s="203"/>
      <c r="T1492" s="151">
        <v>0.35</v>
      </c>
      <c r="U1492" s="151"/>
      <c r="V1492" s="151">
        <v>0.25</v>
      </c>
      <c r="W1492" s="151">
        <f t="shared" si="85"/>
        <v>1.49</v>
      </c>
      <c r="X1492" s="152">
        <f t="shared" si="84"/>
        <v>0.1288</v>
      </c>
      <c r="Y1492" s="152"/>
      <c r="Z1492" s="148"/>
      <c r="AA1492" s="153"/>
      <c r="AB1492" s="153"/>
      <c r="AC1492" s="153"/>
      <c r="AD1492" s="153"/>
      <c r="AH1492" s="147"/>
    </row>
    <row r="1493" spans="1:34" s="146" customFormat="1" x14ac:dyDescent="0.25">
      <c r="A1493" s="196">
        <v>691</v>
      </c>
      <c r="B1493" s="196" t="s">
        <v>7875</v>
      </c>
      <c r="C1493" s="196" t="s">
        <v>7879</v>
      </c>
      <c r="D1493" s="196" t="s">
        <v>7877</v>
      </c>
      <c r="E1493" s="196"/>
      <c r="F1493" s="196">
        <v>2003</v>
      </c>
      <c r="G1493" s="196"/>
      <c r="H1493" s="196" t="s">
        <v>2734</v>
      </c>
      <c r="I1493" s="141" t="s">
        <v>1914</v>
      </c>
      <c r="J1493" s="196"/>
      <c r="K1493" s="196" t="s">
        <v>1881</v>
      </c>
      <c r="L1493" s="240" t="s">
        <v>7880</v>
      </c>
      <c r="M1493" s="196"/>
      <c r="N1493" s="196"/>
      <c r="O1493" s="196" t="s">
        <v>6565</v>
      </c>
      <c r="P1493" s="144">
        <v>233</v>
      </c>
      <c r="Q1493" s="145">
        <f t="shared" si="86"/>
        <v>2.2967999999999997</v>
      </c>
      <c r="R1493" s="203">
        <v>1.89</v>
      </c>
      <c r="S1493" s="203"/>
      <c r="T1493" s="151">
        <v>0.35</v>
      </c>
      <c r="U1493" s="151"/>
      <c r="V1493" s="151">
        <v>0.25</v>
      </c>
      <c r="W1493" s="151">
        <f t="shared" si="85"/>
        <v>1.89</v>
      </c>
      <c r="X1493" s="152">
        <f t="shared" si="84"/>
        <v>0.15679999999999997</v>
      </c>
      <c r="Y1493" s="152"/>
      <c r="Z1493" s="148"/>
      <c r="AA1493" s="153"/>
      <c r="AB1493" s="153"/>
      <c r="AC1493" s="153"/>
      <c r="AD1493" s="153"/>
      <c r="AH1493" s="147"/>
    </row>
    <row r="1494" spans="1:34" s="146" customFormat="1" x14ac:dyDescent="0.25">
      <c r="A1494" s="196">
        <v>651</v>
      </c>
      <c r="B1494" s="196" t="s">
        <v>7884</v>
      </c>
      <c r="C1494" s="196" t="s">
        <v>7885</v>
      </c>
      <c r="D1494" s="196" t="s">
        <v>2068</v>
      </c>
      <c r="E1494" s="196"/>
      <c r="F1494" s="196">
        <v>1991</v>
      </c>
      <c r="G1494" s="196"/>
      <c r="H1494" s="196" t="s">
        <v>1878</v>
      </c>
      <c r="I1494" s="141" t="s">
        <v>1879</v>
      </c>
      <c r="J1494" s="196"/>
      <c r="K1494" s="196" t="s">
        <v>1881</v>
      </c>
      <c r="L1494" s="240"/>
      <c r="M1494" s="196">
        <v>112</v>
      </c>
      <c r="N1494" s="196"/>
      <c r="O1494" s="196" t="s">
        <v>6567</v>
      </c>
      <c r="P1494" s="144">
        <v>453</v>
      </c>
      <c r="Q1494" s="145">
        <f t="shared" si="86"/>
        <v>0.64900000000000002</v>
      </c>
      <c r="R1494" s="203"/>
      <c r="S1494" s="203"/>
      <c r="T1494" s="151">
        <v>0.35</v>
      </c>
      <c r="U1494" s="151"/>
      <c r="V1494" s="151">
        <v>0.25</v>
      </c>
      <c r="W1494" s="151">
        <f t="shared" si="85"/>
        <v>0.35</v>
      </c>
      <c r="X1494" s="152">
        <f t="shared" si="84"/>
        <v>4.8999999999999995E-2</v>
      </c>
      <c r="Y1494" s="152"/>
      <c r="Z1494" s="148"/>
      <c r="AA1494" s="153"/>
      <c r="AB1494" s="153"/>
      <c r="AC1494" s="153"/>
      <c r="AD1494" s="153"/>
      <c r="AH1494" s="147"/>
    </row>
    <row r="1495" spans="1:34" s="146" customFormat="1" x14ac:dyDescent="0.25">
      <c r="A1495" s="196">
        <v>1935</v>
      </c>
      <c r="B1495" s="196" t="s">
        <v>7886</v>
      </c>
      <c r="C1495" s="196" t="s">
        <v>7887</v>
      </c>
      <c r="D1495" s="196" t="s">
        <v>7888</v>
      </c>
      <c r="E1495" s="196"/>
      <c r="F1495" s="196">
        <v>1998</v>
      </c>
      <c r="G1495" s="196"/>
      <c r="H1495" s="196" t="s">
        <v>5119</v>
      </c>
      <c r="I1495" s="141" t="s">
        <v>1914</v>
      </c>
      <c r="J1495" s="196"/>
      <c r="K1495" s="196" t="s">
        <v>1881</v>
      </c>
      <c r="L1495" s="240" t="s">
        <v>7889</v>
      </c>
      <c r="M1495" s="196">
        <v>64</v>
      </c>
      <c r="N1495" s="196"/>
      <c r="O1495" s="196" t="s">
        <v>6568</v>
      </c>
      <c r="P1495" s="144">
        <v>259</v>
      </c>
      <c r="Q1495" s="145">
        <f t="shared" si="86"/>
        <v>1.3338000000000001</v>
      </c>
      <c r="R1495" s="203">
        <v>0.99</v>
      </c>
      <c r="S1495" s="203"/>
      <c r="T1495" s="151">
        <v>0.35</v>
      </c>
      <c r="U1495" s="151"/>
      <c r="V1495" s="151">
        <v>0.25</v>
      </c>
      <c r="W1495" s="151">
        <f t="shared" si="85"/>
        <v>0.99</v>
      </c>
      <c r="X1495" s="152">
        <f t="shared" si="84"/>
        <v>9.3799999999999994E-2</v>
      </c>
      <c r="Y1495" s="152"/>
      <c r="Z1495" s="148"/>
      <c r="AA1495" s="153"/>
      <c r="AB1495" s="153"/>
      <c r="AC1495" s="153"/>
      <c r="AD1495" s="153"/>
      <c r="AH1495" s="147"/>
    </row>
    <row r="1496" spans="1:34" s="146" customFormat="1" x14ac:dyDescent="0.25">
      <c r="A1496" s="196">
        <v>2514</v>
      </c>
      <c r="B1496" s="196" t="s">
        <v>7891</v>
      </c>
      <c r="C1496" s="196" t="s">
        <v>7890</v>
      </c>
      <c r="D1496" s="196" t="s">
        <v>5723</v>
      </c>
      <c r="E1496" s="196"/>
      <c r="F1496" s="196"/>
      <c r="G1496" s="196"/>
      <c r="H1496" s="196" t="s">
        <v>2734</v>
      </c>
      <c r="I1496" s="141" t="s">
        <v>1879</v>
      </c>
      <c r="J1496" s="196"/>
      <c r="K1496" s="196" t="s">
        <v>1881</v>
      </c>
      <c r="L1496" s="240" t="s">
        <v>7892</v>
      </c>
      <c r="M1496" s="196">
        <v>78</v>
      </c>
      <c r="N1496" s="196"/>
      <c r="O1496" s="196" t="s">
        <v>6569</v>
      </c>
      <c r="P1496" s="144">
        <v>385</v>
      </c>
      <c r="Q1496" s="145">
        <f t="shared" si="86"/>
        <v>1.4408000000000001</v>
      </c>
      <c r="R1496" s="203">
        <v>1.0900000000000001</v>
      </c>
      <c r="S1496" s="203"/>
      <c r="T1496" s="151">
        <v>0.35</v>
      </c>
      <c r="U1496" s="151"/>
      <c r="V1496" s="151">
        <v>0.25</v>
      </c>
      <c r="W1496" s="151">
        <f t="shared" si="85"/>
        <v>1.0900000000000001</v>
      </c>
      <c r="X1496" s="152">
        <f t="shared" si="84"/>
        <v>0.1008</v>
      </c>
      <c r="Y1496" s="152"/>
      <c r="Z1496" s="148"/>
      <c r="AA1496" s="153"/>
      <c r="AB1496" s="153"/>
      <c r="AC1496" s="153"/>
      <c r="AD1496" s="153"/>
      <c r="AH1496" s="147"/>
    </row>
    <row r="1497" spans="1:34" s="146" customFormat="1" x14ac:dyDescent="0.25">
      <c r="A1497" s="196">
        <v>1253</v>
      </c>
      <c r="B1497" s="196"/>
      <c r="C1497" s="196" t="s">
        <v>7894</v>
      </c>
      <c r="D1497" s="196" t="s">
        <v>5708</v>
      </c>
      <c r="E1497" s="196"/>
      <c r="F1497" s="196">
        <v>1989</v>
      </c>
      <c r="G1497" s="196"/>
      <c r="H1497" s="196" t="s">
        <v>2734</v>
      </c>
      <c r="I1497" s="141" t="s">
        <v>1879</v>
      </c>
      <c r="J1497" s="196"/>
      <c r="K1497" s="196" t="s">
        <v>1881</v>
      </c>
      <c r="L1497" s="240" t="s">
        <v>7893</v>
      </c>
      <c r="M1497" s="196">
        <f>410+390+390</f>
        <v>1190</v>
      </c>
      <c r="N1497" s="196"/>
      <c r="O1497" s="196" t="s">
        <v>6570</v>
      </c>
      <c r="P1497" s="144">
        <f>1217+1166+1172</f>
        <v>3555</v>
      </c>
      <c r="Q1497" s="145">
        <f t="shared" si="86"/>
        <v>3.5808</v>
      </c>
      <c r="R1497" s="203">
        <v>3.09</v>
      </c>
      <c r="S1497" s="203"/>
      <c r="T1497" s="151">
        <v>0.35</v>
      </c>
      <c r="U1497" s="151"/>
      <c r="V1497" s="151">
        <v>0.25</v>
      </c>
      <c r="W1497" s="151">
        <f t="shared" si="85"/>
        <v>3.09</v>
      </c>
      <c r="X1497" s="152">
        <f t="shared" ref="X1497:X1532" si="87">(T1497+W1497)/100*7</f>
        <v>0.24080000000000001</v>
      </c>
      <c r="Y1497" s="152"/>
      <c r="Z1497" s="148"/>
      <c r="AA1497" s="153"/>
      <c r="AB1497" s="153"/>
      <c r="AC1497" s="153"/>
      <c r="AD1497" s="153"/>
      <c r="AH1497" s="147"/>
    </row>
    <row r="1498" spans="1:34" s="146" customFormat="1" x14ac:dyDescent="0.25">
      <c r="A1498" s="196">
        <v>2514</v>
      </c>
      <c r="B1498" s="196" t="s">
        <v>7895</v>
      </c>
      <c r="C1498" s="196" t="s">
        <v>7896</v>
      </c>
      <c r="D1498" s="196" t="s">
        <v>1979</v>
      </c>
      <c r="E1498" s="196" t="s">
        <v>2922</v>
      </c>
      <c r="F1498" s="196">
        <v>1989</v>
      </c>
      <c r="G1498" s="196"/>
      <c r="H1498" s="196" t="s">
        <v>1878</v>
      </c>
      <c r="I1498" s="141" t="s">
        <v>7527</v>
      </c>
      <c r="J1498" s="196"/>
      <c r="K1498" s="196" t="s">
        <v>1881</v>
      </c>
      <c r="L1498" s="240" t="s">
        <v>7897</v>
      </c>
      <c r="M1498" s="196">
        <v>160</v>
      </c>
      <c r="N1498" s="196"/>
      <c r="O1498" s="196" t="s">
        <v>6571</v>
      </c>
      <c r="P1498" s="144">
        <v>113</v>
      </c>
      <c r="Q1498" s="145">
        <f t="shared" si="86"/>
        <v>0.64900000000000002</v>
      </c>
      <c r="R1498" s="203">
        <v>0.25</v>
      </c>
      <c r="S1498" s="203"/>
      <c r="T1498" s="151">
        <v>0.35</v>
      </c>
      <c r="U1498" s="151"/>
      <c r="V1498" s="151">
        <v>0.25</v>
      </c>
      <c r="W1498" s="151">
        <f t="shared" si="85"/>
        <v>0.35</v>
      </c>
      <c r="X1498" s="152">
        <f t="shared" si="87"/>
        <v>4.8999999999999995E-2</v>
      </c>
      <c r="Y1498" s="152"/>
      <c r="Z1498" s="148"/>
      <c r="AA1498" s="153"/>
      <c r="AB1498" s="153"/>
      <c r="AC1498" s="153"/>
      <c r="AD1498" s="153"/>
      <c r="AH1498" s="147"/>
    </row>
    <row r="1499" spans="1:34" s="146" customFormat="1" x14ac:dyDescent="0.25">
      <c r="A1499" s="196">
        <v>2514</v>
      </c>
      <c r="B1499" s="196" t="s">
        <v>7236</v>
      </c>
      <c r="C1499" s="196" t="s">
        <v>7898</v>
      </c>
      <c r="D1499" s="196" t="s">
        <v>2402</v>
      </c>
      <c r="E1499" s="196"/>
      <c r="F1499" s="196">
        <v>1979</v>
      </c>
      <c r="G1499" s="196"/>
      <c r="H1499" s="196" t="s">
        <v>2734</v>
      </c>
      <c r="I1499" s="141" t="s">
        <v>7527</v>
      </c>
      <c r="J1499" s="196"/>
      <c r="K1499" s="196" t="s">
        <v>1881</v>
      </c>
      <c r="L1499" s="240" t="s">
        <v>7899</v>
      </c>
      <c r="M1499" s="196">
        <v>142</v>
      </c>
      <c r="N1499" s="196"/>
      <c r="O1499" s="196" t="s">
        <v>6572</v>
      </c>
      <c r="P1499" s="144">
        <v>216</v>
      </c>
      <c r="Q1499" s="145">
        <f t="shared" si="86"/>
        <v>1.1946999999999999</v>
      </c>
      <c r="R1499" s="203">
        <v>0.86</v>
      </c>
      <c r="S1499" s="203"/>
      <c r="T1499" s="151">
        <v>0.35</v>
      </c>
      <c r="U1499" s="151"/>
      <c r="V1499" s="151">
        <v>0.25</v>
      </c>
      <c r="W1499" s="151">
        <f t="shared" si="85"/>
        <v>0.86</v>
      </c>
      <c r="X1499" s="152">
        <f t="shared" si="87"/>
        <v>8.4699999999999998E-2</v>
      </c>
      <c r="Y1499" s="152"/>
      <c r="Z1499" s="148"/>
      <c r="AA1499" s="153"/>
      <c r="AB1499" s="153"/>
      <c r="AC1499" s="153"/>
      <c r="AD1499" s="153"/>
      <c r="AH1499" s="147"/>
    </row>
    <row r="1500" spans="1:34" s="146" customFormat="1" x14ac:dyDescent="0.25">
      <c r="A1500" s="196">
        <v>2514</v>
      </c>
      <c r="B1500" s="196" t="s">
        <v>7236</v>
      </c>
      <c r="C1500" s="196" t="s">
        <v>7902</v>
      </c>
      <c r="D1500" s="196" t="s">
        <v>2402</v>
      </c>
      <c r="E1500" s="196"/>
      <c r="F1500" s="196">
        <v>1982</v>
      </c>
      <c r="G1500" s="196"/>
      <c r="H1500" s="196" t="s">
        <v>2734</v>
      </c>
      <c r="I1500" s="141" t="s">
        <v>1914</v>
      </c>
      <c r="J1500" s="196"/>
      <c r="K1500" s="196" t="s">
        <v>1881</v>
      </c>
      <c r="L1500" s="240" t="s">
        <v>7903</v>
      </c>
      <c r="M1500" s="196">
        <v>126</v>
      </c>
      <c r="N1500" s="196"/>
      <c r="O1500" s="196" t="s">
        <v>6574</v>
      </c>
      <c r="P1500" s="144">
        <v>189</v>
      </c>
      <c r="Q1500" s="145">
        <f t="shared" si="86"/>
        <v>1.2161</v>
      </c>
      <c r="R1500" s="203">
        <v>0.88</v>
      </c>
      <c r="S1500" s="203"/>
      <c r="T1500" s="151">
        <v>0.35</v>
      </c>
      <c r="U1500" s="151"/>
      <c r="V1500" s="151">
        <v>0.25</v>
      </c>
      <c r="W1500" s="151">
        <f t="shared" ref="W1500:W1532" si="88">IF(R1500&gt;T1500,R1500,T1500)</f>
        <v>0.88</v>
      </c>
      <c r="X1500" s="152">
        <f t="shared" si="87"/>
        <v>8.6099999999999996E-2</v>
      </c>
      <c r="Y1500" s="152"/>
      <c r="Z1500" s="148"/>
      <c r="AA1500" s="153"/>
      <c r="AB1500" s="153"/>
      <c r="AC1500" s="153"/>
      <c r="AD1500" s="153"/>
      <c r="AH1500" s="147"/>
    </row>
    <row r="1501" spans="1:34" s="146" customFormat="1" x14ac:dyDescent="0.25">
      <c r="A1501" s="196">
        <v>2514</v>
      </c>
      <c r="B1501" s="196" t="s">
        <v>7236</v>
      </c>
      <c r="C1501" s="196" t="s">
        <v>7904</v>
      </c>
      <c r="D1501" s="196" t="s">
        <v>2402</v>
      </c>
      <c r="E1501" s="196"/>
      <c r="F1501" s="196">
        <v>1968</v>
      </c>
      <c r="G1501" s="196"/>
      <c r="H1501" s="196" t="s">
        <v>2734</v>
      </c>
      <c r="I1501" s="141" t="s">
        <v>1914</v>
      </c>
      <c r="J1501" s="196"/>
      <c r="K1501" s="196" t="s">
        <v>1881</v>
      </c>
      <c r="L1501" s="240" t="s">
        <v>7905</v>
      </c>
      <c r="M1501" s="196">
        <v>108</v>
      </c>
      <c r="N1501" s="196"/>
      <c r="O1501" s="196" t="s">
        <v>6575</v>
      </c>
      <c r="P1501" s="144">
        <v>180</v>
      </c>
      <c r="Q1501" s="145">
        <f t="shared" si="86"/>
        <v>0.64900000000000002</v>
      </c>
      <c r="R1501" s="203">
        <v>0.25</v>
      </c>
      <c r="S1501" s="203"/>
      <c r="T1501" s="151">
        <v>0.35</v>
      </c>
      <c r="U1501" s="151"/>
      <c r="V1501" s="151">
        <v>0.25</v>
      </c>
      <c r="W1501" s="151">
        <f t="shared" si="88"/>
        <v>0.35</v>
      </c>
      <c r="X1501" s="152">
        <f t="shared" si="87"/>
        <v>4.8999999999999995E-2</v>
      </c>
      <c r="Y1501" s="152"/>
      <c r="Z1501" s="148"/>
      <c r="AA1501" s="153"/>
      <c r="AB1501" s="153"/>
      <c r="AC1501" s="153"/>
      <c r="AD1501" s="153"/>
      <c r="AH1501" s="147"/>
    </row>
    <row r="1502" spans="1:34" s="146" customFormat="1" x14ac:dyDescent="0.25">
      <c r="A1502" s="196">
        <v>2514</v>
      </c>
      <c r="B1502" s="196" t="s">
        <v>7236</v>
      </c>
      <c r="C1502" s="196" t="s">
        <v>7906</v>
      </c>
      <c r="D1502" s="196" t="s">
        <v>2402</v>
      </c>
      <c r="E1502" s="196"/>
      <c r="F1502" s="196">
        <v>1976</v>
      </c>
      <c r="G1502" s="196"/>
      <c r="H1502" s="196" t="s">
        <v>2734</v>
      </c>
      <c r="I1502" s="141" t="s">
        <v>1914</v>
      </c>
      <c r="J1502" s="196"/>
      <c r="K1502" s="196" t="s">
        <v>1881</v>
      </c>
      <c r="L1502" s="240" t="s">
        <v>7907</v>
      </c>
      <c r="M1502" s="196">
        <v>126</v>
      </c>
      <c r="N1502" s="196"/>
      <c r="O1502" s="196" t="s">
        <v>6576</v>
      </c>
      <c r="P1502" s="144">
        <v>194</v>
      </c>
      <c r="Q1502" s="145">
        <f t="shared" si="86"/>
        <v>0.64900000000000002</v>
      </c>
      <c r="R1502" s="203">
        <v>0.25</v>
      </c>
      <c r="S1502" s="203"/>
      <c r="T1502" s="151">
        <v>0.35</v>
      </c>
      <c r="U1502" s="151"/>
      <c r="V1502" s="151">
        <v>0.25</v>
      </c>
      <c r="W1502" s="151">
        <f t="shared" si="88"/>
        <v>0.35</v>
      </c>
      <c r="X1502" s="152">
        <f t="shared" si="87"/>
        <v>4.8999999999999995E-2</v>
      </c>
      <c r="Y1502" s="152"/>
      <c r="Z1502" s="148"/>
      <c r="AA1502" s="153"/>
      <c r="AB1502" s="153"/>
      <c r="AC1502" s="153"/>
      <c r="AD1502" s="153"/>
      <c r="AH1502" s="147"/>
    </row>
    <row r="1503" spans="1:34" s="146" customFormat="1" x14ac:dyDescent="0.25">
      <c r="A1503" s="196">
        <v>2514</v>
      </c>
      <c r="B1503" s="196" t="s">
        <v>7236</v>
      </c>
      <c r="C1503" s="196" t="s">
        <v>7910</v>
      </c>
      <c r="D1503" s="196" t="s">
        <v>2402</v>
      </c>
      <c r="E1503" s="196"/>
      <c r="F1503" s="196">
        <v>1973</v>
      </c>
      <c r="G1503" s="196"/>
      <c r="H1503" s="196" t="s">
        <v>2734</v>
      </c>
      <c r="I1503" s="141" t="s">
        <v>1914</v>
      </c>
      <c r="J1503" s="196"/>
      <c r="K1503" s="196" t="s">
        <v>1881</v>
      </c>
      <c r="L1503" s="240" t="s">
        <v>7911</v>
      </c>
      <c r="M1503" s="196">
        <v>142</v>
      </c>
      <c r="N1503" s="196"/>
      <c r="O1503" s="196" t="s">
        <v>6578</v>
      </c>
      <c r="P1503" s="144">
        <v>209</v>
      </c>
      <c r="Q1503" s="145">
        <f t="shared" si="86"/>
        <v>0.64900000000000002</v>
      </c>
      <c r="R1503" s="203">
        <v>0.25</v>
      </c>
      <c r="S1503" s="203"/>
      <c r="T1503" s="151">
        <v>0.35</v>
      </c>
      <c r="U1503" s="151"/>
      <c r="V1503" s="151">
        <v>0.25</v>
      </c>
      <c r="W1503" s="151">
        <f t="shared" si="88"/>
        <v>0.35</v>
      </c>
      <c r="X1503" s="152">
        <f t="shared" si="87"/>
        <v>4.8999999999999995E-2</v>
      </c>
      <c r="Y1503" s="152"/>
      <c r="Z1503" s="148"/>
      <c r="AA1503" s="153"/>
      <c r="AB1503" s="153"/>
      <c r="AC1503" s="153"/>
      <c r="AD1503" s="153"/>
      <c r="AH1503" s="147"/>
    </row>
    <row r="1504" spans="1:34" s="146" customFormat="1" x14ac:dyDescent="0.25">
      <c r="A1504" s="196">
        <v>2514</v>
      </c>
      <c r="B1504" s="196" t="s">
        <v>7912</v>
      </c>
      <c r="C1504" s="196" t="s">
        <v>7913</v>
      </c>
      <c r="D1504" s="196" t="s">
        <v>3524</v>
      </c>
      <c r="E1504" s="196" t="s">
        <v>1913</v>
      </c>
      <c r="F1504" s="196">
        <v>1999</v>
      </c>
      <c r="G1504" s="196"/>
      <c r="H1504" s="196" t="s">
        <v>2734</v>
      </c>
      <c r="I1504" s="141" t="s">
        <v>1879</v>
      </c>
      <c r="J1504" s="196" t="s">
        <v>7914</v>
      </c>
      <c r="K1504" s="196" t="s">
        <v>1881</v>
      </c>
      <c r="L1504" s="240" t="s">
        <v>7915</v>
      </c>
      <c r="M1504" s="196">
        <v>126</v>
      </c>
      <c r="N1504" s="196"/>
      <c r="O1504" s="196" t="s">
        <v>6579</v>
      </c>
      <c r="P1504" s="144">
        <v>238</v>
      </c>
      <c r="Q1504" s="145">
        <f t="shared" si="86"/>
        <v>1.4408000000000001</v>
      </c>
      <c r="R1504" s="203">
        <v>1.0900000000000001</v>
      </c>
      <c r="S1504" s="203"/>
      <c r="T1504" s="151">
        <v>0.35</v>
      </c>
      <c r="U1504" s="151"/>
      <c r="V1504" s="151">
        <v>0.25</v>
      </c>
      <c r="W1504" s="151">
        <f t="shared" si="88"/>
        <v>1.0900000000000001</v>
      </c>
      <c r="X1504" s="152">
        <f t="shared" si="87"/>
        <v>0.1008</v>
      </c>
      <c r="Y1504" s="152"/>
      <c r="Z1504" s="148"/>
      <c r="AA1504" s="153"/>
      <c r="AB1504" s="153"/>
      <c r="AC1504" s="153"/>
      <c r="AD1504" s="153"/>
      <c r="AH1504" s="147"/>
    </row>
    <row r="1505" spans="1:34" s="146" customFormat="1" x14ac:dyDescent="0.25">
      <c r="A1505" s="196">
        <v>2514</v>
      </c>
      <c r="B1505" s="196" t="s">
        <v>7916</v>
      </c>
      <c r="C1505" s="196" t="s">
        <v>7917</v>
      </c>
      <c r="D1505" s="196" t="s">
        <v>2003</v>
      </c>
      <c r="E1505" s="196"/>
      <c r="F1505" s="196">
        <v>1997</v>
      </c>
      <c r="G1505" s="196"/>
      <c r="H1505" s="196" t="s">
        <v>2734</v>
      </c>
      <c r="I1505" s="141" t="s">
        <v>1879</v>
      </c>
      <c r="J1505" s="196"/>
      <c r="K1505" s="196" t="s">
        <v>1881</v>
      </c>
      <c r="L1505" s="240" t="s">
        <v>7918</v>
      </c>
      <c r="M1505" s="196">
        <v>156</v>
      </c>
      <c r="N1505" s="196"/>
      <c r="O1505" s="196" t="s">
        <v>6580</v>
      </c>
      <c r="P1505" s="144">
        <v>228</v>
      </c>
      <c r="Q1505" s="145">
        <f t="shared" si="86"/>
        <v>0.64900000000000002</v>
      </c>
      <c r="R1505" s="203">
        <v>0.25</v>
      </c>
      <c r="S1505" s="203"/>
      <c r="T1505" s="151">
        <v>0.35</v>
      </c>
      <c r="U1505" s="151"/>
      <c r="V1505" s="151">
        <v>0.25</v>
      </c>
      <c r="W1505" s="151">
        <f t="shared" si="88"/>
        <v>0.35</v>
      </c>
      <c r="X1505" s="152">
        <f t="shared" si="87"/>
        <v>4.8999999999999995E-2</v>
      </c>
      <c r="Y1505" s="152"/>
      <c r="Z1505" s="148"/>
      <c r="AA1505" s="153"/>
      <c r="AB1505" s="153"/>
      <c r="AC1505" s="153"/>
      <c r="AD1505" s="153"/>
      <c r="AH1505" s="147"/>
    </row>
    <row r="1506" spans="1:34" s="146" customFormat="1" x14ac:dyDescent="0.25">
      <c r="A1506" s="196">
        <v>926</v>
      </c>
      <c r="B1506" s="196" t="s">
        <v>7919</v>
      </c>
      <c r="C1506" s="196" t="s">
        <v>7920</v>
      </c>
      <c r="D1506" s="196" t="s">
        <v>2068</v>
      </c>
      <c r="E1506" s="196"/>
      <c r="F1506" s="196">
        <v>2000</v>
      </c>
      <c r="G1506" s="196"/>
      <c r="H1506" s="196" t="s">
        <v>1878</v>
      </c>
      <c r="I1506" s="141" t="s">
        <v>1929</v>
      </c>
      <c r="J1506" s="196"/>
      <c r="K1506" s="196" t="s">
        <v>1881</v>
      </c>
      <c r="L1506" s="240" t="s">
        <v>7921</v>
      </c>
      <c r="M1506" s="196">
        <v>120</v>
      </c>
      <c r="N1506" s="196"/>
      <c r="O1506" s="196" t="s">
        <v>6581</v>
      </c>
      <c r="P1506" s="144">
        <v>186</v>
      </c>
      <c r="Q1506" s="145">
        <f t="shared" si="86"/>
        <v>1.3338000000000001</v>
      </c>
      <c r="R1506" s="203">
        <v>0.99</v>
      </c>
      <c r="S1506" s="203"/>
      <c r="T1506" s="151">
        <v>0.35</v>
      </c>
      <c r="U1506" s="151"/>
      <c r="V1506" s="151">
        <v>0.25</v>
      </c>
      <c r="W1506" s="151">
        <f t="shared" si="88"/>
        <v>0.99</v>
      </c>
      <c r="X1506" s="152">
        <f t="shared" si="87"/>
        <v>9.3799999999999994E-2</v>
      </c>
      <c r="Y1506" s="152"/>
      <c r="Z1506" s="148"/>
      <c r="AA1506" s="153"/>
      <c r="AB1506" s="153"/>
      <c r="AC1506" s="153"/>
      <c r="AD1506" s="153"/>
      <c r="AH1506" s="147"/>
    </row>
    <row r="1507" spans="1:34" s="146" customFormat="1" x14ac:dyDescent="0.25">
      <c r="A1507" s="196">
        <v>1320</v>
      </c>
      <c r="B1507" s="196" t="s">
        <v>7922</v>
      </c>
      <c r="C1507" s="196" t="s">
        <v>7923</v>
      </c>
      <c r="D1507" s="196" t="s">
        <v>7924</v>
      </c>
      <c r="E1507" s="196" t="s">
        <v>2175</v>
      </c>
      <c r="F1507" s="196">
        <v>1999</v>
      </c>
      <c r="G1507" s="196"/>
      <c r="H1507" s="196" t="s">
        <v>1878</v>
      </c>
      <c r="I1507" s="141" t="s">
        <v>1879</v>
      </c>
      <c r="J1507" s="196"/>
      <c r="K1507" s="196" t="s">
        <v>1881</v>
      </c>
      <c r="L1507" s="240" t="s">
        <v>7925</v>
      </c>
      <c r="M1507" s="196">
        <v>240</v>
      </c>
      <c r="N1507" s="196"/>
      <c r="O1507" s="196" t="s">
        <v>6582</v>
      </c>
      <c r="P1507" s="144">
        <v>296</v>
      </c>
      <c r="Q1507" s="145">
        <f t="shared" si="86"/>
        <v>2.4038000000000004</v>
      </c>
      <c r="R1507" s="203">
        <v>1.99</v>
      </c>
      <c r="S1507" s="203"/>
      <c r="T1507" s="151">
        <v>0.35</v>
      </c>
      <c r="U1507" s="151"/>
      <c r="V1507" s="151">
        <v>0.25</v>
      </c>
      <c r="W1507" s="151">
        <f t="shared" si="88"/>
        <v>1.99</v>
      </c>
      <c r="X1507" s="152">
        <f t="shared" si="87"/>
        <v>0.16379999999999997</v>
      </c>
      <c r="Y1507" s="152"/>
      <c r="Z1507" s="148"/>
      <c r="AA1507" s="153"/>
      <c r="AB1507" s="153"/>
      <c r="AC1507" s="153"/>
      <c r="AD1507" s="153"/>
      <c r="AH1507" s="147"/>
    </row>
    <row r="1508" spans="1:34" s="146" customFormat="1" x14ac:dyDescent="0.25">
      <c r="A1508" s="196">
        <v>2456</v>
      </c>
      <c r="B1508" s="196" t="s">
        <v>7926</v>
      </c>
      <c r="C1508" s="196" t="s">
        <v>7927</v>
      </c>
      <c r="D1508" s="196" t="s">
        <v>2054</v>
      </c>
      <c r="E1508" s="196"/>
      <c r="F1508" s="196"/>
      <c r="G1508" s="196"/>
      <c r="H1508" s="196" t="s">
        <v>2734</v>
      </c>
      <c r="I1508" s="141" t="s">
        <v>1879</v>
      </c>
      <c r="J1508" s="196"/>
      <c r="K1508" s="196" t="s">
        <v>1881</v>
      </c>
      <c r="L1508" s="240" t="s">
        <v>7928</v>
      </c>
      <c r="M1508" s="196">
        <v>258</v>
      </c>
      <c r="N1508" s="196"/>
      <c r="O1508" s="196" t="s">
        <v>6583</v>
      </c>
      <c r="P1508" s="144">
        <v>345</v>
      </c>
      <c r="Q1508" s="145">
        <f t="shared" si="86"/>
        <v>1.4515</v>
      </c>
      <c r="R1508" s="203">
        <v>1.1000000000000001</v>
      </c>
      <c r="S1508" s="203"/>
      <c r="T1508" s="151">
        <v>0.35</v>
      </c>
      <c r="U1508" s="151"/>
      <c r="V1508" s="151">
        <v>0.25</v>
      </c>
      <c r="W1508" s="151">
        <f t="shared" si="88"/>
        <v>1.1000000000000001</v>
      </c>
      <c r="X1508" s="152">
        <f t="shared" si="87"/>
        <v>0.10150000000000002</v>
      </c>
      <c r="Y1508" s="152"/>
      <c r="Z1508" s="148"/>
      <c r="AA1508" s="153"/>
      <c r="AB1508" s="153"/>
      <c r="AC1508" s="153"/>
      <c r="AD1508" s="153"/>
      <c r="AH1508" s="147"/>
    </row>
    <row r="1509" spans="1:34" s="146" customFormat="1" x14ac:dyDescent="0.25">
      <c r="A1509" s="196">
        <v>734</v>
      </c>
      <c r="B1509" s="196" t="s">
        <v>7392</v>
      </c>
      <c r="C1509" s="196" t="s">
        <v>7929</v>
      </c>
      <c r="D1509" s="196" t="s">
        <v>1920</v>
      </c>
      <c r="E1509" s="196"/>
      <c r="F1509" s="196">
        <v>1986</v>
      </c>
      <c r="G1509" s="196"/>
      <c r="H1509" s="196" t="s">
        <v>1878</v>
      </c>
      <c r="I1509" s="141" t="s">
        <v>6422</v>
      </c>
      <c r="J1509" s="196"/>
      <c r="K1509" s="196" t="s">
        <v>1881</v>
      </c>
      <c r="L1509" s="240" t="s">
        <v>7930</v>
      </c>
      <c r="M1509" s="196">
        <v>656</v>
      </c>
      <c r="N1509" s="196"/>
      <c r="O1509" s="196" t="s">
        <v>6584</v>
      </c>
      <c r="P1509" s="144">
        <v>343</v>
      </c>
      <c r="Q1509" s="145">
        <f t="shared" si="86"/>
        <v>0.64900000000000002</v>
      </c>
      <c r="R1509" s="203">
        <v>0.25</v>
      </c>
      <c r="S1509" s="203"/>
      <c r="T1509" s="151">
        <v>0.35</v>
      </c>
      <c r="U1509" s="151"/>
      <c r="V1509" s="151">
        <v>0.25</v>
      </c>
      <c r="W1509" s="151">
        <f t="shared" si="88"/>
        <v>0.35</v>
      </c>
      <c r="X1509" s="152">
        <f t="shared" si="87"/>
        <v>4.8999999999999995E-2</v>
      </c>
      <c r="Y1509" s="152"/>
      <c r="Z1509" s="148"/>
      <c r="AA1509" s="153"/>
      <c r="AB1509" s="153"/>
      <c r="AC1509" s="153"/>
      <c r="AD1509" s="153"/>
      <c r="AH1509" s="147"/>
    </row>
    <row r="1510" spans="1:34" s="146" customFormat="1" x14ac:dyDescent="0.25">
      <c r="A1510" s="196">
        <v>2663</v>
      </c>
      <c r="B1510" s="196" t="s">
        <v>7931</v>
      </c>
      <c r="C1510" s="196" t="s">
        <v>7932</v>
      </c>
      <c r="D1510" s="196" t="s">
        <v>2609</v>
      </c>
      <c r="E1510" s="196" t="s">
        <v>1877</v>
      </c>
      <c r="F1510" s="196">
        <v>2004</v>
      </c>
      <c r="G1510" s="196"/>
      <c r="H1510" s="196" t="s">
        <v>1878</v>
      </c>
      <c r="I1510" s="141" t="s">
        <v>7817</v>
      </c>
      <c r="J1510" s="196"/>
      <c r="K1510" s="196" t="s">
        <v>1881</v>
      </c>
      <c r="L1510" s="240" t="s">
        <v>7933</v>
      </c>
      <c r="M1510" s="196">
        <v>512</v>
      </c>
      <c r="N1510" s="196"/>
      <c r="O1510" s="196" t="s">
        <v>6585</v>
      </c>
      <c r="P1510" s="144">
        <v>441</v>
      </c>
      <c r="Q1510" s="145">
        <f t="shared" si="86"/>
        <v>0.75600000000000001</v>
      </c>
      <c r="R1510" s="203">
        <v>0.45</v>
      </c>
      <c r="S1510" s="203"/>
      <c r="T1510" s="151">
        <v>0.35</v>
      </c>
      <c r="U1510" s="151"/>
      <c r="V1510" s="151">
        <v>0.25</v>
      </c>
      <c r="W1510" s="151">
        <f t="shared" si="88"/>
        <v>0.45</v>
      </c>
      <c r="X1510" s="152">
        <f t="shared" si="87"/>
        <v>5.6000000000000001E-2</v>
      </c>
      <c r="Y1510" s="152"/>
      <c r="Z1510" s="148"/>
      <c r="AA1510" s="153"/>
      <c r="AB1510" s="153"/>
      <c r="AC1510" s="153"/>
      <c r="AD1510" s="153"/>
      <c r="AH1510" s="147"/>
    </row>
    <row r="1511" spans="1:34" s="146" customFormat="1" x14ac:dyDescent="0.25">
      <c r="A1511" s="196">
        <v>633</v>
      </c>
      <c r="B1511" s="196" t="s">
        <v>7934</v>
      </c>
      <c r="C1511" s="196" t="s">
        <v>7935</v>
      </c>
      <c r="D1511" s="196" t="s">
        <v>2209</v>
      </c>
      <c r="E1511" s="196"/>
      <c r="F1511" s="196">
        <v>1988</v>
      </c>
      <c r="G1511" s="196"/>
      <c r="H1511" s="196" t="s">
        <v>1878</v>
      </c>
      <c r="I1511" s="141" t="s">
        <v>1914</v>
      </c>
      <c r="J1511" s="196"/>
      <c r="K1511" s="196" t="s">
        <v>1881</v>
      </c>
      <c r="L1511" s="240" t="s">
        <v>7936</v>
      </c>
      <c r="M1511" s="196">
        <v>254</v>
      </c>
      <c r="N1511" s="196"/>
      <c r="O1511" s="196" t="s">
        <v>6586</v>
      </c>
      <c r="P1511" s="144">
        <v>170</v>
      </c>
      <c r="Q1511" s="145">
        <f t="shared" ref="Q1511:Q1532" si="89">SUM(U1511:X1511)</f>
        <v>1.1198000000000001</v>
      </c>
      <c r="R1511" s="203">
        <v>0.79</v>
      </c>
      <c r="S1511" s="203"/>
      <c r="T1511" s="151">
        <v>0.35</v>
      </c>
      <c r="U1511" s="151"/>
      <c r="V1511" s="151">
        <v>0.25</v>
      </c>
      <c r="W1511" s="151">
        <f t="shared" si="88"/>
        <v>0.79</v>
      </c>
      <c r="X1511" s="152">
        <f t="shared" si="87"/>
        <v>7.980000000000001E-2</v>
      </c>
      <c r="Y1511" s="152"/>
      <c r="Z1511" s="148"/>
      <c r="AA1511" s="153"/>
      <c r="AB1511" s="153"/>
      <c r="AC1511" s="153"/>
      <c r="AD1511" s="153"/>
      <c r="AH1511" s="147"/>
    </row>
    <row r="1512" spans="1:34" s="146" customFormat="1" x14ac:dyDescent="0.25">
      <c r="A1512" s="196">
        <v>796</v>
      </c>
      <c r="B1512" s="196" t="s">
        <v>7937</v>
      </c>
      <c r="C1512" s="196" t="s">
        <v>7938</v>
      </c>
      <c r="D1512" s="196" t="s">
        <v>2609</v>
      </c>
      <c r="E1512" s="196"/>
      <c r="F1512" s="196">
        <v>2007</v>
      </c>
      <c r="G1512" s="196"/>
      <c r="H1512" s="196" t="s">
        <v>1878</v>
      </c>
      <c r="I1512" s="141" t="s">
        <v>1879</v>
      </c>
      <c r="J1512" s="196"/>
      <c r="K1512" s="196" t="s">
        <v>1881</v>
      </c>
      <c r="L1512" s="240" t="s">
        <v>7939</v>
      </c>
      <c r="M1512" s="196">
        <v>560</v>
      </c>
      <c r="N1512" s="196"/>
      <c r="O1512" s="196" t="s">
        <v>6587</v>
      </c>
      <c r="P1512" s="144">
        <v>547</v>
      </c>
      <c r="Q1512" s="145">
        <f t="shared" si="89"/>
        <v>0.64900000000000002</v>
      </c>
      <c r="R1512" s="203">
        <v>0.31</v>
      </c>
      <c r="S1512" s="203"/>
      <c r="T1512" s="151">
        <v>0.35</v>
      </c>
      <c r="U1512" s="151"/>
      <c r="V1512" s="151">
        <v>0.25</v>
      </c>
      <c r="W1512" s="151">
        <f t="shared" si="88"/>
        <v>0.35</v>
      </c>
      <c r="X1512" s="152">
        <f t="shared" si="87"/>
        <v>4.8999999999999995E-2</v>
      </c>
      <c r="Y1512" s="152"/>
      <c r="Z1512" s="148"/>
      <c r="AA1512" s="153"/>
      <c r="AB1512" s="153"/>
      <c r="AC1512" s="153"/>
      <c r="AD1512" s="153"/>
      <c r="AH1512" s="147"/>
    </row>
    <row r="1513" spans="1:34" s="146" customFormat="1" x14ac:dyDescent="0.25">
      <c r="A1513" s="196">
        <v>2514</v>
      </c>
      <c r="B1513" s="196" t="s">
        <v>2674</v>
      </c>
      <c r="C1513" s="196" t="s">
        <v>7940</v>
      </c>
      <c r="D1513" s="196" t="s">
        <v>3448</v>
      </c>
      <c r="E1513" s="196"/>
      <c r="F1513" s="196">
        <v>2007</v>
      </c>
      <c r="G1513" s="196"/>
      <c r="H1513" s="196" t="s">
        <v>2734</v>
      </c>
      <c r="I1513" s="141" t="s">
        <v>1929</v>
      </c>
      <c r="J1513" s="196"/>
      <c r="K1513" s="196" t="s">
        <v>1881</v>
      </c>
      <c r="L1513" s="240" t="s">
        <v>7941</v>
      </c>
      <c r="M1513" s="196">
        <v>146</v>
      </c>
      <c r="N1513" s="196"/>
      <c r="O1513" s="196" t="s">
        <v>6588</v>
      </c>
      <c r="P1513" s="144">
        <v>342</v>
      </c>
      <c r="Q1513" s="145">
        <f t="shared" si="89"/>
        <v>1.6334</v>
      </c>
      <c r="R1513" s="203">
        <v>1.27</v>
      </c>
      <c r="S1513" s="203"/>
      <c r="T1513" s="151">
        <v>0.35</v>
      </c>
      <c r="U1513" s="151"/>
      <c r="V1513" s="151">
        <v>0.25</v>
      </c>
      <c r="W1513" s="151">
        <f t="shared" si="88"/>
        <v>1.27</v>
      </c>
      <c r="X1513" s="152">
        <f t="shared" si="87"/>
        <v>0.11340000000000001</v>
      </c>
      <c r="Y1513" s="152"/>
      <c r="Z1513" s="148"/>
      <c r="AA1513" s="153"/>
      <c r="AB1513" s="153"/>
      <c r="AC1513" s="153"/>
      <c r="AD1513" s="153"/>
      <c r="AH1513" s="147"/>
    </row>
    <row r="1514" spans="1:34" s="146" customFormat="1" x14ac:dyDescent="0.25">
      <c r="A1514" s="196">
        <v>2547</v>
      </c>
      <c r="B1514" s="196" t="s">
        <v>7942</v>
      </c>
      <c r="C1514" s="196" t="s">
        <v>7943</v>
      </c>
      <c r="D1514" s="196" t="s">
        <v>2300</v>
      </c>
      <c r="E1514" s="196" t="s">
        <v>1921</v>
      </c>
      <c r="F1514" s="196">
        <v>2009</v>
      </c>
      <c r="G1514" s="196"/>
      <c r="H1514" s="196" t="s">
        <v>1878</v>
      </c>
      <c r="I1514" s="141" t="s">
        <v>1929</v>
      </c>
      <c r="J1514" s="52" t="s">
        <v>3854</v>
      </c>
      <c r="K1514" s="196" t="s">
        <v>1881</v>
      </c>
      <c r="L1514" s="240" t="s">
        <v>7944</v>
      </c>
      <c r="M1514" s="196">
        <v>608</v>
      </c>
      <c r="N1514" s="196"/>
      <c r="O1514" s="196" t="s">
        <v>6589</v>
      </c>
      <c r="P1514" s="144">
        <v>457</v>
      </c>
      <c r="Q1514" s="145">
        <f t="shared" si="89"/>
        <v>0.64900000000000002</v>
      </c>
      <c r="R1514" s="203">
        <v>0.25</v>
      </c>
      <c r="S1514" s="203"/>
      <c r="T1514" s="151">
        <v>0.35</v>
      </c>
      <c r="U1514" s="151"/>
      <c r="V1514" s="151">
        <v>0.25</v>
      </c>
      <c r="W1514" s="151">
        <f t="shared" si="88"/>
        <v>0.35</v>
      </c>
      <c r="X1514" s="152">
        <f t="shared" si="87"/>
        <v>4.8999999999999995E-2</v>
      </c>
      <c r="Y1514" s="152"/>
      <c r="Z1514" s="148"/>
      <c r="AA1514" s="153"/>
      <c r="AB1514" s="153"/>
      <c r="AC1514" s="153"/>
      <c r="AD1514" s="153"/>
      <c r="AH1514" s="147"/>
    </row>
    <row r="1515" spans="1:34" s="146" customFormat="1" x14ac:dyDescent="0.25">
      <c r="A1515" s="196">
        <v>2022</v>
      </c>
      <c r="B1515" s="196" t="s">
        <v>7945</v>
      </c>
      <c r="C1515" s="196" t="s">
        <v>7946</v>
      </c>
      <c r="D1515" s="196" t="s">
        <v>6367</v>
      </c>
      <c r="E1515" s="196"/>
      <c r="F1515" s="196">
        <v>2017</v>
      </c>
      <c r="G1515" s="196"/>
      <c r="H1515" s="196" t="s">
        <v>2734</v>
      </c>
      <c r="I1515" s="141" t="s">
        <v>1929</v>
      </c>
      <c r="J1515" s="52" t="s">
        <v>3854</v>
      </c>
      <c r="K1515" s="196" t="s">
        <v>1881</v>
      </c>
      <c r="L1515" s="240" t="s">
        <v>7947</v>
      </c>
      <c r="M1515" s="196">
        <v>578</v>
      </c>
      <c r="N1515" s="196"/>
      <c r="O1515" s="196" t="s">
        <v>6590</v>
      </c>
      <c r="P1515" s="144">
        <v>995</v>
      </c>
      <c r="Q1515" s="145">
        <f t="shared" si="89"/>
        <v>5.7314999999999996</v>
      </c>
      <c r="R1515" s="203">
        <v>5.0999999999999996</v>
      </c>
      <c r="S1515" s="203"/>
      <c r="T1515" s="151">
        <v>0.35</v>
      </c>
      <c r="U1515" s="151"/>
      <c r="V1515" s="151">
        <v>0.25</v>
      </c>
      <c r="W1515" s="151">
        <f t="shared" si="88"/>
        <v>5.0999999999999996</v>
      </c>
      <c r="X1515" s="152">
        <f t="shared" si="87"/>
        <v>0.38149999999999995</v>
      </c>
      <c r="Y1515" s="152"/>
      <c r="Z1515" s="148"/>
      <c r="AA1515" s="153"/>
      <c r="AB1515" s="153"/>
      <c r="AC1515" s="153"/>
      <c r="AD1515" s="153"/>
      <c r="AH1515" s="147"/>
    </row>
    <row r="1516" spans="1:34" s="146" customFormat="1" x14ac:dyDescent="0.25">
      <c r="A1516" s="196">
        <v>651</v>
      </c>
      <c r="B1516" s="196" t="s">
        <v>7948</v>
      </c>
      <c r="C1516" s="196" t="s">
        <v>7949</v>
      </c>
      <c r="D1516" s="196" t="s">
        <v>2117</v>
      </c>
      <c r="E1516" s="196" t="s">
        <v>1913</v>
      </c>
      <c r="F1516" s="196">
        <v>2012</v>
      </c>
      <c r="G1516" s="196"/>
      <c r="H1516" s="196" t="s">
        <v>1878</v>
      </c>
      <c r="I1516" s="141" t="s">
        <v>1929</v>
      </c>
      <c r="J1516" s="196"/>
      <c r="K1516" s="196" t="s">
        <v>1881</v>
      </c>
      <c r="L1516" s="240" t="s">
        <v>7950</v>
      </c>
      <c r="M1516" s="196">
        <v>32</v>
      </c>
      <c r="N1516" s="196"/>
      <c r="O1516" s="196" t="s">
        <v>6591</v>
      </c>
      <c r="P1516" s="144">
        <v>152</v>
      </c>
      <c r="Q1516" s="145">
        <f t="shared" si="89"/>
        <v>0.79879999999999995</v>
      </c>
      <c r="R1516" s="203">
        <v>0.49</v>
      </c>
      <c r="S1516" s="203"/>
      <c r="T1516" s="151">
        <v>0.35</v>
      </c>
      <c r="U1516" s="151"/>
      <c r="V1516" s="151">
        <v>0.25</v>
      </c>
      <c r="W1516" s="151">
        <f t="shared" si="88"/>
        <v>0.49</v>
      </c>
      <c r="X1516" s="152">
        <f t="shared" si="87"/>
        <v>5.8799999999999998E-2</v>
      </c>
      <c r="Y1516" s="152"/>
      <c r="Z1516" s="148"/>
      <c r="AA1516" s="153"/>
      <c r="AB1516" s="153"/>
      <c r="AC1516" s="153"/>
      <c r="AD1516" s="153"/>
      <c r="AH1516" s="147"/>
    </row>
    <row r="1517" spans="1:34" s="146" customFormat="1" x14ac:dyDescent="0.25">
      <c r="A1517" s="196">
        <v>651</v>
      </c>
      <c r="B1517" s="196" t="s">
        <v>2115</v>
      </c>
      <c r="C1517" s="196" t="s">
        <v>7951</v>
      </c>
      <c r="D1517" s="196" t="s">
        <v>2117</v>
      </c>
      <c r="E1517" s="196" t="s">
        <v>1913</v>
      </c>
      <c r="F1517" s="196">
        <v>2015</v>
      </c>
      <c r="G1517" s="196"/>
      <c r="H1517" s="196" t="s">
        <v>1878</v>
      </c>
      <c r="I1517" s="141" t="s">
        <v>1929</v>
      </c>
      <c r="J1517" s="196"/>
      <c r="K1517" s="196" t="s">
        <v>1881</v>
      </c>
      <c r="L1517" s="240" t="s">
        <v>7952</v>
      </c>
      <c r="M1517" s="196">
        <v>32</v>
      </c>
      <c r="N1517" s="196"/>
      <c r="O1517" s="196" t="s">
        <v>6592</v>
      </c>
      <c r="P1517" s="144">
        <v>154</v>
      </c>
      <c r="Q1517" s="145">
        <f t="shared" si="89"/>
        <v>1.8688</v>
      </c>
      <c r="R1517" s="203">
        <v>1.49</v>
      </c>
      <c r="S1517" s="203"/>
      <c r="T1517" s="151">
        <v>0.35</v>
      </c>
      <c r="U1517" s="151"/>
      <c r="V1517" s="151">
        <v>0.25</v>
      </c>
      <c r="W1517" s="151">
        <f t="shared" si="88"/>
        <v>1.49</v>
      </c>
      <c r="X1517" s="152">
        <f t="shared" si="87"/>
        <v>0.1288</v>
      </c>
      <c r="Y1517" s="152"/>
      <c r="Z1517" s="148"/>
      <c r="AA1517" s="153"/>
      <c r="AB1517" s="153"/>
      <c r="AC1517" s="153"/>
      <c r="AD1517" s="153"/>
      <c r="AH1517" s="147"/>
    </row>
    <row r="1518" spans="1:34" s="146" customFormat="1" x14ac:dyDescent="0.25">
      <c r="A1518" s="196">
        <v>2522</v>
      </c>
      <c r="B1518" s="196" t="s">
        <v>7953</v>
      </c>
      <c r="C1518" s="196" t="s">
        <v>7954</v>
      </c>
      <c r="D1518" s="196" t="s">
        <v>2609</v>
      </c>
      <c r="E1518" s="196" t="s">
        <v>1877</v>
      </c>
      <c r="F1518" s="196">
        <v>2006</v>
      </c>
      <c r="G1518" s="196"/>
      <c r="H1518" s="196" t="s">
        <v>1878</v>
      </c>
      <c r="I1518" s="141" t="s">
        <v>1879</v>
      </c>
      <c r="J1518" s="52" t="s">
        <v>3854</v>
      </c>
      <c r="K1518" s="196" t="s">
        <v>1881</v>
      </c>
      <c r="L1518" s="240" t="s">
        <v>7955</v>
      </c>
      <c r="M1518" s="196">
        <v>352</v>
      </c>
      <c r="N1518" s="196"/>
      <c r="O1518" s="196" t="s">
        <v>6593</v>
      </c>
      <c r="P1518" s="144">
        <v>351</v>
      </c>
      <c r="Q1518" s="145">
        <f t="shared" si="89"/>
        <v>0.64900000000000002</v>
      </c>
      <c r="R1518" s="203">
        <v>0.25</v>
      </c>
      <c r="S1518" s="203"/>
      <c r="T1518" s="151">
        <v>0.35</v>
      </c>
      <c r="U1518" s="151"/>
      <c r="V1518" s="151">
        <v>0.25</v>
      </c>
      <c r="W1518" s="151">
        <f t="shared" si="88"/>
        <v>0.35</v>
      </c>
      <c r="X1518" s="152">
        <f t="shared" si="87"/>
        <v>4.8999999999999995E-2</v>
      </c>
      <c r="Y1518" s="152"/>
      <c r="Z1518" s="148"/>
      <c r="AA1518" s="153"/>
      <c r="AB1518" s="153"/>
      <c r="AC1518" s="153"/>
      <c r="AD1518" s="153"/>
      <c r="AH1518" s="147"/>
    </row>
    <row r="1519" spans="1:34" s="146" customFormat="1" x14ac:dyDescent="0.25">
      <c r="A1519" s="196">
        <v>692</v>
      </c>
      <c r="B1519" s="196" t="s">
        <v>7956</v>
      </c>
      <c r="C1519" s="196" t="s">
        <v>7957</v>
      </c>
      <c r="D1519" s="196" t="s">
        <v>2424</v>
      </c>
      <c r="E1519" s="196"/>
      <c r="F1519" s="196">
        <v>2006</v>
      </c>
      <c r="G1519" s="196"/>
      <c r="H1519" s="196" t="s">
        <v>1878</v>
      </c>
      <c r="I1519" s="141" t="s">
        <v>1879</v>
      </c>
      <c r="J1519" s="196"/>
      <c r="K1519" s="196" t="s">
        <v>1881</v>
      </c>
      <c r="L1519" s="240" t="s">
        <v>7958</v>
      </c>
      <c r="M1519" s="196">
        <v>432</v>
      </c>
      <c r="N1519" s="196"/>
      <c r="O1519" s="196" t="s">
        <v>6594</v>
      </c>
      <c r="P1519" s="144">
        <v>359</v>
      </c>
      <c r="Q1519" s="145">
        <f t="shared" si="89"/>
        <v>0.64900000000000002</v>
      </c>
      <c r="R1519" s="203">
        <v>0.3</v>
      </c>
      <c r="S1519" s="203"/>
      <c r="T1519" s="151">
        <v>0.35</v>
      </c>
      <c r="U1519" s="151"/>
      <c r="V1519" s="151">
        <v>0.25</v>
      </c>
      <c r="W1519" s="151">
        <f t="shared" si="88"/>
        <v>0.35</v>
      </c>
      <c r="X1519" s="152">
        <f t="shared" si="87"/>
        <v>4.8999999999999995E-2</v>
      </c>
      <c r="Y1519" s="152"/>
      <c r="Z1519" s="148"/>
      <c r="AA1519" s="153"/>
      <c r="AB1519" s="153"/>
      <c r="AC1519" s="153"/>
      <c r="AD1519" s="153"/>
      <c r="AH1519" s="147"/>
    </row>
    <row r="1520" spans="1:34" s="146" customFormat="1" x14ac:dyDescent="0.25">
      <c r="A1520" s="196">
        <v>689</v>
      </c>
      <c r="B1520" s="196" t="s">
        <v>7959</v>
      </c>
      <c r="C1520" s="196" t="s">
        <v>7960</v>
      </c>
      <c r="D1520" s="196" t="s">
        <v>2609</v>
      </c>
      <c r="E1520" s="196"/>
      <c r="F1520" s="196">
        <v>2011</v>
      </c>
      <c r="G1520" s="196"/>
      <c r="H1520" s="196" t="s">
        <v>2734</v>
      </c>
      <c r="I1520" s="141" t="s">
        <v>1879</v>
      </c>
      <c r="J1520" s="52" t="s">
        <v>3854</v>
      </c>
      <c r="K1520" s="196" t="s">
        <v>1881</v>
      </c>
      <c r="L1520" s="240" t="s">
        <v>7961</v>
      </c>
      <c r="M1520" s="196">
        <v>466</v>
      </c>
      <c r="N1520" s="196"/>
      <c r="O1520" s="196" t="s">
        <v>6595</v>
      </c>
      <c r="P1520" s="144">
        <v>686</v>
      </c>
      <c r="Q1520" s="145">
        <f t="shared" si="89"/>
        <v>1.3338000000000001</v>
      </c>
      <c r="R1520" s="203">
        <v>0.99</v>
      </c>
      <c r="S1520" s="203"/>
      <c r="T1520" s="151">
        <v>0.35</v>
      </c>
      <c r="U1520" s="151"/>
      <c r="V1520" s="151">
        <v>0.25</v>
      </c>
      <c r="W1520" s="151">
        <f t="shared" si="88"/>
        <v>0.99</v>
      </c>
      <c r="X1520" s="152">
        <f t="shared" si="87"/>
        <v>9.3799999999999994E-2</v>
      </c>
      <c r="Y1520" s="152"/>
      <c r="Z1520" s="148"/>
      <c r="AA1520" s="153"/>
      <c r="AB1520" s="153"/>
      <c r="AC1520" s="153"/>
      <c r="AD1520" s="153"/>
      <c r="AH1520" s="147"/>
    </row>
    <row r="1521" spans="1:34" s="146" customFormat="1" x14ac:dyDescent="0.25">
      <c r="A1521" s="196">
        <v>2514</v>
      </c>
      <c r="B1521" s="196" t="s">
        <v>7236</v>
      </c>
      <c r="C1521" s="196" t="s">
        <v>7962</v>
      </c>
      <c r="D1521" s="196" t="s">
        <v>2402</v>
      </c>
      <c r="E1521" s="196"/>
      <c r="F1521" s="196">
        <v>1974</v>
      </c>
      <c r="G1521" s="196"/>
      <c r="H1521" s="196" t="s">
        <v>2734</v>
      </c>
      <c r="I1521" s="141" t="s">
        <v>1914</v>
      </c>
      <c r="J1521" s="196"/>
      <c r="K1521" s="196" t="s">
        <v>1881</v>
      </c>
      <c r="L1521" s="240" t="s">
        <v>7963</v>
      </c>
      <c r="M1521" s="196">
        <v>126</v>
      </c>
      <c r="N1521" s="196"/>
      <c r="O1521" s="196" t="s">
        <v>6596</v>
      </c>
      <c r="P1521" s="144">
        <v>193</v>
      </c>
      <c r="Q1521" s="145">
        <f t="shared" si="89"/>
        <v>0.64900000000000002</v>
      </c>
      <c r="R1521" s="203">
        <v>0.25</v>
      </c>
      <c r="S1521" s="203"/>
      <c r="T1521" s="151">
        <v>0.35</v>
      </c>
      <c r="U1521" s="151"/>
      <c r="V1521" s="151">
        <v>0.25</v>
      </c>
      <c r="W1521" s="151">
        <f t="shared" si="88"/>
        <v>0.35</v>
      </c>
      <c r="X1521" s="152">
        <f t="shared" si="87"/>
        <v>4.8999999999999995E-2</v>
      </c>
      <c r="Y1521" s="152"/>
      <c r="Z1521" s="148"/>
      <c r="AA1521" s="153"/>
      <c r="AB1521" s="153"/>
      <c r="AC1521" s="153"/>
      <c r="AD1521" s="153"/>
      <c r="AH1521" s="147"/>
    </row>
    <row r="1522" spans="1:34" s="146" customFormat="1" x14ac:dyDescent="0.25">
      <c r="A1522" s="196">
        <v>607</v>
      </c>
      <c r="B1522" s="196" t="s">
        <v>7964</v>
      </c>
      <c r="C1522" s="196" t="s">
        <v>7965</v>
      </c>
      <c r="D1522" s="196" t="s">
        <v>6546</v>
      </c>
      <c r="E1522" s="196"/>
      <c r="F1522" s="196">
        <v>2016</v>
      </c>
      <c r="G1522" s="196"/>
      <c r="H1522" s="196" t="s">
        <v>1878</v>
      </c>
      <c r="I1522" s="141" t="s">
        <v>1929</v>
      </c>
      <c r="J1522" s="196"/>
      <c r="K1522" s="196" t="s">
        <v>1881</v>
      </c>
      <c r="L1522" s="240" t="s">
        <v>7966</v>
      </c>
      <c r="M1522" s="196">
        <v>194</v>
      </c>
      <c r="N1522" s="196"/>
      <c r="O1522" s="196" t="s">
        <v>6597</v>
      </c>
      <c r="P1522" s="144">
        <v>282</v>
      </c>
      <c r="Q1522" s="145">
        <f t="shared" si="89"/>
        <v>1.8688</v>
      </c>
      <c r="R1522" s="203">
        <v>1.49</v>
      </c>
      <c r="S1522" s="203"/>
      <c r="T1522" s="151">
        <v>0.35</v>
      </c>
      <c r="U1522" s="151"/>
      <c r="V1522" s="151">
        <v>0.25</v>
      </c>
      <c r="W1522" s="151">
        <f t="shared" si="88"/>
        <v>1.49</v>
      </c>
      <c r="X1522" s="152">
        <f t="shared" si="87"/>
        <v>0.1288</v>
      </c>
      <c r="Y1522" s="152"/>
      <c r="Z1522" s="148"/>
      <c r="AA1522" s="153"/>
      <c r="AB1522" s="153"/>
      <c r="AC1522" s="153"/>
      <c r="AD1522" s="153"/>
      <c r="AH1522" s="147"/>
    </row>
    <row r="1523" spans="1:34" s="146" customFormat="1" x14ac:dyDescent="0.25">
      <c r="A1523" s="196">
        <v>2547</v>
      </c>
      <c r="B1523" s="196" t="s">
        <v>6028</v>
      </c>
      <c r="C1523" s="196" t="s">
        <v>7967</v>
      </c>
      <c r="D1523" s="196" t="s">
        <v>3077</v>
      </c>
      <c r="E1523" s="196" t="s">
        <v>1877</v>
      </c>
      <c r="F1523" s="196">
        <v>1993</v>
      </c>
      <c r="G1523" s="196"/>
      <c r="H1523" s="196" t="s">
        <v>2734</v>
      </c>
      <c r="I1523" s="141" t="s">
        <v>7527</v>
      </c>
      <c r="J1523" s="196"/>
      <c r="K1523" s="196" t="s">
        <v>1881</v>
      </c>
      <c r="L1523" s="240" t="s">
        <v>7968</v>
      </c>
      <c r="M1523" s="196">
        <v>482</v>
      </c>
      <c r="N1523" s="196"/>
      <c r="O1523" s="196" t="s">
        <v>6598</v>
      </c>
      <c r="P1523" s="144">
        <v>522</v>
      </c>
      <c r="Q1523" s="145">
        <f t="shared" si="89"/>
        <v>0.64900000000000002</v>
      </c>
      <c r="R1523" s="203">
        <v>0.25</v>
      </c>
      <c r="S1523" s="203"/>
      <c r="T1523" s="151">
        <v>0.35</v>
      </c>
      <c r="U1523" s="151"/>
      <c r="V1523" s="151">
        <v>0.25</v>
      </c>
      <c r="W1523" s="151">
        <f t="shared" si="88"/>
        <v>0.35</v>
      </c>
      <c r="X1523" s="152">
        <f t="shared" si="87"/>
        <v>4.8999999999999995E-2</v>
      </c>
      <c r="Y1523" s="152"/>
      <c r="Z1523" s="148"/>
      <c r="AA1523" s="153"/>
      <c r="AB1523" s="153"/>
      <c r="AC1523" s="153"/>
      <c r="AD1523" s="153"/>
      <c r="AH1523" s="147"/>
    </row>
    <row r="1524" spans="1:34" s="146" customFormat="1" x14ac:dyDescent="0.25">
      <c r="A1524" s="196">
        <v>1327</v>
      </c>
      <c r="B1524" s="196" t="s">
        <v>7969</v>
      </c>
      <c r="C1524" s="196" t="s">
        <v>7970</v>
      </c>
      <c r="D1524" s="196" t="s">
        <v>2644</v>
      </c>
      <c r="E1524" s="196"/>
      <c r="F1524" s="196">
        <v>2009</v>
      </c>
      <c r="G1524" s="196"/>
      <c r="H1524" s="196" t="s">
        <v>1878</v>
      </c>
      <c r="I1524" s="141" t="s">
        <v>7527</v>
      </c>
      <c r="J1524" s="196"/>
      <c r="K1524" s="196" t="s">
        <v>1881</v>
      </c>
      <c r="L1524" s="240" t="s">
        <v>7971</v>
      </c>
      <c r="M1524" s="196">
        <v>416</v>
      </c>
      <c r="N1524" s="196"/>
      <c r="O1524" s="196" t="s">
        <v>6599</v>
      </c>
      <c r="P1524" s="144">
        <v>316</v>
      </c>
      <c r="Q1524" s="145">
        <f t="shared" si="89"/>
        <v>0.79879999999999995</v>
      </c>
      <c r="R1524" s="203">
        <v>0.49</v>
      </c>
      <c r="S1524" s="203"/>
      <c r="T1524" s="151">
        <v>0.35</v>
      </c>
      <c r="U1524" s="151"/>
      <c r="V1524" s="151">
        <v>0.25</v>
      </c>
      <c r="W1524" s="151">
        <f t="shared" si="88"/>
        <v>0.49</v>
      </c>
      <c r="X1524" s="152">
        <f t="shared" si="87"/>
        <v>5.8799999999999998E-2</v>
      </c>
      <c r="Y1524" s="152"/>
      <c r="Z1524" s="148"/>
      <c r="AA1524" s="153"/>
      <c r="AB1524" s="153"/>
      <c r="AC1524" s="153"/>
      <c r="AD1524" s="153"/>
      <c r="AH1524" s="147"/>
    </row>
    <row r="1525" spans="1:34" s="146" customFormat="1" x14ac:dyDescent="0.25">
      <c r="A1525" s="196">
        <v>692</v>
      </c>
      <c r="B1525" s="196" t="s">
        <v>7972</v>
      </c>
      <c r="C1525" s="196" t="s">
        <v>7973</v>
      </c>
      <c r="D1525" s="196" t="s">
        <v>1988</v>
      </c>
      <c r="E1525" s="196"/>
      <c r="F1525" s="196">
        <v>1999</v>
      </c>
      <c r="G1525" s="196"/>
      <c r="H1525" s="196" t="s">
        <v>1878</v>
      </c>
      <c r="I1525" s="141" t="s">
        <v>1879</v>
      </c>
      <c r="J1525" s="196"/>
      <c r="K1525" s="196" t="s">
        <v>1881</v>
      </c>
      <c r="L1525" s="240" t="s">
        <v>7974</v>
      </c>
      <c r="M1525" s="196">
        <v>336</v>
      </c>
      <c r="N1525" s="196"/>
      <c r="O1525" s="196" t="s">
        <v>6600</v>
      </c>
      <c r="P1525" s="144">
        <v>296</v>
      </c>
      <c r="Q1525" s="145">
        <f t="shared" si="89"/>
        <v>2.5107999999999997</v>
      </c>
      <c r="R1525" s="203">
        <v>2.09</v>
      </c>
      <c r="S1525" s="203"/>
      <c r="T1525" s="151">
        <v>0.35</v>
      </c>
      <c r="U1525" s="151"/>
      <c r="V1525" s="151">
        <v>0.25</v>
      </c>
      <c r="W1525" s="151">
        <f t="shared" si="88"/>
        <v>2.09</v>
      </c>
      <c r="X1525" s="152">
        <f t="shared" si="87"/>
        <v>0.17079999999999998</v>
      </c>
      <c r="Y1525" s="152"/>
      <c r="Z1525" s="148"/>
      <c r="AA1525" s="153"/>
      <c r="AB1525" s="153"/>
      <c r="AC1525" s="153"/>
      <c r="AD1525" s="153"/>
      <c r="AH1525" s="147"/>
    </row>
    <row r="1526" spans="1:34" s="146" customFormat="1" x14ac:dyDescent="0.25">
      <c r="A1526" s="196">
        <v>796</v>
      </c>
      <c r="B1526" s="196" t="s">
        <v>7975</v>
      </c>
      <c r="C1526" s="196" t="s">
        <v>7976</v>
      </c>
      <c r="D1526" s="196" t="s">
        <v>3895</v>
      </c>
      <c r="E1526" s="196"/>
      <c r="F1526" s="196">
        <v>2013</v>
      </c>
      <c r="G1526" s="196"/>
      <c r="H1526" s="196" t="s">
        <v>1878</v>
      </c>
      <c r="I1526" s="141" t="s">
        <v>7817</v>
      </c>
      <c r="J1526" s="196"/>
      <c r="K1526" s="196" t="s">
        <v>1881</v>
      </c>
      <c r="L1526" s="240" t="s">
        <v>7977</v>
      </c>
      <c r="M1526" s="196">
        <v>336</v>
      </c>
      <c r="N1526" s="196"/>
      <c r="O1526" s="196" t="s">
        <v>6601</v>
      </c>
      <c r="P1526" s="144">
        <v>340</v>
      </c>
      <c r="Q1526" s="145">
        <f t="shared" si="89"/>
        <v>0.74529999999999996</v>
      </c>
      <c r="R1526" s="203">
        <v>0.44</v>
      </c>
      <c r="S1526" s="203"/>
      <c r="T1526" s="151">
        <v>0.35</v>
      </c>
      <c r="U1526" s="151"/>
      <c r="V1526" s="151">
        <v>0.25</v>
      </c>
      <c r="W1526" s="151">
        <f t="shared" si="88"/>
        <v>0.44</v>
      </c>
      <c r="X1526" s="152">
        <f t="shared" si="87"/>
        <v>5.5300000000000002E-2</v>
      </c>
      <c r="Y1526" s="152"/>
      <c r="Z1526" s="148"/>
      <c r="AA1526" s="153"/>
      <c r="AB1526" s="153"/>
      <c r="AC1526" s="153"/>
      <c r="AD1526" s="153"/>
      <c r="AH1526" s="147"/>
    </row>
    <row r="1527" spans="1:34" s="146" customFormat="1" x14ac:dyDescent="0.25">
      <c r="A1527" s="196">
        <v>765</v>
      </c>
      <c r="B1527" s="196"/>
      <c r="C1527" s="196" t="s">
        <v>7981</v>
      </c>
      <c r="D1527" s="196" t="s">
        <v>7982</v>
      </c>
      <c r="E1527" s="196"/>
      <c r="F1527" s="196">
        <v>2018</v>
      </c>
      <c r="G1527" s="196"/>
      <c r="H1527" s="196" t="s">
        <v>1878</v>
      </c>
      <c r="I1527" s="141" t="s">
        <v>1879</v>
      </c>
      <c r="J1527" s="196"/>
      <c r="K1527" s="196" t="s">
        <v>1881</v>
      </c>
      <c r="L1527" s="240" t="s">
        <v>7983</v>
      </c>
      <c r="M1527" s="196"/>
      <c r="N1527" s="196"/>
      <c r="O1527" s="196" t="s">
        <v>6603</v>
      </c>
      <c r="P1527" s="144">
        <v>358</v>
      </c>
      <c r="Q1527" s="145">
        <f t="shared" si="89"/>
        <v>2.7355</v>
      </c>
      <c r="R1527" s="203">
        <v>2.2999999999999998</v>
      </c>
      <c r="S1527" s="203"/>
      <c r="T1527" s="151">
        <v>0.35</v>
      </c>
      <c r="U1527" s="151"/>
      <c r="V1527" s="151">
        <v>0.25</v>
      </c>
      <c r="W1527" s="151">
        <f t="shared" si="88"/>
        <v>2.2999999999999998</v>
      </c>
      <c r="X1527" s="152">
        <f t="shared" si="87"/>
        <v>0.1855</v>
      </c>
      <c r="Y1527" s="152"/>
      <c r="Z1527" s="148"/>
      <c r="AA1527" s="153"/>
      <c r="AB1527" s="153"/>
      <c r="AC1527" s="153"/>
      <c r="AD1527" s="153"/>
      <c r="AH1527" s="147"/>
    </row>
    <row r="1528" spans="1:34" s="146" customFormat="1" x14ac:dyDescent="0.25">
      <c r="A1528" s="196">
        <v>632</v>
      </c>
      <c r="B1528" s="196" t="s">
        <v>7984</v>
      </c>
      <c r="C1528" s="196" t="s">
        <v>7985</v>
      </c>
      <c r="D1528" s="196" t="s">
        <v>2300</v>
      </c>
      <c r="E1528" s="196" t="s">
        <v>2335</v>
      </c>
      <c r="F1528" s="196">
        <v>2006</v>
      </c>
      <c r="G1528" s="196"/>
      <c r="H1528" s="196" t="s">
        <v>2734</v>
      </c>
      <c r="I1528" s="141" t="s">
        <v>1879</v>
      </c>
      <c r="J1528" s="52" t="s">
        <v>3854</v>
      </c>
      <c r="K1528" s="196" t="s">
        <v>1881</v>
      </c>
      <c r="L1528" s="240" t="s">
        <v>7986</v>
      </c>
      <c r="M1528" s="196">
        <v>354</v>
      </c>
      <c r="N1528" s="196"/>
      <c r="O1528" s="196" t="s">
        <v>6604</v>
      </c>
      <c r="P1528" s="144">
        <v>414</v>
      </c>
      <c r="Q1528" s="145">
        <f t="shared" si="89"/>
        <v>2.3931</v>
      </c>
      <c r="R1528" s="203">
        <v>1.98</v>
      </c>
      <c r="S1528" s="203"/>
      <c r="T1528" s="151">
        <v>0.35</v>
      </c>
      <c r="U1528" s="151"/>
      <c r="V1528" s="151">
        <v>0.25</v>
      </c>
      <c r="W1528" s="151">
        <f t="shared" si="88"/>
        <v>1.98</v>
      </c>
      <c r="X1528" s="152">
        <f t="shared" si="87"/>
        <v>0.16310000000000002</v>
      </c>
      <c r="Y1528" s="152"/>
      <c r="Z1528" s="148"/>
      <c r="AA1528" s="153"/>
      <c r="AB1528" s="153"/>
      <c r="AC1528" s="153"/>
      <c r="AD1528" s="153"/>
      <c r="AH1528" s="147"/>
    </row>
    <row r="1529" spans="1:34" s="146" customFormat="1" x14ac:dyDescent="0.25">
      <c r="A1529" s="196">
        <v>1317</v>
      </c>
      <c r="B1529" s="196" t="s">
        <v>7987</v>
      </c>
      <c r="C1529" s="196" t="s">
        <v>7988</v>
      </c>
      <c r="D1529" s="196" t="s">
        <v>3524</v>
      </c>
      <c r="E1529" s="196" t="s">
        <v>1913</v>
      </c>
      <c r="F1529" s="196">
        <v>2000</v>
      </c>
      <c r="G1529" s="196"/>
      <c r="H1529" s="196" t="s">
        <v>2734</v>
      </c>
      <c r="I1529" s="141" t="s">
        <v>1879</v>
      </c>
      <c r="J1529" s="196"/>
      <c r="K1529" s="196" t="s">
        <v>1881</v>
      </c>
      <c r="L1529" s="240" t="s">
        <v>7989</v>
      </c>
      <c r="M1529" s="196">
        <v>130</v>
      </c>
      <c r="N1529" s="196"/>
      <c r="O1529" s="196" t="s">
        <v>6605</v>
      </c>
      <c r="P1529" s="144">
        <v>221</v>
      </c>
      <c r="Q1529" s="145">
        <f t="shared" si="89"/>
        <v>0.64900000000000002</v>
      </c>
      <c r="R1529" s="203">
        <v>0.26</v>
      </c>
      <c r="S1529" s="203"/>
      <c r="T1529" s="151">
        <v>0.35</v>
      </c>
      <c r="U1529" s="151"/>
      <c r="V1529" s="151">
        <v>0.25</v>
      </c>
      <c r="W1529" s="151">
        <f t="shared" si="88"/>
        <v>0.35</v>
      </c>
      <c r="X1529" s="152">
        <f t="shared" si="87"/>
        <v>4.8999999999999995E-2</v>
      </c>
      <c r="Y1529" s="152"/>
      <c r="Z1529" s="148"/>
      <c r="AA1529" s="153"/>
      <c r="AB1529" s="153"/>
      <c r="AC1529" s="153"/>
      <c r="AD1529" s="153"/>
      <c r="AH1529" s="147"/>
    </row>
    <row r="1530" spans="1:34" s="146" customFormat="1" x14ac:dyDescent="0.25">
      <c r="A1530" s="196">
        <v>937</v>
      </c>
      <c r="B1530" s="196" t="s">
        <v>7990</v>
      </c>
      <c r="C1530" s="196" t="s">
        <v>7991</v>
      </c>
      <c r="D1530" s="196" t="s">
        <v>7992</v>
      </c>
      <c r="E1530" s="196" t="s">
        <v>1913</v>
      </c>
      <c r="F1530" s="196">
        <v>1999</v>
      </c>
      <c r="G1530" s="196"/>
      <c r="H1530" s="196" t="s">
        <v>1878</v>
      </c>
      <c r="I1530" s="141" t="s">
        <v>1879</v>
      </c>
      <c r="J1530" s="196"/>
      <c r="K1530" s="196" t="s">
        <v>1881</v>
      </c>
      <c r="L1530" s="240" t="s">
        <v>7993</v>
      </c>
      <c r="M1530" s="196">
        <v>104</v>
      </c>
      <c r="N1530" s="196"/>
      <c r="O1530" s="196" t="s">
        <v>6606</v>
      </c>
      <c r="P1530" s="144">
        <v>113</v>
      </c>
      <c r="Q1530" s="145">
        <f t="shared" si="89"/>
        <v>5.0788000000000002</v>
      </c>
      <c r="R1530" s="203">
        <v>4.49</v>
      </c>
      <c r="S1530" s="203"/>
      <c r="T1530" s="151">
        <v>0.35</v>
      </c>
      <c r="U1530" s="151"/>
      <c r="V1530" s="151">
        <v>0.25</v>
      </c>
      <c r="W1530" s="151">
        <f t="shared" si="88"/>
        <v>4.49</v>
      </c>
      <c r="X1530" s="152">
        <f t="shared" si="87"/>
        <v>0.33879999999999999</v>
      </c>
      <c r="Y1530" s="152"/>
      <c r="Z1530" s="148"/>
      <c r="AA1530" s="153"/>
      <c r="AB1530" s="153"/>
      <c r="AC1530" s="153"/>
      <c r="AD1530" s="153"/>
      <c r="AH1530" s="147"/>
    </row>
    <row r="1531" spans="1:34" s="146" customFormat="1" x14ac:dyDescent="0.25">
      <c r="A1531" s="196">
        <v>1324</v>
      </c>
      <c r="B1531" s="196" t="s">
        <v>7994</v>
      </c>
      <c r="C1531" s="196" t="s">
        <v>7995</v>
      </c>
      <c r="D1531" s="196" t="s">
        <v>4693</v>
      </c>
      <c r="E1531" s="196" t="s">
        <v>1913</v>
      </c>
      <c r="F1531" s="196">
        <v>1994</v>
      </c>
      <c r="G1531" s="196"/>
      <c r="H1531" s="196" t="s">
        <v>1878</v>
      </c>
      <c r="I1531" s="141" t="s">
        <v>1914</v>
      </c>
      <c r="J1531" s="196"/>
      <c r="K1531" s="196" t="s">
        <v>1881</v>
      </c>
      <c r="L1531" s="240" t="s">
        <v>7996</v>
      </c>
      <c r="M1531" s="196">
        <v>112</v>
      </c>
      <c r="N1531" s="196"/>
      <c r="O1531" s="196" t="s">
        <v>6607</v>
      </c>
      <c r="P1531" s="144">
        <v>278</v>
      </c>
      <c r="Q1531" s="145">
        <f t="shared" si="89"/>
        <v>0.79879999999999995</v>
      </c>
      <c r="R1531" s="203">
        <v>0.49</v>
      </c>
      <c r="S1531" s="203"/>
      <c r="T1531" s="151">
        <v>0.35</v>
      </c>
      <c r="U1531" s="151"/>
      <c r="V1531" s="151">
        <v>0.25</v>
      </c>
      <c r="W1531" s="151">
        <f t="shared" si="88"/>
        <v>0.49</v>
      </c>
      <c r="X1531" s="152">
        <f t="shared" si="87"/>
        <v>5.8799999999999998E-2</v>
      </c>
      <c r="Y1531" s="152"/>
      <c r="Z1531" s="148"/>
      <c r="AA1531" s="153"/>
      <c r="AB1531" s="153"/>
      <c r="AC1531" s="153"/>
      <c r="AD1531" s="153"/>
      <c r="AH1531" s="147"/>
    </row>
    <row r="1532" spans="1:34" s="146" customFormat="1" x14ac:dyDescent="0.25">
      <c r="A1532" s="196">
        <v>1324</v>
      </c>
      <c r="B1532" s="196" t="s">
        <v>7997</v>
      </c>
      <c r="C1532" s="196" t="s">
        <v>7998</v>
      </c>
      <c r="D1532" s="196" t="s">
        <v>4693</v>
      </c>
      <c r="E1532" s="196" t="s">
        <v>2175</v>
      </c>
      <c r="F1532" s="196">
        <v>2002</v>
      </c>
      <c r="G1532" s="196"/>
      <c r="H1532" s="196" t="s">
        <v>1878</v>
      </c>
      <c r="I1532" s="141" t="s">
        <v>1879</v>
      </c>
      <c r="J1532" s="196"/>
      <c r="K1532" s="196" t="s">
        <v>1881</v>
      </c>
      <c r="L1532" s="240" t="s">
        <v>7999</v>
      </c>
      <c r="M1532" s="196">
        <v>96</v>
      </c>
      <c r="N1532" s="196"/>
      <c r="O1532" s="196" t="s">
        <v>6608</v>
      </c>
      <c r="P1532" s="144">
        <v>248</v>
      </c>
      <c r="Q1532" s="145">
        <f t="shared" si="89"/>
        <v>1.0127999999999999</v>
      </c>
      <c r="R1532" s="203">
        <v>0.69</v>
      </c>
      <c r="S1532" s="203"/>
      <c r="T1532" s="151">
        <v>0.35</v>
      </c>
      <c r="U1532" s="151"/>
      <c r="V1532" s="151">
        <v>0.25</v>
      </c>
      <c r="W1532" s="151">
        <f t="shared" si="88"/>
        <v>0.69</v>
      </c>
      <c r="X1532" s="152">
        <f t="shared" si="87"/>
        <v>7.2800000000000004E-2</v>
      </c>
      <c r="Y1532" s="152"/>
      <c r="Z1532" s="148"/>
      <c r="AA1532" s="153"/>
      <c r="AB1532" s="153"/>
      <c r="AC1532" s="153"/>
      <c r="AD1532" s="153"/>
      <c r="AH1532" s="147"/>
    </row>
    <row r="1533" spans="1:34" s="146" customFormat="1" x14ac:dyDescent="0.25">
      <c r="A1533" s="196">
        <v>631</v>
      </c>
      <c r="B1533" s="196" t="s">
        <v>8003</v>
      </c>
      <c r="C1533" s="196" t="s">
        <v>8004</v>
      </c>
      <c r="D1533" s="196" t="s">
        <v>2835</v>
      </c>
      <c r="E1533" s="196"/>
      <c r="F1533" s="196">
        <v>1993</v>
      </c>
      <c r="G1533" s="196"/>
      <c r="H1533" s="196" t="s">
        <v>1878</v>
      </c>
      <c r="I1533" s="141" t="s">
        <v>1879</v>
      </c>
      <c r="J1533" s="52" t="s">
        <v>3854</v>
      </c>
      <c r="K1533" s="196" t="s">
        <v>1881</v>
      </c>
      <c r="L1533" s="240" t="s">
        <v>8005</v>
      </c>
      <c r="M1533" s="196">
        <v>212</v>
      </c>
      <c r="N1533" s="196"/>
      <c r="O1533" s="196" t="s">
        <v>6610</v>
      </c>
      <c r="P1533" s="144">
        <v>188</v>
      </c>
      <c r="Q1533" s="145">
        <v>0.99</v>
      </c>
      <c r="R1533" s="203">
        <v>0.25</v>
      </c>
      <c r="S1533" s="203"/>
      <c r="T1533" s="151">
        <v>0.35</v>
      </c>
      <c r="U1533" s="151">
        <v>0.35</v>
      </c>
      <c r="V1533" s="151">
        <v>0.25</v>
      </c>
      <c r="W1533" s="151"/>
      <c r="X1533" s="152">
        <f t="shared" ref="X1533:X1577" si="90">(T1533+U1533)/100*7</f>
        <v>4.8999999999999995E-2</v>
      </c>
      <c r="Y1533" s="152"/>
      <c r="Z1533" s="148"/>
      <c r="AA1533" s="153"/>
      <c r="AB1533" s="153"/>
      <c r="AC1533" s="153"/>
      <c r="AD1533" s="153"/>
      <c r="AH1533" s="147"/>
    </row>
    <row r="1534" spans="1:34" s="146" customFormat="1" x14ac:dyDescent="0.25">
      <c r="A1534" s="196">
        <v>1386</v>
      </c>
      <c r="B1534" s="196" t="s">
        <v>8006</v>
      </c>
      <c r="C1534" s="196" t="s">
        <v>8007</v>
      </c>
      <c r="D1534" s="196" t="s">
        <v>2835</v>
      </c>
      <c r="E1534" s="196" t="s">
        <v>1921</v>
      </c>
      <c r="F1534" s="196">
        <v>2008</v>
      </c>
      <c r="G1534" s="196"/>
      <c r="H1534" s="196" t="s">
        <v>1878</v>
      </c>
      <c r="I1534" s="141" t="s">
        <v>1879</v>
      </c>
      <c r="J1534" s="52" t="s">
        <v>3854</v>
      </c>
      <c r="K1534" s="196" t="s">
        <v>1881</v>
      </c>
      <c r="L1534" s="240" t="s">
        <v>8008</v>
      </c>
      <c r="M1534" s="196">
        <v>160</v>
      </c>
      <c r="N1534" s="196"/>
      <c r="O1534" s="196" t="s">
        <v>6611</v>
      </c>
      <c r="P1534" s="144">
        <v>107</v>
      </c>
      <c r="Q1534" s="145">
        <f>SUM(T1534:X1534)</f>
        <v>1.0204</v>
      </c>
      <c r="R1534" s="203">
        <v>0.54</v>
      </c>
      <c r="S1534" s="203"/>
      <c r="T1534" s="151">
        <v>0.35</v>
      </c>
      <c r="U1534" s="151">
        <v>0.37</v>
      </c>
      <c r="V1534" s="151">
        <v>0.25</v>
      </c>
      <c r="W1534" s="151"/>
      <c r="X1534" s="152">
        <f t="shared" si="90"/>
        <v>5.04E-2</v>
      </c>
      <c r="Y1534" s="152"/>
      <c r="Z1534" s="148"/>
      <c r="AA1534" s="153"/>
      <c r="AB1534" s="153"/>
      <c r="AC1534" s="153"/>
      <c r="AD1534" s="153"/>
      <c r="AH1534" s="147"/>
    </row>
    <row r="1535" spans="1:34" s="146" customFormat="1" x14ac:dyDescent="0.25">
      <c r="A1535" s="196">
        <v>796</v>
      </c>
      <c r="B1535" s="196" t="s">
        <v>8009</v>
      </c>
      <c r="C1535" s="196" t="s">
        <v>8010</v>
      </c>
      <c r="D1535" s="196" t="s">
        <v>4131</v>
      </c>
      <c r="E1535" s="196"/>
      <c r="F1535" s="196">
        <v>2012</v>
      </c>
      <c r="G1535" s="196"/>
      <c r="H1535" s="196" t="s">
        <v>1878</v>
      </c>
      <c r="I1535" s="141" t="s">
        <v>1929</v>
      </c>
      <c r="J1535" s="196"/>
      <c r="K1535" s="196" t="s">
        <v>1881</v>
      </c>
      <c r="L1535" s="240" t="s">
        <v>8011</v>
      </c>
      <c r="M1535" s="196">
        <v>320</v>
      </c>
      <c r="N1535" s="196"/>
      <c r="O1535" s="196" t="s">
        <v>6612</v>
      </c>
      <c r="P1535" s="144">
        <v>266</v>
      </c>
      <c r="Q1535" s="145">
        <f t="shared" ref="Q1535:Q1577" si="91">SUM(T1535:X1535)</f>
        <v>2.1225000000000001</v>
      </c>
      <c r="R1535" s="203">
        <v>1.82</v>
      </c>
      <c r="S1535" s="203"/>
      <c r="T1535" s="151">
        <v>0.35</v>
      </c>
      <c r="U1535" s="151">
        <v>1.4</v>
      </c>
      <c r="V1535" s="151">
        <v>0.25</v>
      </c>
      <c r="W1535" s="151"/>
      <c r="X1535" s="152">
        <f t="shared" si="90"/>
        <v>0.12250000000000001</v>
      </c>
      <c r="Y1535" s="152"/>
      <c r="Z1535" s="148"/>
      <c r="AA1535" s="153"/>
      <c r="AB1535" s="153"/>
      <c r="AC1535" s="153"/>
      <c r="AD1535" s="153"/>
      <c r="AH1535" s="147"/>
    </row>
    <row r="1536" spans="1:34" s="146" customFormat="1" x14ac:dyDescent="0.25">
      <c r="A1536" s="196">
        <v>796</v>
      </c>
      <c r="B1536" s="196" t="s">
        <v>8012</v>
      </c>
      <c r="C1536" s="196" t="s">
        <v>8013</v>
      </c>
      <c r="D1536" s="196" t="s">
        <v>2835</v>
      </c>
      <c r="E1536" s="196" t="s">
        <v>1913</v>
      </c>
      <c r="F1536" s="196">
        <v>2011</v>
      </c>
      <c r="G1536" s="196"/>
      <c r="H1536" s="196" t="s">
        <v>1878</v>
      </c>
      <c r="I1536" s="141" t="s">
        <v>1929</v>
      </c>
      <c r="J1536" s="52" t="s">
        <v>3854</v>
      </c>
      <c r="K1536" s="196" t="s">
        <v>1881</v>
      </c>
      <c r="L1536" s="240" t="s">
        <v>8014</v>
      </c>
      <c r="M1536" s="196">
        <v>320</v>
      </c>
      <c r="N1536" s="196"/>
      <c r="O1536" s="196" t="s">
        <v>6613</v>
      </c>
      <c r="P1536" s="144">
        <v>200</v>
      </c>
      <c r="Q1536" s="145">
        <f t="shared" si="91"/>
        <v>2.1225000000000001</v>
      </c>
      <c r="R1536" s="203">
        <v>1.7</v>
      </c>
      <c r="S1536" s="203"/>
      <c r="T1536" s="151">
        <v>0.35</v>
      </c>
      <c r="U1536" s="151">
        <v>1.4</v>
      </c>
      <c r="V1536" s="151">
        <v>0.25</v>
      </c>
      <c r="W1536" s="151"/>
      <c r="X1536" s="152">
        <f t="shared" si="90"/>
        <v>0.12250000000000001</v>
      </c>
      <c r="Y1536" s="152"/>
      <c r="Z1536" s="148"/>
      <c r="AA1536" s="153"/>
      <c r="AB1536" s="153"/>
      <c r="AC1536" s="153"/>
      <c r="AD1536" s="153"/>
      <c r="AH1536" s="147"/>
    </row>
    <row r="1537" spans="1:34" s="146" customFormat="1" x14ac:dyDescent="0.25">
      <c r="A1537" s="196">
        <v>2522</v>
      </c>
      <c r="B1537" s="196" t="s">
        <v>8015</v>
      </c>
      <c r="C1537" s="196" t="s">
        <v>8016</v>
      </c>
      <c r="D1537" s="196" t="s">
        <v>2644</v>
      </c>
      <c r="E1537" s="196"/>
      <c r="F1537" s="196">
        <v>1988</v>
      </c>
      <c r="G1537" s="196"/>
      <c r="H1537" s="196" t="s">
        <v>1878</v>
      </c>
      <c r="I1537" s="141" t="s">
        <v>1879</v>
      </c>
      <c r="J1537" s="196"/>
      <c r="K1537" s="196" t="s">
        <v>1881</v>
      </c>
      <c r="L1537" s="240" t="s">
        <v>8017</v>
      </c>
      <c r="M1537" s="196">
        <v>272</v>
      </c>
      <c r="N1537" s="196"/>
      <c r="O1537" s="196" t="s">
        <v>6614</v>
      </c>
      <c r="P1537" s="144">
        <v>241</v>
      </c>
      <c r="Q1537" s="145">
        <f t="shared" si="91"/>
        <v>1.6837999999999997</v>
      </c>
      <c r="R1537" s="203">
        <v>1.2</v>
      </c>
      <c r="S1537" s="203"/>
      <c r="T1537" s="151">
        <v>0.35</v>
      </c>
      <c r="U1537" s="151">
        <v>0.99</v>
      </c>
      <c r="V1537" s="151">
        <v>0.25</v>
      </c>
      <c r="W1537" s="151"/>
      <c r="X1537" s="152">
        <f t="shared" si="90"/>
        <v>9.3799999999999994E-2</v>
      </c>
      <c r="Y1537" s="152"/>
      <c r="Z1537" s="148"/>
      <c r="AA1537" s="153"/>
      <c r="AB1537" s="153"/>
      <c r="AC1537" s="153"/>
      <c r="AD1537" s="153"/>
      <c r="AH1537" s="147"/>
    </row>
    <row r="1538" spans="1:34" s="146" customFormat="1" x14ac:dyDescent="0.25">
      <c r="A1538" s="196">
        <v>1327</v>
      </c>
      <c r="B1538" s="196" t="s">
        <v>8018</v>
      </c>
      <c r="C1538" s="196" t="s">
        <v>8019</v>
      </c>
      <c r="D1538" s="196" t="s">
        <v>2835</v>
      </c>
      <c r="E1538" s="196"/>
      <c r="F1538" s="196">
        <v>2009</v>
      </c>
      <c r="G1538" s="196"/>
      <c r="H1538" s="196" t="s">
        <v>1878</v>
      </c>
      <c r="I1538" s="141" t="s">
        <v>1929</v>
      </c>
      <c r="J1538" s="52" t="s">
        <v>3854</v>
      </c>
      <c r="K1538" s="196" t="s">
        <v>1881</v>
      </c>
      <c r="L1538" s="240" t="s">
        <v>8020</v>
      </c>
      <c r="M1538" s="196">
        <v>240</v>
      </c>
      <c r="N1538" s="196"/>
      <c r="O1538" s="196" t="s">
        <v>6615</v>
      </c>
      <c r="P1538" s="144">
        <v>153</v>
      </c>
      <c r="Q1538" s="145">
        <f t="shared" si="91"/>
        <v>1.2558</v>
      </c>
      <c r="R1538" s="203">
        <v>0.7</v>
      </c>
      <c r="S1538" s="203"/>
      <c r="T1538" s="151">
        <v>0.35</v>
      </c>
      <c r="U1538" s="151">
        <v>0.59</v>
      </c>
      <c r="V1538" s="151">
        <v>0.25</v>
      </c>
      <c r="W1538" s="151"/>
      <c r="X1538" s="152">
        <f t="shared" si="90"/>
        <v>6.5799999999999997E-2</v>
      </c>
      <c r="Y1538" s="152"/>
      <c r="Z1538" s="148"/>
      <c r="AA1538" s="153"/>
      <c r="AB1538" s="153"/>
      <c r="AC1538" s="153"/>
      <c r="AD1538" s="153"/>
      <c r="AH1538" s="147"/>
    </row>
    <row r="1539" spans="1:34" s="146" customFormat="1" x14ac:dyDescent="0.25">
      <c r="A1539" s="196">
        <v>2851</v>
      </c>
      <c r="B1539" s="196" t="s">
        <v>8021</v>
      </c>
      <c r="C1539" s="196" t="s">
        <v>8022</v>
      </c>
      <c r="D1539" s="196" t="s">
        <v>8023</v>
      </c>
      <c r="E1539" s="196"/>
      <c r="F1539" s="196">
        <v>1997</v>
      </c>
      <c r="G1539" s="196"/>
      <c r="H1539" s="196" t="s">
        <v>1878</v>
      </c>
      <c r="I1539" s="141" t="s">
        <v>1929</v>
      </c>
      <c r="J1539" s="52" t="s">
        <v>3854</v>
      </c>
      <c r="K1539" s="196" t="s">
        <v>1881</v>
      </c>
      <c r="L1539" s="240" t="s">
        <v>8024</v>
      </c>
      <c r="M1539" s="196">
        <v>316</v>
      </c>
      <c r="N1539" s="196"/>
      <c r="O1539" s="196" t="s">
        <v>6616</v>
      </c>
      <c r="P1539" s="144">
        <v>214</v>
      </c>
      <c r="Q1539" s="145">
        <f t="shared" si="91"/>
        <v>1.1487999999999998</v>
      </c>
      <c r="R1539" s="203">
        <v>0.95</v>
      </c>
      <c r="S1539" s="203"/>
      <c r="T1539" s="151">
        <v>0.35</v>
      </c>
      <c r="U1539" s="151">
        <v>0.49</v>
      </c>
      <c r="V1539" s="151">
        <v>0.25</v>
      </c>
      <c r="W1539" s="151"/>
      <c r="X1539" s="152">
        <f t="shared" si="90"/>
        <v>5.8799999999999998E-2</v>
      </c>
      <c r="Y1539" s="152"/>
      <c r="Z1539" s="148"/>
      <c r="AA1539" s="153"/>
      <c r="AB1539" s="153"/>
      <c r="AC1539" s="153"/>
      <c r="AD1539" s="153"/>
      <c r="AH1539" s="147"/>
    </row>
    <row r="1540" spans="1:34" s="146" customFormat="1" x14ac:dyDescent="0.25">
      <c r="A1540" s="196">
        <v>1327</v>
      </c>
      <c r="B1540" s="196" t="s">
        <v>8025</v>
      </c>
      <c r="C1540" s="196" t="s">
        <v>8026</v>
      </c>
      <c r="D1540" s="196" t="s">
        <v>2835</v>
      </c>
      <c r="E1540" s="196"/>
      <c r="F1540" s="196">
        <v>2000</v>
      </c>
      <c r="G1540" s="196"/>
      <c r="H1540" s="196" t="s">
        <v>1878</v>
      </c>
      <c r="I1540" s="141" t="s">
        <v>1929</v>
      </c>
      <c r="J1540" s="196"/>
      <c r="K1540" s="196" t="s">
        <v>1881</v>
      </c>
      <c r="L1540" s="240" t="s">
        <v>8027</v>
      </c>
      <c r="M1540" s="196">
        <v>176</v>
      </c>
      <c r="N1540" s="196"/>
      <c r="O1540" s="196" t="s">
        <v>6617</v>
      </c>
      <c r="P1540" s="144">
        <v>115</v>
      </c>
      <c r="Q1540" s="145">
        <f t="shared" si="91"/>
        <v>1.0204</v>
      </c>
      <c r="R1540" s="203">
        <v>0.74</v>
      </c>
      <c r="S1540" s="203"/>
      <c r="T1540" s="151">
        <v>0.35</v>
      </c>
      <c r="U1540" s="151">
        <v>0.37</v>
      </c>
      <c r="V1540" s="151">
        <v>0.25</v>
      </c>
      <c r="W1540" s="151"/>
      <c r="X1540" s="152">
        <f t="shared" si="90"/>
        <v>5.04E-2</v>
      </c>
      <c r="Y1540" s="152"/>
      <c r="Z1540" s="148"/>
      <c r="AA1540" s="153"/>
      <c r="AB1540" s="153"/>
      <c r="AC1540" s="153"/>
      <c r="AD1540" s="153"/>
      <c r="AH1540" s="147"/>
    </row>
    <row r="1541" spans="1:34" s="146" customFormat="1" x14ac:dyDescent="0.25">
      <c r="A1541" s="196">
        <v>1395</v>
      </c>
      <c r="B1541" s="196" t="s">
        <v>8028</v>
      </c>
      <c r="C1541" s="196" t="s">
        <v>8029</v>
      </c>
      <c r="D1541" s="196" t="s">
        <v>2309</v>
      </c>
      <c r="E1541" s="196"/>
      <c r="F1541" s="196">
        <v>2012</v>
      </c>
      <c r="G1541" s="196"/>
      <c r="H1541" s="196" t="s">
        <v>2734</v>
      </c>
      <c r="I1541" s="141" t="s">
        <v>1929</v>
      </c>
      <c r="J1541" s="196"/>
      <c r="K1541" s="196" t="s">
        <v>1881</v>
      </c>
      <c r="L1541" s="240" t="s">
        <v>8030</v>
      </c>
      <c r="M1541" s="196">
        <v>306</v>
      </c>
      <c r="N1541" s="196"/>
      <c r="O1541" s="196" t="s">
        <v>6618</v>
      </c>
      <c r="P1541" s="144">
        <v>375</v>
      </c>
      <c r="Q1541" s="145">
        <f t="shared" si="91"/>
        <v>1.7907999999999999</v>
      </c>
      <c r="R1541" s="203">
        <v>1.53</v>
      </c>
      <c r="S1541" s="203"/>
      <c r="T1541" s="151">
        <v>0.35</v>
      </c>
      <c r="U1541" s="151">
        <v>1.0900000000000001</v>
      </c>
      <c r="V1541" s="151">
        <v>0.25</v>
      </c>
      <c r="W1541" s="151"/>
      <c r="X1541" s="152">
        <f t="shared" si="90"/>
        <v>0.1008</v>
      </c>
      <c r="Y1541" s="152"/>
      <c r="Z1541" s="148"/>
      <c r="AA1541" s="153"/>
      <c r="AB1541" s="153"/>
      <c r="AC1541" s="153"/>
      <c r="AD1541" s="153"/>
      <c r="AH1541" s="147"/>
    </row>
    <row r="1542" spans="1:34" s="146" customFormat="1" x14ac:dyDescent="0.25">
      <c r="A1542" s="196">
        <v>2522</v>
      </c>
      <c r="B1542" s="196" t="s">
        <v>2191</v>
      </c>
      <c r="C1542" s="196" t="s">
        <v>8031</v>
      </c>
      <c r="D1542" s="196" t="s">
        <v>1912</v>
      </c>
      <c r="E1542" s="196" t="s">
        <v>2335</v>
      </c>
      <c r="F1542" s="196">
        <v>1992</v>
      </c>
      <c r="G1542" s="196"/>
      <c r="H1542" s="196" t="s">
        <v>1878</v>
      </c>
      <c r="I1542" s="141" t="s">
        <v>1879</v>
      </c>
      <c r="J1542" s="196"/>
      <c r="K1542" s="196" t="s">
        <v>1881</v>
      </c>
      <c r="L1542" s="240" t="s">
        <v>8032</v>
      </c>
      <c r="M1542" s="196">
        <v>448</v>
      </c>
      <c r="N1542" s="196"/>
      <c r="O1542" s="196" t="s">
        <v>6619</v>
      </c>
      <c r="P1542" s="144">
        <v>392</v>
      </c>
      <c r="Q1542" s="145">
        <f t="shared" si="91"/>
        <v>1.0204</v>
      </c>
      <c r="R1542" s="203">
        <v>0.45</v>
      </c>
      <c r="S1542" s="203"/>
      <c r="T1542" s="151">
        <v>0.35</v>
      </c>
      <c r="U1542" s="151">
        <v>0.37</v>
      </c>
      <c r="V1542" s="151">
        <v>0.25</v>
      </c>
      <c r="W1542" s="151"/>
      <c r="X1542" s="152">
        <f t="shared" si="90"/>
        <v>5.04E-2</v>
      </c>
      <c r="Y1542" s="152"/>
      <c r="Z1542" s="148"/>
      <c r="AA1542" s="153"/>
      <c r="AB1542" s="153"/>
      <c r="AC1542" s="153"/>
      <c r="AD1542" s="153"/>
      <c r="AH1542" s="147"/>
    </row>
    <row r="1543" spans="1:34" s="146" customFormat="1" x14ac:dyDescent="0.25">
      <c r="A1543" s="196">
        <v>2522</v>
      </c>
      <c r="B1543" s="196" t="s">
        <v>2456</v>
      </c>
      <c r="C1543" s="196" t="s">
        <v>8033</v>
      </c>
      <c r="D1543" s="196" t="s">
        <v>3077</v>
      </c>
      <c r="E1543" s="196" t="s">
        <v>1877</v>
      </c>
      <c r="F1543" s="196">
        <v>2011</v>
      </c>
      <c r="G1543" s="196"/>
      <c r="H1543" s="196" t="s">
        <v>1878</v>
      </c>
      <c r="I1543" s="141" t="s">
        <v>1879</v>
      </c>
      <c r="J1543" s="196"/>
      <c r="K1543" s="196" t="s">
        <v>1881</v>
      </c>
      <c r="L1543" s="240" t="s">
        <v>8034</v>
      </c>
      <c r="M1543" s="196">
        <v>672</v>
      </c>
      <c r="N1543" s="196"/>
      <c r="O1543" s="196" t="s">
        <v>6620</v>
      </c>
      <c r="P1543" s="144">
        <v>529</v>
      </c>
      <c r="Q1543" s="145">
        <f t="shared" si="91"/>
        <v>1.0204</v>
      </c>
      <c r="R1543" s="203">
        <v>0.49</v>
      </c>
      <c r="S1543" s="203"/>
      <c r="T1543" s="151">
        <v>0.35</v>
      </c>
      <c r="U1543" s="151">
        <v>0.37</v>
      </c>
      <c r="V1543" s="151">
        <v>0.25</v>
      </c>
      <c r="W1543" s="151"/>
      <c r="X1543" s="152">
        <f t="shared" si="90"/>
        <v>5.04E-2</v>
      </c>
      <c r="Y1543" s="152"/>
      <c r="Z1543" s="148"/>
      <c r="AA1543" s="153"/>
      <c r="AB1543" s="153"/>
      <c r="AC1543" s="153"/>
      <c r="AD1543" s="153"/>
      <c r="AH1543" s="147"/>
    </row>
    <row r="1544" spans="1:34" s="146" customFormat="1" x14ac:dyDescent="0.25">
      <c r="A1544" s="196">
        <v>2576</v>
      </c>
      <c r="B1544" s="196" t="s">
        <v>8035</v>
      </c>
      <c r="C1544" s="196" t="s">
        <v>8036</v>
      </c>
      <c r="D1544" s="196" t="s">
        <v>807</v>
      </c>
      <c r="E1544" s="196"/>
      <c r="F1544" s="196">
        <v>2009</v>
      </c>
      <c r="G1544" s="196"/>
      <c r="H1544" s="196" t="s">
        <v>2734</v>
      </c>
      <c r="I1544" s="141" t="s">
        <v>7527</v>
      </c>
      <c r="J1544" s="196"/>
      <c r="K1544" s="196" t="s">
        <v>1881</v>
      </c>
      <c r="L1544" s="240" t="s">
        <v>8037</v>
      </c>
      <c r="M1544" s="196">
        <v>800</v>
      </c>
      <c r="N1544" s="196"/>
      <c r="O1544" s="196" t="s">
        <v>6621</v>
      </c>
      <c r="P1544" s="144">
        <v>999</v>
      </c>
      <c r="Q1544" s="145">
        <f t="shared" si="91"/>
        <v>1.0204</v>
      </c>
      <c r="R1544" s="203">
        <v>0.55000000000000004</v>
      </c>
      <c r="S1544" s="203"/>
      <c r="T1544" s="151">
        <v>0.35</v>
      </c>
      <c r="U1544" s="151">
        <v>0.37</v>
      </c>
      <c r="V1544" s="151">
        <v>0.25</v>
      </c>
      <c r="W1544" s="151"/>
      <c r="X1544" s="152">
        <f t="shared" si="90"/>
        <v>5.04E-2</v>
      </c>
      <c r="Y1544" s="152"/>
      <c r="Z1544" s="148"/>
      <c r="AA1544" s="153"/>
      <c r="AB1544" s="153"/>
      <c r="AC1544" s="153"/>
      <c r="AD1544" s="153"/>
      <c r="AH1544" s="147"/>
    </row>
    <row r="1545" spans="1:34" s="146" customFormat="1" x14ac:dyDescent="0.25">
      <c r="A1545" s="196">
        <v>2576</v>
      </c>
      <c r="B1545" s="196" t="s">
        <v>8035</v>
      </c>
      <c r="C1545" s="196" t="s">
        <v>8038</v>
      </c>
      <c r="D1545" s="196" t="s">
        <v>807</v>
      </c>
      <c r="E1545" s="196"/>
      <c r="F1545" s="196">
        <v>2009</v>
      </c>
      <c r="G1545" s="196"/>
      <c r="H1545" s="196" t="s">
        <v>2734</v>
      </c>
      <c r="I1545" s="141" t="s">
        <v>7817</v>
      </c>
      <c r="J1545" s="196"/>
      <c r="K1545" s="196" t="s">
        <v>1881</v>
      </c>
      <c r="L1545" s="240" t="s">
        <v>8039</v>
      </c>
      <c r="M1545" s="196">
        <v>626</v>
      </c>
      <c r="N1545" s="196"/>
      <c r="O1545" s="196" t="s">
        <v>6622</v>
      </c>
      <c r="P1545" s="144">
        <v>905</v>
      </c>
      <c r="Q1545" s="145">
        <f t="shared" si="91"/>
        <v>1.0204</v>
      </c>
      <c r="R1545" s="203">
        <v>0.55000000000000004</v>
      </c>
      <c r="S1545" s="203"/>
      <c r="T1545" s="151">
        <v>0.35</v>
      </c>
      <c r="U1545" s="151">
        <v>0.37</v>
      </c>
      <c r="V1545" s="151">
        <v>0.25</v>
      </c>
      <c r="W1545" s="151"/>
      <c r="X1545" s="152">
        <f t="shared" si="90"/>
        <v>5.04E-2</v>
      </c>
      <c r="Y1545" s="152"/>
      <c r="Z1545" s="148"/>
      <c r="AA1545" s="153"/>
      <c r="AB1545" s="153"/>
      <c r="AC1545" s="153"/>
      <c r="AD1545" s="153"/>
      <c r="AH1545" s="147"/>
    </row>
    <row r="1546" spans="1:34" s="146" customFormat="1" x14ac:dyDescent="0.25">
      <c r="A1546" s="196">
        <v>2576</v>
      </c>
      <c r="B1546" s="196" t="s">
        <v>8035</v>
      </c>
      <c r="C1546" s="196" t="s">
        <v>8040</v>
      </c>
      <c r="D1546" s="196" t="s">
        <v>807</v>
      </c>
      <c r="E1546" s="196"/>
      <c r="F1546" s="196">
        <v>2009</v>
      </c>
      <c r="G1546" s="196"/>
      <c r="H1546" s="196" t="s">
        <v>1878</v>
      </c>
      <c r="I1546" s="141" t="s">
        <v>1879</v>
      </c>
      <c r="J1546" s="196"/>
      <c r="K1546" s="196" t="s">
        <v>1881</v>
      </c>
      <c r="L1546" s="240" t="s">
        <v>8041</v>
      </c>
      <c r="M1546" s="196">
        <v>576</v>
      </c>
      <c r="N1546" s="196"/>
      <c r="O1546" s="196" t="s">
        <v>6623</v>
      </c>
      <c r="P1546" s="144">
        <v>537</v>
      </c>
      <c r="Q1546" s="145">
        <f t="shared" si="91"/>
        <v>1.0204</v>
      </c>
      <c r="R1546" s="203">
        <v>0.13</v>
      </c>
      <c r="S1546" s="203"/>
      <c r="T1546" s="151">
        <v>0.35</v>
      </c>
      <c r="U1546" s="151">
        <v>0.37</v>
      </c>
      <c r="V1546" s="151">
        <v>0.25</v>
      </c>
      <c r="W1546" s="151"/>
      <c r="X1546" s="152">
        <f t="shared" si="90"/>
        <v>5.04E-2</v>
      </c>
      <c r="Y1546" s="152"/>
      <c r="Z1546" s="148"/>
      <c r="AA1546" s="153"/>
      <c r="AB1546" s="153"/>
      <c r="AC1546" s="153"/>
      <c r="AD1546" s="153"/>
      <c r="AH1546" s="147"/>
    </row>
    <row r="1547" spans="1:34" s="146" customFormat="1" x14ac:dyDescent="0.25">
      <c r="A1547" s="196">
        <v>1809</v>
      </c>
      <c r="B1547" s="196" t="s">
        <v>8042</v>
      </c>
      <c r="C1547" s="196" t="s">
        <v>8043</v>
      </c>
      <c r="D1547" s="196" t="s">
        <v>2822</v>
      </c>
      <c r="E1547" s="196"/>
      <c r="F1547" s="196">
        <v>2007</v>
      </c>
      <c r="G1547" s="196"/>
      <c r="H1547" s="196" t="s">
        <v>1878</v>
      </c>
      <c r="I1547" s="141" t="s">
        <v>1879</v>
      </c>
      <c r="J1547" s="196"/>
      <c r="K1547" s="196" t="s">
        <v>1881</v>
      </c>
      <c r="L1547" s="240"/>
      <c r="M1547" s="196">
        <v>272</v>
      </c>
      <c r="N1547" s="196"/>
      <c r="O1547" s="196" t="s">
        <v>6624</v>
      </c>
      <c r="P1547" s="144">
        <v>302</v>
      </c>
      <c r="Q1547" s="145">
        <f t="shared" si="91"/>
        <v>1.0204</v>
      </c>
      <c r="R1547" s="203">
        <v>0.25</v>
      </c>
      <c r="S1547" s="203"/>
      <c r="T1547" s="151">
        <v>0.35</v>
      </c>
      <c r="U1547" s="151">
        <v>0.37</v>
      </c>
      <c r="V1547" s="151">
        <v>0.25</v>
      </c>
      <c r="W1547" s="151"/>
      <c r="X1547" s="152">
        <f t="shared" si="90"/>
        <v>5.04E-2</v>
      </c>
      <c r="Y1547" s="152"/>
      <c r="Z1547" s="148"/>
      <c r="AA1547" s="153"/>
      <c r="AB1547" s="153"/>
      <c r="AC1547" s="153"/>
      <c r="AD1547" s="153"/>
      <c r="AH1547" s="147"/>
    </row>
    <row r="1548" spans="1:34" s="146" customFormat="1" x14ac:dyDescent="0.25">
      <c r="A1548" s="196">
        <v>1809</v>
      </c>
      <c r="B1548" s="196" t="s">
        <v>8044</v>
      </c>
      <c r="C1548" s="196" t="s">
        <v>8045</v>
      </c>
      <c r="D1548" s="196" t="s">
        <v>2822</v>
      </c>
      <c r="E1548" s="196"/>
      <c r="F1548" s="196">
        <v>2007</v>
      </c>
      <c r="G1548" s="196"/>
      <c r="H1548" s="196" t="s">
        <v>1878</v>
      </c>
      <c r="I1548" s="141" t="s">
        <v>1914</v>
      </c>
      <c r="J1548" s="196"/>
      <c r="K1548" s="196" t="s">
        <v>1881</v>
      </c>
      <c r="L1548" s="240"/>
      <c r="M1548" s="196">
        <v>256</v>
      </c>
      <c r="N1548" s="196"/>
      <c r="O1548" s="196" t="s">
        <v>6625</v>
      </c>
      <c r="P1548" s="144">
        <v>286</v>
      </c>
      <c r="Q1548" s="145">
        <f t="shared" si="91"/>
        <v>1.0204</v>
      </c>
      <c r="R1548" s="203">
        <v>0.4</v>
      </c>
      <c r="S1548" s="203"/>
      <c r="T1548" s="151">
        <v>0.35</v>
      </c>
      <c r="U1548" s="151">
        <v>0.37</v>
      </c>
      <c r="V1548" s="151">
        <v>0.25</v>
      </c>
      <c r="W1548" s="151"/>
      <c r="X1548" s="152">
        <f t="shared" si="90"/>
        <v>5.04E-2</v>
      </c>
      <c r="Y1548" s="152"/>
      <c r="Z1548" s="148"/>
      <c r="AA1548" s="153"/>
      <c r="AB1548" s="153"/>
      <c r="AC1548" s="153"/>
      <c r="AD1548" s="153"/>
      <c r="AH1548" s="147"/>
    </row>
    <row r="1549" spans="1:34" s="146" customFormat="1" x14ac:dyDescent="0.25">
      <c r="A1549" s="196">
        <v>2522</v>
      </c>
      <c r="B1549" s="196" t="s">
        <v>8046</v>
      </c>
      <c r="C1549" s="196" t="s">
        <v>8047</v>
      </c>
      <c r="D1549" s="196" t="s">
        <v>1920</v>
      </c>
      <c r="E1549" s="196"/>
      <c r="F1549" s="196">
        <v>2005</v>
      </c>
      <c r="G1549" s="196"/>
      <c r="H1549" s="196" t="s">
        <v>1878</v>
      </c>
      <c r="I1549" s="141" t="s">
        <v>6422</v>
      </c>
      <c r="J1549" s="196"/>
      <c r="K1549" s="196" t="s">
        <v>1881</v>
      </c>
      <c r="L1549" s="240" t="s">
        <v>8048</v>
      </c>
      <c r="M1549" s="196">
        <v>352</v>
      </c>
      <c r="N1549" s="196"/>
      <c r="O1549" s="196" t="s">
        <v>6626</v>
      </c>
      <c r="P1549" s="144">
        <v>303</v>
      </c>
      <c r="Q1549" s="145">
        <f t="shared" si="91"/>
        <v>1.0204</v>
      </c>
      <c r="R1549" s="203">
        <v>0.6</v>
      </c>
      <c r="S1549" s="203"/>
      <c r="T1549" s="151">
        <v>0.35</v>
      </c>
      <c r="U1549" s="151">
        <v>0.37</v>
      </c>
      <c r="V1549" s="151">
        <v>0.25</v>
      </c>
      <c r="W1549" s="151"/>
      <c r="X1549" s="152">
        <f t="shared" si="90"/>
        <v>5.04E-2</v>
      </c>
      <c r="Y1549" s="152"/>
      <c r="Z1549" s="148"/>
      <c r="AA1549" s="153"/>
      <c r="AB1549" s="153"/>
      <c r="AC1549" s="153"/>
      <c r="AD1549" s="153"/>
      <c r="AH1549" s="147"/>
    </row>
    <row r="1550" spans="1:34" s="146" customFormat="1" x14ac:dyDescent="0.25">
      <c r="A1550" s="196">
        <v>2522</v>
      </c>
      <c r="B1550" s="196" t="s">
        <v>8049</v>
      </c>
      <c r="C1550" s="196" t="s">
        <v>8050</v>
      </c>
      <c r="D1550" s="196" t="s">
        <v>2054</v>
      </c>
      <c r="E1550" s="196"/>
      <c r="F1550" s="196">
        <v>2007</v>
      </c>
      <c r="G1550" s="196"/>
      <c r="H1550" s="196" t="s">
        <v>1878</v>
      </c>
      <c r="I1550" s="141" t="s">
        <v>7527</v>
      </c>
      <c r="J1550" s="196"/>
      <c r="K1550" s="196" t="s">
        <v>1881</v>
      </c>
      <c r="L1550" s="240" t="s">
        <v>8051</v>
      </c>
      <c r="M1550" s="196">
        <v>544</v>
      </c>
      <c r="N1550" s="196"/>
      <c r="O1550" s="196" t="s">
        <v>6627</v>
      </c>
      <c r="P1550" s="144">
        <v>396</v>
      </c>
      <c r="Q1550" s="145">
        <f t="shared" si="91"/>
        <v>1.0204</v>
      </c>
      <c r="R1550" s="203">
        <v>0.25</v>
      </c>
      <c r="S1550" s="203"/>
      <c r="T1550" s="151">
        <v>0.35</v>
      </c>
      <c r="U1550" s="151">
        <v>0.37</v>
      </c>
      <c r="V1550" s="151">
        <v>0.25</v>
      </c>
      <c r="W1550" s="151"/>
      <c r="X1550" s="152">
        <f t="shared" si="90"/>
        <v>5.04E-2</v>
      </c>
      <c r="Y1550" s="152"/>
      <c r="Z1550" s="148"/>
      <c r="AA1550" s="153"/>
      <c r="AB1550" s="153"/>
      <c r="AC1550" s="153"/>
      <c r="AD1550" s="153"/>
      <c r="AH1550" s="147"/>
    </row>
    <row r="1551" spans="1:34" s="146" customFormat="1" x14ac:dyDescent="0.25">
      <c r="A1551" s="196">
        <v>2522</v>
      </c>
      <c r="B1551" s="196" t="s">
        <v>4135</v>
      </c>
      <c r="C1551" s="196" t="s">
        <v>8052</v>
      </c>
      <c r="D1551" s="196" t="s">
        <v>2054</v>
      </c>
      <c r="E1551" s="196"/>
      <c r="F1551" s="196">
        <v>2006</v>
      </c>
      <c r="G1551" s="196"/>
      <c r="H1551" s="196" t="s">
        <v>1878</v>
      </c>
      <c r="I1551" s="141" t="s">
        <v>7817</v>
      </c>
      <c r="J1551" s="196"/>
      <c r="K1551" s="196" t="s">
        <v>1881</v>
      </c>
      <c r="L1551" s="240" t="s">
        <v>8053</v>
      </c>
      <c r="M1551" s="196">
        <v>624</v>
      </c>
      <c r="N1551" s="196"/>
      <c r="O1551" s="196" t="s">
        <v>6628</v>
      </c>
      <c r="P1551" s="144">
        <v>453</v>
      </c>
      <c r="Q1551" s="145">
        <f t="shared" si="91"/>
        <v>1.1487999999999998</v>
      </c>
      <c r="R1551" s="203">
        <v>0.95</v>
      </c>
      <c r="S1551" s="203"/>
      <c r="T1551" s="151">
        <v>0.35</v>
      </c>
      <c r="U1551" s="151">
        <v>0.49</v>
      </c>
      <c r="V1551" s="151">
        <v>0.25</v>
      </c>
      <c r="W1551" s="151"/>
      <c r="X1551" s="152">
        <f t="shared" si="90"/>
        <v>5.8799999999999998E-2</v>
      </c>
      <c r="Y1551" s="152"/>
      <c r="Z1551" s="148"/>
      <c r="AA1551" s="153"/>
      <c r="AB1551" s="153"/>
      <c r="AC1551" s="153"/>
      <c r="AD1551" s="153"/>
      <c r="AH1551" s="147"/>
    </row>
    <row r="1552" spans="1:34" s="146" customFormat="1" x14ac:dyDescent="0.25">
      <c r="A1552" s="196">
        <v>2522</v>
      </c>
      <c r="B1552" s="196" t="s">
        <v>8054</v>
      </c>
      <c r="C1552" s="196" t="s">
        <v>8055</v>
      </c>
      <c r="D1552" s="196" t="s">
        <v>1920</v>
      </c>
      <c r="E1552" s="196"/>
      <c r="F1552" s="196">
        <v>2015</v>
      </c>
      <c r="G1552" s="196"/>
      <c r="H1552" s="196" t="s">
        <v>1878</v>
      </c>
      <c r="I1552" s="141" t="s">
        <v>1929</v>
      </c>
      <c r="J1552" s="52" t="s">
        <v>3854</v>
      </c>
      <c r="K1552" s="196" t="s">
        <v>1881</v>
      </c>
      <c r="L1552" s="240" t="s">
        <v>8056</v>
      </c>
      <c r="M1552" s="196">
        <v>480</v>
      </c>
      <c r="N1552" s="196"/>
      <c r="O1552" s="196" t="s">
        <v>6629</v>
      </c>
      <c r="P1552" s="144">
        <v>479</v>
      </c>
      <c r="Q1552" s="145">
        <f t="shared" si="91"/>
        <v>1.2558</v>
      </c>
      <c r="R1552" s="203">
        <v>1</v>
      </c>
      <c r="S1552" s="203"/>
      <c r="T1552" s="151">
        <v>0.35</v>
      </c>
      <c r="U1552" s="151">
        <v>0.59</v>
      </c>
      <c r="V1552" s="151">
        <v>0.25</v>
      </c>
      <c r="W1552" s="151"/>
      <c r="X1552" s="152">
        <f t="shared" si="90"/>
        <v>6.5799999999999997E-2</v>
      </c>
      <c r="Y1552" s="152"/>
      <c r="Z1552" s="148"/>
      <c r="AA1552" s="153"/>
      <c r="AB1552" s="153"/>
      <c r="AC1552" s="153"/>
      <c r="AD1552" s="153"/>
      <c r="AH1552" s="147"/>
    </row>
    <row r="1553" spans="1:34" s="146" customFormat="1" x14ac:dyDescent="0.25">
      <c r="A1553" s="196">
        <v>2022</v>
      </c>
      <c r="B1553" s="196" t="s">
        <v>8063</v>
      </c>
      <c r="C1553" s="196" t="s">
        <v>8064</v>
      </c>
      <c r="D1553" s="196" t="s">
        <v>8065</v>
      </c>
      <c r="E1553" s="196" t="s">
        <v>1913</v>
      </c>
      <c r="F1553" s="196">
        <v>2011</v>
      </c>
      <c r="G1553" s="196"/>
      <c r="H1553" s="196" t="s">
        <v>1878</v>
      </c>
      <c r="I1553" s="141" t="s">
        <v>1929</v>
      </c>
      <c r="J1553" s="196"/>
      <c r="K1553" s="196" t="s">
        <v>1881</v>
      </c>
      <c r="L1553" s="240" t="s">
        <v>8066</v>
      </c>
      <c r="M1553" s="196">
        <v>288</v>
      </c>
      <c r="N1553" s="196"/>
      <c r="O1553" s="196" t="s">
        <v>6632</v>
      </c>
      <c r="P1553" s="144">
        <v>328</v>
      </c>
      <c r="Q1553" s="145">
        <f t="shared" si="91"/>
        <v>2.1225000000000001</v>
      </c>
      <c r="R1553" s="203">
        <v>0</v>
      </c>
      <c r="S1553" s="203"/>
      <c r="T1553" s="151">
        <v>0.35</v>
      </c>
      <c r="U1553" s="151">
        <v>1.4</v>
      </c>
      <c r="V1553" s="151">
        <v>0.25</v>
      </c>
      <c r="W1553" s="151"/>
      <c r="X1553" s="152">
        <f t="shared" si="90"/>
        <v>0.12250000000000001</v>
      </c>
      <c r="Y1553" s="152"/>
      <c r="Z1553" s="148"/>
      <c r="AA1553" s="153"/>
      <c r="AB1553" s="153"/>
      <c r="AC1553" s="153"/>
      <c r="AD1553" s="153"/>
      <c r="AH1553" s="147"/>
    </row>
    <row r="1554" spans="1:34" s="146" customFormat="1" x14ac:dyDescent="0.25">
      <c r="A1554" s="196">
        <v>796</v>
      </c>
      <c r="B1554" s="196" t="s">
        <v>8074</v>
      </c>
      <c r="C1554" s="196" t="s">
        <v>8075</v>
      </c>
      <c r="D1554" s="196" t="s">
        <v>2835</v>
      </c>
      <c r="E1554" s="196"/>
      <c r="F1554" s="196">
        <v>2008</v>
      </c>
      <c r="G1554" s="196"/>
      <c r="H1554" s="196" t="s">
        <v>1878</v>
      </c>
      <c r="I1554" s="141" t="s">
        <v>1929</v>
      </c>
      <c r="J1554" s="52" t="s">
        <v>3854</v>
      </c>
      <c r="K1554" s="196" t="s">
        <v>1881</v>
      </c>
      <c r="L1554" s="240" t="s">
        <v>8076</v>
      </c>
      <c r="M1554" s="196">
        <v>496</v>
      </c>
      <c r="N1554" s="196"/>
      <c r="O1554" s="196" t="s">
        <v>6635</v>
      </c>
      <c r="P1554" s="144">
        <v>470</v>
      </c>
      <c r="Q1554" s="145">
        <f t="shared" si="91"/>
        <v>2.0048000000000004</v>
      </c>
      <c r="R1554" s="203">
        <v>1.5</v>
      </c>
      <c r="S1554" s="203"/>
      <c r="T1554" s="151">
        <v>0.35</v>
      </c>
      <c r="U1554" s="151">
        <v>1.29</v>
      </c>
      <c r="V1554" s="151">
        <v>0.25</v>
      </c>
      <c r="W1554" s="151"/>
      <c r="X1554" s="152">
        <f t="shared" si="90"/>
        <v>0.11480000000000001</v>
      </c>
      <c r="Y1554" s="152"/>
      <c r="Z1554" s="148"/>
      <c r="AA1554" s="153"/>
      <c r="AB1554" s="153"/>
      <c r="AC1554" s="153"/>
      <c r="AD1554" s="153"/>
      <c r="AH1554" s="147"/>
    </row>
    <row r="1555" spans="1:34" s="146" customFormat="1" x14ac:dyDescent="0.25">
      <c r="A1555" s="196">
        <v>1386</v>
      </c>
      <c r="B1555" s="196" t="s">
        <v>8077</v>
      </c>
      <c r="C1555" s="196" t="s">
        <v>8078</v>
      </c>
      <c r="D1555" s="196" t="s">
        <v>3864</v>
      </c>
      <c r="E1555" s="196" t="s">
        <v>1921</v>
      </c>
      <c r="F1555" s="196">
        <v>2012</v>
      </c>
      <c r="G1555" s="196"/>
      <c r="H1555" s="196" t="s">
        <v>1878</v>
      </c>
      <c r="I1555" s="141" t="s">
        <v>1879</v>
      </c>
      <c r="J1555" s="196"/>
      <c r="K1555" s="196" t="s">
        <v>1881</v>
      </c>
      <c r="L1555" s="240" t="s">
        <v>8079</v>
      </c>
      <c r="M1555" s="196">
        <v>352</v>
      </c>
      <c r="N1555" s="196"/>
      <c r="O1555" s="196" t="s">
        <v>6636</v>
      </c>
      <c r="P1555" s="144">
        <v>361</v>
      </c>
      <c r="Q1555" s="145">
        <f t="shared" si="91"/>
        <v>1.0204</v>
      </c>
      <c r="R1555" s="203">
        <v>0.25</v>
      </c>
      <c r="S1555" s="203"/>
      <c r="T1555" s="151">
        <v>0.35</v>
      </c>
      <c r="U1555" s="151">
        <v>0.37</v>
      </c>
      <c r="V1555" s="151">
        <v>0.25</v>
      </c>
      <c r="W1555" s="151"/>
      <c r="X1555" s="152">
        <f t="shared" si="90"/>
        <v>5.04E-2</v>
      </c>
      <c r="Y1555" s="152"/>
      <c r="Z1555" s="148"/>
      <c r="AA1555" s="153"/>
      <c r="AB1555" s="153"/>
      <c r="AC1555" s="153"/>
      <c r="AD1555" s="153"/>
      <c r="AH1555" s="147"/>
    </row>
    <row r="1556" spans="1:34" s="146" customFormat="1" x14ac:dyDescent="0.25">
      <c r="A1556" s="196">
        <v>1395</v>
      </c>
      <c r="B1556" s="196" t="s">
        <v>8080</v>
      </c>
      <c r="C1556" s="196" t="s">
        <v>8081</v>
      </c>
      <c r="D1556" s="196" t="s">
        <v>2250</v>
      </c>
      <c r="E1556" s="196" t="s">
        <v>1921</v>
      </c>
      <c r="F1556" s="196">
        <v>1999</v>
      </c>
      <c r="G1556" s="196"/>
      <c r="H1556" s="196" t="s">
        <v>1878</v>
      </c>
      <c r="I1556" s="141" t="s">
        <v>1914</v>
      </c>
      <c r="J1556" s="196"/>
      <c r="K1556" s="196" t="s">
        <v>1881</v>
      </c>
      <c r="L1556" s="240" t="s">
        <v>8082</v>
      </c>
      <c r="M1556" s="196">
        <v>256</v>
      </c>
      <c r="N1556" s="196"/>
      <c r="O1556" s="196" t="s">
        <v>6637</v>
      </c>
      <c r="P1556" s="144">
        <v>201</v>
      </c>
      <c r="Q1556" s="145">
        <f t="shared" si="91"/>
        <v>1.0204</v>
      </c>
      <c r="R1556" s="203">
        <v>0.5</v>
      </c>
      <c r="S1556" s="203"/>
      <c r="T1556" s="151">
        <v>0.35</v>
      </c>
      <c r="U1556" s="151">
        <v>0.37</v>
      </c>
      <c r="V1556" s="151">
        <v>0.25</v>
      </c>
      <c r="W1556" s="151"/>
      <c r="X1556" s="152">
        <f t="shared" si="90"/>
        <v>5.04E-2</v>
      </c>
      <c r="Y1556" s="152"/>
      <c r="Z1556" s="148"/>
      <c r="AA1556" s="153"/>
      <c r="AB1556" s="153"/>
      <c r="AC1556" s="153"/>
      <c r="AD1556" s="153"/>
      <c r="AH1556" s="147"/>
    </row>
    <row r="1557" spans="1:34" s="146" customFormat="1" x14ac:dyDescent="0.25">
      <c r="A1557" s="196">
        <v>796</v>
      </c>
      <c r="B1557" s="196" t="s">
        <v>8083</v>
      </c>
      <c r="C1557" s="196" t="s">
        <v>8084</v>
      </c>
      <c r="D1557" s="196" t="s">
        <v>2644</v>
      </c>
      <c r="E1557" s="196"/>
      <c r="F1557" s="196">
        <v>2010</v>
      </c>
      <c r="G1557" s="196"/>
      <c r="H1557" s="196" t="s">
        <v>1878</v>
      </c>
      <c r="I1557" s="141" t="s">
        <v>1879</v>
      </c>
      <c r="J1557" s="196"/>
      <c r="K1557" s="196" t="s">
        <v>1881</v>
      </c>
      <c r="L1557" s="240" t="s">
        <v>8085</v>
      </c>
      <c r="M1557" s="196">
        <v>208</v>
      </c>
      <c r="N1557" s="196"/>
      <c r="O1557" s="196" t="s">
        <v>6638</v>
      </c>
      <c r="P1557" s="144">
        <v>185</v>
      </c>
      <c r="Q1557" s="145">
        <f t="shared" si="91"/>
        <v>2.0048000000000004</v>
      </c>
      <c r="R1557" s="203">
        <v>1.92</v>
      </c>
      <c r="S1557" s="203"/>
      <c r="T1557" s="151">
        <v>0.35</v>
      </c>
      <c r="U1557" s="151">
        <v>1.29</v>
      </c>
      <c r="V1557" s="151">
        <v>0.25</v>
      </c>
      <c r="W1557" s="151"/>
      <c r="X1557" s="152">
        <f t="shared" si="90"/>
        <v>0.11480000000000001</v>
      </c>
      <c r="Y1557" s="152"/>
      <c r="Z1557" s="148"/>
      <c r="AA1557" s="153"/>
      <c r="AB1557" s="153"/>
      <c r="AC1557" s="153"/>
      <c r="AD1557" s="153"/>
      <c r="AH1557" s="147"/>
    </row>
    <row r="1558" spans="1:34" s="146" customFormat="1" x14ac:dyDescent="0.25">
      <c r="A1558" s="196">
        <v>2851</v>
      </c>
      <c r="B1558" s="196" t="s">
        <v>8086</v>
      </c>
      <c r="C1558" s="196" t="s">
        <v>8087</v>
      </c>
      <c r="D1558" s="196" t="s">
        <v>3864</v>
      </c>
      <c r="E1558" s="196"/>
      <c r="F1558" s="196">
        <v>2010</v>
      </c>
      <c r="G1558" s="196"/>
      <c r="H1558" s="196" t="s">
        <v>2734</v>
      </c>
      <c r="I1558" s="141" t="s">
        <v>1879</v>
      </c>
      <c r="J1558" s="196"/>
      <c r="K1558" s="196" t="s">
        <v>1881</v>
      </c>
      <c r="L1558" s="240" t="s">
        <v>8088</v>
      </c>
      <c r="M1558" s="196">
        <v>242</v>
      </c>
      <c r="N1558" s="196"/>
      <c r="O1558" s="196" t="s">
        <v>6639</v>
      </c>
      <c r="P1558" s="144">
        <v>420</v>
      </c>
      <c r="Q1558" s="145">
        <f t="shared" si="91"/>
        <v>12.383800000000001</v>
      </c>
      <c r="R1558" s="203">
        <v>15</v>
      </c>
      <c r="S1558" s="203"/>
      <c r="T1558" s="151">
        <v>0.35</v>
      </c>
      <c r="U1558" s="151">
        <v>10.99</v>
      </c>
      <c r="V1558" s="151">
        <v>0.25</v>
      </c>
      <c r="W1558" s="151"/>
      <c r="X1558" s="152">
        <f t="shared" si="90"/>
        <v>0.79380000000000006</v>
      </c>
      <c r="Y1558" s="152"/>
      <c r="Z1558" s="148"/>
      <c r="AA1558" s="153"/>
      <c r="AB1558" s="153"/>
      <c r="AC1558" s="153"/>
      <c r="AD1558" s="153"/>
      <c r="AH1558" s="147"/>
    </row>
    <row r="1559" spans="1:34" s="146" customFormat="1" x14ac:dyDescent="0.25">
      <c r="A1559" s="196">
        <v>1940</v>
      </c>
      <c r="B1559" s="196" t="s">
        <v>8089</v>
      </c>
      <c r="C1559" s="196" t="s">
        <v>8090</v>
      </c>
      <c r="D1559" s="196" t="s">
        <v>8091</v>
      </c>
      <c r="E1559" s="196" t="s">
        <v>1913</v>
      </c>
      <c r="F1559" s="196">
        <v>2014</v>
      </c>
      <c r="G1559" s="196"/>
      <c r="H1559" s="196" t="s">
        <v>2734</v>
      </c>
      <c r="I1559" s="141" t="s">
        <v>1929</v>
      </c>
      <c r="J1559" s="196"/>
      <c r="K1559" s="196" t="s">
        <v>1881</v>
      </c>
      <c r="L1559" s="240" t="s">
        <v>8092</v>
      </c>
      <c r="M1559" s="196">
        <v>186</v>
      </c>
      <c r="N1559" s="196"/>
      <c r="O1559" s="196" t="s">
        <v>6640</v>
      </c>
      <c r="P1559" s="144">
        <v>365</v>
      </c>
      <c r="Q1559" s="145">
        <f t="shared" si="91"/>
        <v>2.8607999999999998</v>
      </c>
      <c r="R1559" s="203">
        <v>3</v>
      </c>
      <c r="S1559" s="203"/>
      <c r="T1559" s="151">
        <v>0.35</v>
      </c>
      <c r="U1559" s="151">
        <v>2.09</v>
      </c>
      <c r="V1559" s="151">
        <v>0.25</v>
      </c>
      <c r="W1559" s="151"/>
      <c r="X1559" s="152">
        <f t="shared" si="90"/>
        <v>0.17079999999999998</v>
      </c>
      <c r="Y1559" s="152"/>
      <c r="Z1559" s="148"/>
      <c r="AA1559" s="153"/>
      <c r="AB1559" s="153"/>
      <c r="AC1559" s="153"/>
      <c r="AD1559" s="153"/>
      <c r="AH1559" s="147"/>
    </row>
    <row r="1560" spans="1:34" s="146" customFormat="1" x14ac:dyDescent="0.25">
      <c r="A1560" s="196">
        <v>1395</v>
      </c>
      <c r="B1560" s="196" t="s">
        <v>8093</v>
      </c>
      <c r="C1560" s="196" t="s">
        <v>8094</v>
      </c>
      <c r="D1560" s="196" t="s">
        <v>2835</v>
      </c>
      <c r="E1560" s="196" t="s">
        <v>1913</v>
      </c>
      <c r="F1560" s="196">
        <v>2007</v>
      </c>
      <c r="G1560" s="196"/>
      <c r="H1560" s="196" t="s">
        <v>1878</v>
      </c>
      <c r="I1560" s="141" t="s">
        <v>1929</v>
      </c>
      <c r="J1560" s="52" t="s">
        <v>3854</v>
      </c>
      <c r="K1560" s="196" t="s">
        <v>1881</v>
      </c>
      <c r="L1560" s="240" t="s">
        <v>8095</v>
      </c>
      <c r="M1560" s="196">
        <v>288</v>
      </c>
      <c r="N1560" s="196"/>
      <c r="O1560" s="196" t="s">
        <v>6641</v>
      </c>
      <c r="P1560" s="144">
        <v>404</v>
      </c>
      <c r="Q1560" s="145">
        <f t="shared" si="91"/>
        <v>1.2558</v>
      </c>
      <c r="R1560" s="203">
        <v>1</v>
      </c>
      <c r="S1560" s="203"/>
      <c r="T1560" s="151">
        <v>0.35</v>
      </c>
      <c r="U1560" s="151">
        <v>0.59</v>
      </c>
      <c r="V1560" s="151">
        <v>0.25</v>
      </c>
      <c r="W1560" s="151"/>
      <c r="X1560" s="152">
        <f t="shared" si="90"/>
        <v>6.5799999999999997E-2</v>
      </c>
      <c r="Y1560" s="152"/>
      <c r="Z1560" s="148"/>
      <c r="AA1560" s="153"/>
      <c r="AB1560" s="153"/>
      <c r="AC1560" s="153"/>
      <c r="AD1560" s="153"/>
      <c r="AH1560" s="147"/>
    </row>
    <row r="1561" spans="1:34" s="146" customFormat="1" x14ac:dyDescent="0.25">
      <c r="A1561" s="196">
        <v>692</v>
      </c>
      <c r="B1561" s="196" t="s">
        <v>8096</v>
      </c>
      <c r="C1561" s="196" t="s">
        <v>8097</v>
      </c>
      <c r="D1561" s="196" t="s">
        <v>8098</v>
      </c>
      <c r="E1561" s="196"/>
      <c r="F1561" s="196">
        <v>2012</v>
      </c>
      <c r="G1561" s="196"/>
      <c r="H1561" s="196" t="s">
        <v>1878</v>
      </c>
      <c r="I1561" s="141" t="s">
        <v>1929</v>
      </c>
      <c r="J1561" s="196"/>
      <c r="K1561" s="196" t="s">
        <v>1881</v>
      </c>
      <c r="L1561" s="240" t="s">
        <v>8099</v>
      </c>
      <c r="M1561" s="196">
        <v>288</v>
      </c>
      <c r="N1561" s="196"/>
      <c r="O1561" s="196" t="s">
        <v>6642</v>
      </c>
      <c r="P1561" s="144">
        <v>410</v>
      </c>
      <c r="Q1561" s="145">
        <f t="shared" si="91"/>
        <v>1.4698000000000002</v>
      </c>
      <c r="R1561" s="203">
        <v>1.2</v>
      </c>
      <c r="S1561" s="203"/>
      <c r="T1561" s="151">
        <v>0.35</v>
      </c>
      <c r="U1561" s="151">
        <v>0.79</v>
      </c>
      <c r="V1561" s="151">
        <v>0.25</v>
      </c>
      <c r="W1561" s="151"/>
      <c r="X1561" s="152">
        <f t="shared" si="90"/>
        <v>7.980000000000001E-2</v>
      </c>
      <c r="Y1561" s="152"/>
      <c r="Z1561" s="148"/>
      <c r="AA1561" s="153"/>
      <c r="AB1561" s="153"/>
      <c r="AC1561" s="153"/>
      <c r="AD1561" s="153"/>
      <c r="AH1561" s="147"/>
    </row>
    <row r="1562" spans="1:34" s="146" customFormat="1" x14ac:dyDescent="0.25">
      <c r="A1562" s="196">
        <v>1386</v>
      </c>
      <c r="B1562" s="196" t="s">
        <v>8100</v>
      </c>
      <c r="C1562" s="196" t="s">
        <v>8101</v>
      </c>
      <c r="D1562" s="196" t="s">
        <v>2835</v>
      </c>
      <c r="E1562" s="196" t="s">
        <v>1921</v>
      </c>
      <c r="F1562" s="196">
        <v>2010</v>
      </c>
      <c r="G1562" s="196"/>
      <c r="H1562" s="196" t="s">
        <v>1878</v>
      </c>
      <c r="I1562" s="141" t="s">
        <v>1929</v>
      </c>
      <c r="J1562" s="52" t="s">
        <v>3854</v>
      </c>
      <c r="K1562" s="196" t="s">
        <v>1881</v>
      </c>
      <c r="L1562" s="240" t="s">
        <v>8102</v>
      </c>
      <c r="M1562" s="196">
        <v>240</v>
      </c>
      <c r="N1562" s="196"/>
      <c r="O1562" s="196" t="s">
        <v>6643</v>
      </c>
      <c r="P1562" s="144">
        <v>326</v>
      </c>
      <c r="Q1562" s="145">
        <f t="shared" si="91"/>
        <v>1.7907999999999999</v>
      </c>
      <c r="R1562" s="203">
        <v>1.5</v>
      </c>
      <c r="S1562" s="203"/>
      <c r="T1562" s="151">
        <v>0.35</v>
      </c>
      <c r="U1562" s="151">
        <v>1.0900000000000001</v>
      </c>
      <c r="V1562" s="151">
        <v>0.25</v>
      </c>
      <c r="W1562" s="151"/>
      <c r="X1562" s="152">
        <f t="shared" si="90"/>
        <v>0.1008</v>
      </c>
      <c r="Y1562" s="152"/>
      <c r="Z1562" s="148"/>
      <c r="AA1562" s="153"/>
      <c r="AB1562" s="153"/>
      <c r="AC1562" s="153"/>
      <c r="AD1562" s="153"/>
      <c r="AH1562" s="147"/>
    </row>
    <row r="1563" spans="1:34" s="146" customFormat="1" x14ac:dyDescent="0.25">
      <c r="A1563" s="196">
        <v>1395</v>
      </c>
      <c r="B1563" s="196" t="s">
        <v>8103</v>
      </c>
      <c r="C1563" s="196" t="s">
        <v>8104</v>
      </c>
      <c r="D1563" s="196" t="s">
        <v>2835</v>
      </c>
      <c r="E1563" s="196" t="s">
        <v>1913</v>
      </c>
      <c r="F1563" s="196">
        <v>2007</v>
      </c>
      <c r="G1563" s="196"/>
      <c r="H1563" s="196" t="s">
        <v>1878</v>
      </c>
      <c r="I1563" s="141" t="s">
        <v>1929</v>
      </c>
      <c r="J1563" s="52" t="s">
        <v>3854</v>
      </c>
      <c r="K1563" s="196" t="s">
        <v>1881</v>
      </c>
      <c r="L1563" s="240" t="s">
        <v>8105</v>
      </c>
      <c r="M1563" s="196">
        <v>224</v>
      </c>
      <c r="N1563" s="196"/>
      <c r="O1563" s="196" t="s">
        <v>6644</v>
      </c>
      <c r="P1563" s="144">
        <v>325</v>
      </c>
      <c r="Q1563" s="145">
        <f t="shared" si="91"/>
        <v>2.1225000000000001</v>
      </c>
      <c r="R1563" s="203">
        <v>2</v>
      </c>
      <c r="S1563" s="203"/>
      <c r="T1563" s="151">
        <v>0.35</v>
      </c>
      <c r="U1563" s="151">
        <v>1.4</v>
      </c>
      <c r="V1563" s="151">
        <v>0.25</v>
      </c>
      <c r="W1563" s="151"/>
      <c r="X1563" s="152">
        <f t="shared" si="90"/>
        <v>0.12250000000000001</v>
      </c>
      <c r="Y1563" s="152"/>
      <c r="Z1563" s="148"/>
      <c r="AA1563" s="153"/>
      <c r="AB1563" s="153"/>
      <c r="AC1563" s="153"/>
      <c r="AD1563" s="153"/>
      <c r="AH1563" s="147"/>
    </row>
    <row r="1564" spans="1:34" s="146" customFormat="1" x14ac:dyDescent="0.25">
      <c r="A1564" s="196">
        <v>796</v>
      </c>
      <c r="B1564" s="196" t="s">
        <v>8106</v>
      </c>
      <c r="C1564" s="196" t="s">
        <v>8107</v>
      </c>
      <c r="D1564" s="196" t="s">
        <v>1095</v>
      </c>
      <c r="E1564" s="196" t="s">
        <v>1877</v>
      </c>
      <c r="F1564" s="196">
        <v>2012</v>
      </c>
      <c r="G1564" s="196"/>
      <c r="H1564" s="196" t="s">
        <v>1878</v>
      </c>
      <c r="I1564" s="141" t="s">
        <v>1879</v>
      </c>
      <c r="J1564" s="196"/>
      <c r="K1564" s="196" t="s">
        <v>1881</v>
      </c>
      <c r="L1564" s="240" t="s">
        <v>8108</v>
      </c>
      <c r="M1564" s="196">
        <v>288</v>
      </c>
      <c r="N1564" s="196"/>
      <c r="O1564" s="196" t="s">
        <v>6645</v>
      </c>
      <c r="P1564" s="144">
        <v>242</v>
      </c>
      <c r="Q1564" s="145">
        <f t="shared" si="91"/>
        <v>1.0204</v>
      </c>
      <c r="R1564" s="203">
        <v>0.59</v>
      </c>
      <c r="S1564" s="203"/>
      <c r="T1564" s="151">
        <v>0.35</v>
      </c>
      <c r="U1564" s="151">
        <v>0.37</v>
      </c>
      <c r="V1564" s="151">
        <v>0.25</v>
      </c>
      <c r="W1564" s="151"/>
      <c r="X1564" s="152">
        <f t="shared" si="90"/>
        <v>5.04E-2</v>
      </c>
      <c r="Y1564" s="152"/>
      <c r="Z1564" s="148"/>
      <c r="AA1564" s="153"/>
      <c r="AB1564" s="153"/>
      <c r="AC1564" s="153"/>
      <c r="AD1564" s="153"/>
      <c r="AH1564" s="147"/>
    </row>
    <row r="1565" spans="1:34" s="146" customFormat="1" x14ac:dyDescent="0.25">
      <c r="A1565" s="196">
        <v>690</v>
      </c>
      <c r="B1565" s="196" t="s">
        <v>8109</v>
      </c>
      <c r="C1565" s="196" t="s">
        <v>8110</v>
      </c>
      <c r="D1565" s="196" t="s">
        <v>1920</v>
      </c>
      <c r="E1565" s="196"/>
      <c r="F1565" s="196">
        <v>2009</v>
      </c>
      <c r="G1565" s="196"/>
      <c r="H1565" s="196" t="s">
        <v>1878</v>
      </c>
      <c r="I1565" s="141" t="s">
        <v>1929</v>
      </c>
      <c r="J1565" s="196"/>
      <c r="K1565" s="196" t="s">
        <v>1881</v>
      </c>
      <c r="L1565" s="240" t="s">
        <v>8111</v>
      </c>
      <c r="M1565" s="196">
        <v>288</v>
      </c>
      <c r="N1565" s="196"/>
      <c r="O1565" s="196" t="s">
        <v>6646</v>
      </c>
      <c r="P1565" s="144">
        <v>426</v>
      </c>
      <c r="Q1565" s="145">
        <f t="shared" si="91"/>
        <v>1.2558</v>
      </c>
      <c r="R1565" s="203">
        <v>1</v>
      </c>
      <c r="S1565" s="203"/>
      <c r="T1565" s="151">
        <v>0.35</v>
      </c>
      <c r="U1565" s="151">
        <v>0.59</v>
      </c>
      <c r="V1565" s="151">
        <v>0.25</v>
      </c>
      <c r="W1565" s="151"/>
      <c r="X1565" s="152">
        <f t="shared" si="90"/>
        <v>6.5799999999999997E-2</v>
      </c>
      <c r="Y1565" s="152"/>
      <c r="Z1565" s="148"/>
      <c r="AA1565" s="153"/>
      <c r="AB1565" s="153"/>
      <c r="AC1565" s="153"/>
      <c r="AD1565" s="153"/>
      <c r="AH1565" s="147"/>
    </row>
    <row r="1566" spans="1:34" s="146" customFormat="1" x14ac:dyDescent="0.25">
      <c r="A1566" s="196">
        <v>2518</v>
      </c>
      <c r="B1566" s="196" t="s">
        <v>8112</v>
      </c>
      <c r="C1566" s="196" t="s">
        <v>8113</v>
      </c>
      <c r="D1566" s="196" t="s">
        <v>2054</v>
      </c>
      <c r="E1566" s="196"/>
      <c r="F1566" s="196">
        <v>2007</v>
      </c>
      <c r="G1566" s="196"/>
      <c r="H1566" s="196" t="s">
        <v>2734</v>
      </c>
      <c r="I1566" s="141" t="s">
        <v>1879</v>
      </c>
      <c r="J1566" s="196"/>
      <c r="K1566" s="196" t="s">
        <v>1881</v>
      </c>
      <c r="L1566" s="240" t="s">
        <v>8114</v>
      </c>
      <c r="M1566" s="196">
        <v>162</v>
      </c>
      <c r="N1566" s="196"/>
      <c r="O1566" s="196" t="s">
        <v>6647</v>
      </c>
      <c r="P1566" s="144">
        <v>192</v>
      </c>
      <c r="Q1566" s="145">
        <f t="shared" si="91"/>
        <v>1.0204</v>
      </c>
      <c r="R1566" s="203">
        <v>0.25</v>
      </c>
      <c r="S1566" s="203"/>
      <c r="T1566" s="151">
        <v>0.35</v>
      </c>
      <c r="U1566" s="151">
        <v>0.37</v>
      </c>
      <c r="V1566" s="151">
        <v>0.25</v>
      </c>
      <c r="W1566" s="151"/>
      <c r="X1566" s="152">
        <f t="shared" si="90"/>
        <v>5.04E-2</v>
      </c>
      <c r="Y1566" s="152"/>
      <c r="Z1566" s="148"/>
      <c r="AA1566" s="153"/>
      <c r="AB1566" s="153"/>
      <c r="AC1566" s="153"/>
      <c r="AD1566" s="153"/>
      <c r="AH1566" s="147"/>
    </row>
    <row r="1567" spans="1:34" s="146" customFormat="1" x14ac:dyDescent="0.25">
      <c r="A1567" s="196">
        <v>689</v>
      </c>
      <c r="B1567" s="196" t="s">
        <v>8115</v>
      </c>
      <c r="C1567" s="196" t="s">
        <v>8116</v>
      </c>
      <c r="D1567" s="196" t="s">
        <v>1876</v>
      </c>
      <c r="E1567" s="196"/>
      <c r="F1567" s="196">
        <v>2008</v>
      </c>
      <c r="G1567" s="196"/>
      <c r="H1567" s="196" t="s">
        <v>1878</v>
      </c>
      <c r="I1567" s="141" t="s">
        <v>1929</v>
      </c>
      <c r="J1567" s="196"/>
      <c r="K1567" s="196" t="s">
        <v>1881</v>
      </c>
      <c r="L1567" s="240" t="s">
        <v>8117</v>
      </c>
      <c r="M1567" s="196">
        <v>496</v>
      </c>
      <c r="N1567" s="196"/>
      <c r="O1567" s="196" t="s">
        <v>6648</v>
      </c>
      <c r="P1567" s="144">
        <v>530</v>
      </c>
      <c r="Q1567" s="145">
        <f t="shared" si="91"/>
        <v>1.2558</v>
      </c>
      <c r="R1567" s="203">
        <v>1</v>
      </c>
      <c r="S1567" s="203"/>
      <c r="T1567" s="151">
        <v>0.35</v>
      </c>
      <c r="U1567" s="151">
        <v>0.59</v>
      </c>
      <c r="V1567" s="151">
        <v>0.25</v>
      </c>
      <c r="W1567" s="151"/>
      <c r="X1567" s="152">
        <f t="shared" si="90"/>
        <v>6.5799999999999997E-2</v>
      </c>
      <c r="Y1567" s="152"/>
      <c r="Z1567" s="148"/>
      <c r="AA1567" s="153"/>
      <c r="AB1567" s="153"/>
      <c r="AC1567" s="153"/>
      <c r="AD1567" s="153"/>
      <c r="AH1567" s="147"/>
    </row>
    <row r="1568" spans="1:34" s="146" customFormat="1" x14ac:dyDescent="0.25">
      <c r="A1568" s="196">
        <v>2021</v>
      </c>
      <c r="B1568" s="196"/>
      <c r="C1568" s="196" t="s">
        <v>8118</v>
      </c>
      <c r="D1568" s="196" t="s">
        <v>8119</v>
      </c>
      <c r="E1568" s="196" t="s">
        <v>2032</v>
      </c>
      <c r="F1568" s="196">
        <v>2002</v>
      </c>
      <c r="G1568" s="196"/>
      <c r="H1568" s="196" t="s">
        <v>1878</v>
      </c>
      <c r="I1568" s="141" t="s">
        <v>1879</v>
      </c>
      <c r="J1568" s="196"/>
      <c r="K1568" s="196" t="s">
        <v>1881</v>
      </c>
      <c r="L1568" s="240" t="s">
        <v>8120</v>
      </c>
      <c r="M1568" s="196">
        <v>16</v>
      </c>
      <c r="N1568" s="196"/>
      <c r="O1568" s="196" t="s">
        <v>6649</v>
      </c>
      <c r="P1568" s="144">
        <v>261</v>
      </c>
      <c r="Q1568" s="145">
        <f t="shared" si="91"/>
        <v>1.0204</v>
      </c>
      <c r="R1568" s="203">
        <v>0.6</v>
      </c>
      <c r="S1568" s="203"/>
      <c r="T1568" s="151">
        <v>0.35</v>
      </c>
      <c r="U1568" s="151">
        <v>0.37</v>
      </c>
      <c r="V1568" s="151">
        <v>0.25</v>
      </c>
      <c r="W1568" s="151"/>
      <c r="X1568" s="152">
        <f t="shared" si="90"/>
        <v>5.04E-2</v>
      </c>
      <c r="Y1568" s="152"/>
      <c r="Z1568" s="148"/>
      <c r="AA1568" s="153"/>
      <c r="AB1568" s="153"/>
      <c r="AC1568" s="153"/>
      <c r="AD1568" s="153"/>
      <c r="AH1568" s="147"/>
    </row>
    <row r="1569" spans="1:34" s="146" customFormat="1" x14ac:dyDescent="0.25">
      <c r="A1569" s="196">
        <v>1984</v>
      </c>
      <c r="B1569" s="196" t="s">
        <v>8121</v>
      </c>
      <c r="C1569" s="196" t="s">
        <v>8122</v>
      </c>
      <c r="D1569" s="196" t="s">
        <v>3524</v>
      </c>
      <c r="E1569" s="196" t="s">
        <v>1899</v>
      </c>
      <c r="F1569" s="196">
        <v>2003</v>
      </c>
      <c r="G1569" s="196"/>
      <c r="H1569" s="196" t="s">
        <v>2734</v>
      </c>
      <c r="I1569" s="141" t="s">
        <v>1929</v>
      </c>
      <c r="J1569" s="196"/>
      <c r="K1569" s="196" t="s">
        <v>1881</v>
      </c>
      <c r="L1569" s="240" t="s">
        <v>8123</v>
      </c>
      <c r="M1569" s="196">
        <v>62</v>
      </c>
      <c r="N1569" s="196"/>
      <c r="O1569" s="196" t="s">
        <v>6650</v>
      </c>
      <c r="P1569" s="144">
        <v>285</v>
      </c>
      <c r="Q1569" s="145">
        <f t="shared" si="91"/>
        <v>1.0204</v>
      </c>
      <c r="R1569" s="203">
        <v>0.45</v>
      </c>
      <c r="S1569" s="203"/>
      <c r="T1569" s="151">
        <v>0.35</v>
      </c>
      <c r="U1569" s="151">
        <v>0.37</v>
      </c>
      <c r="V1569" s="151">
        <v>0.25</v>
      </c>
      <c r="W1569" s="151"/>
      <c r="X1569" s="152">
        <f t="shared" si="90"/>
        <v>5.04E-2</v>
      </c>
      <c r="Y1569" s="152"/>
      <c r="Z1569" s="148"/>
      <c r="AA1569" s="153"/>
      <c r="AB1569" s="153"/>
      <c r="AC1569" s="153"/>
      <c r="AD1569" s="153"/>
      <c r="AH1569" s="147"/>
    </row>
    <row r="1570" spans="1:34" s="146" customFormat="1" x14ac:dyDescent="0.25">
      <c r="A1570" s="196">
        <v>1984</v>
      </c>
      <c r="B1570" s="196"/>
      <c r="C1570" s="196" t="s">
        <v>8124</v>
      </c>
      <c r="D1570" s="196" t="s">
        <v>4930</v>
      </c>
      <c r="E1570" s="196"/>
      <c r="F1570" s="196">
        <v>2010</v>
      </c>
      <c r="G1570" s="196"/>
      <c r="H1570" s="196" t="s">
        <v>2734</v>
      </c>
      <c r="I1570" s="141" t="s">
        <v>1929</v>
      </c>
      <c r="J1570" s="196"/>
      <c r="K1570" s="196" t="s">
        <v>1881</v>
      </c>
      <c r="L1570" s="240"/>
      <c r="M1570" s="196">
        <v>76</v>
      </c>
      <c r="N1570" s="196"/>
      <c r="O1570" s="196" t="s">
        <v>6651</v>
      </c>
      <c r="P1570" s="144">
        <v>258</v>
      </c>
      <c r="Q1570" s="145">
        <f t="shared" si="91"/>
        <v>2.1225000000000001</v>
      </c>
      <c r="R1570" s="203">
        <v>1.85</v>
      </c>
      <c r="S1570" s="203"/>
      <c r="T1570" s="151">
        <v>0.35</v>
      </c>
      <c r="U1570" s="151">
        <v>1.4</v>
      </c>
      <c r="V1570" s="151">
        <v>0.25</v>
      </c>
      <c r="W1570" s="151"/>
      <c r="X1570" s="152">
        <f t="shared" si="90"/>
        <v>0.12250000000000001</v>
      </c>
      <c r="Y1570" s="152"/>
      <c r="Z1570" s="148"/>
      <c r="AA1570" s="153"/>
      <c r="AB1570" s="153"/>
      <c r="AC1570" s="153"/>
      <c r="AD1570" s="153"/>
      <c r="AH1570" s="147"/>
    </row>
    <row r="1571" spans="1:34" s="146" customFormat="1" x14ac:dyDescent="0.25">
      <c r="A1571" s="196">
        <v>1904</v>
      </c>
      <c r="B1571" s="196" t="s">
        <v>8125</v>
      </c>
      <c r="C1571" s="196" t="s">
        <v>8126</v>
      </c>
      <c r="D1571" s="196" t="s">
        <v>5005</v>
      </c>
      <c r="E1571" s="196"/>
      <c r="F1571" s="196">
        <v>1993</v>
      </c>
      <c r="G1571" s="196"/>
      <c r="H1571" s="196" t="s">
        <v>2734</v>
      </c>
      <c r="I1571" s="141" t="s">
        <v>7527</v>
      </c>
      <c r="J1571" s="196"/>
      <c r="K1571" s="196" t="s">
        <v>1881</v>
      </c>
      <c r="L1571" s="240"/>
      <c r="M1571" s="196">
        <v>482</v>
      </c>
      <c r="N1571" s="196"/>
      <c r="O1571" s="196" t="s">
        <v>6652</v>
      </c>
      <c r="P1571" s="144">
        <v>641</v>
      </c>
      <c r="Q1571" s="145">
        <f t="shared" si="91"/>
        <v>1.0204</v>
      </c>
      <c r="R1571" s="203">
        <v>0.25</v>
      </c>
      <c r="S1571" s="203"/>
      <c r="T1571" s="151">
        <v>0.35</v>
      </c>
      <c r="U1571" s="151">
        <v>0.37</v>
      </c>
      <c r="V1571" s="151">
        <v>0.25</v>
      </c>
      <c r="W1571" s="151"/>
      <c r="X1571" s="152">
        <f t="shared" si="90"/>
        <v>5.04E-2</v>
      </c>
      <c r="Y1571" s="152"/>
      <c r="Z1571" s="148"/>
      <c r="AA1571" s="153"/>
      <c r="AB1571" s="153"/>
      <c r="AC1571" s="153"/>
      <c r="AD1571" s="153"/>
      <c r="AH1571" s="147"/>
    </row>
    <row r="1572" spans="1:34" s="146" customFormat="1" x14ac:dyDescent="0.25">
      <c r="A1572" s="196">
        <v>765</v>
      </c>
      <c r="B1572" s="196" t="s">
        <v>8127</v>
      </c>
      <c r="C1572" s="196" t="s">
        <v>8128</v>
      </c>
      <c r="D1572" s="196" t="s">
        <v>2244</v>
      </c>
      <c r="E1572" s="196" t="s">
        <v>2157</v>
      </c>
      <c r="F1572" s="196">
        <v>1998</v>
      </c>
      <c r="G1572" s="196"/>
      <c r="H1572" s="196" t="s">
        <v>1878</v>
      </c>
      <c r="I1572" s="141" t="s">
        <v>7527</v>
      </c>
      <c r="J1572" s="52" t="s">
        <v>3854</v>
      </c>
      <c r="K1572" s="196" t="s">
        <v>1881</v>
      </c>
      <c r="L1572" s="240" t="s">
        <v>8129</v>
      </c>
      <c r="M1572" s="196">
        <v>256</v>
      </c>
      <c r="N1572" s="196"/>
      <c r="O1572" s="196" t="s">
        <v>6653</v>
      </c>
      <c r="P1572" s="144">
        <v>310</v>
      </c>
      <c r="Q1572" s="145">
        <f t="shared" si="91"/>
        <v>1.0204</v>
      </c>
      <c r="R1572" s="203">
        <v>0.25</v>
      </c>
      <c r="S1572" s="203"/>
      <c r="T1572" s="151">
        <v>0.35</v>
      </c>
      <c r="U1572" s="151">
        <v>0.37</v>
      </c>
      <c r="V1572" s="151">
        <v>0.25</v>
      </c>
      <c r="W1572" s="151"/>
      <c r="X1572" s="152">
        <f t="shared" si="90"/>
        <v>5.04E-2</v>
      </c>
      <c r="Y1572" s="152"/>
      <c r="Z1572" s="148"/>
      <c r="AA1572" s="153"/>
      <c r="AB1572" s="153"/>
      <c r="AC1572" s="153"/>
      <c r="AD1572" s="153"/>
      <c r="AH1572" s="147"/>
    </row>
    <row r="1573" spans="1:34" s="146" customFormat="1" x14ac:dyDescent="0.25">
      <c r="A1573" s="196">
        <v>796</v>
      </c>
      <c r="B1573" s="196" t="s">
        <v>8130</v>
      </c>
      <c r="C1573" s="196" t="s">
        <v>8131</v>
      </c>
      <c r="D1573" s="196" t="s">
        <v>2257</v>
      </c>
      <c r="E1573" s="196"/>
      <c r="F1573" s="196">
        <v>2006</v>
      </c>
      <c r="G1573" s="196"/>
      <c r="H1573" s="196" t="s">
        <v>1878</v>
      </c>
      <c r="I1573" s="141" t="s">
        <v>8132</v>
      </c>
      <c r="J1573" s="196"/>
      <c r="K1573" s="196" t="s">
        <v>1881</v>
      </c>
      <c r="L1573" s="240" t="s">
        <v>8133</v>
      </c>
      <c r="M1573" s="196">
        <v>336</v>
      </c>
      <c r="N1573" s="196"/>
      <c r="O1573" s="196" t="s">
        <v>6654</v>
      </c>
      <c r="P1573" s="144">
        <v>256</v>
      </c>
      <c r="Q1573" s="145">
        <f t="shared" si="91"/>
        <v>1.0204</v>
      </c>
      <c r="R1573" s="203">
        <v>0.35</v>
      </c>
      <c r="S1573" s="203"/>
      <c r="T1573" s="151">
        <v>0.35</v>
      </c>
      <c r="U1573" s="151">
        <v>0.37</v>
      </c>
      <c r="V1573" s="151">
        <v>0.25</v>
      </c>
      <c r="W1573" s="151"/>
      <c r="X1573" s="152">
        <f t="shared" si="90"/>
        <v>5.04E-2</v>
      </c>
      <c r="Y1573" s="152"/>
      <c r="Z1573" s="148"/>
      <c r="AA1573" s="153"/>
      <c r="AB1573" s="153"/>
      <c r="AC1573" s="153"/>
      <c r="AD1573" s="153"/>
      <c r="AH1573" s="147"/>
    </row>
    <row r="1574" spans="1:34" s="146" customFormat="1" x14ac:dyDescent="0.25">
      <c r="A1574" s="196">
        <v>947</v>
      </c>
      <c r="B1574" s="196" t="s">
        <v>8134</v>
      </c>
      <c r="C1574" s="196" t="s">
        <v>8135</v>
      </c>
      <c r="D1574" s="196" t="s">
        <v>1920</v>
      </c>
      <c r="E1574" s="196"/>
      <c r="F1574" s="196">
        <v>2001</v>
      </c>
      <c r="G1574" s="196"/>
      <c r="H1574" s="196" t="s">
        <v>1878</v>
      </c>
      <c r="I1574" s="141" t="s">
        <v>1914</v>
      </c>
      <c r="J1574" s="52" t="s">
        <v>3854</v>
      </c>
      <c r="K1574" s="196" t="s">
        <v>1881</v>
      </c>
      <c r="L1574" s="240" t="s">
        <v>8136</v>
      </c>
      <c r="M1574" s="196">
        <v>226</v>
      </c>
      <c r="N1574" s="196"/>
      <c r="O1574" s="196" t="s">
        <v>6655</v>
      </c>
      <c r="P1574" s="144">
        <v>239</v>
      </c>
      <c r="Q1574" s="145">
        <f t="shared" si="91"/>
        <v>1.0204</v>
      </c>
      <c r="R1574" s="203">
        <v>0.25</v>
      </c>
      <c r="S1574" s="203"/>
      <c r="T1574" s="151">
        <v>0.35</v>
      </c>
      <c r="U1574" s="151">
        <v>0.37</v>
      </c>
      <c r="V1574" s="151">
        <v>0.25</v>
      </c>
      <c r="W1574" s="151"/>
      <c r="X1574" s="152">
        <f t="shared" si="90"/>
        <v>5.04E-2</v>
      </c>
      <c r="Y1574" s="152"/>
      <c r="Z1574" s="148"/>
      <c r="AA1574" s="153"/>
      <c r="AB1574" s="153"/>
      <c r="AC1574" s="153"/>
      <c r="AD1574" s="153"/>
      <c r="AH1574" s="147"/>
    </row>
    <row r="1575" spans="1:34" s="146" customFormat="1" x14ac:dyDescent="0.25">
      <c r="A1575" s="196">
        <v>965</v>
      </c>
      <c r="B1575" s="196" t="s">
        <v>8137</v>
      </c>
      <c r="C1575" s="196" t="s">
        <v>8138</v>
      </c>
      <c r="D1575" s="196" t="s">
        <v>2609</v>
      </c>
      <c r="E1575" s="196"/>
      <c r="F1575" s="196">
        <v>1981</v>
      </c>
      <c r="G1575" s="196"/>
      <c r="H1575" s="196" t="s">
        <v>1878</v>
      </c>
      <c r="I1575" s="141" t="s">
        <v>1914</v>
      </c>
      <c r="J1575" s="196"/>
      <c r="K1575" s="196" t="s">
        <v>1881</v>
      </c>
      <c r="L1575" s="240" t="s">
        <v>8139</v>
      </c>
      <c r="M1575" s="196">
        <v>208</v>
      </c>
      <c r="N1575" s="196"/>
      <c r="O1575" s="196" t="s">
        <v>6656</v>
      </c>
      <c r="P1575" s="144">
        <v>109</v>
      </c>
      <c r="Q1575" s="145">
        <f t="shared" si="91"/>
        <v>1.0204</v>
      </c>
      <c r="R1575" s="203">
        <v>0.5</v>
      </c>
      <c r="S1575" s="203"/>
      <c r="T1575" s="151">
        <v>0.35</v>
      </c>
      <c r="U1575" s="151">
        <v>0.37</v>
      </c>
      <c r="V1575" s="151">
        <v>0.25</v>
      </c>
      <c r="W1575" s="151"/>
      <c r="X1575" s="152">
        <f t="shared" si="90"/>
        <v>5.04E-2</v>
      </c>
      <c r="Y1575" s="152"/>
      <c r="Z1575" s="148"/>
      <c r="AA1575" s="153"/>
      <c r="AB1575" s="153"/>
      <c r="AC1575" s="153"/>
      <c r="AD1575" s="153"/>
      <c r="AH1575" s="147"/>
    </row>
    <row r="1576" spans="1:34" s="146" customFormat="1" x14ac:dyDescent="0.25">
      <c r="A1576" s="196">
        <v>765</v>
      </c>
      <c r="B1576" s="196" t="s">
        <v>8140</v>
      </c>
      <c r="C1576" s="196" t="s">
        <v>8141</v>
      </c>
      <c r="D1576" s="196" t="s">
        <v>5926</v>
      </c>
      <c r="E1576" s="196"/>
      <c r="F1576" s="196">
        <v>1990</v>
      </c>
      <c r="G1576" s="196"/>
      <c r="H1576" s="196" t="s">
        <v>1878</v>
      </c>
      <c r="I1576" s="141" t="s">
        <v>1914</v>
      </c>
      <c r="J1576" s="196"/>
      <c r="K1576" s="196" t="s">
        <v>1881</v>
      </c>
      <c r="L1576" s="240" t="s">
        <v>8142</v>
      </c>
      <c r="M1576" s="196">
        <v>192</v>
      </c>
      <c r="N1576" s="196"/>
      <c r="O1576" s="196" t="s">
        <v>6657</v>
      </c>
      <c r="P1576" s="144">
        <v>294</v>
      </c>
      <c r="Q1576" s="145">
        <f t="shared" si="91"/>
        <v>1.2558</v>
      </c>
      <c r="R1576" s="203">
        <v>0.95</v>
      </c>
      <c r="S1576" s="203"/>
      <c r="T1576" s="151">
        <v>0.35</v>
      </c>
      <c r="U1576" s="151">
        <v>0.59</v>
      </c>
      <c r="V1576" s="151">
        <v>0.25</v>
      </c>
      <c r="W1576" s="151"/>
      <c r="X1576" s="152">
        <f t="shared" si="90"/>
        <v>6.5799999999999997E-2</v>
      </c>
      <c r="Y1576" s="152"/>
      <c r="Z1576" s="148"/>
      <c r="AA1576" s="153"/>
      <c r="AB1576" s="153"/>
      <c r="AC1576" s="153"/>
      <c r="AD1576" s="153"/>
      <c r="AH1576" s="147"/>
    </row>
    <row r="1577" spans="1:34" s="146" customFormat="1" x14ac:dyDescent="0.25">
      <c r="A1577" s="196">
        <v>704</v>
      </c>
      <c r="B1577" s="196" t="s">
        <v>3715</v>
      </c>
      <c r="C1577" s="196" t="s">
        <v>8143</v>
      </c>
      <c r="D1577" s="196" t="s">
        <v>2309</v>
      </c>
      <c r="E1577" s="196" t="s">
        <v>6097</v>
      </c>
      <c r="F1577" s="196">
        <v>2002</v>
      </c>
      <c r="G1577" s="196"/>
      <c r="H1577" s="196" t="s">
        <v>1878</v>
      </c>
      <c r="I1577" s="141" t="s">
        <v>1879</v>
      </c>
      <c r="J1577" s="52" t="s">
        <v>3854</v>
      </c>
      <c r="K1577" s="196" t="s">
        <v>1881</v>
      </c>
      <c r="L1577" s="240" t="s">
        <v>7727</v>
      </c>
      <c r="M1577" s="196">
        <v>400</v>
      </c>
      <c r="N1577" s="196"/>
      <c r="O1577" s="196" t="s">
        <v>6658</v>
      </c>
      <c r="P1577" s="144">
        <v>258</v>
      </c>
      <c r="Q1577" s="145">
        <f t="shared" si="91"/>
        <v>1.0204</v>
      </c>
      <c r="R1577" s="203">
        <v>0.25</v>
      </c>
      <c r="S1577" s="203"/>
      <c r="T1577" s="151">
        <v>0.35</v>
      </c>
      <c r="U1577" s="151">
        <v>0.37</v>
      </c>
      <c r="V1577" s="151">
        <v>0.25</v>
      </c>
      <c r="W1577" s="151"/>
      <c r="X1577" s="152">
        <f t="shared" si="90"/>
        <v>5.04E-2</v>
      </c>
      <c r="Y1577" s="152"/>
      <c r="Z1577" s="148"/>
      <c r="AA1577" s="153"/>
      <c r="AB1577" s="153"/>
      <c r="AC1577" s="153"/>
      <c r="AD1577" s="153"/>
      <c r="AH1577" s="147"/>
    </row>
    <row r="1578" spans="1:34" s="146" customFormat="1" x14ac:dyDescent="0.25">
      <c r="A1578" s="196">
        <v>692</v>
      </c>
      <c r="B1578" s="196" t="s">
        <v>8144</v>
      </c>
      <c r="C1578" s="196" t="s">
        <v>8145</v>
      </c>
      <c r="D1578" s="196" t="s">
        <v>2609</v>
      </c>
      <c r="E1578" s="196" t="s">
        <v>1899</v>
      </c>
      <c r="F1578" s="196">
        <v>1999</v>
      </c>
      <c r="G1578" s="196"/>
      <c r="H1578" s="196" t="s">
        <v>1878</v>
      </c>
      <c r="I1578" s="141" t="s">
        <v>1914</v>
      </c>
      <c r="J1578" s="196"/>
      <c r="K1578" s="196" t="s">
        <v>1881</v>
      </c>
      <c r="L1578" s="240" t="s">
        <v>8146</v>
      </c>
      <c r="M1578" s="196">
        <v>304</v>
      </c>
      <c r="N1578" s="196"/>
      <c r="O1578" s="196" t="s">
        <v>6659</v>
      </c>
      <c r="P1578" s="144">
        <v>224</v>
      </c>
      <c r="Q1578" s="145">
        <f>R1578-U1578</f>
        <v>0.85439999999999983</v>
      </c>
      <c r="R1578" s="145">
        <f t="shared" ref="R1578:R1608" si="92">IF(Y1578&gt;Z1578,Y1578,Z1578)</f>
        <v>2.0543999999999998</v>
      </c>
      <c r="S1578" s="203">
        <f>0.25+1.4</f>
        <v>1.65</v>
      </c>
      <c r="T1578" s="151">
        <v>0.13</v>
      </c>
      <c r="U1578" s="151" t="str">
        <f>IF(P1578&lt;501,"1,20","1,70")</f>
        <v>1,20</v>
      </c>
      <c r="V1578" s="151">
        <f t="shared" ref="V1578:V1609" si="93">0.08+0.09+0.17</f>
        <v>0.33999999999999997</v>
      </c>
      <c r="W1578" s="151">
        <v>0.25</v>
      </c>
      <c r="X1578" s="152">
        <f>(T1578+U1578+V1578+W1578)/100*7</f>
        <v>0.13439999999999999</v>
      </c>
      <c r="Y1578" s="152">
        <f>S1578</f>
        <v>1.65</v>
      </c>
      <c r="Z1578" s="152">
        <f>T1578+U1578+V1578+W1578+X1578</f>
        <v>2.0543999999999998</v>
      </c>
      <c r="AA1578" s="153"/>
      <c r="AB1578" s="153"/>
      <c r="AC1578" s="153"/>
      <c r="AD1578" s="153"/>
      <c r="AH1578" s="147"/>
    </row>
    <row r="1579" spans="1:34" s="146" customFormat="1" x14ac:dyDescent="0.25">
      <c r="A1579" s="196">
        <v>765</v>
      </c>
      <c r="B1579" s="196"/>
      <c r="C1579" s="196" t="s">
        <v>8147</v>
      </c>
      <c r="D1579" s="196" t="s">
        <v>8148</v>
      </c>
      <c r="E1579" s="196" t="s">
        <v>2032</v>
      </c>
      <c r="F1579" s="196">
        <v>1994</v>
      </c>
      <c r="G1579" s="196"/>
      <c r="H1579" s="196" t="s">
        <v>1878</v>
      </c>
      <c r="I1579" s="141" t="s">
        <v>1914</v>
      </c>
      <c r="J1579" s="196"/>
      <c r="K1579" s="196" t="s">
        <v>1881</v>
      </c>
      <c r="L1579" s="240" t="s">
        <v>8149</v>
      </c>
      <c r="M1579" s="196">
        <v>120</v>
      </c>
      <c r="N1579" s="196"/>
      <c r="O1579" s="196" t="s">
        <v>6660</v>
      </c>
      <c r="P1579" s="144">
        <v>144</v>
      </c>
      <c r="Q1579" s="145">
        <f t="shared" ref="Q1579:Q1637" si="94">R1579-U1579</f>
        <v>0.85439999999999983</v>
      </c>
      <c r="R1579" s="145">
        <f t="shared" si="92"/>
        <v>2.0543999999999998</v>
      </c>
      <c r="S1579" s="203">
        <f>0.25+1.5</f>
        <v>1.75</v>
      </c>
      <c r="T1579" s="151">
        <v>0.13</v>
      </c>
      <c r="U1579" s="151" t="str">
        <f t="shared" ref="U1579:U1637" si="95">IF(P1579&lt;501,"1,20","1,70")</f>
        <v>1,20</v>
      </c>
      <c r="V1579" s="151">
        <f t="shared" si="93"/>
        <v>0.33999999999999997</v>
      </c>
      <c r="W1579" s="151">
        <v>0.25</v>
      </c>
      <c r="X1579" s="152">
        <f t="shared" ref="X1579:X1637" si="96">(T1579+U1579+V1579+W1579)/100*7</f>
        <v>0.13439999999999999</v>
      </c>
      <c r="Y1579" s="152">
        <f t="shared" ref="Y1579:Y1637" si="97">S1579</f>
        <v>1.75</v>
      </c>
      <c r="Z1579" s="152">
        <f t="shared" ref="Z1579:Z1637" si="98">T1579+U1579+V1579+W1579+X1579</f>
        <v>2.0543999999999998</v>
      </c>
      <c r="AA1579" s="153"/>
      <c r="AB1579" s="153"/>
      <c r="AC1579" s="153"/>
      <c r="AD1579" s="153"/>
      <c r="AH1579" s="147"/>
    </row>
    <row r="1580" spans="1:34" s="146" customFormat="1" x14ac:dyDescent="0.25">
      <c r="A1580" s="196">
        <v>792</v>
      </c>
      <c r="B1580" s="196" t="s">
        <v>8150</v>
      </c>
      <c r="C1580" s="196" t="s">
        <v>8151</v>
      </c>
      <c r="D1580" s="196" t="s">
        <v>2609</v>
      </c>
      <c r="E1580" s="196"/>
      <c r="F1580" s="196">
        <v>1994</v>
      </c>
      <c r="G1580" s="196"/>
      <c r="H1580" s="196" t="s">
        <v>1878</v>
      </c>
      <c r="I1580" s="141" t="s">
        <v>1914</v>
      </c>
      <c r="J1580" s="196"/>
      <c r="K1580" s="196" t="s">
        <v>1881</v>
      </c>
      <c r="L1580" s="240" t="s">
        <v>8152</v>
      </c>
      <c r="M1580" s="196">
        <v>208</v>
      </c>
      <c r="N1580" s="196"/>
      <c r="O1580" s="196" t="s">
        <v>6661</v>
      </c>
      <c r="P1580" s="144">
        <v>189</v>
      </c>
      <c r="Q1580" s="145">
        <f t="shared" si="94"/>
        <v>0.85439999999999983</v>
      </c>
      <c r="R1580" s="145">
        <f t="shared" si="92"/>
        <v>2.0543999999999998</v>
      </c>
      <c r="S1580" s="203">
        <f>0.54+1.2</f>
        <v>1.74</v>
      </c>
      <c r="T1580" s="151">
        <v>0.13</v>
      </c>
      <c r="U1580" s="151" t="str">
        <f t="shared" si="95"/>
        <v>1,20</v>
      </c>
      <c r="V1580" s="151">
        <f t="shared" si="93"/>
        <v>0.33999999999999997</v>
      </c>
      <c r="W1580" s="151">
        <v>0.25</v>
      </c>
      <c r="X1580" s="152">
        <f t="shared" si="96"/>
        <v>0.13439999999999999</v>
      </c>
      <c r="Y1580" s="152">
        <f t="shared" si="97"/>
        <v>1.74</v>
      </c>
      <c r="Z1580" s="152">
        <f t="shared" si="98"/>
        <v>2.0543999999999998</v>
      </c>
      <c r="AA1580" s="153"/>
      <c r="AB1580" s="153"/>
      <c r="AC1580" s="153"/>
      <c r="AD1580" s="153"/>
      <c r="AH1580" s="147"/>
    </row>
    <row r="1581" spans="1:34" s="146" customFormat="1" x14ac:dyDescent="0.25">
      <c r="A1581" s="196">
        <v>734</v>
      </c>
      <c r="B1581" s="196" t="s">
        <v>7392</v>
      </c>
      <c r="C1581" s="196" t="s">
        <v>8153</v>
      </c>
      <c r="D1581" s="196" t="s">
        <v>2209</v>
      </c>
      <c r="E1581" s="196"/>
      <c r="F1581" s="196">
        <v>1998</v>
      </c>
      <c r="G1581" s="196"/>
      <c r="H1581" s="196" t="s">
        <v>1878</v>
      </c>
      <c r="I1581" s="141" t="s">
        <v>1914</v>
      </c>
      <c r="J1581" s="196"/>
      <c r="K1581" s="196" t="s">
        <v>1881</v>
      </c>
      <c r="L1581" s="240" t="s">
        <v>8154</v>
      </c>
      <c r="M1581" s="196">
        <v>512</v>
      </c>
      <c r="N1581" s="196"/>
      <c r="O1581" s="196" t="s">
        <v>6662</v>
      </c>
      <c r="P1581" s="144">
        <v>353</v>
      </c>
      <c r="Q1581" s="145">
        <f t="shared" si="94"/>
        <v>1.99</v>
      </c>
      <c r="R1581" s="145">
        <f t="shared" si="92"/>
        <v>3.19</v>
      </c>
      <c r="S1581" s="203">
        <f>1.99+1.2</f>
        <v>3.19</v>
      </c>
      <c r="T1581" s="151">
        <v>0.13</v>
      </c>
      <c r="U1581" s="151" t="str">
        <f t="shared" si="95"/>
        <v>1,20</v>
      </c>
      <c r="V1581" s="151">
        <f t="shared" si="93"/>
        <v>0.33999999999999997</v>
      </c>
      <c r="W1581" s="151">
        <f>3.19-2.54</f>
        <v>0.64999999999999991</v>
      </c>
      <c r="X1581" s="152">
        <f t="shared" si="96"/>
        <v>0.16239999999999999</v>
      </c>
      <c r="Y1581" s="152">
        <f t="shared" si="97"/>
        <v>3.19</v>
      </c>
      <c r="Z1581" s="152">
        <f t="shared" si="98"/>
        <v>2.4823999999999997</v>
      </c>
      <c r="AA1581" s="153"/>
      <c r="AB1581" s="153"/>
      <c r="AC1581" s="153"/>
      <c r="AD1581" s="153"/>
      <c r="AH1581" s="147"/>
    </row>
    <row r="1582" spans="1:34" s="146" customFormat="1" x14ac:dyDescent="0.25">
      <c r="A1582" s="196">
        <v>643</v>
      </c>
      <c r="B1582" s="196" t="s">
        <v>8155</v>
      </c>
      <c r="C1582" s="196" t="s">
        <v>8156</v>
      </c>
      <c r="D1582" s="196" t="s">
        <v>1912</v>
      </c>
      <c r="E1582" s="196" t="s">
        <v>1921</v>
      </c>
      <c r="F1582" s="196">
        <v>1998</v>
      </c>
      <c r="G1582" s="196"/>
      <c r="H1582" s="196" t="s">
        <v>1878</v>
      </c>
      <c r="I1582" s="141" t="s">
        <v>1914</v>
      </c>
      <c r="J1582" s="196"/>
      <c r="K1582" s="196" t="s">
        <v>1881</v>
      </c>
      <c r="L1582" s="240" t="s">
        <v>8157</v>
      </c>
      <c r="M1582" s="196">
        <v>320</v>
      </c>
      <c r="N1582" s="196"/>
      <c r="O1582" s="196" t="s">
        <v>6663</v>
      </c>
      <c r="P1582" s="144">
        <v>366</v>
      </c>
      <c r="Q1582" s="145">
        <f t="shared" si="94"/>
        <v>0.85439999999999983</v>
      </c>
      <c r="R1582" s="145">
        <f t="shared" si="92"/>
        <v>2.0543999999999998</v>
      </c>
      <c r="S1582" s="203">
        <f>0.6+1.2</f>
        <v>1.7999999999999998</v>
      </c>
      <c r="T1582" s="151">
        <v>0.13</v>
      </c>
      <c r="U1582" s="151" t="str">
        <f t="shared" si="95"/>
        <v>1,20</v>
      </c>
      <c r="V1582" s="151">
        <f t="shared" si="93"/>
        <v>0.33999999999999997</v>
      </c>
      <c r="W1582" s="151">
        <v>0.25</v>
      </c>
      <c r="X1582" s="152">
        <f t="shared" si="96"/>
        <v>0.13439999999999999</v>
      </c>
      <c r="Y1582" s="152">
        <f t="shared" si="97"/>
        <v>1.7999999999999998</v>
      </c>
      <c r="Z1582" s="152">
        <f t="shared" si="98"/>
        <v>2.0543999999999998</v>
      </c>
      <c r="AA1582" s="153"/>
      <c r="AB1582" s="153"/>
      <c r="AC1582" s="153"/>
      <c r="AD1582" s="153"/>
      <c r="AH1582" s="147"/>
    </row>
    <row r="1583" spans="1:34" s="146" customFormat="1" x14ac:dyDescent="0.25">
      <c r="A1583" s="196">
        <v>1230</v>
      </c>
      <c r="B1583" s="196"/>
      <c r="C1583" s="196" t="s">
        <v>8158</v>
      </c>
      <c r="D1583" s="196" t="s">
        <v>1912</v>
      </c>
      <c r="E1583" s="196" t="s">
        <v>1877</v>
      </c>
      <c r="F1583" s="196">
        <v>1987</v>
      </c>
      <c r="G1583" s="196"/>
      <c r="H1583" s="196" t="s">
        <v>1878</v>
      </c>
      <c r="I1583" s="141" t="s">
        <v>1914</v>
      </c>
      <c r="J1583" s="196"/>
      <c r="K1583" s="196" t="s">
        <v>1881</v>
      </c>
      <c r="L1583" s="240" t="s">
        <v>8159</v>
      </c>
      <c r="M1583" s="196">
        <v>208</v>
      </c>
      <c r="N1583" s="196"/>
      <c r="O1583" s="196" t="s">
        <v>6664</v>
      </c>
      <c r="P1583" s="144">
        <v>168</v>
      </c>
      <c r="Q1583" s="145">
        <f t="shared" si="94"/>
        <v>1.2900000000000003</v>
      </c>
      <c r="R1583" s="145">
        <f t="shared" si="92"/>
        <v>2.4900000000000002</v>
      </c>
      <c r="S1583" s="203">
        <f>0.99+1.5</f>
        <v>2.4900000000000002</v>
      </c>
      <c r="T1583" s="151">
        <v>0.13</v>
      </c>
      <c r="U1583" s="151" t="str">
        <f t="shared" si="95"/>
        <v>1,20</v>
      </c>
      <c r="V1583" s="151">
        <f t="shared" si="93"/>
        <v>0.33999999999999997</v>
      </c>
      <c r="W1583" s="151">
        <v>0.6</v>
      </c>
      <c r="X1583" s="152">
        <f t="shared" si="96"/>
        <v>0.15890000000000001</v>
      </c>
      <c r="Y1583" s="152">
        <f t="shared" si="97"/>
        <v>2.4900000000000002</v>
      </c>
      <c r="Z1583" s="152">
        <f t="shared" si="98"/>
        <v>2.4289000000000001</v>
      </c>
      <c r="AA1583" s="153"/>
      <c r="AB1583" s="153"/>
      <c r="AC1583" s="153"/>
      <c r="AD1583" s="153"/>
      <c r="AH1583" s="147"/>
    </row>
    <row r="1584" spans="1:34" s="146" customFormat="1" x14ac:dyDescent="0.25">
      <c r="A1584" s="196">
        <v>1396</v>
      </c>
      <c r="B1584" s="196" t="s">
        <v>8160</v>
      </c>
      <c r="C1584" s="196" t="s">
        <v>8161</v>
      </c>
      <c r="D1584" s="196" t="s">
        <v>1912</v>
      </c>
      <c r="E1584" s="196" t="s">
        <v>1921</v>
      </c>
      <c r="F1584" s="196">
        <v>1998</v>
      </c>
      <c r="G1584" s="196"/>
      <c r="H1584" s="196" t="s">
        <v>1878</v>
      </c>
      <c r="I1584" s="141" t="s">
        <v>1914</v>
      </c>
      <c r="J1584" s="52" t="s">
        <v>3854</v>
      </c>
      <c r="K1584" s="196" t="s">
        <v>1881</v>
      </c>
      <c r="L1584" s="240" t="s">
        <v>8162</v>
      </c>
      <c r="M1584" s="196">
        <v>400</v>
      </c>
      <c r="N1584" s="196"/>
      <c r="O1584" s="196" t="s">
        <v>6665</v>
      </c>
      <c r="P1584" s="144">
        <v>484</v>
      </c>
      <c r="Q1584" s="145">
        <f t="shared" si="94"/>
        <v>1.4428999999999996</v>
      </c>
      <c r="R1584" s="145">
        <f t="shared" si="92"/>
        <v>2.6428999999999996</v>
      </c>
      <c r="S1584" s="203">
        <f>0.9+1.7</f>
        <v>2.6</v>
      </c>
      <c r="T1584" s="151">
        <v>0.13</v>
      </c>
      <c r="U1584" s="151" t="str">
        <f t="shared" si="95"/>
        <v>1,20</v>
      </c>
      <c r="V1584" s="151">
        <f t="shared" si="93"/>
        <v>0.33999999999999997</v>
      </c>
      <c r="W1584" s="151">
        <v>0.8</v>
      </c>
      <c r="X1584" s="152">
        <f t="shared" si="96"/>
        <v>0.17289999999999997</v>
      </c>
      <c r="Y1584" s="152">
        <f t="shared" si="97"/>
        <v>2.6</v>
      </c>
      <c r="Z1584" s="152">
        <f t="shared" si="98"/>
        <v>2.6428999999999996</v>
      </c>
      <c r="AA1584" s="153"/>
      <c r="AB1584" s="153"/>
      <c r="AC1584" s="153"/>
      <c r="AD1584" s="153"/>
      <c r="AH1584" s="147"/>
    </row>
    <row r="1585" spans="1:34" s="146" customFormat="1" x14ac:dyDescent="0.25">
      <c r="A1585" s="196">
        <v>763</v>
      </c>
      <c r="B1585" s="196" t="s">
        <v>8163</v>
      </c>
      <c r="C1585" s="196" t="s">
        <v>8164</v>
      </c>
      <c r="D1585" s="196" t="s">
        <v>1920</v>
      </c>
      <c r="E1585" s="196"/>
      <c r="F1585" s="196">
        <v>2000</v>
      </c>
      <c r="G1585" s="196"/>
      <c r="H1585" s="196" t="s">
        <v>1878</v>
      </c>
      <c r="I1585" s="141" t="s">
        <v>1914</v>
      </c>
      <c r="J1585" s="52" t="s">
        <v>3854</v>
      </c>
      <c r="K1585" s="196" t="s">
        <v>1881</v>
      </c>
      <c r="L1585" s="240" t="s">
        <v>8165</v>
      </c>
      <c r="M1585" s="196">
        <v>480</v>
      </c>
      <c r="N1585" s="196"/>
      <c r="O1585" s="196" t="s">
        <v>6666</v>
      </c>
      <c r="P1585" s="144">
        <v>407</v>
      </c>
      <c r="Q1585" s="145">
        <f t="shared" si="94"/>
        <v>1.7</v>
      </c>
      <c r="R1585" s="145">
        <f t="shared" si="92"/>
        <v>2.9</v>
      </c>
      <c r="S1585" s="203">
        <f>1.5+1.4</f>
        <v>2.9</v>
      </c>
      <c r="T1585" s="151">
        <v>0.13</v>
      </c>
      <c r="U1585" s="151" t="str">
        <f t="shared" si="95"/>
        <v>1,20</v>
      </c>
      <c r="V1585" s="151">
        <f t="shared" si="93"/>
        <v>0.33999999999999997</v>
      </c>
      <c r="W1585" s="151">
        <v>0.3</v>
      </c>
      <c r="X1585" s="152">
        <f t="shared" si="96"/>
        <v>0.13789999999999999</v>
      </c>
      <c r="Y1585" s="152">
        <f t="shared" si="97"/>
        <v>2.9</v>
      </c>
      <c r="Z1585" s="152">
        <f t="shared" si="98"/>
        <v>2.1078999999999999</v>
      </c>
      <c r="AA1585" s="153"/>
      <c r="AB1585" s="153"/>
      <c r="AC1585" s="153"/>
      <c r="AD1585" s="153"/>
      <c r="AH1585" s="147"/>
    </row>
    <row r="1586" spans="1:34" s="146" customFormat="1" x14ac:dyDescent="0.25">
      <c r="A1586" s="196">
        <v>1927</v>
      </c>
      <c r="B1586" s="196" t="s">
        <v>8166</v>
      </c>
      <c r="C1586" s="196" t="s">
        <v>8167</v>
      </c>
      <c r="D1586" s="196" t="s">
        <v>2309</v>
      </c>
      <c r="E1586" s="196"/>
      <c r="F1586" s="196">
        <v>2001</v>
      </c>
      <c r="G1586" s="196"/>
      <c r="H1586" s="196" t="s">
        <v>1878</v>
      </c>
      <c r="I1586" s="141" t="s">
        <v>1914</v>
      </c>
      <c r="J1586" s="52" t="s">
        <v>3854</v>
      </c>
      <c r="K1586" s="196" t="s">
        <v>1881</v>
      </c>
      <c r="L1586" s="240" t="s">
        <v>8168</v>
      </c>
      <c r="M1586" s="196">
        <v>240</v>
      </c>
      <c r="N1586" s="196"/>
      <c r="O1586" s="196" t="s">
        <v>6667</v>
      </c>
      <c r="P1586" s="144">
        <v>162</v>
      </c>
      <c r="Q1586" s="145">
        <f t="shared" si="94"/>
        <v>1.5000000000000002</v>
      </c>
      <c r="R1586" s="145">
        <f t="shared" si="92"/>
        <v>2.7</v>
      </c>
      <c r="S1586" s="203">
        <f>1.3+1.4</f>
        <v>2.7</v>
      </c>
      <c r="T1586" s="151">
        <v>0.13</v>
      </c>
      <c r="U1586" s="151" t="str">
        <f t="shared" si="95"/>
        <v>1,20</v>
      </c>
      <c r="V1586" s="151">
        <f t="shared" si="93"/>
        <v>0.33999999999999997</v>
      </c>
      <c r="W1586" s="151">
        <v>0.15</v>
      </c>
      <c r="X1586" s="152">
        <f t="shared" si="96"/>
        <v>0.12739999999999999</v>
      </c>
      <c r="Y1586" s="152">
        <f t="shared" si="97"/>
        <v>2.7</v>
      </c>
      <c r="Z1586" s="152">
        <f t="shared" si="98"/>
        <v>1.9473999999999998</v>
      </c>
      <c r="AA1586" s="153"/>
      <c r="AB1586" s="153"/>
      <c r="AC1586" s="153"/>
      <c r="AD1586" s="153"/>
      <c r="AH1586" s="147"/>
    </row>
    <row r="1587" spans="1:34" s="146" customFormat="1" x14ac:dyDescent="0.25">
      <c r="A1587" s="196">
        <v>8</v>
      </c>
      <c r="B1587" s="196" t="s">
        <v>8169</v>
      </c>
      <c r="C1587" s="196" t="s">
        <v>8170</v>
      </c>
      <c r="D1587" s="196" t="s">
        <v>2609</v>
      </c>
      <c r="E1587" s="196"/>
      <c r="F1587" s="196">
        <v>1981</v>
      </c>
      <c r="G1587" s="196"/>
      <c r="H1587" s="196" t="s">
        <v>1878</v>
      </c>
      <c r="I1587" s="141" t="s">
        <v>1914</v>
      </c>
      <c r="J1587" s="52" t="s">
        <v>3854</v>
      </c>
      <c r="K1587" s="196" t="s">
        <v>1881</v>
      </c>
      <c r="L1587" s="240" t="s">
        <v>8171</v>
      </c>
      <c r="M1587" s="196">
        <v>224</v>
      </c>
      <c r="N1587" s="196"/>
      <c r="O1587" s="196" t="s">
        <v>6668</v>
      </c>
      <c r="P1587" s="144">
        <v>179</v>
      </c>
      <c r="Q1587" s="145">
        <f t="shared" si="94"/>
        <v>1.5999999999999999</v>
      </c>
      <c r="R1587" s="145">
        <f t="shared" si="92"/>
        <v>2.8</v>
      </c>
      <c r="S1587" s="203">
        <f>1.3+1.5</f>
        <v>2.8</v>
      </c>
      <c r="T1587" s="151">
        <v>0.13</v>
      </c>
      <c r="U1587" s="151" t="str">
        <f t="shared" si="95"/>
        <v>1,20</v>
      </c>
      <c r="V1587" s="151">
        <f t="shared" si="93"/>
        <v>0.33999999999999997</v>
      </c>
      <c r="W1587" s="151">
        <v>0.2</v>
      </c>
      <c r="X1587" s="152">
        <f t="shared" si="96"/>
        <v>0.13089999999999999</v>
      </c>
      <c r="Y1587" s="152">
        <f t="shared" si="97"/>
        <v>2.8</v>
      </c>
      <c r="Z1587" s="152">
        <f t="shared" si="98"/>
        <v>2.0008999999999997</v>
      </c>
      <c r="AA1587" s="153"/>
      <c r="AB1587" s="153"/>
      <c r="AC1587" s="153"/>
      <c r="AD1587" s="153"/>
      <c r="AH1587" s="147"/>
    </row>
    <row r="1588" spans="1:34" s="146" customFormat="1" x14ac:dyDescent="0.25">
      <c r="A1588" s="196">
        <v>765</v>
      </c>
      <c r="B1588" s="196" t="s">
        <v>8172</v>
      </c>
      <c r="C1588" s="196" t="s">
        <v>8173</v>
      </c>
      <c r="D1588" s="196" t="s">
        <v>1912</v>
      </c>
      <c r="E1588" s="196"/>
      <c r="F1588" s="196">
        <v>1991</v>
      </c>
      <c r="G1588" s="196"/>
      <c r="H1588" s="196" t="s">
        <v>1878</v>
      </c>
      <c r="I1588" s="141" t="s">
        <v>1914</v>
      </c>
      <c r="J1588" s="196"/>
      <c r="K1588" s="196" t="s">
        <v>1881</v>
      </c>
      <c r="L1588" s="240" t="s">
        <v>8174</v>
      </c>
      <c r="M1588" s="196">
        <v>224</v>
      </c>
      <c r="N1588" s="196"/>
      <c r="O1588" s="196" t="s">
        <v>6669</v>
      </c>
      <c r="P1588" s="144">
        <v>232</v>
      </c>
      <c r="Q1588" s="145">
        <f t="shared" si="94"/>
        <v>2.3999999999999995</v>
      </c>
      <c r="R1588" s="145">
        <f t="shared" si="92"/>
        <v>3.5999999999999996</v>
      </c>
      <c r="S1588" s="203">
        <f>1.9+1.7</f>
        <v>3.5999999999999996</v>
      </c>
      <c r="T1588" s="151">
        <v>0.13</v>
      </c>
      <c r="U1588" s="151" t="str">
        <f t="shared" si="95"/>
        <v>1,20</v>
      </c>
      <c r="V1588" s="151">
        <f t="shared" si="93"/>
        <v>0.33999999999999997</v>
      </c>
      <c r="W1588" s="151">
        <v>0.99</v>
      </c>
      <c r="X1588" s="152">
        <f t="shared" si="96"/>
        <v>0.1862</v>
      </c>
      <c r="Y1588" s="152">
        <f t="shared" si="97"/>
        <v>3.5999999999999996</v>
      </c>
      <c r="Z1588" s="152">
        <f t="shared" si="98"/>
        <v>2.8462000000000001</v>
      </c>
      <c r="AA1588" s="153"/>
      <c r="AB1588" s="153"/>
      <c r="AC1588" s="153"/>
      <c r="AD1588" s="153"/>
      <c r="AH1588" s="147"/>
    </row>
    <row r="1589" spans="1:34" s="146" customFormat="1" x14ac:dyDescent="0.25">
      <c r="A1589" s="196">
        <v>2551</v>
      </c>
      <c r="B1589" s="196" t="s">
        <v>8175</v>
      </c>
      <c r="C1589" s="196" t="s">
        <v>8176</v>
      </c>
      <c r="D1589" s="196" t="s">
        <v>2209</v>
      </c>
      <c r="E1589" s="196"/>
      <c r="F1589" s="196">
        <v>2010</v>
      </c>
      <c r="G1589" s="196"/>
      <c r="H1589" s="196" t="s">
        <v>1878</v>
      </c>
      <c r="I1589" s="141" t="s">
        <v>7527</v>
      </c>
      <c r="J1589" s="196"/>
      <c r="K1589" s="196" t="s">
        <v>1881</v>
      </c>
      <c r="L1589" s="240" t="s">
        <v>8177</v>
      </c>
      <c r="M1589" s="196">
        <v>304</v>
      </c>
      <c r="N1589" s="196"/>
      <c r="O1589" s="196" t="s">
        <v>6670</v>
      </c>
      <c r="P1589" s="144">
        <v>185</v>
      </c>
      <c r="Q1589" s="145">
        <f t="shared" si="94"/>
        <v>0.85439999999999983</v>
      </c>
      <c r="R1589" s="145">
        <f t="shared" si="92"/>
        <v>2.0543999999999998</v>
      </c>
      <c r="S1589" s="203">
        <f>0.25+1.45</f>
        <v>1.7</v>
      </c>
      <c r="T1589" s="151">
        <v>0.13</v>
      </c>
      <c r="U1589" s="151" t="str">
        <f t="shared" si="95"/>
        <v>1,20</v>
      </c>
      <c r="V1589" s="151">
        <f t="shared" si="93"/>
        <v>0.33999999999999997</v>
      </c>
      <c r="W1589" s="151">
        <v>0.25</v>
      </c>
      <c r="X1589" s="152">
        <f t="shared" si="96"/>
        <v>0.13439999999999999</v>
      </c>
      <c r="Y1589" s="152">
        <f t="shared" si="97"/>
        <v>1.7</v>
      </c>
      <c r="Z1589" s="152">
        <f t="shared" si="98"/>
        <v>2.0543999999999998</v>
      </c>
      <c r="AA1589" s="153"/>
      <c r="AB1589" s="153"/>
      <c r="AC1589" s="153"/>
      <c r="AD1589" s="153"/>
      <c r="AH1589" s="147"/>
    </row>
    <row r="1590" spans="1:34" s="146" customFormat="1" x14ac:dyDescent="0.25">
      <c r="A1590" s="196">
        <v>2522</v>
      </c>
      <c r="B1590" s="196" t="s">
        <v>6431</v>
      </c>
      <c r="C1590" s="196" t="s">
        <v>8178</v>
      </c>
      <c r="D1590" s="196" t="s">
        <v>1912</v>
      </c>
      <c r="E1590" s="196"/>
      <c r="F1590" s="196">
        <v>2003</v>
      </c>
      <c r="G1590" s="196"/>
      <c r="H1590" s="196" t="s">
        <v>1878</v>
      </c>
      <c r="I1590" s="141" t="s">
        <v>1879</v>
      </c>
      <c r="J1590" s="52" t="s">
        <v>3854</v>
      </c>
      <c r="K1590" s="196" t="s">
        <v>1881</v>
      </c>
      <c r="L1590" s="240" t="s">
        <v>8179</v>
      </c>
      <c r="M1590" s="196">
        <v>416</v>
      </c>
      <c r="N1590" s="196"/>
      <c r="O1590" s="196" t="s">
        <v>6671</v>
      </c>
      <c r="P1590" s="144">
        <v>367</v>
      </c>
      <c r="Q1590" s="145">
        <f t="shared" si="94"/>
        <v>0.85439999999999983</v>
      </c>
      <c r="R1590" s="145">
        <f t="shared" si="92"/>
        <v>2.0543999999999998</v>
      </c>
      <c r="S1590" s="203">
        <f>0.5+1.4</f>
        <v>1.9</v>
      </c>
      <c r="T1590" s="151">
        <v>0.13</v>
      </c>
      <c r="U1590" s="151" t="str">
        <f t="shared" si="95"/>
        <v>1,20</v>
      </c>
      <c r="V1590" s="151">
        <f t="shared" si="93"/>
        <v>0.33999999999999997</v>
      </c>
      <c r="W1590" s="151">
        <v>0.25</v>
      </c>
      <c r="X1590" s="152">
        <f t="shared" si="96"/>
        <v>0.13439999999999999</v>
      </c>
      <c r="Y1590" s="152">
        <f t="shared" si="97"/>
        <v>1.9</v>
      </c>
      <c r="Z1590" s="152">
        <f t="shared" si="98"/>
        <v>2.0543999999999998</v>
      </c>
      <c r="AA1590" s="153"/>
      <c r="AB1590" s="153"/>
      <c r="AC1590" s="153"/>
      <c r="AD1590" s="153"/>
      <c r="AH1590" s="147"/>
    </row>
    <row r="1591" spans="1:34" s="146" customFormat="1" x14ac:dyDescent="0.25">
      <c r="A1591" s="196">
        <v>944</v>
      </c>
      <c r="B1591" s="196" t="s">
        <v>8180</v>
      </c>
      <c r="C1591" s="196" t="s">
        <v>8181</v>
      </c>
      <c r="D1591" s="196" t="s">
        <v>2309</v>
      </c>
      <c r="E1591" s="196" t="s">
        <v>1921</v>
      </c>
      <c r="F1591" s="196">
        <v>1999</v>
      </c>
      <c r="G1591" s="196"/>
      <c r="H1591" s="196" t="s">
        <v>1878</v>
      </c>
      <c r="I1591" s="141" t="s">
        <v>1879</v>
      </c>
      <c r="J1591" s="196"/>
      <c r="K1591" s="196" t="s">
        <v>1881</v>
      </c>
      <c r="L1591" s="240" t="s">
        <v>8182</v>
      </c>
      <c r="M1591" s="196">
        <v>168</v>
      </c>
      <c r="N1591" s="196"/>
      <c r="O1591" s="196" t="s">
        <v>6672</v>
      </c>
      <c r="P1591" s="144">
        <v>190</v>
      </c>
      <c r="Q1591" s="145">
        <f t="shared" si="94"/>
        <v>1.1218999999999999</v>
      </c>
      <c r="R1591" s="145">
        <f t="shared" si="92"/>
        <v>2.3218999999999999</v>
      </c>
      <c r="S1591" s="203">
        <f>0.63+1.69</f>
        <v>2.3199999999999998</v>
      </c>
      <c r="T1591" s="151">
        <v>0.13</v>
      </c>
      <c r="U1591" s="151" t="str">
        <f t="shared" si="95"/>
        <v>1,20</v>
      </c>
      <c r="V1591" s="151">
        <f t="shared" si="93"/>
        <v>0.33999999999999997</v>
      </c>
      <c r="W1591" s="151">
        <v>0.5</v>
      </c>
      <c r="X1591" s="152">
        <f t="shared" si="96"/>
        <v>0.15190000000000001</v>
      </c>
      <c r="Y1591" s="152">
        <f t="shared" si="97"/>
        <v>2.3199999999999998</v>
      </c>
      <c r="Z1591" s="152">
        <f t="shared" si="98"/>
        <v>2.3218999999999999</v>
      </c>
      <c r="AA1591" s="153"/>
      <c r="AB1591" s="153"/>
      <c r="AC1591" s="153"/>
      <c r="AD1591" s="153"/>
      <c r="AH1591" s="147"/>
    </row>
    <row r="1592" spans="1:34" s="146" customFormat="1" x14ac:dyDescent="0.25">
      <c r="A1592" s="196">
        <v>914</v>
      </c>
      <c r="B1592" s="196" t="s">
        <v>8183</v>
      </c>
      <c r="C1592" s="196" t="s">
        <v>8184</v>
      </c>
      <c r="D1592" s="196" t="s">
        <v>1920</v>
      </c>
      <c r="E1592" s="196" t="s">
        <v>1921</v>
      </c>
      <c r="F1592" s="196">
        <v>2004</v>
      </c>
      <c r="G1592" s="196"/>
      <c r="H1592" s="196" t="s">
        <v>1878</v>
      </c>
      <c r="I1592" s="141" t="s">
        <v>1879</v>
      </c>
      <c r="J1592" s="52" t="s">
        <v>3854</v>
      </c>
      <c r="K1592" s="196" t="s">
        <v>1881</v>
      </c>
      <c r="L1592" s="240" t="s">
        <v>8185</v>
      </c>
      <c r="M1592" s="196">
        <v>256</v>
      </c>
      <c r="N1592" s="196"/>
      <c r="O1592" s="196" t="s">
        <v>6673</v>
      </c>
      <c r="P1592" s="144">
        <v>251</v>
      </c>
      <c r="Q1592" s="145">
        <f t="shared" si="94"/>
        <v>1.4428999999999996</v>
      </c>
      <c r="R1592" s="145">
        <f t="shared" si="92"/>
        <v>2.6428999999999996</v>
      </c>
      <c r="S1592" s="203">
        <v>2.6</v>
      </c>
      <c r="T1592" s="151">
        <v>0.13</v>
      </c>
      <c r="U1592" s="151" t="str">
        <f t="shared" si="95"/>
        <v>1,20</v>
      </c>
      <c r="V1592" s="151">
        <f t="shared" si="93"/>
        <v>0.33999999999999997</v>
      </c>
      <c r="W1592" s="151">
        <v>0.8</v>
      </c>
      <c r="X1592" s="152">
        <f t="shared" si="96"/>
        <v>0.17289999999999997</v>
      </c>
      <c r="Y1592" s="152">
        <f t="shared" si="97"/>
        <v>2.6</v>
      </c>
      <c r="Z1592" s="152">
        <f t="shared" si="98"/>
        <v>2.6428999999999996</v>
      </c>
      <c r="AA1592" s="153"/>
      <c r="AB1592" s="153"/>
      <c r="AC1592" s="153"/>
      <c r="AD1592" s="153"/>
      <c r="AH1592" s="147"/>
    </row>
    <row r="1593" spans="1:34" s="146" customFormat="1" x14ac:dyDescent="0.25">
      <c r="A1593" s="196">
        <v>796</v>
      </c>
      <c r="B1593" s="196" t="s">
        <v>8186</v>
      </c>
      <c r="C1593" s="196" t="s">
        <v>8187</v>
      </c>
      <c r="D1593" s="196" t="s">
        <v>3646</v>
      </c>
      <c r="E1593" s="196" t="s">
        <v>3141</v>
      </c>
      <c r="F1593" s="196">
        <v>2006</v>
      </c>
      <c r="G1593" s="196"/>
      <c r="H1593" s="196" t="s">
        <v>1878</v>
      </c>
      <c r="I1593" s="141" t="s">
        <v>1879</v>
      </c>
      <c r="J1593" s="196"/>
      <c r="K1593" s="196" t="s">
        <v>1881</v>
      </c>
      <c r="L1593" s="240" t="s">
        <v>8188</v>
      </c>
      <c r="M1593" s="196">
        <v>304</v>
      </c>
      <c r="N1593" s="196"/>
      <c r="O1593" s="196" t="s">
        <v>6674</v>
      </c>
      <c r="P1593" s="144">
        <v>276</v>
      </c>
      <c r="Q1593" s="145">
        <f t="shared" si="94"/>
        <v>1.1218999999999999</v>
      </c>
      <c r="R1593" s="145">
        <f t="shared" si="92"/>
        <v>2.3218999999999999</v>
      </c>
      <c r="S1593" s="203">
        <v>2.2999999999999998</v>
      </c>
      <c r="T1593" s="151">
        <v>0.13</v>
      </c>
      <c r="U1593" s="151" t="str">
        <f t="shared" si="95"/>
        <v>1,20</v>
      </c>
      <c r="V1593" s="151">
        <f t="shared" si="93"/>
        <v>0.33999999999999997</v>
      </c>
      <c r="W1593" s="151">
        <v>0.5</v>
      </c>
      <c r="X1593" s="152">
        <f t="shared" si="96"/>
        <v>0.15190000000000001</v>
      </c>
      <c r="Y1593" s="152">
        <f t="shared" si="97"/>
        <v>2.2999999999999998</v>
      </c>
      <c r="Z1593" s="152">
        <f t="shared" si="98"/>
        <v>2.3218999999999999</v>
      </c>
      <c r="AA1593" s="153"/>
      <c r="AB1593" s="153"/>
      <c r="AC1593" s="153"/>
      <c r="AD1593" s="153"/>
      <c r="AH1593" s="147"/>
    </row>
    <row r="1594" spans="1:34" s="146" customFormat="1" x14ac:dyDescent="0.25">
      <c r="A1594" s="196">
        <v>692</v>
      </c>
      <c r="B1594" s="196" t="s">
        <v>7761</v>
      </c>
      <c r="C1594" s="196" t="s">
        <v>7762</v>
      </c>
      <c r="D1594" s="196" t="s">
        <v>2309</v>
      </c>
      <c r="E1594" s="196" t="s">
        <v>2157</v>
      </c>
      <c r="F1594" s="196">
        <v>2010</v>
      </c>
      <c r="G1594" s="196"/>
      <c r="H1594" s="196" t="s">
        <v>1878</v>
      </c>
      <c r="I1594" s="141" t="s">
        <v>1914</v>
      </c>
      <c r="J1594" s="196"/>
      <c r="K1594" s="196" t="s">
        <v>1881</v>
      </c>
      <c r="L1594" s="240" t="s">
        <v>7763</v>
      </c>
      <c r="M1594" s="196">
        <v>224</v>
      </c>
      <c r="N1594" s="196"/>
      <c r="O1594" s="196" t="s">
        <v>6675</v>
      </c>
      <c r="P1594" s="144">
        <v>243</v>
      </c>
      <c r="Q1594" s="145">
        <f t="shared" si="94"/>
        <v>0.85439999999999983</v>
      </c>
      <c r="R1594" s="145">
        <f t="shared" si="92"/>
        <v>2.0543999999999998</v>
      </c>
      <c r="S1594" s="203">
        <v>1.65</v>
      </c>
      <c r="T1594" s="151">
        <v>0.13</v>
      </c>
      <c r="U1594" s="151" t="str">
        <f t="shared" si="95"/>
        <v>1,20</v>
      </c>
      <c r="V1594" s="151">
        <f t="shared" si="93"/>
        <v>0.33999999999999997</v>
      </c>
      <c r="W1594" s="151">
        <v>0.25</v>
      </c>
      <c r="X1594" s="152">
        <f t="shared" si="96"/>
        <v>0.13439999999999999</v>
      </c>
      <c r="Y1594" s="152">
        <f t="shared" si="97"/>
        <v>1.65</v>
      </c>
      <c r="Z1594" s="152">
        <f t="shared" si="98"/>
        <v>2.0543999999999998</v>
      </c>
      <c r="AA1594" s="153"/>
      <c r="AB1594" s="153"/>
      <c r="AC1594" s="153"/>
      <c r="AD1594" s="153"/>
      <c r="AH1594" s="147"/>
    </row>
    <row r="1595" spans="1:34" s="146" customFormat="1" x14ac:dyDescent="0.25">
      <c r="A1595" s="196">
        <v>692</v>
      </c>
      <c r="B1595" s="196" t="s">
        <v>8189</v>
      </c>
      <c r="C1595" s="196" t="s">
        <v>8190</v>
      </c>
      <c r="D1595" s="196" t="s">
        <v>1912</v>
      </c>
      <c r="E1595" s="196"/>
      <c r="F1595" s="196">
        <v>2001</v>
      </c>
      <c r="G1595" s="196"/>
      <c r="H1595" s="196" t="s">
        <v>1878</v>
      </c>
      <c r="I1595" s="141" t="s">
        <v>1879</v>
      </c>
      <c r="J1595" s="52" t="s">
        <v>3854</v>
      </c>
      <c r="K1595" s="196" t="s">
        <v>1881</v>
      </c>
      <c r="L1595" s="240" t="s">
        <v>8191</v>
      </c>
      <c r="M1595" s="196">
        <v>640</v>
      </c>
      <c r="N1595" s="196"/>
      <c r="O1595" s="196" t="s">
        <v>6676</v>
      </c>
      <c r="P1595" s="144">
        <v>419</v>
      </c>
      <c r="Q1595" s="145">
        <f t="shared" si="94"/>
        <v>0.85439999999999983</v>
      </c>
      <c r="R1595" s="145">
        <f t="shared" si="92"/>
        <v>2.0543999999999998</v>
      </c>
      <c r="S1595" s="203">
        <f>0.29+1.65</f>
        <v>1.94</v>
      </c>
      <c r="T1595" s="151">
        <v>0.13</v>
      </c>
      <c r="U1595" s="151" t="str">
        <f t="shared" si="95"/>
        <v>1,20</v>
      </c>
      <c r="V1595" s="151">
        <f t="shared" si="93"/>
        <v>0.33999999999999997</v>
      </c>
      <c r="W1595" s="151">
        <v>0.25</v>
      </c>
      <c r="X1595" s="152">
        <f t="shared" si="96"/>
        <v>0.13439999999999999</v>
      </c>
      <c r="Y1595" s="152">
        <f t="shared" si="97"/>
        <v>1.94</v>
      </c>
      <c r="Z1595" s="152">
        <f t="shared" si="98"/>
        <v>2.0543999999999998</v>
      </c>
      <c r="AA1595" s="153"/>
      <c r="AB1595" s="153"/>
      <c r="AC1595" s="153"/>
      <c r="AD1595" s="153"/>
      <c r="AH1595" s="147"/>
    </row>
    <row r="1596" spans="1:34" s="146" customFormat="1" x14ac:dyDescent="0.25">
      <c r="A1596" s="196">
        <v>613</v>
      </c>
      <c r="B1596" s="196" t="s">
        <v>8192</v>
      </c>
      <c r="C1596" s="196" t="s">
        <v>7338</v>
      </c>
      <c r="D1596" s="196" t="s">
        <v>2209</v>
      </c>
      <c r="E1596" s="196"/>
      <c r="F1596" s="196">
        <v>2003</v>
      </c>
      <c r="G1596" s="196"/>
      <c r="H1596" s="196" t="s">
        <v>1878</v>
      </c>
      <c r="I1596" s="141" t="s">
        <v>1879</v>
      </c>
      <c r="J1596" s="196"/>
      <c r="K1596" s="196" t="s">
        <v>1881</v>
      </c>
      <c r="L1596" s="240" t="s">
        <v>8193</v>
      </c>
      <c r="M1596" s="196">
        <v>336</v>
      </c>
      <c r="N1596" s="196"/>
      <c r="O1596" s="196" t="s">
        <v>6677</v>
      </c>
      <c r="P1596" s="144">
        <v>333</v>
      </c>
      <c r="Q1596" s="145">
        <f t="shared" si="94"/>
        <v>0.85439999999999983</v>
      </c>
      <c r="R1596" s="145">
        <f t="shared" si="92"/>
        <v>2.0543999999999998</v>
      </c>
      <c r="S1596" s="203">
        <v>1.7</v>
      </c>
      <c r="T1596" s="151">
        <v>0.13</v>
      </c>
      <c r="U1596" s="151" t="str">
        <f t="shared" si="95"/>
        <v>1,20</v>
      </c>
      <c r="V1596" s="151">
        <f t="shared" si="93"/>
        <v>0.33999999999999997</v>
      </c>
      <c r="W1596" s="151">
        <v>0.25</v>
      </c>
      <c r="X1596" s="152">
        <f t="shared" si="96"/>
        <v>0.13439999999999999</v>
      </c>
      <c r="Y1596" s="152">
        <f t="shared" si="97"/>
        <v>1.7</v>
      </c>
      <c r="Z1596" s="152">
        <f t="shared" si="98"/>
        <v>2.0543999999999998</v>
      </c>
      <c r="AA1596" s="153"/>
      <c r="AB1596" s="153"/>
      <c r="AC1596" s="153"/>
      <c r="AD1596" s="153"/>
      <c r="AH1596" s="147"/>
    </row>
    <row r="1597" spans="1:34" s="146" customFormat="1" x14ac:dyDescent="0.25">
      <c r="A1597" s="196">
        <v>2556</v>
      </c>
      <c r="B1597" s="196" t="s">
        <v>8194</v>
      </c>
      <c r="C1597" s="196" t="s">
        <v>8195</v>
      </c>
      <c r="D1597" s="196" t="s">
        <v>1912</v>
      </c>
      <c r="E1597" s="196"/>
      <c r="F1597" s="196">
        <v>2010</v>
      </c>
      <c r="G1597" s="196"/>
      <c r="H1597" s="196" t="s">
        <v>1878</v>
      </c>
      <c r="I1597" s="141" t="s">
        <v>1914</v>
      </c>
      <c r="J1597" s="196"/>
      <c r="K1597" s="196" t="s">
        <v>1881</v>
      </c>
      <c r="L1597" s="240" t="s">
        <v>4820</v>
      </c>
      <c r="M1597" s="196">
        <v>320</v>
      </c>
      <c r="N1597" s="196"/>
      <c r="O1597" s="196" t="s">
        <v>6678</v>
      </c>
      <c r="P1597" s="144">
        <v>191</v>
      </c>
      <c r="Q1597" s="145">
        <f t="shared" si="94"/>
        <v>0.85439999999999983</v>
      </c>
      <c r="R1597" s="145">
        <f t="shared" si="92"/>
        <v>2.0543999999999998</v>
      </c>
      <c r="S1597" s="203">
        <v>1.55</v>
      </c>
      <c r="T1597" s="151">
        <v>0.13</v>
      </c>
      <c r="U1597" s="151" t="str">
        <f t="shared" si="95"/>
        <v>1,20</v>
      </c>
      <c r="V1597" s="151">
        <f t="shared" si="93"/>
        <v>0.33999999999999997</v>
      </c>
      <c r="W1597" s="151">
        <v>0.25</v>
      </c>
      <c r="X1597" s="152">
        <f t="shared" si="96"/>
        <v>0.13439999999999999</v>
      </c>
      <c r="Y1597" s="152">
        <f t="shared" si="97"/>
        <v>1.55</v>
      </c>
      <c r="Z1597" s="152">
        <f t="shared" si="98"/>
        <v>2.0543999999999998</v>
      </c>
      <c r="AA1597" s="153"/>
      <c r="AB1597" s="153"/>
      <c r="AC1597" s="153"/>
      <c r="AD1597" s="153"/>
      <c r="AH1597" s="147"/>
    </row>
    <row r="1598" spans="1:34" s="146" customFormat="1" x14ac:dyDescent="0.25">
      <c r="A1598" s="196">
        <v>2547</v>
      </c>
      <c r="B1598" s="196" t="s">
        <v>8196</v>
      </c>
      <c r="C1598" s="196" t="s">
        <v>8197</v>
      </c>
      <c r="D1598" s="196" t="s">
        <v>2257</v>
      </c>
      <c r="E1598" s="196"/>
      <c r="F1598" s="196">
        <v>2002</v>
      </c>
      <c r="G1598" s="196"/>
      <c r="H1598" s="196" t="s">
        <v>1878</v>
      </c>
      <c r="I1598" s="141" t="s">
        <v>1914</v>
      </c>
      <c r="J1598" s="52" t="s">
        <v>3854</v>
      </c>
      <c r="K1598" s="196" t="s">
        <v>1881</v>
      </c>
      <c r="L1598" s="240" t="s">
        <v>8198</v>
      </c>
      <c r="M1598" s="196">
        <v>352</v>
      </c>
      <c r="N1598" s="196"/>
      <c r="O1598" s="196" t="s">
        <v>6679</v>
      </c>
      <c r="P1598" s="144">
        <v>193</v>
      </c>
      <c r="Q1598" s="145">
        <f t="shared" si="94"/>
        <v>0.85439999999999983</v>
      </c>
      <c r="R1598" s="145">
        <f t="shared" si="92"/>
        <v>2.0543999999999998</v>
      </c>
      <c r="S1598" s="203">
        <v>1.94</v>
      </c>
      <c r="T1598" s="151">
        <v>0.13</v>
      </c>
      <c r="U1598" s="151" t="str">
        <f t="shared" si="95"/>
        <v>1,20</v>
      </c>
      <c r="V1598" s="151">
        <f t="shared" si="93"/>
        <v>0.33999999999999997</v>
      </c>
      <c r="W1598" s="151">
        <v>0.25</v>
      </c>
      <c r="X1598" s="152">
        <f t="shared" si="96"/>
        <v>0.13439999999999999</v>
      </c>
      <c r="Y1598" s="152">
        <f t="shared" si="97"/>
        <v>1.94</v>
      </c>
      <c r="Z1598" s="152">
        <f t="shared" si="98"/>
        <v>2.0543999999999998</v>
      </c>
      <c r="AA1598" s="153"/>
      <c r="AB1598" s="153"/>
      <c r="AC1598" s="153"/>
      <c r="AD1598" s="153"/>
      <c r="AH1598" s="147"/>
    </row>
    <row r="1599" spans="1:34" s="146" customFormat="1" x14ac:dyDescent="0.25">
      <c r="A1599" s="138">
        <v>1325</v>
      </c>
      <c r="B1599" s="196" t="s">
        <v>8199</v>
      </c>
      <c r="C1599" s="196" t="s">
        <v>8200</v>
      </c>
      <c r="D1599" s="196" t="s">
        <v>2609</v>
      </c>
      <c r="E1599" s="196" t="s">
        <v>2175</v>
      </c>
      <c r="F1599" s="196">
        <v>2000</v>
      </c>
      <c r="G1599" s="196"/>
      <c r="H1599" s="196" t="s">
        <v>1878</v>
      </c>
      <c r="I1599" s="141" t="s">
        <v>1914</v>
      </c>
      <c r="J1599" s="196"/>
      <c r="K1599" s="196" t="s">
        <v>1881</v>
      </c>
      <c r="L1599" s="240" t="s">
        <v>8201</v>
      </c>
      <c r="M1599" s="196">
        <v>192</v>
      </c>
      <c r="N1599" s="196"/>
      <c r="O1599" s="196" t="s">
        <v>6680</v>
      </c>
      <c r="P1599" s="144">
        <v>122</v>
      </c>
      <c r="Q1599" s="145">
        <f t="shared" si="94"/>
        <v>0.85439999999999983</v>
      </c>
      <c r="R1599" s="145">
        <f t="shared" si="92"/>
        <v>2.0543999999999998</v>
      </c>
      <c r="S1599" s="203">
        <v>1.9</v>
      </c>
      <c r="T1599" s="151">
        <v>0.13</v>
      </c>
      <c r="U1599" s="151" t="str">
        <f t="shared" si="95"/>
        <v>1,20</v>
      </c>
      <c r="V1599" s="151">
        <f t="shared" si="93"/>
        <v>0.33999999999999997</v>
      </c>
      <c r="W1599" s="151">
        <v>0.25</v>
      </c>
      <c r="X1599" s="152">
        <f t="shared" si="96"/>
        <v>0.13439999999999999</v>
      </c>
      <c r="Y1599" s="152">
        <f t="shared" si="97"/>
        <v>1.9</v>
      </c>
      <c r="Z1599" s="152">
        <f t="shared" si="98"/>
        <v>2.0543999999999998</v>
      </c>
      <c r="AA1599" s="153"/>
      <c r="AB1599" s="153"/>
      <c r="AC1599" s="153"/>
      <c r="AD1599" s="153"/>
      <c r="AH1599" s="147"/>
    </row>
    <row r="1600" spans="1:34" s="146" customFormat="1" x14ac:dyDescent="0.25">
      <c r="A1600" s="196">
        <v>692</v>
      </c>
      <c r="B1600" s="196" t="s">
        <v>8202</v>
      </c>
      <c r="C1600" s="196" t="s">
        <v>8203</v>
      </c>
      <c r="D1600" s="196" t="s">
        <v>2257</v>
      </c>
      <c r="E1600" s="196" t="s">
        <v>1921</v>
      </c>
      <c r="F1600" s="196">
        <v>1999</v>
      </c>
      <c r="G1600" s="196"/>
      <c r="H1600" s="196" t="s">
        <v>1878</v>
      </c>
      <c r="I1600" s="141" t="s">
        <v>1914</v>
      </c>
      <c r="J1600" s="196"/>
      <c r="K1600" s="196" t="s">
        <v>1881</v>
      </c>
      <c r="L1600" s="240" t="s">
        <v>8204</v>
      </c>
      <c r="M1600" s="196">
        <v>416</v>
      </c>
      <c r="N1600" s="196"/>
      <c r="O1600" s="196" t="s">
        <v>6681</v>
      </c>
      <c r="P1600" s="144">
        <v>229</v>
      </c>
      <c r="Q1600" s="145">
        <f t="shared" si="94"/>
        <v>0.85439999999999983</v>
      </c>
      <c r="R1600" s="145">
        <f t="shared" si="92"/>
        <v>2.0543999999999998</v>
      </c>
      <c r="S1600" s="203">
        <v>1.6</v>
      </c>
      <c r="T1600" s="151">
        <v>0.13</v>
      </c>
      <c r="U1600" s="151" t="str">
        <f t="shared" si="95"/>
        <v>1,20</v>
      </c>
      <c r="V1600" s="151">
        <f t="shared" si="93"/>
        <v>0.33999999999999997</v>
      </c>
      <c r="W1600" s="151">
        <v>0.25</v>
      </c>
      <c r="X1600" s="152">
        <f t="shared" si="96"/>
        <v>0.13439999999999999</v>
      </c>
      <c r="Y1600" s="152">
        <f t="shared" si="97"/>
        <v>1.6</v>
      </c>
      <c r="Z1600" s="152">
        <f t="shared" si="98"/>
        <v>2.0543999999999998</v>
      </c>
      <c r="AA1600" s="153"/>
      <c r="AB1600" s="153"/>
      <c r="AC1600" s="153"/>
      <c r="AD1600" s="153"/>
      <c r="AH1600" s="147"/>
    </row>
    <row r="1601" spans="1:34" s="146" customFormat="1" x14ac:dyDescent="0.25">
      <c r="A1601" s="196">
        <v>1395</v>
      </c>
      <c r="B1601" s="196" t="s">
        <v>4802</v>
      </c>
      <c r="C1601" s="196" t="s">
        <v>8205</v>
      </c>
      <c r="D1601" s="196" t="s">
        <v>1920</v>
      </c>
      <c r="E1601" s="196"/>
      <c r="F1601" s="196">
        <v>2007</v>
      </c>
      <c r="G1601" s="196"/>
      <c r="H1601" s="196" t="s">
        <v>1878</v>
      </c>
      <c r="I1601" s="141" t="s">
        <v>1879</v>
      </c>
      <c r="J1601" s="196"/>
      <c r="K1601" s="196" t="s">
        <v>1881</v>
      </c>
      <c r="L1601" s="240" t="s">
        <v>8206</v>
      </c>
      <c r="M1601" s="196">
        <v>304</v>
      </c>
      <c r="N1601" s="196"/>
      <c r="O1601" s="196" t="s">
        <v>6682</v>
      </c>
      <c r="P1601" s="144">
        <v>270</v>
      </c>
      <c r="Q1601" s="145">
        <f t="shared" si="94"/>
        <v>0.85439999999999983</v>
      </c>
      <c r="R1601" s="145">
        <f t="shared" si="92"/>
        <v>2.0543999999999998</v>
      </c>
      <c r="S1601" s="203">
        <v>1.9</v>
      </c>
      <c r="T1601" s="151">
        <v>0.13</v>
      </c>
      <c r="U1601" s="151" t="str">
        <f t="shared" si="95"/>
        <v>1,20</v>
      </c>
      <c r="V1601" s="151">
        <f t="shared" si="93"/>
        <v>0.33999999999999997</v>
      </c>
      <c r="W1601" s="151">
        <v>0.25</v>
      </c>
      <c r="X1601" s="152">
        <f t="shared" si="96"/>
        <v>0.13439999999999999</v>
      </c>
      <c r="Y1601" s="152">
        <f t="shared" si="97"/>
        <v>1.9</v>
      </c>
      <c r="Z1601" s="152">
        <f t="shared" si="98"/>
        <v>2.0543999999999998</v>
      </c>
      <c r="AA1601" s="153"/>
      <c r="AB1601" s="153"/>
      <c r="AC1601" s="153"/>
      <c r="AD1601" s="153"/>
      <c r="AH1601" s="147"/>
    </row>
    <row r="1602" spans="1:34" s="146" customFormat="1" x14ac:dyDescent="0.25">
      <c r="A1602" s="196">
        <v>1231</v>
      </c>
      <c r="B1602" s="196" t="s">
        <v>8207</v>
      </c>
      <c r="C1602" s="196" t="s">
        <v>8208</v>
      </c>
      <c r="D1602" s="196" t="s">
        <v>2419</v>
      </c>
      <c r="E1602" s="196"/>
      <c r="F1602" s="196">
        <v>1998</v>
      </c>
      <c r="G1602" s="196"/>
      <c r="H1602" s="196" t="s">
        <v>2734</v>
      </c>
      <c r="I1602" s="141" t="s">
        <v>1879</v>
      </c>
      <c r="J1602" s="196" t="s">
        <v>4291</v>
      </c>
      <c r="K1602" s="196" t="s">
        <v>1881</v>
      </c>
      <c r="L1602" s="240"/>
      <c r="M1602" s="196">
        <v>386</v>
      </c>
      <c r="N1602" s="196"/>
      <c r="O1602" s="196" t="s">
        <v>6683</v>
      </c>
      <c r="P1602" s="144">
        <v>624</v>
      </c>
      <c r="Q1602" s="145">
        <f t="shared" si="94"/>
        <v>0.88939999999999997</v>
      </c>
      <c r="R1602" s="145">
        <f t="shared" si="92"/>
        <v>2.5893999999999999</v>
      </c>
      <c r="S1602" s="203">
        <v>2</v>
      </c>
      <c r="T1602" s="151">
        <v>0.13</v>
      </c>
      <c r="U1602" s="151" t="str">
        <f t="shared" si="95"/>
        <v>1,70</v>
      </c>
      <c r="V1602" s="151">
        <f t="shared" si="93"/>
        <v>0.33999999999999997</v>
      </c>
      <c r="W1602" s="151">
        <v>0.25</v>
      </c>
      <c r="X1602" s="152">
        <f t="shared" si="96"/>
        <v>0.1694</v>
      </c>
      <c r="Y1602" s="152">
        <f t="shared" si="97"/>
        <v>2</v>
      </c>
      <c r="Z1602" s="152">
        <f t="shared" si="98"/>
        <v>2.5893999999999999</v>
      </c>
      <c r="AA1602" s="153"/>
      <c r="AB1602" s="153"/>
      <c r="AC1602" s="153"/>
      <c r="AD1602" s="153"/>
      <c r="AH1602" s="147"/>
    </row>
    <row r="1603" spans="1:34" s="146" customFormat="1" x14ac:dyDescent="0.25">
      <c r="A1603" s="196">
        <v>1395</v>
      </c>
      <c r="B1603" s="196" t="s">
        <v>8209</v>
      </c>
      <c r="C1603" s="196" t="s">
        <v>8210</v>
      </c>
      <c r="D1603" s="196" t="s">
        <v>1988</v>
      </c>
      <c r="E1603" s="196"/>
      <c r="F1603" s="196">
        <v>2013</v>
      </c>
      <c r="G1603" s="196"/>
      <c r="H1603" s="196" t="s">
        <v>1878</v>
      </c>
      <c r="I1603" s="141" t="s">
        <v>7527</v>
      </c>
      <c r="J1603" s="196"/>
      <c r="K1603" s="196" t="s">
        <v>1881</v>
      </c>
      <c r="L1603" s="240" t="s">
        <v>8211</v>
      </c>
      <c r="M1603" s="196">
        <v>334</v>
      </c>
      <c r="N1603" s="196"/>
      <c r="O1603" s="196" t="s">
        <v>6684</v>
      </c>
      <c r="P1603" s="144">
        <v>250</v>
      </c>
      <c r="Q1603" s="145">
        <f t="shared" si="94"/>
        <v>0.85439999999999983</v>
      </c>
      <c r="R1603" s="145">
        <f t="shared" si="92"/>
        <v>2.0543999999999998</v>
      </c>
      <c r="S1603" s="203">
        <v>1.73</v>
      </c>
      <c r="T1603" s="151">
        <v>0.13</v>
      </c>
      <c r="U1603" s="151" t="str">
        <f t="shared" si="95"/>
        <v>1,20</v>
      </c>
      <c r="V1603" s="151">
        <f t="shared" si="93"/>
        <v>0.33999999999999997</v>
      </c>
      <c r="W1603" s="151">
        <v>0.25</v>
      </c>
      <c r="X1603" s="152">
        <f t="shared" si="96"/>
        <v>0.13439999999999999</v>
      </c>
      <c r="Y1603" s="152">
        <f t="shared" si="97"/>
        <v>1.73</v>
      </c>
      <c r="Z1603" s="152">
        <f t="shared" si="98"/>
        <v>2.0543999999999998</v>
      </c>
      <c r="AA1603" s="153"/>
      <c r="AB1603" s="153"/>
      <c r="AC1603" s="153"/>
      <c r="AD1603" s="153"/>
      <c r="AH1603" s="147"/>
    </row>
    <row r="1604" spans="1:34" s="146" customFormat="1" x14ac:dyDescent="0.25">
      <c r="A1604" s="196">
        <v>1396</v>
      </c>
      <c r="B1604" s="196" t="s">
        <v>8212</v>
      </c>
      <c r="C1604" s="196" t="s">
        <v>8213</v>
      </c>
      <c r="D1604" s="196" t="s">
        <v>1912</v>
      </c>
      <c r="E1604" s="196" t="s">
        <v>1921</v>
      </c>
      <c r="F1604" s="196">
        <v>2000</v>
      </c>
      <c r="G1604" s="196"/>
      <c r="H1604" s="196" t="s">
        <v>1878</v>
      </c>
      <c r="I1604" s="141" t="s">
        <v>7527</v>
      </c>
      <c r="J1604" s="52" t="s">
        <v>3854</v>
      </c>
      <c r="K1604" s="196" t="s">
        <v>1881</v>
      </c>
      <c r="L1604" s="240" t="s">
        <v>8214</v>
      </c>
      <c r="M1604" s="196">
        <v>320</v>
      </c>
      <c r="N1604" s="196"/>
      <c r="O1604" s="196" t="s">
        <v>6685</v>
      </c>
      <c r="P1604" s="144">
        <v>360</v>
      </c>
      <c r="Q1604" s="145">
        <f t="shared" si="94"/>
        <v>0.85439999999999983</v>
      </c>
      <c r="R1604" s="145">
        <f t="shared" si="92"/>
        <v>2.0543999999999998</v>
      </c>
      <c r="S1604" s="203">
        <v>1.9</v>
      </c>
      <c r="T1604" s="151">
        <v>0.13</v>
      </c>
      <c r="U1604" s="151" t="str">
        <f t="shared" si="95"/>
        <v>1,20</v>
      </c>
      <c r="V1604" s="151">
        <f t="shared" si="93"/>
        <v>0.33999999999999997</v>
      </c>
      <c r="W1604" s="151">
        <v>0.25</v>
      </c>
      <c r="X1604" s="152">
        <f t="shared" si="96"/>
        <v>0.13439999999999999</v>
      </c>
      <c r="Y1604" s="152">
        <f t="shared" si="97"/>
        <v>1.9</v>
      </c>
      <c r="Z1604" s="152">
        <f t="shared" si="98"/>
        <v>2.0543999999999998</v>
      </c>
      <c r="AA1604" s="153"/>
      <c r="AB1604" s="153"/>
      <c r="AC1604" s="153"/>
      <c r="AD1604" s="153"/>
      <c r="AH1604" s="147"/>
    </row>
    <row r="1605" spans="1:34" s="146" customFormat="1" x14ac:dyDescent="0.25">
      <c r="A1605" s="196">
        <v>1352</v>
      </c>
      <c r="B1605" s="196" t="s">
        <v>7806</v>
      </c>
      <c r="C1605" s="196" t="s">
        <v>7807</v>
      </c>
      <c r="D1605" s="196" t="s">
        <v>5005</v>
      </c>
      <c r="E1605" s="196"/>
      <c r="F1605" s="196">
        <v>2001</v>
      </c>
      <c r="G1605" s="196"/>
      <c r="H1605" s="196" t="s">
        <v>1878</v>
      </c>
      <c r="I1605" s="141" t="s">
        <v>7527</v>
      </c>
      <c r="J1605" s="196"/>
      <c r="K1605" s="196" t="s">
        <v>1881</v>
      </c>
      <c r="L1605" s="240"/>
      <c r="M1605" s="196">
        <v>352</v>
      </c>
      <c r="N1605" s="196"/>
      <c r="O1605" s="196" t="s">
        <v>6686</v>
      </c>
      <c r="P1605" s="144">
        <v>254</v>
      </c>
      <c r="Q1605" s="145">
        <f t="shared" si="94"/>
        <v>0.85439999999999983</v>
      </c>
      <c r="R1605" s="145">
        <f t="shared" si="92"/>
        <v>2.0543999999999998</v>
      </c>
      <c r="S1605" s="203">
        <v>1.55</v>
      </c>
      <c r="T1605" s="151">
        <v>0.13</v>
      </c>
      <c r="U1605" s="151" t="str">
        <f t="shared" si="95"/>
        <v>1,20</v>
      </c>
      <c r="V1605" s="151">
        <f t="shared" si="93"/>
        <v>0.33999999999999997</v>
      </c>
      <c r="W1605" s="151">
        <v>0.25</v>
      </c>
      <c r="X1605" s="152">
        <f t="shared" si="96"/>
        <v>0.13439999999999999</v>
      </c>
      <c r="Y1605" s="152">
        <f t="shared" si="97"/>
        <v>1.55</v>
      </c>
      <c r="Z1605" s="152">
        <f t="shared" si="98"/>
        <v>2.0543999999999998</v>
      </c>
      <c r="AA1605" s="153"/>
      <c r="AB1605" s="153"/>
      <c r="AC1605" s="153"/>
      <c r="AD1605" s="153"/>
      <c r="AH1605" s="147"/>
    </row>
    <row r="1606" spans="1:34" s="146" customFormat="1" x14ac:dyDescent="0.25">
      <c r="A1606" s="196">
        <v>692</v>
      </c>
      <c r="B1606" s="196" t="s">
        <v>8215</v>
      </c>
      <c r="C1606" s="196" t="s">
        <v>8216</v>
      </c>
      <c r="D1606" s="196" t="s">
        <v>1920</v>
      </c>
      <c r="E1606" s="196"/>
      <c r="F1606" s="196">
        <v>2004</v>
      </c>
      <c r="G1606" s="196"/>
      <c r="H1606" s="196" t="s">
        <v>1878</v>
      </c>
      <c r="I1606" s="141" t="s">
        <v>7527</v>
      </c>
      <c r="J1606" s="52" t="s">
        <v>3854</v>
      </c>
      <c r="K1606" s="196" t="s">
        <v>1881</v>
      </c>
      <c r="L1606" s="240" t="s">
        <v>8217</v>
      </c>
      <c r="M1606" s="196">
        <v>256</v>
      </c>
      <c r="N1606" s="196"/>
      <c r="O1606" s="196" t="s">
        <v>6687</v>
      </c>
      <c r="P1606" s="144">
        <v>249</v>
      </c>
      <c r="Q1606" s="145">
        <f t="shared" si="94"/>
        <v>0.96140000000000003</v>
      </c>
      <c r="R1606" s="145">
        <f t="shared" si="92"/>
        <v>2.1614</v>
      </c>
      <c r="S1606" s="203">
        <v>2.15</v>
      </c>
      <c r="T1606" s="151">
        <v>0.13</v>
      </c>
      <c r="U1606" s="151" t="str">
        <f t="shared" si="95"/>
        <v>1,20</v>
      </c>
      <c r="V1606" s="151">
        <f t="shared" si="93"/>
        <v>0.33999999999999997</v>
      </c>
      <c r="W1606" s="151">
        <v>0.35</v>
      </c>
      <c r="X1606" s="152">
        <f t="shared" si="96"/>
        <v>0.1414</v>
      </c>
      <c r="Y1606" s="152">
        <f t="shared" si="97"/>
        <v>2.15</v>
      </c>
      <c r="Z1606" s="152">
        <f t="shared" si="98"/>
        <v>2.1614</v>
      </c>
      <c r="AA1606" s="153"/>
      <c r="AB1606" s="153"/>
      <c r="AC1606" s="153"/>
      <c r="AD1606" s="153"/>
      <c r="AH1606" s="147"/>
    </row>
    <row r="1607" spans="1:34" s="146" customFormat="1" x14ac:dyDescent="0.25">
      <c r="A1607" s="196">
        <v>2551</v>
      </c>
      <c r="B1607" s="196" t="s">
        <v>8218</v>
      </c>
      <c r="C1607" s="196" t="s">
        <v>8219</v>
      </c>
      <c r="D1607" s="196" t="s">
        <v>2300</v>
      </c>
      <c r="E1607" s="196" t="s">
        <v>2157</v>
      </c>
      <c r="F1607" s="196">
        <v>2012</v>
      </c>
      <c r="G1607" s="196"/>
      <c r="H1607" s="196" t="s">
        <v>1878</v>
      </c>
      <c r="I1607" s="141" t="s">
        <v>1879</v>
      </c>
      <c r="J1607" s="196"/>
      <c r="K1607" s="196" t="s">
        <v>1881</v>
      </c>
      <c r="L1607" s="240" t="s">
        <v>8220</v>
      </c>
      <c r="M1607" s="196">
        <v>590</v>
      </c>
      <c r="N1607" s="196"/>
      <c r="O1607" s="196" t="s">
        <v>6688</v>
      </c>
      <c r="P1607" s="144">
        <v>718</v>
      </c>
      <c r="Q1607" s="145">
        <f t="shared" si="94"/>
        <v>0.88939999999999997</v>
      </c>
      <c r="R1607" s="145">
        <f t="shared" si="92"/>
        <v>2.5893999999999999</v>
      </c>
      <c r="S1607" s="203">
        <v>2.0499999999999998</v>
      </c>
      <c r="T1607" s="151">
        <v>0.13</v>
      </c>
      <c r="U1607" s="151" t="str">
        <f t="shared" si="95"/>
        <v>1,70</v>
      </c>
      <c r="V1607" s="151">
        <f t="shared" si="93"/>
        <v>0.33999999999999997</v>
      </c>
      <c r="W1607" s="151">
        <v>0.25</v>
      </c>
      <c r="X1607" s="152">
        <f t="shared" si="96"/>
        <v>0.1694</v>
      </c>
      <c r="Y1607" s="152">
        <f t="shared" si="97"/>
        <v>2.0499999999999998</v>
      </c>
      <c r="Z1607" s="152">
        <f t="shared" si="98"/>
        <v>2.5893999999999999</v>
      </c>
      <c r="AA1607" s="153"/>
      <c r="AB1607" s="153"/>
      <c r="AC1607" s="153"/>
      <c r="AD1607" s="153"/>
      <c r="AH1607" s="147"/>
    </row>
    <row r="1608" spans="1:34" s="146" customFormat="1" x14ac:dyDescent="0.25">
      <c r="A1608" s="196">
        <v>2522</v>
      </c>
      <c r="B1608" s="196" t="s">
        <v>8222</v>
      </c>
      <c r="C1608" s="196" t="s">
        <v>8223</v>
      </c>
      <c r="D1608" s="196" t="s">
        <v>1876</v>
      </c>
      <c r="E1608" s="196"/>
      <c r="F1608" s="196">
        <v>2011</v>
      </c>
      <c r="G1608" s="196"/>
      <c r="H1608" s="196" t="s">
        <v>1878</v>
      </c>
      <c r="I1608" s="141" t="s">
        <v>7817</v>
      </c>
      <c r="J1608" s="196"/>
      <c r="K1608" s="196" t="s">
        <v>1881</v>
      </c>
      <c r="L1608" s="240" t="s">
        <v>8224</v>
      </c>
      <c r="M1608" s="196">
        <v>384</v>
      </c>
      <c r="N1608" s="196"/>
      <c r="O1608" s="196" t="s">
        <v>6690</v>
      </c>
      <c r="P1608" s="144">
        <v>324</v>
      </c>
      <c r="Q1608" s="145">
        <f t="shared" si="94"/>
        <v>0.85439999999999983</v>
      </c>
      <c r="R1608" s="145">
        <f t="shared" si="92"/>
        <v>2.0543999999999998</v>
      </c>
      <c r="S1608" s="203">
        <v>1.65</v>
      </c>
      <c r="T1608" s="151">
        <v>0.13</v>
      </c>
      <c r="U1608" s="151" t="str">
        <f t="shared" si="95"/>
        <v>1,20</v>
      </c>
      <c r="V1608" s="151">
        <f t="shared" si="93"/>
        <v>0.33999999999999997</v>
      </c>
      <c r="W1608" s="151">
        <v>0.25</v>
      </c>
      <c r="X1608" s="152">
        <f t="shared" si="96"/>
        <v>0.13439999999999999</v>
      </c>
      <c r="Y1608" s="152">
        <f t="shared" si="97"/>
        <v>1.65</v>
      </c>
      <c r="Z1608" s="152">
        <f t="shared" si="98"/>
        <v>2.0543999999999998</v>
      </c>
      <c r="AA1608" s="153"/>
      <c r="AB1608" s="153"/>
      <c r="AC1608" s="153"/>
      <c r="AD1608" s="153"/>
      <c r="AH1608" s="147"/>
    </row>
    <row r="1609" spans="1:34" s="146" customFormat="1" x14ac:dyDescent="0.25">
      <c r="A1609" s="196">
        <v>2943</v>
      </c>
      <c r="B1609" s="196" t="s">
        <v>8225</v>
      </c>
      <c r="C1609" s="196" t="s">
        <v>8226</v>
      </c>
      <c r="D1609" s="196" t="s">
        <v>8227</v>
      </c>
      <c r="E1609" s="196" t="s">
        <v>1899</v>
      </c>
      <c r="F1609" s="196">
        <v>1981</v>
      </c>
      <c r="G1609" s="196"/>
      <c r="H1609" s="196" t="s">
        <v>1878</v>
      </c>
      <c r="I1609" s="141" t="s">
        <v>7527</v>
      </c>
      <c r="J1609" s="196"/>
      <c r="K1609" s="196" t="s">
        <v>1881</v>
      </c>
      <c r="L1609" s="240" t="s">
        <v>8228</v>
      </c>
      <c r="M1609" s="196">
        <v>162</v>
      </c>
      <c r="N1609" s="196"/>
      <c r="O1609" s="196" t="s">
        <v>6691</v>
      </c>
      <c r="P1609" s="144">
        <v>181</v>
      </c>
      <c r="Q1609" s="145">
        <f t="shared" si="94"/>
        <v>3.3500000000000005</v>
      </c>
      <c r="R1609" s="145">
        <f t="shared" ref="R1609:R1636" si="99">IF(Y1609&gt;Z1609,Y1609,Z1609)</f>
        <v>4.5500000000000007</v>
      </c>
      <c r="S1609" s="203">
        <f>2.95+1.6</f>
        <v>4.5500000000000007</v>
      </c>
      <c r="T1609" s="151">
        <v>0.13</v>
      </c>
      <c r="U1609" s="151" t="str">
        <f t="shared" si="95"/>
        <v>1,20</v>
      </c>
      <c r="V1609" s="151">
        <f t="shared" si="93"/>
        <v>0.33999999999999997</v>
      </c>
      <c r="W1609" s="151">
        <v>1.8</v>
      </c>
      <c r="X1609" s="152">
        <f t="shared" si="96"/>
        <v>0.24289999999999995</v>
      </c>
      <c r="Y1609" s="152">
        <f t="shared" si="97"/>
        <v>4.5500000000000007</v>
      </c>
      <c r="Z1609" s="152">
        <f t="shared" si="98"/>
        <v>3.7128999999999999</v>
      </c>
      <c r="AA1609" s="153"/>
      <c r="AB1609" s="153"/>
      <c r="AC1609" s="153"/>
      <c r="AD1609" s="153"/>
      <c r="AH1609" s="147"/>
    </row>
    <row r="1610" spans="1:34" s="146" customFormat="1" x14ac:dyDescent="0.25">
      <c r="A1610" s="196">
        <v>1927</v>
      </c>
      <c r="B1610" s="196" t="s">
        <v>8229</v>
      </c>
      <c r="C1610" s="196" t="s">
        <v>8230</v>
      </c>
      <c r="D1610" s="196" t="s">
        <v>1912</v>
      </c>
      <c r="E1610" s="196" t="s">
        <v>1921</v>
      </c>
      <c r="F1610" s="196">
        <v>2006</v>
      </c>
      <c r="G1610" s="196"/>
      <c r="H1610" s="196" t="s">
        <v>1878</v>
      </c>
      <c r="I1610" s="141" t="s">
        <v>1879</v>
      </c>
      <c r="J1610" s="52" t="s">
        <v>3854</v>
      </c>
      <c r="K1610" s="196" t="s">
        <v>1881</v>
      </c>
      <c r="L1610" s="240" t="s">
        <v>8231</v>
      </c>
      <c r="M1610" s="196">
        <v>400</v>
      </c>
      <c r="N1610" s="196"/>
      <c r="O1610" s="196" t="s">
        <v>6692</v>
      </c>
      <c r="P1610" s="144">
        <v>382</v>
      </c>
      <c r="Q1610" s="145">
        <f t="shared" si="94"/>
        <v>1.89</v>
      </c>
      <c r="R1610" s="145">
        <f t="shared" si="99"/>
        <v>3.09</v>
      </c>
      <c r="S1610" s="203">
        <v>3.09</v>
      </c>
      <c r="T1610" s="151">
        <v>0.13</v>
      </c>
      <c r="U1610" s="151" t="str">
        <f t="shared" si="95"/>
        <v>1,20</v>
      </c>
      <c r="V1610" s="151">
        <f t="shared" ref="V1610:V1641" si="100">0.08+0.09+0.17</f>
        <v>0.33999999999999997</v>
      </c>
      <c r="W1610" s="151">
        <v>0.5</v>
      </c>
      <c r="X1610" s="152">
        <f t="shared" si="96"/>
        <v>0.15190000000000001</v>
      </c>
      <c r="Y1610" s="152">
        <f t="shared" si="97"/>
        <v>3.09</v>
      </c>
      <c r="Z1610" s="152">
        <f t="shared" si="98"/>
        <v>2.3218999999999999</v>
      </c>
      <c r="AA1610" s="153"/>
      <c r="AB1610" s="153"/>
      <c r="AC1610" s="153"/>
      <c r="AD1610" s="153"/>
      <c r="AH1610" s="147"/>
    </row>
    <row r="1611" spans="1:34" s="146" customFormat="1" x14ac:dyDescent="0.25">
      <c r="A1611" s="196">
        <v>632</v>
      </c>
      <c r="B1611" s="196" t="s">
        <v>2252</v>
      </c>
      <c r="C1611" s="196" t="s">
        <v>2917</v>
      </c>
      <c r="D1611" s="196" t="s">
        <v>1912</v>
      </c>
      <c r="E1611" s="196" t="s">
        <v>2412</v>
      </c>
      <c r="F1611" s="196">
        <v>2003</v>
      </c>
      <c r="G1611" s="196"/>
      <c r="H1611" s="196" t="s">
        <v>1878</v>
      </c>
      <c r="I1611" s="141" t="s">
        <v>1914</v>
      </c>
      <c r="J1611" s="196" t="s">
        <v>4314</v>
      </c>
      <c r="K1611" s="196" t="s">
        <v>1881</v>
      </c>
      <c r="L1611" s="240" t="s">
        <v>2919</v>
      </c>
      <c r="M1611" s="196">
        <v>512</v>
      </c>
      <c r="N1611" s="196"/>
      <c r="O1611" s="196" t="s">
        <v>6694</v>
      </c>
      <c r="P1611" s="144">
        <v>394</v>
      </c>
      <c r="Q1611" s="145">
        <f t="shared" si="94"/>
        <v>0.85439999999999983</v>
      </c>
      <c r="R1611" s="145">
        <f t="shared" si="99"/>
        <v>2.0543999999999998</v>
      </c>
      <c r="S1611" s="203">
        <v>1.65</v>
      </c>
      <c r="T1611" s="151">
        <v>0.13</v>
      </c>
      <c r="U1611" s="151" t="str">
        <f t="shared" si="95"/>
        <v>1,20</v>
      </c>
      <c r="V1611" s="151">
        <f t="shared" si="100"/>
        <v>0.33999999999999997</v>
      </c>
      <c r="W1611" s="151">
        <v>0.25</v>
      </c>
      <c r="X1611" s="152">
        <f t="shared" si="96"/>
        <v>0.13439999999999999</v>
      </c>
      <c r="Y1611" s="152">
        <f t="shared" si="97"/>
        <v>1.65</v>
      </c>
      <c r="Z1611" s="152">
        <f t="shared" si="98"/>
        <v>2.0543999999999998</v>
      </c>
      <c r="AA1611" s="153"/>
      <c r="AB1611" s="153"/>
      <c r="AC1611" s="153"/>
      <c r="AD1611" s="153"/>
      <c r="AH1611" s="147"/>
    </row>
    <row r="1612" spans="1:34" s="146" customFormat="1" x14ac:dyDescent="0.25">
      <c r="A1612" s="196">
        <v>1395</v>
      </c>
      <c r="B1612" s="196" t="s">
        <v>8235</v>
      </c>
      <c r="C1612" s="196" t="s">
        <v>8236</v>
      </c>
      <c r="D1612" s="196" t="s">
        <v>4914</v>
      </c>
      <c r="E1612" s="196"/>
      <c r="F1612" s="196">
        <v>2002</v>
      </c>
      <c r="G1612" s="196"/>
      <c r="H1612" s="196" t="s">
        <v>2734</v>
      </c>
      <c r="I1612" s="141" t="s">
        <v>1879</v>
      </c>
      <c r="J1612" s="196"/>
      <c r="K1612" s="196" t="s">
        <v>1881</v>
      </c>
      <c r="L1612" s="240" t="s">
        <v>8237</v>
      </c>
      <c r="M1612" s="196">
        <v>178</v>
      </c>
      <c r="N1612" s="196"/>
      <c r="O1612" s="196" t="s">
        <v>6695</v>
      </c>
      <c r="P1612" s="144">
        <v>280</v>
      </c>
      <c r="Q1612" s="145">
        <f t="shared" si="94"/>
        <v>0.85439999999999983</v>
      </c>
      <c r="R1612" s="145">
        <f t="shared" si="99"/>
        <v>2.0543999999999998</v>
      </c>
      <c r="S1612" s="203">
        <v>2</v>
      </c>
      <c r="T1612" s="151">
        <v>0.13</v>
      </c>
      <c r="U1612" s="151" t="str">
        <f t="shared" si="95"/>
        <v>1,20</v>
      </c>
      <c r="V1612" s="151">
        <f t="shared" si="100"/>
        <v>0.33999999999999997</v>
      </c>
      <c r="W1612" s="151">
        <v>0.25</v>
      </c>
      <c r="X1612" s="152">
        <f t="shared" si="96"/>
        <v>0.13439999999999999</v>
      </c>
      <c r="Y1612" s="152">
        <f t="shared" si="97"/>
        <v>2</v>
      </c>
      <c r="Z1612" s="152">
        <f t="shared" si="98"/>
        <v>2.0543999999999998</v>
      </c>
      <c r="AA1612" s="153"/>
      <c r="AB1612" s="153"/>
      <c r="AC1612" s="153"/>
      <c r="AD1612" s="153"/>
      <c r="AH1612" s="147"/>
    </row>
    <row r="1613" spans="1:34" s="146" customFormat="1" x14ac:dyDescent="0.25">
      <c r="A1613" s="196">
        <v>692</v>
      </c>
      <c r="B1613" s="196" t="s">
        <v>8238</v>
      </c>
      <c r="C1613" s="196" t="s">
        <v>8239</v>
      </c>
      <c r="D1613" s="196" t="s">
        <v>2257</v>
      </c>
      <c r="E1613" s="196" t="s">
        <v>8240</v>
      </c>
      <c r="F1613" s="196">
        <v>1996</v>
      </c>
      <c r="G1613" s="196"/>
      <c r="H1613" s="196" t="s">
        <v>1878</v>
      </c>
      <c r="I1613" s="141" t="s">
        <v>1914</v>
      </c>
      <c r="J1613" s="196"/>
      <c r="K1613" s="196" t="s">
        <v>1881</v>
      </c>
      <c r="L1613" s="240" t="s">
        <v>8241</v>
      </c>
      <c r="M1613" s="196">
        <v>592</v>
      </c>
      <c r="N1613" s="196"/>
      <c r="O1613" s="196" t="s">
        <v>6696</v>
      </c>
      <c r="P1613" s="144">
        <v>323</v>
      </c>
      <c r="Q1613" s="145">
        <f t="shared" si="94"/>
        <v>0.85439999999999983</v>
      </c>
      <c r="R1613" s="145">
        <f t="shared" si="99"/>
        <v>2.0543999999999998</v>
      </c>
      <c r="S1613" s="203">
        <v>1.45</v>
      </c>
      <c r="T1613" s="151">
        <v>0.13</v>
      </c>
      <c r="U1613" s="151" t="str">
        <f t="shared" si="95"/>
        <v>1,20</v>
      </c>
      <c r="V1613" s="151">
        <f t="shared" si="100"/>
        <v>0.33999999999999997</v>
      </c>
      <c r="W1613" s="151">
        <v>0.25</v>
      </c>
      <c r="X1613" s="152">
        <f t="shared" si="96"/>
        <v>0.13439999999999999</v>
      </c>
      <c r="Y1613" s="152">
        <f t="shared" si="97"/>
        <v>1.45</v>
      </c>
      <c r="Z1613" s="152">
        <f t="shared" si="98"/>
        <v>2.0543999999999998</v>
      </c>
      <c r="AA1613" s="153"/>
      <c r="AB1613" s="153"/>
      <c r="AC1613" s="153"/>
      <c r="AD1613" s="153"/>
      <c r="AH1613" s="147"/>
    </row>
    <row r="1614" spans="1:34" s="146" customFormat="1" x14ac:dyDescent="0.25">
      <c r="A1614" s="196">
        <v>796</v>
      </c>
      <c r="B1614" s="196" t="s">
        <v>8242</v>
      </c>
      <c r="C1614" s="196" t="s">
        <v>8243</v>
      </c>
      <c r="D1614" s="196" t="s">
        <v>1988</v>
      </c>
      <c r="E1614" s="196"/>
      <c r="F1614" s="196">
        <v>1998</v>
      </c>
      <c r="G1614" s="196"/>
      <c r="H1614" s="196" t="s">
        <v>1878</v>
      </c>
      <c r="I1614" s="141" t="s">
        <v>1879</v>
      </c>
      <c r="J1614" s="196"/>
      <c r="K1614" s="196" t="s">
        <v>1881</v>
      </c>
      <c r="L1614" s="240" t="s">
        <v>8244</v>
      </c>
      <c r="M1614" s="196">
        <v>432</v>
      </c>
      <c r="N1614" s="196"/>
      <c r="O1614" s="196" t="s">
        <v>6697</v>
      </c>
      <c r="P1614" s="144">
        <v>256</v>
      </c>
      <c r="Q1614" s="145">
        <f t="shared" si="94"/>
        <v>0.85439999999999983</v>
      </c>
      <c r="R1614" s="145">
        <f t="shared" si="99"/>
        <v>2.0543999999999998</v>
      </c>
      <c r="S1614" s="203">
        <v>1.75</v>
      </c>
      <c r="T1614" s="151">
        <v>0.13</v>
      </c>
      <c r="U1614" s="151" t="str">
        <f t="shared" si="95"/>
        <v>1,20</v>
      </c>
      <c r="V1614" s="151">
        <f t="shared" si="100"/>
        <v>0.33999999999999997</v>
      </c>
      <c r="W1614" s="151">
        <v>0.25</v>
      </c>
      <c r="X1614" s="152">
        <f t="shared" si="96"/>
        <v>0.13439999999999999</v>
      </c>
      <c r="Y1614" s="152">
        <f t="shared" si="97"/>
        <v>1.75</v>
      </c>
      <c r="Z1614" s="152">
        <f t="shared" si="98"/>
        <v>2.0543999999999998</v>
      </c>
      <c r="AA1614" s="153"/>
      <c r="AB1614" s="153"/>
      <c r="AC1614" s="153"/>
      <c r="AD1614" s="153"/>
      <c r="AH1614" s="147"/>
    </row>
    <row r="1615" spans="1:34" s="146" customFormat="1" x14ac:dyDescent="0.25">
      <c r="A1615" s="196">
        <v>2522</v>
      </c>
      <c r="B1615" s="196" t="s">
        <v>8245</v>
      </c>
      <c r="C1615" s="196" t="s">
        <v>8246</v>
      </c>
      <c r="D1615" s="196" t="s">
        <v>1920</v>
      </c>
      <c r="E1615" s="196"/>
      <c r="F1615" s="196">
        <v>2003</v>
      </c>
      <c r="G1615" s="196"/>
      <c r="H1615" s="196" t="s">
        <v>1878</v>
      </c>
      <c r="I1615" s="141" t="s">
        <v>1914</v>
      </c>
      <c r="J1615" s="196"/>
      <c r="K1615" s="196" t="s">
        <v>1881</v>
      </c>
      <c r="L1615" s="240" t="s">
        <v>8247</v>
      </c>
      <c r="M1615" s="196">
        <v>640</v>
      </c>
      <c r="N1615" s="196"/>
      <c r="O1615" s="196" t="s">
        <v>6698</v>
      </c>
      <c r="P1615" s="144">
        <v>547</v>
      </c>
      <c r="Q1615" s="145">
        <f t="shared" si="94"/>
        <v>0.88939999999999997</v>
      </c>
      <c r="R1615" s="145">
        <f t="shared" si="99"/>
        <v>2.5893999999999999</v>
      </c>
      <c r="S1615" s="203">
        <v>1.99</v>
      </c>
      <c r="T1615" s="151">
        <v>0.13</v>
      </c>
      <c r="U1615" s="151" t="str">
        <f t="shared" si="95"/>
        <v>1,70</v>
      </c>
      <c r="V1615" s="151">
        <f t="shared" si="100"/>
        <v>0.33999999999999997</v>
      </c>
      <c r="W1615" s="151">
        <v>0.25</v>
      </c>
      <c r="X1615" s="152">
        <f t="shared" si="96"/>
        <v>0.1694</v>
      </c>
      <c r="Y1615" s="152">
        <f t="shared" si="97"/>
        <v>1.99</v>
      </c>
      <c r="Z1615" s="152">
        <f t="shared" si="98"/>
        <v>2.5893999999999999</v>
      </c>
      <c r="AA1615" s="153"/>
      <c r="AB1615" s="153"/>
      <c r="AC1615" s="153"/>
      <c r="AD1615" s="153"/>
      <c r="AH1615" s="147"/>
    </row>
    <row r="1616" spans="1:34" s="146" customFormat="1" x14ac:dyDescent="0.25">
      <c r="A1616" s="196">
        <v>1396</v>
      </c>
      <c r="B1616" s="196" t="s">
        <v>2456</v>
      </c>
      <c r="C1616" s="196" t="s">
        <v>8248</v>
      </c>
      <c r="D1616" s="196" t="s">
        <v>5005</v>
      </c>
      <c r="E1616" s="196"/>
      <c r="F1616" s="196">
        <v>1992</v>
      </c>
      <c r="G1616" s="196"/>
      <c r="H1616" s="196" t="s">
        <v>2734</v>
      </c>
      <c r="I1616" s="141" t="s">
        <v>1879</v>
      </c>
      <c r="J1616" s="196"/>
      <c r="K1616" s="196" t="s">
        <v>1881</v>
      </c>
      <c r="L1616" s="240"/>
      <c r="M1616" s="196">
        <v>546</v>
      </c>
      <c r="N1616" s="196"/>
      <c r="O1616" s="196" t="s">
        <v>6699</v>
      </c>
      <c r="P1616" s="144">
        <v>677</v>
      </c>
      <c r="Q1616" s="145">
        <f t="shared" si="94"/>
        <v>0.88939999999999997</v>
      </c>
      <c r="R1616" s="145">
        <f t="shared" si="99"/>
        <v>2.5893999999999999</v>
      </c>
      <c r="S1616" s="203">
        <v>2.16</v>
      </c>
      <c r="T1616" s="151">
        <v>0.13</v>
      </c>
      <c r="U1616" s="151" t="str">
        <f t="shared" si="95"/>
        <v>1,70</v>
      </c>
      <c r="V1616" s="151">
        <f t="shared" si="100"/>
        <v>0.33999999999999997</v>
      </c>
      <c r="W1616" s="151">
        <v>0.25</v>
      </c>
      <c r="X1616" s="152">
        <f t="shared" si="96"/>
        <v>0.1694</v>
      </c>
      <c r="Y1616" s="152">
        <f t="shared" si="97"/>
        <v>2.16</v>
      </c>
      <c r="Z1616" s="152">
        <f t="shared" si="98"/>
        <v>2.5893999999999999</v>
      </c>
      <c r="AA1616" s="153"/>
      <c r="AB1616" s="153"/>
      <c r="AC1616" s="153"/>
      <c r="AD1616" s="153"/>
      <c r="AH1616" s="147"/>
    </row>
    <row r="1617" spans="1:34" s="146" customFormat="1" x14ac:dyDescent="0.25">
      <c r="A1617" s="196">
        <v>2952</v>
      </c>
      <c r="B1617" s="196" t="s">
        <v>2242</v>
      </c>
      <c r="C1617" s="196" t="s">
        <v>2243</v>
      </c>
      <c r="D1617" s="196" t="s">
        <v>2609</v>
      </c>
      <c r="E1617" s="196"/>
      <c r="F1617" s="196">
        <v>1997</v>
      </c>
      <c r="G1617" s="196"/>
      <c r="H1617" s="196" t="s">
        <v>1878</v>
      </c>
      <c r="I1617" s="141" t="s">
        <v>1914</v>
      </c>
      <c r="J1617" s="196"/>
      <c r="K1617" s="196" t="s">
        <v>1881</v>
      </c>
      <c r="L1617" s="240" t="s">
        <v>8249</v>
      </c>
      <c r="M1617" s="196">
        <v>640</v>
      </c>
      <c r="N1617" s="196"/>
      <c r="O1617" s="196" t="s">
        <v>6700</v>
      </c>
      <c r="P1617" s="144">
        <v>369</v>
      </c>
      <c r="Q1617" s="145">
        <f t="shared" si="94"/>
        <v>0.85439999999999983</v>
      </c>
      <c r="R1617" s="145">
        <f t="shared" si="99"/>
        <v>2.0543999999999998</v>
      </c>
      <c r="S1617" s="203">
        <v>1.55</v>
      </c>
      <c r="T1617" s="151">
        <v>0.13</v>
      </c>
      <c r="U1617" s="151" t="str">
        <f t="shared" si="95"/>
        <v>1,20</v>
      </c>
      <c r="V1617" s="151">
        <f t="shared" si="100"/>
        <v>0.33999999999999997</v>
      </c>
      <c r="W1617" s="151">
        <v>0.25</v>
      </c>
      <c r="X1617" s="152">
        <f t="shared" si="96"/>
        <v>0.13439999999999999</v>
      </c>
      <c r="Y1617" s="152">
        <f t="shared" si="97"/>
        <v>1.55</v>
      </c>
      <c r="Z1617" s="152">
        <f t="shared" si="98"/>
        <v>2.0543999999999998</v>
      </c>
      <c r="AA1617" s="153"/>
      <c r="AB1617" s="153"/>
      <c r="AC1617" s="153"/>
      <c r="AD1617" s="153"/>
      <c r="AH1617" s="147"/>
    </row>
    <row r="1618" spans="1:34" s="146" customFormat="1" x14ac:dyDescent="0.25">
      <c r="A1618" s="196">
        <v>1231</v>
      </c>
      <c r="B1618" s="196" t="s">
        <v>8250</v>
      </c>
      <c r="C1618" s="196" t="s">
        <v>8251</v>
      </c>
      <c r="D1618" s="196" t="s">
        <v>8252</v>
      </c>
      <c r="E1618" s="196"/>
      <c r="F1618" s="196">
        <v>1986</v>
      </c>
      <c r="G1618" s="196"/>
      <c r="H1618" s="196" t="s">
        <v>1878</v>
      </c>
      <c r="I1618" s="141" t="s">
        <v>1914</v>
      </c>
      <c r="J1618" s="196"/>
      <c r="K1618" s="196" t="s">
        <v>1881</v>
      </c>
      <c r="L1618" s="240" t="s">
        <v>8253</v>
      </c>
      <c r="M1618" s="196">
        <v>220</v>
      </c>
      <c r="N1618" s="196"/>
      <c r="O1618" s="196" t="s">
        <v>6701</v>
      </c>
      <c r="P1618" s="144">
        <v>270</v>
      </c>
      <c r="Q1618" s="145">
        <f t="shared" si="94"/>
        <v>0.85439999999999983</v>
      </c>
      <c r="R1618" s="145">
        <f t="shared" si="99"/>
        <v>2.0543999999999998</v>
      </c>
      <c r="S1618" s="203">
        <v>1.7</v>
      </c>
      <c r="T1618" s="151">
        <v>0.13</v>
      </c>
      <c r="U1618" s="151" t="str">
        <f t="shared" si="95"/>
        <v>1,20</v>
      </c>
      <c r="V1618" s="151">
        <f t="shared" si="100"/>
        <v>0.33999999999999997</v>
      </c>
      <c r="W1618" s="151">
        <v>0.25</v>
      </c>
      <c r="X1618" s="152">
        <f t="shared" si="96"/>
        <v>0.13439999999999999</v>
      </c>
      <c r="Y1618" s="152">
        <f t="shared" si="97"/>
        <v>1.7</v>
      </c>
      <c r="Z1618" s="152">
        <f t="shared" si="98"/>
        <v>2.0543999999999998</v>
      </c>
      <c r="AA1618" s="153"/>
      <c r="AB1618" s="153"/>
      <c r="AC1618" s="153"/>
      <c r="AD1618" s="153"/>
      <c r="AH1618" s="147"/>
    </row>
    <row r="1619" spans="1:34" s="146" customFormat="1" x14ac:dyDescent="0.25">
      <c r="A1619" s="196">
        <v>632</v>
      </c>
      <c r="B1619" s="196" t="s">
        <v>7306</v>
      </c>
      <c r="C1619" s="196" t="s">
        <v>7307</v>
      </c>
      <c r="D1619" s="196" t="s">
        <v>2901</v>
      </c>
      <c r="E1619" s="196"/>
      <c r="F1619" s="196">
        <v>1957</v>
      </c>
      <c r="G1619" s="196"/>
      <c r="H1619" s="196" t="s">
        <v>2734</v>
      </c>
      <c r="I1619" s="141" t="s">
        <v>7527</v>
      </c>
      <c r="J1619" s="196"/>
      <c r="K1619" s="196" t="s">
        <v>1881</v>
      </c>
      <c r="L1619" s="240"/>
      <c r="M1619" s="196">
        <v>526</v>
      </c>
      <c r="N1619" s="196"/>
      <c r="O1619" s="196" t="s">
        <v>6702</v>
      </c>
      <c r="P1619" s="144">
        <v>565</v>
      </c>
      <c r="Q1619" s="145">
        <f t="shared" si="94"/>
        <v>0.88939999999999997</v>
      </c>
      <c r="R1619" s="145">
        <f t="shared" si="99"/>
        <v>2.5893999999999999</v>
      </c>
      <c r="S1619" s="203">
        <v>1.65</v>
      </c>
      <c r="T1619" s="151">
        <v>0.13</v>
      </c>
      <c r="U1619" s="151" t="str">
        <f t="shared" si="95"/>
        <v>1,70</v>
      </c>
      <c r="V1619" s="151">
        <f t="shared" si="100"/>
        <v>0.33999999999999997</v>
      </c>
      <c r="W1619" s="151">
        <v>0.25</v>
      </c>
      <c r="X1619" s="152">
        <f t="shared" si="96"/>
        <v>0.1694</v>
      </c>
      <c r="Y1619" s="152">
        <f t="shared" si="97"/>
        <v>1.65</v>
      </c>
      <c r="Z1619" s="152">
        <f t="shared" si="98"/>
        <v>2.5893999999999999</v>
      </c>
      <c r="AA1619" s="153"/>
      <c r="AB1619" s="153"/>
      <c r="AC1619" s="153"/>
      <c r="AD1619" s="153"/>
      <c r="AH1619" s="147"/>
    </row>
    <row r="1620" spans="1:34" s="146" customFormat="1" x14ac:dyDescent="0.25">
      <c r="A1620" s="196">
        <v>697</v>
      </c>
      <c r="B1620" s="196" t="s">
        <v>8254</v>
      </c>
      <c r="C1620" s="196" t="s">
        <v>8255</v>
      </c>
      <c r="D1620" s="196"/>
      <c r="E1620" s="196"/>
      <c r="F1620" s="196"/>
      <c r="G1620" s="196"/>
      <c r="H1620" s="196" t="s">
        <v>2734</v>
      </c>
      <c r="I1620" s="141" t="s">
        <v>7817</v>
      </c>
      <c r="J1620" s="196"/>
      <c r="K1620" s="196" t="s">
        <v>1881</v>
      </c>
      <c r="L1620" s="240"/>
      <c r="M1620" s="196">
        <v>242</v>
      </c>
      <c r="N1620" s="196"/>
      <c r="O1620" s="196" t="s">
        <v>6703</v>
      </c>
      <c r="P1620" s="144">
        <v>473</v>
      </c>
      <c r="Q1620" s="145">
        <f t="shared" si="94"/>
        <v>6.9300000000000006</v>
      </c>
      <c r="R1620" s="145">
        <f t="shared" si="99"/>
        <v>8.1300000000000008</v>
      </c>
      <c r="S1620" s="203">
        <v>8.1300000000000008</v>
      </c>
      <c r="T1620" s="151">
        <v>0.13</v>
      </c>
      <c r="U1620" s="151" t="str">
        <f t="shared" si="95"/>
        <v>1,20</v>
      </c>
      <c r="V1620" s="151">
        <f t="shared" si="100"/>
        <v>0.33999999999999997</v>
      </c>
      <c r="W1620" s="151">
        <v>5.9</v>
      </c>
      <c r="X1620" s="152">
        <f t="shared" si="96"/>
        <v>0.52990000000000004</v>
      </c>
      <c r="Y1620" s="152">
        <f t="shared" si="97"/>
        <v>8.1300000000000008</v>
      </c>
      <c r="Z1620" s="152">
        <f t="shared" si="98"/>
        <v>8.0998999999999999</v>
      </c>
      <c r="AA1620" s="153"/>
      <c r="AB1620" s="153"/>
      <c r="AC1620" s="153"/>
      <c r="AD1620" s="153"/>
      <c r="AH1620" s="147"/>
    </row>
    <row r="1621" spans="1:34" s="146" customFormat="1" x14ac:dyDescent="0.25">
      <c r="A1621" s="196">
        <v>1327</v>
      </c>
      <c r="B1621" s="196" t="s">
        <v>8256</v>
      </c>
      <c r="C1621" s="196" t="s">
        <v>8257</v>
      </c>
      <c r="D1621" s="196" t="s">
        <v>8258</v>
      </c>
      <c r="E1621" s="196"/>
      <c r="F1621" s="196">
        <v>1998</v>
      </c>
      <c r="G1621" s="196"/>
      <c r="H1621" s="196" t="s">
        <v>2734</v>
      </c>
      <c r="I1621" s="141" t="s">
        <v>1929</v>
      </c>
      <c r="J1621" s="196"/>
      <c r="K1621" s="196" t="s">
        <v>1881</v>
      </c>
      <c r="L1621" s="240" t="s">
        <v>8259</v>
      </c>
      <c r="M1621" s="196">
        <v>266</v>
      </c>
      <c r="N1621" s="196"/>
      <c r="O1621" s="196" t="s">
        <v>6704</v>
      </c>
      <c r="P1621" s="144">
        <v>356</v>
      </c>
      <c r="Q1621" s="145">
        <f t="shared" si="94"/>
        <v>3.0999999999999996</v>
      </c>
      <c r="R1621" s="145">
        <f t="shared" si="99"/>
        <v>4.3</v>
      </c>
      <c r="S1621" s="203">
        <v>4.3</v>
      </c>
      <c r="T1621" s="151">
        <v>0.13</v>
      </c>
      <c r="U1621" s="151" t="str">
        <f t="shared" si="95"/>
        <v>1,20</v>
      </c>
      <c r="V1621" s="151">
        <f t="shared" si="100"/>
        <v>0.33999999999999997</v>
      </c>
      <c r="W1621" s="151">
        <v>2.2999999999999998</v>
      </c>
      <c r="X1621" s="152">
        <f t="shared" si="96"/>
        <v>0.27789999999999998</v>
      </c>
      <c r="Y1621" s="152">
        <f t="shared" si="97"/>
        <v>4.3</v>
      </c>
      <c r="Z1621" s="152">
        <f t="shared" si="98"/>
        <v>4.2478999999999996</v>
      </c>
      <c r="AA1621" s="153"/>
      <c r="AB1621" s="153"/>
      <c r="AC1621" s="153"/>
      <c r="AD1621" s="153"/>
      <c r="AH1621" s="147"/>
    </row>
    <row r="1622" spans="1:34" s="146" customFormat="1" x14ac:dyDescent="0.25">
      <c r="A1622" s="196">
        <v>273</v>
      </c>
      <c r="B1622" s="196" t="s">
        <v>8260</v>
      </c>
      <c r="C1622" s="196" t="s">
        <v>8261</v>
      </c>
      <c r="D1622" s="196" t="s">
        <v>3864</v>
      </c>
      <c r="E1622" s="196"/>
      <c r="F1622" s="196">
        <v>1977</v>
      </c>
      <c r="G1622" s="196"/>
      <c r="H1622" s="196" t="s">
        <v>1878</v>
      </c>
      <c r="I1622" s="141" t="s">
        <v>1879</v>
      </c>
      <c r="J1622" s="196"/>
      <c r="K1622" s="196" t="s">
        <v>1881</v>
      </c>
      <c r="L1622" s="240"/>
      <c r="M1622" s="196">
        <v>312</v>
      </c>
      <c r="N1622" s="196"/>
      <c r="O1622" s="196" t="s">
        <v>6705</v>
      </c>
      <c r="P1622" s="144">
        <v>569</v>
      </c>
      <c r="Q1622" s="145">
        <f t="shared" si="94"/>
        <v>1.49</v>
      </c>
      <c r="R1622" s="145">
        <f t="shared" si="99"/>
        <v>3.19</v>
      </c>
      <c r="S1622" s="203">
        <v>3.19</v>
      </c>
      <c r="T1622" s="151">
        <v>0.13</v>
      </c>
      <c r="U1622" s="151" t="str">
        <f t="shared" si="95"/>
        <v>1,70</v>
      </c>
      <c r="V1622" s="151">
        <f t="shared" si="100"/>
        <v>0.33999999999999997</v>
      </c>
      <c r="W1622" s="151">
        <v>0.75</v>
      </c>
      <c r="X1622" s="152">
        <f t="shared" si="96"/>
        <v>0.2044</v>
      </c>
      <c r="Y1622" s="152">
        <f t="shared" si="97"/>
        <v>3.19</v>
      </c>
      <c r="Z1622" s="152">
        <f t="shared" si="98"/>
        <v>3.1244000000000001</v>
      </c>
      <c r="AA1622" s="153"/>
      <c r="AB1622" s="153"/>
      <c r="AC1622" s="153"/>
      <c r="AD1622" s="153"/>
      <c r="AH1622" s="147"/>
    </row>
    <row r="1623" spans="1:34" s="146" customFormat="1" x14ac:dyDescent="0.25">
      <c r="A1623" s="196">
        <v>721</v>
      </c>
      <c r="B1623" s="196" t="s">
        <v>8262</v>
      </c>
      <c r="C1623" s="196" t="s">
        <v>8263</v>
      </c>
      <c r="D1623" s="196" t="s">
        <v>3606</v>
      </c>
      <c r="E1623" s="196"/>
      <c r="F1623" s="196">
        <v>2002</v>
      </c>
      <c r="G1623" s="196"/>
      <c r="H1623" s="196" t="s">
        <v>1878</v>
      </c>
      <c r="I1623" s="141" t="s">
        <v>1879</v>
      </c>
      <c r="J1623" s="196"/>
      <c r="K1623" s="196" t="s">
        <v>1881</v>
      </c>
      <c r="L1623" s="240" t="s">
        <v>8264</v>
      </c>
      <c r="M1623" s="196">
        <v>64</v>
      </c>
      <c r="N1623" s="196"/>
      <c r="O1623" s="196" t="s">
        <v>6706</v>
      </c>
      <c r="P1623" s="144">
        <v>138</v>
      </c>
      <c r="Q1623" s="145">
        <f t="shared" si="94"/>
        <v>3.5999999999999996</v>
      </c>
      <c r="R1623" s="145">
        <f t="shared" si="99"/>
        <v>4.8</v>
      </c>
      <c r="S1623" s="203">
        <v>4.8</v>
      </c>
      <c r="T1623" s="151">
        <v>0.13</v>
      </c>
      <c r="U1623" s="151" t="str">
        <f t="shared" si="95"/>
        <v>1,20</v>
      </c>
      <c r="V1623" s="151">
        <f t="shared" si="100"/>
        <v>0.33999999999999997</v>
      </c>
      <c r="W1623" s="151">
        <v>2.8</v>
      </c>
      <c r="X1623" s="152">
        <f t="shared" si="96"/>
        <v>0.31289999999999996</v>
      </c>
      <c r="Y1623" s="152">
        <f t="shared" si="97"/>
        <v>4.8</v>
      </c>
      <c r="Z1623" s="152">
        <f t="shared" si="98"/>
        <v>4.7828999999999997</v>
      </c>
      <c r="AA1623" s="153"/>
      <c r="AB1623" s="153"/>
      <c r="AC1623" s="153"/>
      <c r="AD1623" s="153"/>
      <c r="AH1623" s="147"/>
    </row>
    <row r="1624" spans="1:34" s="146" customFormat="1" x14ac:dyDescent="0.25">
      <c r="A1624" s="196">
        <v>765</v>
      </c>
      <c r="B1624" s="196" t="s">
        <v>8265</v>
      </c>
      <c r="C1624" s="196" t="s">
        <v>8266</v>
      </c>
      <c r="D1624" s="196" t="s">
        <v>4693</v>
      </c>
      <c r="E1624" s="196" t="s">
        <v>1913</v>
      </c>
      <c r="F1624" s="196">
        <v>2009</v>
      </c>
      <c r="G1624" s="196"/>
      <c r="H1624" s="196" t="s">
        <v>2734</v>
      </c>
      <c r="I1624" s="141" t="s">
        <v>1879</v>
      </c>
      <c r="J1624" s="196"/>
      <c r="K1624" s="196" t="s">
        <v>1881</v>
      </c>
      <c r="L1624" s="240" t="s">
        <v>8267</v>
      </c>
      <c r="M1624" s="196">
        <v>178</v>
      </c>
      <c r="N1624" s="196"/>
      <c r="O1624" s="196" t="s">
        <v>6707</v>
      </c>
      <c r="P1624" s="144">
        <v>349</v>
      </c>
      <c r="Q1624" s="145">
        <f t="shared" si="94"/>
        <v>1.4428999999999996</v>
      </c>
      <c r="R1624" s="145">
        <f t="shared" si="99"/>
        <v>2.6428999999999996</v>
      </c>
      <c r="S1624" s="203">
        <v>2.6</v>
      </c>
      <c r="T1624" s="151">
        <v>0.13</v>
      </c>
      <c r="U1624" s="151" t="str">
        <f t="shared" si="95"/>
        <v>1,20</v>
      </c>
      <c r="V1624" s="151">
        <f t="shared" si="100"/>
        <v>0.33999999999999997</v>
      </c>
      <c r="W1624" s="151">
        <v>0.8</v>
      </c>
      <c r="X1624" s="152">
        <f t="shared" si="96"/>
        <v>0.17289999999999997</v>
      </c>
      <c r="Y1624" s="152">
        <f t="shared" si="97"/>
        <v>2.6</v>
      </c>
      <c r="Z1624" s="152">
        <f t="shared" si="98"/>
        <v>2.6428999999999996</v>
      </c>
      <c r="AA1624" s="153"/>
      <c r="AB1624" s="153"/>
      <c r="AC1624" s="153"/>
      <c r="AD1624" s="153"/>
      <c r="AH1624" s="147"/>
    </row>
    <row r="1625" spans="1:34" s="146" customFormat="1" x14ac:dyDescent="0.25">
      <c r="A1625" s="196">
        <v>593</v>
      </c>
      <c r="B1625" s="196"/>
      <c r="C1625" s="196" t="s">
        <v>8268</v>
      </c>
      <c r="D1625" s="196" t="s">
        <v>1927</v>
      </c>
      <c r="E1625" s="196"/>
      <c r="F1625" s="196"/>
      <c r="G1625" s="196"/>
      <c r="H1625" s="196" t="s">
        <v>2734</v>
      </c>
      <c r="I1625" s="141" t="s">
        <v>1929</v>
      </c>
      <c r="J1625" s="196"/>
      <c r="K1625" s="196" t="s">
        <v>1881</v>
      </c>
      <c r="L1625" s="240"/>
      <c r="M1625" s="196">
        <v>258</v>
      </c>
      <c r="N1625" s="196"/>
      <c r="O1625" s="196" t="s">
        <v>6708</v>
      </c>
      <c r="P1625" s="144">
        <v>816</v>
      </c>
      <c r="Q1625" s="145">
        <f t="shared" si="94"/>
        <v>0.88939999999999997</v>
      </c>
      <c r="R1625" s="145">
        <f t="shared" si="99"/>
        <v>2.5893999999999999</v>
      </c>
      <c r="S1625" s="203">
        <f>0.5+1.85</f>
        <v>2.35</v>
      </c>
      <c r="T1625" s="151">
        <v>0.13</v>
      </c>
      <c r="U1625" s="151" t="str">
        <f t="shared" si="95"/>
        <v>1,70</v>
      </c>
      <c r="V1625" s="151">
        <f t="shared" si="100"/>
        <v>0.33999999999999997</v>
      </c>
      <c r="W1625" s="151">
        <v>0.25</v>
      </c>
      <c r="X1625" s="152">
        <f t="shared" si="96"/>
        <v>0.1694</v>
      </c>
      <c r="Y1625" s="152">
        <f t="shared" si="97"/>
        <v>2.35</v>
      </c>
      <c r="Z1625" s="152">
        <f t="shared" si="98"/>
        <v>2.5893999999999999</v>
      </c>
      <c r="AA1625" s="153"/>
      <c r="AB1625" s="153"/>
      <c r="AC1625" s="153"/>
      <c r="AD1625" s="153"/>
      <c r="AH1625" s="147"/>
    </row>
    <row r="1626" spans="1:34" s="146" customFormat="1" x14ac:dyDescent="0.25">
      <c r="A1626" s="196">
        <v>2522</v>
      </c>
      <c r="B1626" s="196" t="s">
        <v>2252</v>
      </c>
      <c r="C1626" s="196" t="s">
        <v>2253</v>
      </c>
      <c r="D1626" s="196" t="s">
        <v>5005</v>
      </c>
      <c r="E1626" s="196"/>
      <c r="F1626" s="196">
        <v>2005</v>
      </c>
      <c r="G1626" s="196"/>
      <c r="H1626" s="196" t="s">
        <v>4297</v>
      </c>
      <c r="I1626" s="141" t="s">
        <v>7527</v>
      </c>
      <c r="J1626" s="196"/>
      <c r="K1626" s="196" t="s">
        <v>1881</v>
      </c>
      <c r="L1626" s="240"/>
      <c r="M1626" s="196">
        <v>610</v>
      </c>
      <c r="N1626" s="196"/>
      <c r="O1626" s="196" t="s">
        <v>6709</v>
      </c>
      <c r="P1626" s="144">
        <v>515</v>
      </c>
      <c r="Q1626" s="145">
        <f t="shared" si="94"/>
        <v>0.88939999999999997</v>
      </c>
      <c r="R1626" s="145">
        <f t="shared" si="99"/>
        <v>2.5893999999999999</v>
      </c>
      <c r="S1626" s="203">
        <v>2.14</v>
      </c>
      <c r="T1626" s="151">
        <v>0.13</v>
      </c>
      <c r="U1626" s="151" t="str">
        <f t="shared" si="95"/>
        <v>1,70</v>
      </c>
      <c r="V1626" s="151">
        <f t="shared" si="100"/>
        <v>0.33999999999999997</v>
      </c>
      <c r="W1626" s="151">
        <v>0.25</v>
      </c>
      <c r="X1626" s="152">
        <f t="shared" si="96"/>
        <v>0.1694</v>
      </c>
      <c r="Y1626" s="152">
        <f t="shared" si="97"/>
        <v>2.14</v>
      </c>
      <c r="Z1626" s="152">
        <f t="shared" si="98"/>
        <v>2.5893999999999999</v>
      </c>
      <c r="AA1626" s="153"/>
      <c r="AB1626" s="153"/>
      <c r="AC1626" s="153"/>
      <c r="AD1626" s="153"/>
      <c r="AH1626" s="147"/>
    </row>
    <row r="1627" spans="1:34" s="146" customFormat="1" x14ac:dyDescent="0.25">
      <c r="A1627" s="196">
        <v>2522</v>
      </c>
      <c r="B1627" s="196" t="s">
        <v>8269</v>
      </c>
      <c r="C1627" s="196" t="s">
        <v>8270</v>
      </c>
      <c r="D1627" s="196" t="s">
        <v>2054</v>
      </c>
      <c r="E1627" s="196"/>
      <c r="F1627" s="196">
        <v>2018</v>
      </c>
      <c r="G1627" s="196"/>
      <c r="H1627" s="196" t="s">
        <v>1878</v>
      </c>
      <c r="I1627" s="141" t="s">
        <v>1929</v>
      </c>
      <c r="J1627" s="196"/>
      <c r="K1627" s="196" t="s">
        <v>1881</v>
      </c>
      <c r="L1627" s="240" t="s">
        <v>8271</v>
      </c>
      <c r="M1627" s="196">
        <v>464</v>
      </c>
      <c r="N1627" s="196"/>
      <c r="O1627" s="196" t="s">
        <v>6710</v>
      </c>
      <c r="P1627" s="144">
        <v>457</v>
      </c>
      <c r="Q1627" s="145">
        <f t="shared" si="94"/>
        <v>2.0999999999999996</v>
      </c>
      <c r="R1627" s="145">
        <f t="shared" si="99"/>
        <v>3.3</v>
      </c>
      <c r="S1627" s="203">
        <v>3.3</v>
      </c>
      <c r="T1627" s="151">
        <v>0.13</v>
      </c>
      <c r="U1627" s="151" t="str">
        <f t="shared" si="95"/>
        <v>1,20</v>
      </c>
      <c r="V1627" s="151">
        <f t="shared" si="100"/>
        <v>0.33999999999999997</v>
      </c>
      <c r="W1627" s="151">
        <v>1.4</v>
      </c>
      <c r="X1627" s="152">
        <f t="shared" si="96"/>
        <v>0.21489999999999998</v>
      </c>
      <c r="Y1627" s="152">
        <f t="shared" si="97"/>
        <v>3.3</v>
      </c>
      <c r="Z1627" s="152">
        <f t="shared" si="98"/>
        <v>3.2848999999999999</v>
      </c>
      <c r="AA1627" s="153"/>
      <c r="AB1627" s="153"/>
      <c r="AC1627" s="153"/>
      <c r="AD1627" s="153"/>
      <c r="AH1627" s="147"/>
    </row>
    <row r="1628" spans="1:34" s="146" customFormat="1" x14ac:dyDescent="0.25">
      <c r="A1628" s="196">
        <v>2518</v>
      </c>
      <c r="B1628" s="196" t="s">
        <v>8272</v>
      </c>
      <c r="C1628" s="196" t="s">
        <v>8273</v>
      </c>
      <c r="D1628" s="196" t="s">
        <v>2209</v>
      </c>
      <c r="E1628" s="196"/>
      <c r="F1628" s="196">
        <v>2002</v>
      </c>
      <c r="G1628" s="196"/>
      <c r="H1628" s="196" t="s">
        <v>1878</v>
      </c>
      <c r="I1628" s="141" t="s">
        <v>7527</v>
      </c>
      <c r="J1628" s="196"/>
      <c r="K1628" s="196" t="s">
        <v>1881</v>
      </c>
      <c r="L1628" s="240" t="s">
        <v>8274</v>
      </c>
      <c r="M1628" s="196">
        <v>272</v>
      </c>
      <c r="N1628" s="196"/>
      <c r="O1628" s="196" t="s">
        <v>6711</v>
      </c>
      <c r="P1628" s="144">
        <v>191</v>
      </c>
      <c r="Q1628" s="145">
        <f t="shared" si="94"/>
        <v>0.92999999999999994</v>
      </c>
      <c r="R1628" s="145">
        <f t="shared" si="99"/>
        <v>2.13</v>
      </c>
      <c r="S1628" s="203">
        <f>0.73+1.4</f>
        <v>2.13</v>
      </c>
      <c r="T1628" s="151">
        <v>0.13</v>
      </c>
      <c r="U1628" s="151" t="str">
        <f t="shared" si="95"/>
        <v>1,20</v>
      </c>
      <c r="V1628" s="151">
        <f t="shared" si="100"/>
        <v>0.33999999999999997</v>
      </c>
      <c r="W1628" s="151">
        <v>0.3</v>
      </c>
      <c r="X1628" s="152">
        <f t="shared" si="96"/>
        <v>0.13789999999999999</v>
      </c>
      <c r="Y1628" s="152">
        <f t="shared" si="97"/>
        <v>2.13</v>
      </c>
      <c r="Z1628" s="152">
        <f t="shared" si="98"/>
        <v>2.1078999999999999</v>
      </c>
      <c r="AA1628" s="153"/>
      <c r="AB1628" s="153"/>
      <c r="AC1628" s="153"/>
      <c r="AD1628" s="153"/>
      <c r="AH1628" s="147"/>
    </row>
    <row r="1629" spans="1:34" s="146" customFormat="1" x14ac:dyDescent="0.25">
      <c r="A1629" s="196">
        <v>2514</v>
      </c>
      <c r="B1629" s="196" t="s">
        <v>8275</v>
      </c>
      <c r="C1629" s="196" t="s">
        <v>8276</v>
      </c>
      <c r="D1629" s="196" t="s">
        <v>2402</v>
      </c>
      <c r="E1629" s="196"/>
      <c r="F1629" s="196">
        <v>2005</v>
      </c>
      <c r="G1629" s="196"/>
      <c r="H1629" s="196" t="s">
        <v>2734</v>
      </c>
      <c r="I1629" s="141" t="s">
        <v>1879</v>
      </c>
      <c r="J1629" s="196"/>
      <c r="K1629" s="196" t="s">
        <v>1881</v>
      </c>
      <c r="L1629" s="240" t="s">
        <v>8277</v>
      </c>
      <c r="M1629" s="196">
        <v>126</v>
      </c>
      <c r="N1629" s="196"/>
      <c r="O1629" s="196" t="s">
        <v>6712</v>
      </c>
      <c r="P1629" s="144">
        <v>185</v>
      </c>
      <c r="Q1629" s="145">
        <f t="shared" si="94"/>
        <v>1.7</v>
      </c>
      <c r="R1629" s="145">
        <f t="shared" si="99"/>
        <v>2.9</v>
      </c>
      <c r="S1629" s="203">
        <v>2.9</v>
      </c>
      <c r="T1629" s="151">
        <v>0.13</v>
      </c>
      <c r="U1629" s="151" t="str">
        <f t="shared" si="95"/>
        <v>1,20</v>
      </c>
      <c r="V1629" s="151">
        <f t="shared" si="100"/>
        <v>0.33999999999999997</v>
      </c>
      <c r="W1629" s="151">
        <v>0.8</v>
      </c>
      <c r="X1629" s="152">
        <f t="shared" si="96"/>
        <v>0.17289999999999997</v>
      </c>
      <c r="Y1629" s="152">
        <f t="shared" si="97"/>
        <v>2.9</v>
      </c>
      <c r="Z1629" s="152">
        <f t="shared" si="98"/>
        <v>2.6428999999999996</v>
      </c>
      <c r="AA1629" s="153"/>
      <c r="AB1629" s="153"/>
      <c r="AC1629" s="153"/>
      <c r="AD1629" s="153"/>
      <c r="AH1629" s="147"/>
    </row>
    <row r="1630" spans="1:34" s="146" customFormat="1" x14ac:dyDescent="0.25">
      <c r="A1630" s="196">
        <v>2522</v>
      </c>
      <c r="B1630" s="196" t="s">
        <v>8278</v>
      </c>
      <c r="C1630" s="196" t="s">
        <v>8279</v>
      </c>
      <c r="D1630" s="196" t="s">
        <v>2257</v>
      </c>
      <c r="E1630" s="196" t="s">
        <v>1921</v>
      </c>
      <c r="F1630" s="196">
        <v>2007</v>
      </c>
      <c r="G1630" s="196"/>
      <c r="H1630" s="196" t="s">
        <v>1878</v>
      </c>
      <c r="I1630" s="141" t="s">
        <v>7527</v>
      </c>
      <c r="J1630" s="52" t="s">
        <v>3854</v>
      </c>
      <c r="K1630" s="196" t="s">
        <v>1881</v>
      </c>
      <c r="L1630" s="240" t="s">
        <v>8280</v>
      </c>
      <c r="M1630" s="196">
        <v>304</v>
      </c>
      <c r="N1630" s="196"/>
      <c r="O1630" s="196" t="s">
        <v>6713</v>
      </c>
      <c r="P1630" s="144">
        <v>273</v>
      </c>
      <c r="Q1630" s="145">
        <f t="shared" si="94"/>
        <v>0.85439999999999983</v>
      </c>
      <c r="R1630" s="145">
        <f t="shared" si="99"/>
        <v>2.0543999999999998</v>
      </c>
      <c r="S1630" s="203">
        <v>1.55</v>
      </c>
      <c r="T1630" s="151">
        <v>0.13</v>
      </c>
      <c r="U1630" s="151" t="str">
        <f t="shared" si="95"/>
        <v>1,20</v>
      </c>
      <c r="V1630" s="151">
        <f t="shared" si="100"/>
        <v>0.33999999999999997</v>
      </c>
      <c r="W1630" s="151">
        <v>0.25</v>
      </c>
      <c r="X1630" s="152">
        <f t="shared" si="96"/>
        <v>0.13439999999999999</v>
      </c>
      <c r="Y1630" s="152">
        <f t="shared" si="97"/>
        <v>1.55</v>
      </c>
      <c r="Z1630" s="152">
        <f t="shared" si="98"/>
        <v>2.0543999999999998</v>
      </c>
      <c r="AA1630" s="153"/>
      <c r="AB1630" s="153"/>
      <c r="AC1630" s="153"/>
      <c r="AD1630" s="153"/>
      <c r="AH1630" s="147"/>
    </row>
    <row r="1631" spans="1:34" s="146" customFormat="1" x14ac:dyDescent="0.25">
      <c r="A1631" s="196">
        <v>692</v>
      </c>
      <c r="B1631" s="196" t="s">
        <v>8281</v>
      </c>
      <c r="C1631" s="196" t="s">
        <v>8282</v>
      </c>
      <c r="D1631" s="196" t="s">
        <v>2609</v>
      </c>
      <c r="E1631" s="196"/>
      <c r="F1631" s="196">
        <v>1994</v>
      </c>
      <c r="G1631" s="196"/>
      <c r="H1631" s="196" t="s">
        <v>1878</v>
      </c>
      <c r="I1631" s="141" t="s">
        <v>1879</v>
      </c>
      <c r="J1631" s="196"/>
      <c r="K1631" s="196" t="s">
        <v>1881</v>
      </c>
      <c r="L1631" s="240" t="s">
        <v>8283</v>
      </c>
      <c r="M1631" s="196">
        <v>400</v>
      </c>
      <c r="N1631" s="196"/>
      <c r="O1631" s="196" t="s">
        <v>6714</v>
      </c>
      <c r="P1631" s="144">
        <v>335</v>
      </c>
      <c r="Q1631" s="145">
        <f t="shared" si="94"/>
        <v>0.85439999999999983</v>
      </c>
      <c r="R1631" s="145">
        <f t="shared" si="99"/>
        <v>2.0543999999999998</v>
      </c>
      <c r="S1631" s="203">
        <v>1.25</v>
      </c>
      <c r="T1631" s="151">
        <v>0.13</v>
      </c>
      <c r="U1631" s="151" t="str">
        <f t="shared" si="95"/>
        <v>1,20</v>
      </c>
      <c r="V1631" s="151">
        <f t="shared" si="100"/>
        <v>0.33999999999999997</v>
      </c>
      <c r="W1631" s="151">
        <v>0.25</v>
      </c>
      <c r="X1631" s="152">
        <f t="shared" si="96"/>
        <v>0.13439999999999999</v>
      </c>
      <c r="Y1631" s="152">
        <f t="shared" si="97"/>
        <v>1.25</v>
      </c>
      <c r="Z1631" s="152">
        <f t="shared" si="98"/>
        <v>2.0543999999999998</v>
      </c>
      <c r="AA1631" s="153"/>
      <c r="AB1631" s="153"/>
      <c r="AC1631" s="153"/>
      <c r="AD1631" s="153"/>
      <c r="AH1631" s="147"/>
    </row>
    <row r="1632" spans="1:34" s="146" customFormat="1" ht="79.2" x14ac:dyDescent="0.25">
      <c r="A1632" s="196">
        <v>1315</v>
      </c>
      <c r="B1632" s="196" t="s">
        <v>8284</v>
      </c>
      <c r="C1632" s="196" t="s">
        <v>8285</v>
      </c>
      <c r="D1632" s="196" t="s">
        <v>2609</v>
      </c>
      <c r="E1632" s="196" t="s">
        <v>2032</v>
      </c>
      <c r="F1632" s="196">
        <v>1999</v>
      </c>
      <c r="G1632" s="196"/>
      <c r="H1632" s="196" t="s">
        <v>1878</v>
      </c>
      <c r="I1632" s="141" t="s">
        <v>1879</v>
      </c>
      <c r="J1632" s="142" t="s">
        <v>8286</v>
      </c>
      <c r="K1632" s="196" t="s">
        <v>1881</v>
      </c>
      <c r="L1632" s="240" t="s">
        <v>8287</v>
      </c>
      <c r="M1632" s="196">
        <v>256</v>
      </c>
      <c r="N1632" s="196"/>
      <c r="O1632" s="196" t="s">
        <v>6715</v>
      </c>
      <c r="P1632" s="144">
        <v>239</v>
      </c>
      <c r="Q1632" s="145">
        <f t="shared" si="94"/>
        <v>1.7</v>
      </c>
      <c r="R1632" s="145">
        <f t="shared" si="99"/>
        <v>2.9</v>
      </c>
      <c r="S1632" s="203">
        <v>2.9</v>
      </c>
      <c r="T1632" s="151">
        <v>0.13</v>
      </c>
      <c r="U1632" s="151" t="str">
        <f t="shared" si="95"/>
        <v>1,20</v>
      </c>
      <c r="V1632" s="151">
        <f t="shared" si="100"/>
        <v>0.33999999999999997</v>
      </c>
      <c r="W1632" s="151">
        <v>1</v>
      </c>
      <c r="X1632" s="152">
        <f t="shared" si="96"/>
        <v>0.18689999999999998</v>
      </c>
      <c r="Y1632" s="152">
        <f t="shared" si="97"/>
        <v>2.9</v>
      </c>
      <c r="Z1632" s="152">
        <f t="shared" si="98"/>
        <v>2.8569</v>
      </c>
      <c r="AA1632" s="153"/>
      <c r="AB1632" s="153"/>
      <c r="AC1632" s="153"/>
      <c r="AD1632" s="153"/>
      <c r="AH1632" s="147"/>
    </row>
    <row r="1633" spans="1:34" s="146" customFormat="1" x14ac:dyDescent="0.25">
      <c r="A1633" s="196">
        <v>2518</v>
      </c>
      <c r="B1633" s="196" t="s">
        <v>8288</v>
      </c>
      <c r="C1633" s="196" t="s">
        <v>8289</v>
      </c>
      <c r="D1633" s="196" t="s">
        <v>8290</v>
      </c>
      <c r="E1633" s="196" t="s">
        <v>1877</v>
      </c>
      <c r="F1633" s="196">
        <v>2007</v>
      </c>
      <c r="G1633" s="196"/>
      <c r="H1633" s="196" t="s">
        <v>2734</v>
      </c>
      <c r="I1633" s="141" t="s">
        <v>1929</v>
      </c>
      <c r="J1633" s="196"/>
      <c r="K1633" s="196" t="s">
        <v>1881</v>
      </c>
      <c r="L1633" s="240" t="s">
        <v>8291</v>
      </c>
      <c r="M1633" s="196">
        <v>242</v>
      </c>
      <c r="N1633" s="196"/>
      <c r="O1633" s="196" t="s">
        <v>6716</v>
      </c>
      <c r="P1633" s="144">
        <v>348</v>
      </c>
      <c r="Q1633" s="145">
        <f t="shared" si="94"/>
        <v>0.85439999999999983</v>
      </c>
      <c r="R1633" s="145">
        <f t="shared" si="99"/>
        <v>2.0543999999999998</v>
      </c>
      <c r="S1633" s="203">
        <v>1.8</v>
      </c>
      <c r="T1633" s="151">
        <v>0.13</v>
      </c>
      <c r="U1633" s="151" t="str">
        <f t="shared" si="95"/>
        <v>1,20</v>
      </c>
      <c r="V1633" s="151">
        <f t="shared" si="100"/>
        <v>0.33999999999999997</v>
      </c>
      <c r="W1633" s="151">
        <v>0.25</v>
      </c>
      <c r="X1633" s="152">
        <f t="shared" si="96"/>
        <v>0.13439999999999999</v>
      </c>
      <c r="Y1633" s="152">
        <f t="shared" si="97"/>
        <v>1.8</v>
      </c>
      <c r="Z1633" s="152">
        <f t="shared" si="98"/>
        <v>2.0543999999999998</v>
      </c>
      <c r="AA1633" s="153"/>
      <c r="AB1633" s="153"/>
      <c r="AC1633" s="153"/>
      <c r="AD1633" s="153"/>
      <c r="AH1633" s="147"/>
    </row>
    <row r="1634" spans="1:34" s="146" customFormat="1" x14ac:dyDescent="0.25">
      <c r="A1634" s="196">
        <v>632</v>
      </c>
      <c r="B1634" s="196" t="s">
        <v>7769</v>
      </c>
      <c r="C1634" s="196" t="s">
        <v>8295</v>
      </c>
      <c r="D1634" s="196" t="s">
        <v>1920</v>
      </c>
      <c r="E1634" s="196" t="s">
        <v>1913</v>
      </c>
      <c r="F1634" s="196">
        <v>2006</v>
      </c>
      <c r="G1634" s="196"/>
      <c r="H1634" s="196" t="s">
        <v>1878</v>
      </c>
      <c r="I1634" s="141" t="s">
        <v>1914</v>
      </c>
      <c r="J1634" s="196" t="s">
        <v>8296</v>
      </c>
      <c r="K1634" s="196" t="s">
        <v>1881</v>
      </c>
      <c r="L1634" s="240" t="s">
        <v>8297</v>
      </c>
      <c r="M1634" s="196">
        <v>448</v>
      </c>
      <c r="N1634" s="196"/>
      <c r="O1634" s="196" t="s">
        <v>6718</v>
      </c>
      <c r="P1634" s="144">
        <v>380</v>
      </c>
      <c r="Q1634" s="145">
        <f t="shared" si="94"/>
        <v>0.85439999999999983</v>
      </c>
      <c r="R1634" s="145">
        <f t="shared" si="99"/>
        <v>2.0543999999999998</v>
      </c>
      <c r="S1634" s="203">
        <v>1.5</v>
      </c>
      <c r="T1634" s="151">
        <v>0.13</v>
      </c>
      <c r="U1634" s="151" t="str">
        <f t="shared" si="95"/>
        <v>1,20</v>
      </c>
      <c r="V1634" s="151">
        <f t="shared" si="100"/>
        <v>0.33999999999999997</v>
      </c>
      <c r="W1634" s="151">
        <v>0.25</v>
      </c>
      <c r="X1634" s="152">
        <f t="shared" si="96"/>
        <v>0.13439999999999999</v>
      </c>
      <c r="Y1634" s="152">
        <f t="shared" si="97"/>
        <v>1.5</v>
      </c>
      <c r="Z1634" s="152">
        <f t="shared" si="98"/>
        <v>2.0543999999999998</v>
      </c>
      <c r="AA1634" s="153"/>
      <c r="AB1634" s="153"/>
      <c r="AC1634" s="153"/>
      <c r="AD1634" s="153"/>
      <c r="AH1634" s="147"/>
    </row>
    <row r="1635" spans="1:34" s="146" customFormat="1" x14ac:dyDescent="0.25">
      <c r="A1635" s="196">
        <v>1395</v>
      </c>
      <c r="B1635" s="196" t="s">
        <v>2596</v>
      </c>
      <c r="C1635" s="196" t="s">
        <v>8301</v>
      </c>
      <c r="D1635" s="196" t="s">
        <v>1912</v>
      </c>
      <c r="E1635" s="196" t="s">
        <v>1921</v>
      </c>
      <c r="F1635" s="196">
        <v>2002</v>
      </c>
      <c r="G1635" s="196"/>
      <c r="H1635" s="196" t="s">
        <v>1878</v>
      </c>
      <c r="I1635" s="141" t="s">
        <v>1879</v>
      </c>
      <c r="J1635" s="196"/>
      <c r="K1635" s="196" t="s">
        <v>1881</v>
      </c>
      <c r="L1635" s="240" t="s">
        <v>8302</v>
      </c>
      <c r="M1635" s="196">
        <v>416</v>
      </c>
      <c r="N1635" s="196"/>
      <c r="O1635" s="196" t="s">
        <v>6720</v>
      </c>
      <c r="P1635" s="144">
        <v>372</v>
      </c>
      <c r="Q1635" s="145">
        <f t="shared" si="94"/>
        <v>1.5999999999999999</v>
      </c>
      <c r="R1635" s="145">
        <f t="shared" si="99"/>
        <v>2.8</v>
      </c>
      <c r="S1635" s="203">
        <v>2.8</v>
      </c>
      <c r="T1635" s="151">
        <v>0.13</v>
      </c>
      <c r="U1635" s="151" t="str">
        <f t="shared" si="95"/>
        <v>1,20</v>
      </c>
      <c r="V1635" s="151">
        <f t="shared" si="100"/>
        <v>0.33999999999999997</v>
      </c>
      <c r="W1635" s="151">
        <v>0.9</v>
      </c>
      <c r="X1635" s="152">
        <f t="shared" si="96"/>
        <v>0.17989999999999998</v>
      </c>
      <c r="Y1635" s="152">
        <f t="shared" si="97"/>
        <v>2.8</v>
      </c>
      <c r="Z1635" s="152">
        <f t="shared" si="98"/>
        <v>2.7498999999999998</v>
      </c>
      <c r="AA1635" s="153"/>
      <c r="AB1635" s="153"/>
      <c r="AC1635" s="153"/>
      <c r="AD1635" s="153"/>
      <c r="AH1635" s="147"/>
    </row>
    <row r="1636" spans="1:34" s="146" customFormat="1" x14ac:dyDescent="0.25">
      <c r="A1636" s="196">
        <v>765</v>
      </c>
      <c r="B1636" s="196" t="s">
        <v>8306</v>
      </c>
      <c r="C1636" s="196" t="s">
        <v>8307</v>
      </c>
      <c r="D1636" s="196" t="s">
        <v>8308</v>
      </c>
      <c r="E1636" s="196" t="s">
        <v>1913</v>
      </c>
      <c r="F1636" s="196">
        <v>2008</v>
      </c>
      <c r="G1636" s="196"/>
      <c r="H1636" s="196" t="s">
        <v>1878</v>
      </c>
      <c r="I1636" s="141" t="s">
        <v>1929</v>
      </c>
      <c r="J1636" s="196"/>
      <c r="K1636" s="196" t="s">
        <v>1881</v>
      </c>
      <c r="L1636" s="240" t="s">
        <v>8309</v>
      </c>
      <c r="M1636" s="196">
        <v>104</v>
      </c>
      <c r="N1636" s="196"/>
      <c r="O1636" s="196" t="s">
        <v>6722</v>
      </c>
      <c r="P1636" s="144">
        <v>120</v>
      </c>
      <c r="Q1636" s="145">
        <f t="shared" si="94"/>
        <v>3.1899999999999995</v>
      </c>
      <c r="R1636" s="145">
        <f t="shared" si="99"/>
        <v>4.3899999999999997</v>
      </c>
      <c r="S1636" s="203">
        <v>4.3899999999999997</v>
      </c>
      <c r="T1636" s="151">
        <v>0.13</v>
      </c>
      <c r="U1636" s="151" t="str">
        <f t="shared" si="95"/>
        <v>1,20</v>
      </c>
      <c r="V1636" s="151">
        <f t="shared" si="100"/>
        <v>0.33999999999999997</v>
      </c>
      <c r="W1636" s="151">
        <v>2.2999999999999998</v>
      </c>
      <c r="X1636" s="152">
        <f t="shared" si="96"/>
        <v>0.27789999999999998</v>
      </c>
      <c r="Y1636" s="152">
        <f t="shared" si="97"/>
        <v>4.3899999999999997</v>
      </c>
      <c r="Z1636" s="152">
        <f t="shared" si="98"/>
        <v>4.2478999999999996</v>
      </c>
      <c r="AA1636" s="153"/>
      <c r="AB1636" s="153"/>
      <c r="AC1636" s="153"/>
      <c r="AD1636" s="153"/>
      <c r="AH1636" s="147"/>
    </row>
    <row r="1637" spans="1:34" s="146" customFormat="1" x14ac:dyDescent="0.25">
      <c r="A1637" s="196">
        <v>852</v>
      </c>
      <c r="B1637" s="196" t="s">
        <v>8310</v>
      </c>
      <c r="C1637" s="196" t="s">
        <v>8311</v>
      </c>
      <c r="D1637" s="196" t="s">
        <v>8312</v>
      </c>
      <c r="E1637" s="196"/>
      <c r="F1637" s="196"/>
      <c r="G1637" s="196"/>
      <c r="H1637" s="196" t="s">
        <v>2734</v>
      </c>
      <c r="I1637" s="141" t="s">
        <v>7527</v>
      </c>
      <c r="J1637" s="196"/>
      <c r="K1637" s="196" t="s">
        <v>1881</v>
      </c>
      <c r="L1637" s="240"/>
      <c r="M1637" s="196">
        <v>138</v>
      </c>
      <c r="N1637" s="196"/>
      <c r="O1637" s="196" t="s">
        <v>6723</v>
      </c>
      <c r="P1637" s="144">
        <v>308</v>
      </c>
      <c r="Q1637" s="145">
        <f t="shared" si="94"/>
        <v>4.6528999999999998</v>
      </c>
      <c r="R1637" s="145">
        <f t="shared" ref="R1637:R1667" si="101">IF(Y1637&gt;Z1637,Y1637,Z1637)</f>
        <v>5.8529</v>
      </c>
      <c r="S1637" s="203">
        <v>5.85</v>
      </c>
      <c r="T1637" s="151">
        <v>0.13</v>
      </c>
      <c r="U1637" s="151" t="str">
        <f t="shared" si="95"/>
        <v>1,20</v>
      </c>
      <c r="V1637" s="151">
        <f t="shared" si="100"/>
        <v>0.33999999999999997</v>
      </c>
      <c r="W1637" s="151">
        <v>3.8</v>
      </c>
      <c r="X1637" s="152">
        <f t="shared" si="96"/>
        <v>0.38290000000000002</v>
      </c>
      <c r="Y1637" s="152">
        <f t="shared" si="97"/>
        <v>5.85</v>
      </c>
      <c r="Z1637" s="152">
        <f t="shared" si="98"/>
        <v>5.8529</v>
      </c>
      <c r="AA1637" s="153"/>
      <c r="AB1637" s="153"/>
      <c r="AC1637" s="153"/>
      <c r="AD1637" s="153"/>
      <c r="AH1637" s="147"/>
    </row>
    <row r="1638" spans="1:34" s="146" customFormat="1" x14ac:dyDescent="0.25">
      <c r="A1638" s="196">
        <v>1913</v>
      </c>
      <c r="B1638" s="196" t="s">
        <v>4879</v>
      </c>
      <c r="C1638" s="196" t="s">
        <v>8313</v>
      </c>
      <c r="D1638" s="196" t="s">
        <v>2209</v>
      </c>
      <c r="E1638" s="196"/>
      <c r="F1638" s="196">
        <v>1996</v>
      </c>
      <c r="G1638" s="196"/>
      <c r="H1638" s="196" t="s">
        <v>2734</v>
      </c>
      <c r="I1638" s="141" t="s">
        <v>1914</v>
      </c>
      <c r="J1638" s="196" t="s">
        <v>8314</v>
      </c>
      <c r="K1638" s="196" t="s">
        <v>1881</v>
      </c>
      <c r="L1638" s="240" t="s">
        <v>8315</v>
      </c>
      <c r="M1638" s="196">
        <v>594</v>
      </c>
      <c r="N1638" s="196"/>
      <c r="O1638" s="196" t="s">
        <v>6724</v>
      </c>
      <c r="P1638" s="144">
        <v>428</v>
      </c>
      <c r="Q1638" s="145">
        <f t="shared" ref="Q1638:Q1696" si="102">R1638-U1638</f>
        <v>1.7</v>
      </c>
      <c r="R1638" s="145">
        <f t="shared" si="101"/>
        <v>2.9</v>
      </c>
      <c r="S1638" s="203">
        <v>2.9</v>
      </c>
      <c r="T1638" s="151">
        <v>0.13</v>
      </c>
      <c r="U1638" s="151" t="str">
        <f t="shared" ref="U1638:U1696" si="103">IF(P1638&lt;501,"1,20","1,70")</f>
        <v>1,20</v>
      </c>
      <c r="V1638" s="151">
        <f t="shared" si="100"/>
        <v>0.33999999999999997</v>
      </c>
      <c r="W1638" s="151">
        <v>1</v>
      </c>
      <c r="X1638" s="152">
        <f t="shared" ref="X1638:X1696" si="104">(T1638+U1638+V1638+W1638)/100*7</f>
        <v>0.18689999999999998</v>
      </c>
      <c r="Y1638" s="152">
        <f t="shared" ref="Y1638:Y1696" si="105">S1638</f>
        <v>2.9</v>
      </c>
      <c r="Z1638" s="152">
        <f t="shared" ref="Z1638:Z1696" si="106">T1638+U1638+V1638+W1638+X1638</f>
        <v>2.8569</v>
      </c>
      <c r="AA1638" s="153"/>
      <c r="AB1638" s="153"/>
      <c r="AC1638" s="153"/>
      <c r="AD1638" s="153"/>
      <c r="AH1638" s="147"/>
    </row>
    <row r="1639" spans="1:34" s="146" customFormat="1" x14ac:dyDescent="0.25">
      <c r="A1639" s="196">
        <v>1361</v>
      </c>
      <c r="B1639" s="196"/>
      <c r="C1639" s="196" t="s">
        <v>8316</v>
      </c>
      <c r="D1639" s="196" t="s">
        <v>8317</v>
      </c>
      <c r="E1639" s="196" t="s">
        <v>5035</v>
      </c>
      <c r="F1639" s="196">
        <v>1997</v>
      </c>
      <c r="G1639" s="196"/>
      <c r="H1639" s="196" t="s">
        <v>1878</v>
      </c>
      <c r="I1639" s="141" t="s">
        <v>1929</v>
      </c>
      <c r="J1639" s="196"/>
      <c r="K1639" s="196" t="s">
        <v>1881</v>
      </c>
      <c r="L1639" s="240" t="s">
        <v>8318</v>
      </c>
      <c r="M1639" s="196">
        <v>672</v>
      </c>
      <c r="N1639" s="196"/>
      <c r="O1639" s="196" t="s">
        <v>6725</v>
      </c>
      <c r="P1639" s="144">
        <v>686</v>
      </c>
      <c r="Q1639" s="145">
        <f t="shared" si="102"/>
        <v>2.1198999999999995</v>
      </c>
      <c r="R1639" s="145">
        <f t="shared" si="101"/>
        <v>3.8198999999999996</v>
      </c>
      <c r="S1639" s="203">
        <v>3.8</v>
      </c>
      <c r="T1639" s="151">
        <v>0.13</v>
      </c>
      <c r="U1639" s="151" t="str">
        <f t="shared" si="103"/>
        <v>1,70</v>
      </c>
      <c r="V1639" s="151">
        <f t="shared" si="100"/>
        <v>0.33999999999999997</v>
      </c>
      <c r="W1639" s="151">
        <v>1.4</v>
      </c>
      <c r="X1639" s="152">
        <f t="shared" si="104"/>
        <v>0.24989999999999996</v>
      </c>
      <c r="Y1639" s="152">
        <f t="shared" si="105"/>
        <v>3.8</v>
      </c>
      <c r="Z1639" s="152">
        <f t="shared" si="106"/>
        <v>3.8198999999999996</v>
      </c>
      <c r="AA1639" s="153"/>
      <c r="AB1639" s="153"/>
      <c r="AC1639" s="153"/>
      <c r="AD1639" s="153"/>
      <c r="AH1639" s="147"/>
    </row>
    <row r="1640" spans="1:34" s="146" customFormat="1" x14ac:dyDescent="0.25">
      <c r="A1640" s="196">
        <v>2522</v>
      </c>
      <c r="B1640" s="196" t="s">
        <v>8319</v>
      </c>
      <c r="C1640" s="196" t="s">
        <v>8320</v>
      </c>
      <c r="D1640" s="196" t="s">
        <v>3524</v>
      </c>
      <c r="E1640" s="196" t="s">
        <v>2922</v>
      </c>
      <c r="F1640" s="196">
        <v>2011</v>
      </c>
      <c r="G1640" s="196"/>
      <c r="H1640" s="196" t="s">
        <v>1878</v>
      </c>
      <c r="I1640" s="141" t="s">
        <v>1879</v>
      </c>
      <c r="J1640" s="196"/>
      <c r="K1640" s="196" t="s">
        <v>1881</v>
      </c>
      <c r="L1640" s="240" t="s">
        <v>8321</v>
      </c>
      <c r="M1640" s="196">
        <v>488</v>
      </c>
      <c r="N1640" s="196"/>
      <c r="O1640" s="196" t="s">
        <v>6726</v>
      </c>
      <c r="P1640" s="144">
        <v>684</v>
      </c>
      <c r="Q1640" s="145">
        <f t="shared" si="102"/>
        <v>5.3299000000000003</v>
      </c>
      <c r="R1640" s="145">
        <f t="shared" si="101"/>
        <v>7.0299000000000005</v>
      </c>
      <c r="S1640" s="203">
        <v>7</v>
      </c>
      <c r="T1640" s="151">
        <v>0.13</v>
      </c>
      <c r="U1640" s="151" t="str">
        <f t="shared" si="103"/>
        <v>1,70</v>
      </c>
      <c r="V1640" s="151">
        <f t="shared" si="100"/>
        <v>0.33999999999999997</v>
      </c>
      <c r="W1640" s="151">
        <v>4.4000000000000004</v>
      </c>
      <c r="X1640" s="152">
        <f t="shared" si="104"/>
        <v>0.45990000000000009</v>
      </c>
      <c r="Y1640" s="152">
        <f t="shared" si="105"/>
        <v>7</v>
      </c>
      <c r="Z1640" s="152">
        <f t="shared" si="106"/>
        <v>7.0299000000000005</v>
      </c>
      <c r="AA1640" s="153"/>
      <c r="AB1640" s="153"/>
      <c r="AC1640" s="153"/>
      <c r="AD1640" s="153"/>
      <c r="AH1640" s="147"/>
    </row>
    <row r="1641" spans="1:34" s="146" customFormat="1" x14ac:dyDescent="0.25">
      <c r="A1641" s="196">
        <v>1386</v>
      </c>
      <c r="B1641" s="196" t="s">
        <v>7334</v>
      </c>
      <c r="C1641" s="196" t="s">
        <v>8640</v>
      </c>
      <c r="D1641" s="196" t="s">
        <v>5005</v>
      </c>
      <c r="E1641" s="196"/>
      <c r="F1641" s="196">
        <v>1992</v>
      </c>
      <c r="G1641" s="196"/>
      <c r="H1641" s="196" t="s">
        <v>2734</v>
      </c>
      <c r="I1641" s="141" t="s">
        <v>1879</v>
      </c>
      <c r="J1641" s="196"/>
      <c r="K1641" s="196" t="s">
        <v>1881</v>
      </c>
      <c r="L1641" s="240"/>
      <c r="M1641" s="196">
        <v>242</v>
      </c>
      <c r="N1641" s="196"/>
      <c r="O1641" s="196" t="s">
        <v>6727</v>
      </c>
      <c r="P1641" s="144">
        <v>429</v>
      </c>
      <c r="Q1641" s="145">
        <f t="shared" si="102"/>
        <v>0.85439999999999983</v>
      </c>
      <c r="R1641" s="145">
        <f t="shared" si="101"/>
        <v>2.0543999999999998</v>
      </c>
      <c r="S1641" s="203">
        <v>1.45</v>
      </c>
      <c r="T1641" s="151">
        <v>0.13</v>
      </c>
      <c r="U1641" s="151" t="str">
        <f t="shared" si="103"/>
        <v>1,20</v>
      </c>
      <c r="V1641" s="151">
        <f t="shared" si="100"/>
        <v>0.33999999999999997</v>
      </c>
      <c r="W1641" s="151">
        <v>0.25</v>
      </c>
      <c r="X1641" s="152">
        <f t="shared" si="104"/>
        <v>0.13439999999999999</v>
      </c>
      <c r="Y1641" s="152">
        <f t="shared" si="105"/>
        <v>1.45</v>
      </c>
      <c r="Z1641" s="152">
        <f t="shared" si="106"/>
        <v>2.0543999999999998</v>
      </c>
      <c r="AA1641" s="153"/>
      <c r="AB1641" s="153"/>
      <c r="AC1641" s="153"/>
      <c r="AD1641" s="153"/>
      <c r="AH1641" s="147"/>
    </row>
    <row r="1642" spans="1:34" s="146" customFormat="1" x14ac:dyDescent="0.25">
      <c r="A1642" s="196">
        <v>1386</v>
      </c>
      <c r="B1642" s="196" t="s">
        <v>8160</v>
      </c>
      <c r="C1642" s="196" t="s">
        <v>8322</v>
      </c>
      <c r="D1642" s="196" t="s">
        <v>1912</v>
      </c>
      <c r="E1642" s="196" t="s">
        <v>1921</v>
      </c>
      <c r="F1642" s="196">
        <v>1998</v>
      </c>
      <c r="G1642" s="196"/>
      <c r="H1642" s="196" t="s">
        <v>1878</v>
      </c>
      <c r="I1642" s="141" t="s">
        <v>1879</v>
      </c>
      <c r="J1642" s="196"/>
      <c r="K1642" s="196" t="s">
        <v>1881</v>
      </c>
      <c r="L1642" s="240" t="s">
        <v>8323</v>
      </c>
      <c r="M1642" s="196">
        <v>480</v>
      </c>
      <c r="N1642" s="196"/>
      <c r="O1642" s="196" t="s">
        <v>6728</v>
      </c>
      <c r="P1642" s="144">
        <v>582</v>
      </c>
      <c r="Q1642" s="145">
        <f t="shared" si="102"/>
        <v>0.94289999999999963</v>
      </c>
      <c r="R1642" s="145">
        <f t="shared" si="101"/>
        <v>2.6428999999999996</v>
      </c>
      <c r="S1642" s="203">
        <v>2.6</v>
      </c>
      <c r="T1642" s="151">
        <v>0.13</v>
      </c>
      <c r="U1642" s="151" t="str">
        <f t="shared" si="103"/>
        <v>1,70</v>
      </c>
      <c r="V1642" s="151">
        <f t="shared" si="18"/>
        <v>0.33999999999999997</v>
      </c>
      <c r="W1642" s="151">
        <v>0.3</v>
      </c>
      <c r="X1642" s="152">
        <f t="shared" si="104"/>
        <v>0.17289999999999997</v>
      </c>
      <c r="Y1642" s="152">
        <f t="shared" si="105"/>
        <v>2.6</v>
      </c>
      <c r="Z1642" s="152">
        <f t="shared" si="106"/>
        <v>2.6428999999999996</v>
      </c>
      <c r="AA1642" s="153"/>
      <c r="AB1642" s="153"/>
      <c r="AC1642" s="153"/>
      <c r="AD1642" s="153"/>
      <c r="AH1642" s="147"/>
    </row>
    <row r="1643" spans="1:34" s="146" customFormat="1" x14ac:dyDescent="0.25">
      <c r="A1643" s="196">
        <v>720</v>
      </c>
      <c r="B1643" s="196" t="s">
        <v>8326</v>
      </c>
      <c r="C1643" s="196" t="s">
        <v>8324</v>
      </c>
      <c r="D1643" s="196" t="s">
        <v>8325</v>
      </c>
      <c r="E1643" s="196" t="s">
        <v>1877</v>
      </c>
      <c r="F1643" s="196">
        <v>1996</v>
      </c>
      <c r="G1643" s="196"/>
      <c r="H1643" s="196" t="s">
        <v>1878</v>
      </c>
      <c r="I1643" s="141" t="s">
        <v>1879</v>
      </c>
      <c r="J1643" s="196"/>
      <c r="K1643" s="196" t="s">
        <v>1881</v>
      </c>
      <c r="L1643" s="240" t="s">
        <v>8327</v>
      </c>
      <c r="M1643" s="196">
        <v>48</v>
      </c>
      <c r="N1643" s="196"/>
      <c r="O1643" s="196" t="s">
        <v>6729</v>
      </c>
      <c r="P1643" s="144">
        <v>166</v>
      </c>
      <c r="Q1643" s="145">
        <f t="shared" si="102"/>
        <v>1.3499999999999999</v>
      </c>
      <c r="R1643" s="145">
        <f t="shared" si="101"/>
        <v>2.5499999999999998</v>
      </c>
      <c r="S1643" s="203">
        <v>2.5499999999999998</v>
      </c>
      <c r="T1643" s="151">
        <v>0.13</v>
      </c>
      <c r="U1643" s="151" t="str">
        <f t="shared" si="103"/>
        <v>1,20</v>
      </c>
      <c r="V1643" s="151">
        <f t="shared" si="18"/>
        <v>0.33999999999999997</v>
      </c>
      <c r="W1643" s="151">
        <v>0.7</v>
      </c>
      <c r="X1643" s="152">
        <f t="shared" si="104"/>
        <v>0.16590000000000002</v>
      </c>
      <c r="Y1643" s="152">
        <f t="shared" si="105"/>
        <v>2.5499999999999998</v>
      </c>
      <c r="Z1643" s="152">
        <f t="shared" si="106"/>
        <v>2.5359000000000003</v>
      </c>
      <c r="AA1643" s="153"/>
      <c r="AB1643" s="153"/>
      <c r="AC1643" s="153"/>
      <c r="AD1643" s="153"/>
      <c r="AH1643" s="147"/>
    </row>
    <row r="1644" spans="1:34" s="146" customFormat="1" x14ac:dyDescent="0.25">
      <c r="A1644" s="196">
        <v>1810</v>
      </c>
      <c r="B1644" s="196"/>
      <c r="C1644" s="196" t="s">
        <v>8328</v>
      </c>
      <c r="D1644" s="196" t="s">
        <v>8329</v>
      </c>
      <c r="E1644" s="196" t="s">
        <v>1877</v>
      </c>
      <c r="F1644" s="196">
        <v>2002</v>
      </c>
      <c r="G1644" s="196"/>
      <c r="H1644" s="196" t="s">
        <v>1878</v>
      </c>
      <c r="I1644" s="141" t="s">
        <v>1879</v>
      </c>
      <c r="J1644" s="196"/>
      <c r="K1644" s="196" t="s">
        <v>1881</v>
      </c>
      <c r="L1644" s="240" t="s">
        <v>8330</v>
      </c>
      <c r="M1644" s="196">
        <v>160</v>
      </c>
      <c r="N1644" s="196"/>
      <c r="O1644" s="196" t="s">
        <v>6730</v>
      </c>
      <c r="P1644" s="144">
        <v>249</v>
      </c>
      <c r="Q1644" s="145">
        <f t="shared" si="102"/>
        <v>1.0148999999999997</v>
      </c>
      <c r="R1644" s="145">
        <f t="shared" si="101"/>
        <v>2.2148999999999996</v>
      </c>
      <c r="S1644" s="203">
        <v>2.2000000000000002</v>
      </c>
      <c r="T1644" s="151">
        <v>0.13</v>
      </c>
      <c r="U1644" s="151" t="str">
        <f t="shared" si="103"/>
        <v>1,20</v>
      </c>
      <c r="V1644" s="151">
        <f t="shared" si="18"/>
        <v>0.33999999999999997</v>
      </c>
      <c r="W1644" s="151">
        <v>0.4</v>
      </c>
      <c r="X1644" s="152">
        <f t="shared" si="104"/>
        <v>0.1449</v>
      </c>
      <c r="Y1644" s="152">
        <f t="shared" si="105"/>
        <v>2.2000000000000002</v>
      </c>
      <c r="Z1644" s="152">
        <f t="shared" si="106"/>
        <v>2.2148999999999996</v>
      </c>
      <c r="AA1644" s="153"/>
      <c r="AB1644" s="153"/>
      <c r="AC1644" s="153"/>
      <c r="AD1644" s="153"/>
      <c r="AH1644" s="147"/>
    </row>
    <row r="1645" spans="1:34" s="146" customFormat="1" x14ac:dyDescent="0.25">
      <c r="A1645" s="196">
        <v>1365</v>
      </c>
      <c r="B1645" s="196" t="s">
        <v>8331</v>
      </c>
      <c r="C1645" s="196" t="s">
        <v>8332</v>
      </c>
      <c r="D1645" s="196" t="s">
        <v>2209</v>
      </c>
      <c r="E1645" s="196" t="s">
        <v>1877</v>
      </c>
      <c r="F1645" s="196">
        <v>2004</v>
      </c>
      <c r="G1645" s="196"/>
      <c r="H1645" s="196" t="s">
        <v>1878</v>
      </c>
      <c r="I1645" s="141" t="s">
        <v>1929</v>
      </c>
      <c r="J1645" s="196"/>
      <c r="K1645" s="196" t="s">
        <v>1881</v>
      </c>
      <c r="L1645" s="240" t="s">
        <v>8333</v>
      </c>
      <c r="M1645" s="196">
        <v>256</v>
      </c>
      <c r="N1645" s="196"/>
      <c r="O1645" s="196" t="s">
        <v>6731</v>
      </c>
      <c r="P1645" s="144">
        <v>423</v>
      </c>
      <c r="Q1645" s="145">
        <f t="shared" si="102"/>
        <v>0.85439999999999983</v>
      </c>
      <c r="R1645" s="145">
        <f t="shared" si="101"/>
        <v>2.0543999999999998</v>
      </c>
      <c r="S1645" s="203">
        <v>1.65</v>
      </c>
      <c r="T1645" s="151">
        <v>0.13</v>
      </c>
      <c r="U1645" s="151" t="str">
        <f t="shared" si="103"/>
        <v>1,20</v>
      </c>
      <c r="V1645" s="151">
        <f t="shared" si="18"/>
        <v>0.33999999999999997</v>
      </c>
      <c r="W1645" s="151">
        <v>0.25</v>
      </c>
      <c r="X1645" s="152">
        <f t="shared" si="104"/>
        <v>0.13439999999999999</v>
      </c>
      <c r="Y1645" s="152">
        <f t="shared" si="105"/>
        <v>1.65</v>
      </c>
      <c r="Z1645" s="152">
        <f t="shared" si="106"/>
        <v>2.0543999999999998</v>
      </c>
      <c r="AA1645" s="153"/>
      <c r="AB1645" s="153"/>
      <c r="AC1645" s="153"/>
      <c r="AD1645" s="153"/>
      <c r="AH1645" s="147"/>
    </row>
    <row r="1646" spans="1:34" s="146" customFormat="1" x14ac:dyDescent="0.25">
      <c r="A1646" s="196">
        <v>1322</v>
      </c>
      <c r="B1646" s="196" t="s">
        <v>8334</v>
      </c>
      <c r="C1646" s="196" t="s">
        <v>8335</v>
      </c>
      <c r="D1646" s="196" t="s">
        <v>3448</v>
      </c>
      <c r="E1646" s="196"/>
      <c r="F1646" s="196">
        <v>2010</v>
      </c>
      <c r="G1646" s="196"/>
      <c r="H1646" s="196" t="s">
        <v>1878</v>
      </c>
      <c r="I1646" s="141" t="s">
        <v>1879</v>
      </c>
      <c r="J1646" s="196"/>
      <c r="K1646" s="196" t="s">
        <v>1881</v>
      </c>
      <c r="L1646" s="240" t="s">
        <v>8336</v>
      </c>
      <c r="M1646" s="196">
        <v>176</v>
      </c>
      <c r="N1646" s="196"/>
      <c r="O1646" s="196" t="s">
        <v>6732</v>
      </c>
      <c r="P1646" s="144">
        <v>450</v>
      </c>
      <c r="Q1646" s="145">
        <f t="shared" si="102"/>
        <v>0.85439999999999983</v>
      </c>
      <c r="R1646" s="145">
        <f t="shared" si="101"/>
        <v>2.0543999999999998</v>
      </c>
      <c r="S1646" s="203">
        <v>2.0299999999999998</v>
      </c>
      <c r="T1646" s="151">
        <v>0.13</v>
      </c>
      <c r="U1646" s="151" t="str">
        <f t="shared" si="103"/>
        <v>1,20</v>
      </c>
      <c r="V1646" s="151">
        <f t="shared" si="18"/>
        <v>0.33999999999999997</v>
      </c>
      <c r="W1646" s="151">
        <v>0.25</v>
      </c>
      <c r="X1646" s="152">
        <f t="shared" si="104"/>
        <v>0.13439999999999999</v>
      </c>
      <c r="Y1646" s="152">
        <f t="shared" si="105"/>
        <v>2.0299999999999998</v>
      </c>
      <c r="Z1646" s="152">
        <f t="shared" si="106"/>
        <v>2.0543999999999998</v>
      </c>
      <c r="AA1646" s="153"/>
      <c r="AB1646" s="153"/>
      <c r="AC1646" s="153"/>
      <c r="AD1646" s="153"/>
      <c r="AH1646" s="147"/>
    </row>
    <row r="1647" spans="1:34" s="146" customFormat="1" x14ac:dyDescent="0.25">
      <c r="A1647" s="196">
        <v>2649</v>
      </c>
      <c r="B1647" s="196" t="s">
        <v>8339</v>
      </c>
      <c r="C1647" s="196" t="s">
        <v>8340</v>
      </c>
      <c r="D1647" s="196" t="s">
        <v>2103</v>
      </c>
      <c r="E1647" s="196"/>
      <c r="F1647" s="196">
        <v>2010</v>
      </c>
      <c r="G1647" s="196"/>
      <c r="H1647" s="196" t="s">
        <v>1878</v>
      </c>
      <c r="I1647" s="141" t="s">
        <v>6422</v>
      </c>
      <c r="J1647" s="196" t="s">
        <v>8341</v>
      </c>
      <c r="K1647" s="196" t="s">
        <v>1881</v>
      </c>
      <c r="L1647" s="240" t="s">
        <v>8342</v>
      </c>
      <c r="M1647" s="196">
        <v>146</v>
      </c>
      <c r="N1647" s="196"/>
      <c r="O1647" s="196" t="s">
        <v>6734</v>
      </c>
      <c r="P1647" s="144">
        <v>95</v>
      </c>
      <c r="Q1647" s="145">
        <f t="shared" si="102"/>
        <v>0.85439999999999983</v>
      </c>
      <c r="R1647" s="145">
        <f t="shared" si="101"/>
        <v>2.0543999999999998</v>
      </c>
      <c r="S1647" s="203">
        <v>1.6</v>
      </c>
      <c r="T1647" s="151">
        <v>0.13</v>
      </c>
      <c r="U1647" s="151" t="str">
        <f t="shared" si="103"/>
        <v>1,20</v>
      </c>
      <c r="V1647" s="151">
        <f t="shared" si="18"/>
        <v>0.33999999999999997</v>
      </c>
      <c r="W1647" s="151">
        <v>0.25</v>
      </c>
      <c r="X1647" s="152">
        <f t="shared" si="104"/>
        <v>0.13439999999999999</v>
      </c>
      <c r="Y1647" s="152">
        <f t="shared" si="105"/>
        <v>1.6</v>
      </c>
      <c r="Z1647" s="152">
        <f t="shared" si="106"/>
        <v>2.0543999999999998</v>
      </c>
      <c r="AA1647" s="153"/>
      <c r="AB1647" s="153"/>
      <c r="AC1647" s="153"/>
      <c r="AD1647" s="153"/>
      <c r="AH1647" s="147"/>
    </row>
    <row r="1648" spans="1:34" s="146" customFormat="1" x14ac:dyDescent="0.25">
      <c r="A1648" s="196">
        <v>632</v>
      </c>
      <c r="B1648" s="196" t="s">
        <v>8343</v>
      </c>
      <c r="C1648" s="196" t="s">
        <v>8344</v>
      </c>
      <c r="D1648" s="196" t="s">
        <v>8345</v>
      </c>
      <c r="E1648" s="196"/>
      <c r="F1648" s="196">
        <v>2008</v>
      </c>
      <c r="G1648" s="196"/>
      <c r="H1648" s="196" t="s">
        <v>2734</v>
      </c>
      <c r="I1648" s="141" t="s">
        <v>1914</v>
      </c>
      <c r="J1648" s="196" t="s">
        <v>4314</v>
      </c>
      <c r="K1648" s="196" t="s">
        <v>1881</v>
      </c>
      <c r="L1648" s="240" t="s">
        <v>8346</v>
      </c>
      <c r="M1648" s="196">
        <v>224</v>
      </c>
      <c r="N1648" s="196"/>
      <c r="O1648" s="196" t="s">
        <v>6735</v>
      </c>
      <c r="P1648" s="144">
        <v>404</v>
      </c>
      <c r="Q1648" s="145">
        <f t="shared" si="102"/>
        <v>2.6399999999999997</v>
      </c>
      <c r="R1648" s="145">
        <f t="shared" si="101"/>
        <v>3.84</v>
      </c>
      <c r="S1648" s="203">
        <v>3.84</v>
      </c>
      <c r="T1648" s="151">
        <v>0.13</v>
      </c>
      <c r="U1648" s="151" t="str">
        <f t="shared" si="103"/>
        <v>1,20</v>
      </c>
      <c r="V1648" s="151">
        <f t="shared" si="18"/>
        <v>0.33999999999999997</v>
      </c>
      <c r="W1648" s="151">
        <v>1.9</v>
      </c>
      <c r="X1648" s="152">
        <f t="shared" si="104"/>
        <v>0.24989999999999996</v>
      </c>
      <c r="Y1648" s="152">
        <f t="shared" si="105"/>
        <v>3.84</v>
      </c>
      <c r="Z1648" s="152">
        <f t="shared" si="106"/>
        <v>3.8198999999999996</v>
      </c>
      <c r="AA1648" s="153"/>
      <c r="AB1648" s="153"/>
      <c r="AC1648" s="153"/>
      <c r="AD1648" s="153"/>
      <c r="AH1648" s="147"/>
    </row>
    <row r="1649" spans="1:34" s="146" customFormat="1" x14ac:dyDescent="0.25">
      <c r="A1649" s="196">
        <v>1320</v>
      </c>
      <c r="B1649" s="196"/>
      <c r="C1649" s="196" t="s">
        <v>8347</v>
      </c>
      <c r="D1649" s="196" t="s">
        <v>8348</v>
      </c>
      <c r="E1649" s="196"/>
      <c r="F1649" s="196"/>
      <c r="G1649" s="196"/>
      <c r="H1649" s="196" t="s">
        <v>1878</v>
      </c>
      <c r="I1649" s="141" t="s">
        <v>1929</v>
      </c>
      <c r="J1649" s="196"/>
      <c r="K1649" s="196" t="s">
        <v>1881</v>
      </c>
      <c r="L1649" s="240" t="s">
        <v>8349</v>
      </c>
      <c r="M1649" s="196">
        <v>258</v>
      </c>
      <c r="N1649" s="196"/>
      <c r="O1649" s="196" t="s">
        <v>6736</v>
      </c>
      <c r="P1649" s="144">
        <v>333</v>
      </c>
      <c r="Q1649" s="145">
        <f t="shared" si="102"/>
        <v>1.2289000000000001</v>
      </c>
      <c r="R1649" s="145">
        <f t="shared" si="101"/>
        <v>2.4289000000000001</v>
      </c>
      <c r="S1649" s="203">
        <v>2.4</v>
      </c>
      <c r="T1649" s="151">
        <v>0.13</v>
      </c>
      <c r="U1649" s="151" t="str">
        <f t="shared" si="103"/>
        <v>1,20</v>
      </c>
      <c r="V1649" s="151">
        <f t="shared" si="18"/>
        <v>0.33999999999999997</v>
      </c>
      <c r="W1649" s="151">
        <v>0.6</v>
      </c>
      <c r="X1649" s="152">
        <f t="shared" si="104"/>
        <v>0.15890000000000001</v>
      </c>
      <c r="Y1649" s="152">
        <f t="shared" si="105"/>
        <v>2.4</v>
      </c>
      <c r="Z1649" s="152">
        <f t="shared" si="106"/>
        <v>2.4289000000000001</v>
      </c>
      <c r="AA1649" s="153"/>
      <c r="AB1649" s="153"/>
      <c r="AC1649" s="153"/>
      <c r="AD1649" s="153"/>
      <c r="AH1649" s="147"/>
    </row>
    <row r="1650" spans="1:34" s="146" customFormat="1" x14ac:dyDescent="0.25">
      <c r="A1650" s="196">
        <v>542</v>
      </c>
      <c r="B1650" s="196" t="s">
        <v>8350</v>
      </c>
      <c r="C1650" s="196" t="s">
        <v>8351</v>
      </c>
      <c r="D1650" s="196" t="s">
        <v>1988</v>
      </c>
      <c r="E1650" s="196"/>
      <c r="F1650" s="196">
        <v>1999</v>
      </c>
      <c r="G1650" s="196"/>
      <c r="H1650" s="196" t="s">
        <v>1878</v>
      </c>
      <c r="I1650" s="141" t="s">
        <v>1929</v>
      </c>
      <c r="J1650" s="196"/>
      <c r="K1650" s="196" t="s">
        <v>1881</v>
      </c>
      <c r="L1650" s="240" t="s">
        <v>8352</v>
      </c>
      <c r="M1650" s="196">
        <v>280</v>
      </c>
      <c r="N1650" s="196"/>
      <c r="O1650" s="196" t="s">
        <v>6737</v>
      </c>
      <c r="P1650" s="144">
        <v>418</v>
      </c>
      <c r="Q1650" s="145">
        <f t="shared" si="102"/>
        <v>1.2900000000000003</v>
      </c>
      <c r="R1650" s="145">
        <f t="shared" si="101"/>
        <v>2.4900000000000002</v>
      </c>
      <c r="S1650" s="203">
        <v>2.4900000000000002</v>
      </c>
      <c r="T1650" s="151">
        <v>0.13</v>
      </c>
      <c r="U1650" s="151" t="str">
        <f t="shared" si="103"/>
        <v>1,20</v>
      </c>
      <c r="V1650" s="151">
        <f t="shared" si="18"/>
        <v>0.33999999999999997</v>
      </c>
      <c r="W1650" s="151">
        <v>0.6</v>
      </c>
      <c r="X1650" s="152">
        <f t="shared" si="104"/>
        <v>0.15890000000000001</v>
      </c>
      <c r="Y1650" s="152">
        <f t="shared" si="105"/>
        <v>2.4900000000000002</v>
      </c>
      <c r="Z1650" s="152">
        <f t="shared" si="106"/>
        <v>2.4289000000000001</v>
      </c>
      <c r="AA1650" s="153"/>
      <c r="AB1650" s="153"/>
      <c r="AC1650" s="153"/>
      <c r="AD1650" s="153"/>
      <c r="AH1650" s="147"/>
    </row>
    <row r="1651" spans="1:34" s="146" customFormat="1" x14ac:dyDescent="0.25">
      <c r="A1651" s="196">
        <v>1809</v>
      </c>
      <c r="B1651" s="196" t="s">
        <v>8353</v>
      </c>
      <c r="C1651" s="196" t="s">
        <v>8354</v>
      </c>
      <c r="D1651" s="196" t="s">
        <v>3116</v>
      </c>
      <c r="E1651" s="196" t="s">
        <v>1913</v>
      </c>
      <c r="F1651" s="196">
        <v>2001</v>
      </c>
      <c r="G1651" s="196"/>
      <c r="H1651" s="196" t="s">
        <v>2734</v>
      </c>
      <c r="I1651" s="141" t="s">
        <v>1929</v>
      </c>
      <c r="J1651" s="196"/>
      <c r="K1651" s="196" t="s">
        <v>1881</v>
      </c>
      <c r="L1651" s="240" t="s">
        <v>8355</v>
      </c>
      <c r="M1651" s="196">
        <v>194</v>
      </c>
      <c r="N1651" s="196"/>
      <c r="O1651" s="196" t="s">
        <v>6738</v>
      </c>
      <c r="P1651" s="144">
        <v>337</v>
      </c>
      <c r="Q1651" s="145">
        <f t="shared" si="102"/>
        <v>0.85439999999999983</v>
      </c>
      <c r="R1651" s="145">
        <f t="shared" si="101"/>
        <v>2.0543999999999998</v>
      </c>
      <c r="S1651" s="203">
        <v>1.944</v>
      </c>
      <c r="T1651" s="151">
        <v>0.13</v>
      </c>
      <c r="U1651" s="151" t="str">
        <f t="shared" si="103"/>
        <v>1,20</v>
      </c>
      <c r="V1651" s="151">
        <f t="shared" si="18"/>
        <v>0.33999999999999997</v>
      </c>
      <c r="W1651" s="151">
        <v>0.25</v>
      </c>
      <c r="X1651" s="152">
        <f t="shared" si="104"/>
        <v>0.13439999999999999</v>
      </c>
      <c r="Y1651" s="152">
        <f t="shared" si="105"/>
        <v>1.944</v>
      </c>
      <c r="Z1651" s="152">
        <f t="shared" si="106"/>
        <v>2.0543999999999998</v>
      </c>
      <c r="AA1651" s="153"/>
      <c r="AB1651" s="153"/>
      <c r="AC1651" s="153"/>
      <c r="AD1651" s="153"/>
      <c r="AH1651" s="147"/>
    </row>
    <row r="1652" spans="1:34" s="146" customFormat="1" x14ac:dyDescent="0.25">
      <c r="A1652" s="196">
        <v>735</v>
      </c>
      <c r="B1652" s="196" t="s">
        <v>7741</v>
      </c>
      <c r="C1652" s="196" t="s">
        <v>8356</v>
      </c>
      <c r="D1652" s="196" t="s">
        <v>2897</v>
      </c>
      <c r="E1652" s="196" t="s">
        <v>1913</v>
      </c>
      <c r="F1652" s="196">
        <v>1997</v>
      </c>
      <c r="G1652" s="196"/>
      <c r="H1652" s="196" t="s">
        <v>2734</v>
      </c>
      <c r="I1652" s="141" t="s">
        <v>1879</v>
      </c>
      <c r="J1652" s="196"/>
      <c r="K1652" s="196" t="s">
        <v>1881</v>
      </c>
      <c r="L1652" s="240" t="s">
        <v>8357</v>
      </c>
      <c r="M1652" s="196">
        <v>450</v>
      </c>
      <c r="N1652" s="196"/>
      <c r="O1652" s="196" t="s">
        <v>6739</v>
      </c>
      <c r="P1652" s="144">
        <v>821</v>
      </c>
      <c r="Q1652" s="145">
        <f t="shared" si="102"/>
        <v>0.88939999999999997</v>
      </c>
      <c r="R1652" s="145">
        <f t="shared" si="101"/>
        <v>2.5893999999999999</v>
      </c>
      <c r="S1652" s="203">
        <v>2.2000000000000002</v>
      </c>
      <c r="T1652" s="151">
        <v>0.13</v>
      </c>
      <c r="U1652" s="151" t="str">
        <f t="shared" si="103"/>
        <v>1,70</v>
      </c>
      <c r="V1652" s="151">
        <f t="shared" si="18"/>
        <v>0.33999999999999997</v>
      </c>
      <c r="W1652" s="151">
        <v>0.25</v>
      </c>
      <c r="X1652" s="152">
        <f t="shared" si="104"/>
        <v>0.1694</v>
      </c>
      <c r="Y1652" s="152">
        <f t="shared" si="105"/>
        <v>2.2000000000000002</v>
      </c>
      <c r="Z1652" s="152">
        <f t="shared" si="106"/>
        <v>2.5893999999999999</v>
      </c>
      <c r="AA1652" s="153"/>
      <c r="AB1652" s="153"/>
      <c r="AC1652" s="153"/>
      <c r="AD1652" s="153"/>
      <c r="AH1652" s="147"/>
    </row>
    <row r="1653" spans="1:34" s="146" customFormat="1" x14ac:dyDescent="0.25">
      <c r="A1653" s="196">
        <v>2522</v>
      </c>
      <c r="B1653" s="196" t="s">
        <v>8358</v>
      </c>
      <c r="C1653" s="196" t="s">
        <v>8359</v>
      </c>
      <c r="D1653" s="196" t="s">
        <v>1912</v>
      </c>
      <c r="E1653" s="196" t="s">
        <v>1921</v>
      </c>
      <c r="F1653" s="196">
        <v>2012</v>
      </c>
      <c r="G1653" s="196"/>
      <c r="H1653" s="196" t="s">
        <v>1878</v>
      </c>
      <c r="I1653" s="141" t="s">
        <v>1879</v>
      </c>
      <c r="J1653" s="196"/>
      <c r="K1653" s="196" t="s">
        <v>1881</v>
      </c>
      <c r="L1653" s="240" t="s">
        <v>8360</v>
      </c>
      <c r="M1653" s="196">
        <v>448</v>
      </c>
      <c r="N1653" s="196"/>
      <c r="O1653" s="196" t="s">
        <v>6740</v>
      </c>
      <c r="P1653" s="144">
        <v>398</v>
      </c>
      <c r="Q1653" s="145">
        <f t="shared" si="102"/>
        <v>0.85439999999999983</v>
      </c>
      <c r="R1653" s="145">
        <f t="shared" si="101"/>
        <v>2.0543999999999998</v>
      </c>
      <c r="S1653" s="203">
        <v>1.89</v>
      </c>
      <c r="T1653" s="151">
        <v>0.13</v>
      </c>
      <c r="U1653" s="151" t="str">
        <f t="shared" si="103"/>
        <v>1,20</v>
      </c>
      <c r="V1653" s="151">
        <f t="shared" si="18"/>
        <v>0.33999999999999997</v>
      </c>
      <c r="W1653" s="151">
        <v>0.25</v>
      </c>
      <c r="X1653" s="152">
        <f t="shared" si="104"/>
        <v>0.13439999999999999</v>
      </c>
      <c r="Y1653" s="152">
        <f t="shared" si="105"/>
        <v>1.89</v>
      </c>
      <c r="Z1653" s="152">
        <f t="shared" si="106"/>
        <v>2.0543999999999998</v>
      </c>
      <c r="AA1653" s="153"/>
      <c r="AB1653" s="153"/>
      <c r="AC1653" s="153"/>
      <c r="AD1653" s="153"/>
      <c r="AH1653" s="147"/>
    </row>
    <row r="1654" spans="1:34" s="146" customFormat="1" x14ac:dyDescent="0.25">
      <c r="A1654" s="196">
        <v>796</v>
      </c>
      <c r="B1654" s="196" t="s">
        <v>3143</v>
      </c>
      <c r="C1654" s="196" t="s">
        <v>4614</v>
      </c>
      <c r="D1654" s="196" t="s">
        <v>2609</v>
      </c>
      <c r="E1654" s="196"/>
      <c r="F1654" s="196">
        <v>2009</v>
      </c>
      <c r="G1654" s="196"/>
      <c r="H1654" s="196" t="s">
        <v>1878</v>
      </c>
      <c r="I1654" s="141" t="s">
        <v>1879</v>
      </c>
      <c r="J1654" s="196"/>
      <c r="K1654" s="196" t="s">
        <v>1881</v>
      </c>
      <c r="L1654" s="240" t="s">
        <v>8361</v>
      </c>
      <c r="M1654" s="196">
        <v>448</v>
      </c>
      <c r="N1654" s="196"/>
      <c r="O1654" s="196" t="s">
        <v>6741</v>
      </c>
      <c r="P1654" s="144">
        <v>394</v>
      </c>
      <c r="Q1654" s="145">
        <f t="shared" si="102"/>
        <v>0.85439999999999983</v>
      </c>
      <c r="R1654" s="145">
        <f t="shared" si="101"/>
        <v>2.0543999999999998</v>
      </c>
      <c r="S1654" s="203">
        <v>1.9</v>
      </c>
      <c r="T1654" s="151">
        <v>0.13</v>
      </c>
      <c r="U1654" s="151" t="str">
        <f t="shared" si="103"/>
        <v>1,20</v>
      </c>
      <c r="V1654" s="151">
        <f t="shared" si="18"/>
        <v>0.33999999999999997</v>
      </c>
      <c r="W1654" s="151">
        <v>0.25</v>
      </c>
      <c r="X1654" s="152">
        <f t="shared" si="104"/>
        <v>0.13439999999999999</v>
      </c>
      <c r="Y1654" s="152">
        <f t="shared" si="105"/>
        <v>1.9</v>
      </c>
      <c r="Z1654" s="152">
        <f t="shared" si="106"/>
        <v>2.0543999999999998</v>
      </c>
      <c r="AA1654" s="153"/>
      <c r="AB1654" s="153"/>
      <c r="AC1654" s="153"/>
      <c r="AD1654" s="153"/>
      <c r="AH1654" s="147"/>
    </row>
    <row r="1655" spans="1:34" s="146" customFormat="1" x14ac:dyDescent="0.25">
      <c r="A1655" s="196">
        <v>632</v>
      </c>
      <c r="B1655" s="196" t="s">
        <v>8362</v>
      </c>
      <c r="C1655" s="196" t="s">
        <v>8639</v>
      </c>
      <c r="D1655" s="196" t="s">
        <v>2054</v>
      </c>
      <c r="E1655" s="196"/>
      <c r="F1655" s="196">
        <v>1984</v>
      </c>
      <c r="G1655" s="196"/>
      <c r="H1655" s="196" t="s">
        <v>2734</v>
      </c>
      <c r="I1655" s="141" t="s">
        <v>1879</v>
      </c>
      <c r="J1655" s="196"/>
      <c r="K1655" s="196" t="s">
        <v>1881</v>
      </c>
      <c r="L1655" s="240" t="s">
        <v>8363</v>
      </c>
      <c r="M1655" s="196">
        <v>378</v>
      </c>
      <c r="N1655" s="196"/>
      <c r="O1655" s="196" t="s">
        <v>6742</v>
      </c>
      <c r="P1655" s="144">
        <v>469</v>
      </c>
      <c r="Q1655" s="145">
        <f t="shared" si="102"/>
        <v>1.8173999999999999</v>
      </c>
      <c r="R1655" s="145">
        <f t="shared" si="101"/>
        <v>3.0173999999999999</v>
      </c>
      <c r="S1655" s="203">
        <v>3</v>
      </c>
      <c r="T1655" s="151">
        <v>0.13</v>
      </c>
      <c r="U1655" s="151" t="str">
        <f t="shared" si="103"/>
        <v>1,20</v>
      </c>
      <c r="V1655" s="151">
        <f t="shared" si="18"/>
        <v>0.33999999999999997</v>
      </c>
      <c r="W1655" s="151">
        <v>1.1499999999999999</v>
      </c>
      <c r="X1655" s="152">
        <f t="shared" si="104"/>
        <v>0.19739999999999999</v>
      </c>
      <c r="Y1655" s="152">
        <f t="shared" si="105"/>
        <v>3</v>
      </c>
      <c r="Z1655" s="152">
        <f t="shared" si="106"/>
        <v>3.0173999999999999</v>
      </c>
      <c r="AA1655" s="153"/>
      <c r="AB1655" s="153"/>
      <c r="AC1655" s="153"/>
      <c r="AD1655" s="153"/>
      <c r="AH1655" s="147"/>
    </row>
    <row r="1656" spans="1:34" s="146" customFormat="1" x14ac:dyDescent="0.25">
      <c r="A1656" s="196">
        <v>689</v>
      </c>
      <c r="B1656" s="196" t="s">
        <v>2470</v>
      </c>
      <c r="C1656" s="196" t="s">
        <v>8364</v>
      </c>
      <c r="D1656" s="196" t="s">
        <v>3022</v>
      </c>
      <c r="E1656" s="196"/>
      <c r="F1656" s="196">
        <v>1998</v>
      </c>
      <c r="G1656" s="196"/>
      <c r="H1656" s="196" t="s">
        <v>2734</v>
      </c>
      <c r="I1656" s="141" t="s">
        <v>1929</v>
      </c>
      <c r="J1656" s="196"/>
      <c r="K1656" s="196" t="s">
        <v>1881</v>
      </c>
      <c r="L1656" s="240" t="s">
        <v>8365</v>
      </c>
      <c r="M1656" s="196">
        <v>338</v>
      </c>
      <c r="N1656" s="196"/>
      <c r="O1656" s="196" t="s">
        <v>6743</v>
      </c>
      <c r="P1656" s="144">
        <v>630</v>
      </c>
      <c r="Q1656" s="145">
        <f t="shared" si="102"/>
        <v>1.22</v>
      </c>
      <c r="R1656" s="145">
        <f t="shared" si="101"/>
        <v>2.92</v>
      </c>
      <c r="S1656" s="203">
        <f>0.63+2.29</f>
        <v>2.92</v>
      </c>
      <c r="T1656" s="151">
        <v>0.13</v>
      </c>
      <c r="U1656" s="151" t="str">
        <f t="shared" si="103"/>
        <v>1,70</v>
      </c>
      <c r="V1656" s="151">
        <f t="shared" si="18"/>
        <v>0.33999999999999997</v>
      </c>
      <c r="W1656" s="151">
        <v>0.55000000000000004</v>
      </c>
      <c r="X1656" s="152">
        <f t="shared" si="104"/>
        <v>0.19039999999999999</v>
      </c>
      <c r="Y1656" s="152">
        <f t="shared" si="105"/>
        <v>2.92</v>
      </c>
      <c r="Z1656" s="152">
        <f t="shared" si="106"/>
        <v>2.9103999999999997</v>
      </c>
      <c r="AA1656" s="153"/>
      <c r="AB1656" s="153"/>
      <c r="AC1656" s="153"/>
      <c r="AD1656" s="153"/>
      <c r="AH1656" s="147"/>
    </row>
    <row r="1657" spans="1:34" s="146" customFormat="1" x14ac:dyDescent="0.25">
      <c r="A1657" s="196">
        <v>853</v>
      </c>
      <c r="B1657" s="196" t="s">
        <v>8366</v>
      </c>
      <c r="C1657" s="196" t="s">
        <v>8367</v>
      </c>
      <c r="D1657" s="196" t="s">
        <v>8368</v>
      </c>
      <c r="E1657" s="196"/>
      <c r="F1657" s="196">
        <v>1986</v>
      </c>
      <c r="G1657" s="196"/>
      <c r="H1657" s="196" t="s">
        <v>2734</v>
      </c>
      <c r="I1657" s="141" t="s">
        <v>1879</v>
      </c>
      <c r="J1657" s="196"/>
      <c r="K1657" s="196" t="s">
        <v>1881</v>
      </c>
      <c r="L1657" s="240" t="s">
        <v>8369</v>
      </c>
      <c r="M1657" s="196">
        <v>162</v>
      </c>
      <c r="N1657" s="196"/>
      <c r="O1657" s="196" t="s">
        <v>6744</v>
      </c>
      <c r="P1657" s="144">
        <v>622</v>
      </c>
      <c r="Q1657" s="145">
        <f t="shared" si="102"/>
        <v>2.1198999999999995</v>
      </c>
      <c r="R1657" s="145">
        <f t="shared" si="101"/>
        <v>3.8198999999999996</v>
      </c>
      <c r="S1657" s="203">
        <v>3.77</v>
      </c>
      <c r="T1657" s="151">
        <v>0.13</v>
      </c>
      <c r="U1657" s="151" t="str">
        <f t="shared" si="103"/>
        <v>1,70</v>
      </c>
      <c r="V1657" s="151">
        <f t="shared" si="18"/>
        <v>0.33999999999999997</v>
      </c>
      <c r="W1657" s="151">
        <v>1.4</v>
      </c>
      <c r="X1657" s="152">
        <f t="shared" si="104"/>
        <v>0.24989999999999996</v>
      </c>
      <c r="Y1657" s="152">
        <f t="shared" si="105"/>
        <v>3.77</v>
      </c>
      <c r="Z1657" s="152">
        <f t="shared" si="106"/>
        <v>3.8198999999999996</v>
      </c>
      <c r="AA1657" s="153"/>
      <c r="AB1657" s="153"/>
      <c r="AC1657" s="153"/>
      <c r="AD1657" s="153"/>
      <c r="AH1657" s="147"/>
    </row>
    <row r="1659" spans="1:34" s="146" customFormat="1" x14ac:dyDescent="0.25">
      <c r="A1659" s="196">
        <v>1927</v>
      </c>
      <c r="B1659" s="196" t="s">
        <v>8372</v>
      </c>
      <c r="C1659" s="196" t="s">
        <v>8373</v>
      </c>
      <c r="D1659" s="196" t="s">
        <v>2609</v>
      </c>
      <c r="E1659" s="196"/>
      <c r="F1659" s="196">
        <v>2000</v>
      </c>
      <c r="G1659" s="196"/>
      <c r="H1659" s="196" t="s">
        <v>1878</v>
      </c>
      <c r="I1659" s="141" t="s">
        <v>1914</v>
      </c>
      <c r="J1659" s="196"/>
      <c r="K1659" s="196" t="s">
        <v>1881</v>
      </c>
      <c r="L1659" s="240" t="s">
        <v>8374</v>
      </c>
      <c r="M1659" s="196">
        <v>208</v>
      </c>
      <c r="N1659" s="196"/>
      <c r="O1659" s="196" t="s">
        <v>6746</v>
      </c>
      <c r="P1659" s="144">
        <v>190</v>
      </c>
      <c r="Q1659" s="145">
        <f t="shared" si="102"/>
        <v>0.91859999999999986</v>
      </c>
      <c r="R1659" s="145">
        <f t="shared" si="101"/>
        <v>2.1185999999999998</v>
      </c>
      <c r="S1659" s="203">
        <v>2.1</v>
      </c>
      <c r="T1659" s="151">
        <v>0.13</v>
      </c>
      <c r="U1659" s="151" t="str">
        <f t="shared" si="103"/>
        <v>1,20</v>
      </c>
      <c r="V1659" s="151">
        <f t="shared" si="18"/>
        <v>0.33999999999999997</v>
      </c>
      <c r="W1659" s="151">
        <v>0.31</v>
      </c>
      <c r="X1659" s="152">
        <f t="shared" si="104"/>
        <v>0.1386</v>
      </c>
      <c r="Y1659" s="152">
        <f t="shared" si="105"/>
        <v>2.1</v>
      </c>
      <c r="Z1659" s="152">
        <f t="shared" si="106"/>
        <v>2.1185999999999998</v>
      </c>
      <c r="AA1659" s="153"/>
      <c r="AB1659" s="153"/>
      <c r="AC1659" s="153"/>
      <c r="AD1659" s="153"/>
      <c r="AH1659" s="147"/>
    </row>
    <row r="1660" spans="1:34" s="146" customFormat="1" x14ac:dyDescent="0.25">
      <c r="A1660" s="196">
        <v>1904</v>
      </c>
      <c r="B1660" s="196" t="s">
        <v>8375</v>
      </c>
      <c r="C1660" s="196" t="s">
        <v>8376</v>
      </c>
      <c r="D1660" s="196" t="s">
        <v>2818</v>
      </c>
      <c r="E1660" s="196"/>
      <c r="F1660" s="196">
        <v>2003</v>
      </c>
      <c r="G1660" s="196"/>
      <c r="H1660" s="196" t="s">
        <v>2734</v>
      </c>
      <c r="I1660" s="141" t="s">
        <v>1879</v>
      </c>
      <c r="J1660" s="196"/>
      <c r="K1660" s="196" t="s">
        <v>1881</v>
      </c>
      <c r="L1660" s="240" t="s">
        <v>8377</v>
      </c>
      <c r="M1660" s="196">
        <v>354</v>
      </c>
      <c r="N1660" s="196"/>
      <c r="O1660" s="196" t="s">
        <v>6747</v>
      </c>
      <c r="P1660" s="144">
        <v>449</v>
      </c>
      <c r="Q1660" s="145">
        <f t="shared" si="102"/>
        <v>1.1900000000000002</v>
      </c>
      <c r="R1660" s="145">
        <f t="shared" si="101"/>
        <v>2.39</v>
      </c>
      <c r="S1660" s="203">
        <v>2.39</v>
      </c>
      <c r="T1660" s="151">
        <v>0.13</v>
      </c>
      <c r="U1660" s="151" t="str">
        <f t="shared" si="103"/>
        <v>1,20</v>
      </c>
      <c r="V1660" s="151">
        <f t="shared" si="18"/>
        <v>0.33999999999999997</v>
      </c>
      <c r="W1660" s="151">
        <v>0.55000000000000004</v>
      </c>
      <c r="X1660" s="152">
        <f t="shared" si="104"/>
        <v>0.15539999999999998</v>
      </c>
      <c r="Y1660" s="152">
        <f t="shared" si="105"/>
        <v>2.39</v>
      </c>
      <c r="Z1660" s="152">
        <f t="shared" si="106"/>
        <v>2.3754</v>
      </c>
      <c r="AA1660" s="153"/>
      <c r="AB1660" s="153"/>
      <c r="AC1660" s="153"/>
      <c r="AD1660" s="153"/>
      <c r="AH1660" s="147"/>
    </row>
    <row r="1661" spans="1:34" s="146" customFormat="1" x14ac:dyDescent="0.25">
      <c r="A1661" s="196">
        <v>1321</v>
      </c>
      <c r="B1661" s="196"/>
      <c r="C1661" s="196" t="s">
        <v>8378</v>
      </c>
      <c r="D1661" s="196"/>
      <c r="E1661" s="196"/>
      <c r="F1661" s="196">
        <v>2006</v>
      </c>
      <c r="G1661" s="196"/>
      <c r="H1661" s="196" t="s">
        <v>2734</v>
      </c>
      <c r="I1661" s="141" t="s">
        <v>1929</v>
      </c>
      <c r="J1661" s="196" t="s">
        <v>8379</v>
      </c>
      <c r="K1661" s="196" t="s">
        <v>1881</v>
      </c>
      <c r="L1661" s="240" t="s">
        <v>8380</v>
      </c>
      <c r="M1661" s="196"/>
      <c r="N1661" s="196"/>
      <c r="O1661" s="196" t="s">
        <v>6748</v>
      </c>
      <c r="P1661" s="144">
        <v>355</v>
      </c>
      <c r="Q1661" s="145">
        <f t="shared" si="102"/>
        <v>2.58</v>
      </c>
      <c r="R1661" s="145">
        <f t="shared" si="101"/>
        <v>3.7800000000000002</v>
      </c>
      <c r="S1661" s="203">
        <f>1.29+2.49</f>
        <v>3.7800000000000002</v>
      </c>
      <c r="T1661" s="151">
        <v>0.13</v>
      </c>
      <c r="U1661" s="151" t="str">
        <f t="shared" si="103"/>
        <v>1,20</v>
      </c>
      <c r="V1661" s="151">
        <f t="shared" si="18"/>
        <v>0.33999999999999997</v>
      </c>
      <c r="W1661" s="151">
        <v>1.85</v>
      </c>
      <c r="X1661" s="152">
        <f t="shared" si="104"/>
        <v>0.24640000000000001</v>
      </c>
      <c r="Y1661" s="152">
        <f t="shared" si="105"/>
        <v>3.7800000000000002</v>
      </c>
      <c r="Z1661" s="152">
        <f t="shared" si="106"/>
        <v>3.7664</v>
      </c>
      <c r="AA1661" s="153"/>
      <c r="AB1661" s="153"/>
      <c r="AC1661" s="153"/>
      <c r="AD1661" s="153"/>
      <c r="AH1661" s="147"/>
    </row>
    <row r="1662" spans="1:34" s="146" customFormat="1" x14ac:dyDescent="0.25">
      <c r="A1662" s="196">
        <v>2652</v>
      </c>
      <c r="B1662" s="196" t="s">
        <v>8381</v>
      </c>
      <c r="C1662" s="196" t="s">
        <v>8382</v>
      </c>
      <c r="D1662" s="196" t="s">
        <v>2041</v>
      </c>
      <c r="E1662" s="196"/>
      <c r="F1662" s="196"/>
      <c r="G1662" s="196"/>
      <c r="H1662" s="196" t="s">
        <v>2734</v>
      </c>
      <c r="I1662" s="141" t="s">
        <v>1929</v>
      </c>
      <c r="J1662" s="196"/>
      <c r="K1662" s="196" t="s">
        <v>1881</v>
      </c>
      <c r="L1662" s="240" t="s">
        <v>8383</v>
      </c>
      <c r="M1662" s="196">
        <v>130</v>
      </c>
      <c r="N1662" s="196"/>
      <c r="O1662" s="196" t="s">
        <v>6749</v>
      </c>
      <c r="P1662" s="144">
        <v>601</v>
      </c>
      <c r="Q1662" s="145">
        <f t="shared" si="102"/>
        <v>2.601399999999999</v>
      </c>
      <c r="R1662" s="145">
        <f t="shared" si="101"/>
        <v>4.3013999999999992</v>
      </c>
      <c r="S1662" s="203">
        <v>4.29</v>
      </c>
      <c r="T1662" s="151">
        <v>0.13</v>
      </c>
      <c r="U1662" s="151" t="str">
        <f t="shared" si="103"/>
        <v>1,70</v>
      </c>
      <c r="V1662" s="151">
        <f t="shared" si="18"/>
        <v>0.33999999999999997</v>
      </c>
      <c r="W1662" s="151">
        <v>1.85</v>
      </c>
      <c r="X1662" s="152">
        <f t="shared" si="104"/>
        <v>0.28139999999999993</v>
      </c>
      <c r="Y1662" s="152">
        <f t="shared" si="105"/>
        <v>4.29</v>
      </c>
      <c r="Z1662" s="152">
        <f t="shared" si="106"/>
        <v>4.3013999999999992</v>
      </c>
      <c r="AA1662" s="153"/>
      <c r="AB1662" s="153"/>
      <c r="AC1662" s="153"/>
      <c r="AD1662" s="153"/>
      <c r="AH1662" s="147"/>
    </row>
    <row r="1663" spans="1:34" s="146" customFormat="1" x14ac:dyDescent="0.25">
      <c r="A1663" s="196">
        <v>914</v>
      </c>
      <c r="B1663" s="196" t="s">
        <v>8384</v>
      </c>
      <c r="C1663" s="196" t="s">
        <v>8385</v>
      </c>
      <c r="D1663" s="196" t="s">
        <v>2257</v>
      </c>
      <c r="E1663" s="196" t="s">
        <v>1899</v>
      </c>
      <c r="F1663" s="196">
        <v>1978</v>
      </c>
      <c r="G1663" s="196"/>
      <c r="H1663" s="196" t="s">
        <v>1878</v>
      </c>
      <c r="I1663" s="141" t="s">
        <v>1914</v>
      </c>
      <c r="J1663" s="196"/>
      <c r="K1663" s="196" t="s">
        <v>1881</v>
      </c>
      <c r="L1663" s="240" t="s">
        <v>8386</v>
      </c>
      <c r="M1663" s="196">
        <v>480</v>
      </c>
      <c r="N1663" s="196"/>
      <c r="O1663" s="196" t="s">
        <v>6750</v>
      </c>
      <c r="P1663" s="144">
        <v>360</v>
      </c>
      <c r="Q1663" s="145">
        <f t="shared" si="102"/>
        <v>1.2289000000000001</v>
      </c>
      <c r="R1663" s="145">
        <f t="shared" si="101"/>
        <v>2.4289000000000001</v>
      </c>
      <c r="S1663" s="203">
        <v>2.4</v>
      </c>
      <c r="T1663" s="151">
        <v>0.13</v>
      </c>
      <c r="U1663" s="151" t="str">
        <f t="shared" si="103"/>
        <v>1,20</v>
      </c>
      <c r="V1663" s="151">
        <f t="shared" si="18"/>
        <v>0.33999999999999997</v>
      </c>
      <c r="W1663" s="151">
        <v>0.6</v>
      </c>
      <c r="X1663" s="152">
        <f t="shared" si="104"/>
        <v>0.15890000000000001</v>
      </c>
      <c r="Y1663" s="152">
        <f t="shared" si="105"/>
        <v>2.4</v>
      </c>
      <c r="Z1663" s="152">
        <f t="shared" si="106"/>
        <v>2.4289000000000001</v>
      </c>
      <c r="AA1663" s="153"/>
      <c r="AB1663" s="153"/>
      <c r="AC1663" s="153"/>
      <c r="AD1663" s="153"/>
      <c r="AH1663" s="147"/>
    </row>
    <row r="1664" spans="1:34" s="146" customFormat="1" x14ac:dyDescent="0.25">
      <c r="A1664" s="196">
        <v>1395</v>
      </c>
      <c r="B1664" s="196" t="s">
        <v>8387</v>
      </c>
      <c r="C1664" s="196" t="s">
        <v>8388</v>
      </c>
      <c r="D1664" s="196" t="s">
        <v>2300</v>
      </c>
      <c r="E1664" s="196"/>
      <c r="F1664" s="196">
        <v>2007</v>
      </c>
      <c r="G1664" s="196"/>
      <c r="H1664" s="196" t="s">
        <v>1878</v>
      </c>
      <c r="I1664" s="141" t="s">
        <v>1914</v>
      </c>
      <c r="J1664" s="196"/>
      <c r="K1664" s="196" t="s">
        <v>1881</v>
      </c>
      <c r="L1664" s="240" t="s">
        <v>8389</v>
      </c>
      <c r="M1664" s="196">
        <v>384</v>
      </c>
      <c r="N1664" s="196"/>
      <c r="O1664" s="196" t="s">
        <v>6751</v>
      </c>
      <c r="P1664" s="144">
        <v>353</v>
      </c>
      <c r="Q1664" s="145">
        <f t="shared" si="102"/>
        <v>0.85439999999999983</v>
      </c>
      <c r="R1664" s="145">
        <f t="shared" si="101"/>
        <v>2.0543999999999998</v>
      </c>
      <c r="S1664" s="203">
        <v>1.7</v>
      </c>
      <c r="T1664" s="151">
        <v>0.13</v>
      </c>
      <c r="U1664" s="151" t="str">
        <f t="shared" si="103"/>
        <v>1,20</v>
      </c>
      <c r="V1664" s="151">
        <f t="shared" si="18"/>
        <v>0.33999999999999997</v>
      </c>
      <c r="W1664" s="151">
        <v>0.25</v>
      </c>
      <c r="X1664" s="152">
        <f t="shared" si="104"/>
        <v>0.13439999999999999</v>
      </c>
      <c r="Y1664" s="152">
        <f t="shared" si="105"/>
        <v>1.7</v>
      </c>
      <c r="Z1664" s="152">
        <f t="shared" si="106"/>
        <v>2.0543999999999998</v>
      </c>
      <c r="AA1664" s="153"/>
      <c r="AB1664" s="153"/>
      <c r="AC1664" s="153"/>
      <c r="AD1664" s="153"/>
      <c r="AH1664" s="147"/>
    </row>
    <row r="1665" spans="1:34" s="146" customFormat="1" x14ac:dyDescent="0.25">
      <c r="A1665" s="196">
        <v>1984</v>
      </c>
      <c r="B1665" s="196"/>
      <c r="C1665" s="196" t="s">
        <v>8390</v>
      </c>
      <c r="D1665" s="196" t="s">
        <v>3524</v>
      </c>
      <c r="E1665" s="196" t="s">
        <v>1913</v>
      </c>
      <c r="F1665" s="196">
        <v>2014</v>
      </c>
      <c r="G1665" s="196"/>
      <c r="H1665" s="196" t="s">
        <v>2734</v>
      </c>
      <c r="I1665" s="141" t="s">
        <v>1879</v>
      </c>
      <c r="J1665" s="196"/>
      <c r="K1665" s="196" t="s">
        <v>1881</v>
      </c>
      <c r="L1665" s="240" t="s">
        <v>8391</v>
      </c>
      <c r="M1665" s="196">
        <v>126</v>
      </c>
      <c r="N1665" s="196"/>
      <c r="O1665" s="196" t="s">
        <v>6752</v>
      </c>
      <c r="P1665" s="144">
        <v>544</v>
      </c>
      <c r="Q1665" s="145">
        <f t="shared" si="102"/>
        <v>1.2900000000000003</v>
      </c>
      <c r="R1665" s="145">
        <f t="shared" si="101"/>
        <v>2.99</v>
      </c>
      <c r="S1665" s="203">
        <v>2.99</v>
      </c>
      <c r="T1665" s="151">
        <v>0.13</v>
      </c>
      <c r="U1665" s="151" t="str">
        <f t="shared" si="103"/>
        <v>1,70</v>
      </c>
      <c r="V1665" s="151">
        <f t="shared" si="18"/>
        <v>0.33999999999999997</v>
      </c>
      <c r="W1665" s="151">
        <v>0.6</v>
      </c>
      <c r="X1665" s="152">
        <f t="shared" si="104"/>
        <v>0.19389999999999999</v>
      </c>
      <c r="Y1665" s="152">
        <f t="shared" si="105"/>
        <v>2.99</v>
      </c>
      <c r="Z1665" s="152">
        <f t="shared" si="106"/>
        <v>2.9639000000000002</v>
      </c>
      <c r="AA1665" s="153"/>
      <c r="AB1665" s="153"/>
      <c r="AC1665" s="153"/>
      <c r="AD1665" s="153"/>
      <c r="AH1665" s="147"/>
    </row>
    <row r="1666" spans="1:34" s="146" customFormat="1" x14ac:dyDescent="0.25">
      <c r="A1666" s="196">
        <v>248</v>
      </c>
      <c r="B1666" s="196" t="s">
        <v>7690</v>
      </c>
      <c r="C1666" s="196" t="s">
        <v>8392</v>
      </c>
      <c r="D1666" s="196" t="s">
        <v>1912</v>
      </c>
      <c r="E1666" s="196"/>
      <c r="F1666" s="196">
        <v>1998</v>
      </c>
      <c r="G1666" s="196"/>
      <c r="H1666" s="196" t="s">
        <v>1878</v>
      </c>
      <c r="I1666" s="141" t="s">
        <v>1879</v>
      </c>
      <c r="J1666" s="196"/>
      <c r="K1666" s="196" t="s">
        <v>1881</v>
      </c>
      <c r="L1666" s="240" t="s">
        <v>8393</v>
      </c>
      <c r="M1666" s="196">
        <v>368</v>
      </c>
      <c r="N1666" s="196"/>
      <c r="O1666" s="196" t="s">
        <v>6753</v>
      </c>
      <c r="P1666" s="144">
        <v>349</v>
      </c>
      <c r="Q1666" s="145">
        <f t="shared" si="102"/>
        <v>0.85439999999999983</v>
      </c>
      <c r="R1666" s="145">
        <f t="shared" si="101"/>
        <v>2.0543999999999998</v>
      </c>
      <c r="S1666" s="203">
        <v>1.65</v>
      </c>
      <c r="T1666" s="151">
        <v>0.13</v>
      </c>
      <c r="U1666" s="151" t="str">
        <f t="shared" si="103"/>
        <v>1,20</v>
      </c>
      <c r="V1666" s="151">
        <f t="shared" si="18"/>
        <v>0.33999999999999997</v>
      </c>
      <c r="W1666" s="151">
        <v>0.25</v>
      </c>
      <c r="X1666" s="152">
        <f t="shared" si="104"/>
        <v>0.13439999999999999</v>
      </c>
      <c r="Y1666" s="152">
        <f t="shared" si="105"/>
        <v>1.65</v>
      </c>
      <c r="Z1666" s="152">
        <f t="shared" si="106"/>
        <v>2.0543999999999998</v>
      </c>
      <c r="AA1666" s="153"/>
      <c r="AB1666" s="153"/>
      <c r="AC1666" s="153"/>
      <c r="AD1666" s="153"/>
      <c r="AH1666" s="147"/>
    </row>
    <row r="1667" spans="1:34" s="146" customFormat="1" x14ac:dyDescent="0.25">
      <c r="A1667" s="196">
        <v>2522</v>
      </c>
      <c r="B1667" s="196" t="s">
        <v>6262</v>
      </c>
      <c r="C1667" s="196" t="s">
        <v>6263</v>
      </c>
      <c r="D1667" s="196" t="s">
        <v>2209</v>
      </c>
      <c r="E1667" s="196" t="s">
        <v>2518</v>
      </c>
      <c r="F1667" s="196">
        <v>2006</v>
      </c>
      <c r="G1667" s="196"/>
      <c r="H1667" s="196" t="s">
        <v>1878</v>
      </c>
      <c r="I1667" s="141" t="s">
        <v>1879</v>
      </c>
      <c r="J1667" s="196"/>
      <c r="K1667" s="196" t="s">
        <v>1881</v>
      </c>
      <c r="L1667" s="240" t="s">
        <v>8394</v>
      </c>
      <c r="M1667" s="196">
        <v>528</v>
      </c>
      <c r="N1667" s="196"/>
      <c r="O1667" s="196" t="s">
        <v>6754</v>
      </c>
      <c r="P1667" s="144">
        <v>428</v>
      </c>
      <c r="Q1667" s="145">
        <f t="shared" si="102"/>
        <v>1.1900000000000002</v>
      </c>
      <c r="R1667" s="145">
        <f t="shared" si="101"/>
        <v>2.39</v>
      </c>
      <c r="S1667" s="203">
        <v>2.39</v>
      </c>
      <c r="T1667" s="151">
        <v>0.13</v>
      </c>
      <c r="U1667" s="151" t="str">
        <f t="shared" si="103"/>
        <v>1,20</v>
      </c>
      <c r="V1667" s="151">
        <f t="shared" si="18"/>
        <v>0.33999999999999997</v>
      </c>
      <c r="W1667" s="151">
        <v>0.55000000000000004</v>
      </c>
      <c r="X1667" s="152">
        <f t="shared" si="104"/>
        <v>0.15539999999999998</v>
      </c>
      <c r="Y1667" s="152">
        <f t="shared" si="105"/>
        <v>2.39</v>
      </c>
      <c r="Z1667" s="152">
        <f t="shared" si="106"/>
        <v>2.3754</v>
      </c>
      <c r="AA1667" s="153"/>
      <c r="AB1667" s="153"/>
      <c r="AC1667" s="153"/>
      <c r="AD1667" s="153"/>
      <c r="AH1667" s="147"/>
    </row>
    <row r="1668" spans="1:34" s="146" customFormat="1" x14ac:dyDescent="0.25">
      <c r="A1668" s="196">
        <v>1321</v>
      </c>
      <c r="B1668" s="196" t="s">
        <v>8395</v>
      </c>
      <c r="C1668" s="196" t="s">
        <v>8396</v>
      </c>
      <c r="D1668" s="196" t="s">
        <v>4693</v>
      </c>
      <c r="E1668" s="196"/>
      <c r="F1668" s="196">
        <v>2004</v>
      </c>
      <c r="G1668" s="196"/>
      <c r="H1668" s="196" t="s">
        <v>1878</v>
      </c>
      <c r="I1668" s="141" t="s">
        <v>1914</v>
      </c>
      <c r="J1668" s="196"/>
      <c r="K1668" s="196" t="s">
        <v>1881</v>
      </c>
      <c r="L1668" s="240" t="s">
        <v>8397</v>
      </c>
      <c r="M1668" s="196">
        <v>272</v>
      </c>
      <c r="N1668" s="196"/>
      <c r="O1668" s="196" t="s">
        <v>6755</v>
      </c>
      <c r="P1668" s="144">
        <v>756</v>
      </c>
      <c r="Q1668" s="145">
        <f t="shared" si="102"/>
        <v>0.88939999999999997</v>
      </c>
      <c r="R1668" s="145">
        <f t="shared" ref="R1668:R1695" si="107">IF(Y1668&gt;Z1668,Y1668,Z1668)</f>
        <v>2.5893999999999999</v>
      </c>
      <c r="S1668" s="203">
        <v>2</v>
      </c>
      <c r="T1668" s="151">
        <v>0.13</v>
      </c>
      <c r="U1668" s="151" t="str">
        <f t="shared" si="103"/>
        <v>1,70</v>
      </c>
      <c r="V1668" s="151">
        <f t="shared" si="18"/>
        <v>0.33999999999999997</v>
      </c>
      <c r="W1668" s="151">
        <v>0.25</v>
      </c>
      <c r="X1668" s="152">
        <f t="shared" si="104"/>
        <v>0.1694</v>
      </c>
      <c r="Y1668" s="152">
        <f t="shared" si="105"/>
        <v>2</v>
      </c>
      <c r="Z1668" s="152">
        <f t="shared" si="106"/>
        <v>2.5893999999999999</v>
      </c>
      <c r="AA1668" s="153"/>
      <c r="AB1668" s="153"/>
      <c r="AC1668" s="153"/>
      <c r="AD1668" s="153"/>
      <c r="AH1668" s="147"/>
    </row>
    <row r="1669" spans="1:34" s="146" customFormat="1" x14ac:dyDescent="0.25">
      <c r="A1669" s="196">
        <v>1324</v>
      </c>
      <c r="B1669" s="196"/>
      <c r="C1669" s="196" t="s">
        <v>8398</v>
      </c>
      <c r="D1669" s="196" t="s">
        <v>8399</v>
      </c>
      <c r="E1669" s="196"/>
      <c r="F1669" s="196">
        <v>2006</v>
      </c>
      <c r="G1669" s="196"/>
      <c r="H1669" s="196" t="s">
        <v>1878</v>
      </c>
      <c r="I1669" s="141" t="s">
        <v>7527</v>
      </c>
      <c r="J1669" s="196"/>
      <c r="K1669" s="196" t="s">
        <v>1881</v>
      </c>
      <c r="L1669" s="240" t="s">
        <v>8400</v>
      </c>
      <c r="M1669" s="196">
        <v>80</v>
      </c>
      <c r="N1669" s="196"/>
      <c r="O1669" s="196" t="s">
        <v>6756</v>
      </c>
      <c r="P1669" s="144">
        <v>139</v>
      </c>
      <c r="Q1669" s="145">
        <f t="shared" si="102"/>
        <v>1.5799999999999998</v>
      </c>
      <c r="R1669" s="145">
        <f t="shared" si="107"/>
        <v>2.78</v>
      </c>
      <c r="S1669" s="203">
        <v>2.78</v>
      </c>
      <c r="T1669" s="151">
        <v>0.13</v>
      </c>
      <c r="U1669" s="151" t="str">
        <f t="shared" si="103"/>
        <v>1,20</v>
      </c>
      <c r="V1669" s="151">
        <f t="shared" si="18"/>
        <v>0.33999999999999997</v>
      </c>
      <c r="W1669" s="151">
        <v>0.9</v>
      </c>
      <c r="X1669" s="152">
        <f t="shared" si="104"/>
        <v>0.17989999999999998</v>
      </c>
      <c r="Y1669" s="152">
        <f t="shared" si="105"/>
        <v>2.78</v>
      </c>
      <c r="Z1669" s="152">
        <f t="shared" si="106"/>
        <v>2.7498999999999998</v>
      </c>
      <c r="AA1669" s="153"/>
      <c r="AB1669" s="153"/>
      <c r="AC1669" s="153"/>
      <c r="AD1669" s="153"/>
      <c r="AH1669" s="147"/>
    </row>
    <row r="1670" spans="1:34" s="146" customFormat="1" x14ac:dyDescent="0.25">
      <c r="A1670" s="196">
        <v>1231</v>
      </c>
      <c r="B1670" s="196" t="s">
        <v>8401</v>
      </c>
      <c r="C1670" s="196" t="s">
        <v>8402</v>
      </c>
      <c r="D1670" s="196" t="s">
        <v>8403</v>
      </c>
      <c r="E1670" s="196" t="s">
        <v>1921</v>
      </c>
      <c r="F1670" s="196">
        <v>2002</v>
      </c>
      <c r="G1670" s="196"/>
      <c r="H1670" s="196" t="s">
        <v>1878</v>
      </c>
      <c r="I1670" s="141" t="s">
        <v>1879</v>
      </c>
      <c r="J1670" s="196"/>
      <c r="K1670" s="196" t="s">
        <v>1881</v>
      </c>
      <c r="L1670" s="240" t="s">
        <v>8404</v>
      </c>
      <c r="M1670" s="196">
        <v>544</v>
      </c>
      <c r="N1670" s="196"/>
      <c r="O1670" s="196" t="s">
        <v>6757</v>
      </c>
      <c r="P1670" s="144">
        <v>489</v>
      </c>
      <c r="Q1670" s="145">
        <f t="shared" si="102"/>
        <v>3.8</v>
      </c>
      <c r="R1670" s="145">
        <f t="shared" si="107"/>
        <v>5</v>
      </c>
      <c r="S1670" s="203">
        <v>5</v>
      </c>
      <c r="T1670" s="151">
        <v>0.13</v>
      </c>
      <c r="U1670" s="151" t="str">
        <f t="shared" si="103"/>
        <v>1,20</v>
      </c>
      <c r="V1670" s="151">
        <f t="shared" si="18"/>
        <v>0.33999999999999997</v>
      </c>
      <c r="W1670" s="151">
        <v>3</v>
      </c>
      <c r="X1670" s="152">
        <f t="shared" si="104"/>
        <v>0.32689999999999997</v>
      </c>
      <c r="Y1670" s="152">
        <f t="shared" si="105"/>
        <v>5</v>
      </c>
      <c r="Z1670" s="152">
        <f t="shared" si="106"/>
        <v>4.9969000000000001</v>
      </c>
      <c r="AA1670" s="153"/>
      <c r="AB1670" s="153"/>
      <c r="AC1670" s="153"/>
      <c r="AD1670" s="153"/>
      <c r="AH1670" s="147"/>
    </row>
    <row r="1671" spans="1:34" s="146" customFormat="1" x14ac:dyDescent="0.25">
      <c r="A1671" s="196">
        <v>1325</v>
      </c>
      <c r="B1671" s="196" t="s">
        <v>8405</v>
      </c>
      <c r="C1671" s="196" t="s">
        <v>8406</v>
      </c>
      <c r="D1671" s="196" t="s">
        <v>2644</v>
      </c>
      <c r="E1671" s="196"/>
      <c r="F1671" s="196">
        <v>1989</v>
      </c>
      <c r="G1671" s="196"/>
      <c r="H1671" s="196" t="s">
        <v>1878</v>
      </c>
      <c r="I1671" s="141" t="s">
        <v>1914</v>
      </c>
      <c r="J1671" s="196"/>
      <c r="K1671" s="196" t="s">
        <v>1881</v>
      </c>
      <c r="L1671" s="240" t="s">
        <v>8407</v>
      </c>
      <c r="M1671" s="196">
        <v>176</v>
      </c>
      <c r="N1671" s="196"/>
      <c r="O1671" s="196" t="s">
        <v>6758</v>
      </c>
      <c r="P1671" s="144">
        <v>157</v>
      </c>
      <c r="Q1671" s="145">
        <f t="shared" si="102"/>
        <v>0.85439999999999983</v>
      </c>
      <c r="R1671" s="145">
        <f t="shared" si="107"/>
        <v>2.0543999999999998</v>
      </c>
      <c r="S1671" s="203">
        <v>1.65</v>
      </c>
      <c r="T1671" s="151">
        <v>0.13</v>
      </c>
      <c r="U1671" s="151" t="str">
        <f t="shared" si="103"/>
        <v>1,20</v>
      </c>
      <c r="V1671" s="151">
        <f t="shared" si="18"/>
        <v>0.33999999999999997</v>
      </c>
      <c r="W1671" s="151">
        <v>0.25</v>
      </c>
      <c r="X1671" s="152">
        <f t="shared" si="104"/>
        <v>0.13439999999999999</v>
      </c>
      <c r="Y1671" s="152">
        <f t="shared" si="105"/>
        <v>1.65</v>
      </c>
      <c r="Z1671" s="152">
        <f t="shared" si="106"/>
        <v>2.0543999999999998</v>
      </c>
      <c r="AA1671" s="153"/>
      <c r="AB1671" s="153"/>
      <c r="AC1671" s="153"/>
      <c r="AD1671" s="153"/>
      <c r="AH1671" s="147"/>
    </row>
    <row r="1672" spans="1:34" s="146" customFormat="1" x14ac:dyDescent="0.25">
      <c r="A1672" s="196">
        <v>721</v>
      </c>
      <c r="B1672" s="196" t="s">
        <v>8408</v>
      </c>
      <c r="C1672" s="196" t="s">
        <v>8409</v>
      </c>
      <c r="D1672" s="196" t="s">
        <v>2036</v>
      </c>
      <c r="E1672" s="196"/>
      <c r="F1672" s="196">
        <v>2002</v>
      </c>
      <c r="G1672" s="196"/>
      <c r="H1672" s="196" t="s">
        <v>4297</v>
      </c>
      <c r="I1672" s="141" t="s">
        <v>1929</v>
      </c>
      <c r="J1672" s="196"/>
      <c r="K1672" s="196" t="s">
        <v>1881</v>
      </c>
      <c r="L1672" s="240" t="s">
        <v>8410</v>
      </c>
      <c r="M1672" s="196">
        <v>262</v>
      </c>
      <c r="N1672" s="196"/>
      <c r="O1672" s="196" t="s">
        <v>6759</v>
      </c>
      <c r="P1672" s="144">
        <v>693</v>
      </c>
      <c r="Q1672" s="145">
        <f t="shared" si="102"/>
        <v>1.3173999999999999</v>
      </c>
      <c r="R1672" s="145">
        <f t="shared" si="107"/>
        <v>3.0173999999999999</v>
      </c>
      <c r="S1672" s="203">
        <v>3</v>
      </c>
      <c r="T1672" s="151">
        <v>0.13</v>
      </c>
      <c r="U1672" s="151" t="str">
        <f t="shared" si="103"/>
        <v>1,70</v>
      </c>
      <c r="V1672" s="151">
        <f t="shared" si="18"/>
        <v>0.33999999999999997</v>
      </c>
      <c r="W1672" s="151">
        <v>0.65</v>
      </c>
      <c r="X1672" s="152">
        <f t="shared" si="104"/>
        <v>0.19739999999999999</v>
      </c>
      <c r="Y1672" s="152">
        <f t="shared" si="105"/>
        <v>3</v>
      </c>
      <c r="Z1672" s="152">
        <f t="shared" si="106"/>
        <v>3.0173999999999999</v>
      </c>
      <c r="AA1672" s="153"/>
      <c r="AB1672" s="153"/>
      <c r="AC1672" s="153"/>
      <c r="AD1672" s="153"/>
      <c r="AH1672" s="147"/>
    </row>
    <row r="1673" spans="1:34" s="146" customFormat="1" x14ac:dyDescent="0.25">
      <c r="A1673" s="196">
        <v>796</v>
      </c>
      <c r="B1673" s="196" t="s">
        <v>7334</v>
      </c>
      <c r="C1673" s="196" t="s">
        <v>8414</v>
      </c>
      <c r="D1673" s="196" t="s">
        <v>2300</v>
      </c>
      <c r="E1673" s="196" t="s">
        <v>2335</v>
      </c>
      <c r="F1673" s="196">
        <v>2001</v>
      </c>
      <c r="G1673" s="196"/>
      <c r="H1673" s="196" t="s">
        <v>1878</v>
      </c>
      <c r="I1673" s="141" t="s">
        <v>1879</v>
      </c>
      <c r="J1673" s="196"/>
      <c r="K1673" s="196" t="s">
        <v>1881</v>
      </c>
      <c r="L1673" s="240" t="s">
        <v>8415</v>
      </c>
      <c r="M1673" s="196">
        <v>192</v>
      </c>
      <c r="N1673" s="196"/>
      <c r="O1673" s="196" t="s">
        <v>6761</v>
      </c>
      <c r="P1673" s="144">
        <v>184</v>
      </c>
      <c r="Q1673" s="145">
        <f t="shared" si="102"/>
        <v>1.0684000000000002</v>
      </c>
      <c r="R1673" s="145">
        <f t="shared" si="107"/>
        <v>2.2684000000000002</v>
      </c>
      <c r="S1673" s="203">
        <v>2.2599999999999998</v>
      </c>
      <c r="T1673" s="151">
        <v>0.13</v>
      </c>
      <c r="U1673" s="151" t="str">
        <f t="shared" si="103"/>
        <v>1,20</v>
      </c>
      <c r="V1673" s="151">
        <f t="shared" si="18"/>
        <v>0.33999999999999997</v>
      </c>
      <c r="W1673" s="151">
        <v>0.45</v>
      </c>
      <c r="X1673" s="152">
        <f t="shared" si="104"/>
        <v>0.1484</v>
      </c>
      <c r="Y1673" s="152">
        <f t="shared" si="105"/>
        <v>2.2599999999999998</v>
      </c>
      <c r="Z1673" s="152">
        <f t="shared" si="106"/>
        <v>2.2684000000000002</v>
      </c>
      <c r="AA1673" s="153"/>
      <c r="AB1673" s="153"/>
      <c r="AC1673" s="153"/>
      <c r="AD1673" s="153"/>
      <c r="AH1673" s="147"/>
    </row>
    <row r="1674" spans="1:34" s="146" customFormat="1" x14ac:dyDescent="0.25">
      <c r="A1674" s="196">
        <v>760</v>
      </c>
      <c r="B1674" s="196"/>
      <c r="C1674" s="196" t="s">
        <v>8416</v>
      </c>
      <c r="D1674" s="196" t="s">
        <v>8417</v>
      </c>
      <c r="E1674" s="196">
        <v>8</v>
      </c>
      <c r="F1674" s="196">
        <v>2006</v>
      </c>
      <c r="G1674" s="196"/>
      <c r="H1674" s="196" t="s">
        <v>1878</v>
      </c>
      <c r="I1674" s="141" t="s">
        <v>1879</v>
      </c>
      <c r="J1674" s="196"/>
      <c r="K1674" s="196" t="s">
        <v>1881</v>
      </c>
      <c r="L1674" s="240" t="s">
        <v>8418</v>
      </c>
      <c r="M1674" s="196">
        <v>472</v>
      </c>
      <c r="N1674" s="196"/>
      <c r="O1674" s="196" t="s">
        <v>6762</v>
      </c>
      <c r="P1674" s="144">
        <v>829</v>
      </c>
      <c r="Q1674" s="145">
        <f t="shared" si="102"/>
        <v>11.3</v>
      </c>
      <c r="R1674" s="145">
        <f t="shared" si="107"/>
        <v>13</v>
      </c>
      <c r="S1674" s="203">
        <v>13</v>
      </c>
      <c r="T1674" s="151">
        <v>0.13</v>
      </c>
      <c r="U1674" s="151" t="str">
        <f t="shared" si="103"/>
        <v>1,70</v>
      </c>
      <c r="V1674" s="151">
        <f t="shared" ref="V1674:V1705" si="108">0.08+0.09+0.17</f>
        <v>0.33999999999999997</v>
      </c>
      <c r="W1674" s="151">
        <v>9.9</v>
      </c>
      <c r="X1674" s="152">
        <f t="shared" si="104"/>
        <v>0.84489999999999998</v>
      </c>
      <c r="Y1674" s="152">
        <f t="shared" si="105"/>
        <v>13</v>
      </c>
      <c r="Z1674" s="152">
        <f t="shared" si="106"/>
        <v>12.914899999999999</v>
      </c>
      <c r="AA1674" s="153"/>
      <c r="AB1674" s="153"/>
      <c r="AC1674" s="153"/>
      <c r="AD1674" s="153"/>
      <c r="AH1674" s="147"/>
    </row>
    <row r="1675" spans="1:34" s="146" customFormat="1" x14ac:dyDescent="0.25">
      <c r="A1675" s="196">
        <v>2522</v>
      </c>
      <c r="B1675" s="196" t="s">
        <v>2021</v>
      </c>
      <c r="C1675" s="196" t="s">
        <v>8419</v>
      </c>
      <c r="D1675" s="196" t="s">
        <v>5005</v>
      </c>
      <c r="E1675" s="196"/>
      <c r="F1675" s="196">
        <v>2002</v>
      </c>
      <c r="G1675" s="196"/>
      <c r="H1675" s="196" t="s">
        <v>1878</v>
      </c>
      <c r="I1675" s="141" t="s">
        <v>1879</v>
      </c>
      <c r="J1675" s="196"/>
      <c r="K1675" s="196" t="s">
        <v>1881</v>
      </c>
      <c r="L1675" s="240"/>
      <c r="M1675" s="196">
        <v>544</v>
      </c>
      <c r="N1675" s="196"/>
      <c r="O1675" s="196" t="s">
        <v>6763</v>
      </c>
      <c r="P1675" s="144">
        <v>388</v>
      </c>
      <c r="Q1675" s="145">
        <f t="shared" si="102"/>
        <v>0.85439999999999983</v>
      </c>
      <c r="R1675" s="145">
        <f t="shared" si="107"/>
        <v>2.0543999999999998</v>
      </c>
      <c r="S1675" s="203">
        <v>1.82</v>
      </c>
      <c r="T1675" s="151">
        <v>0.13</v>
      </c>
      <c r="U1675" s="151" t="str">
        <f t="shared" si="103"/>
        <v>1,20</v>
      </c>
      <c r="V1675" s="151">
        <f t="shared" si="108"/>
        <v>0.33999999999999997</v>
      </c>
      <c r="W1675" s="151">
        <v>0.25</v>
      </c>
      <c r="X1675" s="152">
        <f t="shared" si="104"/>
        <v>0.13439999999999999</v>
      </c>
      <c r="Y1675" s="152">
        <f t="shared" si="105"/>
        <v>1.82</v>
      </c>
      <c r="Z1675" s="152">
        <f t="shared" si="106"/>
        <v>2.0543999999999998</v>
      </c>
      <c r="AA1675" s="153"/>
      <c r="AB1675" s="153"/>
      <c r="AC1675" s="153"/>
      <c r="AD1675" s="153"/>
      <c r="AH1675" s="147"/>
    </row>
    <row r="1676" spans="1:34" s="146" customFormat="1" x14ac:dyDescent="0.25">
      <c r="A1676" s="196">
        <v>2668</v>
      </c>
      <c r="B1676" s="196" t="s">
        <v>8420</v>
      </c>
      <c r="C1676" s="196" t="s">
        <v>8421</v>
      </c>
      <c r="D1676" s="196" t="s">
        <v>1912</v>
      </c>
      <c r="E1676" s="196" t="s">
        <v>1921</v>
      </c>
      <c r="F1676" s="196">
        <v>2001</v>
      </c>
      <c r="G1676" s="196"/>
      <c r="H1676" s="196" t="s">
        <v>1878</v>
      </c>
      <c r="I1676" s="141" t="s">
        <v>1914</v>
      </c>
      <c r="J1676" s="196"/>
      <c r="K1676" s="196" t="s">
        <v>1881</v>
      </c>
      <c r="L1676" s="240" t="s">
        <v>8422</v>
      </c>
      <c r="M1676" s="196">
        <v>352</v>
      </c>
      <c r="N1676" s="196"/>
      <c r="O1676" s="196" t="s">
        <v>6764</v>
      </c>
      <c r="P1676" s="144">
        <v>324</v>
      </c>
      <c r="Q1676" s="145">
        <f t="shared" si="102"/>
        <v>0.85439999999999983</v>
      </c>
      <c r="R1676" s="145">
        <f t="shared" si="107"/>
        <v>2.0543999999999998</v>
      </c>
      <c r="S1676" s="203">
        <v>1.25</v>
      </c>
      <c r="T1676" s="151">
        <v>0.13</v>
      </c>
      <c r="U1676" s="151" t="str">
        <f t="shared" si="103"/>
        <v>1,20</v>
      </c>
      <c r="V1676" s="151">
        <f t="shared" si="108"/>
        <v>0.33999999999999997</v>
      </c>
      <c r="W1676" s="151">
        <v>0.25</v>
      </c>
      <c r="X1676" s="152">
        <f t="shared" si="104"/>
        <v>0.13439999999999999</v>
      </c>
      <c r="Y1676" s="152">
        <f t="shared" si="105"/>
        <v>1.25</v>
      </c>
      <c r="Z1676" s="152">
        <f t="shared" si="106"/>
        <v>2.0543999999999998</v>
      </c>
      <c r="AA1676" s="153"/>
      <c r="AB1676" s="153"/>
      <c r="AC1676" s="153"/>
      <c r="AD1676" s="153"/>
      <c r="AH1676" s="147"/>
    </row>
    <row r="1677" spans="1:34" s="146" customFormat="1" x14ac:dyDescent="0.25">
      <c r="A1677" s="196">
        <v>765</v>
      </c>
      <c r="B1677" s="196" t="s">
        <v>8423</v>
      </c>
      <c r="C1677" s="196" t="s">
        <v>8424</v>
      </c>
      <c r="D1677" s="196" t="s">
        <v>8425</v>
      </c>
      <c r="E1677" s="196" t="s">
        <v>4622</v>
      </c>
      <c r="F1677" s="196">
        <v>2005</v>
      </c>
      <c r="G1677" s="196"/>
      <c r="H1677" s="196" t="s">
        <v>1878</v>
      </c>
      <c r="I1677" s="141" t="s">
        <v>1914</v>
      </c>
      <c r="J1677" s="196"/>
      <c r="K1677" s="196" t="s">
        <v>1881</v>
      </c>
      <c r="L1677" s="240" t="s">
        <v>8426</v>
      </c>
      <c r="M1677" s="196">
        <v>224</v>
      </c>
      <c r="N1677" s="196"/>
      <c r="O1677" s="196" t="s">
        <v>6765</v>
      </c>
      <c r="P1677" s="144">
        <v>291</v>
      </c>
      <c r="Q1677" s="145">
        <f t="shared" si="102"/>
        <v>1.0148999999999997</v>
      </c>
      <c r="R1677" s="145">
        <f t="shared" si="107"/>
        <v>2.2148999999999996</v>
      </c>
      <c r="S1677" s="203">
        <v>2.2000000000000002</v>
      </c>
      <c r="T1677" s="151">
        <v>0.13</v>
      </c>
      <c r="U1677" s="151" t="str">
        <f t="shared" si="103"/>
        <v>1,20</v>
      </c>
      <c r="V1677" s="151">
        <f t="shared" si="108"/>
        <v>0.33999999999999997</v>
      </c>
      <c r="W1677" s="151">
        <v>0.4</v>
      </c>
      <c r="X1677" s="152">
        <f t="shared" si="104"/>
        <v>0.1449</v>
      </c>
      <c r="Y1677" s="152">
        <f t="shared" si="105"/>
        <v>2.2000000000000002</v>
      </c>
      <c r="Z1677" s="152">
        <f t="shared" si="106"/>
        <v>2.2148999999999996</v>
      </c>
      <c r="AA1677" s="153"/>
      <c r="AB1677" s="153"/>
      <c r="AC1677" s="153"/>
      <c r="AD1677" s="153"/>
      <c r="AH1677" s="147"/>
    </row>
    <row r="1678" spans="1:34" s="146" customFormat="1" x14ac:dyDescent="0.25">
      <c r="A1678" s="196">
        <v>689</v>
      </c>
      <c r="B1678" s="196" t="s">
        <v>8427</v>
      </c>
      <c r="C1678" s="196" t="s">
        <v>8428</v>
      </c>
      <c r="D1678" s="196" t="s">
        <v>3077</v>
      </c>
      <c r="E1678" s="196"/>
      <c r="F1678" s="196">
        <v>1999</v>
      </c>
      <c r="G1678" s="196"/>
      <c r="H1678" s="196" t="s">
        <v>1878</v>
      </c>
      <c r="I1678" s="141" t="s">
        <v>1914</v>
      </c>
      <c r="J1678" s="196"/>
      <c r="K1678" s="196" t="s">
        <v>1881</v>
      </c>
      <c r="L1678" s="240" t="s">
        <v>8429</v>
      </c>
      <c r="M1678" s="196">
        <v>256</v>
      </c>
      <c r="N1678" s="196"/>
      <c r="O1678" s="196" t="s">
        <v>6766</v>
      </c>
      <c r="P1678" s="144">
        <v>237</v>
      </c>
      <c r="Q1678" s="145">
        <f t="shared" si="102"/>
        <v>0.85439999999999983</v>
      </c>
      <c r="R1678" s="145">
        <f t="shared" si="107"/>
        <v>2.0543999999999998</v>
      </c>
      <c r="S1678" s="203">
        <v>1.65</v>
      </c>
      <c r="T1678" s="151">
        <v>0.13</v>
      </c>
      <c r="U1678" s="151" t="str">
        <f t="shared" si="103"/>
        <v>1,20</v>
      </c>
      <c r="V1678" s="151">
        <f t="shared" si="108"/>
        <v>0.33999999999999997</v>
      </c>
      <c r="W1678" s="151">
        <v>0.25</v>
      </c>
      <c r="X1678" s="152">
        <f t="shared" si="104"/>
        <v>0.13439999999999999</v>
      </c>
      <c r="Y1678" s="152">
        <f t="shared" si="105"/>
        <v>1.65</v>
      </c>
      <c r="Z1678" s="152">
        <f t="shared" si="106"/>
        <v>2.0543999999999998</v>
      </c>
      <c r="AA1678" s="153"/>
      <c r="AB1678" s="153"/>
      <c r="AC1678" s="153"/>
      <c r="AD1678" s="153"/>
      <c r="AH1678" s="147"/>
    </row>
    <row r="1679" spans="1:34" s="146" customFormat="1" x14ac:dyDescent="0.25">
      <c r="A1679" s="196">
        <v>734</v>
      </c>
      <c r="B1679" s="196" t="s">
        <v>8431</v>
      </c>
      <c r="C1679" s="196" t="s">
        <v>8432</v>
      </c>
      <c r="D1679" s="196" t="s">
        <v>2209</v>
      </c>
      <c r="E1679" s="196" t="s">
        <v>2922</v>
      </c>
      <c r="F1679" s="196">
        <v>1990</v>
      </c>
      <c r="G1679" s="196"/>
      <c r="H1679" s="196" t="s">
        <v>1878</v>
      </c>
      <c r="I1679" s="141" t="s">
        <v>7527</v>
      </c>
      <c r="J1679" s="196"/>
      <c r="K1679" s="196" t="s">
        <v>1881</v>
      </c>
      <c r="L1679" s="240" t="s">
        <v>8433</v>
      </c>
      <c r="M1679" s="196">
        <v>720</v>
      </c>
      <c r="N1679" s="196"/>
      <c r="O1679" s="196" t="s">
        <v>6768</v>
      </c>
      <c r="P1679" s="144">
        <v>444</v>
      </c>
      <c r="Q1679" s="145">
        <f t="shared" si="102"/>
        <v>0.85439999999999983</v>
      </c>
      <c r="R1679" s="145">
        <f t="shared" si="107"/>
        <v>2.0543999999999998</v>
      </c>
      <c r="S1679" s="203">
        <v>1.75</v>
      </c>
      <c r="T1679" s="151">
        <v>0.13</v>
      </c>
      <c r="U1679" s="151" t="str">
        <f t="shared" si="103"/>
        <v>1,20</v>
      </c>
      <c r="V1679" s="151">
        <f t="shared" si="108"/>
        <v>0.33999999999999997</v>
      </c>
      <c r="W1679" s="151">
        <v>0.25</v>
      </c>
      <c r="X1679" s="152">
        <f t="shared" si="104"/>
        <v>0.13439999999999999</v>
      </c>
      <c r="Y1679" s="152">
        <f t="shared" si="105"/>
        <v>1.75</v>
      </c>
      <c r="Z1679" s="152">
        <f t="shared" si="106"/>
        <v>2.0543999999999998</v>
      </c>
      <c r="AA1679" s="153"/>
      <c r="AB1679" s="153"/>
      <c r="AC1679" s="153"/>
      <c r="AD1679" s="153"/>
      <c r="AH1679" s="147"/>
    </row>
    <row r="1680" spans="1:34" s="146" customFormat="1" x14ac:dyDescent="0.25">
      <c r="A1680" s="196">
        <v>1875</v>
      </c>
      <c r="B1680" s="196"/>
      <c r="C1680" s="196" t="s">
        <v>8434</v>
      </c>
      <c r="D1680" s="196" t="s">
        <v>8435</v>
      </c>
      <c r="E1680" s="196"/>
      <c r="F1680" s="196">
        <v>2013</v>
      </c>
      <c r="G1680" s="196"/>
      <c r="H1680" s="196" t="s">
        <v>1394</v>
      </c>
      <c r="I1680" s="141" t="s">
        <v>1879</v>
      </c>
      <c r="J1680" s="196"/>
      <c r="K1680" s="196" t="s">
        <v>1881</v>
      </c>
      <c r="L1680" s="240" t="s">
        <v>8436</v>
      </c>
      <c r="M1680" s="196"/>
      <c r="N1680" s="196"/>
      <c r="O1680" s="196" t="s">
        <v>6769</v>
      </c>
      <c r="P1680" s="144">
        <v>250</v>
      </c>
      <c r="Q1680" s="145">
        <f t="shared" si="102"/>
        <v>6.25</v>
      </c>
      <c r="R1680" s="145">
        <f t="shared" si="107"/>
        <v>7.45</v>
      </c>
      <c r="S1680" s="203">
        <v>7.45</v>
      </c>
      <c r="T1680" s="151">
        <v>0.13</v>
      </c>
      <c r="U1680" s="151" t="str">
        <f t="shared" si="103"/>
        <v>1,20</v>
      </c>
      <c r="V1680" s="151">
        <f t="shared" si="108"/>
        <v>0.33999999999999997</v>
      </c>
      <c r="W1680" s="151">
        <v>5.25</v>
      </c>
      <c r="X1680" s="152">
        <f t="shared" si="104"/>
        <v>0.4844</v>
      </c>
      <c r="Y1680" s="152">
        <f t="shared" si="105"/>
        <v>7.45</v>
      </c>
      <c r="Z1680" s="152">
        <f t="shared" si="106"/>
        <v>7.4043999999999999</v>
      </c>
      <c r="AA1680" s="153"/>
      <c r="AB1680" s="153"/>
      <c r="AC1680" s="153"/>
      <c r="AD1680" s="153"/>
      <c r="AH1680" s="147"/>
    </row>
    <row r="1681" spans="1:34" s="146" customFormat="1" x14ac:dyDescent="0.25">
      <c r="A1681" s="196">
        <v>601</v>
      </c>
      <c r="B1681" s="196" t="s">
        <v>8441</v>
      </c>
      <c r="C1681" s="196" t="s">
        <v>8442</v>
      </c>
      <c r="D1681" s="196" t="s">
        <v>8443</v>
      </c>
      <c r="E1681" s="196"/>
      <c r="F1681" s="196">
        <v>2014</v>
      </c>
      <c r="G1681" s="196"/>
      <c r="H1681" s="196" t="s">
        <v>1878</v>
      </c>
      <c r="I1681" s="141" t="s">
        <v>1929</v>
      </c>
      <c r="J1681" s="196"/>
      <c r="K1681" s="196" t="s">
        <v>2025</v>
      </c>
      <c r="L1681" s="240" t="s">
        <v>8444</v>
      </c>
      <c r="M1681" s="196">
        <v>120</v>
      </c>
      <c r="N1681" s="196"/>
      <c r="O1681" s="196" t="s">
        <v>6771</v>
      </c>
      <c r="P1681" s="144">
        <v>126</v>
      </c>
      <c r="Q1681" s="145">
        <f t="shared" si="102"/>
        <v>1.6462000000000001</v>
      </c>
      <c r="R1681" s="145">
        <f t="shared" si="107"/>
        <v>2.8462000000000001</v>
      </c>
      <c r="S1681" s="203"/>
      <c r="T1681" s="151">
        <v>0.13</v>
      </c>
      <c r="U1681" s="151" t="str">
        <f t="shared" si="103"/>
        <v>1,20</v>
      </c>
      <c r="V1681" s="151">
        <f t="shared" si="108"/>
        <v>0.33999999999999997</v>
      </c>
      <c r="W1681" s="151">
        <v>0.99</v>
      </c>
      <c r="X1681" s="152">
        <f t="shared" si="104"/>
        <v>0.1862</v>
      </c>
      <c r="Y1681" s="152">
        <f t="shared" si="105"/>
        <v>0</v>
      </c>
      <c r="Z1681" s="152">
        <f t="shared" si="106"/>
        <v>2.8462000000000001</v>
      </c>
      <c r="AA1681" s="153"/>
      <c r="AB1681" s="153"/>
      <c r="AC1681" s="153"/>
      <c r="AD1681" s="153"/>
      <c r="AH1681" s="147"/>
    </row>
    <row r="1682" spans="1:34" s="146" customFormat="1" x14ac:dyDescent="0.25">
      <c r="A1682" s="196">
        <v>2571</v>
      </c>
      <c r="B1682" s="196" t="s">
        <v>8445</v>
      </c>
      <c r="C1682" s="196" t="s">
        <v>8446</v>
      </c>
      <c r="D1682" s="196" t="s">
        <v>1912</v>
      </c>
      <c r="E1682" s="196" t="s">
        <v>1913</v>
      </c>
      <c r="F1682" s="196">
        <v>1978</v>
      </c>
      <c r="G1682" s="196"/>
      <c r="H1682" s="196" t="s">
        <v>1878</v>
      </c>
      <c r="I1682" s="141" t="s">
        <v>1879</v>
      </c>
      <c r="J1682" s="196"/>
      <c r="K1682" s="196" t="s">
        <v>1881</v>
      </c>
      <c r="L1682" s="240" t="s">
        <v>8447</v>
      </c>
      <c r="M1682" s="196">
        <v>160</v>
      </c>
      <c r="N1682" s="196"/>
      <c r="O1682" s="196" t="s">
        <v>6772</v>
      </c>
      <c r="P1682" s="144">
        <v>10</v>
      </c>
      <c r="Q1682" s="145">
        <f t="shared" si="102"/>
        <v>1.7103999999999997</v>
      </c>
      <c r="R1682" s="145">
        <f t="shared" si="107"/>
        <v>2.9103999999999997</v>
      </c>
      <c r="S1682" s="203">
        <v>2.9</v>
      </c>
      <c r="T1682" s="151">
        <v>0.13</v>
      </c>
      <c r="U1682" s="151" t="str">
        <f t="shared" si="103"/>
        <v>1,20</v>
      </c>
      <c r="V1682" s="151">
        <f t="shared" si="108"/>
        <v>0.33999999999999997</v>
      </c>
      <c r="W1682" s="151">
        <v>1.05</v>
      </c>
      <c r="X1682" s="152">
        <f t="shared" si="104"/>
        <v>0.19039999999999999</v>
      </c>
      <c r="Y1682" s="152">
        <f t="shared" si="105"/>
        <v>2.9</v>
      </c>
      <c r="Z1682" s="152">
        <f t="shared" si="106"/>
        <v>2.9103999999999997</v>
      </c>
      <c r="AA1682" s="153"/>
      <c r="AB1682" s="153"/>
      <c r="AC1682" s="153"/>
      <c r="AD1682" s="153"/>
      <c r="AH1682" s="147"/>
    </row>
    <row r="1683" spans="1:34" s="146" customFormat="1" x14ac:dyDescent="0.25">
      <c r="A1683" s="196">
        <v>2522</v>
      </c>
      <c r="B1683" s="196" t="s">
        <v>8448</v>
      </c>
      <c r="C1683" s="196" t="s">
        <v>8449</v>
      </c>
      <c r="D1683" s="196" t="s">
        <v>2054</v>
      </c>
      <c r="E1683" s="196"/>
      <c r="F1683" s="196">
        <v>2005</v>
      </c>
      <c r="G1683" s="196"/>
      <c r="H1683" s="196" t="s">
        <v>1878</v>
      </c>
      <c r="I1683" s="141" t="s">
        <v>1879</v>
      </c>
      <c r="J1683" s="196"/>
      <c r="K1683" s="196" t="s">
        <v>1881</v>
      </c>
      <c r="L1683" s="240" t="s">
        <v>8450</v>
      </c>
      <c r="M1683" s="196">
        <v>368</v>
      </c>
      <c r="N1683" s="196"/>
      <c r="O1683" s="196" t="s">
        <v>6773</v>
      </c>
      <c r="P1683" s="144">
        <v>360</v>
      </c>
      <c r="Q1683" s="145">
        <f t="shared" si="102"/>
        <v>1.3</v>
      </c>
      <c r="R1683" s="145">
        <f t="shared" si="107"/>
        <v>2.5</v>
      </c>
      <c r="S1683" s="203">
        <v>2.5</v>
      </c>
      <c r="T1683" s="151">
        <v>0.13</v>
      </c>
      <c r="U1683" s="151" t="str">
        <f t="shared" si="103"/>
        <v>1,20</v>
      </c>
      <c r="V1683" s="151">
        <f t="shared" si="108"/>
        <v>0.33999999999999997</v>
      </c>
      <c r="W1683" s="151">
        <v>0.65</v>
      </c>
      <c r="X1683" s="152">
        <f t="shared" si="104"/>
        <v>0.16239999999999999</v>
      </c>
      <c r="Y1683" s="152">
        <f t="shared" si="105"/>
        <v>2.5</v>
      </c>
      <c r="Z1683" s="152">
        <f t="shared" si="106"/>
        <v>2.4823999999999997</v>
      </c>
      <c r="AA1683" s="153"/>
      <c r="AB1683" s="153"/>
      <c r="AC1683" s="153"/>
      <c r="AD1683" s="153"/>
      <c r="AH1683" s="147"/>
    </row>
    <row r="1684" spans="1:34" s="146" customFormat="1" x14ac:dyDescent="0.25">
      <c r="A1684" s="196">
        <v>796</v>
      </c>
      <c r="B1684" s="196" t="s">
        <v>8451</v>
      </c>
      <c r="C1684" s="196" t="s">
        <v>8452</v>
      </c>
      <c r="D1684" s="196" t="s">
        <v>2300</v>
      </c>
      <c r="E1684" s="196" t="s">
        <v>1921</v>
      </c>
      <c r="F1684" s="196">
        <v>2010</v>
      </c>
      <c r="G1684" s="196"/>
      <c r="H1684" s="196" t="s">
        <v>1878</v>
      </c>
      <c r="I1684" s="141" t="s">
        <v>1879</v>
      </c>
      <c r="J1684" s="196"/>
      <c r="K1684" s="196" t="s">
        <v>1881</v>
      </c>
      <c r="L1684" s="240" t="s">
        <v>8453</v>
      </c>
      <c r="M1684" s="196">
        <v>352</v>
      </c>
      <c r="N1684" s="196"/>
      <c r="O1684" s="196" t="s">
        <v>6774</v>
      </c>
      <c r="P1684" s="144">
        <v>291</v>
      </c>
      <c r="Q1684" s="145">
        <f t="shared" si="102"/>
        <v>0.85439999999999983</v>
      </c>
      <c r="R1684" s="145">
        <f t="shared" si="107"/>
        <v>2.0543999999999998</v>
      </c>
      <c r="S1684" s="203">
        <v>1.55</v>
      </c>
      <c r="T1684" s="151">
        <v>0.13</v>
      </c>
      <c r="U1684" s="151" t="str">
        <f t="shared" si="103"/>
        <v>1,20</v>
      </c>
      <c r="V1684" s="151">
        <f t="shared" si="108"/>
        <v>0.33999999999999997</v>
      </c>
      <c r="W1684" s="151">
        <v>0.25</v>
      </c>
      <c r="X1684" s="152">
        <f t="shared" si="104"/>
        <v>0.13439999999999999</v>
      </c>
      <c r="Y1684" s="152">
        <f t="shared" si="105"/>
        <v>1.55</v>
      </c>
      <c r="Z1684" s="152">
        <f t="shared" si="106"/>
        <v>2.0543999999999998</v>
      </c>
      <c r="AA1684" s="153"/>
      <c r="AB1684" s="153"/>
      <c r="AC1684" s="153"/>
      <c r="AD1684" s="153"/>
      <c r="AH1684" s="147"/>
    </row>
    <row r="1685" spans="1:34" s="146" customFormat="1" x14ac:dyDescent="0.25">
      <c r="A1685" s="196">
        <v>692</v>
      </c>
      <c r="B1685" s="196" t="s">
        <v>8454</v>
      </c>
      <c r="C1685" s="196" t="s">
        <v>8455</v>
      </c>
      <c r="D1685" s="196" t="s">
        <v>2257</v>
      </c>
      <c r="E1685" s="196"/>
      <c r="F1685" s="196">
        <v>1996</v>
      </c>
      <c r="G1685" s="196"/>
      <c r="H1685" s="196" t="s">
        <v>1878</v>
      </c>
      <c r="I1685" s="141" t="s">
        <v>1879</v>
      </c>
      <c r="J1685" s="196"/>
      <c r="K1685" s="196" t="s">
        <v>1881</v>
      </c>
      <c r="L1685" s="240" t="s">
        <v>8456</v>
      </c>
      <c r="M1685" s="196">
        <v>416</v>
      </c>
      <c r="N1685" s="196"/>
      <c r="O1685" s="196" t="s">
        <v>6775</v>
      </c>
      <c r="P1685" s="144">
        <v>271</v>
      </c>
      <c r="Q1685" s="145">
        <f t="shared" si="102"/>
        <v>0.85439999999999983</v>
      </c>
      <c r="R1685" s="145">
        <f t="shared" si="107"/>
        <v>2.0543999999999998</v>
      </c>
      <c r="S1685" s="203">
        <v>1.65</v>
      </c>
      <c r="T1685" s="151">
        <v>0.13</v>
      </c>
      <c r="U1685" s="151" t="str">
        <f t="shared" si="103"/>
        <v>1,20</v>
      </c>
      <c r="V1685" s="151">
        <f t="shared" si="108"/>
        <v>0.33999999999999997</v>
      </c>
      <c r="W1685" s="151">
        <v>0.25</v>
      </c>
      <c r="X1685" s="152">
        <f t="shared" si="104"/>
        <v>0.13439999999999999</v>
      </c>
      <c r="Y1685" s="152">
        <f t="shared" si="105"/>
        <v>1.65</v>
      </c>
      <c r="Z1685" s="152">
        <f t="shared" si="106"/>
        <v>2.0543999999999998</v>
      </c>
      <c r="AA1685" s="153"/>
      <c r="AB1685" s="153"/>
      <c r="AC1685" s="153"/>
      <c r="AD1685" s="153"/>
      <c r="AH1685" s="147"/>
    </row>
    <row r="1686" spans="1:34" s="146" customFormat="1" x14ac:dyDescent="0.25">
      <c r="A1686" s="196">
        <v>481</v>
      </c>
      <c r="B1686" s="196" t="s">
        <v>8457</v>
      </c>
      <c r="C1686" s="196" t="s">
        <v>8458</v>
      </c>
      <c r="D1686" s="196" t="s">
        <v>2309</v>
      </c>
      <c r="E1686" s="196" t="s">
        <v>1913</v>
      </c>
      <c r="F1686" s="196">
        <v>2011</v>
      </c>
      <c r="G1686" s="196"/>
      <c r="H1686" s="196" t="s">
        <v>1878</v>
      </c>
      <c r="I1686" s="141" t="s">
        <v>1879</v>
      </c>
      <c r="J1686" s="196"/>
      <c r="K1686" s="196" t="s">
        <v>1881</v>
      </c>
      <c r="L1686" s="240" t="s">
        <v>8459</v>
      </c>
      <c r="M1686" s="196">
        <v>288</v>
      </c>
      <c r="N1686" s="196"/>
      <c r="O1686" s="196" t="s">
        <v>6776</v>
      </c>
      <c r="P1686" s="144">
        <v>282</v>
      </c>
      <c r="Q1686" s="145">
        <f t="shared" si="102"/>
        <v>1.6033999999999999</v>
      </c>
      <c r="R1686" s="145">
        <f t="shared" si="107"/>
        <v>2.8033999999999999</v>
      </c>
      <c r="S1686" s="203">
        <v>2.8</v>
      </c>
      <c r="T1686" s="151">
        <v>0.13</v>
      </c>
      <c r="U1686" s="151" t="str">
        <f t="shared" si="103"/>
        <v>1,20</v>
      </c>
      <c r="V1686" s="151">
        <f t="shared" si="108"/>
        <v>0.33999999999999997</v>
      </c>
      <c r="W1686" s="151">
        <v>0.95</v>
      </c>
      <c r="X1686" s="152">
        <f t="shared" si="104"/>
        <v>0.18340000000000001</v>
      </c>
      <c r="Y1686" s="152">
        <f t="shared" si="105"/>
        <v>2.8</v>
      </c>
      <c r="Z1686" s="152">
        <f t="shared" si="106"/>
        <v>2.8033999999999999</v>
      </c>
      <c r="AA1686" s="153"/>
      <c r="AB1686" s="153"/>
      <c r="AC1686" s="153"/>
      <c r="AD1686" s="153"/>
      <c r="AH1686" s="147"/>
    </row>
    <row r="1687" spans="1:34" s="146" customFormat="1" x14ac:dyDescent="0.25">
      <c r="A1687" s="196">
        <v>1984</v>
      </c>
      <c r="B1687" s="196" t="s">
        <v>8460</v>
      </c>
      <c r="C1687" s="196" t="s">
        <v>8461</v>
      </c>
      <c r="D1687" s="196" t="s">
        <v>2530</v>
      </c>
      <c r="E1687" s="196"/>
      <c r="F1687" s="196">
        <v>2013</v>
      </c>
      <c r="G1687" s="196"/>
      <c r="H1687" s="196" t="s">
        <v>1878</v>
      </c>
      <c r="I1687" s="141" t="s">
        <v>1929</v>
      </c>
      <c r="J1687" s="196"/>
      <c r="K1687" s="196" t="s">
        <v>1881</v>
      </c>
      <c r="L1687" s="240" t="s">
        <v>8462</v>
      </c>
      <c r="M1687" s="196">
        <v>62</v>
      </c>
      <c r="N1687" s="196"/>
      <c r="O1687" s="196" t="s">
        <v>6777</v>
      </c>
      <c r="P1687" s="144">
        <v>157</v>
      </c>
      <c r="Q1687" s="145">
        <f t="shared" si="102"/>
        <v>1.0684000000000002</v>
      </c>
      <c r="R1687" s="145">
        <f t="shared" si="107"/>
        <v>2.2684000000000002</v>
      </c>
      <c r="S1687" s="203">
        <v>2.25</v>
      </c>
      <c r="T1687" s="151">
        <v>0.13</v>
      </c>
      <c r="U1687" s="151" t="str">
        <f t="shared" si="103"/>
        <v>1,20</v>
      </c>
      <c r="V1687" s="151">
        <f t="shared" si="108"/>
        <v>0.33999999999999997</v>
      </c>
      <c r="W1687" s="151">
        <v>0.45</v>
      </c>
      <c r="X1687" s="152">
        <f t="shared" si="104"/>
        <v>0.1484</v>
      </c>
      <c r="Y1687" s="152">
        <f t="shared" si="105"/>
        <v>2.25</v>
      </c>
      <c r="Z1687" s="152">
        <f t="shared" si="106"/>
        <v>2.2684000000000002</v>
      </c>
      <c r="AA1687" s="153"/>
      <c r="AB1687" s="153"/>
      <c r="AC1687" s="153"/>
      <c r="AD1687" s="153"/>
      <c r="AH1687" s="147"/>
    </row>
    <row r="1688" spans="1:34" s="146" customFormat="1" x14ac:dyDescent="0.25">
      <c r="A1688" s="196">
        <v>1984</v>
      </c>
      <c r="B1688" s="196" t="s">
        <v>8463</v>
      </c>
      <c r="C1688" s="196" t="s">
        <v>8464</v>
      </c>
      <c r="D1688" s="196" t="s">
        <v>8465</v>
      </c>
      <c r="E1688" s="196"/>
      <c r="F1688" s="196">
        <v>1991</v>
      </c>
      <c r="G1688" s="196"/>
      <c r="H1688" s="196" t="s">
        <v>8439</v>
      </c>
      <c r="I1688" s="141" t="s">
        <v>1914</v>
      </c>
      <c r="J1688" s="196"/>
      <c r="K1688" s="196" t="s">
        <v>1881</v>
      </c>
      <c r="L1688" s="240" t="s">
        <v>8466</v>
      </c>
      <c r="M1688" s="196"/>
      <c r="N1688" s="196"/>
      <c r="O1688" s="196" t="s">
        <v>6778</v>
      </c>
      <c r="P1688" s="144">
        <v>88</v>
      </c>
      <c r="Q1688" s="145">
        <f t="shared" si="102"/>
        <v>3.29</v>
      </c>
      <c r="R1688" s="145">
        <f t="shared" si="107"/>
        <v>4.49</v>
      </c>
      <c r="S1688" s="203">
        <v>4.49</v>
      </c>
      <c r="T1688" s="151">
        <v>0.13</v>
      </c>
      <c r="U1688" s="151" t="str">
        <f t="shared" si="103"/>
        <v>1,20</v>
      </c>
      <c r="V1688" s="151">
        <f t="shared" si="108"/>
        <v>0.33999999999999997</v>
      </c>
      <c r="W1688" s="151">
        <v>2.5</v>
      </c>
      <c r="X1688" s="152">
        <f t="shared" si="104"/>
        <v>0.29189999999999999</v>
      </c>
      <c r="Y1688" s="152">
        <f t="shared" si="105"/>
        <v>4.49</v>
      </c>
      <c r="Z1688" s="152">
        <f t="shared" si="106"/>
        <v>4.4619</v>
      </c>
      <c r="AA1688" s="153"/>
      <c r="AB1688" s="153"/>
      <c r="AC1688" s="153"/>
      <c r="AD1688" s="153"/>
      <c r="AH1688" s="147"/>
    </row>
    <row r="1689" spans="1:34" s="146" customFormat="1" x14ac:dyDescent="0.25">
      <c r="A1689" s="196">
        <v>2010</v>
      </c>
      <c r="B1689" s="196" t="s">
        <v>8467</v>
      </c>
      <c r="C1689" s="196" t="s">
        <v>8468</v>
      </c>
      <c r="D1689" s="196" t="s">
        <v>8469</v>
      </c>
      <c r="E1689" s="196"/>
      <c r="F1689" s="196">
        <v>2012</v>
      </c>
      <c r="G1689" s="196"/>
      <c r="H1689" s="196" t="s">
        <v>1878</v>
      </c>
      <c r="I1689" s="141" t="s">
        <v>1879</v>
      </c>
      <c r="J1689" s="52" t="s">
        <v>3854</v>
      </c>
      <c r="K1689" s="196" t="s">
        <v>2025</v>
      </c>
      <c r="L1689" s="240" t="s">
        <v>8470</v>
      </c>
      <c r="M1689" s="196">
        <v>362</v>
      </c>
      <c r="N1689" s="196"/>
      <c r="O1689" s="196" t="s">
        <v>6779</v>
      </c>
      <c r="P1689" s="144">
        <v>260</v>
      </c>
      <c r="Q1689" s="145">
        <f t="shared" si="102"/>
        <v>1.5000000000000002</v>
      </c>
      <c r="R1689" s="145">
        <f t="shared" si="107"/>
        <v>2.7</v>
      </c>
      <c r="S1689" s="203">
        <v>2.7</v>
      </c>
      <c r="T1689" s="151">
        <v>0.13</v>
      </c>
      <c r="U1689" s="151" t="str">
        <f t="shared" si="103"/>
        <v>1,20</v>
      </c>
      <c r="V1689" s="151">
        <f t="shared" si="108"/>
        <v>0.33999999999999997</v>
      </c>
      <c r="W1689" s="151">
        <v>0.85</v>
      </c>
      <c r="X1689" s="152">
        <f t="shared" si="104"/>
        <v>0.1764</v>
      </c>
      <c r="Y1689" s="152">
        <f t="shared" si="105"/>
        <v>2.7</v>
      </c>
      <c r="Z1689" s="152">
        <f t="shared" si="106"/>
        <v>2.6964000000000001</v>
      </c>
      <c r="AA1689" s="153"/>
      <c r="AB1689" s="153"/>
      <c r="AC1689" s="153"/>
      <c r="AD1689" s="153"/>
      <c r="AH1689" s="147"/>
    </row>
    <row r="1690" spans="1:34" s="146" customFormat="1" x14ac:dyDescent="0.25">
      <c r="A1690" s="196">
        <v>1386</v>
      </c>
      <c r="B1690" s="196" t="s">
        <v>8471</v>
      </c>
      <c r="C1690" s="196" t="s">
        <v>8472</v>
      </c>
      <c r="D1690" s="196" t="s">
        <v>1988</v>
      </c>
      <c r="E1690" s="196" t="s">
        <v>1921</v>
      </c>
      <c r="F1690" s="196">
        <v>2005</v>
      </c>
      <c r="G1690" s="196"/>
      <c r="H1690" s="196" t="s">
        <v>1878</v>
      </c>
      <c r="I1690" s="141" t="s">
        <v>1879</v>
      </c>
      <c r="J1690" s="196" t="s">
        <v>8473</v>
      </c>
      <c r="K1690" s="196" t="s">
        <v>1881</v>
      </c>
      <c r="L1690" s="240" t="s">
        <v>8474</v>
      </c>
      <c r="M1690" s="196">
        <v>360</v>
      </c>
      <c r="N1690" s="196"/>
      <c r="O1690" s="196" t="s">
        <v>6780</v>
      </c>
      <c r="P1690" s="144">
        <v>454</v>
      </c>
      <c r="Q1690" s="145">
        <f t="shared" si="102"/>
        <v>0.85439999999999983</v>
      </c>
      <c r="R1690" s="145">
        <f t="shared" si="107"/>
        <v>2.0543999999999998</v>
      </c>
      <c r="S1690" s="203">
        <v>1.65</v>
      </c>
      <c r="T1690" s="151">
        <v>0.13</v>
      </c>
      <c r="U1690" s="151" t="str">
        <f t="shared" si="103"/>
        <v>1,20</v>
      </c>
      <c r="V1690" s="151">
        <f t="shared" si="108"/>
        <v>0.33999999999999997</v>
      </c>
      <c r="W1690" s="151">
        <v>0.25</v>
      </c>
      <c r="X1690" s="152">
        <f t="shared" si="104"/>
        <v>0.13439999999999999</v>
      </c>
      <c r="Y1690" s="152">
        <f t="shared" si="105"/>
        <v>1.65</v>
      </c>
      <c r="Z1690" s="152">
        <f t="shared" si="106"/>
        <v>2.0543999999999998</v>
      </c>
      <c r="AA1690" s="153"/>
      <c r="AB1690" s="153"/>
      <c r="AC1690" s="153"/>
      <c r="AD1690" s="153"/>
      <c r="AH1690" s="147"/>
    </row>
    <row r="1691" spans="1:34" s="146" customFormat="1" x14ac:dyDescent="0.25">
      <c r="A1691" s="196">
        <v>1386</v>
      </c>
      <c r="B1691" s="196" t="s">
        <v>3684</v>
      </c>
      <c r="C1691" s="196" t="s">
        <v>8475</v>
      </c>
      <c r="D1691" s="196" t="s">
        <v>2054</v>
      </c>
      <c r="E1691" s="196"/>
      <c r="F1691" s="196">
        <v>2008</v>
      </c>
      <c r="G1691" s="196"/>
      <c r="H1691" s="196" t="s">
        <v>1878</v>
      </c>
      <c r="I1691" s="141" t="s">
        <v>1879</v>
      </c>
      <c r="J1691" s="196"/>
      <c r="K1691" s="196" t="s">
        <v>1881</v>
      </c>
      <c r="L1691" s="240" t="s">
        <v>8476</v>
      </c>
      <c r="M1691" s="196">
        <v>802</v>
      </c>
      <c r="N1691" s="196"/>
      <c r="O1691" s="196" t="s">
        <v>6781</v>
      </c>
      <c r="P1691" s="144">
        <v>749</v>
      </c>
      <c r="Q1691" s="145">
        <f t="shared" si="102"/>
        <v>2.601399999999999</v>
      </c>
      <c r="R1691" s="145">
        <f t="shared" si="107"/>
        <v>4.3013999999999992</v>
      </c>
      <c r="S1691" s="203">
        <v>4.3</v>
      </c>
      <c r="T1691" s="151">
        <v>0.13</v>
      </c>
      <c r="U1691" s="151" t="str">
        <f t="shared" si="103"/>
        <v>1,70</v>
      </c>
      <c r="V1691" s="151">
        <f t="shared" si="108"/>
        <v>0.33999999999999997</v>
      </c>
      <c r="W1691" s="151">
        <v>1.85</v>
      </c>
      <c r="X1691" s="152">
        <f t="shared" si="104"/>
        <v>0.28139999999999993</v>
      </c>
      <c r="Y1691" s="152">
        <f t="shared" si="105"/>
        <v>4.3</v>
      </c>
      <c r="Z1691" s="152">
        <f t="shared" si="106"/>
        <v>4.3013999999999992</v>
      </c>
      <c r="AA1691" s="153"/>
      <c r="AB1691" s="153"/>
      <c r="AC1691" s="153"/>
      <c r="AD1691" s="153"/>
      <c r="AH1691" s="147"/>
    </row>
    <row r="1692" spans="1:34" s="146" customFormat="1" x14ac:dyDescent="0.25">
      <c r="A1692" s="196">
        <v>1367</v>
      </c>
      <c r="B1692" s="196" t="s">
        <v>8478</v>
      </c>
      <c r="C1692" s="196" t="s">
        <v>8477</v>
      </c>
      <c r="D1692" s="196"/>
      <c r="E1692" s="196"/>
      <c r="F1692" s="196"/>
      <c r="G1692" s="196"/>
      <c r="H1692" s="196" t="s">
        <v>2734</v>
      </c>
      <c r="I1692" s="141" t="s">
        <v>1929</v>
      </c>
      <c r="J1692" s="196"/>
      <c r="K1692" s="196" t="s">
        <v>1881</v>
      </c>
      <c r="L1692" s="240" t="s">
        <v>8479</v>
      </c>
      <c r="M1692" s="196">
        <v>322</v>
      </c>
      <c r="N1692" s="196"/>
      <c r="O1692" s="196" t="s">
        <v>6782</v>
      </c>
      <c r="P1692" s="144">
        <v>665</v>
      </c>
      <c r="Q1692" s="145">
        <f t="shared" si="102"/>
        <v>3.4038999999999993</v>
      </c>
      <c r="R1692" s="145">
        <f t="shared" si="107"/>
        <v>5.1038999999999994</v>
      </c>
      <c r="S1692" s="203">
        <v>5.0999999999999996</v>
      </c>
      <c r="T1692" s="151">
        <v>0.13</v>
      </c>
      <c r="U1692" s="151" t="str">
        <f t="shared" si="103"/>
        <v>1,70</v>
      </c>
      <c r="V1692" s="151">
        <f t="shared" si="108"/>
        <v>0.33999999999999997</v>
      </c>
      <c r="W1692" s="151">
        <v>2.6</v>
      </c>
      <c r="X1692" s="152">
        <f t="shared" si="104"/>
        <v>0.33389999999999997</v>
      </c>
      <c r="Y1692" s="152">
        <f t="shared" si="105"/>
        <v>5.0999999999999996</v>
      </c>
      <c r="Z1692" s="152">
        <f t="shared" si="106"/>
        <v>5.1038999999999994</v>
      </c>
      <c r="AA1692" s="153"/>
      <c r="AB1692" s="153"/>
      <c r="AC1692" s="153"/>
      <c r="AD1692" s="153"/>
      <c r="AH1692" s="147"/>
    </row>
    <row r="1693" spans="1:34" s="146" customFormat="1" x14ac:dyDescent="0.25">
      <c r="A1693" s="196">
        <v>2518</v>
      </c>
      <c r="B1693" s="196" t="s">
        <v>8480</v>
      </c>
      <c r="C1693" s="196" t="s">
        <v>8481</v>
      </c>
      <c r="D1693" s="196" t="s">
        <v>6393</v>
      </c>
      <c r="E1693" s="196"/>
      <c r="F1693" s="196">
        <v>2010</v>
      </c>
      <c r="G1693" s="196"/>
      <c r="H1693" s="196" t="s">
        <v>1878</v>
      </c>
      <c r="I1693" s="141" t="s">
        <v>1929</v>
      </c>
      <c r="J1693" s="196"/>
      <c r="K1693" s="196" t="s">
        <v>1881</v>
      </c>
      <c r="L1693" s="240" t="s">
        <v>8482</v>
      </c>
      <c r="M1693" s="196">
        <v>224</v>
      </c>
      <c r="N1693" s="196"/>
      <c r="O1693" s="196" t="s">
        <v>6783</v>
      </c>
      <c r="P1693" s="144">
        <v>272</v>
      </c>
      <c r="Q1693" s="145">
        <f t="shared" si="102"/>
        <v>0.85439999999999983</v>
      </c>
      <c r="R1693" s="145">
        <f t="shared" si="107"/>
        <v>2.0543999999999998</v>
      </c>
      <c r="S1693" s="203">
        <v>2</v>
      </c>
      <c r="T1693" s="151">
        <v>0.13</v>
      </c>
      <c r="U1693" s="151" t="str">
        <f t="shared" si="103"/>
        <v>1,20</v>
      </c>
      <c r="V1693" s="151">
        <f t="shared" si="108"/>
        <v>0.33999999999999997</v>
      </c>
      <c r="W1693" s="151">
        <v>0.25</v>
      </c>
      <c r="X1693" s="152">
        <f t="shared" si="104"/>
        <v>0.13439999999999999</v>
      </c>
      <c r="Y1693" s="152">
        <f t="shared" si="105"/>
        <v>2</v>
      </c>
      <c r="Z1693" s="152">
        <f t="shared" si="106"/>
        <v>2.0543999999999998</v>
      </c>
      <c r="AA1693" s="153"/>
      <c r="AB1693" s="153"/>
      <c r="AC1693" s="153"/>
      <c r="AD1693" s="153"/>
      <c r="AH1693" s="147"/>
    </row>
    <row r="1694" spans="1:34" s="146" customFormat="1" x14ac:dyDescent="0.25">
      <c r="A1694" s="196">
        <v>2851</v>
      </c>
      <c r="B1694" s="196" t="s">
        <v>2456</v>
      </c>
      <c r="C1694" s="196" t="s">
        <v>8483</v>
      </c>
      <c r="D1694" s="196" t="s">
        <v>5005</v>
      </c>
      <c r="E1694" s="196"/>
      <c r="F1694" s="196">
        <v>2000</v>
      </c>
      <c r="G1694" s="196"/>
      <c r="H1694" s="196" t="s">
        <v>1878</v>
      </c>
      <c r="I1694" s="141" t="s">
        <v>7527</v>
      </c>
      <c r="J1694" s="196"/>
      <c r="K1694" s="196" t="s">
        <v>1881</v>
      </c>
      <c r="L1694" s="240"/>
      <c r="M1694" s="196">
        <v>608</v>
      </c>
      <c r="N1694" s="196"/>
      <c r="O1694" s="196" t="s">
        <v>6784</v>
      </c>
      <c r="P1694" s="144">
        <v>446</v>
      </c>
      <c r="Q1694" s="145">
        <f t="shared" si="102"/>
        <v>0.85439999999999983</v>
      </c>
      <c r="R1694" s="145">
        <f t="shared" si="107"/>
        <v>2.0543999999999998</v>
      </c>
      <c r="S1694" s="203">
        <v>1.5</v>
      </c>
      <c r="T1694" s="151">
        <v>0.13</v>
      </c>
      <c r="U1694" s="151" t="str">
        <f t="shared" si="103"/>
        <v>1,20</v>
      </c>
      <c r="V1694" s="151">
        <f t="shared" si="108"/>
        <v>0.33999999999999997</v>
      </c>
      <c r="W1694" s="151">
        <v>0.25</v>
      </c>
      <c r="X1694" s="152">
        <f t="shared" si="104"/>
        <v>0.13439999999999999</v>
      </c>
      <c r="Y1694" s="152">
        <f t="shared" si="105"/>
        <v>1.5</v>
      </c>
      <c r="Z1694" s="152">
        <f t="shared" si="106"/>
        <v>2.0543999999999998</v>
      </c>
      <c r="AA1694" s="153"/>
      <c r="AB1694" s="153"/>
      <c r="AC1694" s="153"/>
      <c r="AD1694" s="153"/>
      <c r="AH1694" s="147"/>
    </row>
    <row r="1695" spans="1:34" s="146" customFormat="1" x14ac:dyDescent="0.25">
      <c r="A1695" s="196">
        <v>1386</v>
      </c>
      <c r="B1695" s="196" t="s">
        <v>8488</v>
      </c>
      <c r="C1695" s="196" t="s">
        <v>8489</v>
      </c>
      <c r="D1695" s="196" t="s">
        <v>2309</v>
      </c>
      <c r="E1695" s="196" t="s">
        <v>1913</v>
      </c>
      <c r="F1695" s="196">
        <v>2010</v>
      </c>
      <c r="G1695" s="196"/>
      <c r="H1695" s="196" t="s">
        <v>1878</v>
      </c>
      <c r="I1695" s="141" t="s">
        <v>1879</v>
      </c>
      <c r="J1695" s="196"/>
      <c r="K1695" s="196" t="s">
        <v>1881</v>
      </c>
      <c r="L1695" s="240" t="s">
        <v>8490</v>
      </c>
      <c r="M1695" s="196">
        <v>322</v>
      </c>
      <c r="N1695" s="196"/>
      <c r="O1695" s="196" t="s">
        <v>6786</v>
      </c>
      <c r="P1695" s="144">
        <v>350</v>
      </c>
      <c r="Q1695" s="145">
        <f t="shared" si="102"/>
        <v>0.85439999999999983</v>
      </c>
      <c r="R1695" s="145">
        <f t="shared" si="107"/>
        <v>2.0543999999999998</v>
      </c>
      <c r="S1695" s="203">
        <v>1.89</v>
      </c>
      <c r="T1695" s="151">
        <v>0.13</v>
      </c>
      <c r="U1695" s="151" t="str">
        <f t="shared" si="103"/>
        <v>1,20</v>
      </c>
      <c r="V1695" s="151">
        <f t="shared" si="108"/>
        <v>0.33999999999999997</v>
      </c>
      <c r="W1695" s="151">
        <v>0.25</v>
      </c>
      <c r="X1695" s="152">
        <f t="shared" si="104"/>
        <v>0.13439999999999999</v>
      </c>
      <c r="Y1695" s="152">
        <f t="shared" si="105"/>
        <v>1.89</v>
      </c>
      <c r="Z1695" s="152">
        <f t="shared" si="106"/>
        <v>2.0543999999999998</v>
      </c>
      <c r="AA1695" s="153"/>
      <c r="AB1695" s="153"/>
      <c r="AC1695" s="153"/>
      <c r="AD1695" s="153"/>
      <c r="AH1695" s="147"/>
    </row>
    <row r="1696" spans="1:34" s="146" customFormat="1" x14ac:dyDescent="0.25">
      <c r="A1696" s="196">
        <v>2522</v>
      </c>
      <c r="B1696" s="196" t="s">
        <v>3065</v>
      </c>
      <c r="C1696" s="196" t="s">
        <v>3066</v>
      </c>
      <c r="D1696" s="196" t="s">
        <v>2054</v>
      </c>
      <c r="E1696" s="196"/>
      <c r="F1696" s="196">
        <v>2008</v>
      </c>
      <c r="G1696" s="196"/>
      <c r="H1696" s="196" t="s">
        <v>2734</v>
      </c>
      <c r="I1696" s="141" t="s">
        <v>1879</v>
      </c>
      <c r="J1696" s="196"/>
      <c r="K1696" s="196" t="s">
        <v>1881</v>
      </c>
      <c r="L1696" s="240" t="s">
        <v>8491</v>
      </c>
      <c r="M1696" s="196">
        <v>690</v>
      </c>
      <c r="N1696" s="196"/>
      <c r="O1696" s="196" t="s">
        <v>6787</v>
      </c>
      <c r="P1696" s="144">
        <v>577</v>
      </c>
      <c r="Q1696" s="145">
        <f t="shared" si="102"/>
        <v>7.4699</v>
      </c>
      <c r="R1696" s="145">
        <f t="shared" ref="R1696:R1724" si="109">IF(Y1696&gt;Z1696,Y1696,Z1696)</f>
        <v>9.1699000000000002</v>
      </c>
      <c r="S1696" s="203">
        <f>6.95+2.2</f>
        <v>9.15</v>
      </c>
      <c r="T1696" s="151">
        <v>0.13</v>
      </c>
      <c r="U1696" s="151" t="str">
        <f t="shared" si="103"/>
        <v>1,70</v>
      </c>
      <c r="V1696" s="151">
        <f t="shared" si="108"/>
        <v>0.33999999999999997</v>
      </c>
      <c r="W1696" s="151">
        <v>6.4</v>
      </c>
      <c r="X1696" s="152">
        <f t="shared" si="104"/>
        <v>0.59989999999999999</v>
      </c>
      <c r="Y1696" s="152">
        <f t="shared" si="105"/>
        <v>9.15</v>
      </c>
      <c r="Z1696" s="152">
        <f t="shared" si="106"/>
        <v>9.1699000000000002</v>
      </c>
      <c r="AA1696" s="153"/>
      <c r="AB1696" s="153"/>
      <c r="AC1696" s="153"/>
      <c r="AD1696" s="153"/>
      <c r="AH1696" s="147"/>
    </row>
    <row r="1697" spans="1:34" s="146" customFormat="1" x14ac:dyDescent="0.25">
      <c r="A1697" s="196">
        <v>2649</v>
      </c>
      <c r="B1697" s="196"/>
      <c r="C1697" s="196" t="s">
        <v>8492</v>
      </c>
      <c r="D1697" s="196" t="s">
        <v>2103</v>
      </c>
      <c r="E1697" s="196"/>
      <c r="F1697" s="196">
        <v>2006</v>
      </c>
      <c r="G1697" s="196"/>
      <c r="H1697" s="196" t="s">
        <v>1878</v>
      </c>
      <c r="I1697" s="141" t="s">
        <v>1879</v>
      </c>
      <c r="J1697" s="196"/>
      <c r="K1697" s="196" t="s">
        <v>1881</v>
      </c>
      <c r="L1697" s="240" t="s">
        <v>8493</v>
      </c>
      <c r="M1697" s="196">
        <v>336</v>
      </c>
      <c r="N1697" s="196"/>
      <c r="O1697" s="196" t="s">
        <v>6788</v>
      </c>
      <c r="P1697" s="144">
        <v>323</v>
      </c>
      <c r="Q1697" s="145">
        <f t="shared" ref="Q1697:Q1744" si="110">R1697-U1697</f>
        <v>0.90789999999999993</v>
      </c>
      <c r="R1697" s="145">
        <f t="shared" si="109"/>
        <v>2.1078999999999999</v>
      </c>
      <c r="S1697" s="203">
        <v>2.1</v>
      </c>
      <c r="T1697" s="151">
        <v>0.13</v>
      </c>
      <c r="U1697" s="151" t="str">
        <f t="shared" ref="U1697:U1744" si="111">IF(P1697&lt;501,"1,20","1,70")</f>
        <v>1,20</v>
      </c>
      <c r="V1697" s="151">
        <f t="shared" si="108"/>
        <v>0.33999999999999997</v>
      </c>
      <c r="W1697" s="151">
        <v>0.3</v>
      </c>
      <c r="X1697" s="152">
        <f t="shared" ref="X1697:X1756" si="112">(T1697+U1697+V1697+W1697)/100*7</f>
        <v>0.13789999999999999</v>
      </c>
      <c r="Y1697" s="152">
        <f t="shared" ref="Y1697:Y1756" si="113">S1697</f>
        <v>2.1</v>
      </c>
      <c r="Z1697" s="152">
        <f t="shared" ref="Z1697:Z1756" si="114">T1697+U1697+V1697+W1697+X1697</f>
        <v>2.1078999999999999</v>
      </c>
      <c r="AA1697" s="153"/>
      <c r="AB1697" s="153"/>
      <c r="AC1697" s="153"/>
      <c r="AD1697" s="153"/>
      <c r="AH1697" s="147"/>
    </row>
    <row r="1698" spans="1:34" s="146" customFormat="1" x14ac:dyDescent="0.25">
      <c r="A1698" s="196">
        <v>2522</v>
      </c>
      <c r="B1698" s="196" t="s">
        <v>8494</v>
      </c>
      <c r="C1698" s="196" t="s">
        <v>8495</v>
      </c>
      <c r="D1698" s="196" t="s">
        <v>2257</v>
      </c>
      <c r="E1698" s="196"/>
      <c r="F1698" s="196">
        <v>2002</v>
      </c>
      <c r="G1698" s="196"/>
      <c r="H1698" s="196" t="s">
        <v>1878</v>
      </c>
      <c r="I1698" s="141" t="s">
        <v>1879</v>
      </c>
      <c r="J1698" s="52" t="s">
        <v>3854</v>
      </c>
      <c r="K1698" s="196" t="s">
        <v>1881</v>
      </c>
      <c r="L1698" s="240" t="s">
        <v>8496</v>
      </c>
      <c r="M1698" s="196">
        <v>640</v>
      </c>
      <c r="N1698" s="196"/>
      <c r="O1698" s="196" t="s">
        <v>6789</v>
      </c>
      <c r="P1698" s="144">
        <v>482</v>
      </c>
      <c r="Q1698" s="145">
        <f t="shared" si="110"/>
        <v>1.6199999999999999</v>
      </c>
      <c r="R1698" s="145">
        <f t="shared" si="109"/>
        <v>2.82</v>
      </c>
      <c r="S1698" s="203">
        <v>2.82</v>
      </c>
      <c r="T1698" s="151">
        <v>0.13</v>
      </c>
      <c r="U1698" s="151" t="str">
        <f t="shared" si="111"/>
        <v>1,20</v>
      </c>
      <c r="V1698" s="151">
        <f t="shared" si="108"/>
        <v>0.33999999999999997</v>
      </c>
      <c r="W1698" s="151">
        <v>0.95</v>
      </c>
      <c r="X1698" s="152">
        <f t="shared" si="112"/>
        <v>0.18340000000000001</v>
      </c>
      <c r="Y1698" s="152">
        <f t="shared" si="113"/>
        <v>2.82</v>
      </c>
      <c r="Z1698" s="152">
        <f t="shared" si="114"/>
        <v>2.8033999999999999</v>
      </c>
      <c r="AA1698" s="153"/>
      <c r="AB1698" s="153"/>
      <c r="AC1698" s="153"/>
      <c r="AD1698" s="153"/>
      <c r="AH1698" s="147"/>
    </row>
    <row r="1699" spans="1:34" s="146" customFormat="1" x14ac:dyDescent="0.25">
      <c r="A1699" s="196">
        <v>2546</v>
      </c>
      <c r="B1699" s="196" t="s">
        <v>8497</v>
      </c>
      <c r="C1699" s="196" t="s">
        <v>8498</v>
      </c>
      <c r="D1699" s="196" t="s">
        <v>2424</v>
      </c>
      <c r="E1699" s="196" t="s">
        <v>1921</v>
      </c>
      <c r="F1699" s="196">
        <v>2007</v>
      </c>
      <c r="G1699" s="196"/>
      <c r="H1699" s="196" t="s">
        <v>1878</v>
      </c>
      <c r="I1699" s="141" t="s">
        <v>1879</v>
      </c>
      <c r="J1699" s="196"/>
      <c r="K1699" s="196" t="s">
        <v>1881</v>
      </c>
      <c r="L1699" s="240" t="s">
        <v>8499</v>
      </c>
      <c r="M1699" s="196">
        <v>352</v>
      </c>
      <c r="N1699" s="196"/>
      <c r="O1699" s="196" t="s">
        <v>6790</v>
      </c>
      <c r="P1699" s="144">
        <v>336</v>
      </c>
      <c r="Q1699" s="145">
        <f t="shared" si="110"/>
        <v>0.90789999999999993</v>
      </c>
      <c r="R1699" s="145">
        <f t="shared" si="109"/>
        <v>2.1078999999999999</v>
      </c>
      <c r="S1699" s="203">
        <v>2.1</v>
      </c>
      <c r="T1699" s="151">
        <v>0.13</v>
      </c>
      <c r="U1699" s="151" t="str">
        <f t="shared" si="111"/>
        <v>1,20</v>
      </c>
      <c r="V1699" s="151">
        <f t="shared" si="108"/>
        <v>0.33999999999999997</v>
      </c>
      <c r="W1699" s="151">
        <v>0.3</v>
      </c>
      <c r="X1699" s="152">
        <f t="shared" si="112"/>
        <v>0.13789999999999999</v>
      </c>
      <c r="Y1699" s="152">
        <f t="shared" si="113"/>
        <v>2.1</v>
      </c>
      <c r="Z1699" s="152">
        <f t="shared" si="114"/>
        <v>2.1078999999999999</v>
      </c>
      <c r="AA1699" s="153"/>
      <c r="AB1699" s="153"/>
      <c r="AC1699" s="153"/>
      <c r="AD1699" s="153"/>
      <c r="AH1699" s="147"/>
    </row>
    <row r="1700" spans="1:34" s="146" customFormat="1" x14ac:dyDescent="0.25">
      <c r="A1700" s="196">
        <v>1386</v>
      </c>
      <c r="B1700" s="196" t="s">
        <v>8500</v>
      </c>
      <c r="C1700" s="196" t="s">
        <v>8501</v>
      </c>
      <c r="D1700" s="196" t="s">
        <v>3077</v>
      </c>
      <c r="E1700" s="196" t="s">
        <v>1913</v>
      </c>
      <c r="F1700" s="196">
        <v>2009</v>
      </c>
      <c r="G1700" s="196"/>
      <c r="H1700" s="196" t="s">
        <v>1878</v>
      </c>
      <c r="I1700" s="141" t="s">
        <v>1879</v>
      </c>
      <c r="J1700" s="52" t="s">
        <v>3854</v>
      </c>
      <c r="K1700" s="196" t="s">
        <v>1881</v>
      </c>
      <c r="L1700" s="240" t="s">
        <v>8502</v>
      </c>
      <c r="M1700" s="196">
        <v>512</v>
      </c>
      <c r="N1700" s="196"/>
      <c r="O1700" s="196" t="s">
        <v>6791</v>
      </c>
      <c r="P1700" s="144">
        <v>397</v>
      </c>
      <c r="Q1700" s="145">
        <f t="shared" si="110"/>
        <v>0.85439999999999983</v>
      </c>
      <c r="R1700" s="145">
        <f t="shared" si="109"/>
        <v>2.0543999999999998</v>
      </c>
      <c r="S1700" s="203">
        <v>1.78</v>
      </c>
      <c r="T1700" s="151">
        <v>0.13</v>
      </c>
      <c r="U1700" s="151" t="str">
        <f t="shared" si="111"/>
        <v>1,20</v>
      </c>
      <c r="V1700" s="151">
        <f t="shared" si="108"/>
        <v>0.33999999999999997</v>
      </c>
      <c r="W1700" s="151">
        <v>0.25</v>
      </c>
      <c r="X1700" s="152">
        <f t="shared" si="112"/>
        <v>0.13439999999999999</v>
      </c>
      <c r="Y1700" s="152">
        <f t="shared" si="113"/>
        <v>1.78</v>
      </c>
      <c r="Z1700" s="152">
        <f t="shared" si="114"/>
        <v>2.0543999999999998</v>
      </c>
      <c r="AA1700" s="153"/>
      <c r="AB1700" s="153"/>
      <c r="AC1700" s="153"/>
      <c r="AD1700" s="153"/>
      <c r="AH1700" s="147"/>
    </row>
    <row r="1701" spans="1:34" s="146" customFormat="1" x14ac:dyDescent="0.25">
      <c r="A1701" s="196">
        <v>796</v>
      </c>
      <c r="B1701" s="196" t="s">
        <v>8503</v>
      </c>
      <c r="C1701" s="196" t="s">
        <v>8504</v>
      </c>
      <c r="D1701" s="196" t="s">
        <v>2054</v>
      </c>
      <c r="E1701" s="196"/>
      <c r="F1701" s="196">
        <v>2008</v>
      </c>
      <c r="G1701" s="196"/>
      <c r="H1701" s="196" t="s">
        <v>1878</v>
      </c>
      <c r="I1701" s="141" t="s">
        <v>1879</v>
      </c>
      <c r="J1701" s="52" t="s">
        <v>3854</v>
      </c>
      <c r="K1701" s="196" t="s">
        <v>1881</v>
      </c>
      <c r="L1701" s="240" t="s">
        <v>8505</v>
      </c>
      <c r="M1701" s="196">
        <v>146</v>
      </c>
      <c r="N1701" s="196"/>
      <c r="O1701" s="196" t="s">
        <v>6792</v>
      </c>
      <c r="P1701" s="144">
        <v>206</v>
      </c>
      <c r="Q1701" s="145">
        <f t="shared" si="110"/>
        <v>2.2999999999999998</v>
      </c>
      <c r="R1701" s="145">
        <f t="shared" si="109"/>
        <v>3.5</v>
      </c>
      <c r="S1701" s="203">
        <v>3.5</v>
      </c>
      <c r="T1701" s="151">
        <v>0.13</v>
      </c>
      <c r="U1701" s="151" t="str">
        <f t="shared" si="111"/>
        <v>1,20</v>
      </c>
      <c r="V1701" s="151">
        <f t="shared" si="108"/>
        <v>0.33999999999999997</v>
      </c>
      <c r="W1701" s="151">
        <v>1.6</v>
      </c>
      <c r="X1701" s="152">
        <f t="shared" si="112"/>
        <v>0.22889999999999999</v>
      </c>
      <c r="Y1701" s="152">
        <f t="shared" si="113"/>
        <v>3.5</v>
      </c>
      <c r="Z1701" s="152">
        <f t="shared" si="114"/>
        <v>3.4988999999999999</v>
      </c>
      <c r="AA1701" s="153"/>
      <c r="AB1701" s="153"/>
      <c r="AC1701" s="153"/>
      <c r="AD1701" s="153"/>
      <c r="AH1701" s="147"/>
    </row>
    <row r="1702" spans="1:34" s="146" customFormat="1" x14ac:dyDescent="0.25">
      <c r="A1702" s="196">
        <v>796</v>
      </c>
      <c r="B1702" s="196" t="s">
        <v>5856</v>
      </c>
      <c r="C1702" s="196" t="s">
        <v>8512</v>
      </c>
      <c r="D1702" s="196" t="s">
        <v>2257</v>
      </c>
      <c r="E1702" s="196"/>
      <c r="F1702" s="196">
        <v>2004</v>
      </c>
      <c r="G1702" s="196"/>
      <c r="H1702" s="196" t="s">
        <v>1878</v>
      </c>
      <c r="I1702" s="141" t="s">
        <v>1879</v>
      </c>
      <c r="J1702" s="196"/>
      <c r="K1702" s="196" t="s">
        <v>1881</v>
      </c>
      <c r="L1702" s="240" t="s">
        <v>8513</v>
      </c>
      <c r="M1702" s="196">
        <v>288</v>
      </c>
      <c r="N1702" s="196"/>
      <c r="O1702" s="196" t="s">
        <v>6795</v>
      </c>
      <c r="P1702" s="144">
        <v>293</v>
      </c>
      <c r="Q1702" s="145">
        <f t="shared" si="110"/>
        <v>0.85439999999999983</v>
      </c>
      <c r="R1702" s="145">
        <f t="shared" si="109"/>
        <v>2.0543999999999998</v>
      </c>
      <c r="S1702" s="203">
        <v>1.51</v>
      </c>
      <c r="T1702" s="151">
        <v>0.13</v>
      </c>
      <c r="U1702" s="151" t="str">
        <f t="shared" si="111"/>
        <v>1,20</v>
      </c>
      <c r="V1702" s="151">
        <f t="shared" si="108"/>
        <v>0.33999999999999997</v>
      </c>
      <c r="W1702" s="151">
        <v>0.25</v>
      </c>
      <c r="X1702" s="152">
        <f t="shared" si="112"/>
        <v>0.13439999999999999</v>
      </c>
      <c r="Y1702" s="152">
        <f t="shared" si="113"/>
        <v>1.51</v>
      </c>
      <c r="Z1702" s="152">
        <f t="shared" si="114"/>
        <v>2.0543999999999998</v>
      </c>
      <c r="AA1702" s="153"/>
      <c r="AB1702" s="153"/>
      <c r="AC1702" s="153"/>
      <c r="AD1702" s="153"/>
      <c r="AH1702" s="147"/>
    </row>
    <row r="1703" spans="1:34" s="146" customFormat="1" x14ac:dyDescent="0.25">
      <c r="A1703" s="196">
        <v>1315</v>
      </c>
      <c r="B1703" s="196" t="s">
        <v>8514</v>
      </c>
      <c r="C1703" s="196" t="s">
        <v>8515</v>
      </c>
      <c r="D1703" s="196" t="s">
        <v>3116</v>
      </c>
      <c r="E1703" s="196" t="s">
        <v>1913</v>
      </c>
      <c r="F1703" s="196">
        <v>2013</v>
      </c>
      <c r="G1703" s="196"/>
      <c r="H1703" s="196" t="s">
        <v>1878</v>
      </c>
      <c r="I1703" s="141" t="s">
        <v>1879</v>
      </c>
      <c r="J1703" s="196"/>
      <c r="K1703" s="196" t="s">
        <v>1881</v>
      </c>
      <c r="L1703" s="240" t="s">
        <v>8516</v>
      </c>
      <c r="M1703" s="196">
        <v>376</v>
      </c>
      <c r="N1703" s="196"/>
      <c r="O1703" s="196" t="s">
        <v>6796</v>
      </c>
      <c r="P1703" s="144">
        <v>586</v>
      </c>
      <c r="Q1703" s="145">
        <f t="shared" si="110"/>
        <v>1.55</v>
      </c>
      <c r="R1703" s="145">
        <f t="shared" si="109"/>
        <v>3.25</v>
      </c>
      <c r="S1703" s="203">
        <v>3.25</v>
      </c>
      <c r="T1703" s="151">
        <v>0.13</v>
      </c>
      <c r="U1703" s="151" t="str">
        <f t="shared" si="111"/>
        <v>1,70</v>
      </c>
      <c r="V1703" s="151">
        <f t="shared" si="108"/>
        <v>0.33999999999999997</v>
      </c>
      <c r="W1703" s="151">
        <v>0.85</v>
      </c>
      <c r="X1703" s="152">
        <f t="shared" si="112"/>
        <v>0.2114</v>
      </c>
      <c r="Y1703" s="152">
        <f t="shared" si="113"/>
        <v>3.25</v>
      </c>
      <c r="Z1703" s="152">
        <f t="shared" si="114"/>
        <v>3.2313999999999998</v>
      </c>
      <c r="AA1703" s="153"/>
      <c r="AB1703" s="153"/>
      <c r="AC1703" s="153"/>
      <c r="AD1703" s="153"/>
      <c r="AH1703" s="147"/>
    </row>
    <row r="1704" spans="1:34" s="146" customFormat="1" x14ac:dyDescent="0.25">
      <c r="A1704" s="196">
        <v>721</v>
      </c>
      <c r="B1704" s="196"/>
      <c r="C1704" s="196" t="s">
        <v>8517</v>
      </c>
      <c r="D1704" s="196" t="s">
        <v>8518</v>
      </c>
      <c r="E1704" s="196"/>
      <c r="F1704" s="196"/>
      <c r="G1704" s="196"/>
      <c r="H1704" s="196" t="s">
        <v>2734</v>
      </c>
      <c r="I1704" s="141" t="s">
        <v>1879</v>
      </c>
      <c r="J1704" s="52" t="s">
        <v>3854</v>
      </c>
      <c r="K1704" s="196" t="s">
        <v>1881</v>
      </c>
      <c r="L1704" s="240" t="s">
        <v>8519</v>
      </c>
      <c r="M1704" s="196">
        <v>290</v>
      </c>
      <c r="N1704" s="196"/>
      <c r="O1704" s="196" t="s">
        <v>6797</v>
      </c>
      <c r="P1704" s="144">
        <v>643</v>
      </c>
      <c r="Q1704" s="145">
        <f t="shared" si="110"/>
        <v>2.601399999999999</v>
      </c>
      <c r="R1704" s="145">
        <f t="shared" si="109"/>
        <v>4.3013999999999992</v>
      </c>
      <c r="S1704" s="203">
        <v>4.29</v>
      </c>
      <c r="T1704" s="151">
        <v>0.13</v>
      </c>
      <c r="U1704" s="151" t="str">
        <f t="shared" si="111"/>
        <v>1,70</v>
      </c>
      <c r="V1704" s="151">
        <f t="shared" si="108"/>
        <v>0.33999999999999997</v>
      </c>
      <c r="W1704" s="151">
        <v>1.85</v>
      </c>
      <c r="X1704" s="152">
        <f t="shared" si="112"/>
        <v>0.28139999999999993</v>
      </c>
      <c r="Y1704" s="152">
        <f t="shared" si="113"/>
        <v>4.29</v>
      </c>
      <c r="Z1704" s="152">
        <f t="shared" si="114"/>
        <v>4.3013999999999992</v>
      </c>
      <c r="AA1704" s="153"/>
      <c r="AB1704" s="153"/>
      <c r="AC1704" s="153"/>
      <c r="AD1704" s="153"/>
      <c r="AH1704" s="147"/>
    </row>
    <row r="1705" spans="1:34" s="146" customFormat="1" x14ac:dyDescent="0.25">
      <c r="A1705" s="196">
        <v>1984</v>
      </c>
      <c r="B1705" s="196" t="s">
        <v>8520</v>
      </c>
      <c r="C1705" s="196" t="s">
        <v>7217</v>
      </c>
      <c r="D1705" s="196" t="s">
        <v>3524</v>
      </c>
      <c r="E1705" s="196"/>
      <c r="F1705" s="196">
        <v>2003</v>
      </c>
      <c r="G1705" s="196"/>
      <c r="H1705" s="196" t="s">
        <v>8439</v>
      </c>
      <c r="I1705" s="141" t="s">
        <v>1879</v>
      </c>
      <c r="J1705" s="196"/>
      <c r="K1705" s="196" t="s">
        <v>1881</v>
      </c>
      <c r="L1705" s="240" t="s">
        <v>8521</v>
      </c>
      <c r="M1705" s="196">
        <v>62</v>
      </c>
      <c r="N1705" s="196"/>
      <c r="O1705" s="196" t="s">
        <v>6798</v>
      </c>
      <c r="P1705" s="144">
        <v>123</v>
      </c>
      <c r="Q1705" s="145">
        <f t="shared" si="110"/>
        <v>0.85439999999999983</v>
      </c>
      <c r="R1705" s="145">
        <f t="shared" si="109"/>
        <v>2.0543999999999998</v>
      </c>
      <c r="S1705" s="203">
        <v>1.9</v>
      </c>
      <c r="T1705" s="151">
        <v>0.13</v>
      </c>
      <c r="U1705" s="151" t="str">
        <f t="shared" si="111"/>
        <v>1,20</v>
      </c>
      <c r="V1705" s="151">
        <f t="shared" si="108"/>
        <v>0.33999999999999997</v>
      </c>
      <c r="W1705" s="151">
        <v>0.25</v>
      </c>
      <c r="X1705" s="152">
        <f t="shared" si="112"/>
        <v>0.13439999999999999</v>
      </c>
      <c r="Y1705" s="152">
        <f t="shared" si="113"/>
        <v>1.9</v>
      </c>
      <c r="Z1705" s="152">
        <f t="shared" si="114"/>
        <v>2.0543999999999998</v>
      </c>
      <c r="AA1705" s="153"/>
      <c r="AB1705" s="153"/>
      <c r="AC1705" s="153"/>
      <c r="AD1705" s="153"/>
      <c r="AH1705" s="147"/>
    </row>
    <row r="1706" spans="1:34" s="146" customFormat="1" x14ac:dyDescent="0.25">
      <c r="A1706" s="196">
        <v>691</v>
      </c>
      <c r="B1706" s="196"/>
      <c r="C1706" s="196" t="s">
        <v>8522</v>
      </c>
      <c r="D1706" s="196" t="s">
        <v>8523</v>
      </c>
      <c r="E1706" s="196"/>
      <c r="F1706" s="196">
        <v>2011</v>
      </c>
      <c r="G1706" s="196"/>
      <c r="H1706" s="196" t="s">
        <v>2734</v>
      </c>
      <c r="I1706" s="141" t="s">
        <v>1914</v>
      </c>
      <c r="J1706" s="196" t="s">
        <v>8524</v>
      </c>
      <c r="K1706" s="196" t="s">
        <v>1881</v>
      </c>
      <c r="L1706" s="240" t="s">
        <v>8525</v>
      </c>
      <c r="M1706" s="196">
        <v>66</v>
      </c>
      <c r="N1706" s="196"/>
      <c r="O1706" s="196" t="s">
        <v>6799</v>
      </c>
      <c r="P1706" s="144">
        <v>485</v>
      </c>
      <c r="Q1706" s="145">
        <f t="shared" si="110"/>
        <v>2.2000000000000002</v>
      </c>
      <c r="R1706" s="145">
        <f t="shared" si="109"/>
        <v>3.4</v>
      </c>
      <c r="S1706" s="203">
        <v>3.4</v>
      </c>
      <c r="T1706" s="151">
        <v>0.13</v>
      </c>
      <c r="U1706" s="151" t="str">
        <f t="shared" si="111"/>
        <v>1,20</v>
      </c>
      <c r="V1706" s="151">
        <f t="shared" ref="V1706:V1737" si="115">0.08+0.09+0.17</f>
        <v>0.33999999999999997</v>
      </c>
      <c r="W1706" s="151">
        <v>1.5</v>
      </c>
      <c r="X1706" s="152">
        <f t="shared" si="112"/>
        <v>0.22189999999999999</v>
      </c>
      <c r="Y1706" s="152">
        <f t="shared" si="113"/>
        <v>3.4</v>
      </c>
      <c r="Z1706" s="152">
        <f t="shared" si="114"/>
        <v>3.3918999999999997</v>
      </c>
      <c r="AA1706" s="153"/>
      <c r="AB1706" s="153"/>
      <c r="AC1706" s="153"/>
      <c r="AD1706" s="153"/>
      <c r="AH1706" s="147"/>
    </row>
    <row r="1707" spans="1:34" s="146" customFormat="1" x14ac:dyDescent="0.25">
      <c r="A1707" s="196">
        <v>691</v>
      </c>
      <c r="B1707" s="196"/>
      <c r="C1707" s="196" t="s">
        <v>8526</v>
      </c>
      <c r="D1707" s="196" t="s">
        <v>8527</v>
      </c>
      <c r="E1707" s="196"/>
      <c r="F1707" s="196">
        <v>2011</v>
      </c>
      <c r="G1707" s="196"/>
      <c r="H1707" s="196" t="s">
        <v>2734</v>
      </c>
      <c r="I1707" s="141" t="s">
        <v>1914</v>
      </c>
      <c r="J1707" s="196" t="s">
        <v>8524</v>
      </c>
      <c r="K1707" s="196" t="s">
        <v>1881</v>
      </c>
      <c r="L1707" s="240" t="s">
        <v>8525</v>
      </c>
      <c r="M1707" s="196">
        <v>66</v>
      </c>
      <c r="N1707" s="196"/>
      <c r="O1707" s="196" t="s">
        <v>6800</v>
      </c>
      <c r="P1707" s="144">
        <v>458</v>
      </c>
      <c r="Q1707" s="145">
        <f t="shared" si="110"/>
        <v>2.2000000000000002</v>
      </c>
      <c r="R1707" s="145">
        <f t="shared" si="109"/>
        <v>3.4</v>
      </c>
      <c r="S1707" s="203">
        <v>3.4</v>
      </c>
      <c r="T1707" s="151">
        <v>0.13</v>
      </c>
      <c r="U1707" s="151" t="str">
        <f t="shared" si="111"/>
        <v>1,20</v>
      </c>
      <c r="V1707" s="151">
        <f t="shared" si="115"/>
        <v>0.33999999999999997</v>
      </c>
      <c r="W1707" s="151">
        <v>1.5</v>
      </c>
      <c r="X1707" s="152">
        <f t="shared" si="112"/>
        <v>0.22189999999999999</v>
      </c>
      <c r="Y1707" s="152">
        <f t="shared" si="113"/>
        <v>3.4</v>
      </c>
      <c r="Z1707" s="152">
        <f t="shared" si="114"/>
        <v>3.3918999999999997</v>
      </c>
      <c r="AA1707" s="153"/>
      <c r="AB1707" s="153"/>
      <c r="AC1707" s="153"/>
      <c r="AD1707" s="153"/>
      <c r="AH1707" s="147"/>
    </row>
    <row r="1708" spans="1:34" s="146" customFormat="1" x14ac:dyDescent="0.25">
      <c r="A1708" s="196">
        <v>691</v>
      </c>
      <c r="B1708" s="196"/>
      <c r="C1708" s="196" t="s">
        <v>8528</v>
      </c>
      <c r="D1708" s="196" t="s">
        <v>8523</v>
      </c>
      <c r="E1708" s="196"/>
      <c r="F1708" s="196">
        <v>2012</v>
      </c>
      <c r="G1708" s="196"/>
      <c r="H1708" s="196" t="s">
        <v>2734</v>
      </c>
      <c r="I1708" s="141" t="s">
        <v>1914</v>
      </c>
      <c r="J1708" s="196" t="s">
        <v>8529</v>
      </c>
      <c r="K1708" s="196" t="s">
        <v>1881</v>
      </c>
      <c r="L1708" s="240" t="s">
        <v>8530</v>
      </c>
      <c r="M1708" s="196">
        <v>46</v>
      </c>
      <c r="N1708" s="196"/>
      <c r="O1708" s="196" t="s">
        <v>6801</v>
      </c>
      <c r="P1708" s="144">
        <v>373</v>
      </c>
      <c r="Q1708" s="145">
        <f t="shared" si="110"/>
        <v>0.85439999999999983</v>
      </c>
      <c r="R1708" s="145">
        <f t="shared" si="109"/>
        <v>2.0543999999999998</v>
      </c>
      <c r="S1708" s="203">
        <v>1.83</v>
      </c>
      <c r="T1708" s="151">
        <v>0.13</v>
      </c>
      <c r="U1708" s="151" t="str">
        <f t="shared" si="111"/>
        <v>1,20</v>
      </c>
      <c r="V1708" s="151">
        <f t="shared" si="115"/>
        <v>0.33999999999999997</v>
      </c>
      <c r="W1708" s="151">
        <v>0.25</v>
      </c>
      <c r="X1708" s="152">
        <f t="shared" si="112"/>
        <v>0.13439999999999999</v>
      </c>
      <c r="Y1708" s="152">
        <f t="shared" si="113"/>
        <v>1.83</v>
      </c>
      <c r="Z1708" s="152">
        <f t="shared" si="114"/>
        <v>2.0543999999999998</v>
      </c>
      <c r="AA1708" s="153"/>
      <c r="AB1708" s="153"/>
      <c r="AC1708" s="153"/>
      <c r="AD1708" s="153"/>
      <c r="AH1708" s="147"/>
    </row>
    <row r="1709" spans="1:34" s="146" customFormat="1" x14ac:dyDescent="0.25">
      <c r="A1709" s="196">
        <v>691</v>
      </c>
      <c r="B1709" s="196"/>
      <c r="C1709" s="196" t="s">
        <v>8531</v>
      </c>
      <c r="D1709" s="196" t="s">
        <v>8523</v>
      </c>
      <c r="E1709" s="196"/>
      <c r="F1709" s="196">
        <v>2011</v>
      </c>
      <c r="G1709" s="196"/>
      <c r="H1709" s="196" t="s">
        <v>2734</v>
      </c>
      <c r="I1709" s="141" t="s">
        <v>1914</v>
      </c>
      <c r="J1709" s="196" t="s">
        <v>8524</v>
      </c>
      <c r="K1709" s="196" t="s">
        <v>1881</v>
      </c>
      <c r="L1709" s="240" t="s">
        <v>8532</v>
      </c>
      <c r="M1709" s="196">
        <v>66</v>
      </c>
      <c r="N1709" s="196"/>
      <c r="O1709" s="196" t="s">
        <v>6802</v>
      </c>
      <c r="P1709" s="144">
        <v>489</v>
      </c>
      <c r="Q1709" s="145">
        <f t="shared" si="110"/>
        <v>1.7103999999999997</v>
      </c>
      <c r="R1709" s="145">
        <f t="shared" si="109"/>
        <v>2.9103999999999997</v>
      </c>
      <c r="S1709" s="203">
        <v>2.9</v>
      </c>
      <c r="T1709" s="151">
        <v>0.13</v>
      </c>
      <c r="U1709" s="151" t="str">
        <f t="shared" si="111"/>
        <v>1,20</v>
      </c>
      <c r="V1709" s="151">
        <f t="shared" si="115"/>
        <v>0.33999999999999997</v>
      </c>
      <c r="W1709" s="151">
        <v>1.05</v>
      </c>
      <c r="X1709" s="152">
        <f t="shared" si="112"/>
        <v>0.19039999999999999</v>
      </c>
      <c r="Y1709" s="152">
        <f t="shared" si="113"/>
        <v>2.9</v>
      </c>
      <c r="Z1709" s="152">
        <f t="shared" si="114"/>
        <v>2.9103999999999997</v>
      </c>
      <c r="AA1709" s="153"/>
      <c r="AB1709" s="153"/>
      <c r="AC1709" s="153"/>
      <c r="AD1709" s="153"/>
      <c r="AH1709" s="147"/>
    </row>
    <row r="1710" spans="1:34" s="146" customFormat="1" x14ac:dyDescent="0.25">
      <c r="A1710" s="196">
        <v>651</v>
      </c>
      <c r="B1710" s="196" t="s">
        <v>8533</v>
      </c>
      <c r="C1710" s="196" t="s">
        <v>8534</v>
      </c>
      <c r="D1710" s="196" t="s">
        <v>8535</v>
      </c>
      <c r="E1710" s="196"/>
      <c r="F1710" s="196">
        <v>2002</v>
      </c>
      <c r="G1710" s="196"/>
      <c r="H1710" s="196" t="s">
        <v>2734</v>
      </c>
      <c r="I1710" s="141" t="s">
        <v>1879</v>
      </c>
      <c r="J1710" s="196"/>
      <c r="K1710" s="196" t="s">
        <v>1881</v>
      </c>
      <c r="L1710" s="240" t="s">
        <v>8536</v>
      </c>
      <c r="M1710" s="196">
        <v>138</v>
      </c>
      <c r="N1710" s="196"/>
      <c r="O1710" s="196" t="s">
        <v>6803</v>
      </c>
      <c r="P1710" s="144">
        <v>734</v>
      </c>
      <c r="Q1710" s="145">
        <f t="shared" si="110"/>
        <v>1.5999999999999999</v>
      </c>
      <c r="R1710" s="145">
        <f t="shared" si="109"/>
        <v>3.3</v>
      </c>
      <c r="S1710" s="203">
        <v>3.3</v>
      </c>
      <c r="T1710" s="151">
        <v>0.13</v>
      </c>
      <c r="U1710" s="151" t="str">
        <f t="shared" si="111"/>
        <v>1,70</v>
      </c>
      <c r="V1710" s="151">
        <f t="shared" si="115"/>
        <v>0.33999999999999997</v>
      </c>
      <c r="W1710" s="151">
        <v>0.9</v>
      </c>
      <c r="X1710" s="152">
        <f t="shared" si="112"/>
        <v>0.21489999999999998</v>
      </c>
      <c r="Y1710" s="152">
        <f t="shared" si="113"/>
        <v>3.3</v>
      </c>
      <c r="Z1710" s="152">
        <f t="shared" si="114"/>
        <v>3.2848999999999999</v>
      </c>
      <c r="AA1710" s="153"/>
      <c r="AB1710" s="153"/>
      <c r="AC1710" s="153"/>
      <c r="AD1710" s="153"/>
      <c r="AH1710" s="147"/>
    </row>
    <row r="1711" spans="1:34" s="146" customFormat="1" x14ac:dyDescent="0.25">
      <c r="A1711" s="196">
        <v>1340</v>
      </c>
      <c r="B1711" s="196" t="s">
        <v>8537</v>
      </c>
      <c r="C1711" s="196" t="s">
        <v>8538</v>
      </c>
      <c r="D1711" s="196" t="s">
        <v>3606</v>
      </c>
      <c r="E1711" s="196"/>
      <c r="F1711" s="196">
        <v>2010</v>
      </c>
      <c r="G1711" s="196"/>
      <c r="H1711" s="196" t="s">
        <v>1878</v>
      </c>
      <c r="I1711" s="141" t="s">
        <v>7817</v>
      </c>
      <c r="J1711" s="196"/>
      <c r="K1711" s="196" t="s">
        <v>1881</v>
      </c>
      <c r="L1711" s="240" t="s">
        <v>8539</v>
      </c>
      <c r="M1711" s="196">
        <v>128</v>
      </c>
      <c r="N1711" s="196"/>
      <c r="O1711" s="196" t="s">
        <v>6804</v>
      </c>
      <c r="P1711" s="144">
        <v>389</v>
      </c>
      <c r="Q1711" s="145">
        <f t="shared" si="110"/>
        <v>4.2</v>
      </c>
      <c r="R1711" s="145">
        <f t="shared" si="109"/>
        <v>5.4</v>
      </c>
      <c r="S1711" s="203">
        <v>5.4</v>
      </c>
      <c r="T1711" s="151">
        <v>0.13</v>
      </c>
      <c r="U1711" s="151" t="str">
        <f t="shared" si="111"/>
        <v>1,20</v>
      </c>
      <c r="V1711" s="151">
        <f t="shared" si="115"/>
        <v>0.33999999999999997</v>
      </c>
      <c r="W1711" s="151">
        <v>3.35</v>
      </c>
      <c r="X1711" s="152">
        <f t="shared" si="112"/>
        <v>0.35139999999999993</v>
      </c>
      <c r="Y1711" s="152">
        <f t="shared" si="113"/>
        <v>5.4</v>
      </c>
      <c r="Z1711" s="152">
        <f t="shared" si="114"/>
        <v>5.3713999999999995</v>
      </c>
      <c r="AA1711" s="153"/>
      <c r="AB1711" s="153"/>
      <c r="AC1711" s="153"/>
      <c r="AD1711" s="153"/>
      <c r="AH1711" s="147"/>
    </row>
    <row r="1712" spans="1:34" s="146" customFormat="1" x14ac:dyDescent="0.25">
      <c r="A1712" s="196">
        <v>2943</v>
      </c>
      <c r="B1712" s="196" t="s">
        <v>8540</v>
      </c>
      <c r="C1712" s="196" t="s">
        <v>8541</v>
      </c>
      <c r="D1712" s="196" t="s">
        <v>4693</v>
      </c>
      <c r="E1712" s="196" t="s">
        <v>1913</v>
      </c>
      <c r="F1712" s="196">
        <v>1995</v>
      </c>
      <c r="G1712" s="196"/>
      <c r="H1712" s="196" t="s">
        <v>1878</v>
      </c>
      <c r="I1712" s="141" t="s">
        <v>1879</v>
      </c>
      <c r="J1712" s="196"/>
      <c r="K1712" s="196" t="s">
        <v>1881</v>
      </c>
      <c r="L1712" s="240" t="s">
        <v>8542</v>
      </c>
      <c r="M1712" s="196">
        <v>96</v>
      </c>
      <c r="N1712" s="196"/>
      <c r="O1712" s="196" t="s">
        <v>6805</v>
      </c>
      <c r="P1712" s="144">
        <v>255</v>
      </c>
      <c r="Q1712" s="145">
        <f t="shared" si="110"/>
        <v>0.96140000000000003</v>
      </c>
      <c r="R1712" s="145">
        <f t="shared" si="109"/>
        <v>2.1614</v>
      </c>
      <c r="S1712" s="203">
        <v>2.13</v>
      </c>
      <c r="T1712" s="151">
        <v>0.13</v>
      </c>
      <c r="U1712" s="151" t="str">
        <f t="shared" si="111"/>
        <v>1,20</v>
      </c>
      <c r="V1712" s="151">
        <f t="shared" si="115"/>
        <v>0.33999999999999997</v>
      </c>
      <c r="W1712" s="151">
        <v>0.35</v>
      </c>
      <c r="X1712" s="152">
        <f t="shared" si="112"/>
        <v>0.1414</v>
      </c>
      <c r="Y1712" s="152">
        <f t="shared" si="113"/>
        <v>2.13</v>
      </c>
      <c r="Z1712" s="152">
        <f t="shared" si="114"/>
        <v>2.1614</v>
      </c>
      <c r="AA1712" s="153"/>
      <c r="AB1712" s="153"/>
      <c r="AC1712" s="153"/>
      <c r="AD1712" s="153"/>
      <c r="AH1712" s="147"/>
    </row>
    <row r="1713" spans="1:34" s="146" customFormat="1" x14ac:dyDescent="0.25">
      <c r="A1713" s="196">
        <v>763</v>
      </c>
      <c r="B1713" s="196" t="s">
        <v>8543</v>
      </c>
      <c r="C1713" s="196" t="s">
        <v>8544</v>
      </c>
      <c r="D1713" s="196" t="s">
        <v>4693</v>
      </c>
      <c r="E1713" s="196" t="s">
        <v>2175</v>
      </c>
      <c r="F1713" s="196">
        <v>2008</v>
      </c>
      <c r="G1713" s="196"/>
      <c r="H1713" s="196" t="s">
        <v>1878</v>
      </c>
      <c r="I1713" s="141" t="s">
        <v>7817</v>
      </c>
      <c r="J1713" s="196"/>
      <c r="K1713" s="196" t="s">
        <v>1881</v>
      </c>
      <c r="L1713" s="240" t="s">
        <v>8545</v>
      </c>
      <c r="M1713" s="196">
        <v>128</v>
      </c>
      <c r="N1713" s="196"/>
      <c r="O1713" s="196" t="s">
        <v>6806</v>
      </c>
      <c r="P1713" s="144">
        <v>313</v>
      </c>
      <c r="Q1713" s="145">
        <f t="shared" si="110"/>
        <v>0.85439999999999983</v>
      </c>
      <c r="R1713" s="145">
        <f t="shared" si="109"/>
        <v>2.0543999999999998</v>
      </c>
      <c r="S1713" s="203">
        <v>1.55</v>
      </c>
      <c r="T1713" s="151">
        <v>0.13</v>
      </c>
      <c r="U1713" s="151" t="str">
        <f t="shared" si="111"/>
        <v>1,20</v>
      </c>
      <c r="V1713" s="151">
        <f t="shared" si="115"/>
        <v>0.33999999999999997</v>
      </c>
      <c r="W1713" s="151">
        <v>0.25</v>
      </c>
      <c r="X1713" s="152">
        <f t="shared" si="112"/>
        <v>0.13439999999999999</v>
      </c>
      <c r="Y1713" s="152">
        <f t="shared" si="113"/>
        <v>1.55</v>
      </c>
      <c r="Z1713" s="152">
        <f t="shared" si="114"/>
        <v>2.0543999999999998</v>
      </c>
      <c r="AA1713" s="153"/>
      <c r="AB1713" s="153"/>
      <c r="AC1713" s="153"/>
      <c r="AD1713" s="153"/>
      <c r="AH1713" s="147"/>
    </row>
    <row r="1714" spans="1:34" s="146" customFormat="1" x14ac:dyDescent="0.25">
      <c r="A1714" s="196">
        <v>704</v>
      </c>
      <c r="B1714" s="196" t="s">
        <v>4649</v>
      </c>
      <c r="C1714" s="196" t="s">
        <v>8546</v>
      </c>
      <c r="D1714" s="196" t="s">
        <v>1998</v>
      </c>
      <c r="E1714" s="196" t="s">
        <v>1877</v>
      </c>
      <c r="F1714" s="196">
        <v>2008</v>
      </c>
      <c r="G1714" s="196"/>
      <c r="H1714" s="196" t="s">
        <v>1878</v>
      </c>
      <c r="I1714" s="141" t="s">
        <v>7817</v>
      </c>
      <c r="J1714" s="196"/>
      <c r="K1714" s="196" t="s">
        <v>1881</v>
      </c>
      <c r="L1714" s="240" t="s">
        <v>8547</v>
      </c>
      <c r="M1714" s="196">
        <v>162</v>
      </c>
      <c r="N1714" s="196"/>
      <c r="O1714" s="196" t="s">
        <v>6807</v>
      </c>
      <c r="P1714" s="144">
        <v>238</v>
      </c>
      <c r="Q1714" s="145">
        <f t="shared" si="110"/>
        <v>1.0148999999999997</v>
      </c>
      <c r="R1714" s="145">
        <f t="shared" si="109"/>
        <v>2.2148999999999996</v>
      </c>
      <c r="S1714" s="203">
        <v>2.2000000000000002</v>
      </c>
      <c r="T1714" s="151">
        <v>0.13</v>
      </c>
      <c r="U1714" s="151" t="str">
        <f t="shared" si="111"/>
        <v>1,20</v>
      </c>
      <c r="V1714" s="151">
        <f t="shared" si="115"/>
        <v>0.33999999999999997</v>
      </c>
      <c r="W1714" s="151">
        <v>0.4</v>
      </c>
      <c r="X1714" s="152">
        <f t="shared" si="112"/>
        <v>0.1449</v>
      </c>
      <c r="Y1714" s="152">
        <f t="shared" si="113"/>
        <v>2.2000000000000002</v>
      </c>
      <c r="Z1714" s="152">
        <f t="shared" si="114"/>
        <v>2.2148999999999996</v>
      </c>
      <c r="AA1714" s="153"/>
      <c r="AB1714" s="153"/>
      <c r="AC1714" s="153"/>
      <c r="AD1714" s="153"/>
      <c r="AH1714" s="147"/>
    </row>
    <row r="1715" spans="1:34" s="146" customFormat="1" x14ac:dyDescent="0.25">
      <c r="A1715" s="196">
        <v>765</v>
      </c>
      <c r="B1715" s="196"/>
      <c r="C1715" s="196" t="s">
        <v>7981</v>
      </c>
      <c r="D1715" s="196" t="s">
        <v>8548</v>
      </c>
      <c r="E1715" s="196"/>
      <c r="F1715" s="196">
        <v>2017</v>
      </c>
      <c r="G1715" s="196"/>
      <c r="H1715" s="196" t="s">
        <v>2734</v>
      </c>
      <c r="I1715" s="141" t="s">
        <v>1879</v>
      </c>
      <c r="J1715" s="196" t="s">
        <v>8549</v>
      </c>
      <c r="K1715" s="196" t="s">
        <v>1881</v>
      </c>
      <c r="L1715" s="240" t="s">
        <v>8550</v>
      </c>
      <c r="M1715" s="196"/>
      <c r="N1715" s="196"/>
      <c r="O1715" s="196" t="s">
        <v>6808</v>
      </c>
      <c r="P1715" s="144">
        <v>430</v>
      </c>
      <c r="Q1715" s="145">
        <f t="shared" si="110"/>
        <v>3.3499999999999996</v>
      </c>
      <c r="R1715" s="145">
        <f t="shared" si="109"/>
        <v>4.55</v>
      </c>
      <c r="S1715" s="203">
        <v>4.55</v>
      </c>
      <c r="T1715" s="151">
        <v>0.13</v>
      </c>
      <c r="U1715" s="151" t="str">
        <f t="shared" si="111"/>
        <v>1,20</v>
      </c>
      <c r="V1715" s="151">
        <f t="shared" si="115"/>
        <v>0.33999999999999997</v>
      </c>
      <c r="W1715" s="151">
        <v>2.5499999999999998</v>
      </c>
      <c r="X1715" s="152">
        <f t="shared" si="112"/>
        <v>0.29539999999999994</v>
      </c>
      <c r="Y1715" s="152">
        <f t="shared" si="113"/>
        <v>4.55</v>
      </c>
      <c r="Z1715" s="152">
        <f t="shared" si="114"/>
        <v>4.5153999999999996</v>
      </c>
      <c r="AA1715" s="153"/>
      <c r="AB1715" s="153"/>
      <c r="AC1715" s="153"/>
      <c r="AD1715" s="153"/>
      <c r="AH1715" s="147"/>
    </row>
    <row r="1716" spans="1:34" s="146" customFormat="1" x14ac:dyDescent="0.25">
      <c r="A1716" s="196">
        <v>2522</v>
      </c>
      <c r="B1716" s="196" t="s">
        <v>3832</v>
      </c>
      <c r="C1716" s="196" t="s">
        <v>8554</v>
      </c>
      <c r="D1716" s="196" t="s">
        <v>2054</v>
      </c>
      <c r="E1716" s="196"/>
      <c r="F1716" s="196">
        <v>1997</v>
      </c>
      <c r="G1716" s="196"/>
      <c r="H1716" s="196" t="s">
        <v>2734</v>
      </c>
      <c r="I1716" s="141" t="s">
        <v>7527</v>
      </c>
      <c r="J1716" s="196"/>
      <c r="K1716" s="196" t="s">
        <v>1881</v>
      </c>
      <c r="L1716" s="240" t="s">
        <v>8555</v>
      </c>
      <c r="M1716" s="196">
        <v>546</v>
      </c>
      <c r="N1716" s="196"/>
      <c r="O1716" s="196" t="s">
        <v>6810</v>
      </c>
      <c r="P1716" s="144">
        <v>459</v>
      </c>
      <c r="Q1716" s="145">
        <f t="shared" si="110"/>
        <v>1.1218999999999999</v>
      </c>
      <c r="R1716" s="145">
        <f t="shared" si="109"/>
        <v>2.3218999999999999</v>
      </c>
      <c r="S1716" s="203">
        <v>2.2999999999999998</v>
      </c>
      <c r="T1716" s="151">
        <v>0.13</v>
      </c>
      <c r="U1716" s="151" t="str">
        <f t="shared" si="111"/>
        <v>1,20</v>
      </c>
      <c r="V1716" s="151">
        <f t="shared" si="115"/>
        <v>0.33999999999999997</v>
      </c>
      <c r="W1716" s="151">
        <v>0.5</v>
      </c>
      <c r="X1716" s="152">
        <f t="shared" si="112"/>
        <v>0.15190000000000001</v>
      </c>
      <c r="Y1716" s="152">
        <f t="shared" si="113"/>
        <v>2.2999999999999998</v>
      </c>
      <c r="Z1716" s="152">
        <f t="shared" si="114"/>
        <v>2.3218999999999999</v>
      </c>
      <c r="AA1716" s="153"/>
      <c r="AB1716" s="153"/>
      <c r="AC1716" s="153"/>
      <c r="AD1716" s="153"/>
      <c r="AH1716" s="147"/>
    </row>
    <row r="1717" spans="1:34" s="146" customFormat="1" x14ac:dyDescent="0.25">
      <c r="A1717" s="196">
        <v>2905</v>
      </c>
      <c r="B1717" s="196" t="s">
        <v>8556</v>
      </c>
      <c r="C1717" s="196" t="s">
        <v>8557</v>
      </c>
      <c r="D1717" s="196" t="s">
        <v>1912</v>
      </c>
      <c r="E1717" s="196" t="s">
        <v>1877</v>
      </c>
      <c r="F1717" s="196">
        <v>2015</v>
      </c>
      <c r="G1717" s="196"/>
      <c r="H1717" s="196" t="s">
        <v>1878</v>
      </c>
      <c r="I1717" s="141" t="s">
        <v>1879</v>
      </c>
      <c r="J1717" s="196"/>
      <c r="K1717" s="196" t="s">
        <v>1881</v>
      </c>
      <c r="L1717" s="240" t="s">
        <v>8558</v>
      </c>
      <c r="M1717" s="196">
        <v>544</v>
      </c>
      <c r="N1717" s="196"/>
      <c r="O1717" s="196" t="s">
        <v>6811</v>
      </c>
      <c r="P1717" s="144">
        <v>435</v>
      </c>
      <c r="Q1717" s="145">
        <f t="shared" si="110"/>
        <v>1.6033999999999999</v>
      </c>
      <c r="R1717" s="145">
        <f t="shared" si="109"/>
        <v>2.8033999999999999</v>
      </c>
      <c r="S1717" s="203">
        <v>2.8</v>
      </c>
      <c r="T1717" s="151">
        <v>0.13</v>
      </c>
      <c r="U1717" s="151" t="str">
        <f t="shared" si="111"/>
        <v>1,20</v>
      </c>
      <c r="V1717" s="151">
        <f t="shared" si="115"/>
        <v>0.33999999999999997</v>
      </c>
      <c r="W1717" s="151">
        <v>0.95</v>
      </c>
      <c r="X1717" s="152">
        <f t="shared" si="112"/>
        <v>0.18340000000000001</v>
      </c>
      <c r="Y1717" s="152">
        <f t="shared" si="113"/>
        <v>2.8</v>
      </c>
      <c r="Z1717" s="152">
        <f t="shared" si="114"/>
        <v>2.8033999999999999</v>
      </c>
      <c r="AA1717" s="153"/>
      <c r="AB1717" s="153"/>
      <c r="AC1717" s="153"/>
      <c r="AD1717" s="153"/>
      <c r="AH1717" s="147"/>
    </row>
    <row r="1718" spans="1:34" s="146" customFormat="1" x14ac:dyDescent="0.25">
      <c r="A1718" s="196">
        <v>2905</v>
      </c>
      <c r="B1718" s="196" t="s">
        <v>8559</v>
      </c>
      <c r="C1718" s="196" t="s">
        <v>8560</v>
      </c>
      <c r="D1718" s="196" t="s">
        <v>2453</v>
      </c>
      <c r="E1718" s="196" t="s">
        <v>2032</v>
      </c>
      <c r="F1718" s="196">
        <v>2006</v>
      </c>
      <c r="G1718" s="196"/>
      <c r="H1718" s="196" t="s">
        <v>1878</v>
      </c>
      <c r="I1718" s="141" t="s">
        <v>1879</v>
      </c>
      <c r="J1718" s="196"/>
      <c r="K1718" s="196" t="s">
        <v>1881</v>
      </c>
      <c r="L1718" s="240" t="s">
        <v>8561</v>
      </c>
      <c r="M1718" s="196">
        <v>384</v>
      </c>
      <c r="N1718" s="196"/>
      <c r="O1718" s="196" t="s">
        <v>6812</v>
      </c>
      <c r="P1718" s="144">
        <v>407</v>
      </c>
      <c r="Q1718" s="145">
        <f t="shared" si="110"/>
        <v>0.85439999999999983</v>
      </c>
      <c r="R1718" s="145">
        <f t="shared" si="109"/>
        <v>2.0543999999999998</v>
      </c>
      <c r="S1718" s="203">
        <v>1.8</v>
      </c>
      <c r="T1718" s="151">
        <v>0.13</v>
      </c>
      <c r="U1718" s="151" t="str">
        <f t="shared" si="111"/>
        <v>1,20</v>
      </c>
      <c r="V1718" s="151">
        <f t="shared" si="115"/>
        <v>0.33999999999999997</v>
      </c>
      <c r="W1718" s="151">
        <v>0.25</v>
      </c>
      <c r="X1718" s="152">
        <f t="shared" si="112"/>
        <v>0.13439999999999999</v>
      </c>
      <c r="Y1718" s="152">
        <f t="shared" si="113"/>
        <v>1.8</v>
      </c>
      <c r="Z1718" s="152">
        <f t="shared" si="114"/>
        <v>2.0543999999999998</v>
      </c>
      <c r="AA1718" s="153"/>
      <c r="AB1718" s="153"/>
      <c r="AC1718" s="153"/>
      <c r="AD1718" s="153"/>
      <c r="AH1718" s="147"/>
    </row>
    <row r="1719" spans="1:34" s="146" customFormat="1" x14ac:dyDescent="0.25">
      <c r="A1719" s="196">
        <v>774</v>
      </c>
      <c r="B1719" s="196" t="s">
        <v>8562</v>
      </c>
      <c r="C1719" s="196" t="s">
        <v>8563</v>
      </c>
      <c r="D1719" s="196" t="s">
        <v>8403</v>
      </c>
      <c r="E1719" s="196"/>
      <c r="F1719" s="196">
        <v>2010</v>
      </c>
      <c r="G1719" s="196"/>
      <c r="H1719" s="196" t="s">
        <v>1878</v>
      </c>
      <c r="I1719" s="141" t="s">
        <v>1929</v>
      </c>
      <c r="J1719" s="196"/>
      <c r="K1719" s="196" t="s">
        <v>1881</v>
      </c>
      <c r="L1719" s="240" t="s">
        <v>8564</v>
      </c>
      <c r="M1719" s="196">
        <v>496</v>
      </c>
      <c r="N1719" s="196"/>
      <c r="O1719" s="196" t="s">
        <v>6813</v>
      </c>
      <c r="P1719" s="144">
        <v>346</v>
      </c>
      <c r="Q1719" s="145">
        <f t="shared" si="110"/>
        <v>0.85439999999999983</v>
      </c>
      <c r="R1719" s="145">
        <f t="shared" si="109"/>
        <v>2.0543999999999998</v>
      </c>
      <c r="S1719" s="203">
        <v>1.68</v>
      </c>
      <c r="T1719" s="151">
        <v>0.13</v>
      </c>
      <c r="U1719" s="151" t="str">
        <f t="shared" si="111"/>
        <v>1,20</v>
      </c>
      <c r="V1719" s="151">
        <f t="shared" si="115"/>
        <v>0.33999999999999997</v>
      </c>
      <c r="W1719" s="151">
        <v>0.25</v>
      </c>
      <c r="X1719" s="152">
        <f t="shared" si="112"/>
        <v>0.13439999999999999</v>
      </c>
      <c r="Y1719" s="152">
        <f t="shared" si="113"/>
        <v>1.68</v>
      </c>
      <c r="Z1719" s="152">
        <f t="shared" si="114"/>
        <v>2.0543999999999998</v>
      </c>
      <c r="AA1719" s="153"/>
      <c r="AB1719" s="153"/>
      <c r="AC1719" s="153"/>
      <c r="AD1719" s="153"/>
      <c r="AH1719" s="147"/>
    </row>
    <row r="1720" spans="1:34" s="146" customFormat="1" x14ac:dyDescent="0.25">
      <c r="A1720" s="196">
        <v>1386</v>
      </c>
      <c r="B1720" s="196" t="s">
        <v>8500</v>
      </c>
      <c r="C1720" s="196" t="s">
        <v>8565</v>
      </c>
      <c r="D1720" s="196" t="s">
        <v>3077</v>
      </c>
      <c r="E1720" s="196"/>
      <c r="F1720" s="196">
        <v>2007</v>
      </c>
      <c r="G1720" s="196"/>
      <c r="H1720" s="196" t="s">
        <v>1878</v>
      </c>
      <c r="I1720" s="141" t="s">
        <v>1929</v>
      </c>
      <c r="J1720" s="196"/>
      <c r="K1720" s="196" t="s">
        <v>1881</v>
      </c>
      <c r="L1720" s="240" t="s">
        <v>8566</v>
      </c>
      <c r="M1720" s="196">
        <v>928</v>
      </c>
      <c r="N1720" s="196"/>
      <c r="O1720" s="196" t="s">
        <v>6814</v>
      </c>
      <c r="P1720" s="144">
        <v>604</v>
      </c>
      <c r="Q1720" s="145">
        <f t="shared" si="110"/>
        <v>0.88939999999999997</v>
      </c>
      <c r="R1720" s="145">
        <f t="shared" si="109"/>
        <v>2.5893999999999999</v>
      </c>
      <c r="S1720" s="203">
        <v>2.2000000000000002</v>
      </c>
      <c r="T1720" s="151">
        <v>0.13</v>
      </c>
      <c r="U1720" s="151" t="str">
        <f t="shared" si="111"/>
        <v>1,70</v>
      </c>
      <c r="V1720" s="151">
        <f t="shared" si="115"/>
        <v>0.33999999999999997</v>
      </c>
      <c r="W1720" s="151">
        <v>0.25</v>
      </c>
      <c r="X1720" s="152">
        <f t="shared" si="112"/>
        <v>0.1694</v>
      </c>
      <c r="Y1720" s="152">
        <f t="shared" si="113"/>
        <v>2.2000000000000002</v>
      </c>
      <c r="Z1720" s="152">
        <f t="shared" si="114"/>
        <v>2.5893999999999999</v>
      </c>
      <c r="AA1720" s="153"/>
      <c r="AB1720" s="153"/>
      <c r="AC1720" s="153"/>
      <c r="AD1720" s="153"/>
      <c r="AH1720" s="147"/>
    </row>
    <row r="1721" spans="1:34" s="146" customFormat="1" x14ac:dyDescent="0.25">
      <c r="A1721" s="196">
        <v>796</v>
      </c>
      <c r="B1721" s="196" t="s">
        <v>8567</v>
      </c>
      <c r="C1721" s="196" t="s">
        <v>8568</v>
      </c>
      <c r="D1721" s="196" t="s">
        <v>2300</v>
      </c>
      <c r="E1721" s="196"/>
      <c r="F1721" s="196">
        <v>2012</v>
      </c>
      <c r="G1721" s="196"/>
      <c r="H1721" s="196" t="s">
        <v>1878</v>
      </c>
      <c r="I1721" s="141" t="s">
        <v>1929</v>
      </c>
      <c r="J1721" s="196"/>
      <c r="K1721" s="196" t="s">
        <v>1881</v>
      </c>
      <c r="L1721" s="240" t="s">
        <v>8569</v>
      </c>
      <c r="M1721" s="196">
        <v>240</v>
      </c>
      <c r="N1721" s="196"/>
      <c r="O1721" s="196" t="s">
        <v>6815</v>
      </c>
      <c r="P1721" s="144">
        <v>200</v>
      </c>
      <c r="Q1721" s="145">
        <f t="shared" si="110"/>
        <v>1.2289000000000001</v>
      </c>
      <c r="R1721" s="145">
        <f t="shared" si="109"/>
        <v>2.4289000000000001</v>
      </c>
      <c r="S1721" s="203">
        <v>2.4</v>
      </c>
      <c r="T1721" s="151">
        <v>0.13</v>
      </c>
      <c r="U1721" s="151" t="str">
        <f t="shared" si="111"/>
        <v>1,20</v>
      </c>
      <c r="V1721" s="151">
        <f t="shared" si="115"/>
        <v>0.33999999999999997</v>
      </c>
      <c r="W1721" s="151">
        <v>0.6</v>
      </c>
      <c r="X1721" s="152">
        <f t="shared" si="112"/>
        <v>0.15890000000000001</v>
      </c>
      <c r="Y1721" s="152">
        <f t="shared" si="113"/>
        <v>2.4</v>
      </c>
      <c r="Z1721" s="152">
        <f t="shared" si="114"/>
        <v>2.4289000000000001</v>
      </c>
      <c r="AA1721" s="153"/>
      <c r="AB1721" s="153"/>
      <c r="AC1721" s="153"/>
      <c r="AD1721" s="153"/>
      <c r="AH1721" s="147"/>
    </row>
    <row r="1722" spans="1:34" s="146" customFormat="1" x14ac:dyDescent="0.25">
      <c r="A1722" s="196">
        <v>1358</v>
      </c>
      <c r="B1722" s="196" t="s">
        <v>8570</v>
      </c>
      <c r="C1722" s="196" t="s">
        <v>8571</v>
      </c>
      <c r="D1722" s="196" t="s">
        <v>2300</v>
      </c>
      <c r="E1722" s="196"/>
      <c r="F1722" s="196">
        <v>2011</v>
      </c>
      <c r="G1722" s="196"/>
      <c r="H1722" s="196" t="s">
        <v>1878</v>
      </c>
      <c r="I1722" s="141" t="s">
        <v>1929</v>
      </c>
      <c r="J1722" s="196"/>
      <c r="K1722" s="196" t="s">
        <v>1881</v>
      </c>
      <c r="L1722" s="240" t="s">
        <v>8572</v>
      </c>
      <c r="M1722" s="196">
        <v>368</v>
      </c>
      <c r="N1722" s="196"/>
      <c r="O1722" s="196" t="s">
        <v>6816</v>
      </c>
      <c r="P1722" s="144">
        <v>307</v>
      </c>
      <c r="Q1722" s="145">
        <f t="shared" si="110"/>
        <v>0.85439999999999983</v>
      </c>
      <c r="R1722" s="145">
        <f t="shared" si="109"/>
        <v>2.0543999999999998</v>
      </c>
      <c r="S1722" s="203">
        <v>2</v>
      </c>
      <c r="T1722" s="151">
        <v>0.13</v>
      </c>
      <c r="U1722" s="151" t="str">
        <f t="shared" si="111"/>
        <v>1,20</v>
      </c>
      <c r="V1722" s="151">
        <f t="shared" si="115"/>
        <v>0.33999999999999997</v>
      </c>
      <c r="W1722" s="151">
        <v>0.25</v>
      </c>
      <c r="X1722" s="152">
        <f t="shared" si="112"/>
        <v>0.13439999999999999</v>
      </c>
      <c r="Y1722" s="152">
        <f t="shared" si="113"/>
        <v>2</v>
      </c>
      <c r="Z1722" s="152">
        <f t="shared" si="114"/>
        <v>2.0543999999999998</v>
      </c>
      <c r="AA1722" s="153"/>
      <c r="AB1722" s="153"/>
      <c r="AC1722" s="153"/>
      <c r="AD1722" s="153"/>
      <c r="AH1722" s="147"/>
    </row>
    <row r="1723" spans="1:34" s="146" customFormat="1" x14ac:dyDescent="0.25">
      <c r="A1723" s="196">
        <v>1809</v>
      </c>
      <c r="B1723" s="196" t="s">
        <v>8573</v>
      </c>
      <c r="C1723" s="196" t="s">
        <v>8574</v>
      </c>
      <c r="D1723" s="196" t="s">
        <v>2822</v>
      </c>
      <c r="E1723" s="196"/>
      <c r="F1723" s="196">
        <v>2009</v>
      </c>
      <c r="G1723" s="196"/>
      <c r="H1723" s="196" t="s">
        <v>1878</v>
      </c>
      <c r="I1723" s="141" t="s">
        <v>1879</v>
      </c>
      <c r="J1723" s="196"/>
      <c r="K1723" s="196" t="s">
        <v>1881</v>
      </c>
      <c r="L1723" s="240" t="s">
        <v>8575</v>
      </c>
      <c r="M1723" s="196">
        <v>256</v>
      </c>
      <c r="N1723" s="196"/>
      <c r="O1723" s="196" t="s">
        <v>6817</v>
      </c>
      <c r="P1723" s="144">
        <v>368</v>
      </c>
      <c r="Q1723" s="145">
        <f t="shared" si="110"/>
        <v>0.96140000000000003</v>
      </c>
      <c r="R1723" s="145">
        <f t="shared" si="109"/>
        <v>2.1614</v>
      </c>
      <c r="S1723" s="203">
        <v>2.16</v>
      </c>
      <c r="T1723" s="151">
        <v>0.13</v>
      </c>
      <c r="U1723" s="151" t="str">
        <f t="shared" si="111"/>
        <v>1,20</v>
      </c>
      <c r="V1723" s="151">
        <f t="shared" si="115"/>
        <v>0.33999999999999997</v>
      </c>
      <c r="W1723" s="151">
        <v>0.35</v>
      </c>
      <c r="X1723" s="152">
        <f t="shared" si="112"/>
        <v>0.1414</v>
      </c>
      <c r="Y1723" s="152">
        <f t="shared" si="113"/>
        <v>2.16</v>
      </c>
      <c r="Z1723" s="152">
        <f t="shared" si="114"/>
        <v>2.1614</v>
      </c>
      <c r="AA1723" s="153"/>
      <c r="AB1723" s="153"/>
      <c r="AC1723" s="153"/>
      <c r="AD1723" s="153"/>
      <c r="AH1723" s="147"/>
    </row>
    <row r="1724" spans="1:34" s="146" customFormat="1" x14ac:dyDescent="0.25">
      <c r="A1724" s="196">
        <v>692</v>
      </c>
      <c r="B1724" s="196" t="s">
        <v>8130</v>
      </c>
      <c r="C1724" s="196" t="s">
        <v>8576</v>
      </c>
      <c r="D1724" s="196" t="s">
        <v>5005</v>
      </c>
      <c r="E1724" s="196"/>
      <c r="F1724" s="196">
        <v>2006</v>
      </c>
      <c r="G1724" s="196"/>
      <c r="H1724" s="196" t="s">
        <v>1878</v>
      </c>
      <c r="I1724" s="141" t="s">
        <v>1879</v>
      </c>
      <c r="J1724" s="196"/>
      <c r="K1724" s="196" t="s">
        <v>1881</v>
      </c>
      <c r="L1724" s="240"/>
      <c r="M1724" s="196">
        <v>336</v>
      </c>
      <c r="N1724" s="196"/>
      <c r="O1724" s="196" t="s">
        <v>6818</v>
      </c>
      <c r="P1724" s="144">
        <v>248</v>
      </c>
      <c r="Q1724" s="145">
        <f t="shared" si="110"/>
        <v>0.85439999999999983</v>
      </c>
      <c r="R1724" s="145">
        <f t="shared" si="109"/>
        <v>2.0543999999999998</v>
      </c>
      <c r="S1724" s="203">
        <v>1.55</v>
      </c>
      <c r="T1724" s="151">
        <v>0.13</v>
      </c>
      <c r="U1724" s="151" t="str">
        <f t="shared" si="111"/>
        <v>1,20</v>
      </c>
      <c r="V1724" s="151">
        <f t="shared" si="115"/>
        <v>0.33999999999999997</v>
      </c>
      <c r="W1724" s="151">
        <v>0.25</v>
      </c>
      <c r="X1724" s="152">
        <f t="shared" si="112"/>
        <v>0.13439999999999999</v>
      </c>
      <c r="Y1724" s="152">
        <f t="shared" si="113"/>
        <v>1.55</v>
      </c>
      <c r="Z1724" s="152">
        <f t="shared" si="114"/>
        <v>2.0543999999999998</v>
      </c>
      <c r="AA1724" s="153"/>
      <c r="AB1724" s="153"/>
      <c r="AC1724" s="153"/>
      <c r="AD1724" s="153"/>
      <c r="AH1724" s="147"/>
    </row>
    <row r="1725" spans="1:34" s="146" customFormat="1" x14ac:dyDescent="0.25">
      <c r="A1725" s="196">
        <v>1386</v>
      </c>
      <c r="B1725" s="196" t="s">
        <v>8577</v>
      </c>
      <c r="C1725" s="196" t="s">
        <v>8578</v>
      </c>
      <c r="D1725" s="196" t="s">
        <v>2257</v>
      </c>
      <c r="E1725" s="196" t="s">
        <v>1921</v>
      </c>
      <c r="F1725" s="196">
        <v>2001</v>
      </c>
      <c r="G1725" s="196"/>
      <c r="H1725" s="196" t="s">
        <v>1878</v>
      </c>
      <c r="I1725" s="141" t="s">
        <v>1914</v>
      </c>
      <c r="J1725" s="196"/>
      <c r="K1725" s="196" t="s">
        <v>1881</v>
      </c>
      <c r="L1725" s="240" t="s">
        <v>8579</v>
      </c>
      <c r="M1725" s="196">
        <v>320</v>
      </c>
      <c r="N1725" s="196"/>
      <c r="O1725" s="196" t="s">
        <v>6819</v>
      </c>
      <c r="P1725" s="144">
        <v>213</v>
      </c>
      <c r="Q1725" s="145">
        <f t="shared" si="110"/>
        <v>0.90789999999999993</v>
      </c>
      <c r="R1725" s="145">
        <f t="shared" ref="R1725:R1744" si="116">IF(Y1725&gt;Z1725,Y1725,Z1725)</f>
        <v>2.1078999999999999</v>
      </c>
      <c r="S1725" s="203">
        <v>2.1</v>
      </c>
      <c r="T1725" s="151">
        <v>0.13</v>
      </c>
      <c r="U1725" s="151" t="str">
        <f t="shared" si="111"/>
        <v>1,20</v>
      </c>
      <c r="V1725" s="151">
        <f t="shared" si="115"/>
        <v>0.33999999999999997</v>
      </c>
      <c r="W1725" s="151">
        <v>0.3</v>
      </c>
      <c r="X1725" s="152">
        <f t="shared" si="112"/>
        <v>0.13789999999999999</v>
      </c>
      <c r="Y1725" s="152">
        <f t="shared" si="113"/>
        <v>2.1</v>
      </c>
      <c r="Z1725" s="152">
        <f t="shared" si="114"/>
        <v>2.1078999999999999</v>
      </c>
      <c r="AA1725" s="153"/>
      <c r="AB1725" s="153"/>
      <c r="AC1725" s="153"/>
      <c r="AD1725" s="153"/>
      <c r="AH1725" s="147"/>
    </row>
    <row r="1726" spans="1:34" s="146" customFormat="1" x14ac:dyDescent="0.25">
      <c r="A1726" s="196">
        <v>2591</v>
      </c>
      <c r="B1726" s="196" t="s">
        <v>8580</v>
      </c>
      <c r="C1726" s="196" t="s">
        <v>8581</v>
      </c>
      <c r="D1726" s="196" t="s">
        <v>8582</v>
      </c>
      <c r="E1726" s="196"/>
      <c r="F1726" s="196">
        <v>1993</v>
      </c>
      <c r="G1726" s="196"/>
      <c r="H1726" s="196" t="s">
        <v>1878</v>
      </c>
      <c r="I1726" s="141" t="s">
        <v>1914</v>
      </c>
      <c r="J1726" s="196"/>
      <c r="K1726" s="196" t="s">
        <v>1881</v>
      </c>
      <c r="L1726" s="240" t="s">
        <v>8583</v>
      </c>
      <c r="M1726" s="196"/>
      <c r="N1726" s="196"/>
      <c r="O1726" s="196" t="s">
        <v>6820</v>
      </c>
      <c r="P1726" s="144">
        <v>51</v>
      </c>
      <c r="Q1726" s="145">
        <f t="shared" si="110"/>
        <v>1.2</v>
      </c>
      <c r="R1726" s="145">
        <f t="shared" si="116"/>
        <v>2.4</v>
      </c>
      <c r="S1726" s="203">
        <v>2.4</v>
      </c>
      <c r="T1726" s="151">
        <v>0.13</v>
      </c>
      <c r="U1726" s="151" t="str">
        <f t="shared" si="111"/>
        <v>1,20</v>
      </c>
      <c r="V1726" s="151">
        <f t="shared" si="115"/>
        <v>0.33999999999999997</v>
      </c>
      <c r="W1726" s="151">
        <v>0.55000000000000004</v>
      </c>
      <c r="X1726" s="152">
        <f t="shared" si="112"/>
        <v>0.15539999999999998</v>
      </c>
      <c r="Y1726" s="152">
        <f t="shared" si="113"/>
        <v>2.4</v>
      </c>
      <c r="Z1726" s="152">
        <f t="shared" si="114"/>
        <v>2.3754</v>
      </c>
      <c r="AA1726" s="153"/>
      <c r="AB1726" s="153"/>
      <c r="AC1726" s="153"/>
      <c r="AD1726" s="153"/>
      <c r="AH1726" s="147"/>
    </row>
    <row r="1727" spans="1:34" s="146" customFormat="1" x14ac:dyDescent="0.25">
      <c r="A1727" s="196">
        <v>2547</v>
      </c>
      <c r="B1727" s="196" t="s">
        <v>8584</v>
      </c>
      <c r="C1727" s="196" t="s">
        <v>8585</v>
      </c>
      <c r="D1727" s="196" t="s">
        <v>2309</v>
      </c>
      <c r="E1727" s="196" t="s">
        <v>1921</v>
      </c>
      <c r="F1727" s="196">
        <v>2001</v>
      </c>
      <c r="G1727" s="196"/>
      <c r="H1727" s="196" t="s">
        <v>1878</v>
      </c>
      <c r="I1727" s="141" t="s">
        <v>1914</v>
      </c>
      <c r="J1727" s="196"/>
      <c r="K1727" s="196" t="s">
        <v>1881</v>
      </c>
      <c r="L1727" s="240" t="s">
        <v>8586</v>
      </c>
      <c r="M1727" s="196">
        <v>384</v>
      </c>
      <c r="N1727" s="196"/>
      <c r="O1727" s="196" t="s">
        <v>6821</v>
      </c>
      <c r="P1727" s="144">
        <v>251</v>
      </c>
      <c r="Q1727" s="145">
        <f t="shared" si="110"/>
        <v>1.1500000000000001</v>
      </c>
      <c r="R1727" s="145">
        <f t="shared" si="116"/>
        <v>2.35</v>
      </c>
      <c r="S1727" s="203">
        <f>0.8+1.55</f>
        <v>2.35</v>
      </c>
      <c r="T1727" s="151">
        <v>0.13</v>
      </c>
      <c r="U1727" s="151" t="str">
        <f t="shared" si="111"/>
        <v>1,20</v>
      </c>
      <c r="V1727" s="151">
        <f t="shared" si="115"/>
        <v>0.33999999999999997</v>
      </c>
      <c r="W1727" s="151">
        <v>0.5</v>
      </c>
      <c r="X1727" s="152">
        <f t="shared" si="112"/>
        <v>0.15190000000000001</v>
      </c>
      <c r="Y1727" s="152">
        <f t="shared" si="113"/>
        <v>2.35</v>
      </c>
      <c r="Z1727" s="152">
        <f t="shared" si="114"/>
        <v>2.3218999999999999</v>
      </c>
      <c r="AA1727" s="153"/>
      <c r="AB1727" s="153"/>
      <c r="AC1727" s="153"/>
      <c r="AD1727" s="153"/>
      <c r="AH1727" s="147"/>
    </row>
    <row r="1728" spans="1:34" s="146" customFormat="1" x14ac:dyDescent="0.25">
      <c r="A1728" s="196">
        <v>1315</v>
      </c>
      <c r="B1728" s="196" t="s">
        <v>4725</v>
      </c>
      <c r="C1728" s="196" t="s">
        <v>8587</v>
      </c>
      <c r="D1728" s="196" t="s">
        <v>2402</v>
      </c>
      <c r="E1728" s="196"/>
      <c r="F1728" s="196">
        <v>1988</v>
      </c>
      <c r="G1728" s="196"/>
      <c r="H1728" s="196" t="s">
        <v>2734</v>
      </c>
      <c r="I1728" s="141" t="s">
        <v>1879</v>
      </c>
      <c r="J1728" s="196"/>
      <c r="K1728" s="196" t="s">
        <v>1881</v>
      </c>
      <c r="L1728" s="240" t="s">
        <v>8588</v>
      </c>
      <c r="M1728" s="196">
        <v>130</v>
      </c>
      <c r="N1728" s="196"/>
      <c r="O1728" s="196" t="s">
        <v>6822</v>
      </c>
      <c r="P1728" s="144">
        <v>204</v>
      </c>
      <c r="Q1728" s="145">
        <f t="shared" si="110"/>
        <v>1.0999999999999999</v>
      </c>
      <c r="R1728" s="145">
        <f t="shared" si="116"/>
        <v>2.2999999999999998</v>
      </c>
      <c r="S1728" s="203">
        <v>2.2999999999999998</v>
      </c>
      <c r="T1728" s="151">
        <v>0.13</v>
      </c>
      <c r="U1728" s="151" t="str">
        <f t="shared" si="111"/>
        <v>1,20</v>
      </c>
      <c r="V1728" s="151">
        <f t="shared" si="115"/>
        <v>0.33999999999999997</v>
      </c>
      <c r="W1728" s="151">
        <v>0.45</v>
      </c>
      <c r="X1728" s="152">
        <f t="shared" si="112"/>
        <v>0.1484</v>
      </c>
      <c r="Y1728" s="152">
        <f t="shared" si="113"/>
        <v>2.2999999999999998</v>
      </c>
      <c r="Z1728" s="152">
        <f t="shared" si="114"/>
        <v>2.2684000000000002</v>
      </c>
      <c r="AA1728" s="153"/>
      <c r="AB1728" s="153"/>
      <c r="AC1728" s="153"/>
      <c r="AD1728" s="153"/>
      <c r="AH1728" s="147"/>
    </row>
    <row r="1729" spans="1:34" s="146" customFormat="1" x14ac:dyDescent="0.25">
      <c r="A1729" s="196">
        <v>1332</v>
      </c>
      <c r="B1729" s="196"/>
      <c r="C1729" s="196" t="s">
        <v>8589</v>
      </c>
      <c r="D1729" s="196" t="s">
        <v>3332</v>
      </c>
      <c r="E1729" s="196"/>
      <c r="F1729" s="196"/>
      <c r="G1729" s="196"/>
      <c r="H1729" s="196" t="s">
        <v>2734</v>
      </c>
      <c r="I1729" s="141" t="s">
        <v>1929</v>
      </c>
      <c r="J1729" s="196"/>
      <c r="K1729" s="196" t="s">
        <v>1881</v>
      </c>
      <c r="L1729" s="240" t="s">
        <v>8590</v>
      </c>
      <c r="M1729" s="196">
        <v>242</v>
      </c>
      <c r="N1729" s="196"/>
      <c r="O1729" s="196" t="s">
        <v>6823</v>
      </c>
      <c r="P1729" s="144">
        <v>375</v>
      </c>
      <c r="Q1729" s="145">
        <f t="shared" si="110"/>
        <v>1.8299999999999998</v>
      </c>
      <c r="R1729" s="145">
        <f t="shared" si="116"/>
        <v>3.03</v>
      </c>
      <c r="S1729" s="203">
        <v>3.03</v>
      </c>
      <c r="T1729" s="151">
        <v>0.13</v>
      </c>
      <c r="U1729" s="151" t="str">
        <f t="shared" si="111"/>
        <v>1,20</v>
      </c>
      <c r="V1729" s="151">
        <f t="shared" si="115"/>
        <v>0.33999999999999997</v>
      </c>
      <c r="W1729" s="151">
        <v>1.1499999999999999</v>
      </c>
      <c r="X1729" s="152">
        <f t="shared" si="112"/>
        <v>0.19739999999999999</v>
      </c>
      <c r="Y1729" s="152">
        <f t="shared" si="113"/>
        <v>3.03</v>
      </c>
      <c r="Z1729" s="152">
        <f t="shared" si="114"/>
        <v>3.0173999999999999</v>
      </c>
      <c r="AA1729" s="153"/>
      <c r="AB1729" s="153"/>
      <c r="AC1729" s="153"/>
      <c r="AD1729" s="153"/>
      <c r="AH1729" s="147"/>
    </row>
    <row r="1730" spans="1:34" s="146" customFormat="1" x14ac:dyDescent="0.25">
      <c r="A1730" s="196">
        <v>2514</v>
      </c>
      <c r="B1730" s="196" t="s">
        <v>8591</v>
      </c>
      <c r="C1730" s="196" t="s">
        <v>4866</v>
      </c>
      <c r="D1730" s="196" t="s">
        <v>3116</v>
      </c>
      <c r="E1730" s="196" t="s">
        <v>2922</v>
      </c>
      <c r="F1730" s="196">
        <v>2008</v>
      </c>
      <c r="G1730" s="196"/>
      <c r="H1730" s="196" t="s">
        <v>2734</v>
      </c>
      <c r="I1730" s="141" t="s">
        <v>1914</v>
      </c>
      <c r="J1730" s="196"/>
      <c r="K1730" s="196" t="s">
        <v>1881</v>
      </c>
      <c r="L1730" s="240" t="s">
        <v>8592</v>
      </c>
      <c r="M1730" s="196">
        <v>68</v>
      </c>
      <c r="N1730" s="196"/>
      <c r="O1730" s="196" t="s">
        <v>6824</v>
      </c>
      <c r="P1730" s="144">
        <v>321</v>
      </c>
      <c r="Q1730" s="145">
        <f t="shared" si="110"/>
        <v>1.0148999999999997</v>
      </c>
      <c r="R1730" s="145">
        <f t="shared" si="116"/>
        <v>2.2148999999999996</v>
      </c>
      <c r="S1730" s="203">
        <v>2.2000000000000002</v>
      </c>
      <c r="T1730" s="151">
        <v>0.13</v>
      </c>
      <c r="U1730" s="151" t="str">
        <f t="shared" si="111"/>
        <v>1,20</v>
      </c>
      <c r="V1730" s="151">
        <f t="shared" si="115"/>
        <v>0.33999999999999997</v>
      </c>
      <c r="W1730" s="151">
        <v>0.4</v>
      </c>
      <c r="X1730" s="152">
        <f t="shared" si="112"/>
        <v>0.1449</v>
      </c>
      <c r="Y1730" s="152">
        <f t="shared" si="113"/>
        <v>2.2000000000000002</v>
      </c>
      <c r="Z1730" s="152">
        <f t="shared" si="114"/>
        <v>2.2148999999999996</v>
      </c>
      <c r="AA1730" s="153"/>
      <c r="AB1730" s="153"/>
      <c r="AC1730" s="153"/>
      <c r="AD1730" s="153"/>
      <c r="AH1730" s="147"/>
    </row>
    <row r="1731" spans="1:34" s="146" customFormat="1" x14ac:dyDescent="0.25">
      <c r="A1731" s="196">
        <v>782</v>
      </c>
      <c r="B1731" s="196" t="s">
        <v>8593</v>
      </c>
      <c r="C1731" s="196" t="s">
        <v>8594</v>
      </c>
      <c r="D1731" s="196" t="s">
        <v>8595</v>
      </c>
      <c r="E1731" s="196"/>
      <c r="F1731" s="196"/>
      <c r="G1731" s="196"/>
      <c r="H1731" s="196" t="s">
        <v>2734</v>
      </c>
      <c r="I1731" s="141" t="s">
        <v>1914</v>
      </c>
      <c r="J1731" s="196"/>
      <c r="K1731" s="196" t="s">
        <v>1881</v>
      </c>
      <c r="L1731" s="240" t="s">
        <v>8596</v>
      </c>
      <c r="M1731" s="196">
        <v>62</v>
      </c>
      <c r="N1731" s="196"/>
      <c r="O1731" s="196" t="s">
        <v>6825</v>
      </c>
      <c r="P1731" s="144">
        <v>230</v>
      </c>
      <c r="Q1731" s="145">
        <f t="shared" si="110"/>
        <v>0.85439999999999983</v>
      </c>
      <c r="R1731" s="145">
        <f t="shared" si="116"/>
        <v>2.0543999999999998</v>
      </c>
      <c r="S1731" s="203">
        <v>2.0499999999999998</v>
      </c>
      <c r="T1731" s="151">
        <v>0.13</v>
      </c>
      <c r="U1731" s="151" t="str">
        <f t="shared" si="111"/>
        <v>1,20</v>
      </c>
      <c r="V1731" s="151">
        <f t="shared" si="115"/>
        <v>0.33999999999999997</v>
      </c>
      <c r="W1731" s="151">
        <v>0.25</v>
      </c>
      <c r="X1731" s="152">
        <f t="shared" si="112"/>
        <v>0.13439999999999999</v>
      </c>
      <c r="Y1731" s="152">
        <f t="shared" si="113"/>
        <v>2.0499999999999998</v>
      </c>
      <c r="Z1731" s="152">
        <f t="shared" si="114"/>
        <v>2.0543999999999998</v>
      </c>
      <c r="AA1731" s="153"/>
      <c r="AB1731" s="153"/>
      <c r="AC1731" s="153"/>
      <c r="AD1731" s="153"/>
      <c r="AH1731" s="147"/>
    </row>
    <row r="1732" spans="1:34" s="146" customFormat="1" x14ac:dyDescent="0.25">
      <c r="A1732" s="196">
        <v>796</v>
      </c>
      <c r="B1732" s="196" t="s">
        <v>8597</v>
      </c>
      <c r="C1732" s="196" t="s">
        <v>8598</v>
      </c>
      <c r="D1732" s="196" t="s">
        <v>8599</v>
      </c>
      <c r="E1732" s="196"/>
      <c r="F1732" s="196">
        <v>2014</v>
      </c>
      <c r="G1732" s="196"/>
      <c r="H1732" s="196" t="s">
        <v>1878</v>
      </c>
      <c r="I1732" s="141" t="s">
        <v>1879</v>
      </c>
      <c r="J1732" s="196"/>
      <c r="K1732" s="196" t="s">
        <v>1881</v>
      </c>
      <c r="L1732" s="240" t="s">
        <v>8600</v>
      </c>
      <c r="M1732" s="196">
        <v>224</v>
      </c>
      <c r="N1732" s="196"/>
      <c r="O1732" s="196" t="s">
        <v>6826</v>
      </c>
      <c r="P1732" s="144">
        <v>402</v>
      </c>
      <c r="Q1732" s="145">
        <f t="shared" si="110"/>
        <v>4.7063999999999995</v>
      </c>
      <c r="R1732" s="145">
        <f t="shared" si="116"/>
        <v>5.9063999999999997</v>
      </c>
      <c r="S1732" s="203">
        <v>5.9</v>
      </c>
      <c r="T1732" s="151">
        <v>0.13</v>
      </c>
      <c r="U1732" s="151" t="str">
        <f t="shared" si="111"/>
        <v>1,20</v>
      </c>
      <c r="V1732" s="151">
        <f t="shared" si="115"/>
        <v>0.33999999999999997</v>
      </c>
      <c r="W1732" s="151">
        <v>3.85</v>
      </c>
      <c r="X1732" s="152">
        <f t="shared" si="112"/>
        <v>0.38639999999999997</v>
      </c>
      <c r="Y1732" s="152">
        <f t="shared" si="113"/>
        <v>5.9</v>
      </c>
      <c r="Z1732" s="152">
        <f t="shared" si="114"/>
        <v>5.9063999999999997</v>
      </c>
      <c r="AA1732" s="153"/>
      <c r="AB1732" s="153"/>
      <c r="AC1732" s="153"/>
      <c r="AD1732" s="153"/>
      <c r="AH1732" s="147"/>
    </row>
    <row r="1733" spans="1:34" s="146" customFormat="1" x14ac:dyDescent="0.25">
      <c r="A1733" s="196">
        <v>2522</v>
      </c>
      <c r="B1733" s="196" t="s">
        <v>8601</v>
      </c>
      <c r="C1733" s="196" t="s">
        <v>8602</v>
      </c>
      <c r="D1733" s="196" t="s">
        <v>8603</v>
      </c>
      <c r="E1733" s="196" t="s">
        <v>1913</v>
      </c>
      <c r="F1733" s="196">
        <v>2017</v>
      </c>
      <c r="G1733" s="196"/>
      <c r="H1733" s="196" t="s">
        <v>1878</v>
      </c>
      <c r="I1733" s="141" t="s">
        <v>1929</v>
      </c>
      <c r="J1733" s="196" t="s">
        <v>8473</v>
      </c>
      <c r="K1733" s="196" t="s">
        <v>1881</v>
      </c>
      <c r="L1733" s="240"/>
      <c r="M1733" s="196">
        <v>384</v>
      </c>
      <c r="N1733" s="196"/>
      <c r="O1733" s="196" t="s">
        <v>6827</v>
      </c>
      <c r="P1733" s="144">
        <v>334</v>
      </c>
      <c r="Q1733" s="145">
        <f t="shared" si="110"/>
        <v>1.6900000000000002</v>
      </c>
      <c r="R1733" s="145">
        <f t="shared" si="116"/>
        <v>2.89</v>
      </c>
      <c r="S1733" s="203">
        <v>2.89</v>
      </c>
      <c r="T1733" s="151">
        <v>0.13</v>
      </c>
      <c r="U1733" s="151" t="str">
        <f t="shared" si="111"/>
        <v>1,20</v>
      </c>
      <c r="V1733" s="151">
        <f t="shared" si="115"/>
        <v>0.33999999999999997</v>
      </c>
      <c r="W1733" s="151">
        <v>1</v>
      </c>
      <c r="X1733" s="152">
        <f t="shared" si="112"/>
        <v>0.18689999999999998</v>
      </c>
      <c r="Y1733" s="152">
        <f t="shared" si="113"/>
        <v>2.89</v>
      </c>
      <c r="Z1733" s="152">
        <f t="shared" si="114"/>
        <v>2.8569</v>
      </c>
      <c r="AA1733" s="153"/>
      <c r="AB1733" s="153"/>
      <c r="AC1733" s="153"/>
      <c r="AD1733" s="153"/>
      <c r="AH1733" s="147"/>
    </row>
    <row r="1734" spans="1:34" s="146" customFormat="1" x14ac:dyDescent="0.25">
      <c r="A1734" s="196">
        <v>1386</v>
      </c>
      <c r="B1734" s="196" t="s">
        <v>7937</v>
      </c>
      <c r="C1734" s="196" t="s">
        <v>8604</v>
      </c>
      <c r="D1734" s="196" t="s">
        <v>2054</v>
      </c>
      <c r="E1734" s="196"/>
      <c r="F1734" s="196">
        <v>2009</v>
      </c>
      <c r="G1734" s="196"/>
      <c r="H1734" s="196" t="s">
        <v>1878</v>
      </c>
      <c r="I1734" s="141" t="s">
        <v>1879</v>
      </c>
      <c r="J1734" s="196"/>
      <c r="K1734" s="196" t="s">
        <v>1881</v>
      </c>
      <c r="L1734" s="240" t="s">
        <v>8605</v>
      </c>
      <c r="M1734" s="196">
        <v>482</v>
      </c>
      <c r="N1734" s="196"/>
      <c r="O1734" s="196" t="s">
        <v>6828</v>
      </c>
      <c r="P1734" s="144">
        <v>542</v>
      </c>
      <c r="Q1734" s="145">
        <f t="shared" si="110"/>
        <v>0.88939999999999997</v>
      </c>
      <c r="R1734" s="145">
        <f t="shared" si="116"/>
        <v>2.5893999999999999</v>
      </c>
      <c r="S1734" s="203">
        <v>2.5</v>
      </c>
      <c r="T1734" s="151">
        <v>0.13</v>
      </c>
      <c r="U1734" s="151" t="str">
        <f t="shared" si="111"/>
        <v>1,70</v>
      </c>
      <c r="V1734" s="151">
        <f t="shared" si="115"/>
        <v>0.33999999999999997</v>
      </c>
      <c r="W1734" s="151">
        <v>0.25</v>
      </c>
      <c r="X1734" s="152">
        <f t="shared" si="112"/>
        <v>0.1694</v>
      </c>
      <c r="Y1734" s="152">
        <f t="shared" si="113"/>
        <v>2.5</v>
      </c>
      <c r="Z1734" s="152">
        <f t="shared" si="114"/>
        <v>2.5893999999999999</v>
      </c>
      <c r="AA1734" s="153"/>
      <c r="AB1734" s="153"/>
      <c r="AC1734" s="153"/>
      <c r="AD1734" s="153"/>
      <c r="AH1734" s="147"/>
    </row>
    <row r="1735" spans="1:34" s="146" customFormat="1" x14ac:dyDescent="0.25">
      <c r="A1735" s="196">
        <v>782</v>
      </c>
      <c r="B1735" s="196" t="s">
        <v>8593</v>
      </c>
      <c r="C1735" s="196" t="s">
        <v>8609</v>
      </c>
      <c r="D1735" s="196" t="s">
        <v>1927</v>
      </c>
      <c r="E1735" s="196"/>
      <c r="F1735" s="196">
        <v>2016</v>
      </c>
      <c r="G1735" s="196"/>
      <c r="H1735" s="196" t="s">
        <v>2734</v>
      </c>
      <c r="I1735" s="141" t="s">
        <v>1879</v>
      </c>
      <c r="J1735" s="196"/>
      <c r="K1735" s="196" t="s">
        <v>1881</v>
      </c>
      <c r="L1735" s="240" t="s">
        <v>8610</v>
      </c>
      <c r="M1735" s="196">
        <v>66</v>
      </c>
      <c r="N1735" s="196"/>
      <c r="O1735" s="196" t="s">
        <v>6829</v>
      </c>
      <c r="P1735" s="144">
        <v>471</v>
      </c>
      <c r="Q1735" s="145">
        <f t="shared" si="110"/>
        <v>1.7</v>
      </c>
      <c r="R1735" s="145">
        <f t="shared" si="116"/>
        <v>2.9</v>
      </c>
      <c r="S1735" s="203">
        <v>2.9</v>
      </c>
      <c r="T1735" s="151">
        <v>0.13</v>
      </c>
      <c r="U1735" s="151" t="str">
        <f t="shared" si="111"/>
        <v>1,20</v>
      </c>
      <c r="V1735" s="151">
        <f t="shared" si="115"/>
        <v>0.33999999999999997</v>
      </c>
      <c r="W1735" s="151">
        <v>1</v>
      </c>
      <c r="X1735" s="152">
        <f t="shared" si="112"/>
        <v>0.18689999999999998</v>
      </c>
      <c r="Y1735" s="152">
        <f t="shared" si="113"/>
        <v>2.9</v>
      </c>
      <c r="Z1735" s="152">
        <f t="shared" si="114"/>
        <v>2.8569</v>
      </c>
      <c r="AA1735" s="153"/>
      <c r="AB1735" s="153"/>
      <c r="AC1735" s="153"/>
      <c r="AD1735" s="153"/>
      <c r="AH1735" s="147"/>
    </row>
    <row r="1736" spans="1:34" s="146" customFormat="1" x14ac:dyDescent="0.25">
      <c r="A1736" s="196">
        <v>2524</v>
      </c>
      <c r="B1736" s="196" t="s">
        <v>8613</v>
      </c>
      <c r="C1736" s="196" t="s">
        <v>8614</v>
      </c>
      <c r="D1736" s="196" t="s">
        <v>8258</v>
      </c>
      <c r="E1736" s="196"/>
      <c r="F1736" s="196">
        <v>2000</v>
      </c>
      <c r="G1736" s="196"/>
      <c r="H1736" s="196" t="s">
        <v>2734</v>
      </c>
      <c r="I1736" s="141" t="s">
        <v>1929</v>
      </c>
      <c r="J1736" s="196"/>
      <c r="K1736" s="196" t="s">
        <v>1881</v>
      </c>
      <c r="L1736" s="240" t="s">
        <v>8615</v>
      </c>
      <c r="M1736" s="196">
        <v>186</v>
      </c>
      <c r="N1736" s="196"/>
      <c r="O1736" s="196" t="s">
        <v>6831</v>
      </c>
      <c r="P1736" s="144">
        <v>310</v>
      </c>
      <c r="Q1736" s="145">
        <f t="shared" si="110"/>
        <v>1.0000000000000002</v>
      </c>
      <c r="R1736" s="145">
        <f t="shared" si="116"/>
        <v>2.2000000000000002</v>
      </c>
      <c r="S1736" s="203">
        <v>2.2000000000000002</v>
      </c>
      <c r="T1736" s="151">
        <v>0.13</v>
      </c>
      <c r="U1736" s="151" t="str">
        <f t="shared" si="111"/>
        <v>1,20</v>
      </c>
      <c r="V1736" s="151">
        <f t="shared" si="115"/>
        <v>0.33999999999999997</v>
      </c>
      <c r="W1736" s="151">
        <v>0.35</v>
      </c>
      <c r="X1736" s="152">
        <f t="shared" si="112"/>
        <v>0.1414</v>
      </c>
      <c r="Y1736" s="152">
        <f t="shared" si="113"/>
        <v>2.2000000000000002</v>
      </c>
      <c r="Z1736" s="152">
        <f t="shared" si="114"/>
        <v>2.1614</v>
      </c>
      <c r="AA1736" s="153"/>
      <c r="AB1736" s="153"/>
      <c r="AC1736" s="153"/>
      <c r="AD1736" s="153"/>
      <c r="AH1736" s="147"/>
    </row>
    <row r="1737" spans="1:34" s="146" customFormat="1" x14ac:dyDescent="0.25">
      <c r="A1737" s="196">
        <v>667</v>
      </c>
      <c r="B1737" s="196" t="s">
        <v>8616</v>
      </c>
      <c r="C1737" s="196" t="s">
        <v>8617</v>
      </c>
      <c r="D1737" s="196" t="s">
        <v>8616</v>
      </c>
      <c r="E1737" s="196"/>
      <c r="F1737" s="196">
        <v>2011</v>
      </c>
      <c r="G1737" s="196"/>
      <c r="H1737" s="196" t="s">
        <v>1878</v>
      </c>
      <c r="I1737" s="141" t="s">
        <v>7527</v>
      </c>
      <c r="J1737" s="196"/>
      <c r="K1737" s="196" t="s">
        <v>1881</v>
      </c>
      <c r="L1737" s="240" t="s">
        <v>8618</v>
      </c>
      <c r="M1737" s="196">
        <v>208</v>
      </c>
      <c r="N1737" s="196"/>
      <c r="O1737" s="196" t="s">
        <v>6832</v>
      </c>
      <c r="P1737" s="144">
        <v>463</v>
      </c>
      <c r="Q1737" s="145">
        <f t="shared" si="110"/>
        <v>1.39</v>
      </c>
      <c r="R1737" s="145">
        <f t="shared" si="116"/>
        <v>2.59</v>
      </c>
      <c r="S1737" s="203">
        <v>2.59</v>
      </c>
      <c r="T1737" s="151">
        <v>0.13</v>
      </c>
      <c r="U1737" s="151" t="str">
        <f t="shared" si="111"/>
        <v>1,20</v>
      </c>
      <c r="V1737" s="151">
        <f t="shared" si="115"/>
        <v>0.33999999999999997</v>
      </c>
      <c r="W1737" s="151">
        <v>0.75</v>
      </c>
      <c r="X1737" s="152">
        <f t="shared" si="112"/>
        <v>0.1694</v>
      </c>
      <c r="Y1737" s="152">
        <f t="shared" si="113"/>
        <v>2.59</v>
      </c>
      <c r="Z1737" s="152">
        <f t="shared" si="114"/>
        <v>2.5893999999999999</v>
      </c>
      <c r="AA1737" s="153"/>
      <c r="AB1737" s="153"/>
      <c r="AC1737" s="153"/>
      <c r="AD1737" s="153"/>
      <c r="AH1737" s="147"/>
    </row>
    <row r="1738" spans="1:34" s="146" customFormat="1" x14ac:dyDescent="0.25">
      <c r="A1738" s="196">
        <v>666</v>
      </c>
      <c r="B1738" s="196" t="s">
        <v>8616</v>
      </c>
      <c r="C1738" s="196" t="s">
        <v>8619</v>
      </c>
      <c r="D1738" s="196" t="s">
        <v>8616</v>
      </c>
      <c r="E1738" s="196"/>
      <c r="F1738" s="196">
        <v>2010</v>
      </c>
      <c r="G1738" s="196"/>
      <c r="H1738" s="196" t="s">
        <v>1878</v>
      </c>
      <c r="I1738" s="141" t="s">
        <v>1914</v>
      </c>
      <c r="J1738" s="196"/>
      <c r="K1738" s="196" t="s">
        <v>1881</v>
      </c>
      <c r="L1738" s="240" t="s">
        <v>8620</v>
      </c>
      <c r="M1738" s="196">
        <v>192</v>
      </c>
      <c r="N1738" s="196"/>
      <c r="O1738" s="196" t="s">
        <v>6833</v>
      </c>
      <c r="P1738" s="144">
        <v>447</v>
      </c>
      <c r="Q1738" s="145">
        <f t="shared" si="110"/>
        <v>8.2000000000000011</v>
      </c>
      <c r="R1738" s="145">
        <f t="shared" si="116"/>
        <v>9.4</v>
      </c>
      <c r="S1738" s="203">
        <v>9.4</v>
      </c>
      <c r="T1738" s="151">
        <v>0.13</v>
      </c>
      <c r="U1738" s="151" t="str">
        <f t="shared" si="111"/>
        <v>1,20</v>
      </c>
      <c r="V1738" s="151">
        <f t="shared" ref="V1738:V1756" si="117">0.08+0.09+0.17</f>
        <v>0.33999999999999997</v>
      </c>
      <c r="W1738" s="151">
        <v>7.1</v>
      </c>
      <c r="X1738" s="152">
        <f t="shared" si="112"/>
        <v>0.6139</v>
      </c>
      <c r="Y1738" s="152">
        <f t="shared" si="113"/>
        <v>9.4</v>
      </c>
      <c r="Z1738" s="152">
        <f t="shared" si="114"/>
        <v>9.3838999999999988</v>
      </c>
      <c r="AA1738" s="153"/>
      <c r="AB1738" s="153"/>
      <c r="AC1738" s="153"/>
      <c r="AD1738" s="153"/>
      <c r="AH1738" s="147"/>
    </row>
    <row r="1739" spans="1:34" s="146" customFormat="1" x14ac:dyDescent="0.25">
      <c r="A1739" s="196">
        <v>2952</v>
      </c>
      <c r="B1739" s="196" t="s">
        <v>8621</v>
      </c>
      <c r="C1739" s="196" t="s">
        <v>8622</v>
      </c>
      <c r="D1739" s="196" t="s">
        <v>1912</v>
      </c>
      <c r="E1739" s="196"/>
      <c r="F1739" s="196">
        <v>2002</v>
      </c>
      <c r="G1739" s="196"/>
      <c r="H1739" s="196" t="s">
        <v>1878</v>
      </c>
      <c r="I1739" s="141" t="s">
        <v>1914</v>
      </c>
      <c r="J1739" s="196"/>
      <c r="K1739" s="196" t="s">
        <v>1881</v>
      </c>
      <c r="L1739" s="240" t="s">
        <v>8623</v>
      </c>
      <c r="M1739" s="196">
        <v>448</v>
      </c>
      <c r="N1739" s="196"/>
      <c r="O1739" s="196" t="s">
        <v>6834</v>
      </c>
      <c r="P1739" s="144">
        <v>414</v>
      </c>
      <c r="Q1739" s="145">
        <f t="shared" si="110"/>
        <v>0.85439999999999983</v>
      </c>
      <c r="R1739" s="145">
        <f t="shared" si="116"/>
        <v>2.0543999999999998</v>
      </c>
      <c r="S1739" s="203">
        <v>1.6</v>
      </c>
      <c r="T1739" s="151">
        <v>0.13</v>
      </c>
      <c r="U1739" s="151" t="str">
        <f t="shared" si="111"/>
        <v>1,20</v>
      </c>
      <c r="V1739" s="151">
        <f t="shared" si="117"/>
        <v>0.33999999999999997</v>
      </c>
      <c r="W1739" s="151">
        <v>0.25</v>
      </c>
      <c r="X1739" s="152">
        <f t="shared" si="112"/>
        <v>0.13439999999999999</v>
      </c>
      <c r="Y1739" s="152">
        <f t="shared" si="113"/>
        <v>1.6</v>
      </c>
      <c r="Z1739" s="152">
        <f t="shared" si="114"/>
        <v>2.0543999999999998</v>
      </c>
      <c r="AA1739" s="153"/>
      <c r="AB1739" s="153"/>
      <c r="AC1739" s="153"/>
      <c r="AD1739" s="153"/>
      <c r="AH1739" s="147"/>
    </row>
    <row r="1740" spans="1:34" s="146" customFormat="1" x14ac:dyDescent="0.25">
      <c r="A1740" s="196">
        <v>1386</v>
      </c>
      <c r="B1740" s="196" t="s">
        <v>8624</v>
      </c>
      <c r="C1740" s="196" t="s">
        <v>8625</v>
      </c>
      <c r="D1740" s="196" t="s">
        <v>2054</v>
      </c>
      <c r="E1740" s="196"/>
      <c r="F1740" s="196">
        <v>2011</v>
      </c>
      <c r="G1740" s="196"/>
      <c r="H1740" s="196" t="s">
        <v>2734</v>
      </c>
      <c r="I1740" s="141" t="s">
        <v>1879</v>
      </c>
      <c r="J1740" s="196"/>
      <c r="K1740" s="196" t="s">
        <v>1881</v>
      </c>
      <c r="L1740" s="240" t="s">
        <v>8626</v>
      </c>
      <c r="M1740" s="196">
        <v>386</v>
      </c>
      <c r="N1740" s="196"/>
      <c r="O1740" s="196" t="s">
        <v>6835</v>
      </c>
      <c r="P1740" s="144">
        <v>446</v>
      </c>
      <c r="Q1740" s="145">
        <f t="shared" si="110"/>
        <v>0.85439999999999983</v>
      </c>
      <c r="R1740" s="145">
        <f t="shared" si="116"/>
        <v>2.0543999999999998</v>
      </c>
      <c r="S1740" s="203">
        <v>1.65</v>
      </c>
      <c r="T1740" s="151">
        <v>0.13</v>
      </c>
      <c r="U1740" s="151" t="str">
        <f t="shared" si="111"/>
        <v>1,20</v>
      </c>
      <c r="V1740" s="151">
        <f t="shared" si="117"/>
        <v>0.33999999999999997</v>
      </c>
      <c r="W1740" s="151">
        <v>0.25</v>
      </c>
      <c r="X1740" s="152">
        <f t="shared" si="112"/>
        <v>0.13439999999999999</v>
      </c>
      <c r="Y1740" s="152">
        <f t="shared" si="113"/>
        <v>1.65</v>
      </c>
      <c r="Z1740" s="152">
        <f t="shared" si="114"/>
        <v>2.0543999999999998</v>
      </c>
      <c r="AA1740" s="153"/>
      <c r="AB1740" s="153"/>
      <c r="AC1740" s="153"/>
      <c r="AD1740" s="153"/>
      <c r="AH1740" s="147"/>
    </row>
    <row r="1741" spans="1:34" s="146" customFormat="1" x14ac:dyDescent="0.25">
      <c r="A1741" s="196">
        <v>2522</v>
      </c>
      <c r="B1741" s="196" t="s">
        <v>8627</v>
      </c>
      <c r="C1741" s="196" t="s">
        <v>8628</v>
      </c>
      <c r="D1741" s="196" t="s">
        <v>3895</v>
      </c>
      <c r="E1741" s="196"/>
      <c r="F1741" s="196">
        <v>2005</v>
      </c>
      <c r="G1741" s="196"/>
      <c r="H1741" s="196" t="s">
        <v>1878</v>
      </c>
      <c r="I1741" s="141" t="s">
        <v>1879</v>
      </c>
      <c r="J1741" s="196"/>
      <c r="K1741" s="196" t="s">
        <v>1881</v>
      </c>
      <c r="L1741" s="240" t="s">
        <v>8629</v>
      </c>
      <c r="M1741" s="196">
        <v>384</v>
      </c>
      <c r="N1741" s="196"/>
      <c r="O1741" s="196" t="s">
        <v>6836</v>
      </c>
      <c r="P1741" s="144">
        <v>331</v>
      </c>
      <c r="Q1741" s="145">
        <f t="shared" si="110"/>
        <v>1.7103999999999997</v>
      </c>
      <c r="R1741" s="145">
        <f t="shared" si="116"/>
        <v>2.9103999999999997</v>
      </c>
      <c r="S1741" s="203">
        <v>2.9</v>
      </c>
      <c r="T1741" s="151">
        <v>0.13</v>
      </c>
      <c r="U1741" s="151" t="str">
        <f t="shared" si="111"/>
        <v>1,20</v>
      </c>
      <c r="V1741" s="151">
        <f t="shared" si="117"/>
        <v>0.33999999999999997</v>
      </c>
      <c r="W1741" s="151">
        <v>1.05</v>
      </c>
      <c r="X1741" s="152">
        <f t="shared" si="112"/>
        <v>0.19039999999999999</v>
      </c>
      <c r="Y1741" s="152">
        <f t="shared" si="113"/>
        <v>2.9</v>
      </c>
      <c r="Z1741" s="152">
        <f t="shared" si="114"/>
        <v>2.9103999999999997</v>
      </c>
      <c r="AA1741" s="153"/>
      <c r="AB1741" s="153"/>
      <c r="AC1741" s="153"/>
      <c r="AD1741" s="153"/>
      <c r="AH1741" s="147"/>
    </row>
    <row r="1742" spans="1:34" s="146" customFormat="1" x14ac:dyDescent="0.25">
      <c r="A1742" s="196">
        <v>1395</v>
      </c>
      <c r="B1742" s="196" t="s">
        <v>8630</v>
      </c>
      <c r="C1742" s="196" t="s">
        <v>8631</v>
      </c>
      <c r="D1742" s="196" t="s">
        <v>1912</v>
      </c>
      <c r="E1742" s="196" t="s">
        <v>2032</v>
      </c>
      <c r="F1742" s="196">
        <v>2007</v>
      </c>
      <c r="G1742" s="196"/>
      <c r="H1742" s="196" t="s">
        <v>1878</v>
      </c>
      <c r="I1742" s="141" t="s">
        <v>1914</v>
      </c>
      <c r="J1742" s="196"/>
      <c r="K1742" s="196" t="s">
        <v>1881</v>
      </c>
      <c r="L1742" s="240" t="s">
        <v>8632</v>
      </c>
      <c r="M1742" s="196">
        <v>384</v>
      </c>
      <c r="N1742" s="196"/>
      <c r="O1742" s="196" t="s">
        <v>6837</v>
      </c>
      <c r="P1742" s="144">
        <v>319</v>
      </c>
      <c r="Q1742" s="145">
        <f t="shared" si="110"/>
        <v>0.85439999999999983</v>
      </c>
      <c r="R1742" s="145">
        <f t="shared" si="116"/>
        <v>2.0543999999999998</v>
      </c>
      <c r="S1742" s="203">
        <v>1.45</v>
      </c>
      <c r="T1742" s="151">
        <v>0.13</v>
      </c>
      <c r="U1742" s="151" t="str">
        <f t="shared" si="111"/>
        <v>1,20</v>
      </c>
      <c r="V1742" s="151">
        <f t="shared" si="117"/>
        <v>0.33999999999999997</v>
      </c>
      <c r="W1742" s="151">
        <v>0.25</v>
      </c>
      <c r="X1742" s="152">
        <f t="shared" si="112"/>
        <v>0.13439999999999999</v>
      </c>
      <c r="Y1742" s="152">
        <f t="shared" si="113"/>
        <v>1.45</v>
      </c>
      <c r="Z1742" s="152">
        <f t="shared" si="114"/>
        <v>2.0543999999999998</v>
      </c>
      <c r="AA1742" s="153"/>
      <c r="AB1742" s="153"/>
      <c r="AC1742" s="153"/>
      <c r="AD1742" s="153"/>
      <c r="AH1742" s="147"/>
    </row>
    <row r="1743" spans="1:34" s="146" customFormat="1" x14ac:dyDescent="0.25">
      <c r="A1743" s="196">
        <v>1231</v>
      </c>
      <c r="B1743" s="196" t="s">
        <v>8633</v>
      </c>
      <c r="C1743" s="196" t="s">
        <v>8634</v>
      </c>
      <c r="D1743" s="196" t="s">
        <v>1920</v>
      </c>
      <c r="E1743" s="196"/>
      <c r="F1743" s="196">
        <v>2004</v>
      </c>
      <c r="G1743" s="196"/>
      <c r="H1743" s="196" t="s">
        <v>1878</v>
      </c>
      <c r="I1743" s="141" t="s">
        <v>1914</v>
      </c>
      <c r="J1743" s="196"/>
      <c r="K1743" s="196" t="s">
        <v>1881</v>
      </c>
      <c r="L1743" s="240" t="s">
        <v>8635</v>
      </c>
      <c r="M1743" s="196">
        <v>416</v>
      </c>
      <c r="N1743" s="196"/>
      <c r="O1743" s="196" t="s">
        <v>6838</v>
      </c>
      <c r="P1743" s="144">
        <v>361</v>
      </c>
      <c r="Q1743" s="145">
        <f t="shared" si="110"/>
        <v>0.85439999999999983</v>
      </c>
      <c r="R1743" s="145">
        <f t="shared" si="116"/>
        <v>2.0543999999999998</v>
      </c>
      <c r="S1743" s="203">
        <v>1.55</v>
      </c>
      <c r="T1743" s="151">
        <v>0.13</v>
      </c>
      <c r="U1743" s="151" t="str">
        <f t="shared" si="111"/>
        <v>1,20</v>
      </c>
      <c r="V1743" s="151">
        <f t="shared" si="117"/>
        <v>0.33999999999999997</v>
      </c>
      <c r="W1743" s="151">
        <v>0.25</v>
      </c>
      <c r="X1743" s="152">
        <f t="shared" si="112"/>
        <v>0.13439999999999999</v>
      </c>
      <c r="Y1743" s="152">
        <f t="shared" si="113"/>
        <v>1.55</v>
      </c>
      <c r="Z1743" s="152">
        <f t="shared" si="114"/>
        <v>2.0543999999999998</v>
      </c>
      <c r="AA1743" s="153"/>
      <c r="AB1743" s="153"/>
      <c r="AC1743" s="153"/>
      <c r="AD1743" s="153"/>
      <c r="AH1743" s="147"/>
    </row>
    <row r="1744" spans="1:34" s="146" customFormat="1" x14ac:dyDescent="0.25">
      <c r="A1744" s="196">
        <v>1386</v>
      </c>
      <c r="B1744" s="196" t="s">
        <v>8636</v>
      </c>
      <c r="C1744" s="196" t="s">
        <v>8637</v>
      </c>
      <c r="D1744" s="196" t="s">
        <v>2209</v>
      </c>
      <c r="E1744" s="196"/>
      <c r="F1744" s="196">
        <v>2017</v>
      </c>
      <c r="G1744" s="196"/>
      <c r="H1744" s="196" t="s">
        <v>1878</v>
      </c>
      <c r="I1744" s="141" t="s">
        <v>1879</v>
      </c>
      <c r="J1744" s="52" t="s">
        <v>3854</v>
      </c>
      <c r="K1744" s="196" t="s">
        <v>1881</v>
      </c>
      <c r="L1744" s="240" t="s">
        <v>8638</v>
      </c>
      <c r="M1744" s="196">
        <v>560</v>
      </c>
      <c r="N1744" s="196"/>
      <c r="O1744" s="196" t="s">
        <v>6839</v>
      </c>
      <c r="P1744" s="144">
        <v>493</v>
      </c>
      <c r="Q1744" s="145">
        <f t="shared" si="110"/>
        <v>1.0148999999999997</v>
      </c>
      <c r="R1744" s="145">
        <f t="shared" si="116"/>
        <v>2.2148999999999996</v>
      </c>
      <c r="S1744" s="203">
        <v>2.2000000000000002</v>
      </c>
      <c r="T1744" s="151">
        <v>0.13</v>
      </c>
      <c r="U1744" s="151" t="str">
        <f t="shared" si="111"/>
        <v>1,20</v>
      </c>
      <c r="V1744" s="151">
        <f t="shared" si="117"/>
        <v>0.33999999999999997</v>
      </c>
      <c r="W1744" s="151">
        <v>0.4</v>
      </c>
      <c r="X1744" s="152">
        <f t="shared" si="112"/>
        <v>0.1449</v>
      </c>
      <c r="Y1744" s="152">
        <f t="shared" si="113"/>
        <v>2.2000000000000002</v>
      </c>
      <c r="Z1744" s="152">
        <f t="shared" si="114"/>
        <v>2.2148999999999996</v>
      </c>
      <c r="AA1744" s="153"/>
      <c r="AB1744" s="153"/>
      <c r="AC1744" s="153"/>
      <c r="AD1744" s="153"/>
      <c r="AH1744" s="147"/>
    </row>
    <row r="1745" spans="1:34" s="146" customFormat="1" x14ac:dyDescent="0.25">
      <c r="A1745" s="196">
        <v>1321</v>
      </c>
      <c r="B1745" s="196"/>
      <c r="C1745" s="196" t="s">
        <v>8642</v>
      </c>
      <c r="D1745" s="196" t="s">
        <v>2077</v>
      </c>
      <c r="E1745" s="196" t="s">
        <v>1913</v>
      </c>
      <c r="F1745" s="196">
        <v>2008</v>
      </c>
      <c r="G1745" s="196"/>
      <c r="H1745" s="196" t="s">
        <v>2734</v>
      </c>
      <c r="I1745" s="141" t="s">
        <v>1879</v>
      </c>
      <c r="J1745" s="196"/>
      <c r="K1745" s="196" t="s">
        <v>1881</v>
      </c>
      <c r="L1745" s="240" t="s">
        <v>8643</v>
      </c>
      <c r="M1745" s="196">
        <v>130</v>
      </c>
      <c r="N1745" s="196"/>
      <c r="O1745" s="196" t="s">
        <v>6840</v>
      </c>
      <c r="P1745" s="144">
        <v>626</v>
      </c>
      <c r="Q1745" s="145">
        <f>IF(Y1745&gt;Z1745,Y1745,Z1745)</f>
        <v>7.8</v>
      </c>
      <c r="R1745" s="203"/>
      <c r="S1745" s="203">
        <f>5.5+2.3</f>
        <v>7.8</v>
      </c>
      <c r="T1745" s="151">
        <v>0.13</v>
      </c>
      <c r="U1745" s="151" t="str">
        <f t="shared" ref="U1745:U1756" si="118">IF(P1745&lt;501,"1,90","2,20")</f>
        <v>2,20</v>
      </c>
      <c r="V1745" s="151">
        <f t="shared" si="117"/>
        <v>0.33999999999999997</v>
      </c>
      <c r="W1745" s="151">
        <v>4.5999999999999996</v>
      </c>
      <c r="X1745" s="152">
        <f t="shared" si="112"/>
        <v>0.50890000000000002</v>
      </c>
      <c r="Y1745" s="152">
        <f t="shared" si="113"/>
        <v>7.8</v>
      </c>
      <c r="Z1745" s="152">
        <f>T1745+U1745+V1745+W1745+X1745</f>
        <v>7.7788999999999993</v>
      </c>
      <c r="AA1745" s="153"/>
      <c r="AB1745" s="153"/>
      <c r="AC1745" s="153"/>
      <c r="AD1745" s="153"/>
      <c r="AH1745" s="147"/>
    </row>
    <row r="1746" spans="1:34" s="146" customFormat="1" x14ac:dyDescent="0.25">
      <c r="A1746" s="196">
        <v>655</v>
      </c>
      <c r="B1746" s="196" t="s">
        <v>8644</v>
      </c>
      <c r="C1746" s="196" t="s">
        <v>8645</v>
      </c>
      <c r="D1746" s="196" t="s">
        <v>8646</v>
      </c>
      <c r="E1746" s="196" t="s">
        <v>2375</v>
      </c>
      <c r="F1746" s="196">
        <v>1968</v>
      </c>
      <c r="G1746" s="196"/>
      <c r="H1746" s="196" t="s">
        <v>2734</v>
      </c>
      <c r="I1746" s="141" t="s">
        <v>1879</v>
      </c>
      <c r="J1746" s="196"/>
      <c r="K1746" s="196" t="s">
        <v>1881</v>
      </c>
      <c r="L1746" s="240"/>
      <c r="M1746" s="196">
        <v>434</v>
      </c>
      <c r="N1746" s="196"/>
      <c r="O1746" s="196" t="s">
        <v>6841</v>
      </c>
      <c r="P1746" s="144">
        <v>796</v>
      </c>
      <c r="Q1746" s="145">
        <f>IF(Y1746&gt;Z1746,Y1746,Z1746)</f>
        <v>3.2313999999999998</v>
      </c>
      <c r="R1746" s="203"/>
      <c r="S1746" s="203">
        <f>0.71+1.99</f>
        <v>2.7</v>
      </c>
      <c r="T1746" s="151">
        <v>0.13</v>
      </c>
      <c r="U1746" s="151" t="str">
        <f>IF(P1746&lt;501,"1,90","2,20")</f>
        <v>2,20</v>
      </c>
      <c r="V1746" s="151">
        <f t="shared" si="117"/>
        <v>0.33999999999999997</v>
      </c>
      <c r="W1746" s="151">
        <v>0.35</v>
      </c>
      <c r="X1746" s="152">
        <f t="shared" si="112"/>
        <v>0.2114</v>
      </c>
      <c r="Y1746" s="152">
        <f t="shared" si="113"/>
        <v>2.7</v>
      </c>
      <c r="Z1746" s="152">
        <f t="shared" si="114"/>
        <v>3.2313999999999998</v>
      </c>
      <c r="AA1746" s="153"/>
      <c r="AB1746" s="153"/>
      <c r="AC1746" s="153"/>
      <c r="AD1746" s="153"/>
      <c r="AH1746" s="147"/>
    </row>
    <row r="1747" spans="1:34" s="146" customFormat="1" x14ac:dyDescent="0.25">
      <c r="A1747" s="196">
        <v>587</v>
      </c>
      <c r="B1747" s="196" t="s">
        <v>8647</v>
      </c>
      <c r="C1747" s="196" t="s">
        <v>8648</v>
      </c>
      <c r="D1747" s="196" t="s">
        <v>2054</v>
      </c>
      <c r="E1747" s="196"/>
      <c r="F1747" s="196">
        <v>2001</v>
      </c>
      <c r="G1747" s="196"/>
      <c r="H1747" s="196" t="s">
        <v>2734</v>
      </c>
      <c r="I1747" s="141" t="s">
        <v>1879</v>
      </c>
      <c r="J1747" s="196"/>
      <c r="K1747" s="196" t="s">
        <v>1881</v>
      </c>
      <c r="L1747" s="240" t="s">
        <v>8649</v>
      </c>
      <c r="M1747" s="196">
        <v>82</v>
      </c>
      <c r="N1747" s="196"/>
      <c r="O1747" s="196" t="s">
        <v>6842</v>
      </c>
      <c r="P1747" s="144">
        <v>355</v>
      </c>
      <c r="Q1747" s="145">
        <f t="shared" ref="Q1747:Q1756" si="119">IF(Y1747&gt;Z1747,Y1747,Z1747)</f>
        <v>2.9103999999999997</v>
      </c>
      <c r="R1747" s="203"/>
      <c r="S1747" s="203">
        <v>1.65</v>
      </c>
      <c r="T1747" s="151">
        <v>0.13</v>
      </c>
      <c r="U1747" s="151" t="str">
        <f t="shared" si="118"/>
        <v>1,90</v>
      </c>
      <c r="V1747" s="151">
        <f t="shared" si="117"/>
        <v>0.33999999999999997</v>
      </c>
      <c r="W1747" s="151">
        <v>0.35</v>
      </c>
      <c r="X1747" s="152">
        <f t="shared" si="112"/>
        <v>0.19039999999999999</v>
      </c>
      <c r="Y1747" s="152">
        <f t="shared" si="113"/>
        <v>1.65</v>
      </c>
      <c r="Z1747" s="152">
        <f t="shared" si="114"/>
        <v>2.9103999999999997</v>
      </c>
      <c r="AA1747" s="153"/>
      <c r="AB1747" s="153"/>
      <c r="AC1747" s="153"/>
      <c r="AD1747" s="153"/>
      <c r="AH1747" s="147"/>
    </row>
    <row r="1748" spans="1:34" s="146" customFormat="1" x14ac:dyDescent="0.25">
      <c r="A1748" s="196">
        <v>1395</v>
      </c>
      <c r="B1748" s="196" t="s">
        <v>8650</v>
      </c>
      <c r="C1748" s="196" t="s">
        <v>8651</v>
      </c>
      <c r="D1748" s="196" t="s">
        <v>2054</v>
      </c>
      <c r="E1748" s="196"/>
      <c r="F1748" s="196">
        <v>1997</v>
      </c>
      <c r="G1748" s="196"/>
      <c r="H1748" s="196" t="s">
        <v>2734</v>
      </c>
      <c r="I1748" s="141" t="s">
        <v>1879</v>
      </c>
      <c r="J1748" s="196"/>
      <c r="K1748" s="196" t="s">
        <v>1881</v>
      </c>
      <c r="L1748" s="240" t="s">
        <v>8652</v>
      </c>
      <c r="M1748" s="196">
        <v>322</v>
      </c>
      <c r="N1748" s="196"/>
      <c r="O1748" s="196" t="s">
        <v>6843</v>
      </c>
      <c r="P1748" s="144">
        <v>418</v>
      </c>
      <c r="Q1748" s="145">
        <f t="shared" si="119"/>
        <v>2.9103999999999997</v>
      </c>
      <c r="R1748" s="203"/>
      <c r="S1748" s="203">
        <v>2.4</v>
      </c>
      <c r="T1748" s="151">
        <v>0.13</v>
      </c>
      <c r="U1748" s="151" t="str">
        <f t="shared" si="118"/>
        <v>1,90</v>
      </c>
      <c r="V1748" s="151">
        <f t="shared" si="117"/>
        <v>0.33999999999999997</v>
      </c>
      <c r="W1748" s="151">
        <v>0.35</v>
      </c>
      <c r="X1748" s="152">
        <f t="shared" si="112"/>
        <v>0.19039999999999999</v>
      </c>
      <c r="Y1748" s="152">
        <f t="shared" si="113"/>
        <v>2.4</v>
      </c>
      <c r="Z1748" s="152">
        <f t="shared" si="114"/>
        <v>2.9103999999999997</v>
      </c>
      <c r="AA1748" s="153"/>
      <c r="AB1748" s="153"/>
      <c r="AC1748" s="153"/>
      <c r="AD1748" s="153"/>
      <c r="AH1748" s="147"/>
    </row>
    <row r="1749" spans="1:34" s="146" customFormat="1" x14ac:dyDescent="0.25">
      <c r="A1749" s="196">
        <v>767</v>
      </c>
      <c r="B1749" s="196" t="s">
        <v>8653</v>
      </c>
      <c r="C1749" s="196" t="s">
        <v>8654</v>
      </c>
      <c r="D1749" s="196" t="s">
        <v>8655</v>
      </c>
      <c r="E1749" s="196"/>
      <c r="F1749" s="196">
        <v>1997</v>
      </c>
      <c r="G1749" s="196"/>
      <c r="H1749" s="196" t="s">
        <v>1878</v>
      </c>
      <c r="I1749" s="141" t="s">
        <v>1879</v>
      </c>
      <c r="J1749" s="196"/>
      <c r="K1749" s="196" t="s">
        <v>1881</v>
      </c>
      <c r="L1749" s="240" t="s">
        <v>8656</v>
      </c>
      <c r="M1749" s="196">
        <v>120</v>
      </c>
      <c r="N1749" s="196"/>
      <c r="O1749" s="196" t="s">
        <v>6844</v>
      </c>
      <c r="P1749" s="144">
        <v>140</v>
      </c>
      <c r="Q1749" s="145">
        <f t="shared" si="119"/>
        <v>2.9103999999999997</v>
      </c>
      <c r="R1749" s="203"/>
      <c r="S1749" s="203">
        <v>2</v>
      </c>
      <c r="T1749" s="151">
        <v>0.13</v>
      </c>
      <c r="U1749" s="151" t="str">
        <f t="shared" si="118"/>
        <v>1,90</v>
      </c>
      <c r="V1749" s="151">
        <f t="shared" si="117"/>
        <v>0.33999999999999997</v>
      </c>
      <c r="W1749" s="151">
        <v>0.35</v>
      </c>
      <c r="X1749" s="152">
        <f t="shared" si="112"/>
        <v>0.19039999999999999</v>
      </c>
      <c r="Y1749" s="152">
        <f t="shared" si="113"/>
        <v>2</v>
      </c>
      <c r="Z1749" s="152">
        <f t="shared" si="114"/>
        <v>2.9103999999999997</v>
      </c>
      <c r="AA1749" s="153"/>
      <c r="AB1749" s="153"/>
      <c r="AC1749" s="153"/>
      <c r="AD1749" s="153"/>
      <c r="AH1749" s="147"/>
    </row>
    <row r="1750" spans="1:34" s="146" customFormat="1" x14ac:dyDescent="0.25">
      <c r="A1750" s="196">
        <v>618</v>
      </c>
      <c r="B1750" s="196" t="s">
        <v>7378</v>
      </c>
      <c r="C1750" s="196" t="s">
        <v>8657</v>
      </c>
      <c r="D1750" s="196" t="s">
        <v>3077</v>
      </c>
      <c r="E1750" s="196"/>
      <c r="F1750" s="196">
        <v>1999</v>
      </c>
      <c r="G1750" s="196"/>
      <c r="H1750" s="196" t="s">
        <v>1878</v>
      </c>
      <c r="I1750" s="141" t="s">
        <v>7527</v>
      </c>
      <c r="J1750" s="196"/>
      <c r="K1750" s="196" t="s">
        <v>1881</v>
      </c>
      <c r="L1750" s="240" t="s">
        <v>8658</v>
      </c>
      <c r="M1750" s="196">
        <v>160</v>
      </c>
      <c r="N1750" s="196"/>
      <c r="O1750" s="196" t="s">
        <v>6845</v>
      </c>
      <c r="P1750" s="144">
        <v>153</v>
      </c>
      <c r="Q1750" s="145">
        <f t="shared" si="119"/>
        <v>2.9103999999999997</v>
      </c>
      <c r="R1750" s="203"/>
      <c r="S1750" s="203">
        <v>2.2000000000000002</v>
      </c>
      <c r="T1750" s="151">
        <v>0.13</v>
      </c>
      <c r="U1750" s="151" t="str">
        <f t="shared" si="118"/>
        <v>1,90</v>
      </c>
      <c r="V1750" s="151">
        <f t="shared" si="117"/>
        <v>0.33999999999999997</v>
      </c>
      <c r="W1750" s="151">
        <v>0.35</v>
      </c>
      <c r="X1750" s="152">
        <f t="shared" si="112"/>
        <v>0.19039999999999999</v>
      </c>
      <c r="Y1750" s="152">
        <f t="shared" si="113"/>
        <v>2.2000000000000002</v>
      </c>
      <c r="Z1750" s="152">
        <f t="shared" si="114"/>
        <v>2.9103999999999997</v>
      </c>
      <c r="AA1750" s="153"/>
      <c r="AB1750" s="153"/>
      <c r="AC1750" s="153"/>
      <c r="AD1750" s="153"/>
      <c r="AH1750" s="147"/>
    </row>
    <row r="1751" spans="1:34" s="146" customFormat="1" x14ac:dyDescent="0.25">
      <c r="A1751" s="196">
        <v>766</v>
      </c>
      <c r="B1751" s="196" t="s">
        <v>8659</v>
      </c>
      <c r="C1751" s="196" t="s">
        <v>8660</v>
      </c>
      <c r="D1751" s="196" t="s">
        <v>2971</v>
      </c>
      <c r="E1751" s="196" t="s">
        <v>2922</v>
      </c>
      <c r="F1751" s="196">
        <v>2004</v>
      </c>
      <c r="G1751" s="196"/>
      <c r="H1751" s="196" t="s">
        <v>1878</v>
      </c>
      <c r="I1751" s="141" t="s">
        <v>1879</v>
      </c>
      <c r="J1751" s="196"/>
      <c r="K1751" s="196" t="s">
        <v>1881</v>
      </c>
      <c r="L1751" s="240" t="s">
        <v>8661</v>
      </c>
      <c r="M1751" s="196">
        <v>160</v>
      </c>
      <c r="N1751" s="196"/>
      <c r="O1751" s="196" t="s">
        <v>6846</v>
      </c>
      <c r="P1751" s="144">
        <v>259</v>
      </c>
      <c r="Q1751" s="145">
        <f t="shared" si="119"/>
        <v>2.9103999999999997</v>
      </c>
      <c r="R1751" s="203"/>
      <c r="S1751" s="203">
        <v>2.25</v>
      </c>
      <c r="T1751" s="151">
        <v>0.13</v>
      </c>
      <c r="U1751" s="151" t="str">
        <f t="shared" si="118"/>
        <v>1,90</v>
      </c>
      <c r="V1751" s="151">
        <f t="shared" si="117"/>
        <v>0.33999999999999997</v>
      </c>
      <c r="W1751" s="151">
        <v>0.35</v>
      </c>
      <c r="X1751" s="152">
        <f t="shared" si="112"/>
        <v>0.19039999999999999</v>
      </c>
      <c r="Y1751" s="152">
        <f t="shared" si="113"/>
        <v>2.25</v>
      </c>
      <c r="Z1751" s="152">
        <f t="shared" si="114"/>
        <v>2.9103999999999997</v>
      </c>
      <c r="AA1751" s="153"/>
      <c r="AB1751" s="153"/>
      <c r="AC1751" s="153"/>
      <c r="AD1751" s="153"/>
      <c r="AH1751" s="147"/>
    </row>
    <row r="1752" spans="1:34" s="146" customFormat="1" x14ac:dyDescent="0.25">
      <c r="A1752" s="196">
        <v>726</v>
      </c>
      <c r="B1752" s="196" t="s">
        <v>8662</v>
      </c>
      <c r="C1752" s="196" t="s">
        <v>8663</v>
      </c>
      <c r="D1752" s="196" t="s">
        <v>2054</v>
      </c>
      <c r="E1752" s="196"/>
      <c r="F1752" s="196">
        <v>2006</v>
      </c>
      <c r="G1752" s="196"/>
      <c r="H1752" s="196" t="s">
        <v>1878</v>
      </c>
      <c r="I1752" s="141" t="s">
        <v>7527</v>
      </c>
      <c r="J1752" s="196"/>
      <c r="K1752" s="196" t="s">
        <v>1881</v>
      </c>
      <c r="L1752" s="240" t="s">
        <v>8664</v>
      </c>
      <c r="M1752" s="196">
        <v>480</v>
      </c>
      <c r="N1752" s="196"/>
      <c r="O1752" s="196" t="s">
        <v>6847</v>
      </c>
      <c r="P1752" s="144">
        <v>467</v>
      </c>
      <c r="Q1752" s="145">
        <f t="shared" si="119"/>
        <v>2.9103999999999997</v>
      </c>
      <c r="R1752" s="203"/>
      <c r="S1752" s="203">
        <v>2.35</v>
      </c>
      <c r="T1752" s="151">
        <v>0.13</v>
      </c>
      <c r="U1752" s="151" t="str">
        <f t="shared" si="118"/>
        <v>1,90</v>
      </c>
      <c r="V1752" s="151">
        <f t="shared" si="117"/>
        <v>0.33999999999999997</v>
      </c>
      <c r="W1752" s="151">
        <v>0.35</v>
      </c>
      <c r="X1752" s="152">
        <f t="shared" si="112"/>
        <v>0.19039999999999999</v>
      </c>
      <c r="Y1752" s="152">
        <f t="shared" si="113"/>
        <v>2.35</v>
      </c>
      <c r="Z1752" s="152">
        <f t="shared" si="114"/>
        <v>2.9103999999999997</v>
      </c>
      <c r="AA1752" s="153"/>
      <c r="AB1752" s="153"/>
      <c r="AC1752" s="153"/>
      <c r="AD1752" s="153"/>
      <c r="AH1752" s="147"/>
    </row>
    <row r="1753" spans="1:34" s="146" customFormat="1" x14ac:dyDescent="0.25">
      <c r="A1753" s="196">
        <v>2522</v>
      </c>
      <c r="B1753" s="196" t="s">
        <v>8665</v>
      </c>
      <c r="C1753" s="196" t="s">
        <v>8666</v>
      </c>
      <c r="D1753" s="196" t="s">
        <v>2300</v>
      </c>
      <c r="E1753" s="196" t="s">
        <v>1921</v>
      </c>
      <c r="F1753" s="196">
        <v>2014</v>
      </c>
      <c r="G1753" s="196"/>
      <c r="H1753" s="196" t="s">
        <v>1878</v>
      </c>
      <c r="I1753" s="141" t="s">
        <v>1879</v>
      </c>
      <c r="J1753" s="52" t="s">
        <v>3854</v>
      </c>
      <c r="K1753" s="196" t="s">
        <v>1881</v>
      </c>
      <c r="L1753" s="240" t="s">
        <v>8667</v>
      </c>
      <c r="M1753" s="196">
        <v>368</v>
      </c>
      <c r="N1753" s="196"/>
      <c r="O1753" s="196" t="s">
        <v>6848</v>
      </c>
      <c r="P1753" s="144">
        <v>372</v>
      </c>
      <c r="Q1753" s="145">
        <f t="shared" si="119"/>
        <v>2.9103999999999997</v>
      </c>
      <c r="R1753" s="203"/>
      <c r="S1753" s="203">
        <v>1.7</v>
      </c>
      <c r="T1753" s="151">
        <v>0.13</v>
      </c>
      <c r="U1753" s="151" t="str">
        <f t="shared" si="118"/>
        <v>1,90</v>
      </c>
      <c r="V1753" s="151">
        <f t="shared" si="117"/>
        <v>0.33999999999999997</v>
      </c>
      <c r="W1753" s="151">
        <v>0.35</v>
      </c>
      <c r="X1753" s="152">
        <f t="shared" si="112"/>
        <v>0.19039999999999999</v>
      </c>
      <c r="Y1753" s="152">
        <f t="shared" si="113"/>
        <v>1.7</v>
      </c>
      <c r="Z1753" s="152">
        <f t="shared" si="114"/>
        <v>2.9103999999999997</v>
      </c>
      <c r="AA1753" s="153"/>
      <c r="AB1753" s="153"/>
      <c r="AC1753" s="153"/>
      <c r="AD1753" s="153"/>
      <c r="AH1753" s="147"/>
    </row>
    <row r="1754" spans="1:34" s="146" customFormat="1" x14ac:dyDescent="0.25">
      <c r="A1754" s="196">
        <v>632</v>
      </c>
      <c r="B1754" s="196" t="s">
        <v>2467</v>
      </c>
      <c r="C1754" s="196" t="s">
        <v>8668</v>
      </c>
      <c r="D1754" s="196" t="s">
        <v>2054</v>
      </c>
      <c r="E1754" s="196"/>
      <c r="F1754" s="196">
        <v>2005</v>
      </c>
      <c r="G1754" s="196"/>
      <c r="H1754" s="196" t="s">
        <v>1878</v>
      </c>
      <c r="I1754" s="141" t="s">
        <v>1914</v>
      </c>
      <c r="J1754" s="196"/>
      <c r="K1754" s="196" t="s">
        <v>1881</v>
      </c>
      <c r="L1754" s="240" t="s">
        <v>8669</v>
      </c>
      <c r="M1754" s="196">
        <v>1248</v>
      </c>
      <c r="N1754" s="196"/>
      <c r="O1754" s="196" t="s">
        <v>6849</v>
      </c>
      <c r="P1754" s="144">
        <v>747</v>
      </c>
      <c r="Q1754" s="145">
        <f t="shared" si="119"/>
        <v>3.2313999999999998</v>
      </c>
      <c r="R1754" s="203"/>
      <c r="S1754" s="203">
        <v>3.09</v>
      </c>
      <c r="T1754" s="151">
        <v>0.13</v>
      </c>
      <c r="U1754" s="151" t="str">
        <f t="shared" si="118"/>
        <v>2,20</v>
      </c>
      <c r="V1754" s="151">
        <f t="shared" si="117"/>
        <v>0.33999999999999997</v>
      </c>
      <c r="W1754" s="151">
        <v>0.35</v>
      </c>
      <c r="X1754" s="152">
        <f t="shared" si="112"/>
        <v>0.2114</v>
      </c>
      <c r="Y1754" s="152">
        <f t="shared" si="113"/>
        <v>3.09</v>
      </c>
      <c r="Z1754" s="152">
        <f t="shared" si="114"/>
        <v>3.2313999999999998</v>
      </c>
      <c r="AA1754" s="153"/>
      <c r="AB1754" s="153"/>
      <c r="AC1754" s="153"/>
      <c r="AD1754" s="153"/>
      <c r="AH1754" s="147"/>
    </row>
    <row r="1755" spans="1:34" s="146" customFormat="1" x14ac:dyDescent="0.25">
      <c r="A1755" s="196">
        <v>1396</v>
      </c>
      <c r="B1755" s="196" t="s">
        <v>8670</v>
      </c>
      <c r="C1755" s="196" t="s">
        <v>8671</v>
      </c>
      <c r="D1755" s="196" t="s">
        <v>2386</v>
      </c>
      <c r="E1755" s="196"/>
      <c r="F1755" s="196">
        <v>1987</v>
      </c>
      <c r="G1755" s="196"/>
      <c r="H1755" s="196" t="s">
        <v>2734</v>
      </c>
      <c r="I1755" s="141" t="s">
        <v>1879</v>
      </c>
      <c r="J1755" s="196"/>
      <c r="K1755" s="196" t="s">
        <v>1881</v>
      </c>
      <c r="L1755" s="240"/>
      <c r="M1755" s="196">
        <v>482</v>
      </c>
      <c r="N1755" s="196"/>
      <c r="O1755" s="196" t="s">
        <v>6850</v>
      </c>
      <c r="P1755" s="144">
        <v>601</v>
      </c>
      <c r="Q1755" s="145">
        <f t="shared" si="119"/>
        <v>3.2313999999999998</v>
      </c>
      <c r="R1755" s="203"/>
      <c r="S1755" s="203">
        <v>1.4</v>
      </c>
      <c r="T1755" s="151">
        <v>0.13</v>
      </c>
      <c r="U1755" s="151" t="str">
        <f t="shared" si="118"/>
        <v>2,20</v>
      </c>
      <c r="V1755" s="151">
        <f t="shared" si="117"/>
        <v>0.33999999999999997</v>
      </c>
      <c r="W1755" s="151">
        <v>0.35</v>
      </c>
      <c r="X1755" s="152">
        <f t="shared" si="112"/>
        <v>0.2114</v>
      </c>
      <c r="Y1755" s="152">
        <f t="shared" si="113"/>
        <v>1.4</v>
      </c>
      <c r="Z1755" s="152">
        <f t="shared" si="114"/>
        <v>3.2313999999999998</v>
      </c>
      <c r="AA1755" s="153"/>
      <c r="AB1755" s="153"/>
      <c r="AC1755" s="153"/>
      <c r="AD1755" s="153"/>
      <c r="AH1755" s="147"/>
    </row>
    <row r="1756" spans="1:34" s="146" customFormat="1" x14ac:dyDescent="0.25">
      <c r="A1756" s="196">
        <v>792</v>
      </c>
      <c r="B1756" s="196" t="s">
        <v>8672</v>
      </c>
      <c r="C1756" s="196" t="s">
        <v>8674</v>
      </c>
      <c r="D1756" s="196" t="s">
        <v>2007</v>
      </c>
      <c r="E1756" s="196"/>
      <c r="F1756" s="196">
        <v>2017</v>
      </c>
      <c r="G1756" s="196"/>
      <c r="H1756" s="196" t="s">
        <v>1878</v>
      </c>
      <c r="I1756" s="141" t="s">
        <v>1929</v>
      </c>
      <c r="J1756" s="196"/>
      <c r="K1756" s="196" t="s">
        <v>1881</v>
      </c>
      <c r="L1756" s="240" t="s">
        <v>8673</v>
      </c>
      <c r="M1756" s="196">
        <v>146</v>
      </c>
      <c r="N1756" s="196"/>
      <c r="O1756" s="196" t="s">
        <v>6851</v>
      </c>
      <c r="P1756" s="144">
        <v>211</v>
      </c>
      <c r="Q1756" s="145">
        <f t="shared" si="119"/>
        <v>2.9103999999999997</v>
      </c>
      <c r="R1756" s="203"/>
      <c r="S1756" s="203">
        <v>2.2000000000000002</v>
      </c>
      <c r="T1756" s="151">
        <v>0.13</v>
      </c>
      <c r="U1756" s="151" t="str">
        <f t="shared" si="118"/>
        <v>1,90</v>
      </c>
      <c r="V1756" s="151">
        <f t="shared" si="117"/>
        <v>0.33999999999999997</v>
      </c>
      <c r="W1756" s="151">
        <v>0.35</v>
      </c>
      <c r="X1756" s="152">
        <f t="shared" si="112"/>
        <v>0.19039999999999999</v>
      </c>
      <c r="Y1756" s="152">
        <f t="shared" si="113"/>
        <v>2.2000000000000002</v>
      </c>
      <c r="Z1756" s="152">
        <f t="shared" si="114"/>
        <v>2.9103999999999997</v>
      </c>
      <c r="AA1756" s="153"/>
      <c r="AB1756" s="153"/>
      <c r="AC1756" s="153"/>
      <c r="AD1756" s="153"/>
      <c r="AH1756" s="147"/>
    </row>
    <row r="1757" spans="1:34" s="146" customFormat="1" x14ac:dyDescent="0.25">
      <c r="A1757" s="196">
        <v>2910</v>
      </c>
      <c r="B1757" s="196" t="s">
        <v>6544</v>
      </c>
      <c r="C1757" s="196" t="s">
        <v>8675</v>
      </c>
      <c r="D1757" s="196" t="s">
        <v>6546</v>
      </c>
      <c r="E1757" s="196"/>
      <c r="F1757" s="196">
        <v>2011</v>
      </c>
      <c r="G1757" s="196"/>
      <c r="H1757" s="196" t="s">
        <v>1878</v>
      </c>
      <c r="I1757" s="141" t="s">
        <v>1879</v>
      </c>
      <c r="J1757" s="196"/>
      <c r="K1757" s="196" t="s">
        <v>1881</v>
      </c>
      <c r="L1757" s="240" t="s">
        <v>8676</v>
      </c>
      <c r="M1757" s="196">
        <v>104</v>
      </c>
      <c r="N1757" s="196"/>
      <c r="O1757" s="196" t="s">
        <v>6852</v>
      </c>
      <c r="P1757" s="144">
        <v>313</v>
      </c>
      <c r="Q1757" s="145">
        <f t="shared" ref="Q1757:Q1798" si="120">IF(Y1757&gt;Z1757,Y1757,Z1757)</f>
        <v>4.7</v>
      </c>
      <c r="R1757" s="203"/>
      <c r="S1757" s="203">
        <v>4.7</v>
      </c>
      <c r="T1757" s="151">
        <v>0.13</v>
      </c>
      <c r="U1757" s="151" t="str">
        <f t="shared" ref="U1757:U1798" si="121">IF(P1757&lt;501,"1,90","2,20")</f>
        <v>1,90</v>
      </c>
      <c r="V1757" s="151">
        <f t="shared" ref="V1757:V1798" si="122">0.08+0.09+0.17</f>
        <v>0.33999999999999997</v>
      </c>
      <c r="W1757" s="151">
        <v>0.35</v>
      </c>
      <c r="X1757" s="152">
        <f t="shared" ref="X1757:X1798" si="123">(T1757+U1757+V1757+W1757)/100*7</f>
        <v>0.19039999999999999</v>
      </c>
      <c r="Y1757" s="152">
        <f t="shared" ref="Y1757:Y1798" si="124">S1757</f>
        <v>4.7</v>
      </c>
      <c r="Z1757" s="152">
        <f t="shared" ref="Z1757:Z1798" si="125">T1757+U1757+V1757+W1757+X1757</f>
        <v>2.9103999999999997</v>
      </c>
      <c r="AA1757" s="153"/>
      <c r="AB1757" s="153"/>
      <c r="AC1757" s="153"/>
      <c r="AD1757" s="153"/>
      <c r="AH1757" s="147"/>
    </row>
    <row r="1758" spans="1:34" s="146" customFormat="1" x14ac:dyDescent="0.25">
      <c r="A1758" s="196">
        <v>612</v>
      </c>
      <c r="B1758" s="196" t="s">
        <v>8677</v>
      </c>
      <c r="C1758" s="196" t="s">
        <v>8678</v>
      </c>
      <c r="D1758" s="196" t="s">
        <v>8679</v>
      </c>
      <c r="E1758" s="196"/>
      <c r="F1758" s="196">
        <v>2016</v>
      </c>
      <c r="G1758" s="196"/>
      <c r="H1758" s="196" t="s">
        <v>2734</v>
      </c>
      <c r="I1758" s="141" t="s">
        <v>1929</v>
      </c>
      <c r="J1758" s="196"/>
      <c r="K1758" s="196" t="s">
        <v>1881</v>
      </c>
      <c r="L1758" s="240" t="s">
        <v>8680</v>
      </c>
      <c r="M1758" s="196">
        <v>418</v>
      </c>
      <c r="N1758" s="196"/>
      <c r="O1758" s="196" t="s">
        <v>6853</v>
      </c>
      <c r="P1758" s="144">
        <v>1207</v>
      </c>
      <c r="Q1758" s="145">
        <f t="shared" si="120"/>
        <v>8.7799999999999994</v>
      </c>
      <c r="R1758" s="203"/>
      <c r="S1758" s="203">
        <f>4.88+3.9</f>
        <v>8.7799999999999994</v>
      </c>
      <c r="T1758" s="151">
        <v>0.13</v>
      </c>
      <c r="U1758" s="151" t="str">
        <f t="shared" si="121"/>
        <v>2,20</v>
      </c>
      <c r="V1758" s="151">
        <f t="shared" si="122"/>
        <v>0.33999999999999997</v>
      </c>
      <c r="W1758" s="151">
        <v>0.35</v>
      </c>
      <c r="X1758" s="152">
        <f t="shared" si="123"/>
        <v>0.2114</v>
      </c>
      <c r="Y1758" s="152">
        <f t="shared" si="124"/>
        <v>8.7799999999999994</v>
      </c>
      <c r="Z1758" s="152">
        <f t="shared" si="125"/>
        <v>3.2313999999999998</v>
      </c>
      <c r="AA1758" s="153"/>
      <c r="AB1758" s="153"/>
      <c r="AC1758" s="153"/>
      <c r="AD1758" s="153"/>
      <c r="AH1758" s="147"/>
    </row>
    <row r="1759" spans="1:34" s="146" customFormat="1" x14ac:dyDescent="0.25">
      <c r="A1759" s="196">
        <v>1327</v>
      </c>
      <c r="B1759" s="196" t="s">
        <v>8681</v>
      </c>
      <c r="C1759" s="196" t="s">
        <v>8682</v>
      </c>
      <c r="D1759" s="196" t="s">
        <v>2394</v>
      </c>
      <c r="E1759" s="196" t="s">
        <v>1913</v>
      </c>
      <c r="F1759" s="196">
        <v>2014</v>
      </c>
      <c r="G1759" s="196"/>
      <c r="H1759" s="196" t="s">
        <v>2734</v>
      </c>
      <c r="I1759" s="141" t="s">
        <v>1929</v>
      </c>
      <c r="J1759" s="196"/>
      <c r="K1759" s="196" t="s">
        <v>1881</v>
      </c>
      <c r="L1759" s="240" t="s">
        <v>8683</v>
      </c>
      <c r="M1759" s="196">
        <v>450</v>
      </c>
      <c r="N1759" s="196"/>
      <c r="O1759" s="196" t="s">
        <v>6854</v>
      </c>
      <c r="P1759" s="144">
        <v>645</v>
      </c>
      <c r="Q1759" s="145">
        <f t="shared" si="120"/>
        <v>3.2313999999999998</v>
      </c>
      <c r="R1759" s="203"/>
      <c r="S1759" s="203">
        <v>3.2</v>
      </c>
      <c r="T1759" s="151">
        <v>0.13</v>
      </c>
      <c r="U1759" s="151" t="str">
        <f t="shared" si="121"/>
        <v>2,20</v>
      </c>
      <c r="V1759" s="151">
        <f t="shared" si="122"/>
        <v>0.33999999999999997</v>
      </c>
      <c r="W1759" s="151">
        <v>0.35</v>
      </c>
      <c r="X1759" s="152">
        <f t="shared" si="123"/>
        <v>0.2114</v>
      </c>
      <c r="Y1759" s="152">
        <f t="shared" si="124"/>
        <v>3.2</v>
      </c>
      <c r="Z1759" s="152">
        <f t="shared" si="125"/>
        <v>3.2313999999999998</v>
      </c>
      <c r="AA1759" s="153"/>
      <c r="AB1759" s="153"/>
      <c r="AC1759" s="153"/>
      <c r="AD1759" s="153"/>
      <c r="AH1759" s="147"/>
    </row>
    <row r="1760" spans="1:34" s="146" customFormat="1" x14ac:dyDescent="0.25">
      <c r="A1760" s="196">
        <v>1327</v>
      </c>
      <c r="B1760" s="196" t="s">
        <v>8684</v>
      </c>
      <c r="C1760" s="196" t="s">
        <v>8685</v>
      </c>
      <c r="D1760" s="196" t="s">
        <v>7445</v>
      </c>
      <c r="E1760" s="196" t="s">
        <v>1913</v>
      </c>
      <c r="F1760" s="196">
        <v>2016</v>
      </c>
      <c r="G1760" s="196"/>
      <c r="H1760" s="196" t="s">
        <v>2734</v>
      </c>
      <c r="I1760" s="141" t="s">
        <v>1929</v>
      </c>
      <c r="J1760" s="52" t="s">
        <v>3854</v>
      </c>
      <c r="K1760" s="196" t="s">
        <v>1881</v>
      </c>
      <c r="L1760" s="240" t="s">
        <v>8686</v>
      </c>
      <c r="M1760" s="196">
        <v>322</v>
      </c>
      <c r="N1760" s="196"/>
      <c r="O1760" s="196" t="s">
        <v>6855</v>
      </c>
      <c r="P1760" s="144">
        <v>546</v>
      </c>
      <c r="Q1760" s="145">
        <f t="shared" si="120"/>
        <v>3.2313999999999998</v>
      </c>
      <c r="R1760" s="203"/>
      <c r="S1760" s="203">
        <v>3</v>
      </c>
      <c r="T1760" s="151">
        <v>0.13</v>
      </c>
      <c r="U1760" s="151" t="str">
        <f t="shared" si="121"/>
        <v>2,20</v>
      </c>
      <c r="V1760" s="151">
        <f t="shared" si="122"/>
        <v>0.33999999999999997</v>
      </c>
      <c r="W1760" s="151">
        <v>0.35</v>
      </c>
      <c r="X1760" s="152">
        <f t="shared" si="123"/>
        <v>0.2114</v>
      </c>
      <c r="Y1760" s="152">
        <f t="shared" si="124"/>
        <v>3</v>
      </c>
      <c r="Z1760" s="152">
        <f t="shared" si="125"/>
        <v>3.2313999999999998</v>
      </c>
      <c r="AA1760" s="153"/>
      <c r="AB1760" s="153"/>
      <c r="AC1760" s="153"/>
      <c r="AD1760" s="153"/>
      <c r="AH1760" s="147"/>
    </row>
    <row r="1761" spans="1:34" s="146" customFormat="1" ht="105.6" x14ac:dyDescent="0.25">
      <c r="A1761" s="196">
        <v>1231</v>
      </c>
      <c r="B1761" s="196" t="s">
        <v>8687</v>
      </c>
      <c r="C1761" s="196" t="s">
        <v>8688</v>
      </c>
      <c r="D1761" s="196" t="s">
        <v>1920</v>
      </c>
      <c r="E1761" s="196"/>
      <c r="F1761" s="196">
        <v>2015</v>
      </c>
      <c r="G1761" s="196"/>
      <c r="H1761" s="196" t="s">
        <v>2734</v>
      </c>
      <c r="I1761" s="141" t="s">
        <v>1929</v>
      </c>
      <c r="J1761" s="52" t="s">
        <v>8689</v>
      </c>
      <c r="K1761" s="196" t="s">
        <v>1881</v>
      </c>
      <c r="L1761" s="240" t="s">
        <v>8690</v>
      </c>
      <c r="M1761" s="196">
        <v>258</v>
      </c>
      <c r="N1761" s="196"/>
      <c r="O1761" s="196" t="s">
        <v>6856</v>
      </c>
      <c r="P1761" s="144">
        <v>438</v>
      </c>
      <c r="Q1761" s="145">
        <f t="shared" si="120"/>
        <v>2.9103999999999997</v>
      </c>
      <c r="R1761" s="203"/>
      <c r="S1761" s="203">
        <v>2.9</v>
      </c>
      <c r="T1761" s="151">
        <v>0.13</v>
      </c>
      <c r="U1761" s="151" t="str">
        <f t="shared" si="121"/>
        <v>1,90</v>
      </c>
      <c r="V1761" s="151">
        <f t="shared" si="122"/>
        <v>0.33999999999999997</v>
      </c>
      <c r="W1761" s="151">
        <v>0.35</v>
      </c>
      <c r="X1761" s="152">
        <f t="shared" si="123"/>
        <v>0.19039999999999999</v>
      </c>
      <c r="Y1761" s="152">
        <f t="shared" si="124"/>
        <v>2.9</v>
      </c>
      <c r="Z1761" s="152">
        <f t="shared" si="125"/>
        <v>2.9103999999999997</v>
      </c>
      <c r="AA1761" s="153"/>
      <c r="AB1761" s="153"/>
      <c r="AC1761" s="153"/>
      <c r="AD1761" s="153"/>
      <c r="AH1761" s="147"/>
    </row>
    <row r="1762" spans="1:34" s="146" customFormat="1" x14ac:dyDescent="0.25">
      <c r="A1762" s="196">
        <v>704</v>
      </c>
      <c r="B1762" s="196" t="s">
        <v>8691</v>
      </c>
      <c r="C1762" s="196" t="s">
        <v>8692</v>
      </c>
      <c r="D1762" s="196" t="s">
        <v>8693</v>
      </c>
      <c r="E1762" s="196"/>
      <c r="F1762" s="196">
        <v>2012</v>
      </c>
      <c r="G1762" s="196"/>
      <c r="H1762" s="196" t="s">
        <v>2734</v>
      </c>
      <c r="I1762" s="141" t="s">
        <v>1929</v>
      </c>
      <c r="J1762" s="196"/>
      <c r="K1762" s="196" t="s">
        <v>1881</v>
      </c>
      <c r="L1762" s="240" t="s">
        <v>8694</v>
      </c>
      <c r="M1762" s="196">
        <v>266</v>
      </c>
      <c r="N1762" s="196"/>
      <c r="O1762" s="196" t="s">
        <v>6857</v>
      </c>
      <c r="P1762" s="144">
        <v>479</v>
      </c>
      <c r="Q1762" s="145">
        <f t="shared" si="120"/>
        <v>4.08</v>
      </c>
      <c r="R1762" s="203"/>
      <c r="S1762" s="203">
        <f>1.38+2.7</f>
        <v>4.08</v>
      </c>
      <c r="T1762" s="151">
        <v>0.13</v>
      </c>
      <c r="U1762" s="151" t="str">
        <f t="shared" si="121"/>
        <v>1,90</v>
      </c>
      <c r="V1762" s="151">
        <f t="shared" si="122"/>
        <v>0.33999999999999997</v>
      </c>
      <c r="W1762" s="151">
        <v>0.35</v>
      </c>
      <c r="X1762" s="152">
        <f t="shared" si="123"/>
        <v>0.19039999999999999</v>
      </c>
      <c r="Y1762" s="152">
        <f t="shared" si="124"/>
        <v>4.08</v>
      </c>
      <c r="Z1762" s="152">
        <f t="shared" si="125"/>
        <v>2.9103999999999997</v>
      </c>
      <c r="AA1762" s="153"/>
      <c r="AB1762" s="153"/>
      <c r="AC1762" s="153"/>
      <c r="AD1762" s="153"/>
      <c r="AH1762" s="147"/>
    </row>
    <row r="1763" spans="1:34" s="146" customFormat="1" x14ac:dyDescent="0.25">
      <c r="A1763" s="196">
        <v>704</v>
      </c>
      <c r="B1763" s="196" t="s">
        <v>8695</v>
      </c>
      <c r="C1763" s="196" t="s">
        <v>8696</v>
      </c>
      <c r="D1763" s="196" t="s">
        <v>8697</v>
      </c>
      <c r="E1763" s="196" t="s">
        <v>1913</v>
      </c>
      <c r="F1763" s="196">
        <v>2009</v>
      </c>
      <c r="G1763" s="196"/>
      <c r="H1763" s="196" t="s">
        <v>2734</v>
      </c>
      <c r="I1763" s="141" t="s">
        <v>1929</v>
      </c>
      <c r="J1763" s="196"/>
      <c r="K1763" s="196" t="s">
        <v>1881</v>
      </c>
      <c r="L1763" s="240" t="s">
        <v>8698</v>
      </c>
      <c r="M1763" s="196">
        <v>296</v>
      </c>
      <c r="N1763" s="196"/>
      <c r="O1763" s="196" t="s">
        <v>6858</v>
      </c>
      <c r="P1763" s="144">
        <v>445</v>
      </c>
      <c r="Q1763" s="145">
        <f t="shared" si="120"/>
        <v>4.25</v>
      </c>
      <c r="R1763" s="203"/>
      <c r="S1763" s="203">
        <v>4.25</v>
      </c>
      <c r="T1763" s="151">
        <v>0.13</v>
      </c>
      <c r="U1763" s="151" t="str">
        <f t="shared" si="121"/>
        <v>1,90</v>
      </c>
      <c r="V1763" s="151">
        <f t="shared" si="122"/>
        <v>0.33999999999999997</v>
      </c>
      <c r="W1763" s="151">
        <v>0.35</v>
      </c>
      <c r="X1763" s="152">
        <f t="shared" si="123"/>
        <v>0.19039999999999999</v>
      </c>
      <c r="Y1763" s="152">
        <f t="shared" si="124"/>
        <v>4.25</v>
      </c>
      <c r="Z1763" s="152">
        <f t="shared" si="125"/>
        <v>2.9103999999999997</v>
      </c>
      <c r="AA1763" s="153"/>
      <c r="AB1763" s="153"/>
      <c r="AC1763" s="153"/>
      <c r="AD1763" s="153"/>
      <c r="AH1763" s="147"/>
    </row>
    <row r="1764" spans="1:34" s="146" customFormat="1" x14ac:dyDescent="0.25">
      <c r="A1764" s="196">
        <v>481</v>
      </c>
      <c r="B1764" s="196"/>
      <c r="C1764" s="196" t="s">
        <v>8699</v>
      </c>
      <c r="D1764" s="196" t="s">
        <v>2007</v>
      </c>
      <c r="E1764" s="196"/>
      <c r="F1764" s="196">
        <v>2016</v>
      </c>
      <c r="G1764" s="196"/>
      <c r="H1764" s="196" t="s">
        <v>1878</v>
      </c>
      <c r="I1764" s="141" t="s">
        <v>1929</v>
      </c>
      <c r="J1764" s="196"/>
      <c r="K1764" s="196" t="s">
        <v>1881</v>
      </c>
      <c r="L1764" s="240" t="s">
        <v>8700</v>
      </c>
      <c r="M1764" s="196">
        <v>224</v>
      </c>
      <c r="N1764" s="196"/>
      <c r="O1764" s="196" t="s">
        <v>6859</v>
      </c>
      <c r="P1764" s="144">
        <v>278</v>
      </c>
      <c r="Q1764" s="145">
        <f t="shared" si="120"/>
        <v>2.9103999999999997</v>
      </c>
      <c r="R1764" s="203"/>
      <c r="S1764" s="203">
        <v>2.2000000000000002</v>
      </c>
      <c r="T1764" s="151">
        <v>0.13</v>
      </c>
      <c r="U1764" s="151" t="str">
        <f t="shared" si="121"/>
        <v>1,90</v>
      </c>
      <c r="V1764" s="151">
        <f t="shared" si="122"/>
        <v>0.33999999999999997</v>
      </c>
      <c r="W1764" s="151">
        <v>0.35</v>
      </c>
      <c r="X1764" s="152">
        <f t="shared" si="123"/>
        <v>0.19039999999999999</v>
      </c>
      <c r="Y1764" s="152">
        <f t="shared" si="124"/>
        <v>2.2000000000000002</v>
      </c>
      <c r="Z1764" s="152">
        <f t="shared" si="125"/>
        <v>2.9103999999999997</v>
      </c>
      <c r="AA1764" s="153"/>
      <c r="AB1764" s="153"/>
      <c r="AC1764" s="153"/>
      <c r="AD1764" s="153"/>
      <c r="AH1764" s="147"/>
    </row>
    <row r="1765" spans="1:34" s="146" customFormat="1" x14ac:dyDescent="0.25">
      <c r="A1765" s="196">
        <v>1335</v>
      </c>
      <c r="B1765" s="196" t="s">
        <v>8701</v>
      </c>
      <c r="C1765" s="196" t="s">
        <v>8702</v>
      </c>
      <c r="D1765" s="196" t="s">
        <v>7445</v>
      </c>
      <c r="E1765" s="196" t="s">
        <v>1913</v>
      </c>
      <c r="F1765" s="196">
        <v>2016</v>
      </c>
      <c r="G1765" s="196"/>
      <c r="H1765" s="196" t="s">
        <v>1878</v>
      </c>
      <c r="I1765" s="141" t="s">
        <v>1929</v>
      </c>
      <c r="J1765" s="52" t="s">
        <v>3854</v>
      </c>
      <c r="K1765" s="196" t="s">
        <v>1881</v>
      </c>
      <c r="L1765" s="240" t="s">
        <v>8703</v>
      </c>
      <c r="M1765" s="196">
        <v>64</v>
      </c>
      <c r="N1765" s="196"/>
      <c r="O1765" s="196" t="s">
        <v>6860</v>
      </c>
      <c r="P1765" s="144">
        <v>105</v>
      </c>
      <c r="Q1765" s="145">
        <f t="shared" si="120"/>
        <v>2.9103999999999997</v>
      </c>
      <c r="R1765" s="203"/>
      <c r="S1765" s="203">
        <v>2.2000000000000002</v>
      </c>
      <c r="T1765" s="151">
        <v>0.13</v>
      </c>
      <c r="U1765" s="151" t="str">
        <f t="shared" si="121"/>
        <v>1,90</v>
      </c>
      <c r="V1765" s="151">
        <f t="shared" si="122"/>
        <v>0.33999999999999997</v>
      </c>
      <c r="W1765" s="151">
        <v>0.35</v>
      </c>
      <c r="X1765" s="152">
        <f t="shared" si="123"/>
        <v>0.19039999999999999</v>
      </c>
      <c r="Y1765" s="152">
        <f t="shared" si="124"/>
        <v>2.2000000000000002</v>
      </c>
      <c r="Z1765" s="152">
        <f t="shared" si="125"/>
        <v>2.9103999999999997</v>
      </c>
      <c r="AA1765" s="153"/>
      <c r="AB1765" s="153"/>
      <c r="AC1765" s="153"/>
      <c r="AD1765" s="153"/>
      <c r="AH1765" s="147"/>
    </row>
    <row r="1766" spans="1:34" s="146" customFormat="1" x14ac:dyDescent="0.25">
      <c r="A1766" s="196">
        <v>2518</v>
      </c>
      <c r="B1766" s="196" t="s">
        <v>8704</v>
      </c>
      <c r="C1766" s="196" t="s">
        <v>8705</v>
      </c>
      <c r="D1766" s="196" t="s">
        <v>2933</v>
      </c>
      <c r="E1766" s="196" t="s">
        <v>1913</v>
      </c>
      <c r="F1766" s="196">
        <v>2014</v>
      </c>
      <c r="G1766" s="196"/>
      <c r="H1766" s="196" t="s">
        <v>1878</v>
      </c>
      <c r="I1766" s="141" t="s">
        <v>1929</v>
      </c>
      <c r="J1766" s="52" t="s">
        <v>3854</v>
      </c>
      <c r="K1766" s="196" t="s">
        <v>1881</v>
      </c>
      <c r="L1766" s="240" t="s">
        <v>8706</v>
      </c>
      <c r="M1766" s="196">
        <v>382</v>
      </c>
      <c r="N1766" s="196"/>
      <c r="O1766" s="196" t="s">
        <v>6861</v>
      </c>
      <c r="P1766" s="144">
        <v>381</v>
      </c>
      <c r="Q1766" s="145">
        <f t="shared" si="120"/>
        <v>2.9103999999999997</v>
      </c>
      <c r="R1766" s="203"/>
      <c r="S1766" s="203">
        <v>2.5099999999999998</v>
      </c>
      <c r="T1766" s="151">
        <v>0.13</v>
      </c>
      <c r="U1766" s="151" t="str">
        <f t="shared" si="121"/>
        <v>1,90</v>
      </c>
      <c r="V1766" s="151">
        <f t="shared" si="122"/>
        <v>0.33999999999999997</v>
      </c>
      <c r="W1766" s="151">
        <v>0.35</v>
      </c>
      <c r="X1766" s="152">
        <f t="shared" si="123"/>
        <v>0.19039999999999999</v>
      </c>
      <c r="Y1766" s="152">
        <f t="shared" si="124"/>
        <v>2.5099999999999998</v>
      </c>
      <c r="Z1766" s="152">
        <f t="shared" si="125"/>
        <v>2.9103999999999997</v>
      </c>
      <c r="AA1766" s="153"/>
      <c r="AB1766" s="153"/>
      <c r="AC1766" s="153"/>
      <c r="AD1766" s="153"/>
      <c r="AH1766" s="147"/>
    </row>
    <row r="1767" spans="1:34" s="146" customFormat="1" x14ac:dyDescent="0.25">
      <c r="A1767" s="196">
        <v>1327</v>
      </c>
      <c r="B1767" s="196" t="s">
        <v>8707</v>
      </c>
      <c r="C1767" s="196" t="s">
        <v>8708</v>
      </c>
      <c r="D1767" s="196" t="s">
        <v>2300</v>
      </c>
      <c r="E1767" s="196" t="s">
        <v>2014</v>
      </c>
      <c r="F1767" s="196">
        <v>1987</v>
      </c>
      <c r="G1767" s="196"/>
      <c r="H1767" s="196" t="s">
        <v>1878</v>
      </c>
      <c r="I1767" s="141" t="s">
        <v>1879</v>
      </c>
      <c r="J1767" s="196"/>
      <c r="K1767" s="196" t="s">
        <v>1881</v>
      </c>
      <c r="L1767" s="240"/>
      <c r="M1767" s="196">
        <v>106</v>
      </c>
      <c r="N1767" s="196"/>
      <c r="O1767" s="196" t="s">
        <v>6862</v>
      </c>
      <c r="P1767" s="144">
        <v>124</v>
      </c>
      <c r="Q1767" s="145">
        <f t="shared" si="120"/>
        <v>2.9103999999999997</v>
      </c>
      <c r="R1767" s="203"/>
      <c r="S1767" s="203">
        <v>1.45</v>
      </c>
      <c r="T1767" s="151">
        <v>0.13</v>
      </c>
      <c r="U1767" s="151" t="str">
        <f t="shared" si="121"/>
        <v>1,90</v>
      </c>
      <c r="V1767" s="151">
        <f t="shared" si="122"/>
        <v>0.33999999999999997</v>
      </c>
      <c r="W1767" s="151">
        <v>0.35</v>
      </c>
      <c r="X1767" s="152">
        <f t="shared" si="123"/>
        <v>0.19039999999999999</v>
      </c>
      <c r="Y1767" s="152">
        <f t="shared" si="124"/>
        <v>1.45</v>
      </c>
      <c r="Z1767" s="152">
        <f t="shared" si="125"/>
        <v>2.9103999999999997</v>
      </c>
      <c r="AA1767" s="153"/>
      <c r="AB1767" s="153"/>
      <c r="AC1767" s="153"/>
      <c r="AD1767" s="153"/>
      <c r="AH1767" s="147"/>
    </row>
    <row r="1768" spans="1:34" s="146" customFormat="1" x14ac:dyDescent="0.25">
      <c r="A1768" s="196">
        <v>1327</v>
      </c>
      <c r="B1768" s="196" t="s">
        <v>8709</v>
      </c>
      <c r="C1768" s="196" t="s">
        <v>8710</v>
      </c>
      <c r="D1768" s="196" t="s">
        <v>2300</v>
      </c>
      <c r="E1768" s="196" t="s">
        <v>2014</v>
      </c>
      <c r="F1768" s="196">
        <v>1987</v>
      </c>
      <c r="G1768" s="196"/>
      <c r="H1768" s="196" t="s">
        <v>1878</v>
      </c>
      <c r="I1768" s="141" t="s">
        <v>1879</v>
      </c>
      <c r="J1768" s="196"/>
      <c r="K1768" s="196" t="s">
        <v>1881</v>
      </c>
      <c r="L1768" s="240"/>
      <c r="M1768" s="196">
        <v>270</v>
      </c>
      <c r="N1768" s="196"/>
      <c r="O1768" s="196" t="s">
        <v>6863</v>
      </c>
      <c r="P1768" s="144">
        <v>159</v>
      </c>
      <c r="Q1768" s="145">
        <f t="shared" si="120"/>
        <v>2.9103999999999997</v>
      </c>
      <c r="R1768" s="203"/>
      <c r="S1768" s="203">
        <v>2.5</v>
      </c>
      <c r="T1768" s="151">
        <v>0.13</v>
      </c>
      <c r="U1768" s="151" t="str">
        <f t="shared" si="121"/>
        <v>1,90</v>
      </c>
      <c r="V1768" s="151">
        <f t="shared" si="122"/>
        <v>0.33999999999999997</v>
      </c>
      <c r="W1768" s="151">
        <v>0.35</v>
      </c>
      <c r="X1768" s="152">
        <f t="shared" si="123"/>
        <v>0.19039999999999999</v>
      </c>
      <c r="Y1768" s="152">
        <f t="shared" si="124"/>
        <v>2.5</v>
      </c>
      <c r="Z1768" s="152">
        <f t="shared" si="125"/>
        <v>2.9103999999999997</v>
      </c>
      <c r="AA1768" s="153"/>
      <c r="AB1768" s="153"/>
      <c r="AC1768" s="153"/>
      <c r="AD1768" s="153"/>
      <c r="AH1768" s="147"/>
    </row>
    <row r="1769" spans="1:34" s="146" customFormat="1" x14ac:dyDescent="0.25">
      <c r="A1769" s="196">
        <v>1386</v>
      </c>
      <c r="B1769" s="196" t="s">
        <v>8711</v>
      </c>
      <c r="C1769" s="196" t="s">
        <v>8712</v>
      </c>
      <c r="D1769" s="196" t="s">
        <v>2007</v>
      </c>
      <c r="E1769" s="196"/>
      <c r="F1769" s="196">
        <v>2018</v>
      </c>
      <c r="G1769" s="196"/>
      <c r="H1769" s="196" t="s">
        <v>2734</v>
      </c>
      <c r="I1769" s="141" t="s">
        <v>1929</v>
      </c>
      <c r="J1769" s="196"/>
      <c r="K1769" s="196" t="s">
        <v>1881</v>
      </c>
      <c r="L1769" s="240" t="s">
        <v>8713</v>
      </c>
      <c r="M1769" s="196">
        <v>66</v>
      </c>
      <c r="N1769" s="196"/>
      <c r="O1769" s="196" t="s">
        <v>6864</v>
      </c>
      <c r="P1769" s="144">
        <v>89</v>
      </c>
      <c r="Q1769" s="145">
        <f t="shared" si="120"/>
        <v>3.83</v>
      </c>
      <c r="R1769" s="203"/>
      <c r="S1769" s="203">
        <v>3.83</v>
      </c>
      <c r="T1769" s="151">
        <v>0.13</v>
      </c>
      <c r="U1769" s="151" t="str">
        <f t="shared" si="121"/>
        <v>1,90</v>
      </c>
      <c r="V1769" s="151">
        <f t="shared" si="122"/>
        <v>0.33999999999999997</v>
      </c>
      <c r="W1769" s="151">
        <v>0.35</v>
      </c>
      <c r="X1769" s="152">
        <f t="shared" si="123"/>
        <v>0.19039999999999999</v>
      </c>
      <c r="Y1769" s="152">
        <f t="shared" si="124"/>
        <v>3.83</v>
      </c>
      <c r="Z1769" s="152">
        <f t="shared" si="125"/>
        <v>2.9103999999999997</v>
      </c>
      <c r="AA1769" s="153"/>
      <c r="AB1769" s="153"/>
      <c r="AC1769" s="153"/>
      <c r="AD1769" s="153"/>
      <c r="AH1769" s="147"/>
    </row>
    <row r="1770" spans="1:34" s="146" customFormat="1" x14ac:dyDescent="0.25">
      <c r="A1770" s="196">
        <v>2644</v>
      </c>
      <c r="B1770" s="196"/>
      <c r="C1770" s="196" t="s">
        <v>8714</v>
      </c>
      <c r="D1770" s="196" t="s">
        <v>8715</v>
      </c>
      <c r="E1770" s="196" t="s">
        <v>1913</v>
      </c>
      <c r="F1770" s="196">
        <v>2017</v>
      </c>
      <c r="G1770" s="196"/>
      <c r="H1770" s="196" t="s">
        <v>1878</v>
      </c>
      <c r="I1770" s="141" t="s">
        <v>1929</v>
      </c>
      <c r="J1770" s="196" t="s">
        <v>43</v>
      </c>
      <c r="K1770" s="196" t="s">
        <v>1881</v>
      </c>
      <c r="L1770" s="240" t="s">
        <v>8716</v>
      </c>
      <c r="M1770" s="196"/>
      <c r="N1770" s="196"/>
      <c r="O1770" s="196" t="s">
        <v>6865</v>
      </c>
      <c r="P1770" s="144">
        <v>193</v>
      </c>
      <c r="Q1770" s="145">
        <f t="shared" si="120"/>
        <v>3.83</v>
      </c>
      <c r="R1770" s="203"/>
      <c r="S1770" s="203">
        <v>3.83</v>
      </c>
      <c r="T1770" s="151">
        <v>0.13</v>
      </c>
      <c r="U1770" s="151" t="str">
        <f t="shared" si="121"/>
        <v>1,90</v>
      </c>
      <c r="V1770" s="151">
        <f t="shared" si="122"/>
        <v>0.33999999999999997</v>
      </c>
      <c r="W1770" s="151">
        <v>0.35</v>
      </c>
      <c r="X1770" s="152">
        <f t="shared" si="123"/>
        <v>0.19039999999999999</v>
      </c>
      <c r="Y1770" s="152">
        <f t="shared" si="124"/>
        <v>3.83</v>
      </c>
      <c r="Z1770" s="152">
        <f t="shared" si="125"/>
        <v>2.9103999999999997</v>
      </c>
      <c r="AA1770" s="153"/>
      <c r="AB1770" s="153"/>
      <c r="AC1770" s="153"/>
      <c r="AD1770" s="153"/>
      <c r="AH1770" s="147"/>
    </row>
    <row r="1771" spans="1:34" s="146" customFormat="1" x14ac:dyDescent="0.25">
      <c r="A1771" s="196">
        <v>1327</v>
      </c>
      <c r="B1771" s="196" t="s">
        <v>8717</v>
      </c>
      <c r="C1771" s="196" t="s">
        <v>8718</v>
      </c>
      <c r="D1771" s="196" t="s">
        <v>2300</v>
      </c>
      <c r="E1771" s="196" t="s">
        <v>2014</v>
      </c>
      <c r="F1771" s="196">
        <v>1987</v>
      </c>
      <c r="G1771" s="196"/>
      <c r="H1771" s="196" t="s">
        <v>1878</v>
      </c>
      <c r="I1771" s="141" t="s">
        <v>1879</v>
      </c>
      <c r="J1771" s="196"/>
      <c r="K1771" s="196" t="s">
        <v>1881</v>
      </c>
      <c r="L1771" s="240"/>
      <c r="M1771" s="196">
        <v>126</v>
      </c>
      <c r="N1771" s="196"/>
      <c r="O1771" s="196" t="s">
        <v>6866</v>
      </c>
      <c r="P1771" s="144">
        <v>80</v>
      </c>
      <c r="Q1771" s="145">
        <f t="shared" si="120"/>
        <v>2.9103999999999997</v>
      </c>
      <c r="R1771" s="203"/>
      <c r="S1771" s="203">
        <v>1.7</v>
      </c>
      <c r="T1771" s="151">
        <v>0.13</v>
      </c>
      <c r="U1771" s="151" t="str">
        <f t="shared" si="121"/>
        <v>1,90</v>
      </c>
      <c r="V1771" s="151">
        <f t="shared" si="122"/>
        <v>0.33999999999999997</v>
      </c>
      <c r="W1771" s="151">
        <v>0.35</v>
      </c>
      <c r="X1771" s="152">
        <f t="shared" si="123"/>
        <v>0.19039999999999999</v>
      </c>
      <c r="Y1771" s="152">
        <f t="shared" si="124"/>
        <v>1.7</v>
      </c>
      <c r="Z1771" s="152">
        <f t="shared" si="125"/>
        <v>2.9103999999999997</v>
      </c>
      <c r="AA1771" s="153"/>
      <c r="AB1771" s="153"/>
      <c r="AC1771" s="153"/>
      <c r="AD1771" s="153"/>
      <c r="AH1771" s="147"/>
    </row>
    <row r="1772" spans="1:34" s="146" customFormat="1" x14ac:dyDescent="0.25">
      <c r="A1772" s="196">
        <v>1327</v>
      </c>
      <c r="B1772" s="196" t="s">
        <v>8719</v>
      </c>
      <c r="C1772" s="196" t="s">
        <v>8720</v>
      </c>
      <c r="D1772" s="196" t="s">
        <v>2300</v>
      </c>
      <c r="E1772" s="196" t="s">
        <v>2014</v>
      </c>
      <c r="F1772" s="196">
        <v>1987</v>
      </c>
      <c r="G1772" s="196"/>
      <c r="H1772" s="196" t="s">
        <v>1878</v>
      </c>
      <c r="I1772" s="141" t="s">
        <v>1879</v>
      </c>
      <c r="J1772" s="196"/>
      <c r="K1772" s="196" t="s">
        <v>1881</v>
      </c>
      <c r="L1772" s="240"/>
      <c r="M1772" s="196">
        <v>254</v>
      </c>
      <c r="N1772" s="196"/>
      <c r="O1772" s="196" t="s">
        <v>6867</v>
      </c>
      <c r="P1772" s="144">
        <v>150</v>
      </c>
      <c r="Q1772" s="145">
        <f t="shared" si="120"/>
        <v>2.9103999999999997</v>
      </c>
      <c r="R1772" s="203"/>
      <c r="S1772" s="203">
        <v>1.55</v>
      </c>
      <c r="T1772" s="151">
        <v>0.13</v>
      </c>
      <c r="U1772" s="151" t="str">
        <f t="shared" si="121"/>
        <v>1,90</v>
      </c>
      <c r="V1772" s="151">
        <f t="shared" si="122"/>
        <v>0.33999999999999997</v>
      </c>
      <c r="W1772" s="151">
        <v>0.35</v>
      </c>
      <c r="X1772" s="152">
        <f t="shared" si="123"/>
        <v>0.19039999999999999</v>
      </c>
      <c r="Y1772" s="152">
        <f t="shared" si="124"/>
        <v>1.55</v>
      </c>
      <c r="Z1772" s="152">
        <f t="shared" si="125"/>
        <v>2.9103999999999997</v>
      </c>
      <c r="AA1772" s="153"/>
      <c r="AB1772" s="153"/>
      <c r="AC1772" s="153"/>
      <c r="AD1772" s="153"/>
      <c r="AH1772" s="147"/>
    </row>
    <row r="1773" spans="1:34" s="146" customFormat="1" x14ac:dyDescent="0.25">
      <c r="A1773" s="196">
        <v>2437</v>
      </c>
      <c r="B1773" s="196" t="s">
        <v>8721</v>
      </c>
      <c r="C1773" s="196" t="s">
        <v>8722</v>
      </c>
      <c r="D1773" s="196" t="s">
        <v>8723</v>
      </c>
      <c r="E1773" s="196" t="s">
        <v>2358</v>
      </c>
      <c r="F1773" s="196">
        <v>1992</v>
      </c>
      <c r="G1773" s="196"/>
      <c r="H1773" s="196" t="s">
        <v>1878</v>
      </c>
      <c r="I1773" s="141" t="s">
        <v>1879</v>
      </c>
      <c r="J1773" s="196"/>
      <c r="K1773" s="196" t="s">
        <v>1881</v>
      </c>
      <c r="L1773" s="240" t="s">
        <v>8724</v>
      </c>
      <c r="M1773" s="196">
        <v>208</v>
      </c>
      <c r="N1773" s="196"/>
      <c r="O1773" s="196" t="s">
        <v>6868</v>
      </c>
      <c r="P1773" s="144">
        <v>304</v>
      </c>
      <c r="Q1773" s="145">
        <f t="shared" si="120"/>
        <v>2.9103999999999997</v>
      </c>
      <c r="R1773" s="203"/>
      <c r="S1773" s="203">
        <v>1.65</v>
      </c>
      <c r="T1773" s="151">
        <v>0.13</v>
      </c>
      <c r="U1773" s="151" t="str">
        <f t="shared" si="121"/>
        <v>1,90</v>
      </c>
      <c r="V1773" s="151">
        <f t="shared" si="122"/>
        <v>0.33999999999999997</v>
      </c>
      <c r="W1773" s="151">
        <v>0.35</v>
      </c>
      <c r="X1773" s="152">
        <f t="shared" si="123"/>
        <v>0.19039999999999999</v>
      </c>
      <c r="Y1773" s="152">
        <f t="shared" si="124"/>
        <v>1.65</v>
      </c>
      <c r="Z1773" s="152">
        <f t="shared" si="125"/>
        <v>2.9103999999999997</v>
      </c>
      <c r="AA1773" s="153"/>
      <c r="AB1773" s="153"/>
      <c r="AC1773" s="153"/>
      <c r="AD1773" s="153"/>
      <c r="AH1773" s="147"/>
    </row>
    <row r="1774" spans="1:34" s="146" customFormat="1" x14ac:dyDescent="0.25">
      <c r="A1774" s="196">
        <v>1327</v>
      </c>
      <c r="B1774" s="196" t="s">
        <v>8725</v>
      </c>
      <c r="C1774" s="196" t="s">
        <v>8726</v>
      </c>
      <c r="D1774" s="196" t="s">
        <v>2300</v>
      </c>
      <c r="E1774" s="196" t="s">
        <v>2014</v>
      </c>
      <c r="F1774" s="196">
        <v>1987</v>
      </c>
      <c r="G1774" s="196"/>
      <c r="H1774" s="196" t="s">
        <v>1878</v>
      </c>
      <c r="I1774" s="141" t="s">
        <v>1879</v>
      </c>
      <c r="J1774" s="196"/>
      <c r="K1774" s="196" t="s">
        <v>1881</v>
      </c>
      <c r="L1774" s="240"/>
      <c r="M1774" s="196">
        <v>160</v>
      </c>
      <c r="N1774" s="196"/>
      <c r="O1774" s="196" t="s">
        <v>6869</v>
      </c>
      <c r="P1774" s="144">
        <v>97</v>
      </c>
      <c r="Q1774" s="145">
        <f t="shared" si="120"/>
        <v>4.3499999999999996</v>
      </c>
      <c r="R1774" s="203"/>
      <c r="S1774" s="203">
        <f>2.4+1.95</f>
        <v>4.3499999999999996</v>
      </c>
      <c r="T1774" s="151">
        <v>0.13</v>
      </c>
      <c r="U1774" s="151" t="str">
        <f t="shared" si="121"/>
        <v>1,90</v>
      </c>
      <c r="V1774" s="151">
        <f t="shared" si="122"/>
        <v>0.33999999999999997</v>
      </c>
      <c r="W1774" s="151">
        <v>0.35</v>
      </c>
      <c r="X1774" s="152">
        <f t="shared" si="123"/>
        <v>0.19039999999999999</v>
      </c>
      <c r="Y1774" s="152">
        <f t="shared" si="124"/>
        <v>4.3499999999999996</v>
      </c>
      <c r="Z1774" s="152">
        <f t="shared" si="125"/>
        <v>2.9103999999999997</v>
      </c>
      <c r="AA1774" s="153"/>
      <c r="AB1774" s="153"/>
      <c r="AC1774" s="153"/>
      <c r="AD1774" s="153"/>
      <c r="AH1774" s="147"/>
    </row>
    <row r="1775" spans="1:34" s="146" customFormat="1" x14ac:dyDescent="0.25">
      <c r="A1775" s="196">
        <v>606</v>
      </c>
      <c r="B1775" s="196" t="s">
        <v>8727</v>
      </c>
      <c r="C1775" s="196" t="s">
        <v>8728</v>
      </c>
      <c r="D1775" s="196" t="s">
        <v>8729</v>
      </c>
      <c r="E1775" s="196"/>
      <c r="F1775" s="196">
        <v>2016</v>
      </c>
      <c r="G1775" s="196"/>
      <c r="H1775" s="196" t="s">
        <v>2734</v>
      </c>
      <c r="I1775" s="141" t="s">
        <v>1929</v>
      </c>
      <c r="J1775" s="196"/>
      <c r="K1775" s="196" t="s">
        <v>1881</v>
      </c>
      <c r="L1775" s="240" t="s">
        <v>8730</v>
      </c>
      <c r="M1775" s="196">
        <v>272</v>
      </c>
      <c r="N1775" s="196"/>
      <c r="O1775" s="196" t="s">
        <v>6870</v>
      </c>
      <c r="P1775" s="144">
        <v>708</v>
      </c>
      <c r="Q1775" s="145">
        <f t="shared" si="120"/>
        <v>10</v>
      </c>
      <c r="R1775" s="203"/>
      <c r="S1775" s="203">
        <v>10</v>
      </c>
      <c r="T1775" s="151">
        <v>0.13</v>
      </c>
      <c r="U1775" s="151" t="str">
        <f t="shared" si="121"/>
        <v>2,20</v>
      </c>
      <c r="V1775" s="151">
        <f t="shared" si="122"/>
        <v>0.33999999999999997</v>
      </c>
      <c r="W1775" s="151">
        <v>0.35</v>
      </c>
      <c r="X1775" s="152">
        <f t="shared" si="123"/>
        <v>0.2114</v>
      </c>
      <c r="Y1775" s="152">
        <f t="shared" si="124"/>
        <v>10</v>
      </c>
      <c r="Z1775" s="152">
        <f t="shared" si="125"/>
        <v>3.2313999999999998</v>
      </c>
      <c r="AA1775" s="153"/>
      <c r="AB1775" s="153"/>
      <c r="AC1775" s="153"/>
      <c r="AD1775" s="153"/>
      <c r="AH1775" s="147"/>
    </row>
    <row r="1776" spans="1:34" s="146" customFormat="1" x14ac:dyDescent="0.25">
      <c r="A1776" s="196">
        <v>1030</v>
      </c>
      <c r="B1776" s="196" t="s">
        <v>8731</v>
      </c>
      <c r="C1776" s="196" t="s">
        <v>8732</v>
      </c>
      <c r="D1776" s="196" t="s">
        <v>8733</v>
      </c>
      <c r="E1776" s="196"/>
      <c r="F1776" s="196">
        <v>1988</v>
      </c>
      <c r="G1776" s="196"/>
      <c r="H1776" s="196" t="s">
        <v>1878</v>
      </c>
      <c r="I1776" s="141" t="s">
        <v>1879</v>
      </c>
      <c r="J1776" s="196"/>
      <c r="K1776" s="196" t="s">
        <v>1881</v>
      </c>
      <c r="L1776" s="240" t="s">
        <v>8734</v>
      </c>
      <c r="M1776" s="196">
        <v>148</v>
      </c>
      <c r="N1776" s="196"/>
      <c r="O1776" s="196" t="s">
        <v>6871</v>
      </c>
      <c r="P1776" s="144">
        <v>163</v>
      </c>
      <c r="Q1776" s="145">
        <f t="shared" si="120"/>
        <v>2.9103999999999997</v>
      </c>
      <c r="R1776" s="203"/>
      <c r="S1776" s="203">
        <v>2.0299999999999998</v>
      </c>
      <c r="T1776" s="151">
        <v>0.13</v>
      </c>
      <c r="U1776" s="151" t="str">
        <f t="shared" si="121"/>
        <v>1,90</v>
      </c>
      <c r="V1776" s="151">
        <f t="shared" si="122"/>
        <v>0.33999999999999997</v>
      </c>
      <c r="W1776" s="151">
        <v>0.35</v>
      </c>
      <c r="X1776" s="152">
        <f t="shared" si="123"/>
        <v>0.19039999999999999</v>
      </c>
      <c r="Y1776" s="152">
        <f t="shared" si="124"/>
        <v>2.0299999999999998</v>
      </c>
      <c r="Z1776" s="152">
        <f t="shared" si="125"/>
        <v>2.9103999999999997</v>
      </c>
      <c r="AA1776" s="153"/>
      <c r="AB1776" s="153"/>
      <c r="AC1776" s="153"/>
      <c r="AD1776" s="153"/>
      <c r="AH1776" s="147"/>
    </row>
    <row r="1777" spans="1:34" s="146" customFormat="1" x14ac:dyDescent="0.25">
      <c r="A1777" s="196">
        <v>767</v>
      </c>
      <c r="B1777" s="196" t="s">
        <v>8735</v>
      </c>
      <c r="C1777" s="196" t="s">
        <v>8736</v>
      </c>
      <c r="D1777" s="196" t="s">
        <v>5005</v>
      </c>
      <c r="E1777" s="196" t="s">
        <v>1921</v>
      </c>
      <c r="F1777" s="196">
        <v>2007</v>
      </c>
      <c r="G1777" s="196"/>
      <c r="H1777" s="196" t="s">
        <v>2734</v>
      </c>
      <c r="I1777" s="141" t="s">
        <v>1879</v>
      </c>
      <c r="J1777" s="196"/>
      <c r="K1777" s="196" t="s">
        <v>1881</v>
      </c>
      <c r="L1777" s="240"/>
      <c r="M1777" s="196">
        <v>306</v>
      </c>
      <c r="N1777" s="196"/>
      <c r="O1777" s="196" t="s">
        <v>6872</v>
      </c>
      <c r="P1777" s="144">
        <v>485</v>
      </c>
      <c r="Q1777" s="145">
        <f t="shared" si="120"/>
        <v>7.3</v>
      </c>
      <c r="R1777" s="203"/>
      <c r="S1777" s="203">
        <v>7.3</v>
      </c>
      <c r="T1777" s="151">
        <v>0.13</v>
      </c>
      <c r="U1777" s="151" t="str">
        <f t="shared" si="121"/>
        <v>1,90</v>
      </c>
      <c r="V1777" s="151">
        <f t="shared" si="122"/>
        <v>0.33999999999999997</v>
      </c>
      <c r="W1777" s="151">
        <v>0.35</v>
      </c>
      <c r="X1777" s="152">
        <f t="shared" si="123"/>
        <v>0.19039999999999999</v>
      </c>
      <c r="Y1777" s="152">
        <f t="shared" si="124"/>
        <v>7.3</v>
      </c>
      <c r="Z1777" s="152">
        <f t="shared" si="125"/>
        <v>2.9103999999999997</v>
      </c>
      <c r="AA1777" s="153"/>
      <c r="AB1777" s="153"/>
      <c r="AC1777" s="153"/>
      <c r="AD1777" s="153"/>
      <c r="AH1777" s="147"/>
    </row>
    <row r="1778" spans="1:34" s="146" customFormat="1" x14ac:dyDescent="0.25">
      <c r="A1778" s="196">
        <v>796</v>
      </c>
      <c r="B1778" s="196" t="s">
        <v>8737</v>
      </c>
      <c r="C1778" s="196" t="s">
        <v>8738</v>
      </c>
      <c r="D1778" s="196" t="s">
        <v>2054</v>
      </c>
      <c r="E1778" s="196"/>
      <c r="F1778" s="196">
        <v>2006</v>
      </c>
      <c r="G1778" s="196"/>
      <c r="H1778" s="196" t="s">
        <v>1878</v>
      </c>
      <c r="I1778" s="141" t="s">
        <v>1879</v>
      </c>
      <c r="J1778" s="196"/>
      <c r="K1778" s="196" t="s">
        <v>1881</v>
      </c>
      <c r="L1778" s="240" t="s">
        <v>8739</v>
      </c>
      <c r="M1778" s="196">
        <v>448</v>
      </c>
      <c r="N1778" s="196"/>
      <c r="O1778" s="196" t="s">
        <v>6873</v>
      </c>
      <c r="P1778" s="144">
        <v>332</v>
      </c>
      <c r="Q1778" s="145">
        <f t="shared" si="120"/>
        <v>2.9103999999999997</v>
      </c>
      <c r="R1778" s="203"/>
      <c r="S1778" s="203">
        <v>1.24</v>
      </c>
      <c r="T1778" s="151">
        <v>0.13</v>
      </c>
      <c r="U1778" s="151" t="str">
        <f t="shared" si="121"/>
        <v>1,90</v>
      </c>
      <c r="V1778" s="151">
        <f t="shared" si="122"/>
        <v>0.33999999999999997</v>
      </c>
      <c r="W1778" s="151">
        <v>0.35</v>
      </c>
      <c r="X1778" s="152">
        <f t="shared" si="123"/>
        <v>0.19039999999999999</v>
      </c>
      <c r="Y1778" s="152">
        <f t="shared" si="124"/>
        <v>1.24</v>
      </c>
      <c r="Z1778" s="152">
        <f t="shared" si="125"/>
        <v>2.9103999999999997</v>
      </c>
      <c r="AA1778" s="153"/>
      <c r="AB1778" s="153"/>
      <c r="AC1778" s="153"/>
      <c r="AD1778" s="153"/>
      <c r="AH1778" s="147"/>
    </row>
    <row r="1779" spans="1:34" s="146" customFormat="1" x14ac:dyDescent="0.25">
      <c r="A1779" s="196">
        <v>2522</v>
      </c>
      <c r="B1779" s="196" t="s">
        <v>8245</v>
      </c>
      <c r="C1779" s="196" t="s">
        <v>8740</v>
      </c>
      <c r="D1779" s="196" t="s">
        <v>2054</v>
      </c>
      <c r="E1779" s="196"/>
      <c r="F1779" s="196">
        <v>2006</v>
      </c>
      <c r="G1779" s="196"/>
      <c r="H1779" s="196" t="s">
        <v>4297</v>
      </c>
      <c r="I1779" s="141" t="s">
        <v>1879</v>
      </c>
      <c r="J1779" s="196"/>
      <c r="K1779" s="196" t="s">
        <v>1881</v>
      </c>
      <c r="L1779" s="240" t="s">
        <v>8741</v>
      </c>
      <c r="M1779" s="196">
        <v>530</v>
      </c>
      <c r="N1779" s="196"/>
      <c r="O1779" s="196" t="s">
        <v>6874</v>
      </c>
      <c r="P1779" s="144">
        <v>577</v>
      </c>
      <c r="Q1779" s="145">
        <f t="shared" si="120"/>
        <v>3.2313999999999998</v>
      </c>
      <c r="R1779" s="203"/>
      <c r="S1779" s="203">
        <v>2.2000000000000002</v>
      </c>
      <c r="T1779" s="151">
        <v>0.13</v>
      </c>
      <c r="U1779" s="151" t="str">
        <f t="shared" si="121"/>
        <v>2,20</v>
      </c>
      <c r="V1779" s="151">
        <f t="shared" si="122"/>
        <v>0.33999999999999997</v>
      </c>
      <c r="W1779" s="151">
        <v>0.35</v>
      </c>
      <c r="X1779" s="152">
        <f t="shared" si="123"/>
        <v>0.2114</v>
      </c>
      <c r="Y1779" s="152">
        <f t="shared" si="124"/>
        <v>2.2000000000000002</v>
      </c>
      <c r="Z1779" s="152">
        <f t="shared" si="125"/>
        <v>3.2313999999999998</v>
      </c>
      <c r="AA1779" s="153"/>
      <c r="AB1779" s="153"/>
      <c r="AC1779" s="153"/>
      <c r="AD1779" s="153"/>
      <c r="AH1779" s="147"/>
    </row>
    <row r="1780" spans="1:34" s="146" customFormat="1" x14ac:dyDescent="0.25">
      <c r="A1780" s="196">
        <v>692</v>
      </c>
      <c r="B1780" s="196" t="s">
        <v>8742</v>
      </c>
      <c r="C1780" s="196" t="s">
        <v>8743</v>
      </c>
      <c r="D1780" s="196" t="s">
        <v>5005</v>
      </c>
      <c r="E1780" s="196"/>
      <c r="F1780" s="196">
        <v>2008</v>
      </c>
      <c r="G1780" s="196"/>
      <c r="H1780" s="196" t="s">
        <v>1878</v>
      </c>
      <c r="I1780" s="141" t="s">
        <v>1879</v>
      </c>
      <c r="J1780" s="196"/>
      <c r="K1780" s="196" t="s">
        <v>1881</v>
      </c>
      <c r="L1780" s="240"/>
      <c r="M1780" s="196">
        <v>448</v>
      </c>
      <c r="N1780" s="196"/>
      <c r="O1780" s="196" t="s">
        <v>6875</v>
      </c>
      <c r="P1780" s="144">
        <v>328</v>
      </c>
      <c r="Q1780" s="145">
        <f t="shared" si="120"/>
        <v>2.9103999999999997</v>
      </c>
      <c r="R1780" s="203"/>
      <c r="S1780" s="203">
        <v>1.65</v>
      </c>
      <c r="T1780" s="151">
        <v>0.13</v>
      </c>
      <c r="U1780" s="151" t="str">
        <f t="shared" si="121"/>
        <v>1,90</v>
      </c>
      <c r="V1780" s="151">
        <f t="shared" si="122"/>
        <v>0.33999999999999997</v>
      </c>
      <c r="W1780" s="151">
        <v>0.35</v>
      </c>
      <c r="X1780" s="152">
        <f t="shared" si="123"/>
        <v>0.19039999999999999</v>
      </c>
      <c r="Y1780" s="152">
        <f t="shared" si="124"/>
        <v>1.65</v>
      </c>
      <c r="Z1780" s="152">
        <f t="shared" si="125"/>
        <v>2.9103999999999997</v>
      </c>
      <c r="AA1780" s="153"/>
      <c r="AB1780" s="153"/>
      <c r="AC1780" s="153"/>
      <c r="AD1780" s="153"/>
      <c r="AH1780" s="147"/>
    </row>
    <row r="1781" spans="1:34" s="146" customFormat="1" x14ac:dyDescent="0.25">
      <c r="A1781" s="196">
        <v>1809</v>
      </c>
      <c r="B1781" s="196" t="s">
        <v>8744</v>
      </c>
      <c r="C1781" s="196" t="s">
        <v>8745</v>
      </c>
      <c r="D1781" s="196" t="s">
        <v>2822</v>
      </c>
      <c r="E1781" s="196" t="s">
        <v>2175</v>
      </c>
      <c r="F1781" s="196">
        <v>2011</v>
      </c>
      <c r="G1781" s="196"/>
      <c r="H1781" s="196" t="s">
        <v>1878</v>
      </c>
      <c r="I1781" s="141" t="s">
        <v>1879</v>
      </c>
      <c r="J1781" s="196"/>
      <c r="K1781" s="196" t="s">
        <v>1881</v>
      </c>
      <c r="L1781" s="240" t="s">
        <v>8746</v>
      </c>
      <c r="M1781" s="196">
        <v>416</v>
      </c>
      <c r="N1781" s="196"/>
      <c r="O1781" s="196" t="s">
        <v>6876</v>
      </c>
      <c r="P1781" s="144">
        <v>508</v>
      </c>
      <c r="Q1781" s="145">
        <f t="shared" si="120"/>
        <v>3.2313999999999998</v>
      </c>
      <c r="R1781" s="203"/>
      <c r="S1781" s="203">
        <f>1.65+0.79</f>
        <v>2.44</v>
      </c>
      <c r="T1781" s="151">
        <v>0.13</v>
      </c>
      <c r="U1781" s="151" t="str">
        <f t="shared" si="121"/>
        <v>2,20</v>
      </c>
      <c r="V1781" s="151">
        <f t="shared" si="122"/>
        <v>0.33999999999999997</v>
      </c>
      <c r="W1781" s="151">
        <v>0.35</v>
      </c>
      <c r="X1781" s="152">
        <f t="shared" si="123"/>
        <v>0.2114</v>
      </c>
      <c r="Y1781" s="152">
        <f t="shared" si="124"/>
        <v>2.44</v>
      </c>
      <c r="Z1781" s="152">
        <f t="shared" si="125"/>
        <v>3.2313999999999998</v>
      </c>
      <c r="AA1781" s="153"/>
      <c r="AB1781" s="153"/>
      <c r="AC1781" s="153"/>
      <c r="AD1781" s="153"/>
      <c r="AH1781" s="147"/>
    </row>
    <row r="1782" spans="1:34" s="146" customFormat="1" x14ac:dyDescent="0.25">
      <c r="A1782" s="196">
        <v>692</v>
      </c>
      <c r="B1782" s="196" t="s">
        <v>6447</v>
      </c>
      <c r="C1782" s="196" t="s">
        <v>6448</v>
      </c>
      <c r="D1782" s="196" t="s">
        <v>2424</v>
      </c>
      <c r="E1782" s="196" t="s">
        <v>1877</v>
      </c>
      <c r="F1782" s="196">
        <v>2014</v>
      </c>
      <c r="G1782" s="196"/>
      <c r="H1782" s="196" t="s">
        <v>1878</v>
      </c>
      <c r="I1782" s="141" t="s">
        <v>1879</v>
      </c>
      <c r="J1782" s="196"/>
      <c r="K1782" s="196" t="s">
        <v>1881</v>
      </c>
      <c r="L1782" s="240" t="s">
        <v>6449</v>
      </c>
      <c r="M1782" s="196">
        <v>368</v>
      </c>
      <c r="N1782" s="196"/>
      <c r="O1782" s="196" t="s">
        <v>6877</v>
      </c>
      <c r="P1782" s="144">
        <v>465</v>
      </c>
      <c r="Q1782" s="145">
        <f t="shared" si="120"/>
        <v>2.9103999999999997</v>
      </c>
      <c r="R1782" s="203"/>
      <c r="S1782" s="203">
        <v>2.0499999999999998</v>
      </c>
      <c r="T1782" s="151">
        <v>0.13</v>
      </c>
      <c r="U1782" s="151" t="str">
        <f t="shared" si="121"/>
        <v>1,90</v>
      </c>
      <c r="V1782" s="151">
        <f t="shared" si="122"/>
        <v>0.33999999999999997</v>
      </c>
      <c r="W1782" s="151">
        <v>0.35</v>
      </c>
      <c r="X1782" s="152">
        <f t="shared" si="123"/>
        <v>0.19039999999999999</v>
      </c>
      <c r="Y1782" s="152">
        <f t="shared" si="124"/>
        <v>2.0499999999999998</v>
      </c>
      <c r="Z1782" s="152">
        <f t="shared" si="125"/>
        <v>2.9103999999999997</v>
      </c>
      <c r="AA1782" s="153"/>
      <c r="AB1782" s="153"/>
      <c r="AC1782" s="153"/>
      <c r="AD1782" s="153"/>
      <c r="AH1782" s="147"/>
    </row>
    <row r="1783" spans="1:34" s="146" customFormat="1" x14ac:dyDescent="0.25">
      <c r="A1783" s="196">
        <v>1386</v>
      </c>
      <c r="B1783" s="196" t="s">
        <v>8747</v>
      </c>
      <c r="C1783" s="196" t="s">
        <v>8748</v>
      </c>
      <c r="D1783" s="196" t="s">
        <v>2257</v>
      </c>
      <c r="E1783" s="196"/>
      <c r="F1783" s="196">
        <v>2011</v>
      </c>
      <c r="G1783" s="196"/>
      <c r="H1783" s="196" t="s">
        <v>1878</v>
      </c>
      <c r="I1783" s="141" t="s">
        <v>1879</v>
      </c>
      <c r="J1783" s="196"/>
      <c r="K1783" s="196" t="s">
        <v>1881</v>
      </c>
      <c r="L1783" s="240" t="s">
        <v>8749</v>
      </c>
      <c r="M1783" s="196">
        <v>864</v>
      </c>
      <c r="N1783" s="196"/>
      <c r="O1783" s="196" t="s">
        <v>6878</v>
      </c>
      <c r="P1783" s="144">
        <v>543</v>
      </c>
      <c r="Q1783" s="145">
        <f t="shared" si="120"/>
        <v>3.2313999999999998</v>
      </c>
      <c r="R1783" s="203"/>
      <c r="S1783" s="203">
        <v>2.15</v>
      </c>
      <c r="T1783" s="151">
        <v>0.13</v>
      </c>
      <c r="U1783" s="151" t="str">
        <f t="shared" si="121"/>
        <v>2,20</v>
      </c>
      <c r="V1783" s="151">
        <f t="shared" si="122"/>
        <v>0.33999999999999997</v>
      </c>
      <c r="W1783" s="151">
        <v>0.35</v>
      </c>
      <c r="X1783" s="152">
        <f t="shared" si="123"/>
        <v>0.2114</v>
      </c>
      <c r="Y1783" s="152">
        <f t="shared" si="124"/>
        <v>2.15</v>
      </c>
      <c r="Z1783" s="152">
        <f t="shared" si="125"/>
        <v>3.2313999999999998</v>
      </c>
      <c r="AA1783" s="153"/>
      <c r="AB1783" s="153"/>
      <c r="AC1783" s="153"/>
      <c r="AD1783" s="153"/>
      <c r="AH1783" s="147"/>
    </row>
    <row r="1784" spans="1:34" s="146" customFormat="1" x14ac:dyDescent="0.25">
      <c r="A1784" s="196">
        <v>1395</v>
      </c>
      <c r="B1784" s="196" t="s">
        <v>8570</v>
      </c>
      <c r="C1784" s="196" t="s">
        <v>8750</v>
      </c>
      <c r="D1784" s="196" t="s">
        <v>2300</v>
      </c>
      <c r="E1784" s="196"/>
      <c r="F1784" s="196">
        <v>2012</v>
      </c>
      <c r="G1784" s="196"/>
      <c r="H1784" s="196" t="s">
        <v>1878</v>
      </c>
      <c r="I1784" s="141" t="s">
        <v>1879</v>
      </c>
      <c r="J1784" s="196"/>
      <c r="K1784" s="196" t="s">
        <v>1881</v>
      </c>
      <c r="L1784" s="240" t="s">
        <v>8751</v>
      </c>
      <c r="M1784" s="196">
        <v>352</v>
      </c>
      <c r="N1784" s="196"/>
      <c r="O1784" s="196" t="s">
        <v>6879</v>
      </c>
      <c r="P1784" s="144">
        <v>364</v>
      </c>
      <c r="Q1784" s="145">
        <f t="shared" si="120"/>
        <v>2.9103999999999997</v>
      </c>
      <c r="R1784" s="203"/>
      <c r="S1784" s="203">
        <v>1.6</v>
      </c>
      <c r="T1784" s="151">
        <v>0.13</v>
      </c>
      <c r="U1784" s="151" t="str">
        <f t="shared" si="121"/>
        <v>1,90</v>
      </c>
      <c r="V1784" s="151">
        <f t="shared" si="122"/>
        <v>0.33999999999999997</v>
      </c>
      <c r="W1784" s="151">
        <v>0.35</v>
      </c>
      <c r="X1784" s="152">
        <f t="shared" si="123"/>
        <v>0.19039999999999999</v>
      </c>
      <c r="Y1784" s="152">
        <f t="shared" si="124"/>
        <v>1.6</v>
      </c>
      <c r="Z1784" s="152">
        <f t="shared" si="125"/>
        <v>2.9103999999999997</v>
      </c>
      <c r="AA1784" s="153"/>
      <c r="AB1784" s="153"/>
      <c r="AC1784" s="153"/>
      <c r="AD1784" s="153"/>
      <c r="AH1784" s="147"/>
    </row>
    <row r="1785" spans="1:34" s="146" customFormat="1" x14ac:dyDescent="0.25">
      <c r="A1785" s="196">
        <v>1395</v>
      </c>
      <c r="B1785" s="196" t="s">
        <v>2935</v>
      </c>
      <c r="C1785" s="196" t="s">
        <v>8752</v>
      </c>
      <c r="D1785" s="196" t="s">
        <v>2609</v>
      </c>
      <c r="E1785" s="196" t="s">
        <v>1877</v>
      </c>
      <c r="F1785" s="196">
        <v>2011</v>
      </c>
      <c r="G1785" s="196"/>
      <c r="H1785" s="196" t="s">
        <v>1878</v>
      </c>
      <c r="I1785" s="141" t="s">
        <v>1879</v>
      </c>
      <c r="J1785" s="196"/>
      <c r="K1785" s="196" t="s">
        <v>1881</v>
      </c>
      <c r="L1785" s="240" t="s">
        <v>8753</v>
      </c>
      <c r="M1785" s="196">
        <v>288</v>
      </c>
      <c r="N1785" s="196"/>
      <c r="O1785" s="196" t="s">
        <v>6880</v>
      </c>
      <c r="P1785" s="144">
        <v>260</v>
      </c>
      <c r="Q1785" s="145">
        <f t="shared" si="120"/>
        <v>2.9103999999999997</v>
      </c>
      <c r="R1785" s="203"/>
      <c r="S1785" s="203">
        <v>2.1</v>
      </c>
      <c r="T1785" s="151">
        <v>0.13</v>
      </c>
      <c r="U1785" s="151" t="str">
        <f t="shared" si="121"/>
        <v>1,90</v>
      </c>
      <c r="V1785" s="151">
        <f t="shared" si="122"/>
        <v>0.33999999999999997</v>
      </c>
      <c r="W1785" s="151">
        <v>0.35</v>
      </c>
      <c r="X1785" s="152">
        <f t="shared" si="123"/>
        <v>0.19039999999999999</v>
      </c>
      <c r="Y1785" s="152">
        <f t="shared" si="124"/>
        <v>2.1</v>
      </c>
      <c r="Z1785" s="152">
        <f t="shared" si="125"/>
        <v>2.9103999999999997</v>
      </c>
      <c r="AA1785" s="153"/>
      <c r="AB1785" s="153"/>
      <c r="AC1785" s="153"/>
      <c r="AD1785" s="153"/>
      <c r="AH1785" s="147"/>
    </row>
    <row r="1786" spans="1:34" s="146" customFormat="1" x14ac:dyDescent="0.25">
      <c r="A1786" s="196">
        <v>1809</v>
      </c>
      <c r="B1786" s="196" t="s">
        <v>8754</v>
      </c>
      <c r="C1786" s="196" t="s">
        <v>8755</v>
      </c>
      <c r="D1786" s="196" t="s">
        <v>2822</v>
      </c>
      <c r="E1786" s="196"/>
      <c r="F1786" s="196">
        <v>2008</v>
      </c>
      <c r="G1786" s="196"/>
      <c r="H1786" s="196" t="s">
        <v>1878</v>
      </c>
      <c r="I1786" s="141" t="s">
        <v>1879</v>
      </c>
      <c r="J1786" s="196"/>
      <c r="K1786" s="196" t="s">
        <v>1881</v>
      </c>
      <c r="L1786" s="240" t="s">
        <v>8756</v>
      </c>
      <c r="M1786" s="196">
        <v>192</v>
      </c>
      <c r="N1786" s="196"/>
      <c r="O1786" s="196" t="s">
        <v>6881</v>
      </c>
      <c r="P1786" s="144">
        <v>289</v>
      </c>
      <c r="Q1786" s="145">
        <f t="shared" si="120"/>
        <v>2.9103999999999997</v>
      </c>
      <c r="R1786" s="203"/>
      <c r="S1786" s="203">
        <f>0.49+2.29</f>
        <v>2.7800000000000002</v>
      </c>
      <c r="T1786" s="151">
        <v>0.13</v>
      </c>
      <c r="U1786" s="151" t="str">
        <f t="shared" si="121"/>
        <v>1,90</v>
      </c>
      <c r="V1786" s="151">
        <f t="shared" si="122"/>
        <v>0.33999999999999997</v>
      </c>
      <c r="W1786" s="151">
        <v>0.35</v>
      </c>
      <c r="X1786" s="152">
        <f t="shared" si="123"/>
        <v>0.19039999999999999</v>
      </c>
      <c r="Y1786" s="152">
        <f t="shared" si="124"/>
        <v>2.7800000000000002</v>
      </c>
      <c r="Z1786" s="152">
        <f t="shared" si="125"/>
        <v>2.9103999999999997</v>
      </c>
      <c r="AA1786" s="153"/>
      <c r="AB1786" s="153"/>
      <c r="AC1786" s="153"/>
      <c r="AD1786" s="153"/>
      <c r="AH1786" s="147"/>
    </row>
    <row r="1787" spans="1:34" s="146" customFormat="1" x14ac:dyDescent="0.25">
      <c r="A1787" s="196">
        <v>1809</v>
      </c>
      <c r="B1787" s="196" t="s">
        <v>8044</v>
      </c>
      <c r="C1787" s="196" t="s">
        <v>8757</v>
      </c>
      <c r="D1787" s="196" t="s">
        <v>2822</v>
      </c>
      <c r="E1787" s="196"/>
      <c r="F1787" s="196">
        <v>2009</v>
      </c>
      <c r="G1787" s="196"/>
      <c r="H1787" s="196" t="s">
        <v>1878</v>
      </c>
      <c r="I1787" s="141" t="s">
        <v>1879</v>
      </c>
      <c r="J1787" s="196"/>
      <c r="K1787" s="196" t="s">
        <v>1881</v>
      </c>
      <c r="L1787" s="240" t="s">
        <v>8758</v>
      </c>
      <c r="M1787" s="196">
        <v>240</v>
      </c>
      <c r="N1787" s="196"/>
      <c r="O1787" s="196" t="s">
        <v>6882</v>
      </c>
      <c r="P1787" s="144">
        <v>345</v>
      </c>
      <c r="Q1787" s="145">
        <f t="shared" si="120"/>
        <v>2.9103999999999997</v>
      </c>
      <c r="R1787" s="203"/>
      <c r="S1787" s="203">
        <v>2.2999999999999998</v>
      </c>
      <c r="T1787" s="151">
        <v>0.13</v>
      </c>
      <c r="U1787" s="151" t="str">
        <f t="shared" si="121"/>
        <v>1,90</v>
      </c>
      <c r="V1787" s="151">
        <f t="shared" si="122"/>
        <v>0.33999999999999997</v>
      </c>
      <c r="W1787" s="151">
        <v>0.35</v>
      </c>
      <c r="X1787" s="152">
        <f t="shared" si="123"/>
        <v>0.19039999999999999</v>
      </c>
      <c r="Y1787" s="152">
        <f t="shared" si="124"/>
        <v>2.2999999999999998</v>
      </c>
      <c r="Z1787" s="152">
        <f t="shared" si="125"/>
        <v>2.9103999999999997</v>
      </c>
      <c r="AA1787" s="153"/>
      <c r="AB1787" s="153"/>
      <c r="AC1787" s="153"/>
      <c r="AD1787" s="153"/>
      <c r="AH1787" s="147"/>
    </row>
    <row r="1788" spans="1:34" s="146" customFormat="1" x14ac:dyDescent="0.25">
      <c r="A1788" s="196">
        <v>1809</v>
      </c>
      <c r="B1788" s="196" t="s">
        <v>8759</v>
      </c>
      <c r="C1788" s="196" t="s">
        <v>8760</v>
      </c>
      <c r="D1788" s="196" t="s">
        <v>2822</v>
      </c>
      <c r="E1788" s="196"/>
      <c r="F1788" s="196">
        <v>2008</v>
      </c>
      <c r="G1788" s="196"/>
      <c r="H1788" s="196" t="s">
        <v>1878</v>
      </c>
      <c r="I1788" s="141" t="s">
        <v>1879</v>
      </c>
      <c r="J1788" s="196"/>
      <c r="K1788" s="196" t="s">
        <v>1881</v>
      </c>
      <c r="L1788" s="240" t="s">
        <v>8761</v>
      </c>
      <c r="M1788" s="196">
        <v>176</v>
      </c>
      <c r="N1788" s="196"/>
      <c r="O1788" s="196" t="s">
        <v>6883</v>
      </c>
      <c r="P1788" s="144">
        <v>267</v>
      </c>
      <c r="Q1788" s="145">
        <f t="shared" si="120"/>
        <v>2.9103999999999997</v>
      </c>
      <c r="R1788" s="203"/>
      <c r="S1788" s="203">
        <v>1.75</v>
      </c>
      <c r="T1788" s="151">
        <v>0.13</v>
      </c>
      <c r="U1788" s="151" t="str">
        <f t="shared" si="121"/>
        <v>1,90</v>
      </c>
      <c r="V1788" s="151">
        <f t="shared" si="122"/>
        <v>0.33999999999999997</v>
      </c>
      <c r="W1788" s="151">
        <v>0.35</v>
      </c>
      <c r="X1788" s="152">
        <f t="shared" si="123"/>
        <v>0.19039999999999999</v>
      </c>
      <c r="Y1788" s="152">
        <f t="shared" si="124"/>
        <v>1.75</v>
      </c>
      <c r="Z1788" s="152">
        <f t="shared" si="125"/>
        <v>2.9103999999999997</v>
      </c>
      <c r="AA1788" s="153"/>
      <c r="AB1788" s="153"/>
      <c r="AC1788" s="153"/>
      <c r="AD1788" s="153"/>
      <c r="AH1788" s="147"/>
    </row>
    <row r="1789" spans="1:34" s="146" customFormat="1" x14ac:dyDescent="0.25">
      <c r="A1789" s="196">
        <v>692</v>
      </c>
      <c r="B1789" s="196" t="s">
        <v>8762</v>
      </c>
      <c r="C1789" s="196" t="s">
        <v>8763</v>
      </c>
      <c r="D1789" s="196" t="s">
        <v>5005</v>
      </c>
      <c r="E1789" s="196"/>
      <c r="F1789" s="196">
        <v>2008</v>
      </c>
      <c r="G1789" s="196"/>
      <c r="H1789" s="196" t="s">
        <v>1878</v>
      </c>
      <c r="I1789" s="141" t="s">
        <v>1879</v>
      </c>
      <c r="J1789" s="196"/>
      <c r="K1789" s="196" t="s">
        <v>1881</v>
      </c>
      <c r="L1789" s="240"/>
      <c r="M1789" s="196">
        <v>368</v>
      </c>
      <c r="N1789" s="196"/>
      <c r="O1789" s="196" t="s">
        <v>6884</v>
      </c>
      <c r="P1789" s="144">
        <v>270</v>
      </c>
      <c r="Q1789" s="145">
        <f t="shared" si="120"/>
        <v>2.9103999999999997</v>
      </c>
      <c r="R1789" s="203"/>
      <c r="S1789" s="203">
        <v>1.6</v>
      </c>
      <c r="T1789" s="151">
        <v>0.13</v>
      </c>
      <c r="U1789" s="151" t="str">
        <f t="shared" si="121"/>
        <v>1,90</v>
      </c>
      <c r="V1789" s="151">
        <f t="shared" si="122"/>
        <v>0.33999999999999997</v>
      </c>
      <c r="W1789" s="151">
        <v>0.35</v>
      </c>
      <c r="X1789" s="152">
        <f t="shared" si="123"/>
        <v>0.19039999999999999</v>
      </c>
      <c r="Y1789" s="152">
        <f t="shared" si="124"/>
        <v>1.6</v>
      </c>
      <c r="Z1789" s="152">
        <f t="shared" si="125"/>
        <v>2.9103999999999997</v>
      </c>
      <c r="AA1789" s="153"/>
      <c r="AB1789" s="153"/>
      <c r="AC1789" s="153"/>
      <c r="AD1789" s="153"/>
      <c r="AH1789" s="147"/>
    </row>
    <row r="1790" spans="1:34" s="146" customFormat="1" x14ac:dyDescent="0.25">
      <c r="A1790" s="196">
        <v>692</v>
      </c>
      <c r="B1790" s="196" t="s">
        <v>3856</v>
      </c>
      <c r="C1790" s="196" t="s">
        <v>3857</v>
      </c>
      <c r="D1790" s="196" t="s">
        <v>5005</v>
      </c>
      <c r="E1790" s="196"/>
      <c r="F1790" s="196">
        <v>2008</v>
      </c>
      <c r="G1790" s="196"/>
      <c r="H1790" s="196" t="s">
        <v>1878</v>
      </c>
      <c r="I1790" s="141" t="s">
        <v>1879</v>
      </c>
      <c r="J1790" s="196"/>
      <c r="K1790" s="196" t="s">
        <v>1881</v>
      </c>
      <c r="L1790" s="240"/>
      <c r="M1790" s="196">
        <v>384</v>
      </c>
      <c r="N1790" s="196"/>
      <c r="O1790" s="196" t="s">
        <v>6885</v>
      </c>
      <c r="P1790" s="144">
        <v>274</v>
      </c>
      <c r="Q1790" s="145">
        <f t="shared" si="120"/>
        <v>2.9103999999999997</v>
      </c>
      <c r="R1790" s="203"/>
      <c r="S1790" s="203">
        <v>1.5</v>
      </c>
      <c r="T1790" s="151">
        <v>0.13</v>
      </c>
      <c r="U1790" s="151" t="str">
        <f t="shared" si="121"/>
        <v>1,90</v>
      </c>
      <c r="V1790" s="151">
        <f t="shared" si="122"/>
        <v>0.33999999999999997</v>
      </c>
      <c r="W1790" s="151">
        <v>0.35</v>
      </c>
      <c r="X1790" s="152">
        <f t="shared" si="123"/>
        <v>0.19039999999999999</v>
      </c>
      <c r="Y1790" s="152">
        <f t="shared" si="124"/>
        <v>1.5</v>
      </c>
      <c r="Z1790" s="152">
        <f t="shared" si="125"/>
        <v>2.9103999999999997</v>
      </c>
      <c r="AA1790" s="153"/>
      <c r="AB1790" s="153"/>
      <c r="AC1790" s="153"/>
      <c r="AD1790" s="153"/>
      <c r="AH1790" s="147"/>
    </row>
    <row r="1791" spans="1:34" s="146" customFormat="1" x14ac:dyDescent="0.25">
      <c r="A1791" s="196">
        <v>1395</v>
      </c>
      <c r="B1791" s="196" t="s">
        <v>8762</v>
      </c>
      <c r="C1791" s="196" t="s">
        <v>8764</v>
      </c>
      <c r="D1791" s="196" t="s">
        <v>5005</v>
      </c>
      <c r="E1791" s="196"/>
      <c r="F1791" s="196">
        <v>2008</v>
      </c>
      <c r="G1791" s="196"/>
      <c r="H1791" s="196" t="s">
        <v>1878</v>
      </c>
      <c r="I1791" s="141" t="s">
        <v>1879</v>
      </c>
      <c r="J1791" s="196"/>
      <c r="K1791" s="196" t="s">
        <v>1881</v>
      </c>
      <c r="L1791" s="240"/>
      <c r="M1791" s="196">
        <v>352</v>
      </c>
      <c r="N1791" s="196"/>
      <c r="O1791" s="196" t="s">
        <v>6886</v>
      </c>
      <c r="P1791" s="144">
        <v>257</v>
      </c>
      <c r="Q1791" s="145">
        <f t="shared" si="120"/>
        <v>2.9103999999999997</v>
      </c>
      <c r="R1791" s="203"/>
      <c r="S1791" s="203">
        <v>1.64</v>
      </c>
      <c r="T1791" s="151">
        <v>0.13</v>
      </c>
      <c r="U1791" s="151" t="str">
        <f t="shared" si="121"/>
        <v>1,90</v>
      </c>
      <c r="V1791" s="151">
        <f t="shared" si="122"/>
        <v>0.33999999999999997</v>
      </c>
      <c r="W1791" s="151">
        <v>0.35</v>
      </c>
      <c r="X1791" s="152">
        <f t="shared" si="123"/>
        <v>0.19039999999999999</v>
      </c>
      <c r="Y1791" s="152">
        <f t="shared" si="124"/>
        <v>1.64</v>
      </c>
      <c r="Z1791" s="152">
        <f t="shared" si="125"/>
        <v>2.9103999999999997</v>
      </c>
      <c r="AA1791" s="153"/>
      <c r="AB1791" s="153"/>
      <c r="AC1791" s="153"/>
      <c r="AD1791" s="153"/>
      <c r="AH1791" s="147"/>
    </row>
    <row r="1792" spans="1:34" s="146" customFormat="1" x14ac:dyDescent="0.25">
      <c r="A1792" s="196">
        <v>631</v>
      </c>
      <c r="B1792" s="196" t="s">
        <v>8765</v>
      </c>
      <c r="C1792" s="196" t="s">
        <v>8766</v>
      </c>
      <c r="D1792" s="196" t="s">
        <v>1912</v>
      </c>
      <c r="E1792" s="196" t="s">
        <v>1921</v>
      </c>
      <c r="F1792" s="196">
        <v>2012</v>
      </c>
      <c r="G1792" s="196"/>
      <c r="H1792" s="196" t="s">
        <v>1878</v>
      </c>
      <c r="I1792" s="141" t="s">
        <v>1879</v>
      </c>
      <c r="J1792" s="196"/>
      <c r="K1792" s="196" t="s">
        <v>1881</v>
      </c>
      <c r="L1792" s="240" t="s">
        <v>8767</v>
      </c>
      <c r="M1792" s="196">
        <v>672</v>
      </c>
      <c r="N1792" s="196"/>
      <c r="O1792" s="196" t="s">
        <v>6887</v>
      </c>
      <c r="P1792" s="144">
        <v>682</v>
      </c>
      <c r="Q1792" s="145">
        <f t="shared" si="120"/>
        <v>3.2313999999999998</v>
      </c>
      <c r="R1792" s="203"/>
      <c r="S1792" s="203">
        <v>2.35</v>
      </c>
      <c r="T1792" s="151">
        <v>0.13</v>
      </c>
      <c r="U1792" s="151" t="str">
        <f t="shared" si="121"/>
        <v>2,20</v>
      </c>
      <c r="V1792" s="151">
        <f t="shared" si="122"/>
        <v>0.33999999999999997</v>
      </c>
      <c r="W1792" s="151">
        <v>0.35</v>
      </c>
      <c r="X1792" s="152">
        <f t="shared" si="123"/>
        <v>0.2114</v>
      </c>
      <c r="Y1792" s="152">
        <f t="shared" si="124"/>
        <v>2.35</v>
      </c>
      <c r="Z1792" s="152">
        <f t="shared" si="125"/>
        <v>3.2313999999999998</v>
      </c>
      <c r="AA1792" s="153"/>
      <c r="AB1792" s="153"/>
      <c r="AC1792" s="153"/>
      <c r="AD1792" s="153"/>
      <c r="AH1792" s="147"/>
    </row>
    <row r="1793" spans="1:34" s="146" customFormat="1" x14ac:dyDescent="0.25">
      <c r="A1793" s="196">
        <v>631</v>
      </c>
      <c r="B1793" s="196" t="s">
        <v>8765</v>
      </c>
      <c r="C1793" s="196" t="s">
        <v>8768</v>
      </c>
      <c r="D1793" s="196" t="s">
        <v>1912</v>
      </c>
      <c r="E1793" s="196" t="s">
        <v>1921</v>
      </c>
      <c r="F1793" s="196">
        <v>2012</v>
      </c>
      <c r="G1793" s="196"/>
      <c r="H1793" s="196" t="s">
        <v>1878</v>
      </c>
      <c r="I1793" s="141" t="s">
        <v>1879</v>
      </c>
      <c r="J1793" s="196"/>
      <c r="K1793" s="196" t="s">
        <v>1881</v>
      </c>
      <c r="L1793" s="240" t="s">
        <v>8769</v>
      </c>
      <c r="M1793" s="196">
        <v>608</v>
      </c>
      <c r="N1793" s="196"/>
      <c r="O1793" s="196" t="s">
        <v>6888</v>
      </c>
      <c r="P1793" s="144">
        <v>622</v>
      </c>
      <c r="Q1793" s="145">
        <f t="shared" si="120"/>
        <v>3.2313999999999998</v>
      </c>
      <c r="R1793" s="203"/>
      <c r="S1793" s="203">
        <v>2.1</v>
      </c>
      <c r="T1793" s="151">
        <v>0.13</v>
      </c>
      <c r="U1793" s="151" t="str">
        <f t="shared" si="121"/>
        <v>2,20</v>
      </c>
      <c r="V1793" s="151">
        <f t="shared" si="122"/>
        <v>0.33999999999999997</v>
      </c>
      <c r="W1793" s="151">
        <v>0.35</v>
      </c>
      <c r="X1793" s="152">
        <f t="shared" si="123"/>
        <v>0.2114</v>
      </c>
      <c r="Y1793" s="152">
        <f t="shared" si="124"/>
        <v>2.1</v>
      </c>
      <c r="Z1793" s="152">
        <f t="shared" si="125"/>
        <v>3.2313999999999998</v>
      </c>
      <c r="AA1793" s="153"/>
      <c r="AB1793" s="153"/>
      <c r="AC1793" s="153"/>
      <c r="AD1793" s="153"/>
      <c r="AH1793" s="147"/>
    </row>
    <row r="1794" spans="1:34" s="146" customFormat="1" x14ac:dyDescent="0.25">
      <c r="A1794" s="196">
        <v>392</v>
      </c>
      <c r="B1794" s="196" t="s">
        <v>8130</v>
      </c>
      <c r="C1794" s="196" t="s">
        <v>8770</v>
      </c>
      <c r="D1794" s="196" t="s">
        <v>5005</v>
      </c>
      <c r="E1794" s="196"/>
      <c r="F1794" s="196">
        <v>2008</v>
      </c>
      <c r="G1794" s="196"/>
      <c r="H1794" s="196" t="s">
        <v>1878</v>
      </c>
      <c r="I1794" s="141" t="s">
        <v>7527</v>
      </c>
      <c r="J1794" s="196"/>
      <c r="K1794" s="196" t="s">
        <v>1881</v>
      </c>
      <c r="L1794" s="240"/>
      <c r="M1794" s="196">
        <v>480</v>
      </c>
      <c r="N1794" s="196"/>
      <c r="O1794" s="196" t="s">
        <v>6889</v>
      </c>
      <c r="P1794" s="144">
        <v>349</v>
      </c>
      <c r="Q1794" s="145">
        <f t="shared" si="120"/>
        <v>2.9103999999999997</v>
      </c>
      <c r="R1794" s="203"/>
      <c r="S1794" s="203">
        <v>1.8</v>
      </c>
      <c r="T1794" s="151">
        <v>0.13</v>
      </c>
      <c r="U1794" s="151" t="str">
        <f t="shared" si="121"/>
        <v>1,90</v>
      </c>
      <c r="V1794" s="151">
        <f t="shared" si="122"/>
        <v>0.33999999999999997</v>
      </c>
      <c r="W1794" s="151">
        <v>0.35</v>
      </c>
      <c r="X1794" s="152">
        <f t="shared" si="123"/>
        <v>0.19039999999999999</v>
      </c>
      <c r="Y1794" s="152">
        <f t="shared" si="124"/>
        <v>1.8</v>
      </c>
      <c r="Z1794" s="152">
        <f t="shared" si="125"/>
        <v>2.9103999999999997</v>
      </c>
      <c r="AA1794" s="153"/>
      <c r="AB1794" s="153"/>
      <c r="AC1794" s="153"/>
      <c r="AD1794" s="153"/>
      <c r="AH1794" s="147"/>
    </row>
    <row r="1795" spans="1:34" s="146" customFormat="1" x14ac:dyDescent="0.25">
      <c r="A1795" s="196">
        <v>796</v>
      </c>
      <c r="B1795" s="196" t="s">
        <v>3143</v>
      </c>
      <c r="C1795" s="196" t="s">
        <v>3144</v>
      </c>
      <c r="D1795" s="196" t="s">
        <v>2609</v>
      </c>
      <c r="E1795" s="196"/>
      <c r="F1795" s="196">
        <v>2004</v>
      </c>
      <c r="G1795" s="196"/>
      <c r="H1795" s="196" t="s">
        <v>1878</v>
      </c>
      <c r="I1795" s="141" t="s">
        <v>7527</v>
      </c>
      <c r="J1795" s="196"/>
      <c r="K1795" s="196" t="s">
        <v>1881</v>
      </c>
      <c r="L1795" s="240" t="s">
        <v>8771</v>
      </c>
      <c r="M1795" s="196">
        <v>416</v>
      </c>
      <c r="N1795" s="196"/>
      <c r="O1795" s="196" t="s">
        <v>6890</v>
      </c>
      <c r="P1795" s="144">
        <v>362</v>
      </c>
      <c r="Q1795" s="145">
        <f t="shared" si="120"/>
        <v>2.9103999999999997</v>
      </c>
      <c r="R1795" s="203"/>
      <c r="S1795" s="203">
        <v>1.9</v>
      </c>
      <c r="T1795" s="151">
        <v>0.13</v>
      </c>
      <c r="U1795" s="151" t="str">
        <f t="shared" si="121"/>
        <v>1,90</v>
      </c>
      <c r="V1795" s="151">
        <f t="shared" si="122"/>
        <v>0.33999999999999997</v>
      </c>
      <c r="W1795" s="151">
        <v>0.35</v>
      </c>
      <c r="X1795" s="152">
        <f t="shared" si="123"/>
        <v>0.19039999999999999</v>
      </c>
      <c r="Y1795" s="152">
        <f t="shared" si="124"/>
        <v>1.9</v>
      </c>
      <c r="Z1795" s="152">
        <f t="shared" si="125"/>
        <v>2.9103999999999997</v>
      </c>
      <c r="AA1795" s="153"/>
      <c r="AB1795" s="153"/>
      <c r="AC1795" s="153"/>
      <c r="AD1795" s="153"/>
      <c r="AH1795" s="147"/>
    </row>
    <row r="1796" spans="1:34" s="146" customFormat="1" x14ac:dyDescent="0.25">
      <c r="A1796" s="196">
        <v>2521</v>
      </c>
      <c r="B1796" s="196" t="s">
        <v>8772</v>
      </c>
      <c r="C1796" s="196" t="s">
        <v>8773</v>
      </c>
      <c r="D1796" s="196" t="s">
        <v>1998</v>
      </c>
      <c r="E1796" s="196"/>
      <c r="F1796" s="196">
        <v>1983</v>
      </c>
      <c r="G1796" s="196"/>
      <c r="H1796" s="196" t="s">
        <v>2734</v>
      </c>
      <c r="I1796" s="141" t="s">
        <v>7527</v>
      </c>
      <c r="J1796" s="196"/>
      <c r="K1796" s="196" t="s">
        <v>1881</v>
      </c>
      <c r="L1796" s="240"/>
      <c r="M1796" s="196">
        <v>640</v>
      </c>
      <c r="N1796" s="196"/>
      <c r="O1796" s="196" t="s">
        <v>6891</v>
      </c>
      <c r="P1796" s="144">
        <v>885</v>
      </c>
      <c r="Q1796" s="145">
        <f t="shared" si="120"/>
        <v>3.2313999999999998</v>
      </c>
      <c r="R1796" s="203"/>
      <c r="S1796" s="203">
        <v>1.55</v>
      </c>
      <c r="T1796" s="151">
        <v>0.13</v>
      </c>
      <c r="U1796" s="151" t="str">
        <f t="shared" si="121"/>
        <v>2,20</v>
      </c>
      <c r="V1796" s="151">
        <f t="shared" si="122"/>
        <v>0.33999999999999997</v>
      </c>
      <c r="W1796" s="151">
        <v>0.35</v>
      </c>
      <c r="X1796" s="152">
        <f t="shared" si="123"/>
        <v>0.2114</v>
      </c>
      <c r="Y1796" s="152">
        <f t="shared" si="124"/>
        <v>1.55</v>
      </c>
      <c r="Z1796" s="152">
        <f t="shared" si="125"/>
        <v>3.2313999999999998</v>
      </c>
      <c r="AA1796" s="153"/>
      <c r="AB1796" s="153"/>
      <c r="AC1796" s="153"/>
      <c r="AD1796" s="153"/>
      <c r="AH1796" s="147"/>
    </row>
    <row r="1797" spans="1:34" s="146" customFormat="1" x14ac:dyDescent="0.25">
      <c r="A1797" s="196">
        <v>2521</v>
      </c>
      <c r="B1797" s="196" t="s">
        <v>8774</v>
      </c>
      <c r="C1797" s="196" t="s">
        <v>8775</v>
      </c>
      <c r="D1797" s="196" t="s">
        <v>1876</v>
      </c>
      <c r="E1797" s="196"/>
      <c r="F1797" s="196">
        <v>1989</v>
      </c>
      <c r="G1797" s="196"/>
      <c r="H1797" s="196" t="s">
        <v>2734</v>
      </c>
      <c r="I1797" s="141" t="s">
        <v>1879</v>
      </c>
      <c r="J1797" s="196"/>
      <c r="K1797" s="196" t="s">
        <v>1881</v>
      </c>
      <c r="L1797" s="240"/>
      <c r="M1797" s="196">
        <v>530</v>
      </c>
      <c r="N1797" s="196"/>
      <c r="O1797" s="196" t="s">
        <v>6892</v>
      </c>
      <c r="P1797" s="144">
        <v>702</v>
      </c>
      <c r="Q1797" s="145">
        <f t="shared" si="120"/>
        <v>3.2313999999999998</v>
      </c>
      <c r="R1797" s="203"/>
      <c r="S1797" s="203">
        <v>1.65</v>
      </c>
      <c r="T1797" s="151">
        <v>0.13</v>
      </c>
      <c r="U1797" s="151" t="str">
        <f t="shared" si="121"/>
        <v>2,20</v>
      </c>
      <c r="V1797" s="151">
        <f t="shared" si="122"/>
        <v>0.33999999999999997</v>
      </c>
      <c r="W1797" s="151">
        <v>0.35</v>
      </c>
      <c r="X1797" s="152">
        <f t="shared" si="123"/>
        <v>0.2114</v>
      </c>
      <c r="Y1797" s="152">
        <f t="shared" si="124"/>
        <v>1.65</v>
      </c>
      <c r="Z1797" s="152">
        <f t="shared" si="125"/>
        <v>3.2313999999999998</v>
      </c>
      <c r="AA1797" s="153"/>
      <c r="AB1797" s="153"/>
      <c r="AC1797" s="153"/>
      <c r="AD1797" s="153"/>
      <c r="AH1797" s="147"/>
    </row>
    <row r="1798" spans="1:34" s="146" customFormat="1" x14ac:dyDescent="0.25">
      <c r="A1798" s="196">
        <v>633</v>
      </c>
      <c r="B1798" s="196" t="s">
        <v>8776</v>
      </c>
      <c r="C1798" s="196" t="s">
        <v>8777</v>
      </c>
      <c r="D1798" s="196" t="s">
        <v>2257</v>
      </c>
      <c r="E1798" s="196"/>
      <c r="F1798" s="196">
        <v>1971</v>
      </c>
      <c r="G1798" s="196"/>
      <c r="H1798" s="196" t="s">
        <v>2734</v>
      </c>
      <c r="I1798" s="141" t="s">
        <v>1879</v>
      </c>
      <c r="J1798" s="196" t="s">
        <v>2505</v>
      </c>
      <c r="K1798" s="196" t="s">
        <v>1881</v>
      </c>
      <c r="L1798" s="240"/>
      <c r="M1798" s="196">
        <v>614</v>
      </c>
      <c r="N1798" s="196"/>
      <c r="O1798" s="196" t="s">
        <v>6893</v>
      </c>
      <c r="P1798" s="144">
        <v>847</v>
      </c>
      <c r="Q1798" s="145">
        <f t="shared" si="120"/>
        <v>3.2313999999999998</v>
      </c>
      <c r="R1798" s="203"/>
      <c r="S1798" s="203">
        <v>2</v>
      </c>
      <c r="T1798" s="151">
        <v>0.13</v>
      </c>
      <c r="U1798" s="151" t="str">
        <f t="shared" si="121"/>
        <v>2,20</v>
      </c>
      <c r="V1798" s="151">
        <f t="shared" si="122"/>
        <v>0.33999999999999997</v>
      </c>
      <c r="W1798" s="151">
        <v>0.35</v>
      </c>
      <c r="X1798" s="152">
        <f t="shared" si="123"/>
        <v>0.2114</v>
      </c>
      <c r="Y1798" s="152">
        <f t="shared" si="124"/>
        <v>2</v>
      </c>
      <c r="Z1798" s="152">
        <f t="shared" si="125"/>
        <v>3.2313999999999998</v>
      </c>
      <c r="AA1798" s="153"/>
      <c r="AB1798" s="153"/>
      <c r="AC1798" s="153"/>
      <c r="AD1798" s="153"/>
      <c r="AH1798" s="147"/>
    </row>
    <row r="1799" spans="1:34" s="146" customFormat="1" x14ac:dyDescent="0.25">
      <c r="A1799" s="196">
        <v>613</v>
      </c>
      <c r="B1799" s="196" t="s">
        <v>9030</v>
      </c>
      <c r="C1799" s="196" t="s">
        <v>9031</v>
      </c>
      <c r="D1799" s="196" t="s">
        <v>9032</v>
      </c>
      <c r="E1799" s="196"/>
      <c r="F1799" s="196">
        <v>1972</v>
      </c>
      <c r="G1799" s="196"/>
      <c r="H1799" s="196" t="s">
        <v>1878</v>
      </c>
      <c r="I1799" s="141" t="s">
        <v>1914</v>
      </c>
      <c r="J1799" s="196"/>
      <c r="K1799" s="196" t="s">
        <v>1881</v>
      </c>
      <c r="L1799" s="240" t="s">
        <v>9033</v>
      </c>
      <c r="M1799" s="196">
        <v>160</v>
      </c>
      <c r="N1799" s="196"/>
      <c r="O1799" s="196" t="s">
        <v>6896</v>
      </c>
      <c r="P1799" s="144">
        <v>120</v>
      </c>
      <c r="Q1799" s="145">
        <v>1.8472319999999998</v>
      </c>
      <c r="R1799" s="203">
        <v>1.2</v>
      </c>
      <c r="S1799" s="203">
        <v>1.65</v>
      </c>
      <c r="T1799" s="151">
        <v>0.13</v>
      </c>
      <c r="U1799" s="151" t="s">
        <v>9027</v>
      </c>
      <c r="V1799" s="151">
        <v>0.33999999999999997</v>
      </c>
      <c r="W1799" s="151">
        <v>0.35</v>
      </c>
      <c r="X1799" s="152">
        <v>0.19039999999999999</v>
      </c>
      <c r="Y1799" s="152">
        <v>1.65</v>
      </c>
      <c r="Z1799" s="152">
        <v>2.9103999999999997</v>
      </c>
      <c r="AA1799" s="153"/>
      <c r="AB1799" s="153"/>
      <c r="AC1799" s="153"/>
      <c r="AD1799" s="153"/>
      <c r="AH1799" s="147"/>
    </row>
    <row r="1800" spans="1:34" s="146" customFormat="1" x14ac:dyDescent="0.25">
      <c r="A1800" s="196">
        <v>785</v>
      </c>
      <c r="B1800" s="196" t="s">
        <v>9034</v>
      </c>
      <c r="C1800" s="196" t="s">
        <v>9035</v>
      </c>
      <c r="D1800" s="196" t="s">
        <v>9036</v>
      </c>
      <c r="E1800" s="196">
        <v>1</v>
      </c>
      <c r="F1800" s="196">
        <v>2006</v>
      </c>
      <c r="G1800" s="196"/>
      <c r="H1800" s="196" t="s">
        <v>1878</v>
      </c>
      <c r="I1800" s="141" t="s">
        <v>1929</v>
      </c>
      <c r="J1800" s="196"/>
      <c r="K1800" s="196" t="s">
        <v>1881</v>
      </c>
      <c r="L1800" s="240" t="s">
        <v>9037</v>
      </c>
      <c r="M1800" s="196"/>
      <c r="N1800" s="196"/>
      <c r="O1800" s="196" t="s">
        <v>6897</v>
      </c>
      <c r="P1800" s="144">
        <v>177</v>
      </c>
      <c r="Q1800" s="145">
        <v>4.8599999999999994</v>
      </c>
      <c r="R1800" s="203">
        <v>1.2</v>
      </c>
      <c r="S1800" s="203">
        <v>5.6999999999999993</v>
      </c>
      <c r="T1800" s="151">
        <v>0.13</v>
      </c>
      <c r="U1800" s="151" t="s">
        <v>9027</v>
      </c>
      <c r="V1800" s="151">
        <v>0.33999999999999997</v>
      </c>
      <c r="W1800" s="151">
        <v>0.35</v>
      </c>
      <c r="X1800" s="152">
        <v>0.19039999999999999</v>
      </c>
      <c r="Y1800" s="152">
        <v>5.6999999999999993</v>
      </c>
      <c r="Z1800" s="152">
        <v>2.9103999999999997</v>
      </c>
      <c r="AA1800" s="153"/>
      <c r="AB1800" s="153"/>
      <c r="AC1800" s="153"/>
      <c r="AD1800" s="153"/>
      <c r="AH1800" s="147"/>
    </row>
    <row r="1801" spans="1:34" s="146" customFormat="1" x14ac:dyDescent="0.25">
      <c r="A1801" s="196">
        <v>796</v>
      </c>
      <c r="B1801" s="196" t="s">
        <v>9041</v>
      </c>
      <c r="C1801" s="196" t="s">
        <v>9042</v>
      </c>
      <c r="D1801" s="196" t="s">
        <v>2644</v>
      </c>
      <c r="E1801" s="196"/>
      <c r="F1801" s="196">
        <v>2000</v>
      </c>
      <c r="G1801" s="196"/>
      <c r="H1801" s="196" t="s">
        <v>1878</v>
      </c>
      <c r="I1801" s="141" t="s">
        <v>7527</v>
      </c>
      <c r="J1801" s="196"/>
      <c r="K1801" s="196" t="s">
        <v>1881</v>
      </c>
      <c r="L1801" s="240" t="s">
        <v>9043</v>
      </c>
      <c r="M1801" s="196">
        <v>307</v>
      </c>
      <c r="N1801" s="196"/>
      <c r="O1801" s="196" t="s">
        <v>6899</v>
      </c>
      <c r="P1801" s="144">
        <v>268</v>
      </c>
      <c r="Q1801" s="145">
        <v>1.8472319999999998</v>
      </c>
      <c r="R1801" s="203">
        <v>1.2</v>
      </c>
      <c r="S1801" s="203">
        <v>1.61</v>
      </c>
      <c r="T1801" s="151">
        <v>0.13</v>
      </c>
      <c r="U1801" s="151" t="s">
        <v>9027</v>
      </c>
      <c r="V1801" s="151">
        <v>0.33999999999999997</v>
      </c>
      <c r="W1801" s="151">
        <v>0.35</v>
      </c>
      <c r="X1801" s="152">
        <v>0.19039999999999999</v>
      </c>
      <c r="Y1801" s="152">
        <v>1.61</v>
      </c>
      <c r="Z1801" s="152">
        <v>2.9103999999999997</v>
      </c>
      <c r="AA1801" s="153"/>
      <c r="AB1801" s="153"/>
      <c r="AC1801" s="153"/>
      <c r="AD1801" s="153"/>
      <c r="AH1801" s="147"/>
    </row>
    <row r="1802" spans="1:34" s="146" customFormat="1" x14ac:dyDescent="0.25">
      <c r="A1802" s="196">
        <v>735</v>
      </c>
      <c r="B1802" s="196" t="s">
        <v>9044</v>
      </c>
      <c r="C1802" s="196" t="s">
        <v>9045</v>
      </c>
      <c r="D1802" s="196" t="s">
        <v>2209</v>
      </c>
      <c r="E1802" s="196"/>
      <c r="F1802" s="196">
        <v>1983</v>
      </c>
      <c r="G1802" s="196"/>
      <c r="H1802" s="196" t="s">
        <v>1878</v>
      </c>
      <c r="I1802" s="141" t="s">
        <v>7527</v>
      </c>
      <c r="J1802" s="196"/>
      <c r="K1802" s="196" t="s">
        <v>1881</v>
      </c>
      <c r="L1802" s="240" t="s">
        <v>9046</v>
      </c>
      <c r="M1802" s="196">
        <v>287</v>
      </c>
      <c r="N1802" s="196"/>
      <c r="O1802" s="196" t="s">
        <v>6900</v>
      </c>
      <c r="P1802" s="144">
        <v>203</v>
      </c>
      <c r="Q1802" s="145">
        <v>1.8472319999999998</v>
      </c>
      <c r="R1802" s="203">
        <v>1.2</v>
      </c>
      <c r="S1802" s="203">
        <v>1.63</v>
      </c>
      <c r="T1802" s="151">
        <v>0.13</v>
      </c>
      <c r="U1802" s="151" t="s">
        <v>9027</v>
      </c>
      <c r="V1802" s="151">
        <v>0.33999999999999997</v>
      </c>
      <c r="W1802" s="151">
        <v>0.35</v>
      </c>
      <c r="X1802" s="152">
        <v>0.19039999999999999</v>
      </c>
      <c r="Y1802" s="152">
        <v>1.63</v>
      </c>
      <c r="Z1802" s="152">
        <v>2.9103999999999997</v>
      </c>
      <c r="AA1802" s="153"/>
      <c r="AB1802" s="153"/>
      <c r="AC1802" s="153"/>
      <c r="AD1802" s="153"/>
      <c r="AH1802" s="147"/>
    </row>
    <row r="1803" spans="1:34" s="146" customFormat="1" x14ac:dyDescent="0.25">
      <c r="A1803" s="196">
        <v>632</v>
      </c>
      <c r="B1803" s="196" t="s">
        <v>9047</v>
      </c>
      <c r="C1803" s="196" t="s">
        <v>9048</v>
      </c>
      <c r="D1803" s="196" t="s">
        <v>2036</v>
      </c>
      <c r="E1803" s="196"/>
      <c r="F1803" s="196">
        <v>1993</v>
      </c>
      <c r="G1803" s="196"/>
      <c r="H1803" s="196" t="s">
        <v>2734</v>
      </c>
      <c r="I1803" s="141" t="s">
        <v>1879</v>
      </c>
      <c r="J1803" s="196"/>
      <c r="K1803" s="196" t="s">
        <v>1881</v>
      </c>
      <c r="L1803" s="240" t="s">
        <v>9049</v>
      </c>
      <c r="M1803" s="196">
        <v>287</v>
      </c>
      <c r="N1803" s="196"/>
      <c r="O1803" s="196" t="s">
        <v>6901</v>
      </c>
      <c r="P1803" s="144">
        <v>458</v>
      </c>
      <c r="Q1803" s="145">
        <v>1.8472319999999998</v>
      </c>
      <c r="R1803" s="203">
        <v>1.2</v>
      </c>
      <c r="S1803" s="203">
        <v>2.6</v>
      </c>
      <c r="T1803" s="151">
        <v>0.13</v>
      </c>
      <c r="U1803" s="151" t="s">
        <v>9027</v>
      </c>
      <c r="V1803" s="151">
        <v>0.33999999999999997</v>
      </c>
      <c r="W1803" s="151">
        <v>0.35</v>
      </c>
      <c r="X1803" s="152">
        <v>0.19039999999999999</v>
      </c>
      <c r="Y1803" s="152">
        <v>2.6</v>
      </c>
      <c r="Z1803" s="152">
        <v>2.9103999999999997</v>
      </c>
      <c r="AA1803" s="153"/>
      <c r="AB1803" s="153"/>
      <c r="AC1803" s="153"/>
      <c r="AD1803" s="153"/>
      <c r="AH1803" s="147"/>
    </row>
    <row r="1804" spans="1:34" s="146" customFormat="1" x14ac:dyDescent="0.25">
      <c r="A1804" s="196">
        <v>8</v>
      </c>
      <c r="B1804" s="196" t="s">
        <v>9050</v>
      </c>
      <c r="C1804" s="196" t="s">
        <v>9051</v>
      </c>
      <c r="D1804" s="196" t="s">
        <v>2257</v>
      </c>
      <c r="E1804" s="196"/>
      <c r="F1804" s="196">
        <v>1920</v>
      </c>
      <c r="G1804" s="196"/>
      <c r="H1804" s="196" t="s">
        <v>2734</v>
      </c>
      <c r="I1804" s="141" t="s">
        <v>1914</v>
      </c>
      <c r="J1804" s="196" t="s">
        <v>9052</v>
      </c>
      <c r="K1804" s="196" t="s">
        <v>1881</v>
      </c>
      <c r="L1804" s="240"/>
      <c r="M1804" s="196">
        <v>239</v>
      </c>
      <c r="N1804" s="196"/>
      <c r="O1804" s="196" t="s">
        <v>6902</v>
      </c>
      <c r="P1804" s="144">
        <v>318</v>
      </c>
      <c r="Q1804" s="145">
        <v>1.8472319999999998</v>
      </c>
      <c r="R1804" s="203">
        <v>1.2</v>
      </c>
      <c r="S1804" s="203">
        <v>1.48</v>
      </c>
      <c r="T1804" s="151">
        <v>0.13</v>
      </c>
      <c r="U1804" s="151" t="s">
        <v>9027</v>
      </c>
      <c r="V1804" s="151">
        <v>0.33999999999999997</v>
      </c>
      <c r="W1804" s="151">
        <v>0.35</v>
      </c>
      <c r="X1804" s="152">
        <v>0.19039999999999999</v>
      </c>
      <c r="Y1804" s="152">
        <v>1.48</v>
      </c>
      <c r="Z1804" s="152">
        <v>2.9103999999999997</v>
      </c>
      <c r="AA1804" s="153"/>
      <c r="AB1804" s="153"/>
      <c r="AC1804" s="153"/>
      <c r="AD1804" s="153"/>
      <c r="AH1804" s="147"/>
    </row>
    <row r="1805" spans="1:34" s="146" customFormat="1" x14ac:dyDescent="0.25">
      <c r="A1805" s="196">
        <v>1386</v>
      </c>
      <c r="B1805" s="196" t="s">
        <v>9053</v>
      </c>
      <c r="C1805" s="196" t="s">
        <v>9054</v>
      </c>
      <c r="D1805" s="196"/>
      <c r="E1805" s="196"/>
      <c r="F1805" s="196">
        <v>1994</v>
      </c>
      <c r="G1805" s="196"/>
      <c r="H1805" s="196" t="s">
        <v>1878</v>
      </c>
      <c r="I1805" s="141" t="s">
        <v>7527</v>
      </c>
      <c r="J1805" s="196"/>
      <c r="K1805" s="196" t="s">
        <v>1881</v>
      </c>
      <c r="L1805" s="240" t="s">
        <v>9055</v>
      </c>
      <c r="M1805" s="196">
        <v>425</v>
      </c>
      <c r="N1805" s="196"/>
      <c r="O1805" s="196" t="s">
        <v>6903</v>
      </c>
      <c r="P1805" s="144">
        <v>390</v>
      </c>
      <c r="Q1805" s="145">
        <v>1.8472319999999998</v>
      </c>
      <c r="R1805" s="203">
        <v>1.2</v>
      </c>
      <c r="S1805" s="203">
        <v>1.72</v>
      </c>
      <c r="T1805" s="151">
        <v>0.13</v>
      </c>
      <c r="U1805" s="151" t="s">
        <v>9027</v>
      </c>
      <c r="V1805" s="151">
        <v>0.33999999999999997</v>
      </c>
      <c r="W1805" s="151">
        <v>0.35</v>
      </c>
      <c r="X1805" s="152">
        <v>0.19039999999999999</v>
      </c>
      <c r="Y1805" s="152">
        <v>1.72</v>
      </c>
      <c r="Z1805" s="152">
        <v>2.9103999999999997</v>
      </c>
      <c r="AA1805" s="153"/>
      <c r="AB1805" s="153"/>
      <c r="AC1805" s="153"/>
      <c r="AD1805" s="153"/>
      <c r="AH1805" s="147"/>
    </row>
    <row r="1806" spans="1:34" s="146" customFormat="1" x14ac:dyDescent="0.25">
      <c r="A1806" s="196">
        <v>1231</v>
      </c>
      <c r="B1806" s="196" t="s">
        <v>9056</v>
      </c>
      <c r="C1806" s="196" t="s">
        <v>9057</v>
      </c>
      <c r="D1806" s="196" t="s">
        <v>8119</v>
      </c>
      <c r="E1806" s="196"/>
      <c r="F1806" s="196">
        <v>2005</v>
      </c>
      <c r="G1806" s="196"/>
      <c r="H1806" s="196" t="s">
        <v>2734</v>
      </c>
      <c r="I1806" s="141" t="s">
        <v>1879</v>
      </c>
      <c r="J1806" s="196"/>
      <c r="K1806" s="196" t="s">
        <v>1881</v>
      </c>
      <c r="L1806" s="240" t="s">
        <v>9058</v>
      </c>
      <c r="M1806" s="196">
        <v>107</v>
      </c>
      <c r="N1806" s="196"/>
      <c r="O1806" s="196" t="s">
        <v>6904</v>
      </c>
      <c r="P1806" s="144">
        <v>562</v>
      </c>
      <c r="Q1806" s="145">
        <v>1.653912</v>
      </c>
      <c r="R1806" s="203">
        <v>1.7</v>
      </c>
      <c r="S1806" s="203">
        <v>3.09</v>
      </c>
      <c r="T1806" s="151">
        <v>0.13</v>
      </c>
      <c r="U1806" s="151" t="s">
        <v>9059</v>
      </c>
      <c r="V1806" s="151">
        <v>0.33999999999999997</v>
      </c>
      <c r="W1806" s="151">
        <v>0.35</v>
      </c>
      <c r="X1806" s="152">
        <v>0.2114</v>
      </c>
      <c r="Y1806" s="152">
        <v>3.09</v>
      </c>
      <c r="Z1806" s="152">
        <v>3.2313999999999998</v>
      </c>
      <c r="AA1806" s="153"/>
      <c r="AB1806" s="153"/>
      <c r="AC1806" s="153"/>
      <c r="AD1806" s="153"/>
      <c r="AH1806" s="147"/>
    </row>
    <row r="1807" spans="1:34" s="146" customFormat="1" x14ac:dyDescent="0.25">
      <c r="A1807" s="196">
        <v>763</v>
      </c>
      <c r="B1807" s="196" t="s">
        <v>9060</v>
      </c>
      <c r="C1807" s="196" t="s">
        <v>9061</v>
      </c>
      <c r="D1807" s="196" t="s">
        <v>4825</v>
      </c>
      <c r="E1807" s="196"/>
      <c r="F1807" s="196">
        <v>1997</v>
      </c>
      <c r="G1807" s="196"/>
      <c r="H1807" s="196" t="s">
        <v>1878</v>
      </c>
      <c r="I1807" s="141" t="s">
        <v>7527</v>
      </c>
      <c r="J1807" s="196"/>
      <c r="K1807" s="196" t="s">
        <v>1881</v>
      </c>
      <c r="L1807" s="240" t="s">
        <v>9062</v>
      </c>
      <c r="M1807" s="196">
        <v>128</v>
      </c>
      <c r="N1807" s="196"/>
      <c r="O1807" s="196" t="s">
        <v>6905</v>
      </c>
      <c r="P1807" s="144">
        <v>347</v>
      </c>
      <c r="Q1807" s="145">
        <v>1.8472319999999998</v>
      </c>
      <c r="R1807" s="203">
        <v>1.2</v>
      </c>
      <c r="S1807" s="203">
        <v>2.9</v>
      </c>
      <c r="T1807" s="151">
        <v>0.13</v>
      </c>
      <c r="U1807" s="151" t="s">
        <v>9027</v>
      </c>
      <c r="V1807" s="151">
        <v>0.33999999999999997</v>
      </c>
      <c r="W1807" s="151">
        <v>0.35</v>
      </c>
      <c r="X1807" s="152">
        <v>0.19039999999999999</v>
      </c>
      <c r="Y1807" s="152">
        <v>2.9</v>
      </c>
      <c r="Z1807" s="152">
        <v>2.9103999999999997</v>
      </c>
      <c r="AA1807" s="153"/>
      <c r="AB1807" s="153"/>
      <c r="AC1807" s="153"/>
      <c r="AD1807" s="153"/>
      <c r="AH1807" s="147"/>
    </row>
    <row r="1808" spans="1:34" s="146" customFormat="1" x14ac:dyDescent="0.25">
      <c r="A1808" s="196">
        <v>548</v>
      </c>
      <c r="B1808" s="196" t="s">
        <v>9063</v>
      </c>
      <c r="C1808" s="196" t="s">
        <v>9064</v>
      </c>
      <c r="D1808" s="196" t="s">
        <v>9065</v>
      </c>
      <c r="E1808" s="196"/>
      <c r="F1808" s="196">
        <v>1997</v>
      </c>
      <c r="G1808" s="196"/>
      <c r="H1808" s="196" t="s">
        <v>2734</v>
      </c>
      <c r="I1808" s="141" t="s">
        <v>1929</v>
      </c>
      <c r="J1808" s="196"/>
      <c r="K1808" s="196" t="s">
        <v>1881</v>
      </c>
      <c r="L1808" s="240" t="s">
        <v>9066</v>
      </c>
      <c r="M1808" s="196">
        <v>179</v>
      </c>
      <c r="N1808" s="196"/>
      <c r="O1808" s="196" t="s">
        <v>6906</v>
      </c>
      <c r="P1808" s="144">
        <v>339</v>
      </c>
      <c r="Q1808" s="145">
        <v>1.8472319999999998</v>
      </c>
      <c r="R1808" s="203">
        <v>1.2</v>
      </c>
      <c r="S1808" s="203">
        <v>2.69</v>
      </c>
      <c r="T1808" s="151">
        <v>0.13</v>
      </c>
      <c r="U1808" s="151" t="s">
        <v>9027</v>
      </c>
      <c r="V1808" s="151">
        <v>0.33999999999999997</v>
      </c>
      <c r="W1808" s="151">
        <v>0.35</v>
      </c>
      <c r="X1808" s="152">
        <v>0.19039999999999999</v>
      </c>
      <c r="Y1808" s="152">
        <v>2.69</v>
      </c>
      <c r="Z1808" s="152">
        <v>2.9103999999999997</v>
      </c>
      <c r="AA1808" s="153"/>
      <c r="AB1808" s="153"/>
      <c r="AC1808" s="153"/>
      <c r="AD1808" s="153"/>
      <c r="AH1808" s="147"/>
    </row>
    <row r="1809" spans="1:34" s="146" customFormat="1" x14ac:dyDescent="0.25">
      <c r="A1809" s="196">
        <v>632</v>
      </c>
      <c r="B1809" s="196" t="s">
        <v>6256</v>
      </c>
      <c r="C1809" s="196" t="s">
        <v>9067</v>
      </c>
      <c r="D1809" s="196" t="s">
        <v>1920</v>
      </c>
      <c r="E1809" s="196"/>
      <c r="F1809" s="196">
        <v>2003</v>
      </c>
      <c r="G1809" s="196"/>
      <c r="H1809" s="196" t="s">
        <v>1878</v>
      </c>
      <c r="I1809" s="141" t="s">
        <v>1914</v>
      </c>
      <c r="J1809" s="196"/>
      <c r="K1809" s="196" t="s">
        <v>1881</v>
      </c>
      <c r="L1809" s="240" t="s">
        <v>9068</v>
      </c>
      <c r="M1809" s="196">
        <v>603</v>
      </c>
      <c r="N1809" s="196"/>
      <c r="O1809" s="196" t="s">
        <v>6907</v>
      </c>
      <c r="P1809" s="144">
        <v>507</v>
      </c>
      <c r="Q1809" s="145">
        <v>1.653912</v>
      </c>
      <c r="R1809" s="203">
        <v>1.7</v>
      </c>
      <c r="S1809" s="203">
        <v>2.15</v>
      </c>
      <c r="T1809" s="151">
        <v>0.13</v>
      </c>
      <c r="U1809" s="151" t="s">
        <v>9059</v>
      </c>
      <c r="V1809" s="151">
        <v>0.33999999999999997</v>
      </c>
      <c r="W1809" s="151">
        <v>0.35</v>
      </c>
      <c r="X1809" s="152">
        <v>0.2114</v>
      </c>
      <c r="Y1809" s="152">
        <v>2.15</v>
      </c>
      <c r="Z1809" s="152">
        <v>3.2313999999999998</v>
      </c>
      <c r="AA1809" s="153"/>
      <c r="AB1809" s="153"/>
      <c r="AC1809" s="153"/>
      <c r="AD1809" s="153"/>
      <c r="AH1809" s="147"/>
    </row>
    <row r="1810" spans="1:34" s="146" customFormat="1" x14ac:dyDescent="0.25">
      <c r="A1810" s="196">
        <v>632</v>
      </c>
      <c r="B1810" s="196" t="s">
        <v>7258</v>
      </c>
      <c r="C1810" s="196" t="s">
        <v>9069</v>
      </c>
      <c r="D1810" s="196" t="s">
        <v>2257</v>
      </c>
      <c r="E1810" s="196"/>
      <c r="F1810" s="196">
        <v>1990</v>
      </c>
      <c r="G1810" s="196"/>
      <c r="H1810" s="196" t="s">
        <v>1878</v>
      </c>
      <c r="I1810" s="141" t="s">
        <v>7527</v>
      </c>
      <c r="J1810" s="196"/>
      <c r="K1810" s="196" t="s">
        <v>1881</v>
      </c>
      <c r="L1810" s="240" t="s">
        <v>9070</v>
      </c>
      <c r="M1810" s="196">
        <v>636</v>
      </c>
      <c r="N1810" s="196"/>
      <c r="O1810" s="196" t="s">
        <v>6908</v>
      </c>
      <c r="P1810" s="144">
        <v>358</v>
      </c>
      <c r="Q1810" s="145">
        <v>1.8472319999999998</v>
      </c>
      <c r="R1810" s="203">
        <v>1.2</v>
      </c>
      <c r="S1810" s="203">
        <v>1.45</v>
      </c>
      <c r="T1810" s="151">
        <v>0.13</v>
      </c>
      <c r="U1810" s="151" t="s">
        <v>9027</v>
      </c>
      <c r="V1810" s="151">
        <v>0.33999999999999997</v>
      </c>
      <c r="W1810" s="151">
        <v>0.35</v>
      </c>
      <c r="X1810" s="152">
        <v>0.19039999999999999</v>
      </c>
      <c r="Y1810" s="152">
        <v>1.45</v>
      </c>
      <c r="Z1810" s="152">
        <v>2.9103999999999997</v>
      </c>
      <c r="AA1810" s="153"/>
      <c r="AB1810" s="153"/>
      <c r="AC1810" s="153"/>
      <c r="AD1810" s="153"/>
      <c r="AH1810" s="147"/>
    </row>
    <row r="1811" spans="1:34" s="146" customFormat="1" x14ac:dyDescent="0.25">
      <c r="A1811" s="196">
        <v>692</v>
      </c>
      <c r="B1811" s="196" t="s">
        <v>9071</v>
      </c>
      <c r="C1811" s="196" t="s">
        <v>9072</v>
      </c>
      <c r="D1811" s="196" t="s">
        <v>2054</v>
      </c>
      <c r="E1811" s="196"/>
      <c r="F1811" s="196">
        <v>2014</v>
      </c>
      <c r="G1811" s="196"/>
      <c r="H1811" s="196" t="s">
        <v>1878</v>
      </c>
      <c r="I1811" s="141" t="s">
        <v>1929</v>
      </c>
      <c r="J1811" s="196"/>
      <c r="K1811" s="196" t="s">
        <v>1881</v>
      </c>
      <c r="L1811" s="240" t="s">
        <v>9073</v>
      </c>
      <c r="M1811" s="196">
        <v>288</v>
      </c>
      <c r="N1811" s="196"/>
      <c r="O1811" s="196" t="s">
        <v>6909</v>
      </c>
      <c r="P1811" s="144">
        <v>282</v>
      </c>
      <c r="Q1811" s="145">
        <v>1.8472319999999998</v>
      </c>
      <c r="R1811" s="203">
        <v>1.2</v>
      </c>
      <c r="S1811" s="203">
        <v>1.7</v>
      </c>
      <c r="T1811" s="151">
        <v>0.13</v>
      </c>
      <c r="U1811" s="151" t="s">
        <v>9027</v>
      </c>
      <c r="V1811" s="151">
        <v>0.33999999999999997</v>
      </c>
      <c r="W1811" s="151">
        <v>0.35</v>
      </c>
      <c r="X1811" s="152">
        <v>0.19039999999999999</v>
      </c>
      <c r="Y1811" s="152">
        <v>1.7</v>
      </c>
      <c r="Z1811" s="152">
        <v>2.9103999999999997</v>
      </c>
      <c r="AA1811" s="153"/>
      <c r="AB1811" s="153"/>
      <c r="AC1811" s="153"/>
      <c r="AD1811" s="153"/>
      <c r="AH1811" s="147"/>
    </row>
    <row r="1812" spans="1:34" s="146" customFormat="1" x14ac:dyDescent="0.25">
      <c r="A1812" s="196">
        <v>692</v>
      </c>
      <c r="B1812" s="196" t="s">
        <v>4802</v>
      </c>
      <c r="C1812" s="196" t="s">
        <v>9074</v>
      </c>
      <c r="D1812" s="196" t="s">
        <v>1920</v>
      </c>
      <c r="E1812" s="196"/>
      <c r="F1812" s="196">
        <v>2011</v>
      </c>
      <c r="G1812" s="196"/>
      <c r="H1812" s="196" t="s">
        <v>1878</v>
      </c>
      <c r="I1812" s="141" t="s">
        <v>1929</v>
      </c>
      <c r="J1812" s="196"/>
      <c r="K1812" s="196" t="s">
        <v>1881</v>
      </c>
      <c r="L1812" s="240"/>
      <c r="M1812" s="196">
        <v>301</v>
      </c>
      <c r="N1812" s="196"/>
      <c r="O1812" s="196" t="s">
        <v>6910</v>
      </c>
      <c r="P1812" s="144">
        <v>229</v>
      </c>
      <c r="Q1812" s="145">
        <v>1.8472319999999998</v>
      </c>
      <c r="R1812" s="203">
        <v>1.2</v>
      </c>
      <c r="S1812" s="203">
        <v>1.7</v>
      </c>
      <c r="T1812" s="151">
        <v>0.13</v>
      </c>
      <c r="U1812" s="151" t="s">
        <v>9027</v>
      </c>
      <c r="V1812" s="151">
        <v>0.33999999999999997</v>
      </c>
      <c r="W1812" s="151">
        <v>0.35</v>
      </c>
      <c r="X1812" s="152">
        <v>0.19039999999999999</v>
      </c>
      <c r="Y1812" s="152">
        <v>1.7</v>
      </c>
      <c r="Z1812" s="152">
        <v>2.9103999999999997</v>
      </c>
      <c r="AA1812" s="153"/>
      <c r="AB1812" s="153"/>
      <c r="AC1812" s="153"/>
      <c r="AD1812" s="153"/>
      <c r="AH1812" s="147"/>
    </row>
    <row r="1813" spans="1:34" s="146" customFormat="1" x14ac:dyDescent="0.25">
      <c r="A1813" s="196">
        <v>692</v>
      </c>
      <c r="B1813" s="196" t="s">
        <v>9075</v>
      </c>
      <c r="C1813" s="196" t="s">
        <v>9076</v>
      </c>
      <c r="D1813" s="196" t="s">
        <v>2054</v>
      </c>
      <c r="E1813" s="196"/>
      <c r="F1813" s="196">
        <v>2014</v>
      </c>
      <c r="G1813" s="196"/>
      <c r="H1813" s="196" t="s">
        <v>1878</v>
      </c>
      <c r="I1813" s="141" t="s">
        <v>1929</v>
      </c>
      <c r="J1813" s="196"/>
      <c r="K1813" s="196" t="s">
        <v>1881</v>
      </c>
      <c r="L1813" s="240" t="s">
        <v>9077</v>
      </c>
      <c r="M1813" s="196">
        <v>383</v>
      </c>
      <c r="N1813" s="196"/>
      <c r="O1813" s="196" t="s">
        <v>6911</v>
      </c>
      <c r="P1813" s="144">
        <v>375</v>
      </c>
      <c r="Q1813" s="145">
        <v>1.8472319999999998</v>
      </c>
      <c r="R1813" s="203">
        <v>1.2</v>
      </c>
      <c r="S1813" s="203">
        <v>1.65</v>
      </c>
      <c r="T1813" s="151">
        <v>0.13</v>
      </c>
      <c r="U1813" s="151" t="s">
        <v>9027</v>
      </c>
      <c r="V1813" s="151">
        <v>0.33999999999999997</v>
      </c>
      <c r="W1813" s="151">
        <v>0.35</v>
      </c>
      <c r="X1813" s="152">
        <v>0.19039999999999999</v>
      </c>
      <c r="Y1813" s="152">
        <v>1.65</v>
      </c>
      <c r="Z1813" s="152">
        <v>2.9103999999999997</v>
      </c>
      <c r="AA1813" s="153"/>
      <c r="AB1813" s="153"/>
      <c r="AC1813" s="153"/>
      <c r="AD1813" s="153"/>
      <c r="AH1813" s="147"/>
    </row>
    <row r="1814" spans="1:34" s="146" customFormat="1" x14ac:dyDescent="0.25">
      <c r="A1814" s="196">
        <v>692</v>
      </c>
      <c r="B1814" s="196" t="s">
        <v>9078</v>
      </c>
      <c r="C1814" s="196" t="s">
        <v>9079</v>
      </c>
      <c r="D1814" s="196" t="s">
        <v>1912</v>
      </c>
      <c r="E1814" s="196"/>
      <c r="F1814" s="196">
        <v>2008</v>
      </c>
      <c r="G1814" s="196"/>
      <c r="H1814" s="196" t="s">
        <v>9080</v>
      </c>
      <c r="I1814" s="141" t="s">
        <v>7817</v>
      </c>
      <c r="J1814" s="196"/>
      <c r="K1814" s="196" t="s">
        <v>1881</v>
      </c>
      <c r="L1814" s="240" t="s">
        <v>9081</v>
      </c>
      <c r="M1814" s="196">
        <v>251</v>
      </c>
      <c r="N1814" s="196"/>
      <c r="O1814" s="196" t="s">
        <v>6912</v>
      </c>
      <c r="P1814" s="144">
        <v>248</v>
      </c>
      <c r="Q1814" s="145">
        <v>1.8472319999999998</v>
      </c>
      <c r="R1814" s="203">
        <v>1.2</v>
      </c>
      <c r="S1814" s="203">
        <v>1.65</v>
      </c>
      <c r="T1814" s="151">
        <v>0.13</v>
      </c>
      <c r="U1814" s="151" t="s">
        <v>9027</v>
      </c>
      <c r="V1814" s="151">
        <v>0.33999999999999997</v>
      </c>
      <c r="W1814" s="151">
        <v>0.35</v>
      </c>
      <c r="X1814" s="152">
        <v>0.19039999999999999</v>
      </c>
      <c r="Y1814" s="152">
        <v>1.65</v>
      </c>
      <c r="Z1814" s="152">
        <v>2.9103999999999997</v>
      </c>
      <c r="AA1814" s="153"/>
      <c r="AB1814" s="153"/>
      <c r="AC1814" s="153"/>
      <c r="AD1814" s="153"/>
      <c r="AH1814" s="147"/>
    </row>
    <row r="1815" spans="1:34" s="146" customFormat="1" x14ac:dyDescent="0.25">
      <c r="A1815" s="196">
        <v>2522</v>
      </c>
      <c r="B1815" s="196" t="s">
        <v>9082</v>
      </c>
      <c r="C1815" s="196" t="s">
        <v>9083</v>
      </c>
      <c r="D1815" s="196" t="s">
        <v>9084</v>
      </c>
      <c r="E1815" s="196"/>
      <c r="F1815" s="196">
        <v>2012</v>
      </c>
      <c r="G1815" s="196"/>
      <c r="H1815" s="196" t="s">
        <v>2734</v>
      </c>
      <c r="I1815" s="141" t="s">
        <v>1929</v>
      </c>
      <c r="J1815" s="196"/>
      <c r="K1815" s="196" t="s">
        <v>1881</v>
      </c>
      <c r="L1815" s="240" t="s">
        <v>9085</v>
      </c>
      <c r="M1815" s="196">
        <v>493</v>
      </c>
      <c r="N1815" s="196"/>
      <c r="O1815" s="196" t="s">
        <v>6913</v>
      </c>
      <c r="P1815" s="144">
        <v>711</v>
      </c>
      <c r="Q1815" s="145">
        <v>2.3760000000000003</v>
      </c>
      <c r="R1815" s="203">
        <v>1.7</v>
      </c>
      <c r="S1815" s="203">
        <v>3.9</v>
      </c>
      <c r="T1815" s="151">
        <v>0.13</v>
      </c>
      <c r="U1815" s="151" t="s">
        <v>9059</v>
      </c>
      <c r="V1815" s="151">
        <v>0.33999999999999997</v>
      </c>
      <c r="W1815" s="151">
        <v>0.35</v>
      </c>
      <c r="X1815" s="152">
        <v>0.2114</v>
      </c>
      <c r="Y1815" s="152">
        <v>3.9</v>
      </c>
      <c r="Z1815" s="152">
        <v>3.2313999999999998</v>
      </c>
      <c r="AA1815" s="153"/>
      <c r="AB1815" s="153"/>
      <c r="AC1815" s="153"/>
      <c r="AD1815" s="153"/>
      <c r="AH1815" s="147"/>
    </row>
    <row r="1816" spans="1:34" s="146" customFormat="1" x14ac:dyDescent="0.25">
      <c r="A1816" s="196">
        <v>2522</v>
      </c>
      <c r="B1816" s="196" t="s">
        <v>2101</v>
      </c>
      <c r="C1816" s="196" t="s">
        <v>9086</v>
      </c>
      <c r="D1816" s="196" t="s">
        <v>3524</v>
      </c>
      <c r="E1816" s="196" t="s">
        <v>1913</v>
      </c>
      <c r="F1816" s="196">
        <v>2010</v>
      </c>
      <c r="G1816" s="196"/>
      <c r="H1816" s="196" t="s">
        <v>1878</v>
      </c>
      <c r="I1816" s="141" t="s">
        <v>7817</v>
      </c>
      <c r="J1816" s="196"/>
      <c r="K1816" s="196" t="s">
        <v>1881</v>
      </c>
      <c r="L1816" s="240" t="s">
        <v>9087</v>
      </c>
      <c r="M1816" s="196">
        <v>300</v>
      </c>
      <c r="N1816" s="196"/>
      <c r="O1816" s="196" t="s">
        <v>6914</v>
      </c>
      <c r="P1816" s="144">
        <v>312</v>
      </c>
      <c r="Q1816" s="145">
        <v>1.8472319999999998</v>
      </c>
      <c r="R1816" s="203">
        <v>1.2</v>
      </c>
      <c r="S1816" s="203">
        <v>2.2000000000000002</v>
      </c>
      <c r="T1816" s="151">
        <v>0.13</v>
      </c>
      <c r="U1816" s="151" t="s">
        <v>9027</v>
      </c>
      <c r="V1816" s="151">
        <v>0.33999999999999997</v>
      </c>
      <c r="W1816" s="151">
        <v>0.35</v>
      </c>
      <c r="X1816" s="152">
        <v>0.19039999999999999</v>
      </c>
      <c r="Y1816" s="152">
        <v>2.2000000000000002</v>
      </c>
      <c r="Z1816" s="152">
        <v>2.9103999999999997</v>
      </c>
      <c r="AA1816" s="153"/>
      <c r="AB1816" s="153"/>
      <c r="AC1816" s="153"/>
      <c r="AD1816" s="153"/>
      <c r="AH1816" s="147"/>
    </row>
    <row r="1817" spans="1:34" s="146" customFormat="1" x14ac:dyDescent="0.25">
      <c r="A1817" s="196">
        <v>1913</v>
      </c>
      <c r="B1817" s="196" t="s">
        <v>8774</v>
      </c>
      <c r="C1817" s="196" t="s">
        <v>9088</v>
      </c>
      <c r="D1817" s="196" t="s">
        <v>1912</v>
      </c>
      <c r="E1817" s="196"/>
      <c r="F1817" s="196">
        <v>1998</v>
      </c>
      <c r="G1817" s="196"/>
      <c r="H1817" s="196" t="s">
        <v>1878</v>
      </c>
      <c r="I1817" s="141" t="s">
        <v>7527</v>
      </c>
      <c r="J1817" s="196"/>
      <c r="K1817" s="196" t="s">
        <v>1881</v>
      </c>
      <c r="L1817" s="240" t="s">
        <v>9089</v>
      </c>
      <c r="M1817" s="196">
        <v>572</v>
      </c>
      <c r="N1817" s="196"/>
      <c r="O1817" s="196" t="s">
        <v>6915</v>
      </c>
      <c r="P1817" s="144">
        <v>391</v>
      </c>
      <c r="Q1817" s="145">
        <v>1.8472319999999998</v>
      </c>
      <c r="R1817" s="203">
        <v>1.2</v>
      </c>
      <c r="S1817" s="203">
        <v>1.7</v>
      </c>
      <c r="T1817" s="151">
        <v>0.13</v>
      </c>
      <c r="U1817" s="151" t="s">
        <v>9027</v>
      </c>
      <c r="V1817" s="151">
        <v>0.33999999999999997</v>
      </c>
      <c r="W1817" s="151">
        <v>0.35</v>
      </c>
      <c r="X1817" s="152">
        <v>0.19039999999999999</v>
      </c>
      <c r="Y1817" s="152">
        <v>1.7</v>
      </c>
      <c r="Z1817" s="152">
        <v>2.9103999999999997</v>
      </c>
      <c r="AA1817" s="153"/>
      <c r="AB1817" s="153"/>
      <c r="AC1817" s="153"/>
      <c r="AD1817" s="153"/>
      <c r="AH1817" s="147"/>
    </row>
    <row r="1818" spans="1:34" s="146" customFormat="1" x14ac:dyDescent="0.25">
      <c r="A1818" s="196">
        <v>631</v>
      </c>
      <c r="B1818" s="196" t="s">
        <v>9090</v>
      </c>
      <c r="C1818" s="196" t="s">
        <v>9091</v>
      </c>
      <c r="D1818" s="196" t="s">
        <v>2926</v>
      </c>
      <c r="E1818" s="196"/>
      <c r="F1818" s="196">
        <v>2001</v>
      </c>
      <c r="G1818" s="196"/>
      <c r="H1818" s="196" t="s">
        <v>1878</v>
      </c>
      <c r="I1818" s="141" t="s">
        <v>1879</v>
      </c>
      <c r="J1818" s="196" t="s">
        <v>9092</v>
      </c>
      <c r="K1818" s="196" t="s">
        <v>1881</v>
      </c>
      <c r="L1818" s="240" t="s">
        <v>9093</v>
      </c>
      <c r="M1818" s="196">
        <v>219</v>
      </c>
      <c r="N1818" s="196"/>
      <c r="O1818" s="196" t="s">
        <v>6916</v>
      </c>
      <c r="P1818" s="144">
        <v>206</v>
      </c>
      <c r="Q1818" s="145">
        <v>1.8472319999999998</v>
      </c>
      <c r="R1818" s="203">
        <v>1.2</v>
      </c>
      <c r="S1818" s="203">
        <v>2.7800000000000002</v>
      </c>
      <c r="T1818" s="151">
        <v>0.13</v>
      </c>
      <c r="U1818" s="151" t="s">
        <v>9027</v>
      </c>
      <c r="V1818" s="151">
        <v>0.33999999999999997</v>
      </c>
      <c r="W1818" s="151">
        <v>0.35</v>
      </c>
      <c r="X1818" s="152">
        <v>0.19039999999999999</v>
      </c>
      <c r="Y1818" s="152">
        <v>2.7800000000000002</v>
      </c>
      <c r="Z1818" s="152">
        <v>2.9103999999999997</v>
      </c>
      <c r="AA1818" s="153"/>
      <c r="AB1818" s="153"/>
      <c r="AC1818" s="153"/>
      <c r="AD1818" s="153"/>
      <c r="AH1818" s="147"/>
    </row>
    <row r="1819" spans="1:34" s="146" customFormat="1" x14ac:dyDescent="0.25">
      <c r="A1819" s="196">
        <v>689</v>
      </c>
      <c r="B1819" s="196" t="s">
        <v>2242</v>
      </c>
      <c r="C1819" s="196" t="s">
        <v>7437</v>
      </c>
      <c r="D1819" s="196" t="s">
        <v>9094</v>
      </c>
      <c r="E1819" s="196"/>
      <c r="F1819" s="196">
        <v>2001</v>
      </c>
      <c r="G1819" s="196"/>
      <c r="H1819" s="196" t="s">
        <v>2734</v>
      </c>
      <c r="I1819" s="141" t="s">
        <v>1879</v>
      </c>
      <c r="J1819" s="196"/>
      <c r="K1819" s="196" t="s">
        <v>1881</v>
      </c>
      <c r="L1819" s="240"/>
      <c r="M1819" s="196">
        <v>494</v>
      </c>
      <c r="N1819" s="196"/>
      <c r="O1819" s="196" t="s">
        <v>6917</v>
      </c>
      <c r="P1819" s="144">
        <v>600</v>
      </c>
      <c r="Q1819" s="145">
        <v>1.653912</v>
      </c>
      <c r="R1819" s="203">
        <v>1.7</v>
      </c>
      <c r="S1819" s="203">
        <v>1.4</v>
      </c>
      <c r="T1819" s="151">
        <v>0.13</v>
      </c>
      <c r="U1819" s="151" t="s">
        <v>9059</v>
      </c>
      <c r="V1819" s="151">
        <v>0.33999999999999997</v>
      </c>
      <c r="W1819" s="151">
        <v>0.35</v>
      </c>
      <c r="X1819" s="152">
        <v>0.2114</v>
      </c>
      <c r="Y1819" s="152">
        <v>1.4</v>
      </c>
      <c r="Z1819" s="152">
        <v>3.2313999999999998</v>
      </c>
      <c r="AA1819" s="153"/>
      <c r="AB1819" s="153"/>
      <c r="AC1819" s="153"/>
      <c r="AD1819" s="153"/>
      <c r="AH1819" s="147"/>
    </row>
    <row r="1820" spans="1:34" s="146" customFormat="1" x14ac:dyDescent="0.25">
      <c r="A1820" s="196">
        <v>701</v>
      </c>
      <c r="B1820" s="196" t="s">
        <v>9095</v>
      </c>
      <c r="C1820" s="196" t="s">
        <v>9096</v>
      </c>
      <c r="D1820" s="196" t="s">
        <v>2609</v>
      </c>
      <c r="E1820" s="196"/>
      <c r="F1820" s="196">
        <v>2011</v>
      </c>
      <c r="G1820" s="196"/>
      <c r="H1820" s="196" t="s">
        <v>1878</v>
      </c>
      <c r="I1820" s="141" t="s">
        <v>7527</v>
      </c>
      <c r="J1820" s="196" t="s">
        <v>9092</v>
      </c>
      <c r="K1820" s="196" t="s">
        <v>1881</v>
      </c>
      <c r="L1820" s="240" t="s">
        <v>9097</v>
      </c>
      <c r="M1820" s="196">
        <v>301</v>
      </c>
      <c r="N1820" s="196"/>
      <c r="O1820" s="196" t="s">
        <v>6918</v>
      </c>
      <c r="P1820" s="144">
        <v>276</v>
      </c>
      <c r="Q1820" s="145">
        <v>1.8472319999999998</v>
      </c>
      <c r="R1820" s="203">
        <v>1.2</v>
      </c>
      <c r="S1820" s="203">
        <v>1.79</v>
      </c>
      <c r="T1820" s="151">
        <v>0.13</v>
      </c>
      <c r="U1820" s="151" t="s">
        <v>9027</v>
      </c>
      <c r="V1820" s="151">
        <v>0.33999999999999997</v>
      </c>
      <c r="W1820" s="151">
        <v>0.35</v>
      </c>
      <c r="X1820" s="152">
        <v>0.19039999999999999</v>
      </c>
      <c r="Y1820" s="152">
        <v>1.79</v>
      </c>
      <c r="Z1820" s="152">
        <v>2.9103999999999997</v>
      </c>
      <c r="AA1820" s="153"/>
      <c r="AB1820" s="153"/>
      <c r="AC1820" s="153"/>
      <c r="AD1820" s="153"/>
      <c r="AH1820" s="147"/>
    </row>
    <row r="1821" spans="1:34" s="146" customFormat="1" x14ac:dyDescent="0.25">
      <c r="A1821" s="196">
        <v>2553</v>
      </c>
      <c r="B1821" s="196" t="s">
        <v>9098</v>
      </c>
      <c r="C1821" s="196" t="s">
        <v>9099</v>
      </c>
      <c r="D1821" s="196" t="s">
        <v>2054</v>
      </c>
      <c r="E1821" s="196"/>
      <c r="F1821" s="196">
        <v>2003</v>
      </c>
      <c r="G1821" s="196"/>
      <c r="H1821" s="196" t="s">
        <v>1878</v>
      </c>
      <c r="I1821" s="141" t="s">
        <v>7527</v>
      </c>
      <c r="J1821" s="196"/>
      <c r="K1821" s="196" t="s">
        <v>1881</v>
      </c>
      <c r="L1821" s="240" t="s">
        <v>9100</v>
      </c>
      <c r="M1821" s="196">
        <v>446</v>
      </c>
      <c r="N1821" s="196"/>
      <c r="O1821" s="196" t="s">
        <v>6919</v>
      </c>
      <c r="P1821" s="144">
        <v>323</v>
      </c>
      <c r="Q1821" s="145">
        <v>1.8472319999999998</v>
      </c>
      <c r="R1821" s="203">
        <v>1.2</v>
      </c>
      <c r="S1821" s="203">
        <v>1.58</v>
      </c>
      <c r="T1821" s="151">
        <v>0.13</v>
      </c>
      <c r="U1821" s="151" t="s">
        <v>9027</v>
      </c>
      <c r="V1821" s="151">
        <v>0.33999999999999997</v>
      </c>
      <c r="W1821" s="151">
        <v>0.35</v>
      </c>
      <c r="X1821" s="152">
        <v>0.19039999999999999</v>
      </c>
      <c r="Y1821" s="152">
        <v>1.58</v>
      </c>
      <c r="Z1821" s="152">
        <v>2.9103999999999997</v>
      </c>
      <c r="AA1821" s="153"/>
      <c r="AB1821" s="153"/>
      <c r="AC1821" s="153"/>
      <c r="AD1821" s="153"/>
      <c r="AH1821" s="147"/>
    </row>
    <row r="1822" spans="1:34" s="146" customFormat="1" x14ac:dyDescent="0.25">
      <c r="A1822" s="196">
        <v>1327</v>
      </c>
      <c r="B1822" s="196" t="s">
        <v>9101</v>
      </c>
      <c r="C1822" s="196" t="s">
        <v>9102</v>
      </c>
      <c r="D1822" s="196" t="s">
        <v>1876</v>
      </c>
      <c r="E1822" s="196"/>
      <c r="F1822" s="196">
        <v>1996</v>
      </c>
      <c r="G1822" s="196"/>
      <c r="H1822" s="196" t="s">
        <v>1878</v>
      </c>
      <c r="I1822" s="141" t="s">
        <v>7527</v>
      </c>
      <c r="J1822" s="196"/>
      <c r="K1822" s="196" t="s">
        <v>1881</v>
      </c>
      <c r="L1822" s="240" t="s">
        <v>9103</v>
      </c>
      <c r="M1822" s="196">
        <v>122</v>
      </c>
      <c r="N1822" s="196"/>
      <c r="O1822" s="196" t="s">
        <v>6920</v>
      </c>
      <c r="P1822" s="144">
        <v>158</v>
      </c>
      <c r="Q1822" s="145">
        <v>1.8472319999999998</v>
      </c>
      <c r="R1822" s="203">
        <v>1.2</v>
      </c>
      <c r="S1822" s="203">
        <v>1.45</v>
      </c>
      <c r="T1822" s="151">
        <v>0.13</v>
      </c>
      <c r="U1822" s="151" t="s">
        <v>9027</v>
      </c>
      <c r="V1822" s="151">
        <v>0.33999999999999997</v>
      </c>
      <c r="W1822" s="151">
        <v>0.35</v>
      </c>
      <c r="X1822" s="152">
        <v>0.19039999999999999</v>
      </c>
      <c r="Y1822" s="152">
        <v>1.45</v>
      </c>
      <c r="Z1822" s="152">
        <v>2.9103999999999997</v>
      </c>
      <c r="AA1822" s="153"/>
      <c r="AB1822" s="153"/>
      <c r="AC1822" s="153"/>
      <c r="AD1822" s="153"/>
      <c r="AH1822" s="147"/>
    </row>
    <row r="1823" spans="1:34" s="146" customFormat="1" x14ac:dyDescent="0.25">
      <c r="A1823" s="196">
        <v>632</v>
      </c>
      <c r="B1823" s="196" t="s">
        <v>3832</v>
      </c>
      <c r="C1823" s="196" t="s">
        <v>9104</v>
      </c>
      <c r="D1823" s="196" t="s">
        <v>2054</v>
      </c>
      <c r="E1823" s="196"/>
      <c r="F1823" s="196">
        <v>2012</v>
      </c>
      <c r="G1823" s="196"/>
      <c r="H1823" s="196" t="s">
        <v>1878</v>
      </c>
      <c r="I1823" s="141" t="s">
        <v>1879</v>
      </c>
      <c r="J1823" s="196"/>
      <c r="K1823" s="196" t="s">
        <v>1881</v>
      </c>
      <c r="L1823" s="240" t="s">
        <v>9105</v>
      </c>
      <c r="M1823" s="196">
        <v>1214</v>
      </c>
      <c r="N1823" s="196"/>
      <c r="O1823" s="196" t="s">
        <v>6921</v>
      </c>
      <c r="P1823" s="144">
        <v>1156</v>
      </c>
      <c r="Q1823" s="145">
        <v>2.4192000000000005</v>
      </c>
      <c r="R1823" s="203">
        <v>1.7</v>
      </c>
      <c r="S1823" s="203">
        <v>3.9400000000000004</v>
      </c>
      <c r="T1823" s="151">
        <v>0.13</v>
      </c>
      <c r="U1823" s="151" t="s">
        <v>9059</v>
      </c>
      <c r="V1823" s="151">
        <v>0.33999999999999997</v>
      </c>
      <c r="W1823" s="151">
        <v>0.35</v>
      </c>
      <c r="X1823" s="152">
        <v>0.2114</v>
      </c>
      <c r="Y1823" s="152">
        <v>3.9400000000000004</v>
      </c>
      <c r="Z1823" s="152">
        <v>3.2313999999999998</v>
      </c>
      <c r="AA1823" s="153"/>
      <c r="AB1823" s="153"/>
      <c r="AC1823" s="153"/>
      <c r="AD1823" s="153"/>
      <c r="AH1823" s="147"/>
    </row>
    <row r="1824" spans="1:34" s="146" customFormat="1" x14ac:dyDescent="0.25">
      <c r="A1824" s="196">
        <v>1904</v>
      </c>
      <c r="B1824" s="196" t="s">
        <v>7541</v>
      </c>
      <c r="C1824" s="196" t="s">
        <v>9106</v>
      </c>
      <c r="D1824" s="196" t="s">
        <v>2209</v>
      </c>
      <c r="E1824" s="196"/>
      <c r="F1824" s="196">
        <v>2011</v>
      </c>
      <c r="G1824" s="196"/>
      <c r="H1824" s="196" t="s">
        <v>1878</v>
      </c>
      <c r="I1824" s="141" t="s">
        <v>7527</v>
      </c>
      <c r="J1824" s="196"/>
      <c r="K1824" s="196" t="s">
        <v>1881</v>
      </c>
      <c r="L1824" s="240" t="s">
        <v>9107</v>
      </c>
      <c r="M1824" s="196">
        <v>447</v>
      </c>
      <c r="N1824" s="196"/>
      <c r="O1824" s="196" t="s">
        <v>6922</v>
      </c>
      <c r="P1824" s="144">
        <v>386</v>
      </c>
      <c r="Q1824" s="145">
        <v>1.8472319999999998</v>
      </c>
      <c r="R1824" s="203">
        <v>1.2</v>
      </c>
      <c r="S1824" s="203">
        <v>1.8</v>
      </c>
      <c r="T1824" s="151">
        <v>0.13</v>
      </c>
      <c r="U1824" s="151" t="s">
        <v>9027</v>
      </c>
      <c r="V1824" s="151">
        <v>0.33999999999999997</v>
      </c>
      <c r="W1824" s="151">
        <v>0.35</v>
      </c>
      <c r="X1824" s="152">
        <v>0.19039999999999999</v>
      </c>
      <c r="Y1824" s="152">
        <v>1.8</v>
      </c>
      <c r="Z1824" s="152">
        <v>2.9103999999999997</v>
      </c>
      <c r="AA1824" s="153"/>
      <c r="AB1824" s="153"/>
      <c r="AC1824" s="153"/>
      <c r="AD1824" s="153"/>
      <c r="AH1824" s="147"/>
    </row>
    <row r="1825" spans="1:34" s="146" customFormat="1" x14ac:dyDescent="0.25">
      <c r="A1825" s="196">
        <v>1386</v>
      </c>
      <c r="B1825" s="196" t="s">
        <v>9108</v>
      </c>
      <c r="C1825" s="196" t="s">
        <v>9109</v>
      </c>
      <c r="D1825" s="196" t="s">
        <v>2818</v>
      </c>
      <c r="E1825" s="196" t="s">
        <v>2157</v>
      </c>
      <c r="F1825" s="196">
        <v>1998</v>
      </c>
      <c r="G1825" s="196"/>
      <c r="H1825" s="196" t="s">
        <v>1878</v>
      </c>
      <c r="I1825" s="141" t="s">
        <v>7527</v>
      </c>
      <c r="J1825" s="196"/>
      <c r="K1825" s="196" t="s">
        <v>1881</v>
      </c>
      <c r="L1825" s="240" t="s">
        <v>9110</v>
      </c>
      <c r="M1825" s="196">
        <v>206</v>
      </c>
      <c r="N1825" s="196"/>
      <c r="O1825" s="196" t="s">
        <v>6923</v>
      </c>
      <c r="P1825" s="144">
        <v>179</v>
      </c>
      <c r="Q1825" s="145">
        <v>1.8472319999999998</v>
      </c>
      <c r="R1825" s="203">
        <v>1.2</v>
      </c>
      <c r="S1825" s="203">
        <v>1.7</v>
      </c>
      <c r="T1825" s="151">
        <v>0.13</v>
      </c>
      <c r="U1825" s="151" t="s">
        <v>9027</v>
      </c>
      <c r="V1825" s="151">
        <v>0.33999999999999997</v>
      </c>
      <c r="W1825" s="151">
        <v>0.35</v>
      </c>
      <c r="X1825" s="152">
        <v>0.19039999999999999</v>
      </c>
      <c r="Y1825" s="152">
        <v>1.7</v>
      </c>
      <c r="Z1825" s="152">
        <v>2.9103999999999997</v>
      </c>
      <c r="AA1825" s="153"/>
      <c r="AB1825" s="153"/>
      <c r="AC1825" s="153"/>
      <c r="AD1825" s="153"/>
      <c r="AH1825" s="147"/>
    </row>
    <row r="1826" spans="1:34" s="146" customFormat="1" x14ac:dyDescent="0.25">
      <c r="A1826" s="196">
        <v>632</v>
      </c>
      <c r="B1826" s="196" t="s">
        <v>9111</v>
      </c>
      <c r="C1826" s="196" t="s">
        <v>9112</v>
      </c>
      <c r="D1826" s="196" t="s">
        <v>2368</v>
      </c>
      <c r="E1826" s="196"/>
      <c r="F1826" s="196">
        <v>2017</v>
      </c>
      <c r="G1826" s="196"/>
      <c r="H1826" s="196" t="s">
        <v>2734</v>
      </c>
      <c r="I1826" s="141" t="s">
        <v>7817</v>
      </c>
      <c r="J1826" s="196"/>
      <c r="K1826" s="196" t="s">
        <v>1881</v>
      </c>
      <c r="L1826" s="240" t="s">
        <v>9113</v>
      </c>
      <c r="M1826" s="196">
        <v>762</v>
      </c>
      <c r="N1826" s="196"/>
      <c r="O1826" s="196" t="s">
        <v>6924</v>
      </c>
      <c r="P1826" s="144">
        <v>866</v>
      </c>
      <c r="Q1826" s="145">
        <v>8.3699999999999992</v>
      </c>
      <c r="R1826" s="203">
        <v>1.7</v>
      </c>
      <c r="S1826" s="203">
        <v>9.4499999999999993</v>
      </c>
      <c r="T1826" s="151">
        <v>0.13</v>
      </c>
      <c r="U1826" s="151" t="s">
        <v>9059</v>
      </c>
      <c r="V1826" s="151">
        <v>0.33999999999999997</v>
      </c>
      <c r="W1826" s="151">
        <v>0.35</v>
      </c>
      <c r="X1826" s="152">
        <v>0.2114</v>
      </c>
      <c r="Y1826" s="152">
        <v>9.4499999999999993</v>
      </c>
      <c r="Z1826" s="152">
        <v>3.2313999999999998</v>
      </c>
      <c r="AA1826" s="153"/>
      <c r="AB1826" s="153"/>
      <c r="AC1826" s="153"/>
      <c r="AD1826" s="153"/>
      <c r="AH1826" s="147"/>
    </row>
    <row r="1827" spans="1:34" s="146" customFormat="1" x14ac:dyDescent="0.25">
      <c r="A1827" s="196">
        <v>632</v>
      </c>
      <c r="B1827" s="196" t="s">
        <v>3059</v>
      </c>
      <c r="C1827" s="196" t="s">
        <v>9114</v>
      </c>
      <c r="D1827" s="196" t="s">
        <v>2822</v>
      </c>
      <c r="E1827" s="196"/>
      <c r="F1827" s="196"/>
      <c r="G1827" s="196"/>
      <c r="H1827" s="196" t="s">
        <v>2734</v>
      </c>
      <c r="I1827" s="141" t="s">
        <v>7817</v>
      </c>
      <c r="J1827" s="196"/>
      <c r="K1827" s="196" t="s">
        <v>1881</v>
      </c>
      <c r="L1827" s="240" t="s">
        <v>9115</v>
      </c>
      <c r="M1827" s="196">
        <v>796</v>
      </c>
      <c r="N1827" s="196"/>
      <c r="O1827" s="196" t="s">
        <v>6925</v>
      </c>
      <c r="P1827" s="144">
        <v>937</v>
      </c>
      <c r="Q1827" s="145">
        <v>3.1319999999999992</v>
      </c>
      <c r="R1827" s="203">
        <v>1.7</v>
      </c>
      <c r="S1827" s="203">
        <v>4.5999999999999996</v>
      </c>
      <c r="T1827" s="151">
        <v>0.13</v>
      </c>
      <c r="U1827" s="151" t="s">
        <v>9059</v>
      </c>
      <c r="V1827" s="151">
        <v>0.33999999999999997</v>
      </c>
      <c r="W1827" s="151">
        <v>0.35</v>
      </c>
      <c r="X1827" s="152">
        <v>0.2114</v>
      </c>
      <c r="Y1827" s="152">
        <v>4.5999999999999996</v>
      </c>
      <c r="Z1827" s="152">
        <v>3.2313999999999998</v>
      </c>
      <c r="AA1827" s="153"/>
      <c r="AB1827" s="153"/>
      <c r="AC1827" s="153"/>
      <c r="AD1827" s="153"/>
      <c r="AH1827" s="147"/>
    </row>
    <row r="1828" spans="1:34" s="146" customFormat="1" x14ac:dyDescent="0.25">
      <c r="A1828" s="196">
        <v>2522</v>
      </c>
      <c r="B1828" s="196" t="s">
        <v>2191</v>
      </c>
      <c r="C1828" s="196" t="s">
        <v>9116</v>
      </c>
      <c r="D1828" s="196" t="s">
        <v>1912</v>
      </c>
      <c r="E1828" s="196" t="s">
        <v>1877</v>
      </c>
      <c r="F1828" s="196">
        <v>2010</v>
      </c>
      <c r="G1828" s="196"/>
      <c r="H1828" s="196" t="s">
        <v>2734</v>
      </c>
      <c r="I1828" s="141" t="s">
        <v>1929</v>
      </c>
      <c r="J1828" s="196"/>
      <c r="K1828" s="196" t="s">
        <v>1881</v>
      </c>
      <c r="L1828" s="240" t="s">
        <v>9117</v>
      </c>
      <c r="M1828" s="196">
        <v>413</v>
      </c>
      <c r="N1828" s="196"/>
      <c r="O1828" s="196" t="s">
        <v>6926</v>
      </c>
      <c r="P1828" s="144">
        <v>599</v>
      </c>
      <c r="Q1828" s="145">
        <v>1.653912</v>
      </c>
      <c r="R1828" s="203">
        <v>1.7</v>
      </c>
      <c r="S1828" s="203">
        <v>2.5</v>
      </c>
      <c r="T1828" s="151">
        <v>0.13</v>
      </c>
      <c r="U1828" s="151" t="s">
        <v>9059</v>
      </c>
      <c r="V1828" s="151">
        <v>0.33999999999999997</v>
      </c>
      <c r="W1828" s="151">
        <v>0.35</v>
      </c>
      <c r="X1828" s="152">
        <v>0.2114</v>
      </c>
      <c r="Y1828" s="152">
        <v>2.5</v>
      </c>
      <c r="Z1828" s="152">
        <v>3.2313999999999998</v>
      </c>
      <c r="AA1828" s="153"/>
      <c r="AB1828" s="153"/>
      <c r="AC1828" s="153"/>
      <c r="AD1828" s="153"/>
      <c r="AH1828" s="147"/>
    </row>
    <row r="1829" spans="1:34" s="146" customFormat="1" x14ac:dyDescent="0.25">
      <c r="A1829" s="196">
        <v>1386</v>
      </c>
      <c r="B1829" s="196" t="s">
        <v>3901</v>
      </c>
      <c r="C1829" s="196" t="s">
        <v>9118</v>
      </c>
      <c r="D1829" s="196" t="s">
        <v>9119</v>
      </c>
      <c r="E1829" s="196" t="s">
        <v>2412</v>
      </c>
      <c r="F1829" s="196">
        <v>2012</v>
      </c>
      <c r="G1829" s="196"/>
      <c r="H1829" s="196" t="s">
        <v>1878</v>
      </c>
      <c r="I1829" s="141" t="s">
        <v>1879</v>
      </c>
      <c r="J1829" s="196"/>
      <c r="K1829" s="196" t="s">
        <v>1881</v>
      </c>
      <c r="L1829" s="240" t="s">
        <v>3903</v>
      </c>
      <c r="M1829" s="196">
        <v>490</v>
      </c>
      <c r="N1829" s="196"/>
      <c r="O1829" s="196" t="s">
        <v>6927</v>
      </c>
      <c r="P1829" s="144">
        <v>382</v>
      </c>
      <c r="Q1829" s="145">
        <v>1.8472319999999998</v>
      </c>
      <c r="R1829" s="203">
        <v>1.2</v>
      </c>
      <c r="S1829" s="203">
        <v>2.6</v>
      </c>
      <c r="T1829" s="151">
        <v>0.13</v>
      </c>
      <c r="U1829" s="151" t="s">
        <v>9027</v>
      </c>
      <c r="V1829" s="151">
        <v>0.33999999999999997</v>
      </c>
      <c r="W1829" s="151">
        <v>0.35</v>
      </c>
      <c r="X1829" s="152">
        <v>0.19039999999999999</v>
      </c>
      <c r="Y1829" s="152">
        <v>2.6</v>
      </c>
      <c r="Z1829" s="152">
        <v>2.9103999999999997</v>
      </c>
      <c r="AA1829" s="153"/>
      <c r="AB1829" s="153"/>
      <c r="AC1829" s="153"/>
      <c r="AD1829" s="153"/>
      <c r="AH1829" s="147"/>
    </row>
    <row r="1830" spans="1:34" s="146" customFormat="1" x14ac:dyDescent="0.25">
      <c r="A1830" s="196">
        <v>1386</v>
      </c>
      <c r="B1830" s="196" t="s">
        <v>9120</v>
      </c>
      <c r="C1830" s="196" t="s">
        <v>9121</v>
      </c>
      <c r="D1830" s="196" t="s">
        <v>3077</v>
      </c>
      <c r="E1830" s="196" t="s">
        <v>1877</v>
      </c>
      <c r="F1830" s="196">
        <v>2009</v>
      </c>
      <c r="G1830" s="196"/>
      <c r="H1830" s="196" t="s">
        <v>1878</v>
      </c>
      <c r="I1830" s="141" t="s">
        <v>1929</v>
      </c>
      <c r="J1830" s="196"/>
      <c r="K1830" s="196" t="s">
        <v>1881</v>
      </c>
      <c r="L1830" s="240" t="s">
        <v>9122</v>
      </c>
      <c r="M1830" s="196">
        <v>509</v>
      </c>
      <c r="N1830" s="196"/>
      <c r="O1830" s="196" t="s">
        <v>6928</v>
      </c>
      <c r="P1830" s="144">
        <v>389</v>
      </c>
      <c r="Q1830" s="145">
        <v>1.8472319999999998</v>
      </c>
      <c r="R1830" s="203">
        <v>1.2</v>
      </c>
      <c r="S1830" s="203">
        <v>1.75</v>
      </c>
      <c r="T1830" s="151">
        <v>0.13</v>
      </c>
      <c r="U1830" s="151" t="s">
        <v>9027</v>
      </c>
      <c r="V1830" s="151">
        <v>0.33999999999999997</v>
      </c>
      <c r="W1830" s="151">
        <v>0.35</v>
      </c>
      <c r="X1830" s="152">
        <v>0.19039999999999999</v>
      </c>
      <c r="Y1830" s="152">
        <v>1.75</v>
      </c>
      <c r="Z1830" s="152">
        <v>2.9103999999999997</v>
      </c>
      <c r="AA1830" s="153"/>
      <c r="AB1830" s="153"/>
      <c r="AC1830" s="153"/>
      <c r="AD1830" s="153"/>
      <c r="AH1830" s="147"/>
    </row>
    <row r="1831" spans="1:34" s="146" customFormat="1" x14ac:dyDescent="0.25">
      <c r="A1831" s="196">
        <v>689</v>
      </c>
      <c r="B1831" s="196" t="s">
        <v>2470</v>
      </c>
      <c r="C1831" s="196" t="s">
        <v>9123</v>
      </c>
      <c r="D1831" s="196" t="s">
        <v>2309</v>
      </c>
      <c r="E1831" s="196" t="s">
        <v>1913</v>
      </c>
      <c r="F1831" s="196">
        <v>2009</v>
      </c>
      <c r="G1831" s="196"/>
      <c r="H1831" s="196" t="s">
        <v>1878</v>
      </c>
      <c r="I1831" s="141" t="s">
        <v>1879</v>
      </c>
      <c r="J1831" s="196"/>
      <c r="K1831" s="196" t="s">
        <v>1881</v>
      </c>
      <c r="L1831" s="240" t="s">
        <v>9124</v>
      </c>
      <c r="M1831" s="196">
        <v>703</v>
      </c>
      <c r="N1831" s="196"/>
      <c r="O1831" s="196" t="s">
        <v>6929</v>
      </c>
      <c r="P1831" s="144">
        <v>496</v>
      </c>
      <c r="Q1831" s="145">
        <v>1.8472319999999998</v>
      </c>
      <c r="R1831" s="203">
        <v>1.2</v>
      </c>
      <c r="S1831" s="203">
        <v>2.3899999999999997</v>
      </c>
      <c r="T1831" s="151">
        <v>0.13</v>
      </c>
      <c r="U1831" s="151" t="s">
        <v>9027</v>
      </c>
      <c r="V1831" s="151">
        <v>0.33999999999999997</v>
      </c>
      <c r="W1831" s="151">
        <v>0.35</v>
      </c>
      <c r="X1831" s="152">
        <v>0.19039999999999999</v>
      </c>
      <c r="Y1831" s="152">
        <v>2.3899999999999997</v>
      </c>
      <c r="Z1831" s="152">
        <v>2.9103999999999997</v>
      </c>
      <c r="AA1831" s="153"/>
      <c r="AB1831" s="153"/>
      <c r="AC1831" s="153"/>
      <c r="AD1831" s="153"/>
      <c r="AH1831" s="147"/>
    </row>
    <row r="1832" spans="1:34" s="146" customFormat="1" x14ac:dyDescent="0.25">
      <c r="A1832" s="196">
        <v>1385</v>
      </c>
      <c r="B1832" s="196"/>
      <c r="C1832" s="196" t="s">
        <v>9125</v>
      </c>
      <c r="D1832" s="196" t="s">
        <v>5930</v>
      </c>
      <c r="E1832" s="196"/>
      <c r="F1832" s="196">
        <v>2004</v>
      </c>
      <c r="G1832" s="196"/>
      <c r="H1832" s="196" t="s">
        <v>2734</v>
      </c>
      <c r="I1832" s="141" t="s">
        <v>7817</v>
      </c>
      <c r="J1832" s="196"/>
      <c r="K1832" s="196" t="s">
        <v>1881</v>
      </c>
      <c r="L1832" s="240" t="s">
        <v>9126</v>
      </c>
      <c r="M1832" s="196">
        <v>160</v>
      </c>
      <c r="N1832" s="196"/>
      <c r="O1832" s="196" t="s">
        <v>6930</v>
      </c>
      <c r="P1832" s="144">
        <v>388</v>
      </c>
      <c r="Q1832" s="145">
        <v>2.2679999999999998</v>
      </c>
      <c r="R1832" s="203">
        <v>1.2</v>
      </c>
      <c r="S1832" s="203">
        <v>3.3</v>
      </c>
      <c r="T1832" s="151">
        <v>0.13</v>
      </c>
      <c r="U1832" s="151" t="s">
        <v>9027</v>
      </c>
      <c r="V1832" s="151">
        <v>0.33999999999999997</v>
      </c>
      <c r="W1832" s="151">
        <v>0.35</v>
      </c>
      <c r="X1832" s="152">
        <v>0.19039999999999999</v>
      </c>
      <c r="Y1832" s="152">
        <v>3.3</v>
      </c>
      <c r="Z1832" s="152">
        <v>2.9103999999999997</v>
      </c>
      <c r="AA1832" s="153"/>
      <c r="AB1832" s="153"/>
      <c r="AC1832" s="153"/>
      <c r="AD1832" s="153"/>
      <c r="AH1832" s="147"/>
    </row>
    <row r="1833" spans="1:34" s="146" customFormat="1" x14ac:dyDescent="0.25">
      <c r="A1833" s="196">
        <v>689</v>
      </c>
      <c r="B1833" s="196" t="s">
        <v>9130</v>
      </c>
      <c r="C1833" s="196" t="s">
        <v>9131</v>
      </c>
      <c r="D1833" s="196" t="s">
        <v>807</v>
      </c>
      <c r="E1833" s="196"/>
      <c r="F1833" s="196">
        <v>2012</v>
      </c>
      <c r="G1833" s="196"/>
      <c r="H1833" s="196" t="s">
        <v>1878</v>
      </c>
      <c r="I1833" s="141" t="s">
        <v>1929</v>
      </c>
      <c r="J1833" s="196"/>
      <c r="K1833" s="196" t="s">
        <v>1881</v>
      </c>
      <c r="L1833" s="240" t="s">
        <v>9132</v>
      </c>
      <c r="M1833" s="196">
        <v>444</v>
      </c>
      <c r="N1833" s="196"/>
      <c r="O1833" s="196" t="s">
        <v>6932</v>
      </c>
      <c r="P1833" s="144">
        <v>428</v>
      </c>
      <c r="Q1833" s="145">
        <v>2.3760000000000003</v>
      </c>
      <c r="R1833" s="203">
        <v>1.2</v>
      </c>
      <c r="S1833" s="203">
        <v>3.4</v>
      </c>
      <c r="T1833" s="151">
        <v>0.13</v>
      </c>
      <c r="U1833" s="151" t="s">
        <v>9027</v>
      </c>
      <c r="V1833" s="151">
        <v>0.33999999999999997</v>
      </c>
      <c r="W1833" s="151">
        <v>0.35</v>
      </c>
      <c r="X1833" s="152">
        <v>0.19039999999999999</v>
      </c>
      <c r="Y1833" s="152">
        <v>3.4</v>
      </c>
      <c r="Z1833" s="152">
        <v>2.9103999999999997</v>
      </c>
      <c r="AA1833" s="153"/>
      <c r="AB1833" s="153"/>
      <c r="AC1833" s="153"/>
      <c r="AD1833" s="153"/>
      <c r="AH1833" s="147"/>
    </row>
    <row r="1834" spans="1:34" s="146" customFormat="1" x14ac:dyDescent="0.25">
      <c r="A1834" s="196">
        <v>1385</v>
      </c>
      <c r="B1834" s="196" t="s">
        <v>9133</v>
      </c>
      <c r="C1834" s="196" t="s">
        <v>9134</v>
      </c>
      <c r="D1834" s="196" t="s">
        <v>5926</v>
      </c>
      <c r="E1834" s="196"/>
      <c r="F1834" s="196">
        <v>2001</v>
      </c>
      <c r="G1834" s="196"/>
      <c r="H1834" s="196" t="s">
        <v>1878</v>
      </c>
      <c r="I1834" s="141" t="s">
        <v>7817</v>
      </c>
      <c r="J1834" s="196"/>
      <c r="K1834" s="196" t="s">
        <v>1881</v>
      </c>
      <c r="L1834" s="240" t="s">
        <v>9135</v>
      </c>
      <c r="M1834" s="196">
        <v>223</v>
      </c>
      <c r="N1834" s="196"/>
      <c r="O1834" s="196" t="s">
        <v>6933</v>
      </c>
      <c r="P1834" s="144">
        <v>221</v>
      </c>
      <c r="Q1834" s="145">
        <v>1.8472319999999998</v>
      </c>
      <c r="R1834" s="203">
        <v>1.2</v>
      </c>
      <c r="S1834" s="203">
        <v>1.8</v>
      </c>
      <c r="T1834" s="151">
        <v>0.13</v>
      </c>
      <c r="U1834" s="151" t="s">
        <v>9027</v>
      </c>
      <c r="V1834" s="151">
        <v>0.33999999999999997</v>
      </c>
      <c r="W1834" s="151">
        <v>0.35</v>
      </c>
      <c r="X1834" s="152">
        <v>0.19039999999999999</v>
      </c>
      <c r="Y1834" s="152">
        <v>1.8</v>
      </c>
      <c r="Z1834" s="152">
        <v>2.9103999999999997</v>
      </c>
      <c r="AA1834" s="153"/>
      <c r="AB1834" s="153"/>
      <c r="AC1834" s="153"/>
      <c r="AD1834" s="153"/>
      <c r="AH1834" s="147"/>
    </row>
    <row r="1835" spans="1:34" s="146" customFormat="1" x14ac:dyDescent="0.25">
      <c r="A1835" s="196">
        <v>689</v>
      </c>
      <c r="B1835" s="196" t="s">
        <v>9136</v>
      </c>
      <c r="C1835" s="196" t="s">
        <v>9137</v>
      </c>
      <c r="D1835" s="196" t="s">
        <v>9138</v>
      </c>
      <c r="E1835" s="196"/>
      <c r="F1835" s="196">
        <v>2007</v>
      </c>
      <c r="G1835" s="196"/>
      <c r="H1835" s="196" t="s">
        <v>2734</v>
      </c>
      <c r="I1835" s="141" t="s">
        <v>1929</v>
      </c>
      <c r="J1835" s="196"/>
      <c r="K1835" s="196" t="s">
        <v>1881</v>
      </c>
      <c r="L1835" s="240" t="s">
        <v>9139</v>
      </c>
      <c r="M1835" s="196">
        <v>462</v>
      </c>
      <c r="N1835" s="196"/>
      <c r="O1835" s="196" t="s">
        <v>6934</v>
      </c>
      <c r="P1835" s="144">
        <v>626</v>
      </c>
      <c r="Q1835" s="145">
        <f t="shared" ref="Q1835:Q1895" si="126">IF(Y1835&gt;Z1835,Y1835,Z1835)-R1835</f>
        <v>1.5313999999999999</v>
      </c>
      <c r="R1835" s="203">
        <v>1.7</v>
      </c>
      <c r="S1835" s="203">
        <v>2.2000000000000002</v>
      </c>
      <c r="T1835" s="151">
        <v>0.13</v>
      </c>
      <c r="U1835" s="151" t="s">
        <v>9059</v>
      </c>
      <c r="V1835" s="151">
        <v>0.33999999999999997</v>
      </c>
      <c r="W1835" s="151">
        <v>0.35</v>
      </c>
      <c r="X1835" s="152">
        <v>0.2114</v>
      </c>
      <c r="Y1835" s="152">
        <f t="shared" ref="Y1835:Y1846" si="127">S1835</f>
        <v>2.2000000000000002</v>
      </c>
      <c r="Z1835" s="152">
        <v>3.2313999999999998</v>
      </c>
      <c r="AA1835" s="153"/>
      <c r="AB1835" s="153"/>
      <c r="AC1835" s="153"/>
      <c r="AD1835" s="153"/>
      <c r="AH1835" s="147"/>
    </row>
    <row r="1836" spans="1:34" s="146" customFormat="1" x14ac:dyDescent="0.25">
      <c r="A1836" s="196">
        <v>689</v>
      </c>
      <c r="B1836" s="196" t="s">
        <v>9136</v>
      </c>
      <c r="C1836" s="196" t="s">
        <v>9140</v>
      </c>
      <c r="D1836" s="196" t="s">
        <v>9138</v>
      </c>
      <c r="E1836" s="196" t="s">
        <v>1877</v>
      </c>
      <c r="F1836" s="196">
        <v>2011</v>
      </c>
      <c r="G1836" s="196"/>
      <c r="H1836" s="196" t="s">
        <v>2734</v>
      </c>
      <c r="I1836" s="141" t="s">
        <v>7817</v>
      </c>
      <c r="J1836" s="196"/>
      <c r="K1836" s="196" t="s">
        <v>1881</v>
      </c>
      <c r="L1836" s="240" t="s">
        <v>9141</v>
      </c>
      <c r="M1836" s="196">
        <v>508</v>
      </c>
      <c r="N1836" s="196"/>
      <c r="O1836" s="196" t="s">
        <v>6935</v>
      </c>
      <c r="P1836" s="144">
        <v>688</v>
      </c>
      <c r="Q1836" s="145">
        <f t="shared" si="126"/>
        <v>1.5313999999999999</v>
      </c>
      <c r="R1836" s="203">
        <v>1.7</v>
      </c>
      <c r="S1836" s="203">
        <v>2.38</v>
      </c>
      <c r="T1836" s="151">
        <v>0.13</v>
      </c>
      <c r="U1836" s="151" t="s">
        <v>9059</v>
      </c>
      <c r="V1836" s="151">
        <v>0.33999999999999997</v>
      </c>
      <c r="W1836" s="151">
        <v>0.35</v>
      </c>
      <c r="X1836" s="152">
        <v>0.2114</v>
      </c>
      <c r="Y1836" s="152">
        <f t="shared" si="127"/>
        <v>2.38</v>
      </c>
      <c r="Z1836" s="152">
        <v>3.2313999999999998</v>
      </c>
      <c r="AA1836" s="153"/>
      <c r="AB1836" s="153"/>
      <c r="AC1836" s="153"/>
      <c r="AD1836" s="153"/>
      <c r="AH1836" s="147"/>
    </row>
    <row r="1837" spans="1:34" s="146" customFormat="1" x14ac:dyDescent="0.25">
      <c r="A1837" s="196">
        <v>689</v>
      </c>
      <c r="B1837" s="196" t="s">
        <v>9136</v>
      </c>
      <c r="C1837" s="196" t="s">
        <v>9142</v>
      </c>
      <c r="D1837" s="196" t="s">
        <v>9138</v>
      </c>
      <c r="E1837" s="196"/>
      <c r="F1837" s="196">
        <v>2008</v>
      </c>
      <c r="G1837" s="196"/>
      <c r="H1837" s="196" t="s">
        <v>2734</v>
      </c>
      <c r="I1837" s="141" t="s">
        <v>1929</v>
      </c>
      <c r="J1837" s="196"/>
      <c r="K1837" s="196" t="s">
        <v>1881</v>
      </c>
      <c r="L1837" s="240" t="s">
        <v>9143</v>
      </c>
      <c r="M1837" s="196">
        <v>442</v>
      </c>
      <c r="N1837" s="196"/>
      <c r="O1837" s="196" t="s">
        <v>6936</v>
      </c>
      <c r="P1837" s="144">
        <v>616</v>
      </c>
      <c r="Q1837" s="145">
        <f t="shared" si="126"/>
        <v>1.5313999999999999</v>
      </c>
      <c r="R1837" s="203">
        <v>1.7</v>
      </c>
      <c r="S1837" s="203">
        <v>2.2200000000000002</v>
      </c>
      <c r="T1837" s="151">
        <v>0.13</v>
      </c>
      <c r="U1837" s="151" t="s">
        <v>9059</v>
      </c>
      <c r="V1837" s="151">
        <v>0.33999999999999997</v>
      </c>
      <c r="W1837" s="151">
        <v>0.35</v>
      </c>
      <c r="X1837" s="152">
        <v>0.2114</v>
      </c>
      <c r="Y1837" s="152">
        <f t="shared" si="127"/>
        <v>2.2200000000000002</v>
      </c>
      <c r="Z1837" s="152">
        <v>3.2313999999999998</v>
      </c>
      <c r="AA1837" s="153"/>
      <c r="AB1837" s="153"/>
      <c r="AC1837" s="153"/>
      <c r="AD1837" s="153"/>
      <c r="AH1837" s="147"/>
    </row>
    <row r="1839" spans="1:34" s="146" customFormat="1" x14ac:dyDescent="0.25">
      <c r="A1839" s="196">
        <v>689</v>
      </c>
      <c r="B1839" s="196" t="s">
        <v>9136</v>
      </c>
      <c r="C1839" s="196" t="s">
        <v>9146</v>
      </c>
      <c r="D1839" s="196" t="s">
        <v>9138</v>
      </c>
      <c r="E1839" s="196"/>
      <c r="F1839" s="196">
        <v>2009</v>
      </c>
      <c r="G1839" s="196"/>
      <c r="H1839" s="196" t="s">
        <v>2734</v>
      </c>
      <c r="I1839" s="141" t="s">
        <v>1929</v>
      </c>
      <c r="J1839" s="196"/>
      <c r="K1839" s="196" t="s">
        <v>1881</v>
      </c>
      <c r="L1839" s="240" t="s">
        <v>9147</v>
      </c>
      <c r="M1839" s="196">
        <v>574</v>
      </c>
      <c r="N1839" s="196"/>
      <c r="O1839" s="196" t="s">
        <v>6938</v>
      </c>
      <c r="P1839" s="144">
        <v>767</v>
      </c>
      <c r="Q1839" s="145">
        <f t="shared" si="126"/>
        <v>1.5313999999999999</v>
      </c>
      <c r="R1839" s="203">
        <v>1.7</v>
      </c>
      <c r="S1839" s="203">
        <v>2.5</v>
      </c>
      <c r="T1839" s="151">
        <v>0.13</v>
      </c>
      <c r="U1839" s="151" t="s">
        <v>9059</v>
      </c>
      <c r="V1839" s="151">
        <v>0.33999999999999997</v>
      </c>
      <c r="W1839" s="151">
        <v>0.35</v>
      </c>
      <c r="X1839" s="152">
        <v>0.2114</v>
      </c>
      <c r="Y1839" s="152">
        <f t="shared" si="127"/>
        <v>2.5</v>
      </c>
      <c r="Z1839" s="152">
        <v>3.2313999999999998</v>
      </c>
      <c r="AA1839" s="153"/>
      <c r="AB1839" s="153"/>
      <c r="AC1839" s="153"/>
      <c r="AD1839" s="153"/>
      <c r="AH1839" s="147"/>
    </row>
    <row r="1840" spans="1:34" s="146" customFormat="1" x14ac:dyDescent="0.25">
      <c r="A1840" s="196">
        <v>689</v>
      </c>
      <c r="B1840" s="196" t="s">
        <v>9136</v>
      </c>
      <c r="C1840" s="196" t="s">
        <v>9148</v>
      </c>
      <c r="D1840" s="196" t="s">
        <v>9138</v>
      </c>
      <c r="E1840" s="196"/>
      <c r="F1840" s="196">
        <v>2009</v>
      </c>
      <c r="G1840" s="196"/>
      <c r="H1840" s="196" t="s">
        <v>2734</v>
      </c>
      <c r="I1840" s="141" t="s">
        <v>1929</v>
      </c>
      <c r="J1840" s="196"/>
      <c r="K1840" s="196" t="s">
        <v>1881</v>
      </c>
      <c r="L1840" s="240" t="s">
        <v>9149</v>
      </c>
      <c r="M1840" s="196">
        <v>597</v>
      </c>
      <c r="N1840" s="196"/>
      <c r="O1840" s="196" t="s">
        <v>6939</v>
      </c>
      <c r="P1840" s="144">
        <v>796</v>
      </c>
      <c r="Q1840" s="145">
        <f t="shared" si="126"/>
        <v>1.5313999999999999</v>
      </c>
      <c r="R1840" s="203">
        <v>1.7</v>
      </c>
      <c r="S1840" s="203">
        <v>2.77</v>
      </c>
      <c r="T1840" s="151">
        <v>0.13</v>
      </c>
      <c r="U1840" s="151" t="s">
        <v>9059</v>
      </c>
      <c r="V1840" s="151">
        <v>0.33999999999999997</v>
      </c>
      <c r="W1840" s="151">
        <v>0.35</v>
      </c>
      <c r="X1840" s="152">
        <v>0.2114</v>
      </c>
      <c r="Y1840" s="152">
        <f t="shared" si="127"/>
        <v>2.77</v>
      </c>
      <c r="Z1840" s="152">
        <v>3.2313999999999998</v>
      </c>
      <c r="AA1840" s="153"/>
      <c r="AB1840" s="153"/>
      <c r="AC1840" s="153"/>
      <c r="AD1840" s="153"/>
      <c r="AH1840" s="147"/>
    </row>
    <row r="1841" spans="1:34" s="146" customFormat="1" x14ac:dyDescent="0.25">
      <c r="A1841" s="196">
        <v>689</v>
      </c>
      <c r="B1841" s="196" t="s">
        <v>9136</v>
      </c>
      <c r="C1841" s="196" t="s">
        <v>9150</v>
      </c>
      <c r="D1841" s="196" t="s">
        <v>9138</v>
      </c>
      <c r="E1841" s="196"/>
      <c r="F1841" s="196">
        <v>2010</v>
      </c>
      <c r="G1841" s="196"/>
      <c r="H1841" s="196" t="s">
        <v>2734</v>
      </c>
      <c r="I1841" s="141" t="s">
        <v>1929</v>
      </c>
      <c r="J1841" s="196"/>
      <c r="K1841" s="196" t="s">
        <v>1881</v>
      </c>
      <c r="L1841" s="240" t="s">
        <v>9151</v>
      </c>
      <c r="M1841" s="196">
        <v>593</v>
      </c>
      <c r="N1841" s="196"/>
      <c r="O1841" s="196" t="s">
        <v>6940</v>
      </c>
      <c r="P1841" s="144">
        <v>726</v>
      </c>
      <c r="Q1841" s="145">
        <f t="shared" si="126"/>
        <v>1.5313999999999999</v>
      </c>
      <c r="R1841" s="203">
        <v>1.7</v>
      </c>
      <c r="S1841" s="203">
        <v>2.9</v>
      </c>
      <c r="T1841" s="151">
        <v>0.13</v>
      </c>
      <c r="U1841" s="151" t="s">
        <v>9059</v>
      </c>
      <c r="V1841" s="151">
        <v>0.33999999999999997</v>
      </c>
      <c r="W1841" s="151">
        <v>0.35</v>
      </c>
      <c r="X1841" s="152">
        <v>0.2114</v>
      </c>
      <c r="Y1841" s="152">
        <f t="shared" si="127"/>
        <v>2.9</v>
      </c>
      <c r="Z1841" s="152">
        <v>3.2313999999999998</v>
      </c>
      <c r="AA1841" s="153"/>
      <c r="AB1841" s="153"/>
      <c r="AC1841" s="153"/>
      <c r="AD1841" s="153"/>
      <c r="AH1841" s="147"/>
    </row>
    <row r="1842" spans="1:34" s="146" customFormat="1" x14ac:dyDescent="0.25">
      <c r="A1842" s="196">
        <v>2515</v>
      </c>
      <c r="B1842" s="196" t="s">
        <v>9154</v>
      </c>
      <c r="C1842" s="196" t="s">
        <v>9155</v>
      </c>
      <c r="D1842" s="196" t="s">
        <v>9156</v>
      </c>
      <c r="E1842" s="196"/>
      <c r="F1842" s="196"/>
      <c r="G1842" s="196"/>
      <c r="H1842" s="196" t="s">
        <v>2734</v>
      </c>
      <c r="I1842" s="141" t="s">
        <v>1929</v>
      </c>
      <c r="J1842" s="196"/>
      <c r="K1842" s="196" t="s">
        <v>1881</v>
      </c>
      <c r="L1842" s="240" t="s">
        <v>9157</v>
      </c>
      <c r="M1842" s="196">
        <v>640</v>
      </c>
      <c r="N1842" s="196"/>
      <c r="O1842" s="196" t="s">
        <v>6942</v>
      </c>
      <c r="P1842" s="144">
        <v>1152</v>
      </c>
      <c r="Q1842" s="145">
        <f t="shared" si="126"/>
        <v>2.3099999999999996</v>
      </c>
      <c r="R1842" s="203">
        <v>3.49</v>
      </c>
      <c r="S1842" s="203">
        <v>5.8</v>
      </c>
      <c r="T1842" s="151">
        <v>0.13</v>
      </c>
      <c r="U1842" s="243">
        <v>3.49</v>
      </c>
      <c r="V1842" s="151">
        <v>0.33999999999999997</v>
      </c>
      <c r="W1842" s="151">
        <v>0.35</v>
      </c>
      <c r="X1842" s="152">
        <v>0.2114</v>
      </c>
      <c r="Y1842" s="152">
        <f t="shared" si="127"/>
        <v>5.8</v>
      </c>
      <c r="Z1842" s="152">
        <v>3.2313999999999998</v>
      </c>
      <c r="AA1842" s="153"/>
      <c r="AB1842" s="153"/>
      <c r="AC1842" s="153"/>
      <c r="AD1842" s="153"/>
      <c r="AH1842" s="147"/>
    </row>
    <row r="1843" spans="1:34" s="146" customFormat="1" x14ac:dyDescent="0.25">
      <c r="A1843" s="196">
        <v>302</v>
      </c>
      <c r="B1843" s="196" t="s">
        <v>9158</v>
      </c>
      <c r="C1843" s="196" t="s">
        <v>9159</v>
      </c>
      <c r="D1843" s="196" t="s">
        <v>9160</v>
      </c>
      <c r="E1843" s="196"/>
      <c r="F1843" s="196">
        <v>1978</v>
      </c>
      <c r="G1843" s="196"/>
      <c r="H1843" s="196" t="s">
        <v>1878</v>
      </c>
      <c r="I1843" s="141" t="s">
        <v>1879</v>
      </c>
      <c r="J1843" s="196"/>
      <c r="K1843" s="196" t="s">
        <v>1881</v>
      </c>
      <c r="L1843" s="240" t="s">
        <v>9161</v>
      </c>
      <c r="M1843" s="196">
        <v>660</v>
      </c>
      <c r="N1843" s="196"/>
      <c r="O1843" s="196" t="s">
        <v>6943</v>
      </c>
      <c r="P1843" s="144">
        <v>488</v>
      </c>
      <c r="Q1843" s="145">
        <f t="shared" si="126"/>
        <v>4.74</v>
      </c>
      <c r="R1843" s="203">
        <v>1.2</v>
      </c>
      <c r="S1843" s="203">
        <v>5.94</v>
      </c>
      <c r="T1843" s="151">
        <v>0.13</v>
      </c>
      <c r="U1843" s="151" t="s">
        <v>9027</v>
      </c>
      <c r="V1843" s="151">
        <v>0.33999999999999997</v>
      </c>
      <c r="W1843" s="151">
        <v>0.35</v>
      </c>
      <c r="X1843" s="152">
        <v>0.19039999999999999</v>
      </c>
      <c r="Y1843" s="152">
        <f t="shared" si="127"/>
        <v>5.94</v>
      </c>
      <c r="Z1843" s="152">
        <v>2.9103999999999997</v>
      </c>
      <c r="AA1843" s="153"/>
      <c r="AB1843" s="153"/>
      <c r="AC1843" s="153"/>
      <c r="AD1843" s="153"/>
      <c r="AH1843" s="147"/>
    </row>
    <row r="1844" spans="1:34" s="146" customFormat="1" x14ac:dyDescent="0.25">
      <c r="A1844" s="196">
        <v>2518</v>
      </c>
      <c r="B1844" s="196" t="s">
        <v>9162</v>
      </c>
      <c r="C1844" s="196" t="s">
        <v>9163</v>
      </c>
      <c r="D1844" s="196" t="s">
        <v>2644</v>
      </c>
      <c r="E1844" s="196"/>
      <c r="F1844" s="196">
        <v>1987</v>
      </c>
      <c r="G1844" s="196"/>
      <c r="H1844" s="196" t="s">
        <v>1878</v>
      </c>
      <c r="I1844" s="141" t="s">
        <v>1879</v>
      </c>
      <c r="J1844" s="196"/>
      <c r="K1844" s="196" t="s">
        <v>1881</v>
      </c>
      <c r="L1844" s="240" t="s">
        <v>9164</v>
      </c>
      <c r="M1844" s="196">
        <v>346</v>
      </c>
      <c r="N1844" s="196"/>
      <c r="O1844" s="196" t="s">
        <v>6944</v>
      </c>
      <c r="P1844" s="144">
        <v>259</v>
      </c>
      <c r="Q1844" s="145">
        <f t="shared" si="126"/>
        <v>1.7103999999999997</v>
      </c>
      <c r="R1844" s="203">
        <v>1.2</v>
      </c>
      <c r="S1844" s="203">
        <v>1.55</v>
      </c>
      <c r="T1844" s="151">
        <v>0.13</v>
      </c>
      <c r="U1844" s="151" t="s">
        <v>9027</v>
      </c>
      <c r="V1844" s="151">
        <v>0.33999999999999997</v>
      </c>
      <c r="W1844" s="151">
        <v>0.35</v>
      </c>
      <c r="X1844" s="152">
        <v>0.19039999999999999</v>
      </c>
      <c r="Y1844" s="152">
        <f t="shared" si="127"/>
        <v>1.55</v>
      </c>
      <c r="Z1844" s="152">
        <v>2.9103999999999997</v>
      </c>
      <c r="AA1844" s="153"/>
      <c r="AB1844" s="153"/>
      <c r="AC1844" s="153"/>
      <c r="AD1844" s="153"/>
      <c r="AH1844" s="147"/>
    </row>
    <row r="1845" spans="1:34" s="146" customFormat="1" x14ac:dyDescent="0.25">
      <c r="A1845" s="196">
        <v>785</v>
      </c>
      <c r="B1845" s="196" t="s">
        <v>9165</v>
      </c>
      <c r="C1845" s="196" t="s">
        <v>9166</v>
      </c>
      <c r="D1845" s="196" t="s">
        <v>9167</v>
      </c>
      <c r="E1845" s="196"/>
      <c r="F1845" s="196"/>
      <c r="G1845" s="196"/>
      <c r="H1845" s="196" t="s">
        <v>2734</v>
      </c>
      <c r="I1845" s="141" t="s">
        <v>1929</v>
      </c>
      <c r="J1845" s="196"/>
      <c r="K1845" s="196" t="s">
        <v>1881</v>
      </c>
      <c r="L1845" s="240" t="s">
        <v>9168</v>
      </c>
      <c r="M1845" s="196">
        <v>176</v>
      </c>
      <c r="N1845" s="196"/>
      <c r="O1845" s="196" t="s">
        <v>6945</v>
      </c>
      <c r="P1845" s="144">
        <v>664</v>
      </c>
      <c r="Q1845" s="145">
        <f t="shared" si="126"/>
        <v>1.5313999999999999</v>
      </c>
      <c r="R1845" s="203">
        <v>1.7</v>
      </c>
      <c r="S1845" s="203">
        <v>3.2</v>
      </c>
      <c r="T1845" s="151">
        <v>0.13</v>
      </c>
      <c r="U1845" s="151" t="s">
        <v>9059</v>
      </c>
      <c r="V1845" s="151">
        <v>0.33999999999999997</v>
      </c>
      <c r="W1845" s="151">
        <v>0.35</v>
      </c>
      <c r="X1845" s="152">
        <v>0.2114</v>
      </c>
      <c r="Y1845" s="152">
        <f t="shared" si="127"/>
        <v>3.2</v>
      </c>
      <c r="Z1845" s="152">
        <v>3.2313999999999998</v>
      </c>
      <c r="AA1845" s="153"/>
      <c r="AB1845" s="153"/>
      <c r="AC1845" s="153"/>
      <c r="AD1845" s="153"/>
      <c r="AH1845" s="147"/>
    </row>
    <row r="1846" spans="1:34" s="146" customFormat="1" x14ac:dyDescent="0.25">
      <c r="A1846" s="196">
        <v>689</v>
      </c>
      <c r="B1846" s="196" t="s">
        <v>3808</v>
      </c>
      <c r="C1846" s="196" t="s">
        <v>9171</v>
      </c>
      <c r="D1846" s="196" t="s">
        <v>807</v>
      </c>
      <c r="E1846" s="196"/>
      <c r="F1846" s="196">
        <v>2014</v>
      </c>
      <c r="G1846" s="196"/>
      <c r="H1846" s="196" t="s">
        <v>1878</v>
      </c>
      <c r="I1846" s="141" t="s">
        <v>7817</v>
      </c>
      <c r="J1846" s="196" t="s">
        <v>9052</v>
      </c>
      <c r="K1846" s="196" t="s">
        <v>1881</v>
      </c>
      <c r="L1846" s="240" t="s">
        <v>9172</v>
      </c>
      <c r="M1846" s="196"/>
      <c r="N1846" s="196"/>
      <c r="O1846" s="196" t="s">
        <v>6947</v>
      </c>
      <c r="P1846" s="144">
        <v>511</v>
      </c>
      <c r="Q1846" s="145">
        <f t="shared" si="126"/>
        <v>1.5313999999999999</v>
      </c>
      <c r="R1846" s="203">
        <v>1.7</v>
      </c>
      <c r="S1846" s="203">
        <v>1.95</v>
      </c>
      <c r="T1846" s="151">
        <v>0.13</v>
      </c>
      <c r="U1846" s="151" t="s">
        <v>9059</v>
      </c>
      <c r="V1846" s="151">
        <v>0.33999999999999997</v>
      </c>
      <c r="W1846" s="151">
        <v>0.35</v>
      </c>
      <c r="X1846" s="152">
        <v>0.2114</v>
      </c>
      <c r="Y1846" s="152">
        <f t="shared" si="127"/>
        <v>1.95</v>
      </c>
      <c r="Z1846" s="152">
        <v>3.2313999999999998</v>
      </c>
      <c r="AA1846" s="153"/>
      <c r="AB1846" s="153"/>
      <c r="AC1846" s="153"/>
      <c r="AD1846" s="153"/>
      <c r="AH1846" s="147"/>
    </row>
    <row r="1847" spans="1:34" s="146" customFormat="1" x14ac:dyDescent="0.25">
      <c r="A1847" s="138">
        <v>1386</v>
      </c>
      <c r="B1847" s="196" t="s">
        <v>4175</v>
      </c>
      <c r="C1847" s="196" t="s">
        <v>9173</v>
      </c>
      <c r="D1847" s="196" t="s">
        <v>4177</v>
      </c>
      <c r="E1847" s="148"/>
      <c r="F1847" s="148"/>
      <c r="G1847" s="148"/>
      <c r="H1847" s="196" t="s">
        <v>2734</v>
      </c>
      <c r="I1847" s="141" t="s">
        <v>1929</v>
      </c>
      <c r="J1847" s="148"/>
      <c r="K1847" s="196" t="s">
        <v>1881</v>
      </c>
      <c r="L1847" s="240" t="s">
        <v>9174</v>
      </c>
      <c r="M1847" s="196">
        <v>125</v>
      </c>
      <c r="N1847" s="148"/>
      <c r="O1847" s="196" t="s">
        <v>9175</v>
      </c>
      <c r="P1847" s="144">
        <v>236</v>
      </c>
      <c r="Q1847" s="145">
        <f t="shared" si="126"/>
        <v>1.7103999999999997</v>
      </c>
      <c r="R1847" s="203">
        <v>1.2</v>
      </c>
      <c r="S1847" s="140">
        <v>1.45</v>
      </c>
      <c r="T1847" s="151">
        <v>0.13</v>
      </c>
      <c r="U1847" s="151">
        <v>1.9</v>
      </c>
      <c r="V1847" s="151">
        <v>0.33999999999999997</v>
      </c>
      <c r="W1847" s="151">
        <v>0.35</v>
      </c>
      <c r="X1847" s="152">
        <v>0.19039999999999999</v>
      </c>
      <c r="Y1847" s="152">
        <f>S1847</f>
        <v>1.45</v>
      </c>
      <c r="Z1847" s="152">
        <f>SUM(T1847:X1847)</f>
        <v>2.9103999999999997</v>
      </c>
      <c r="AA1847" s="153"/>
      <c r="AB1847" s="153"/>
      <c r="AC1847" s="153"/>
      <c r="AD1847" s="153"/>
      <c r="AH1847" s="147"/>
    </row>
    <row r="1848" spans="1:34" s="146" customFormat="1" x14ac:dyDescent="0.25">
      <c r="A1848" s="138">
        <v>692</v>
      </c>
      <c r="B1848" s="196" t="s">
        <v>9176</v>
      </c>
      <c r="C1848" s="196" t="s">
        <v>9177</v>
      </c>
      <c r="D1848" s="196" t="s">
        <v>1920</v>
      </c>
      <c r="E1848" s="148"/>
      <c r="F1848" s="196">
        <v>2005</v>
      </c>
      <c r="G1848" s="148"/>
      <c r="H1848" s="196" t="s">
        <v>1878</v>
      </c>
      <c r="I1848" s="141" t="s">
        <v>7817</v>
      </c>
      <c r="J1848" s="148"/>
      <c r="K1848" s="196" t="s">
        <v>1881</v>
      </c>
      <c r="L1848" s="240" t="s">
        <v>9178</v>
      </c>
      <c r="M1848" s="196">
        <v>348</v>
      </c>
      <c r="N1848" s="148"/>
      <c r="O1848" s="196" t="s">
        <v>9179</v>
      </c>
      <c r="P1848" s="144">
        <v>405</v>
      </c>
      <c r="Q1848" s="145">
        <f t="shared" si="126"/>
        <v>1.84</v>
      </c>
      <c r="R1848" s="203">
        <v>1.2</v>
      </c>
      <c r="S1848" s="140">
        <v>3.04</v>
      </c>
      <c r="T1848" s="151">
        <v>0.13</v>
      </c>
      <c r="U1848" s="151">
        <v>1.9</v>
      </c>
      <c r="V1848" s="151">
        <v>0.33999999999999997</v>
      </c>
      <c r="W1848" s="151">
        <v>0.35</v>
      </c>
      <c r="X1848" s="152">
        <v>0.19039999999999999</v>
      </c>
      <c r="Y1848" s="152">
        <f t="shared" ref="Y1848:Y1909" si="128">S1848</f>
        <v>3.04</v>
      </c>
      <c r="Z1848" s="152">
        <f t="shared" ref="Z1848:Z1909" si="129">SUM(T1848:X1848)</f>
        <v>2.9103999999999997</v>
      </c>
      <c r="AA1848" s="153"/>
      <c r="AB1848" s="153"/>
      <c r="AC1848" s="153"/>
      <c r="AD1848" s="153"/>
      <c r="AH1848" s="147"/>
    </row>
    <row r="1849" spans="1:34" s="146" customFormat="1" x14ac:dyDescent="0.25">
      <c r="A1849" s="138">
        <v>2549</v>
      </c>
      <c r="B1849" s="196" t="s">
        <v>9180</v>
      </c>
      <c r="C1849" s="196" t="s">
        <v>9181</v>
      </c>
      <c r="D1849" s="196" t="s">
        <v>1912</v>
      </c>
      <c r="E1849" s="196" t="s">
        <v>1899</v>
      </c>
      <c r="F1849" s="196">
        <v>1997</v>
      </c>
      <c r="G1849" s="148"/>
      <c r="H1849" s="196" t="s">
        <v>1878</v>
      </c>
      <c r="I1849" s="141" t="s">
        <v>1879</v>
      </c>
      <c r="J1849" s="196" t="s">
        <v>9182</v>
      </c>
      <c r="K1849" s="196" t="s">
        <v>1881</v>
      </c>
      <c r="L1849" s="240" t="s">
        <v>9183</v>
      </c>
      <c r="M1849" s="196">
        <v>472</v>
      </c>
      <c r="N1849" s="148"/>
      <c r="O1849" s="196" t="s">
        <v>9184</v>
      </c>
      <c r="P1849" s="144">
        <v>324</v>
      </c>
      <c r="Q1849" s="145">
        <f t="shared" si="126"/>
        <v>1.7103999999999997</v>
      </c>
      <c r="R1849" s="203">
        <v>1.2</v>
      </c>
      <c r="S1849" s="140">
        <v>1.55</v>
      </c>
      <c r="T1849" s="151">
        <v>0.13</v>
      </c>
      <c r="U1849" s="151">
        <v>1.9</v>
      </c>
      <c r="V1849" s="151">
        <v>0.33999999999999997</v>
      </c>
      <c r="W1849" s="151">
        <v>0.35</v>
      </c>
      <c r="X1849" s="152">
        <v>0.19039999999999999</v>
      </c>
      <c r="Y1849" s="152">
        <f t="shared" si="128"/>
        <v>1.55</v>
      </c>
      <c r="Z1849" s="152">
        <f t="shared" si="129"/>
        <v>2.9103999999999997</v>
      </c>
      <c r="AA1849" s="153"/>
      <c r="AB1849" s="153"/>
      <c r="AC1849" s="153"/>
      <c r="AD1849" s="153"/>
      <c r="AH1849" s="147"/>
    </row>
    <row r="1850" spans="1:34" s="146" customFormat="1" x14ac:dyDescent="0.25">
      <c r="A1850" s="138">
        <v>689</v>
      </c>
      <c r="B1850" s="196" t="s">
        <v>2242</v>
      </c>
      <c r="C1850" s="196" t="s">
        <v>7437</v>
      </c>
      <c r="D1850" s="196" t="s">
        <v>2609</v>
      </c>
      <c r="E1850" s="148"/>
      <c r="F1850" s="196">
        <v>2002</v>
      </c>
      <c r="G1850" s="148"/>
      <c r="H1850" s="196" t="s">
        <v>1878</v>
      </c>
      <c r="I1850" s="141" t="s">
        <v>1879</v>
      </c>
      <c r="J1850" s="148"/>
      <c r="K1850" s="196" t="s">
        <v>1881</v>
      </c>
      <c r="L1850" s="240" t="s">
        <v>9185</v>
      </c>
      <c r="M1850" s="196">
        <v>494</v>
      </c>
      <c r="N1850" s="148"/>
      <c r="O1850" s="196" t="s">
        <v>9186</v>
      </c>
      <c r="P1850" s="144">
        <v>431</v>
      </c>
      <c r="Q1850" s="145">
        <f t="shared" si="126"/>
        <v>1.7103999999999997</v>
      </c>
      <c r="R1850" s="203">
        <v>1.2</v>
      </c>
      <c r="S1850" s="140">
        <v>1.55</v>
      </c>
      <c r="T1850" s="151">
        <v>0.13</v>
      </c>
      <c r="U1850" s="151">
        <v>1.9</v>
      </c>
      <c r="V1850" s="151">
        <v>0.33999999999999997</v>
      </c>
      <c r="W1850" s="151">
        <v>0.35</v>
      </c>
      <c r="X1850" s="152">
        <v>0.19039999999999999</v>
      </c>
      <c r="Y1850" s="152">
        <f t="shared" si="128"/>
        <v>1.55</v>
      </c>
      <c r="Z1850" s="152">
        <f t="shared" si="129"/>
        <v>2.9103999999999997</v>
      </c>
      <c r="AA1850" s="153"/>
      <c r="AB1850" s="153"/>
      <c r="AC1850" s="153"/>
      <c r="AD1850" s="153"/>
      <c r="AH1850" s="147"/>
    </row>
    <row r="1851" spans="1:34" s="146" customFormat="1" x14ac:dyDescent="0.25">
      <c r="A1851" s="138">
        <v>689</v>
      </c>
      <c r="B1851" s="196" t="s">
        <v>9187</v>
      </c>
      <c r="C1851" s="196" t="s">
        <v>9188</v>
      </c>
      <c r="D1851" s="196" t="s">
        <v>1920</v>
      </c>
      <c r="E1851" s="196" t="s">
        <v>1913</v>
      </c>
      <c r="F1851" s="196">
        <v>2000</v>
      </c>
      <c r="G1851" s="148"/>
      <c r="H1851" s="196" t="s">
        <v>1878</v>
      </c>
      <c r="I1851" s="141" t="s">
        <v>1879</v>
      </c>
      <c r="J1851" s="148"/>
      <c r="K1851" s="196" t="s">
        <v>1881</v>
      </c>
      <c r="L1851" s="240" t="s">
        <v>9189</v>
      </c>
      <c r="M1851" s="196">
        <v>491</v>
      </c>
      <c r="N1851" s="148"/>
      <c r="O1851" s="196" t="s">
        <v>6948</v>
      </c>
      <c r="P1851" s="144">
        <v>332</v>
      </c>
      <c r="Q1851" s="145">
        <f t="shared" si="126"/>
        <v>1.7103999999999997</v>
      </c>
      <c r="R1851" s="203">
        <v>1.2</v>
      </c>
      <c r="S1851" s="244">
        <f>0.99+1.35</f>
        <v>2.34</v>
      </c>
      <c r="T1851" s="151">
        <v>0.13</v>
      </c>
      <c r="U1851" s="151">
        <v>1.9</v>
      </c>
      <c r="V1851" s="151">
        <v>0.33999999999999997</v>
      </c>
      <c r="W1851" s="151">
        <v>0.35</v>
      </c>
      <c r="X1851" s="152">
        <v>0.19039999999999999</v>
      </c>
      <c r="Y1851" s="152">
        <f t="shared" si="128"/>
        <v>2.34</v>
      </c>
      <c r="Z1851" s="152">
        <f t="shared" si="129"/>
        <v>2.9103999999999997</v>
      </c>
      <c r="AA1851" s="153"/>
      <c r="AB1851" s="153"/>
      <c r="AC1851" s="153"/>
      <c r="AD1851" s="153"/>
      <c r="AH1851" s="147"/>
    </row>
    <row r="1852" spans="1:34" s="146" customFormat="1" x14ac:dyDescent="0.25">
      <c r="A1852" s="138">
        <v>1374</v>
      </c>
      <c r="B1852" s="196" t="s">
        <v>9190</v>
      </c>
      <c r="C1852" s="196" t="s">
        <v>9191</v>
      </c>
      <c r="D1852" s="196" t="s">
        <v>9192</v>
      </c>
      <c r="E1852" s="196" t="s">
        <v>2032</v>
      </c>
      <c r="F1852" s="196">
        <v>2009</v>
      </c>
      <c r="G1852" s="148"/>
      <c r="H1852" s="196" t="s">
        <v>1878</v>
      </c>
      <c r="I1852" s="141" t="s">
        <v>1929</v>
      </c>
      <c r="J1852" s="148"/>
      <c r="K1852" s="196" t="s">
        <v>1881</v>
      </c>
      <c r="L1852" s="240" t="s">
        <v>9193</v>
      </c>
      <c r="M1852" s="196">
        <v>203</v>
      </c>
      <c r="N1852" s="148"/>
      <c r="O1852" s="196" t="s">
        <v>6949</v>
      </c>
      <c r="P1852" s="144">
        <v>236</v>
      </c>
      <c r="Q1852" s="145">
        <f t="shared" si="126"/>
        <v>1.7103999999999997</v>
      </c>
      <c r="R1852" s="203">
        <v>1.2</v>
      </c>
      <c r="S1852" s="140">
        <v>1.65</v>
      </c>
      <c r="T1852" s="151">
        <v>0.13</v>
      </c>
      <c r="U1852" s="151">
        <v>1.9</v>
      </c>
      <c r="V1852" s="151">
        <v>0.33999999999999997</v>
      </c>
      <c r="W1852" s="151">
        <v>0.35</v>
      </c>
      <c r="X1852" s="152">
        <v>0.19039999999999999</v>
      </c>
      <c r="Y1852" s="152">
        <f t="shared" si="128"/>
        <v>1.65</v>
      </c>
      <c r="Z1852" s="152">
        <f t="shared" si="129"/>
        <v>2.9103999999999997</v>
      </c>
      <c r="AA1852" s="153"/>
      <c r="AB1852" s="153"/>
      <c r="AC1852" s="153"/>
      <c r="AD1852" s="153"/>
      <c r="AH1852" s="147"/>
    </row>
    <row r="1853" spans="1:34" s="146" customFormat="1" x14ac:dyDescent="0.25">
      <c r="A1853" s="138">
        <v>701</v>
      </c>
      <c r="B1853" s="196" t="s">
        <v>9194</v>
      </c>
      <c r="C1853" s="196" t="s">
        <v>9195</v>
      </c>
      <c r="D1853" s="196" t="s">
        <v>1912</v>
      </c>
      <c r="E1853" s="196" t="s">
        <v>1913</v>
      </c>
      <c r="F1853" s="196">
        <v>2011</v>
      </c>
      <c r="G1853" s="148"/>
      <c r="H1853" s="196" t="s">
        <v>1878</v>
      </c>
      <c r="I1853" s="141" t="s">
        <v>1879</v>
      </c>
      <c r="J1853" s="196" t="s">
        <v>9196</v>
      </c>
      <c r="K1853" s="196" t="s">
        <v>1881</v>
      </c>
      <c r="L1853" s="240" t="s">
        <v>9197</v>
      </c>
      <c r="M1853" s="196">
        <v>379</v>
      </c>
      <c r="N1853" s="148"/>
      <c r="O1853" s="196" t="s">
        <v>6950</v>
      </c>
      <c r="P1853" s="144">
        <v>312</v>
      </c>
      <c r="Q1853" s="145">
        <f t="shared" si="126"/>
        <v>1.7103999999999997</v>
      </c>
      <c r="R1853" s="203">
        <v>1.2</v>
      </c>
      <c r="S1853" s="140">
        <v>1.84</v>
      </c>
      <c r="T1853" s="151">
        <v>0.13</v>
      </c>
      <c r="U1853" s="151">
        <v>1.9</v>
      </c>
      <c r="V1853" s="151">
        <v>0.33999999999999997</v>
      </c>
      <c r="W1853" s="151">
        <v>0.35</v>
      </c>
      <c r="X1853" s="152">
        <v>0.19039999999999999</v>
      </c>
      <c r="Y1853" s="152">
        <f t="shared" si="128"/>
        <v>1.84</v>
      </c>
      <c r="Z1853" s="152">
        <f t="shared" si="129"/>
        <v>2.9103999999999997</v>
      </c>
      <c r="AA1853" s="153"/>
      <c r="AB1853" s="153"/>
      <c r="AC1853" s="153"/>
      <c r="AD1853" s="153"/>
      <c r="AH1853" s="147"/>
    </row>
    <row r="1854" spans="1:34" s="146" customFormat="1" x14ac:dyDescent="0.25">
      <c r="A1854" s="138">
        <v>796</v>
      </c>
      <c r="B1854" s="196" t="s">
        <v>9198</v>
      </c>
      <c r="C1854" s="196" t="s">
        <v>9199</v>
      </c>
      <c r="D1854" s="196" t="s">
        <v>9200</v>
      </c>
      <c r="E1854" s="148"/>
      <c r="F1854" s="196">
        <v>1994</v>
      </c>
      <c r="G1854" s="148"/>
      <c r="H1854" s="196" t="s">
        <v>2734</v>
      </c>
      <c r="I1854" s="141" t="s">
        <v>1879</v>
      </c>
      <c r="J1854" s="196" t="s">
        <v>9196</v>
      </c>
      <c r="K1854" s="196" t="s">
        <v>1881</v>
      </c>
      <c r="L1854" s="240" t="s">
        <v>9201</v>
      </c>
      <c r="M1854" s="196">
        <v>542</v>
      </c>
      <c r="N1854" s="148"/>
      <c r="O1854" s="196" t="s">
        <v>6951</v>
      </c>
      <c r="P1854" s="144">
        <v>667</v>
      </c>
      <c r="Q1854" s="145">
        <f t="shared" si="126"/>
        <v>1.5313999999999999</v>
      </c>
      <c r="R1854" s="203">
        <v>1.7</v>
      </c>
      <c r="S1854" s="244">
        <f>0.88+1.4</f>
        <v>2.2799999999999998</v>
      </c>
      <c r="T1854" s="151">
        <v>0.13</v>
      </c>
      <c r="U1854" s="151">
        <v>2.2000000000000002</v>
      </c>
      <c r="V1854" s="151">
        <v>0.33999999999999997</v>
      </c>
      <c r="W1854" s="151">
        <v>0.35</v>
      </c>
      <c r="X1854" s="152">
        <v>0.2114</v>
      </c>
      <c r="Y1854" s="152">
        <f t="shared" si="128"/>
        <v>2.2799999999999998</v>
      </c>
      <c r="Z1854" s="152">
        <f t="shared" si="129"/>
        <v>3.2313999999999998</v>
      </c>
      <c r="AA1854" s="153"/>
      <c r="AB1854" s="153"/>
      <c r="AC1854" s="153"/>
      <c r="AD1854" s="153"/>
      <c r="AH1854" s="147"/>
    </row>
    <row r="1855" spans="1:34" s="146" customFormat="1" x14ac:dyDescent="0.25">
      <c r="A1855" s="138">
        <v>692</v>
      </c>
      <c r="B1855" s="196" t="s">
        <v>2456</v>
      </c>
      <c r="C1855" s="196" t="s">
        <v>9202</v>
      </c>
      <c r="D1855" s="196" t="s">
        <v>9203</v>
      </c>
      <c r="E1855" s="148"/>
      <c r="F1855" s="196">
        <v>1998</v>
      </c>
      <c r="G1855" s="148"/>
      <c r="H1855" s="196" t="s">
        <v>1878</v>
      </c>
      <c r="I1855" s="141" t="s">
        <v>7527</v>
      </c>
      <c r="J1855" s="148"/>
      <c r="K1855" s="196" t="s">
        <v>1881</v>
      </c>
      <c r="L1855" s="241"/>
      <c r="M1855" s="196">
        <v>530</v>
      </c>
      <c r="N1855" s="148"/>
      <c r="O1855" s="196" t="s">
        <v>6952</v>
      </c>
      <c r="P1855" s="144">
        <v>390</v>
      </c>
      <c r="Q1855" s="145">
        <f t="shared" si="126"/>
        <v>1.7103999999999997</v>
      </c>
      <c r="R1855" s="203">
        <v>1.2</v>
      </c>
      <c r="S1855" s="140">
        <v>1.8</v>
      </c>
      <c r="T1855" s="151">
        <v>0.13</v>
      </c>
      <c r="U1855" s="151">
        <v>1.9</v>
      </c>
      <c r="V1855" s="151">
        <v>0.33999999999999997</v>
      </c>
      <c r="W1855" s="151">
        <v>0.35</v>
      </c>
      <c r="X1855" s="152">
        <v>0.19039999999999999</v>
      </c>
      <c r="Y1855" s="152">
        <f t="shared" si="128"/>
        <v>1.8</v>
      </c>
      <c r="Z1855" s="152">
        <f t="shared" si="129"/>
        <v>2.9103999999999997</v>
      </c>
      <c r="AA1855" s="153"/>
      <c r="AB1855" s="153"/>
      <c r="AC1855" s="153"/>
      <c r="AD1855" s="153"/>
      <c r="AH1855" s="147"/>
    </row>
    <row r="1856" spans="1:34" s="146" customFormat="1" x14ac:dyDescent="0.25">
      <c r="A1856" s="138">
        <v>692</v>
      </c>
      <c r="B1856" s="196" t="s">
        <v>9204</v>
      </c>
      <c r="C1856" s="196" t="s">
        <v>9205</v>
      </c>
      <c r="D1856" s="196" t="s">
        <v>9032</v>
      </c>
      <c r="E1856" s="196" t="s">
        <v>1913</v>
      </c>
      <c r="F1856" s="196">
        <v>1997</v>
      </c>
      <c r="G1856" s="148"/>
      <c r="H1856" s="196" t="s">
        <v>1878</v>
      </c>
      <c r="I1856" s="141" t="s">
        <v>7527</v>
      </c>
      <c r="J1856" s="148"/>
      <c r="K1856" s="196" t="s">
        <v>1881</v>
      </c>
      <c r="L1856" s="240" t="s">
        <v>9206</v>
      </c>
      <c r="M1856" s="196">
        <v>442</v>
      </c>
      <c r="N1856" s="148"/>
      <c r="O1856" s="196" t="s">
        <v>6953</v>
      </c>
      <c r="P1856" s="144">
        <v>367</v>
      </c>
      <c r="Q1856" s="145">
        <f t="shared" si="126"/>
        <v>1.7103999999999997</v>
      </c>
      <c r="R1856" s="203">
        <v>1.2</v>
      </c>
      <c r="S1856" s="140">
        <v>1.65</v>
      </c>
      <c r="T1856" s="151">
        <v>0.13</v>
      </c>
      <c r="U1856" s="151">
        <v>1.9</v>
      </c>
      <c r="V1856" s="151">
        <v>0.33999999999999997</v>
      </c>
      <c r="W1856" s="151">
        <v>0.35</v>
      </c>
      <c r="X1856" s="152">
        <v>0.19039999999999999</v>
      </c>
      <c r="Y1856" s="152">
        <f t="shared" si="128"/>
        <v>1.65</v>
      </c>
      <c r="Z1856" s="152">
        <f t="shared" si="129"/>
        <v>2.9103999999999997</v>
      </c>
      <c r="AA1856" s="153"/>
      <c r="AB1856" s="153"/>
      <c r="AC1856" s="153"/>
      <c r="AD1856" s="153"/>
      <c r="AH1856" s="147"/>
    </row>
    <row r="1857" spans="1:34" s="146" customFormat="1" x14ac:dyDescent="0.25">
      <c r="A1857" s="142">
        <v>692</v>
      </c>
      <c r="B1857" s="196" t="s">
        <v>7478</v>
      </c>
      <c r="C1857" s="196" t="s">
        <v>9207</v>
      </c>
      <c r="D1857" s="196" t="s">
        <v>1912</v>
      </c>
      <c r="E1857" s="148"/>
      <c r="F1857" s="196">
        <v>2007</v>
      </c>
      <c r="G1857" s="148"/>
      <c r="H1857" s="196" t="s">
        <v>1878</v>
      </c>
      <c r="I1857" s="141" t="s">
        <v>7527</v>
      </c>
      <c r="J1857" s="196" t="s">
        <v>9208</v>
      </c>
      <c r="K1857" s="196" t="s">
        <v>1881</v>
      </c>
      <c r="L1857" s="240" t="s">
        <v>9209</v>
      </c>
      <c r="M1857" s="196">
        <v>350</v>
      </c>
      <c r="N1857" s="148"/>
      <c r="O1857" s="196" t="s">
        <v>6954</v>
      </c>
      <c r="P1857" s="144">
        <v>292</v>
      </c>
      <c r="Q1857" s="145">
        <f t="shared" si="126"/>
        <v>1.7103999999999997</v>
      </c>
      <c r="R1857" s="203">
        <v>1.2</v>
      </c>
      <c r="S1857" s="140">
        <v>1.84</v>
      </c>
      <c r="T1857" s="151">
        <v>0.13</v>
      </c>
      <c r="U1857" s="151">
        <v>1.9</v>
      </c>
      <c r="V1857" s="151">
        <v>0.33999999999999997</v>
      </c>
      <c r="W1857" s="151">
        <v>0.35</v>
      </c>
      <c r="X1857" s="152">
        <v>0.19039999999999999</v>
      </c>
      <c r="Y1857" s="152">
        <f t="shared" si="128"/>
        <v>1.84</v>
      </c>
      <c r="Z1857" s="152">
        <f t="shared" si="129"/>
        <v>2.9103999999999997</v>
      </c>
      <c r="AA1857" s="153"/>
      <c r="AB1857" s="153"/>
      <c r="AC1857" s="153"/>
      <c r="AD1857" s="153"/>
      <c r="AH1857" s="147"/>
    </row>
    <row r="1858" spans="1:34" s="146" customFormat="1" x14ac:dyDescent="0.25">
      <c r="A1858" s="142">
        <v>692</v>
      </c>
      <c r="B1858" s="196" t="s">
        <v>9210</v>
      </c>
      <c r="C1858" s="196" t="s">
        <v>9211</v>
      </c>
      <c r="D1858" s="196" t="s">
        <v>9032</v>
      </c>
      <c r="E1858" s="148"/>
      <c r="F1858" s="196">
        <v>2006</v>
      </c>
      <c r="G1858" s="148"/>
      <c r="H1858" s="196" t="s">
        <v>1878</v>
      </c>
      <c r="I1858" s="141" t="s">
        <v>1914</v>
      </c>
      <c r="J1858" s="196" t="s">
        <v>9196</v>
      </c>
      <c r="K1858" s="196" t="s">
        <v>1881</v>
      </c>
      <c r="L1858" s="240" t="s">
        <v>9212</v>
      </c>
      <c r="M1858" s="196">
        <v>306</v>
      </c>
      <c r="N1858" s="148"/>
      <c r="O1858" s="196" t="s">
        <v>6955</v>
      </c>
      <c r="P1858" s="144">
        <v>296</v>
      </c>
      <c r="Q1858" s="145">
        <f t="shared" si="126"/>
        <v>1.7103999999999997</v>
      </c>
      <c r="R1858" s="203">
        <v>1.2</v>
      </c>
      <c r="S1858" s="140">
        <v>1.64</v>
      </c>
      <c r="T1858" s="151">
        <v>0.13</v>
      </c>
      <c r="U1858" s="151">
        <v>1.9</v>
      </c>
      <c r="V1858" s="151">
        <v>0.33999999999999997</v>
      </c>
      <c r="W1858" s="151">
        <v>0.35</v>
      </c>
      <c r="X1858" s="152">
        <v>0.19039999999999999</v>
      </c>
      <c r="Y1858" s="152">
        <f t="shared" si="128"/>
        <v>1.64</v>
      </c>
      <c r="Z1858" s="152">
        <f t="shared" si="129"/>
        <v>2.9103999999999997</v>
      </c>
      <c r="AA1858" s="153"/>
      <c r="AB1858" s="153"/>
      <c r="AC1858" s="153"/>
      <c r="AD1858" s="153"/>
      <c r="AH1858" s="147"/>
    </row>
    <row r="1859" spans="1:34" s="146" customFormat="1" x14ac:dyDescent="0.25">
      <c r="A1859" s="138">
        <v>643</v>
      </c>
      <c r="B1859" s="196" t="s">
        <v>9213</v>
      </c>
      <c r="C1859" s="196" t="s">
        <v>9214</v>
      </c>
      <c r="D1859" s="196" t="s">
        <v>9215</v>
      </c>
      <c r="E1859" s="148"/>
      <c r="F1859" s="196">
        <v>2008</v>
      </c>
      <c r="G1859" s="148"/>
      <c r="H1859" s="196" t="s">
        <v>1878</v>
      </c>
      <c r="I1859" s="141" t="s">
        <v>1929</v>
      </c>
      <c r="J1859" s="148"/>
      <c r="K1859" s="196" t="s">
        <v>1881</v>
      </c>
      <c r="L1859" s="240" t="s">
        <v>9216</v>
      </c>
      <c r="M1859" s="148"/>
      <c r="N1859" s="148"/>
      <c r="O1859" s="196" t="s">
        <v>6956</v>
      </c>
      <c r="P1859" s="144">
        <v>74</v>
      </c>
      <c r="Q1859" s="145">
        <f t="shared" si="126"/>
        <v>1.7103999999999997</v>
      </c>
      <c r="R1859" s="203">
        <v>1.2</v>
      </c>
      <c r="S1859" s="140">
        <v>2.7</v>
      </c>
      <c r="T1859" s="151">
        <v>0.13</v>
      </c>
      <c r="U1859" s="151">
        <v>1.9</v>
      </c>
      <c r="V1859" s="151">
        <v>0.33999999999999997</v>
      </c>
      <c r="W1859" s="151">
        <v>0.35</v>
      </c>
      <c r="X1859" s="152">
        <v>0.19039999999999999</v>
      </c>
      <c r="Y1859" s="152">
        <f t="shared" si="128"/>
        <v>2.7</v>
      </c>
      <c r="Z1859" s="152">
        <f t="shared" si="129"/>
        <v>2.9103999999999997</v>
      </c>
      <c r="AA1859" s="153"/>
      <c r="AB1859" s="153"/>
      <c r="AC1859" s="153"/>
      <c r="AD1859" s="153"/>
      <c r="AE1859" s="148"/>
      <c r="AF1859" s="148"/>
      <c r="AG1859" s="148"/>
      <c r="AH1859" s="148"/>
    </row>
    <row r="1860" spans="1:34" s="146" customFormat="1" x14ac:dyDescent="0.25">
      <c r="A1860" s="138">
        <v>632</v>
      </c>
      <c r="B1860" s="196" t="s">
        <v>1904</v>
      </c>
      <c r="C1860" s="196" t="s">
        <v>1905</v>
      </c>
      <c r="D1860" s="196" t="s">
        <v>4517</v>
      </c>
      <c r="E1860" s="196" t="s">
        <v>1913</v>
      </c>
      <c r="F1860" s="196">
        <v>2009</v>
      </c>
      <c r="G1860" s="148"/>
      <c r="H1860" s="196" t="s">
        <v>1878</v>
      </c>
      <c r="I1860" s="141" t="s">
        <v>1879</v>
      </c>
      <c r="J1860" s="148"/>
      <c r="K1860" s="196" t="s">
        <v>1881</v>
      </c>
      <c r="L1860" s="240" t="s">
        <v>9217</v>
      </c>
      <c r="M1860" s="196">
        <v>585</v>
      </c>
      <c r="N1860" s="148"/>
      <c r="O1860" s="196" t="s">
        <v>6957</v>
      </c>
      <c r="P1860" s="144">
        <v>433</v>
      </c>
      <c r="Q1860" s="145">
        <f t="shared" si="126"/>
        <v>1.7103999999999997</v>
      </c>
      <c r="R1860" s="203">
        <v>1.2</v>
      </c>
      <c r="S1860" s="140">
        <v>1.65</v>
      </c>
      <c r="T1860" s="151">
        <v>0.13</v>
      </c>
      <c r="U1860" s="151">
        <v>1.9</v>
      </c>
      <c r="V1860" s="151">
        <v>0.33999999999999997</v>
      </c>
      <c r="W1860" s="151">
        <v>0.35</v>
      </c>
      <c r="X1860" s="152">
        <v>0.19039999999999999</v>
      </c>
      <c r="Y1860" s="152">
        <f t="shared" si="128"/>
        <v>1.65</v>
      </c>
      <c r="Z1860" s="152">
        <f t="shared" si="129"/>
        <v>2.9103999999999997</v>
      </c>
      <c r="AA1860" s="153"/>
      <c r="AB1860" s="153"/>
      <c r="AC1860" s="153"/>
      <c r="AD1860" s="153"/>
      <c r="AE1860" s="148"/>
      <c r="AF1860" s="148"/>
      <c r="AG1860" s="148"/>
      <c r="AH1860" s="148"/>
    </row>
    <row r="1861" spans="1:34" s="146" customFormat="1" x14ac:dyDescent="0.25">
      <c r="A1861" s="142">
        <v>692</v>
      </c>
      <c r="B1861" s="196" t="s">
        <v>2935</v>
      </c>
      <c r="C1861" s="196" t="s">
        <v>9218</v>
      </c>
      <c r="D1861" s="196" t="s">
        <v>2609</v>
      </c>
      <c r="E1861" s="148"/>
      <c r="F1861" s="196">
        <v>2005</v>
      </c>
      <c r="G1861" s="148"/>
      <c r="H1861" s="196" t="s">
        <v>2734</v>
      </c>
      <c r="I1861" s="141" t="s">
        <v>7817</v>
      </c>
      <c r="J1861" s="148"/>
      <c r="K1861" s="196" t="s">
        <v>1881</v>
      </c>
      <c r="L1861" s="240" t="s">
        <v>9219</v>
      </c>
      <c r="M1861" s="196">
        <v>250</v>
      </c>
      <c r="N1861" s="148"/>
      <c r="O1861" s="196" t="s">
        <v>6958</v>
      </c>
      <c r="P1861" s="144">
        <v>348</v>
      </c>
      <c r="Q1861" s="145">
        <f t="shared" si="126"/>
        <v>1.7103999999999997</v>
      </c>
      <c r="R1861" s="203">
        <v>1.2</v>
      </c>
      <c r="S1861" s="244">
        <f>0.25+1.39</f>
        <v>1.64</v>
      </c>
      <c r="T1861" s="151">
        <v>0.13</v>
      </c>
      <c r="U1861" s="151">
        <v>1.9</v>
      </c>
      <c r="V1861" s="151">
        <v>0.33999999999999997</v>
      </c>
      <c r="W1861" s="151">
        <v>0.35</v>
      </c>
      <c r="X1861" s="152">
        <v>0.19039999999999999</v>
      </c>
      <c r="Y1861" s="152">
        <f t="shared" si="128"/>
        <v>1.64</v>
      </c>
      <c r="Z1861" s="152">
        <f t="shared" si="129"/>
        <v>2.9103999999999997</v>
      </c>
      <c r="AA1861" s="153"/>
      <c r="AB1861" s="153"/>
      <c r="AC1861" s="153"/>
      <c r="AD1861" s="153"/>
      <c r="AE1861" s="148"/>
      <c r="AF1861" s="148"/>
      <c r="AG1861" s="148"/>
      <c r="AH1861" s="148"/>
    </row>
    <row r="1862" spans="1:34" s="146" customFormat="1" x14ac:dyDescent="0.25">
      <c r="A1862" s="142">
        <v>632</v>
      </c>
      <c r="B1862" s="196" t="s">
        <v>1904</v>
      </c>
      <c r="C1862" s="196" t="s">
        <v>1905</v>
      </c>
      <c r="D1862" s="196" t="s">
        <v>4517</v>
      </c>
      <c r="E1862" s="196" t="s">
        <v>9223</v>
      </c>
      <c r="F1862" s="196">
        <v>2000</v>
      </c>
      <c r="G1862" s="148"/>
      <c r="H1862" s="196" t="s">
        <v>1878</v>
      </c>
      <c r="I1862" s="141" t="s">
        <v>1879</v>
      </c>
      <c r="J1862" s="148"/>
      <c r="K1862" s="196" t="s">
        <v>1881</v>
      </c>
      <c r="L1862" s="240" t="s">
        <v>1908</v>
      </c>
      <c r="M1862" s="196">
        <v>576</v>
      </c>
      <c r="N1862" s="148"/>
      <c r="O1862" s="196" t="s">
        <v>6960</v>
      </c>
      <c r="P1862" s="144">
        <v>588</v>
      </c>
      <c r="Q1862" s="145">
        <f t="shared" si="126"/>
        <v>1.5313999999999999</v>
      </c>
      <c r="R1862" s="203">
        <v>1.7</v>
      </c>
      <c r="S1862" s="140">
        <v>1.55</v>
      </c>
      <c r="T1862" s="151">
        <v>0.13</v>
      </c>
      <c r="U1862" s="151">
        <v>2.2000000000000002</v>
      </c>
      <c r="V1862" s="151">
        <v>0.33999999999999997</v>
      </c>
      <c r="W1862" s="151">
        <v>0.35</v>
      </c>
      <c r="X1862" s="152">
        <v>0.2114</v>
      </c>
      <c r="Y1862" s="152">
        <f t="shared" si="128"/>
        <v>1.55</v>
      </c>
      <c r="Z1862" s="152">
        <f t="shared" si="129"/>
        <v>3.2313999999999998</v>
      </c>
      <c r="AA1862" s="153"/>
      <c r="AB1862" s="153"/>
      <c r="AC1862" s="153"/>
      <c r="AD1862" s="153"/>
      <c r="AE1862" s="148"/>
      <c r="AF1862" s="148"/>
      <c r="AG1862" s="148"/>
      <c r="AH1862" s="148"/>
    </row>
    <row r="1863" spans="1:34" s="146" customFormat="1" x14ac:dyDescent="0.25">
      <c r="A1863" s="142">
        <v>1972</v>
      </c>
      <c r="B1863" s="196" t="s">
        <v>9224</v>
      </c>
      <c r="C1863" s="196" t="s">
        <v>9225</v>
      </c>
      <c r="D1863" s="196" t="s">
        <v>1998</v>
      </c>
      <c r="E1863" s="196" t="s">
        <v>1913</v>
      </c>
      <c r="F1863" s="196">
        <v>2005</v>
      </c>
      <c r="G1863" s="148"/>
      <c r="H1863" s="196" t="s">
        <v>1878</v>
      </c>
      <c r="I1863" s="141" t="s">
        <v>1879</v>
      </c>
      <c r="J1863" s="148"/>
      <c r="K1863" s="196" t="s">
        <v>1881</v>
      </c>
      <c r="L1863" s="240" t="s">
        <v>9226</v>
      </c>
      <c r="M1863" s="196">
        <v>240</v>
      </c>
      <c r="N1863" s="148"/>
      <c r="O1863" s="196" t="s">
        <v>6961</v>
      </c>
      <c r="P1863" s="144">
        <v>192</v>
      </c>
      <c r="Q1863" s="145">
        <f t="shared" si="126"/>
        <v>1.7103999999999997</v>
      </c>
      <c r="R1863" s="203">
        <v>1.2</v>
      </c>
      <c r="S1863" s="140">
        <v>2.1</v>
      </c>
      <c r="T1863" s="151">
        <v>0.13</v>
      </c>
      <c r="U1863" s="151">
        <v>1.9</v>
      </c>
      <c r="V1863" s="151">
        <v>0.33999999999999997</v>
      </c>
      <c r="W1863" s="151">
        <v>0.35</v>
      </c>
      <c r="X1863" s="152">
        <v>0.19039999999999999</v>
      </c>
      <c r="Y1863" s="152">
        <f t="shared" si="128"/>
        <v>2.1</v>
      </c>
      <c r="Z1863" s="152">
        <f t="shared" si="129"/>
        <v>2.9103999999999997</v>
      </c>
      <c r="AA1863" s="153"/>
      <c r="AB1863" s="153"/>
      <c r="AC1863" s="153"/>
      <c r="AD1863" s="153"/>
      <c r="AE1863" s="148"/>
      <c r="AF1863" s="148"/>
      <c r="AG1863" s="148"/>
      <c r="AH1863" s="148"/>
    </row>
    <row r="1864" spans="1:34" s="146" customFormat="1" x14ac:dyDescent="0.25">
      <c r="A1864" s="142">
        <v>632</v>
      </c>
      <c r="B1864" s="196" t="s">
        <v>9227</v>
      </c>
      <c r="C1864" s="196" t="s">
        <v>9228</v>
      </c>
      <c r="D1864" s="196" t="s">
        <v>9229</v>
      </c>
      <c r="E1864" s="148"/>
      <c r="F1864" s="196">
        <v>2019</v>
      </c>
      <c r="G1864" s="148"/>
      <c r="H1864" s="196" t="s">
        <v>1878</v>
      </c>
      <c r="I1864" s="141" t="s">
        <v>7817</v>
      </c>
      <c r="J1864" s="148"/>
      <c r="K1864" s="196" t="s">
        <v>1881</v>
      </c>
      <c r="L1864" s="240" t="s">
        <v>9230</v>
      </c>
      <c r="M1864" s="196"/>
      <c r="N1864" s="148"/>
      <c r="O1864" s="196" t="s">
        <v>6962</v>
      </c>
      <c r="P1864" s="144">
        <v>256</v>
      </c>
      <c r="Q1864" s="145">
        <f t="shared" si="126"/>
        <v>3.8999999999999995</v>
      </c>
      <c r="R1864" s="203">
        <v>1.2</v>
      </c>
      <c r="S1864" s="244">
        <f>2.5+2.6</f>
        <v>5.0999999999999996</v>
      </c>
      <c r="T1864" s="151">
        <v>0.13</v>
      </c>
      <c r="U1864" s="151">
        <v>1.9</v>
      </c>
      <c r="V1864" s="151">
        <v>0.33999999999999997</v>
      </c>
      <c r="W1864" s="151">
        <v>0.35</v>
      </c>
      <c r="X1864" s="152">
        <v>0.19039999999999999</v>
      </c>
      <c r="Y1864" s="152">
        <f t="shared" si="128"/>
        <v>5.0999999999999996</v>
      </c>
      <c r="Z1864" s="152">
        <f t="shared" si="129"/>
        <v>2.9103999999999997</v>
      </c>
      <c r="AA1864" s="153"/>
      <c r="AB1864" s="153"/>
      <c r="AC1864" s="153"/>
      <c r="AD1864" s="153"/>
      <c r="AE1864" s="148"/>
      <c r="AF1864" s="148"/>
      <c r="AG1864" s="148"/>
      <c r="AH1864" s="148"/>
    </row>
    <row r="1865" spans="1:34" s="146" customFormat="1" x14ac:dyDescent="0.25">
      <c r="A1865" s="142">
        <v>2514</v>
      </c>
      <c r="B1865" s="196" t="s">
        <v>4628</v>
      </c>
      <c r="C1865" s="196" t="s">
        <v>9231</v>
      </c>
      <c r="D1865" s="196" t="s">
        <v>2402</v>
      </c>
      <c r="E1865" s="148"/>
      <c r="F1865" s="196">
        <v>2001</v>
      </c>
      <c r="G1865" s="148"/>
      <c r="H1865" s="196" t="s">
        <v>2734</v>
      </c>
      <c r="I1865" s="141" t="s">
        <v>7817</v>
      </c>
      <c r="J1865" s="148"/>
      <c r="K1865" s="196" t="s">
        <v>1881</v>
      </c>
      <c r="L1865" s="240" t="s">
        <v>9232</v>
      </c>
      <c r="M1865" s="196">
        <v>126</v>
      </c>
      <c r="N1865" s="148"/>
      <c r="O1865" s="196" t="s">
        <v>6963</v>
      </c>
      <c r="P1865" s="144">
        <v>180</v>
      </c>
      <c r="Q1865" s="145">
        <f t="shared" si="126"/>
        <v>1.7103999999999997</v>
      </c>
      <c r="R1865" s="203">
        <v>1.2</v>
      </c>
      <c r="S1865" s="140">
        <v>1.8</v>
      </c>
      <c r="T1865" s="151">
        <v>0.13</v>
      </c>
      <c r="U1865" s="151">
        <v>1.9</v>
      </c>
      <c r="V1865" s="151">
        <v>0.33999999999999997</v>
      </c>
      <c r="W1865" s="151">
        <v>0.35</v>
      </c>
      <c r="X1865" s="152">
        <v>0.19039999999999999</v>
      </c>
      <c r="Y1865" s="152">
        <f t="shared" si="128"/>
        <v>1.8</v>
      </c>
      <c r="Z1865" s="152">
        <f t="shared" si="129"/>
        <v>2.9103999999999997</v>
      </c>
      <c r="AA1865" s="153"/>
      <c r="AB1865" s="153"/>
      <c r="AC1865" s="153"/>
      <c r="AD1865" s="153"/>
      <c r="AE1865" s="148"/>
      <c r="AF1865" s="148"/>
      <c r="AG1865" s="148"/>
      <c r="AH1865" s="148"/>
    </row>
    <row r="1866" spans="1:34" s="146" customFormat="1" x14ac:dyDescent="0.25">
      <c r="A1866" s="142">
        <v>1913</v>
      </c>
      <c r="B1866" s="196" t="s">
        <v>7541</v>
      </c>
      <c r="C1866" s="196" t="s">
        <v>9233</v>
      </c>
      <c r="D1866" s="196" t="s">
        <v>2209</v>
      </c>
      <c r="E1866" s="148"/>
      <c r="F1866" s="196">
        <v>2005</v>
      </c>
      <c r="G1866" s="148"/>
      <c r="H1866" s="196" t="s">
        <v>1878</v>
      </c>
      <c r="I1866" s="141" t="s">
        <v>1879</v>
      </c>
      <c r="J1866" s="148"/>
      <c r="K1866" s="196" t="s">
        <v>1881</v>
      </c>
      <c r="L1866" s="240" t="s">
        <v>9234</v>
      </c>
      <c r="M1866" s="196">
        <v>480</v>
      </c>
      <c r="N1866" s="148"/>
      <c r="O1866" s="196" t="s">
        <v>6964</v>
      </c>
      <c r="P1866" s="144">
        <v>454</v>
      </c>
      <c r="Q1866" s="145">
        <f t="shared" si="126"/>
        <v>1.7103999999999997</v>
      </c>
      <c r="R1866" s="203">
        <v>1.2</v>
      </c>
      <c r="S1866" s="244">
        <f>0.25+1.39</f>
        <v>1.64</v>
      </c>
      <c r="T1866" s="151">
        <v>0.13</v>
      </c>
      <c r="U1866" s="151">
        <v>1.9</v>
      </c>
      <c r="V1866" s="151">
        <v>0.33999999999999997</v>
      </c>
      <c r="W1866" s="151">
        <v>0.35</v>
      </c>
      <c r="X1866" s="152">
        <v>0.19039999999999999</v>
      </c>
      <c r="Y1866" s="152">
        <f t="shared" si="128"/>
        <v>1.64</v>
      </c>
      <c r="Z1866" s="152">
        <f t="shared" si="129"/>
        <v>2.9103999999999997</v>
      </c>
      <c r="AA1866" s="153"/>
      <c r="AB1866" s="153"/>
      <c r="AC1866" s="153"/>
      <c r="AD1866" s="153"/>
      <c r="AE1866" s="148"/>
      <c r="AF1866" s="148"/>
      <c r="AG1866" s="148"/>
      <c r="AH1866" s="148"/>
    </row>
    <row r="1867" spans="1:34" s="146" customFormat="1" x14ac:dyDescent="0.25">
      <c r="A1867" s="142">
        <v>2514</v>
      </c>
      <c r="B1867" s="196" t="s">
        <v>9235</v>
      </c>
      <c r="C1867" s="196" t="s">
        <v>9236</v>
      </c>
      <c r="D1867" s="196" t="s">
        <v>1920</v>
      </c>
      <c r="E1867" s="148"/>
      <c r="F1867" s="196">
        <v>2000</v>
      </c>
      <c r="G1867" s="148"/>
      <c r="H1867" s="196" t="s">
        <v>2734</v>
      </c>
      <c r="I1867" s="141" t="s">
        <v>1914</v>
      </c>
      <c r="J1867" s="148"/>
      <c r="K1867" s="196" t="s">
        <v>1881</v>
      </c>
      <c r="L1867" s="240" t="s">
        <v>9237</v>
      </c>
      <c r="M1867" s="196">
        <v>322</v>
      </c>
      <c r="N1867" s="148"/>
      <c r="O1867" s="196" t="s">
        <v>6965</v>
      </c>
      <c r="P1867" s="144">
        <v>530</v>
      </c>
      <c r="Q1867" s="145">
        <f t="shared" si="126"/>
        <v>1.95</v>
      </c>
      <c r="R1867" s="203">
        <v>1.7</v>
      </c>
      <c r="S1867" s="244">
        <f>1.95+1.7</f>
        <v>3.65</v>
      </c>
      <c r="T1867" s="151">
        <v>0.13</v>
      </c>
      <c r="U1867" s="151">
        <v>2.2000000000000002</v>
      </c>
      <c r="V1867" s="151">
        <v>0.33999999999999997</v>
      </c>
      <c r="W1867" s="151">
        <v>0.35</v>
      </c>
      <c r="X1867" s="152">
        <v>0.2114</v>
      </c>
      <c r="Y1867" s="152">
        <f t="shared" si="128"/>
        <v>3.65</v>
      </c>
      <c r="Z1867" s="152">
        <f t="shared" si="129"/>
        <v>3.2313999999999998</v>
      </c>
      <c r="AA1867" s="153"/>
      <c r="AB1867" s="153"/>
      <c r="AC1867" s="153"/>
      <c r="AD1867" s="153"/>
      <c r="AE1867" s="148"/>
      <c r="AF1867" s="148"/>
      <c r="AG1867" s="148"/>
      <c r="AH1867" s="148"/>
    </row>
    <row r="1868" spans="1:34" s="146" customFormat="1" x14ac:dyDescent="0.25">
      <c r="A1868" s="142">
        <v>690</v>
      </c>
      <c r="B1868" s="196" t="s">
        <v>9238</v>
      </c>
      <c r="C1868" s="196" t="s">
        <v>9239</v>
      </c>
      <c r="D1868" s="196" t="s">
        <v>9240</v>
      </c>
      <c r="E1868" s="148"/>
      <c r="F1868" s="196">
        <v>1984</v>
      </c>
      <c r="G1868" s="148"/>
      <c r="H1868" s="196" t="s">
        <v>2734</v>
      </c>
      <c r="I1868" s="141" t="s">
        <v>7527</v>
      </c>
      <c r="J1868" s="148"/>
      <c r="K1868" s="196" t="s">
        <v>1881</v>
      </c>
      <c r="L1868" s="240" t="s">
        <v>9241</v>
      </c>
      <c r="M1868" s="196">
        <v>258</v>
      </c>
      <c r="N1868" s="148"/>
      <c r="O1868" s="196" t="s">
        <v>6966</v>
      </c>
      <c r="P1868" s="144">
        <v>325</v>
      </c>
      <c r="Q1868" s="145">
        <f t="shared" si="126"/>
        <v>1.7103999999999997</v>
      </c>
      <c r="R1868" s="203">
        <v>1.2</v>
      </c>
      <c r="S1868" s="244">
        <v>1.65</v>
      </c>
      <c r="T1868" s="151">
        <v>0.13</v>
      </c>
      <c r="U1868" s="151">
        <v>1.9</v>
      </c>
      <c r="V1868" s="151">
        <v>0.33999999999999997</v>
      </c>
      <c r="W1868" s="151">
        <v>0.35</v>
      </c>
      <c r="X1868" s="152">
        <v>0.19039999999999999</v>
      </c>
      <c r="Y1868" s="152">
        <f t="shared" si="128"/>
        <v>1.65</v>
      </c>
      <c r="Z1868" s="152">
        <f t="shared" si="129"/>
        <v>2.9103999999999997</v>
      </c>
      <c r="AA1868" s="153"/>
      <c r="AB1868" s="153"/>
      <c r="AC1868" s="153"/>
      <c r="AD1868" s="153"/>
      <c r="AE1868" s="148"/>
      <c r="AF1868" s="148"/>
      <c r="AG1868" s="148"/>
      <c r="AH1868" s="148"/>
    </row>
    <row r="1869" spans="1:34" s="146" customFormat="1" x14ac:dyDescent="0.25">
      <c r="A1869" s="142">
        <v>734</v>
      </c>
      <c r="B1869" s="196" t="s">
        <v>7392</v>
      </c>
      <c r="C1869" s="196" t="s">
        <v>9242</v>
      </c>
      <c r="D1869" s="196" t="s">
        <v>2209</v>
      </c>
      <c r="E1869" s="196" t="s">
        <v>2918</v>
      </c>
      <c r="F1869" s="196">
        <v>1994</v>
      </c>
      <c r="G1869" s="148"/>
      <c r="H1869" s="196" t="s">
        <v>1878</v>
      </c>
      <c r="I1869" s="141" t="s">
        <v>1914</v>
      </c>
      <c r="J1869" s="148"/>
      <c r="K1869" s="196" t="s">
        <v>1881</v>
      </c>
      <c r="L1869" s="240" t="s">
        <v>9243</v>
      </c>
      <c r="M1869" s="196">
        <v>560</v>
      </c>
      <c r="N1869" s="148"/>
      <c r="O1869" s="196" t="s">
        <v>6967</v>
      </c>
      <c r="P1869" s="144">
        <v>361</v>
      </c>
      <c r="Q1869" s="145">
        <f t="shared" si="126"/>
        <v>1.7103999999999997</v>
      </c>
      <c r="R1869" s="203">
        <v>1.2</v>
      </c>
      <c r="S1869" s="244">
        <v>1.5</v>
      </c>
      <c r="T1869" s="151">
        <v>0.13</v>
      </c>
      <c r="U1869" s="151">
        <v>1.9</v>
      </c>
      <c r="V1869" s="151">
        <v>0.33999999999999997</v>
      </c>
      <c r="W1869" s="151">
        <v>0.35</v>
      </c>
      <c r="X1869" s="152">
        <v>0.19039999999999999</v>
      </c>
      <c r="Y1869" s="152">
        <f t="shared" si="128"/>
        <v>1.5</v>
      </c>
      <c r="Z1869" s="152">
        <f t="shared" si="129"/>
        <v>2.9103999999999997</v>
      </c>
      <c r="AA1869" s="153"/>
      <c r="AB1869" s="153"/>
      <c r="AC1869" s="153"/>
      <c r="AD1869" s="153"/>
      <c r="AE1869" s="148"/>
      <c r="AF1869" s="148"/>
      <c r="AG1869" s="148"/>
      <c r="AH1869" s="148"/>
    </row>
    <row r="1870" spans="1:34" s="146" customFormat="1" x14ac:dyDescent="0.25">
      <c r="A1870" s="142">
        <v>1315</v>
      </c>
      <c r="B1870" s="196" t="s">
        <v>4725</v>
      </c>
      <c r="C1870" s="196" t="s">
        <v>9244</v>
      </c>
      <c r="D1870" s="196" t="s">
        <v>2402</v>
      </c>
      <c r="E1870" s="148"/>
      <c r="F1870" s="196">
        <v>1982</v>
      </c>
      <c r="G1870" s="148"/>
      <c r="H1870" s="196" t="s">
        <v>2734</v>
      </c>
      <c r="I1870" s="141" t="s">
        <v>1929</v>
      </c>
      <c r="J1870" s="196" t="s">
        <v>9245</v>
      </c>
      <c r="K1870" s="196" t="s">
        <v>1881</v>
      </c>
      <c r="L1870" s="240" t="s">
        <v>9246</v>
      </c>
      <c r="M1870" s="196">
        <v>130</v>
      </c>
      <c r="N1870" s="148"/>
      <c r="O1870" s="196" t="s">
        <v>6968</v>
      </c>
      <c r="P1870" s="144">
        <v>203</v>
      </c>
      <c r="Q1870" s="145">
        <f t="shared" si="126"/>
        <v>1.7103999999999997</v>
      </c>
      <c r="R1870" s="203">
        <v>1.2</v>
      </c>
      <c r="S1870" s="244">
        <v>2</v>
      </c>
      <c r="T1870" s="151">
        <v>0.13</v>
      </c>
      <c r="U1870" s="151">
        <v>1.9</v>
      </c>
      <c r="V1870" s="151">
        <v>0.33999999999999997</v>
      </c>
      <c r="W1870" s="151">
        <v>0.35</v>
      </c>
      <c r="X1870" s="152">
        <v>0.19039999999999999</v>
      </c>
      <c r="Y1870" s="152">
        <f t="shared" si="128"/>
        <v>2</v>
      </c>
      <c r="Z1870" s="152">
        <f t="shared" si="129"/>
        <v>2.9103999999999997</v>
      </c>
      <c r="AA1870" s="153"/>
      <c r="AB1870" s="153"/>
      <c r="AC1870" s="153"/>
      <c r="AD1870" s="153"/>
      <c r="AE1870" s="148"/>
      <c r="AF1870" s="148"/>
      <c r="AG1870" s="148"/>
      <c r="AH1870" s="148"/>
    </row>
    <row r="1871" spans="1:34" s="146" customFormat="1" x14ac:dyDescent="0.25">
      <c r="A1871" s="142">
        <v>1386</v>
      </c>
      <c r="B1871" s="196" t="s">
        <v>9247</v>
      </c>
      <c r="C1871" s="196" t="s">
        <v>9248</v>
      </c>
      <c r="D1871" s="196" t="s">
        <v>2309</v>
      </c>
      <c r="E1871" s="196" t="s">
        <v>1913</v>
      </c>
      <c r="F1871" s="196">
        <v>2010</v>
      </c>
      <c r="G1871" s="148"/>
      <c r="H1871" s="196" t="s">
        <v>1878</v>
      </c>
      <c r="I1871" s="141" t="s">
        <v>1879</v>
      </c>
      <c r="J1871" s="148"/>
      <c r="K1871" s="196" t="s">
        <v>1881</v>
      </c>
      <c r="L1871" s="240" t="s">
        <v>9249</v>
      </c>
      <c r="M1871" s="196">
        <v>320</v>
      </c>
      <c r="N1871" s="148"/>
      <c r="O1871" s="196" t="s">
        <v>6969</v>
      </c>
      <c r="P1871" s="144">
        <v>268</v>
      </c>
      <c r="Q1871" s="145">
        <f t="shared" si="126"/>
        <v>1.7103999999999997</v>
      </c>
      <c r="R1871" s="203">
        <v>1.2</v>
      </c>
      <c r="S1871" s="244">
        <v>1.55</v>
      </c>
      <c r="T1871" s="151">
        <v>0.13</v>
      </c>
      <c r="U1871" s="151">
        <v>1.9</v>
      </c>
      <c r="V1871" s="151">
        <v>0.33999999999999997</v>
      </c>
      <c r="W1871" s="151">
        <v>0.35</v>
      </c>
      <c r="X1871" s="152">
        <v>0.19039999999999999</v>
      </c>
      <c r="Y1871" s="152">
        <f t="shared" si="128"/>
        <v>1.55</v>
      </c>
      <c r="Z1871" s="152">
        <f t="shared" si="129"/>
        <v>2.9103999999999997</v>
      </c>
      <c r="AA1871" s="153"/>
      <c r="AB1871" s="153"/>
      <c r="AC1871" s="153"/>
      <c r="AD1871" s="153"/>
      <c r="AE1871" s="148"/>
      <c r="AF1871" s="148"/>
      <c r="AG1871" s="148"/>
      <c r="AH1871" s="148"/>
    </row>
    <row r="1872" spans="1:34" s="146" customFormat="1" x14ac:dyDescent="0.25">
      <c r="A1872" s="142">
        <v>2522</v>
      </c>
      <c r="B1872" s="196" t="s">
        <v>9250</v>
      </c>
      <c r="C1872" s="196" t="s">
        <v>9251</v>
      </c>
      <c r="D1872" s="196" t="s">
        <v>2054</v>
      </c>
      <c r="E1872" s="148"/>
      <c r="F1872" s="196">
        <v>2011</v>
      </c>
      <c r="G1872" s="148"/>
      <c r="H1872" s="196" t="s">
        <v>1878</v>
      </c>
      <c r="I1872" s="141" t="s">
        <v>1879</v>
      </c>
      <c r="J1872" s="148"/>
      <c r="K1872" s="196" t="s">
        <v>1881</v>
      </c>
      <c r="L1872" s="240" t="s">
        <v>9252</v>
      </c>
      <c r="M1872" s="196">
        <v>416</v>
      </c>
      <c r="N1872" s="148"/>
      <c r="O1872" s="196" t="s">
        <v>6970</v>
      </c>
      <c r="P1872" s="144">
        <v>415</v>
      </c>
      <c r="Q1872" s="145">
        <f t="shared" si="126"/>
        <v>1.7103999999999997</v>
      </c>
      <c r="R1872" s="203">
        <v>1.2</v>
      </c>
      <c r="S1872" s="244">
        <v>1.9</v>
      </c>
      <c r="T1872" s="151">
        <v>0.13</v>
      </c>
      <c r="U1872" s="151">
        <v>1.9</v>
      </c>
      <c r="V1872" s="151">
        <v>0.33999999999999997</v>
      </c>
      <c r="W1872" s="151">
        <v>0.35</v>
      </c>
      <c r="X1872" s="152">
        <v>0.19039999999999999</v>
      </c>
      <c r="Y1872" s="152">
        <f t="shared" si="128"/>
        <v>1.9</v>
      </c>
      <c r="Z1872" s="152">
        <f t="shared" si="129"/>
        <v>2.9103999999999997</v>
      </c>
      <c r="AA1872" s="153"/>
      <c r="AB1872" s="153"/>
      <c r="AC1872" s="153"/>
      <c r="AD1872" s="153"/>
      <c r="AE1872" s="148"/>
      <c r="AF1872" s="148"/>
      <c r="AG1872" s="148"/>
      <c r="AH1872" s="148"/>
    </row>
    <row r="1873" spans="1:34" s="146" customFormat="1" x14ac:dyDescent="0.25">
      <c r="A1873" s="142">
        <v>632</v>
      </c>
      <c r="B1873" s="196" t="s">
        <v>9253</v>
      </c>
      <c r="C1873" s="196" t="s">
        <v>9254</v>
      </c>
      <c r="D1873" s="196" t="s">
        <v>2257</v>
      </c>
      <c r="E1873" s="148"/>
      <c r="F1873" s="196">
        <v>2007</v>
      </c>
      <c r="G1873" s="148"/>
      <c r="H1873" s="196" t="s">
        <v>1878</v>
      </c>
      <c r="I1873" s="141" t="s">
        <v>1879</v>
      </c>
      <c r="J1873" s="148"/>
      <c r="K1873" s="196" t="s">
        <v>1881</v>
      </c>
      <c r="L1873" s="240" t="s">
        <v>9255</v>
      </c>
      <c r="M1873" s="196">
        <v>656</v>
      </c>
      <c r="N1873" s="148"/>
      <c r="O1873" s="196" t="s">
        <v>6971</v>
      </c>
      <c r="P1873" s="144">
        <v>482</v>
      </c>
      <c r="Q1873" s="145">
        <f t="shared" si="126"/>
        <v>1.7103999999999997</v>
      </c>
      <c r="R1873" s="203">
        <v>1.2</v>
      </c>
      <c r="S1873" s="244">
        <f>0.64+1.31</f>
        <v>1.9500000000000002</v>
      </c>
      <c r="T1873" s="151">
        <v>0.13</v>
      </c>
      <c r="U1873" s="151">
        <v>1.9</v>
      </c>
      <c r="V1873" s="151">
        <v>0.33999999999999997</v>
      </c>
      <c r="W1873" s="151">
        <v>0.35</v>
      </c>
      <c r="X1873" s="152">
        <v>0.19039999999999999</v>
      </c>
      <c r="Y1873" s="152">
        <f t="shared" si="128"/>
        <v>1.9500000000000002</v>
      </c>
      <c r="Z1873" s="152">
        <f t="shared" si="129"/>
        <v>2.9103999999999997</v>
      </c>
      <c r="AA1873" s="153"/>
      <c r="AB1873" s="153"/>
      <c r="AC1873" s="153"/>
      <c r="AD1873" s="153"/>
      <c r="AE1873" s="148"/>
      <c r="AF1873" s="148"/>
      <c r="AG1873" s="148"/>
      <c r="AH1873" s="148"/>
    </row>
    <row r="1874" spans="1:34" s="146" customFormat="1" x14ac:dyDescent="0.25">
      <c r="A1874" s="142">
        <v>613</v>
      </c>
      <c r="B1874" s="196" t="s">
        <v>9256</v>
      </c>
      <c r="C1874" s="196" t="s">
        <v>9257</v>
      </c>
      <c r="D1874" s="196" t="s">
        <v>1920</v>
      </c>
      <c r="E1874" s="148"/>
      <c r="F1874" s="196">
        <v>2015</v>
      </c>
      <c r="G1874" s="148"/>
      <c r="H1874" s="196" t="s">
        <v>2734</v>
      </c>
      <c r="I1874" s="141" t="s">
        <v>1879</v>
      </c>
      <c r="J1874" s="148"/>
      <c r="K1874" s="196" t="s">
        <v>1881</v>
      </c>
      <c r="L1874" s="240" t="s">
        <v>9258</v>
      </c>
      <c r="M1874" s="196">
        <v>306</v>
      </c>
      <c r="N1874" s="148"/>
      <c r="O1874" s="196" t="s">
        <v>6972</v>
      </c>
      <c r="P1874" s="144">
        <v>553</v>
      </c>
      <c r="Q1874" s="145">
        <f t="shared" si="126"/>
        <v>1.6500000000000001</v>
      </c>
      <c r="R1874" s="203">
        <v>1.7</v>
      </c>
      <c r="S1874" s="244">
        <f>1.5+1.85</f>
        <v>3.35</v>
      </c>
      <c r="T1874" s="151">
        <v>0.13</v>
      </c>
      <c r="U1874" s="151">
        <v>2.2000000000000002</v>
      </c>
      <c r="V1874" s="151">
        <v>0.33999999999999997</v>
      </c>
      <c r="W1874" s="151">
        <v>0.35</v>
      </c>
      <c r="X1874" s="152">
        <v>0.2114</v>
      </c>
      <c r="Y1874" s="152">
        <f t="shared" si="128"/>
        <v>3.35</v>
      </c>
      <c r="Z1874" s="152">
        <f t="shared" si="129"/>
        <v>3.2313999999999998</v>
      </c>
      <c r="AA1874" s="153"/>
      <c r="AB1874" s="153"/>
      <c r="AC1874" s="153"/>
      <c r="AD1874" s="153"/>
      <c r="AH1874" s="147"/>
    </row>
    <row r="1875" spans="1:34" s="146" customFormat="1" x14ac:dyDescent="0.25">
      <c r="A1875" s="142">
        <v>692</v>
      </c>
      <c r="B1875" s="196" t="s">
        <v>9259</v>
      </c>
      <c r="C1875" s="196" t="s">
        <v>9260</v>
      </c>
      <c r="D1875" s="196" t="s">
        <v>2309</v>
      </c>
      <c r="E1875" s="196" t="s">
        <v>1913</v>
      </c>
      <c r="F1875" s="196">
        <v>2019</v>
      </c>
      <c r="G1875" s="148"/>
      <c r="H1875" s="196" t="s">
        <v>1878</v>
      </c>
      <c r="I1875" s="141" t="s">
        <v>1879</v>
      </c>
      <c r="J1875" s="148"/>
      <c r="K1875" s="196" t="s">
        <v>1881</v>
      </c>
      <c r="L1875" s="240" t="s">
        <v>9261</v>
      </c>
      <c r="M1875" s="196">
        <v>320</v>
      </c>
      <c r="N1875" s="148"/>
      <c r="O1875" s="196" t="s">
        <v>6973</v>
      </c>
      <c r="P1875" s="144">
        <v>322</v>
      </c>
      <c r="Q1875" s="145">
        <f t="shared" si="126"/>
        <v>4.2</v>
      </c>
      <c r="R1875" s="203">
        <v>1.2</v>
      </c>
      <c r="S1875" s="244">
        <v>5.4</v>
      </c>
      <c r="T1875" s="151">
        <v>0.13</v>
      </c>
      <c r="U1875" s="151">
        <v>1.9</v>
      </c>
      <c r="V1875" s="151">
        <v>0.33999999999999997</v>
      </c>
      <c r="W1875" s="151">
        <v>0.35</v>
      </c>
      <c r="X1875" s="152">
        <v>0.19039999999999999</v>
      </c>
      <c r="Y1875" s="152">
        <f t="shared" si="128"/>
        <v>5.4</v>
      </c>
      <c r="Z1875" s="152">
        <f t="shared" si="129"/>
        <v>2.9103999999999997</v>
      </c>
      <c r="AA1875" s="153"/>
      <c r="AB1875" s="153"/>
      <c r="AC1875" s="153"/>
      <c r="AD1875" s="153"/>
      <c r="AH1875" s="147"/>
    </row>
    <row r="1876" spans="1:34" s="146" customFormat="1" x14ac:dyDescent="0.25">
      <c r="A1876" s="142">
        <v>632</v>
      </c>
      <c r="B1876" s="196" t="s">
        <v>9262</v>
      </c>
      <c r="C1876" s="196" t="s">
        <v>9263</v>
      </c>
      <c r="D1876" s="196" t="s">
        <v>2309</v>
      </c>
      <c r="E1876" s="196" t="s">
        <v>2922</v>
      </c>
      <c r="F1876" s="196">
        <v>2019</v>
      </c>
      <c r="G1876" s="148"/>
      <c r="H1876" s="196" t="s">
        <v>1878</v>
      </c>
      <c r="I1876" s="141" t="s">
        <v>1929</v>
      </c>
      <c r="J1876" s="148"/>
      <c r="K1876" s="196" t="s">
        <v>1881</v>
      </c>
      <c r="L1876" s="240" t="s">
        <v>9264</v>
      </c>
      <c r="M1876" s="196">
        <v>450</v>
      </c>
      <c r="N1876" s="148"/>
      <c r="O1876" s="196" t="s">
        <v>6974</v>
      </c>
      <c r="P1876" s="144">
        <v>326</v>
      </c>
      <c r="Q1876" s="145">
        <f t="shared" si="126"/>
        <v>1.7103999999999997</v>
      </c>
      <c r="R1876" s="203">
        <v>1.2</v>
      </c>
      <c r="S1876" s="244">
        <v>1.9</v>
      </c>
      <c r="T1876" s="151">
        <v>0.13</v>
      </c>
      <c r="U1876" s="151">
        <v>1.9</v>
      </c>
      <c r="V1876" s="151">
        <v>0.33999999999999997</v>
      </c>
      <c r="W1876" s="151">
        <v>0.35</v>
      </c>
      <c r="X1876" s="152">
        <v>0.19039999999999999</v>
      </c>
      <c r="Y1876" s="152">
        <f t="shared" si="128"/>
        <v>1.9</v>
      </c>
      <c r="Z1876" s="152">
        <f t="shared" si="129"/>
        <v>2.9103999999999997</v>
      </c>
      <c r="AA1876" s="153"/>
      <c r="AB1876" s="153"/>
      <c r="AC1876" s="153"/>
      <c r="AD1876" s="153"/>
      <c r="AH1876" s="147"/>
    </row>
    <row r="1877" spans="1:34" s="146" customFormat="1" x14ac:dyDescent="0.25">
      <c r="A1877" s="142">
        <v>844</v>
      </c>
      <c r="B1877" s="196" t="s">
        <v>9265</v>
      </c>
      <c r="C1877" s="196" t="s">
        <v>9266</v>
      </c>
      <c r="D1877" s="196" t="s">
        <v>1979</v>
      </c>
      <c r="E1877" s="148"/>
      <c r="F1877" s="196">
        <v>1972</v>
      </c>
      <c r="G1877" s="148"/>
      <c r="H1877" s="196" t="s">
        <v>2734</v>
      </c>
      <c r="I1877" s="141" t="s">
        <v>1914</v>
      </c>
      <c r="J1877" s="148"/>
      <c r="K1877" s="196" t="s">
        <v>1881</v>
      </c>
      <c r="L1877" s="240" t="s">
        <v>9267</v>
      </c>
      <c r="M1877" s="148"/>
      <c r="N1877" s="148"/>
      <c r="O1877" s="196" t="s">
        <v>6975</v>
      </c>
      <c r="P1877" s="144">
        <v>398</v>
      </c>
      <c r="Q1877" s="145">
        <f t="shared" si="126"/>
        <v>4.74</v>
      </c>
      <c r="R1877" s="203">
        <v>1.2</v>
      </c>
      <c r="S1877" s="244">
        <f>4.44+1.5</f>
        <v>5.94</v>
      </c>
      <c r="T1877" s="151">
        <v>0.13</v>
      </c>
      <c r="U1877" s="151">
        <v>1.9</v>
      </c>
      <c r="V1877" s="151">
        <v>0.33999999999999997</v>
      </c>
      <c r="W1877" s="151">
        <v>0.35</v>
      </c>
      <c r="X1877" s="152">
        <v>0.19039999999999999</v>
      </c>
      <c r="Y1877" s="152">
        <f t="shared" si="128"/>
        <v>5.94</v>
      </c>
      <c r="Z1877" s="152">
        <f t="shared" si="129"/>
        <v>2.9103999999999997</v>
      </c>
      <c r="AA1877" s="153"/>
      <c r="AB1877" s="153"/>
      <c r="AC1877" s="153"/>
      <c r="AD1877" s="153"/>
      <c r="AH1877" s="147"/>
    </row>
    <row r="1878" spans="1:34" s="146" customFormat="1" x14ac:dyDescent="0.25">
      <c r="A1878" s="142">
        <v>691</v>
      </c>
      <c r="B1878" s="196" t="s">
        <v>9268</v>
      </c>
      <c r="C1878" s="196" t="s">
        <v>9269</v>
      </c>
      <c r="D1878" s="196" t="s">
        <v>9270</v>
      </c>
      <c r="E1878" s="148"/>
      <c r="F1878" s="196">
        <v>1999</v>
      </c>
      <c r="G1878" s="148"/>
      <c r="H1878" s="196" t="s">
        <v>2734</v>
      </c>
      <c r="I1878" s="141" t="s">
        <v>1879</v>
      </c>
      <c r="J1878" s="148"/>
      <c r="K1878" s="196" t="s">
        <v>1881</v>
      </c>
      <c r="L1878" s="240" t="s">
        <v>9271</v>
      </c>
      <c r="M1878" s="148"/>
      <c r="N1878" s="148"/>
      <c r="O1878" s="196" t="s">
        <v>6976</v>
      </c>
      <c r="P1878" s="144">
        <v>373</v>
      </c>
      <c r="Q1878" s="145">
        <f t="shared" si="126"/>
        <v>2.0999999999999996</v>
      </c>
      <c r="R1878" s="203">
        <v>1.2</v>
      </c>
      <c r="S1878" s="244">
        <f>1.9+1.4</f>
        <v>3.3</v>
      </c>
      <c r="T1878" s="151">
        <v>0.13</v>
      </c>
      <c r="U1878" s="151">
        <v>1.9</v>
      </c>
      <c r="V1878" s="151">
        <v>0.33999999999999997</v>
      </c>
      <c r="W1878" s="151">
        <v>0.35</v>
      </c>
      <c r="X1878" s="152">
        <v>0.19039999999999999</v>
      </c>
      <c r="Y1878" s="152">
        <f t="shared" si="128"/>
        <v>3.3</v>
      </c>
      <c r="Z1878" s="152">
        <f t="shared" si="129"/>
        <v>2.9103999999999997</v>
      </c>
      <c r="AA1878" s="153"/>
      <c r="AB1878" s="153"/>
      <c r="AC1878" s="153"/>
      <c r="AD1878" s="153"/>
      <c r="AH1878" s="147"/>
    </row>
    <row r="1879" spans="1:34" s="146" customFormat="1" x14ac:dyDescent="0.25">
      <c r="A1879" s="142">
        <v>691</v>
      </c>
      <c r="B1879" s="196" t="s">
        <v>9272</v>
      </c>
      <c r="C1879" s="196" t="s">
        <v>9273</v>
      </c>
      <c r="D1879" s="196" t="s">
        <v>1927</v>
      </c>
      <c r="E1879" s="148"/>
      <c r="F1879" s="148"/>
      <c r="G1879" s="148"/>
      <c r="H1879" s="196" t="s">
        <v>4297</v>
      </c>
      <c r="I1879" s="141" t="s">
        <v>1879</v>
      </c>
      <c r="J1879" s="196" t="s">
        <v>9274</v>
      </c>
      <c r="K1879" s="196" t="s">
        <v>1881</v>
      </c>
      <c r="L1879" s="240" t="s">
        <v>9275</v>
      </c>
      <c r="M1879" s="148"/>
      <c r="N1879" s="148"/>
      <c r="O1879" s="196" t="s">
        <v>6977</v>
      </c>
      <c r="P1879" s="144">
        <v>282</v>
      </c>
      <c r="Q1879" s="145">
        <f t="shared" si="126"/>
        <v>2.59</v>
      </c>
      <c r="R1879" s="203">
        <v>1.2</v>
      </c>
      <c r="S1879" s="244">
        <v>3.79</v>
      </c>
      <c r="T1879" s="151">
        <v>0.13</v>
      </c>
      <c r="U1879" s="151">
        <v>1.9</v>
      </c>
      <c r="V1879" s="151">
        <v>0.33999999999999997</v>
      </c>
      <c r="W1879" s="151">
        <v>0.35</v>
      </c>
      <c r="X1879" s="152">
        <v>0.19039999999999999</v>
      </c>
      <c r="Y1879" s="152">
        <f t="shared" si="128"/>
        <v>3.79</v>
      </c>
      <c r="Z1879" s="152">
        <f t="shared" si="129"/>
        <v>2.9103999999999997</v>
      </c>
      <c r="AA1879" s="153"/>
      <c r="AB1879" s="153"/>
      <c r="AC1879" s="153"/>
      <c r="AD1879" s="153"/>
      <c r="AH1879" s="147"/>
    </row>
    <row r="1880" spans="1:34" s="146" customFormat="1" x14ac:dyDescent="0.25">
      <c r="A1880" s="142">
        <v>691</v>
      </c>
      <c r="B1880" s="196" t="s">
        <v>9276</v>
      </c>
      <c r="C1880" s="196" t="s">
        <v>9277</v>
      </c>
      <c r="D1880" s="196" t="s">
        <v>4841</v>
      </c>
      <c r="E1880" s="148"/>
      <c r="F1880" s="196">
        <v>2009</v>
      </c>
      <c r="G1880" s="148"/>
      <c r="H1880" s="196" t="s">
        <v>2734</v>
      </c>
      <c r="I1880" s="141" t="s">
        <v>1879</v>
      </c>
      <c r="J1880" s="148"/>
      <c r="K1880" s="196" t="s">
        <v>1881</v>
      </c>
      <c r="L1880" s="240" t="s">
        <v>9278</v>
      </c>
      <c r="M1880" s="148"/>
      <c r="N1880" s="148"/>
      <c r="O1880" s="196" t="s">
        <v>6978</v>
      </c>
      <c r="P1880" s="144">
        <v>378</v>
      </c>
      <c r="Q1880" s="145">
        <f t="shared" si="126"/>
        <v>3.6499999999999995</v>
      </c>
      <c r="R1880" s="203">
        <v>1.2</v>
      </c>
      <c r="S1880" s="244">
        <f>2.3+2.55</f>
        <v>4.8499999999999996</v>
      </c>
      <c r="T1880" s="151">
        <v>0.13</v>
      </c>
      <c r="U1880" s="151">
        <v>1.9</v>
      </c>
      <c r="V1880" s="151">
        <v>0.33999999999999997</v>
      </c>
      <c r="W1880" s="151">
        <v>0.35</v>
      </c>
      <c r="X1880" s="152">
        <v>0.19039999999999999</v>
      </c>
      <c r="Y1880" s="152">
        <f t="shared" si="128"/>
        <v>4.8499999999999996</v>
      </c>
      <c r="Z1880" s="152">
        <f t="shared" si="129"/>
        <v>2.9103999999999997</v>
      </c>
      <c r="AA1880" s="153"/>
      <c r="AB1880" s="153"/>
      <c r="AC1880" s="153"/>
      <c r="AD1880" s="153"/>
      <c r="AH1880" s="147"/>
    </row>
    <row r="1881" spans="1:34" s="146" customFormat="1" x14ac:dyDescent="0.25">
      <c r="A1881" s="142">
        <v>691</v>
      </c>
      <c r="B1881" s="196" t="s">
        <v>9279</v>
      </c>
      <c r="C1881" s="196" t="s">
        <v>9280</v>
      </c>
      <c r="D1881" s="196" t="s">
        <v>1927</v>
      </c>
      <c r="E1881" s="148"/>
      <c r="F1881" s="148"/>
      <c r="G1881" s="148"/>
      <c r="H1881" s="196" t="s">
        <v>2734</v>
      </c>
      <c r="I1881" s="141" t="s">
        <v>1914</v>
      </c>
      <c r="J1881" s="148"/>
      <c r="K1881" s="196" t="s">
        <v>1881</v>
      </c>
      <c r="L1881" s="240" t="s">
        <v>9281</v>
      </c>
      <c r="M1881" s="148"/>
      <c r="N1881" s="148"/>
      <c r="O1881" s="196" t="s">
        <v>6979</v>
      </c>
      <c r="P1881" s="144">
        <v>321</v>
      </c>
      <c r="Q1881" s="145">
        <f t="shared" si="126"/>
        <v>1.7103999999999997</v>
      </c>
      <c r="R1881" s="203">
        <v>1.2</v>
      </c>
      <c r="S1881" s="244">
        <f>1.18+1.2</f>
        <v>2.38</v>
      </c>
      <c r="T1881" s="151">
        <v>0.13</v>
      </c>
      <c r="U1881" s="151">
        <v>1.9</v>
      </c>
      <c r="V1881" s="151">
        <v>0.33999999999999997</v>
      </c>
      <c r="W1881" s="151">
        <v>0.35</v>
      </c>
      <c r="X1881" s="152">
        <v>0.19039999999999999</v>
      </c>
      <c r="Y1881" s="152">
        <f t="shared" si="128"/>
        <v>2.38</v>
      </c>
      <c r="Z1881" s="152">
        <f t="shared" si="129"/>
        <v>2.9103999999999997</v>
      </c>
      <c r="AA1881" s="153"/>
      <c r="AB1881" s="153"/>
      <c r="AC1881" s="153"/>
      <c r="AD1881" s="153"/>
      <c r="AH1881" s="147"/>
    </row>
    <row r="1882" spans="1:34" s="146" customFormat="1" x14ac:dyDescent="0.25">
      <c r="A1882" s="142">
        <v>1393</v>
      </c>
      <c r="B1882" s="196" t="s">
        <v>9282</v>
      </c>
      <c r="C1882" s="196" t="s">
        <v>9283</v>
      </c>
      <c r="D1882" s="196" t="s">
        <v>9284</v>
      </c>
      <c r="E1882" s="148"/>
      <c r="F1882" s="196">
        <v>2002</v>
      </c>
      <c r="G1882" s="148"/>
      <c r="H1882" s="196" t="s">
        <v>2734</v>
      </c>
      <c r="I1882" s="141" t="s">
        <v>1879</v>
      </c>
      <c r="J1882" s="148"/>
      <c r="K1882" s="196" t="s">
        <v>1881</v>
      </c>
      <c r="L1882" s="240" t="s">
        <v>9285</v>
      </c>
      <c r="M1882" s="196">
        <v>30</v>
      </c>
      <c r="N1882" s="148"/>
      <c r="O1882" s="196" t="s">
        <v>6980</v>
      </c>
      <c r="P1882" s="144">
        <v>277</v>
      </c>
      <c r="Q1882" s="145">
        <f t="shared" si="126"/>
        <v>1.7103999999999997</v>
      </c>
      <c r="R1882" s="203">
        <v>1.2</v>
      </c>
      <c r="S1882" s="244">
        <v>2.9</v>
      </c>
      <c r="T1882" s="151">
        <v>0.13</v>
      </c>
      <c r="U1882" s="151">
        <v>1.9</v>
      </c>
      <c r="V1882" s="151">
        <v>0.33999999999999997</v>
      </c>
      <c r="W1882" s="151">
        <v>0.35</v>
      </c>
      <c r="X1882" s="152">
        <v>0.19039999999999999</v>
      </c>
      <c r="Y1882" s="152">
        <f t="shared" si="128"/>
        <v>2.9</v>
      </c>
      <c r="Z1882" s="152">
        <f t="shared" si="129"/>
        <v>2.9103999999999997</v>
      </c>
      <c r="AA1882" s="153"/>
      <c r="AB1882" s="153"/>
      <c r="AC1882" s="153"/>
      <c r="AD1882" s="153"/>
      <c r="AH1882" s="147"/>
    </row>
    <row r="1883" spans="1:34" s="146" customFormat="1" x14ac:dyDescent="0.25">
      <c r="A1883" s="142">
        <v>1313</v>
      </c>
      <c r="B1883" s="148"/>
      <c r="C1883" s="196" t="s">
        <v>9286</v>
      </c>
      <c r="D1883" s="196" t="s">
        <v>4334</v>
      </c>
      <c r="E1883" s="148"/>
      <c r="F1883" s="148"/>
      <c r="G1883" s="148"/>
      <c r="H1883" s="196" t="s">
        <v>2734</v>
      </c>
      <c r="I1883" s="141" t="s">
        <v>1879</v>
      </c>
      <c r="J1883" s="148"/>
      <c r="K1883" s="196" t="s">
        <v>1881</v>
      </c>
      <c r="L1883" s="240" t="s">
        <v>9287</v>
      </c>
      <c r="M1883" s="196">
        <v>126</v>
      </c>
      <c r="N1883" s="148"/>
      <c r="O1883" s="196" t="s">
        <v>6981</v>
      </c>
      <c r="P1883" s="144">
        <v>583</v>
      </c>
      <c r="Q1883" s="145">
        <f t="shared" si="126"/>
        <v>1.5104</v>
      </c>
      <c r="R1883" s="203">
        <v>1.7</v>
      </c>
      <c r="S1883" s="244">
        <v>2.88</v>
      </c>
      <c r="T1883" s="151">
        <v>0.13</v>
      </c>
      <c r="U1883" s="151">
        <v>2.2000000000000002</v>
      </c>
      <c r="V1883" s="151">
        <v>0.33999999999999997</v>
      </c>
      <c r="W1883" s="151">
        <v>0.35</v>
      </c>
      <c r="X1883" s="152">
        <v>0.19039999999999999</v>
      </c>
      <c r="Y1883" s="152">
        <f t="shared" si="128"/>
        <v>2.88</v>
      </c>
      <c r="Z1883" s="152">
        <f t="shared" si="129"/>
        <v>3.2103999999999999</v>
      </c>
      <c r="AA1883" s="153"/>
      <c r="AB1883" s="153"/>
      <c r="AC1883" s="153"/>
      <c r="AD1883" s="153"/>
      <c r="AH1883" s="147"/>
    </row>
    <row r="1884" spans="1:34" s="146" customFormat="1" x14ac:dyDescent="0.25">
      <c r="A1884" s="142">
        <v>2548</v>
      </c>
      <c r="B1884" s="196" t="s">
        <v>9288</v>
      </c>
      <c r="C1884" s="196" t="s">
        <v>9289</v>
      </c>
      <c r="D1884" s="196" t="s">
        <v>3010</v>
      </c>
      <c r="E1884" s="148"/>
      <c r="F1884" s="196">
        <v>1996</v>
      </c>
      <c r="G1884" s="148"/>
      <c r="H1884" s="196" t="s">
        <v>1878</v>
      </c>
      <c r="I1884" s="141" t="s">
        <v>1879</v>
      </c>
      <c r="J1884" s="148"/>
      <c r="K1884" s="196" t="s">
        <v>1881</v>
      </c>
      <c r="L1884" s="240" t="s">
        <v>9290</v>
      </c>
      <c r="M1884" s="196">
        <v>352</v>
      </c>
      <c r="N1884" s="148"/>
      <c r="O1884" s="196" t="s">
        <v>6982</v>
      </c>
      <c r="P1884" s="144">
        <v>382</v>
      </c>
      <c r="Q1884" s="145">
        <f t="shared" si="126"/>
        <v>1.7313999999999996</v>
      </c>
      <c r="R1884" s="203">
        <v>1.2</v>
      </c>
      <c r="S1884" s="244">
        <f>0.74+1.25</f>
        <v>1.99</v>
      </c>
      <c r="T1884" s="151">
        <v>0.13</v>
      </c>
      <c r="U1884" s="151">
        <v>1.9</v>
      </c>
      <c r="V1884" s="151">
        <v>0.33999999999999997</v>
      </c>
      <c r="W1884" s="151">
        <v>0.35</v>
      </c>
      <c r="X1884" s="152">
        <v>0.2114</v>
      </c>
      <c r="Y1884" s="152">
        <f t="shared" si="128"/>
        <v>1.99</v>
      </c>
      <c r="Z1884" s="152">
        <f t="shared" si="129"/>
        <v>2.9313999999999996</v>
      </c>
      <c r="AA1884" s="153"/>
      <c r="AB1884" s="153"/>
      <c r="AC1884" s="153"/>
      <c r="AD1884" s="153"/>
      <c r="AH1884" s="147"/>
    </row>
    <row r="1885" spans="1:34" s="146" customFormat="1" x14ac:dyDescent="0.25">
      <c r="A1885" s="142">
        <v>796</v>
      </c>
      <c r="B1885" s="196" t="s">
        <v>9291</v>
      </c>
      <c r="C1885" s="196" t="s">
        <v>9292</v>
      </c>
      <c r="D1885" s="196" t="s">
        <v>2209</v>
      </c>
      <c r="E1885" s="148"/>
      <c r="F1885" s="196">
        <v>2003</v>
      </c>
      <c r="G1885" s="148"/>
      <c r="H1885" s="196" t="s">
        <v>1878</v>
      </c>
      <c r="I1885" s="141" t="s">
        <v>1914</v>
      </c>
      <c r="J1885" s="148"/>
      <c r="K1885" s="196" t="s">
        <v>1881</v>
      </c>
      <c r="L1885" s="240" t="s">
        <v>9293</v>
      </c>
      <c r="M1885" s="196">
        <v>384</v>
      </c>
      <c r="N1885" s="148"/>
      <c r="O1885" s="196" t="s">
        <v>6983</v>
      </c>
      <c r="P1885" s="144">
        <v>372</v>
      </c>
      <c r="Q1885" s="145">
        <f t="shared" si="126"/>
        <v>1.7103999999999997</v>
      </c>
      <c r="R1885" s="203">
        <v>1.2</v>
      </c>
      <c r="S1885" s="244">
        <v>1.55</v>
      </c>
      <c r="T1885" s="151">
        <v>0.13</v>
      </c>
      <c r="U1885" s="151">
        <v>1.9</v>
      </c>
      <c r="V1885" s="151">
        <v>0.33999999999999997</v>
      </c>
      <c r="W1885" s="151">
        <v>0.35</v>
      </c>
      <c r="X1885" s="152">
        <v>0.19039999999999999</v>
      </c>
      <c r="Y1885" s="152">
        <f t="shared" si="128"/>
        <v>1.55</v>
      </c>
      <c r="Z1885" s="152">
        <f t="shared" si="129"/>
        <v>2.9103999999999997</v>
      </c>
      <c r="AA1885" s="153"/>
      <c r="AB1885" s="153"/>
      <c r="AC1885" s="153"/>
      <c r="AD1885" s="153"/>
      <c r="AH1885" s="147"/>
    </row>
    <row r="1886" spans="1:34" s="146" customFormat="1" x14ac:dyDescent="0.25">
      <c r="A1886" s="142">
        <v>649</v>
      </c>
      <c r="B1886" s="148"/>
      <c r="C1886" s="196" t="s">
        <v>9294</v>
      </c>
      <c r="D1886" s="196" t="s">
        <v>9295</v>
      </c>
      <c r="E1886" s="148"/>
      <c r="F1886" s="148"/>
      <c r="G1886" s="148"/>
      <c r="H1886" s="196" t="s">
        <v>2734</v>
      </c>
      <c r="I1886" s="141" t="s">
        <v>1879</v>
      </c>
      <c r="J1886" s="148"/>
      <c r="K1886" s="196" t="s">
        <v>1881</v>
      </c>
      <c r="L1886" s="240" t="s">
        <v>9296</v>
      </c>
      <c r="M1886" s="196">
        <v>66</v>
      </c>
      <c r="N1886" s="148"/>
      <c r="O1886" s="196" t="s">
        <v>6984</v>
      </c>
      <c r="P1886" s="144">
        <v>504</v>
      </c>
      <c r="Q1886" s="145">
        <f t="shared" si="126"/>
        <v>1.5104</v>
      </c>
      <c r="R1886" s="203">
        <v>1.7</v>
      </c>
      <c r="S1886" s="244">
        <v>2.7</v>
      </c>
      <c r="T1886" s="151">
        <v>0.13</v>
      </c>
      <c r="U1886" s="151">
        <v>2.2000000000000002</v>
      </c>
      <c r="V1886" s="151">
        <v>0.33999999999999997</v>
      </c>
      <c r="W1886" s="151">
        <v>0.35</v>
      </c>
      <c r="X1886" s="152">
        <v>0.19039999999999999</v>
      </c>
      <c r="Y1886" s="152">
        <f t="shared" si="128"/>
        <v>2.7</v>
      </c>
      <c r="Z1886" s="152">
        <f t="shared" si="129"/>
        <v>3.2103999999999999</v>
      </c>
      <c r="AA1886" s="153"/>
      <c r="AB1886" s="153"/>
      <c r="AC1886" s="153"/>
      <c r="AD1886" s="153"/>
      <c r="AH1886" s="147"/>
    </row>
    <row r="1887" spans="1:34" s="146" customFormat="1" x14ac:dyDescent="0.25">
      <c r="A1887" s="142">
        <v>1312</v>
      </c>
      <c r="B1887" s="148"/>
      <c r="C1887" s="196" t="s">
        <v>9297</v>
      </c>
      <c r="D1887" s="196" t="s">
        <v>9298</v>
      </c>
      <c r="E1887" s="148"/>
      <c r="F1887" s="196">
        <v>2000</v>
      </c>
      <c r="G1887" s="148"/>
      <c r="H1887" s="196" t="s">
        <v>2734</v>
      </c>
      <c r="I1887" s="141" t="s">
        <v>1879</v>
      </c>
      <c r="J1887" s="148"/>
      <c r="K1887" s="196" t="s">
        <v>1881</v>
      </c>
      <c r="L1887" s="241"/>
      <c r="M1887" s="148"/>
      <c r="N1887" s="148"/>
      <c r="O1887" s="196" t="s">
        <v>6985</v>
      </c>
      <c r="P1887" s="144">
        <v>216</v>
      </c>
      <c r="Q1887" s="145">
        <f t="shared" si="126"/>
        <v>1.7313999999999996</v>
      </c>
      <c r="R1887" s="203">
        <v>1.2</v>
      </c>
      <c r="S1887" s="244"/>
      <c r="T1887" s="151">
        <v>0.13</v>
      </c>
      <c r="U1887" s="151">
        <v>1.9</v>
      </c>
      <c r="V1887" s="151">
        <v>0.33999999999999997</v>
      </c>
      <c r="W1887" s="151">
        <v>0.35</v>
      </c>
      <c r="X1887" s="152">
        <v>0.2114</v>
      </c>
      <c r="Y1887" s="152">
        <f t="shared" si="128"/>
        <v>0</v>
      </c>
      <c r="Z1887" s="152">
        <f t="shared" si="129"/>
        <v>2.9313999999999996</v>
      </c>
      <c r="AA1887" s="153"/>
      <c r="AB1887" s="153"/>
      <c r="AC1887" s="153"/>
      <c r="AD1887" s="153"/>
      <c r="AH1887" s="147"/>
    </row>
    <row r="1888" spans="1:34" s="146" customFormat="1" x14ac:dyDescent="0.25">
      <c r="A1888" s="142">
        <v>691</v>
      </c>
      <c r="B1888" s="196" t="s">
        <v>9299</v>
      </c>
      <c r="C1888" s="196" t="s">
        <v>9300</v>
      </c>
      <c r="D1888" s="196" t="s">
        <v>9301</v>
      </c>
      <c r="E1888" s="148"/>
      <c r="F1888" s="148"/>
      <c r="G1888" s="148"/>
      <c r="H1888" s="196" t="s">
        <v>2734</v>
      </c>
      <c r="I1888" s="141" t="s">
        <v>1879</v>
      </c>
      <c r="J1888" s="148"/>
      <c r="K1888" s="196" t="s">
        <v>1881</v>
      </c>
      <c r="L1888" s="240" t="s">
        <v>9302</v>
      </c>
      <c r="M1888" s="148"/>
      <c r="N1888" s="148"/>
      <c r="O1888" s="196" t="s">
        <v>6986</v>
      </c>
      <c r="P1888" s="144">
        <v>231</v>
      </c>
      <c r="Q1888" s="145">
        <f t="shared" si="126"/>
        <v>3.05</v>
      </c>
      <c r="R1888" s="203">
        <v>1.2</v>
      </c>
      <c r="S1888" s="244">
        <v>4.25</v>
      </c>
      <c r="T1888" s="151">
        <v>0.13</v>
      </c>
      <c r="U1888" s="151">
        <v>1.9</v>
      </c>
      <c r="V1888" s="151">
        <v>0.33999999999999997</v>
      </c>
      <c r="W1888" s="151">
        <v>0.35</v>
      </c>
      <c r="X1888" s="152">
        <v>0.19039999999999999</v>
      </c>
      <c r="Y1888" s="152">
        <f t="shared" si="128"/>
        <v>4.25</v>
      </c>
      <c r="Z1888" s="152">
        <f t="shared" si="129"/>
        <v>2.9103999999999997</v>
      </c>
      <c r="AA1888" s="153"/>
      <c r="AB1888" s="153"/>
      <c r="AC1888" s="153"/>
      <c r="AD1888" s="153"/>
      <c r="AH1888" s="147"/>
    </row>
    <row r="1889" spans="1:34" s="146" customFormat="1" x14ac:dyDescent="0.25">
      <c r="A1889" s="142">
        <v>2521</v>
      </c>
      <c r="B1889" s="196" t="s">
        <v>8774</v>
      </c>
      <c r="C1889" s="196" t="s">
        <v>9088</v>
      </c>
      <c r="D1889" s="196" t="s">
        <v>5005</v>
      </c>
      <c r="E1889" s="196" t="s">
        <v>1899</v>
      </c>
      <c r="F1889" s="196">
        <v>1996</v>
      </c>
      <c r="G1889" s="148"/>
      <c r="H1889" s="196" t="s">
        <v>2734</v>
      </c>
      <c r="I1889" s="141" t="s">
        <v>1914</v>
      </c>
      <c r="J1889" s="148"/>
      <c r="K1889" s="196" t="s">
        <v>1881</v>
      </c>
      <c r="L1889" s="240" t="s">
        <v>9303</v>
      </c>
      <c r="M1889" s="196">
        <v>578</v>
      </c>
      <c r="N1889" s="148"/>
      <c r="O1889" s="196" t="s">
        <v>6987</v>
      </c>
      <c r="P1889" s="144">
        <v>818</v>
      </c>
      <c r="Q1889" s="145">
        <f t="shared" si="126"/>
        <v>1.5104</v>
      </c>
      <c r="R1889" s="203">
        <v>1.7</v>
      </c>
      <c r="S1889" s="244">
        <f>0.25+1.9</f>
        <v>2.15</v>
      </c>
      <c r="T1889" s="151">
        <v>0.13</v>
      </c>
      <c r="U1889" s="151">
        <v>2.2000000000000002</v>
      </c>
      <c r="V1889" s="151">
        <v>0.33999999999999997</v>
      </c>
      <c r="W1889" s="151">
        <v>0.35</v>
      </c>
      <c r="X1889" s="152">
        <v>0.19039999999999999</v>
      </c>
      <c r="Y1889" s="152">
        <f t="shared" si="128"/>
        <v>2.15</v>
      </c>
      <c r="Z1889" s="152">
        <f t="shared" si="129"/>
        <v>3.2103999999999999</v>
      </c>
      <c r="AA1889" s="153"/>
      <c r="AB1889" s="153"/>
      <c r="AC1889" s="153"/>
      <c r="AD1889" s="153"/>
      <c r="AH1889" s="147"/>
    </row>
    <row r="1890" spans="1:34" s="146" customFormat="1" x14ac:dyDescent="0.25">
      <c r="A1890" s="142">
        <v>2521</v>
      </c>
      <c r="B1890" s="196" t="s">
        <v>8245</v>
      </c>
      <c r="C1890" s="196" t="s">
        <v>9304</v>
      </c>
      <c r="D1890" s="196" t="s">
        <v>2386</v>
      </c>
      <c r="E1890" s="148"/>
      <c r="F1890" s="196">
        <v>2004</v>
      </c>
      <c r="G1890" s="148"/>
      <c r="H1890" s="196" t="s">
        <v>2734</v>
      </c>
      <c r="I1890" s="141" t="s">
        <v>1879</v>
      </c>
      <c r="J1890" s="148"/>
      <c r="K1890" s="196" t="s">
        <v>1881</v>
      </c>
      <c r="L1890" s="240" t="s">
        <v>9305</v>
      </c>
      <c r="M1890" s="196">
        <v>610</v>
      </c>
      <c r="N1890" s="148"/>
      <c r="O1890" s="196" t="s">
        <v>6988</v>
      </c>
      <c r="P1890" s="144">
        <v>757</v>
      </c>
      <c r="Q1890" s="145">
        <f t="shared" si="126"/>
        <v>1.5313999999999999</v>
      </c>
      <c r="R1890" s="203">
        <v>1.7</v>
      </c>
      <c r="S1890" s="244">
        <v>2.0499999999999998</v>
      </c>
      <c r="T1890" s="151">
        <v>0.13</v>
      </c>
      <c r="U1890" s="151">
        <v>2.2000000000000002</v>
      </c>
      <c r="V1890" s="151">
        <v>0.33999999999999997</v>
      </c>
      <c r="W1890" s="151">
        <v>0.35</v>
      </c>
      <c r="X1890" s="152">
        <v>0.2114</v>
      </c>
      <c r="Y1890" s="152">
        <f t="shared" si="128"/>
        <v>2.0499999999999998</v>
      </c>
      <c r="Z1890" s="152">
        <f t="shared" si="129"/>
        <v>3.2313999999999998</v>
      </c>
      <c r="AA1890" s="153"/>
      <c r="AB1890" s="153"/>
      <c r="AC1890" s="153"/>
      <c r="AD1890" s="153"/>
      <c r="AH1890" s="147"/>
    </row>
    <row r="1891" spans="1:34" s="146" customFormat="1" x14ac:dyDescent="0.25">
      <c r="A1891" s="142">
        <v>2522</v>
      </c>
      <c r="B1891" s="196" t="s">
        <v>6445</v>
      </c>
      <c r="C1891" s="196" t="s">
        <v>9306</v>
      </c>
      <c r="D1891" s="196" t="s">
        <v>9307</v>
      </c>
      <c r="E1891" s="196" t="s">
        <v>1913</v>
      </c>
      <c r="F1891" s="196">
        <v>2006</v>
      </c>
      <c r="G1891" s="148"/>
      <c r="H1891" s="196" t="s">
        <v>2734</v>
      </c>
      <c r="I1891" s="141" t="s">
        <v>1879</v>
      </c>
      <c r="J1891" s="148"/>
      <c r="K1891" s="196" t="s">
        <v>1881</v>
      </c>
      <c r="L1891" s="240" t="s">
        <v>9308</v>
      </c>
      <c r="M1891" s="196">
        <v>354</v>
      </c>
      <c r="N1891" s="148"/>
      <c r="O1891" s="196" t="s">
        <v>6989</v>
      </c>
      <c r="P1891" s="144">
        <v>573</v>
      </c>
      <c r="Q1891" s="145">
        <f t="shared" si="126"/>
        <v>1.5313999999999999</v>
      </c>
      <c r="R1891" s="203">
        <v>1.7</v>
      </c>
      <c r="S1891" s="244">
        <f>0.5+1.95</f>
        <v>2.4500000000000002</v>
      </c>
      <c r="T1891" s="151">
        <v>0.13</v>
      </c>
      <c r="U1891" s="151">
        <v>2.2000000000000002</v>
      </c>
      <c r="V1891" s="151">
        <v>0.33999999999999997</v>
      </c>
      <c r="W1891" s="151">
        <v>0.35</v>
      </c>
      <c r="X1891" s="152">
        <v>0.2114</v>
      </c>
      <c r="Y1891" s="152">
        <f t="shared" si="128"/>
        <v>2.4500000000000002</v>
      </c>
      <c r="Z1891" s="152">
        <f t="shared" si="129"/>
        <v>3.2313999999999998</v>
      </c>
      <c r="AA1891" s="153"/>
      <c r="AB1891" s="153"/>
      <c r="AC1891" s="153"/>
      <c r="AD1891" s="153"/>
      <c r="AH1891" s="147"/>
    </row>
    <row r="1892" spans="1:34" s="146" customFormat="1" x14ac:dyDescent="0.25">
      <c r="A1892" s="142">
        <v>796</v>
      </c>
      <c r="B1892" s="196" t="s">
        <v>3143</v>
      </c>
      <c r="C1892" s="196" t="s">
        <v>3144</v>
      </c>
      <c r="D1892" s="196" t="s">
        <v>9309</v>
      </c>
      <c r="E1892" s="148"/>
      <c r="F1892" s="196">
        <v>2004</v>
      </c>
      <c r="G1892" s="148"/>
      <c r="H1892" s="196" t="s">
        <v>2734</v>
      </c>
      <c r="I1892" s="141" t="s">
        <v>1879</v>
      </c>
      <c r="J1892" s="148"/>
      <c r="K1892" s="196" t="s">
        <v>1881</v>
      </c>
      <c r="L1892" s="241"/>
      <c r="M1892" s="196">
        <v>418</v>
      </c>
      <c r="N1892" s="148"/>
      <c r="O1892" s="196" t="s">
        <v>6990</v>
      </c>
      <c r="P1892" s="144">
        <v>582</v>
      </c>
      <c r="Q1892" s="145">
        <f t="shared" si="126"/>
        <v>1.5313999999999999</v>
      </c>
      <c r="R1892" s="203">
        <v>1.7</v>
      </c>
      <c r="S1892" s="244">
        <v>1.5</v>
      </c>
      <c r="T1892" s="151">
        <v>0.13</v>
      </c>
      <c r="U1892" s="151">
        <v>2.2000000000000002</v>
      </c>
      <c r="V1892" s="151">
        <v>0.33999999999999997</v>
      </c>
      <c r="W1892" s="151">
        <v>0.35</v>
      </c>
      <c r="X1892" s="152">
        <v>0.2114</v>
      </c>
      <c r="Y1892" s="152">
        <f t="shared" si="128"/>
        <v>1.5</v>
      </c>
      <c r="Z1892" s="152">
        <f t="shared" si="129"/>
        <v>3.2313999999999998</v>
      </c>
      <c r="AA1892" s="153"/>
      <c r="AB1892" s="153"/>
      <c r="AC1892" s="153"/>
      <c r="AD1892" s="153"/>
      <c r="AH1892" s="147"/>
    </row>
    <row r="1893" spans="1:34" s="146" customFormat="1" x14ac:dyDescent="0.25">
      <c r="A1893" s="142">
        <v>852</v>
      </c>
      <c r="B1893" s="196" t="s">
        <v>9310</v>
      </c>
      <c r="C1893" s="196" t="s">
        <v>9311</v>
      </c>
      <c r="D1893" s="196" t="s">
        <v>2901</v>
      </c>
      <c r="E1893" s="148"/>
      <c r="F1893" s="196">
        <v>1982</v>
      </c>
      <c r="G1893" s="148"/>
      <c r="H1893" s="196" t="s">
        <v>2734</v>
      </c>
      <c r="I1893" s="141" t="s">
        <v>1879</v>
      </c>
      <c r="J1893" s="148"/>
      <c r="K1893" s="196" t="s">
        <v>1881</v>
      </c>
      <c r="L1893" s="240" t="s">
        <v>9312</v>
      </c>
      <c r="M1893" s="196">
        <v>418</v>
      </c>
      <c r="N1893" s="148"/>
      <c r="O1893" s="196" t="s">
        <v>6991</v>
      </c>
      <c r="P1893" s="144">
        <v>458</v>
      </c>
      <c r="Q1893" s="145">
        <f t="shared" si="126"/>
        <v>1.7313999999999996</v>
      </c>
      <c r="R1893" s="203">
        <v>1.2</v>
      </c>
      <c r="S1893" s="244">
        <f>1.5+1.2</f>
        <v>2.7</v>
      </c>
      <c r="T1893" s="151">
        <v>0.13</v>
      </c>
      <c r="U1893" s="151">
        <v>1.9</v>
      </c>
      <c r="V1893" s="151">
        <v>0.33999999999999997</v>
      </c>
      <c r="W1893" s="151">
        <v>0.35</v>
      </c>
      <c r="X1893" s="152">
        <v>0.2114</v>
      </c>
      <c r="Y1893" s="152">
        <f t="shared" si="128"/>
        <v>2.7</v>
      </c>
      <c r="Z1893" s="152">
        <f t="shared" si="129"/>
        <v>2.9313999999999996</v>
      </c>
      <c r="AA1893" s="153"/>
      <c r="AB1893" s="153"/>
      <c r="AC1893" s="153"/>
      <c r="AD1893" s="153"/>
      <c r="AH1893" s="147"/>
    </row>
    <row r="1894" spans="1:34" s="146" customFormat="1" x14ac:dyDescent="0.25">
      <c r="A1894" s="142">
        <v>1904</v>
      </c>
      <c r="B1894" s="196" t="s">
        <v>7541</v>
      </c>
      <c r="C1894" s="196" t="s">
        <v>9313</v>
      </c>
      <c r="D1894" s="196" t="s">
        <v>2209</v>
      </c>
      <c r="E1894" s="196" t="s">
        <v>2175</v>
      </c>
      <c r="F1894" s="196">
        <v>1992</v>
      </c>
      <c r="G1894" s="148"/>
      <c r="H1894" s="196" t="s">
        <v>1878</v>
      </c>
      <c r="I1894" s="141" t="s">
        <v>1914</v>
      </c>
      <c r="J1894" s="148"/>
      <c r="K1894" s="196" t="s">
        <v>1881</v>
      </c>
      <c r="L1894" s="240" t="s">
        <v>9314</v>
      </c>
      <c r="M1894" s="196">
        <v>560</v>
      </c>
      <c r="N1894" s="148"/>
      <c r="O1894" s="196" t="s">
        <v>6992</v>
      </c>
      <c r="P1894" s="144">
        <v>424</v>
      </c>
      <c r="Q1894" s="145">
        <f t="shared" si="126"/>
        <v>1.7103999999999997</v>
      </c>
      <c r="R1894" s="203">
        <v>1.2</v>
      </c>
      <c r="S1894" s="244">
        <v>1.55</v>
      </c>
      <c r="T1894" s="151">
        <v>0.13</v>
      </c>
      <c r="U1894" s="151">
        <v>1.9</v>
      </c>
      <c r="V1894" s="151">
        <v>0.33999999999999997</v>
      </c>
      <c r="W1894" s="151">
        <v>0.35</v>
      </c>
      <c r="X1894" s="152">
        <v>0.19039999999999999</v>
      </c>
      <c r="Y1894" s="152">
        <f t="shared" si="128"/>
        <v>1.55</v>
      </c>
      <c r="Z1894" s="152">
        <f t="shared" si="129"/>
        <v>2.9103999999999997</v>
      </c>
      <c r="AA1894" s="153"/>
      <c r="AB1894" s="153"/>
      <c r="AC1894" s="153"/>
      <c r="AD1894" s="153"/>
      <c r="AH1894" s="147"/>
    </row>
    <row r="1895" spans="1:34" s="146" customFormat="1" x14ac:dyDescent="0.25">
      <c r="A1895" s="142">
        <v>1232</v>
      </c>
      <c r="B1895" s="196" t="s">
        <v>9315</v>
      </c>
      <c r="C1895" s="196" t="s">
        <v>9316</v>
      </c>
      <c r="D1895" s="196" t="s">
        <v>9317</v>
      </c>
      <c r="E1895" s="148"/>
      <c r="F1895" s="196">
        <v>1978</v>
      </c>
      <c r="G1895" s="148"/>
      <c r="H1895" s="196" t="s">
        <v>2734</v>
      </c>
      <c r="I1895" s="141" t="s">
        <v>1879</v>
      </c>
      <c r="J1895" s="148"/>
      <c r="K1895" s="196" t="s">
        <v>1881</v>
      </c>
      <c r="L1895" s="240" t="s">
        <v>9318</v>
      </c>
      <c r="M1895" s="196">
        <v>274</v>
      </c>
      <c r="N1895" s="148"/>
      <c r="O1895" s="196" t="s">
        <v>6993</v>
      </c>
      <c r="P1895" s="144">
        <v>411</v>
      </c>
      <c r="Q1895" s="145">
        <f t="shared" si="126"/>
        <v>1.7103999999999997</v>
      </c>
      <c r="R1895" s="203">
        <v>1.2</v>
      </c>
      <c r="S1895" s="244">
        <v>2.25</v>
      </c>
      <c r="T1895" s="151">
        <v>0.13</v>
      </c>
      <c r="U1895" s="151">
        <v>1.9</v>
      </c>
      <c r="V1895" s="151">
        <v>0.33999999999999997</v>
      </c>
      <c r="W1895" s="151">
        <v>0.35</v>
      </c>
      <c r="X1895" s="152">
        <v>0.19039999999999999</v>
      </c>
      <c r="Y1895" s="152">
        <f t="shared" si="128"/>
        <v>2.25</v>
      </c>
      <c r="Z1895" s="152">
        <f t="shared" si="129"/>
        <v>2.9103999999999997</v>
      </c>
      <c r="AA1895" s="153"/>
      <c r="AB1895" s="153"/>
      <c r="AC1895" s="153"/>
      <c r="AD1895" s="153"/>
      <c r="AH1895" s="147"/>
    </row>
    <row r="1896" spans="1:34" s="146" customFormat="1" x14ac:dyDescent="0.25">
      <c r="A1896" s="142">
        <v>632</v>
      </c>
      <c r="B1896" s="196" t="s">
        <v>9319</v>
      </c>
      <c r="C1896" s="196" t="s">
        <v>9320</v>
      </c>
      <c r="D1896" s="196" t="s">
        <v>1920</v>
      </c>
      <c r="E1896" s="148"/>
      <c r="F1896" s="196">
        <v>2001</v>
      </c>
      <c r="G1896" s="148"/>
      <c r="H1896" s="196" t="s">
        <v>1878</v>
      </c>
      <c r="I1896" s="141" t="s">
        <v>1914</v>
      </c>
      <c r="J1896" s="143" t="s">
        <v>9321</v>
      </c>
      <c r="K1896" s="196" t="s">
        <v>1881</v>
      </c>
      <c r="L1896" s="240" t="s">
        <v>9322</v>
      </c>
      <c r="M1896" s="196">
        <v>384</v>
      </c>
      <c r="N1896" s="148"/>
      <c r="O1896" s="196" t="s">
        <v>6994</v>
      </c>
      <c r="P1896" s="144">
        <v>328</v>
      </c>
      <c r="Q1896" s="145">
        <f t="shared" ref="Q1896:Q1957" si="130">IF(Y1896&gt;Z1896,Y1896,Z1896)-R1896</f>
        <v>1.7103999999999997</v>
      </c>
      <c r="R1896" s="203">
        <v>1.2</v>
      </c>
      <c r="S1896" s="244">
        <v>1.9</v>
      </c>
      <c r="T1896" s="151">
        <v>0.13</v>
      </c>
      <c r="U1896" s="151">
        <v>1.9</v>
      </c>
      <c r="V1896" s="151">
        <v>0.33999999999999997</v>
      </c>
      <c r="W1896" s="151">
        <v>0.35</v>
      </c>
      <c r="X1896" s="152">
        <v>0.19039999999999999</v>
      </c>
      <c r="Y1896" s="152">
        <f t="shared" si="128"/>
        <v>1.9</v>
      </c>
      <c r="Z1896" s="152">
        <f t="shared" si="129"/>
        <v>2.9103999999999997</v>
      </c>
      <c r="AA1896" s="153"/>
      <c r="AB1896" s="153"/>
      <c r="AC1896" s="153"/>
      <c r="AD1896" s="153"/>
      <c r="AH1896" s="147"/>
    </row>
    <row r="1898" spans="1:34" s="146" customFormat="1" x14ac:dyDescent="0.25">
      <c r="A1898" s="148"/>
      <c r="B1898" s="196" t="s">
        <v>9327</v>
      </c>
      <c r="C1898" s="196" t="s">
        <v>9328</v>
      </c>
      <c r="D1898" s="196" t="s">
        <v>9329</v>
      </c>
      <c r="E1898" s="148"/>
      <c r="F1898" s="196">
        <v>2001</v>
      </c>
      <c r="G1898" s="148"/>
      <c r="H1898" s="196" t="s">
        <v>2734</v>
      </c>
      <c r="I1898" s="141" t="s">
        <v>1879</v>
      </c>
      <c r="J1898" s="148"/>
      <c r="K1898" s="196" t="s">
        <v>1881</v>
      </c>
      <c r="L1898" s="240" t="s">
        <v>9330</v>
      </c>
      <c r="M1898" s="196">
        <v>100</v>
      </c>
      <c r="N1898" s="148"/>
      <c r="O1898" s="196" t="s">
        <v>6996</v>
      </c>
      <c r="P1898" s="144">
        <v>291</v>
      </c>
      <c r="Q1898" s="145">
        <f t="shared" si="130"/>
        <v>3</v>
      </c>
      <c r="R1898" s="203">
        <v>1.2</v>
      </c>
      <c r="S1898" s="244">
        <v>4.2</v>
      </c>
      <c r="T1898" s="151">
        <v>0.13</v>
      </c>
      <c r="U1898" s="151">
        <v>1.9</v>
      </c>
      <c r="V1898" s="151">
        <v>0.33999999999999997</v>
      </c>
      <c r="W1898" s="151">
        <v>0.35</v>
      </c>
      <c r="X1898" s="152">
        <v>0.2114</v>
      </c>
      <c r="Y1898" s="152">
        <f t="shared" si="128"/>
        <v>4.2</v>
      </c>
      <c r="Z1898" s="152">
        <f t="shared" si="129"/>
        <v>2.9313999999999996</v>
      </c>
      <c r="AA1898" s="153"/>
      <c r="AB1898" s="153"/>
      <c r="AC1898" s="153"/>
      <c r="AD1898" s="153"/>
      <c r="AH1898" s="147"/>
    </row>
    <row r="1899" spans="1:34" s="146" customFormat="1" x14ac:dyDescent="0.25">
      <c r="A1899" s="142">
        <v>1332</v>
      </c>
      <c r="B1899" s="196" t="s">
        <v>9331</v>
      </c>
      <c r="C1899" s="196" t="s">
        <v>9332</v>
      </c>
      <c r="D1899" s="196" t="s">
        <v>2050</v>
      </c>
      <c r="E1899" s="148"/>
      <c r="F1899" s="196">
        <v>1997</v>
      </c>
      <c r="G1899" s="148"/>
      <c r="H1899" s="196" t="s">
        <v>2734</v>
      </c>
      <c r="I1899" s="141" t="s">
        <v>1879</v>
      </c>
      <c r="J1899" s="148"/>
      <c r="K1899" s="196" t="s">
        <v>1881</v>
      </c>
      <c r="L1899" s="240" t="s">
        <v>9333</v>
      </c>
      <c r="M1899" s="196">
        <v>142</v>
      </c>
      <c r="N1899" s="148"/>
      <c r="O1899" s="196" t="s">
        <v>6997</v>
      </c>
      <c r="P1899" s="144">
        <v>522</v>
      </c>
      <c r="Q1899" s="145">
        <f t="shared" si="130"/>
        <v>1.5104</v>
      </c>
      <c r="R1899" s="203">
        <v>1.7</v>
      </c>
      <c r="S1899" s="244">
        <v>2.5</v>
      </c>
      <c r="T1899" s="151">
        <v>0.13</v>
      </c>
      <c r="U1899" s="151">
        <v>2.2000000000000002</v>
      </c>
      <c r="V1899" s="151">
        <v>0.33999999999999997</v>
      </c>
      <c r="W1899" s="151">
        <v>0.35</v>
      </c>
      <c r="X1899" s="152">
        <v>0.19039999999999999</v>
      </c>
      <c r="Y1899" s="152">
        <f t="shared" si="128"/>
        <v>2.5</v>
      </c>
      <c r="Z1899" s="152">
        <f t="shared" si="129"/>
        <v>3.2103999999999999</v>
      </c>
      <c r="AA1899" s="153"/>
      <c r="AB1899" s="153"/>
      <c r="AC1899" s="153"/>
      <c r="AD1899" s="153"/>
      <c r="AH1899" s="147"/>
    </row>
    <row r="1900" spans="1:34" s="146" customFormat="1" x14ac:dyDescent="0.25">
      <c r="A1900" s="142">
        <v>632</v>
      </c>
      <c r="B1900" s="196" t="s">
        <v>9334</v>
      </c>
      <c r="C1900" s="196" t="s">
        <v>9335</v>
      </c>
      <c r="D1900" s="196" t="s">
        <v>1920</v>
      </c>
      <c r="E1900" s="148"/>
      <c r="F1900" s="196">
        <v>2005</v>
      </c>
      <c r="G1900" s="148"/>
      <c r="H1900" s="196" t="s">
        <v>1878</v>
      </c>
      <c r="I1900" s="141" t="s">
        <v>1879</v>
      </c>
      <c r="J1900" s="148"/>
      <c r="K1900" s="196" t="s">
        <v>1881</v>
      </c>
      <c r="L1900" s="240" t="s">
        <v>9336</v>
      </c>
      <c r="M1900" s="196">
        <v>624</v>
      </c>
      <c r="N1900" s="148"/>
      <c r="O1900" s="196" t="s">
        <v>6998</v>
      </c>
      <c r="P1900" s="144">
        <v>533</v>
      </c>
      <c r="Q1900" s="145">
        <f t="shared" si="130"/>
        <v>1.5313999999999999</v>
      </c>
      <c r="R1900" s="203">
        <v>1.7</v>
      </c>
      <c r="S1900" s="244">
        <v>2.4</v>
      </c>
      <c r="T1900" s="151">
        <v>0.13</v>
      </c>
      <c r="U1900" s="151">
        <v>2.2000000000000002</v>
      </c>
      <c r="V1900" s="151">
        <v>0.33999999999999997</v>
      </c>
      <c r="W1900" s="151">
        <v>0.35</v>
      </c>
      <c r="X1900" s="152">
        <v>0.2114</v>
      </c>
      <c r="Y1900" s="152">
        <f t="shared" si="128"/>
        <v>2.4</v>
      </c>
      <c r="Z1900" s="152">
        <f t="shared" si="129"/>
        <v>3.2313999999999998</v>
      </c>
      <c r="AA1900" s="153"/>
      <c r="AB1900" s="153"/>
      <c r="AC1900" s="153"/>
      <c r="AD1900" s="153"/>
      <c r="AH1900" s="147"/>
    </row>
    <row r="1901" spans="1:34" s="146" customFormat="1" x14ac:dyDescent="0.25">
      <c r="A1901" s="142">
        <v>1279</v>
      </c>
      <c r="B1901" s="148"/>
      <c r="C1901" s="196" t="s">
        <v>9340</v>
      </c>
      <c r="D1901" s="196" t="s">
        <v>6049</v>
      </c>
      <c r="E1901" s="148"/>
      <c r="F1901" s="196">
        <v>1989</v>
      </c>
      <c r="G1901" s="148"/>
      <c r="H1901" s="196" t="s">
        <v>4297</v>
      </c>
      <c r="I1901" s="141" t="s">
        <v>1879</v>
      </c>
      <c r="J1901" s="148"/>
      <c r="K1901" s="196" t="s">
        <v>1881</v>
      </c>
      <c r="L1901" s="240" t="s">
        <v>9341</v>
      </c>
      <c r="M1901" s="196">
        <v>176</v>
      </c>
      <c r="N1901" s="148"/>
      <c r="O1901" s="196" t="s">
        <v>7000</v>
      </c>
      <c r="P1901" s="144">
        <v>430</v>
      </c>
      <c r="Q1901" s="145">
        <f t="shared" si="130"/>
        <v>2.5199999999999996</v>
      </c>
      <c r="R1901" s="203">
        <v>1.2</v>
      </c>
      <c r="S1901" s="244">
        <f>2.27+1.45</f>
        <v>3.7199999999999998</v>
      </c>
      <c r="T1901" s="151">
        <v>0.13</v>
      </c>
      <c r="U1901" s="151">
        <v>1.9</v>
      </c>
      <c r="V1901" s="151">
        <v>0.33999999999999997</v>
      </c>
      <c r="W1901" s="151">
        <v>0.35</v>
      </c>
      <c r="X1901" s="152">
        <v>0.2114</v>
      </c>
      <c r="Y1901" s="152">
        <f t="shared" si="128"/>
        <v>3.7199999999999998</v>
      </c>
      <c r="Z1901" s="152">
        <f t="shared" si="129"/>
        <v>2.9313999999999996</v>
      </c>
      <c r="AA1901" s="153"/>
      <c r="AB1901" s="153"/>
      <c r="AC1901" s="153"/>
      <c r="AD1901" s="153"/>
      <c r="AH1901" s="147"/>
    </row>
    <row r="1902" spans="1:34" s="146" customFormat="1" x14ac:dyDescent="0.25">
      <c r="A1902" s="142">
        <v>692</v>
      </c>
      <c r="B1902" s="196" t="s">
        <v>2870</v>
      </c>
      <c r="C1902" s="196" t="s">
        <v>9342</v>
      </c>
      <c r="D1902" s="196" t="s">
        <v>2054</v>
      </c>
      <c r="E1902" s="148"/>
      <c r="F1902" s="148"/>
      <c r="G1902" s="148"/>
      <c r="H1902" s="196" t="s">
        <v>2734</v>
      </c>
      <c r="I1902" s="141" t="s">
        <v>1879</v>
      </c>
      <c r="J1902" s="148"/>
      <c r="K1902" s="196" t="s">
        <v>1881</v>
      </c>
      <c r="L1902" s="240" t="s">
        <v>9343</v>
      </c>
      <c r="M1902" s="196">
        <v>322</v>
      </c>
      <c r="N1902" s="148"/>
      <c r="O1902" s="196" t="s">
        <v>7001</v>
      </c>
      <c r="P1902" s="144">
        <v>385</v>
      </c>
      <c r="Q1902" s="145">
        <f t="shared" si="130"/>
        <v>1.7103999999999997</v>
      </c>
      <c r="R1902" s="203">
        <v>1.2</v>
      </c>
      <c r="S1902" s="244">
        <f>0.85+1.7</f>
        <v>2.5499999999999998</v>
      </c>
      <c r="T1902" s="151">
        <v>0.13</v>
      </c>
      <c r="U1902" s="151">
        <v>1.9</v>
      </c>
      <c r="V1902" s="151">
        <v>0.33999999999999997</v>
      </c>
      <c r="W1902" s="151">
        <v>0.35</v>
      </c>
      <c r="X1902" s="152">
        <v>0.19039999999999999</v>
      </c>
      <c r="Y1902" s="152">
        <f t="shared" si="128"/>
        <v>2.5499999999999998</v>
      </c>
      <c r="Z1902" s="152">
        <f t="shared" si="129"/>
        <v>2.9103999999999997</v>
      </c>
      <c r="AA1902" s="153"/>
      <c r="AB1902" s="153"/>
      <c r="AC1902" s="153"/>
      <c r="AD1902" s="153"/>
      <c r="AH1902" s="147"/>
    </row>
    <row r="1903" spans="1:34" s="146" customFormat="1" x14ac:dyDescent="0.25">
      <c r="A1903" s="142">
        <v>692</v>
      </c>
      <c r="B1903" s="196" t="s">
        <v>2870</v>
      </c>
      <c r="C1903" s="196" t="s">
        <v>9344</v>
      </c>
      <c r="D1903" s="196" t="s">
        <v>2054</v>
      </c>
      <c r="E1903" s="148"/>
      <c r="F1903" s="148"/>
      <c r="G1903" s="148"/>
      <c r="H1903" s="196" t="s">
        <v>2734</v>
      </c>
      <c r="I1903" s="141" t="s">
        <v>1879</v>
      </c>
      <c r="J1903" s="148"/>
      <c r="K1903" s="196" t="s">
        <v>1881</v>
      </c>
      <c r="L1903" s="240" t="s">
        <v>9345</v>
      </c>
      <c r="M1903" s="196">
        <v>290</v>
      </c>
      <c r="N1903" s="148"/>
      <c r="O1903" s="196" t="s">
        <v>7002</v>
      </c>
      <c r="P1903" s="144">
        <v>352</v>
      </c>
      <c r="Q1903" s="145">
        <f t="shared" si="130"/>
        <v>2.2000000000000002</v>
      </c>
      <c r="R1903" s="203">
        <v>1.2</v>
      </c>
      <c r="S1903" s="244">
        <f>1.9+1.5</f>
        <v>3.4</v>
      </c>
      <c r="T1903" s="151">
        <v>0.13</v>
      </c>
      <c r="U1903" s="151">
        <v>1.9</v>
      </c>
      <c r="V1903" s="151">
        <v>0.33999999999999997</v>
      </c>
      <c r="W1903" s="151">
        <v>0.35</v>
      </c>
      <c r="X1903" s="152">
        <v>0.19039999999999999</v>
      </c>
      <c r="Y1903" s="152">
        <f t="shared" si="128"/>
        <v>3.4</v>
      </c>
      <c r="Z1903" s="152">
        <f t="shared" si="129"/>
        <v>2.9103999999999997</v>
      </c>
      <c r="AA1903" s="153"/>
      <c r="AB1903" s="153"/>
      <c r="AC1903" s="153"/>
      <c r="AD1903" s="153"/>
      <c r="AH1903" s="147"/>
    </row>
    <row r="1904" spans="1:34" s="146" customFormat="1" x14ac:dyDescent="0.25">
      <c r="A1904" s="142">
        <v>2522</v>
      </c>
      <c r="B1904" s="196" t="s">
        <v>9346</v>
      </c>
      <c r="C1904" s="196" t="s">
        <v>9347</v>
      </c>
      <c r="D1904" s="196" t="s">
        <v>1920</v>
      </c>
      <c r="E1904" s="148"/>
      <c r="F1904" s="196">
        <v>2006</v>
      </c>
      <c r="G1904" s="148"/>
      <c r="H1904" s="196" t="s">
        <v>1878</v>
      </c>
      <c r="I1904" s="141" t="s">
        <v>1879</v>
      </c>
      <c r="J1904" s="148"/>
      <c r="K1904" s="196" t="s">
        <v>1881</v>
      </c>
      <c r="L1904" s="240" t="s">
        <v>9348</v>
      </c>
      <c r="M1904" s="196">
        <v>528</v>
      </c>
      <c r="N1904" s="148"/>
      <c r="O1904" s="196" t="s">
        <v>7003</v>
      </c>
      <c r="P1904" s="144">
        <v>450</v>
      </c>
      <c r="Q1904" s="145">
        <f t="shared" si="130"/>
        <v>1.7103999999999997</v>
      </c>
      <c r="R1904" s="203">
        <v>1.2</v>
      </c>
      <c r="S1904" s="244">
        <f>0.51+0.99</f>
        <v>1.5</v>
      </c>
      <c r="T1904" s="151">
        <v>0.13</v>
      </c>
      <c r="U1904" s="151">
        <v>1.9</v>
      </c>
      <c r="V1904" s="151">
        <v>0.33999999999999997</v>
      </c>
      <c r="W1904" s="151">
        <v>0.35</v>
      </c>
      <c r="X1904" s="152">
        <v>0.19039999999999999</v>
      </c>
      <c r="Y1904" s="152">
        <f t="shared" si="128"/>
        <v>1.5</v>
      </c>
      <c r="Z1904" s="152">
        <f t="shared" si="129"/>
        <v>2.9103999999999997</v>
      </c>
      <c r="AA1904" s="153"/>
      <c r="AB1904" s="153"/>
      <c r="AC1904" s="153"/>
      <c r="AD1904" s="153"/>
      <c r="AH1904" s="147"/>
    </row>
    <row r="1905" spans="1:34" s="146" customFormat="1" x14ac:dyDescent="0.25">
      <c r="A1905" s="142">
        <v>701</v>
      </c>
      <c r="B1905" s="196" t="s">
        <v>9349</v>
      </c>
      <c r="C1905" s="196" t="s">
        <v>9350</v>
      </c>
      <c r="D1905" s="196" t="s">
        <v>1876</v>
      </c>
      <c r="E1905" s="148"/>
      <c r="F1905" s="196">
        <v>2009</v>
      </c>
      <c r="G1905" s="148"/>
      <c r="H1905" s="196" t="s">
        <v>2734</v>
      </c>
      <c r="I1905" s="141" t="s">
        <v>1929</v>
      </c>
      <c r="J1905" s="148"/>
      <c r="K1905" s="196" t="s">
        <v>1881</v>
      </c>
      <c r="L1905" s="240" t="s">
        <v>9351</v>
      </c>
      <c r="M1905" s="196">
        <v>178</v>
      </c>
      <c r="N1905" s="148"/>
      <c r="O1905" s="196" t="s">
        <v>7004</v>
      </c>
      <c r="P1905" s="144">
        <v>241</v>
      </c>
      <c r="Q1905" s="145">
        <f t="shared" si="130"/>
        <v>1.7900000000000003</v>
      </c>
      <c r="R1905" s="203">
        <v>1.2</v>
      </c>
      <c r="S1905" s="244">
        <v>2.99</v>
      </c>
      <c r="T1905" s="151">
        <v>0.13</v>
      </c>
      <c r="U1905" s="151">
        <v>1.9</v>
      </c>
      <c r="V1905" s="151">
        <v>0.33999999999999997</v>
      </c>
      <c r="W1905" s="151">
        <v>0.35</v>
      </c>
      <c r="X1905" s="152">
        <v>0.19039999999999999</v>
      </c>
      <c r="Y1905" s="152">
        <f t="shared" si="128"/>
        <v>2.99</v>
      </c>
      <c r="Z1905" s="152">
        <f t="shared" si="129"/>
        <v>2.9103999999999997</v>
      </c>
      <c r="AA1905" s="153"/>
      <c r="AB1905" s="153"/>
      <c r="AC1905" s="153"/>
      <c r="AD1905" s="153"/>
      <c r="AH1905" s="147"/>
    </row>
    <row r="1906" spans="1:34" s="146" customFormat="1" x14ac:dyDescent="0.25">
      <c r="A1906" s="142">
        <v>481</v>
      </c>
      <c r="B1906" s="148"/>
      <c r="C1906" s="196" t="s">
        <v>9352</v>
      </c>
      <c r="D1906" s="196" t="s">
        <v>2050</v>
      </c>
      <c r="E1906" s="148"/>
      <c r="F1906" s="196">
        <v>1994</v>
      </c>
      <c r="G1906" s="148"/>
      <c r="H1906" s="196" t="s">
        <v>2734</v>
      </c>
      <c r="I1906" s="141" t="s">
        <v>1879</v>
      </c>
      <c r="J1906" s="148"/>
      <c r="K1906" s="196" t="s">
        <v>1881</v>
      </c>
      <c r="L1906" s="240" t="s">
        <v>9353</v>
      </c>
      <c r="M1906" s="196">
        <v>162</v>
      </c>
      <c r="N1906" s="148"/>
      <c r="O1906" s="196" t="s">
        <v>7005</v>
      </c>
      <c r="P1906" s="144">
        <v>911</v>
      </c>
      <c r="Q1906" s="145">
        <f t="shared" si="130"/>
        <v>1.5104</v>
      </c>
      <c r="R1906" s="203">
        <v>1.7</v>
      </c>
      <c r="S1906" s="244">
        <v>2.54</v>
      </c>
      <c r="T1906" s="151">
        <v>0.13</v>
      </c>
      <c r="U1906" s="151">
        <v>2.2000000000000002</v>
      </c>
      <c r="V1906" s="151">
        <v>0.33999999999999997</v>
      </c>
      <c r="W1906" s="151">
        <v>0.35</v>
      </c>
      <c r="X1906" s="152">
        <v>0.19039999999999999</v>
      </c>
      <c r="Y1906" s="152">
        <f t="shared" si="128"/>
        <v>2.54</v>
      </c>
      <c r="Z1906" s="152">
        <f t="shared" si="129"/>
        <v>3.2103999999999999</v>
      </c>
      <c r="AA1906" s="153"/>
      <c r="AB1906" s="153"/>
      <c r="AC1906" s="153"/>
      <c r="AD1906" s="153"/>
      <c r="AH1906" s="147"/>
    </row>
    <row r="1907" spans="1:34" s="146" customFormat="1" x14ac:dyDescent="0.25">
      <c r="A1907" s="142">
        <v>1271</v>
      </c>
      <c r="B1907" s="196" t="s">
        <v>9354</v>
      </c>
      <c r="C1907" s="196" t="s">
        <v>9355</v>
      </c>
      <c r="D1907" s="196" t="s">
        <v>2054</v>
      </c>
      <c r="E1907" s="196" t="s">
        <v>2175</v>
      </c>
      <c r="F1907" s="196">
        <v>1986</v>
      </c>
      <c r="G1907" s="148"/>
      <c r="H1907" s="196" t="s">
        <v>2734</v>
      </c>
      <c r="I1907" s="141" t="s">
        <v>1879</v>
      </c>
      <c r="J1907" s="148"/>
      <c r="K1907" s="196" t="s">
        <v>1881</v>
      </c>
      <c r="L1907" s="240" t="s">
        <v>9356</v>
      </c>
      <c r="M1907" s="196">
        <v>206</v>
      </c>
      <c r="N1907" s="148"/>
      <c r="O1907" s="196" t="s">
        <v>7006</v>
      </c>
      <c r="P1907" s="144">
        <v>1251</v>
      </c>
      <c r="Q1907" s="145">
        <f t="shared" si="130"/>
        <v>4.2099999999999991</v>
      </c>
      <c r="R1907" s="203">
        <v>3.49</v>
      </c>
      <c r="S1907" s="244">
        <f>2.9+4.8</f>
        <v>7.6999999999999993</v>
      </c>
      <c r="T1907" s="151">
        <v>0.13</v>
      </c>
      <c r="U1907" s="151">
        <v>3.49</v>
      </c>
      <c r="V1907" s="151">
        <v>0.33999999999999997</v>
      </c>
      <c r="W1907" s="151">
        <v>0.35</v>
      </c>
      <c r="X1907" s="152">
        <v>0.2114</v>
      </c>
      <c r="Y1907" s="152">
        <f t="shared" si="128"/>
        <v>7.6999999999999993</v>
      </c>
      <c r="Z1907" s="152">
        <f t="shared" si="129"/>
        <v>4.5213999999999999</v>
      </c>
      <c r="AA1907" s="153"/>
      <c r="AB1907" s="153"/>
      <c r="AC1907" s="153"/>
      <c r="AD1907" s="153"/>
      <c r="AH1907" s="147"/>
    </row>
    <row r="1908" spans="1:34" s="146" customFormat="1" x14ac:dyDescent="0.25">
      <c r="A1908" s="142">
        <v>2522</v>
      </c>
      <c r="B1908" s="196" t="s">
        <v>9357</v>
      </c>
      <c r="C1908" s="196" t="s">
        <v>9358</v>
      </c>
      <c r="D1908" s="196" t="s">
        <v>3116</v>
      </c>
      <c r="E1908" s="196" t="s">
        <v>2032</v>
      </c>
      <c r="F1908" s="196">
        <v>2010</v>
      </c>
      <c r="G1908" s="148"/>
      <c r="H1908" s="196" t="s">
        <v>1878</v>
      </c>
      <c r="I1908" s="141" t="s">
        <v>1879</v>
      </c>
      <c r="J1908" s="148"/>
      <c r="K1908" s="196" t="s">
        <v>1881</v>
      </c>
      <c r="L1908" s="240" t="s">
        <v>9359</v>
      </c>
      <c r="M1908" s="196">
        <v>104</v>
      </c>
      <c r="N1908" s="148"/>
      <c r="O1908" s="196" t="s">
        <v>7007</v>
      </c>
      <c r="P1908" s="144">
        <v>95</v>
      </c>
      <c r="Q1908" s="145">
        <f t="shared" si="130"/>
        <v>1.7313999999999996</v>
      </c>
      <c r="R1908" s="203">
        <v>1.2</v>
      </c>
      <c r="S1908" s="244">
        <v>1.7</v>
      </c>
      <c r="T1908" s="151">
        <v>0.13</v>
      </c>
      <c r="U1908" s="151">
        <v>1.9</v>
      </c>
      <c r="V1908" s="151">
        <v>0.33999999999999997</v>
      </c>
      <c r="W1908" s="151">
        <v>0.35</v>
      </c>
      <c r="X1908" s="152">
        <v>0.2114</v>
      </c>
      <c r="Y1908" s="152">
        <f t="shared" si="128"/>
        <v>1.7</v>
      </c>
      <c r="Z1908" s="152">
        <f t="shared" si="129"/>
        <v>2.9313999999999996</v>
      </c>
      <c r="AA1908" s="153"/>
      <c r="AB1908" s="153"/>
      <c r="AC1908" s="153"/>
      <c r="AD1908" s="153"/>
      <c r="AH1908" s="147"/>
    </row>
    <row r="1909" spans="1:34" s="146" customFormat="1" x14ac:dyDescent="0.25">
      <c r="A1909" s="142">
        <v>1231</v>
      </c>
      <c r="B1909" s="196" t="s">
        <v>2199</v>
      </c>
      <c r="C1909" s="196" t="s">
        <v>2200</v>
      </c>
      <c r="D1909" s="196" t="s">
        <v>2257</v>
      </c>
      <c r="E1909" s="148"/>
      <c r="F1909" s="196">
        <v>2007</v>
      </c>
      <c r="G1909" s="148"/>
      <c r="H1909" s="196" t="s">
        <v>1878</v>
      </c>
      <c r="I1909" s="141" t="s">
        <v>1879</v>
      </c>
      <c r="J1909" s="143" t="s">
        <v>9321</v>
      </c>
      <c r="K1909" s="196" t="s">
        <v>1881</v>
      </c>
      <c r="L1909" s="240" t="s">
        <v>2202</v>
      </c>
      <c r="M1909" s="196">
        <v>272</v>
      </c>
      <c r="N1909" s="148"/>
      <c r="O1909" s="196" t="s">
        <v>7008</v>
      </c>
      <c r="P1909" s="144">
        <v>282</v>
      </c>
      <c r="Q1909" s="145">
        <f t="shared" si="130"/>
        <v>1.7103999999999997</v>
      </c>
      <c r="R1909" s="203">
        <v>1.2</v>
      </c>
      <c r="S1909" s="244">
        <f>0.49+0.99</f>
        <v>1.48</v>
      </c>
      <c r="T1909" s="151">
        <v>0.13</v>
      </c>
      <c r="U1909" s="151">
        <v>1.9</v>
      </c>
      <c r="V1909" s="151">
        <v>0.33999999999999997</v>
      </c>
      <c r="W1909" s="151">
        <v>0.35</v>
      </c>
      <c r="X1909" s="152">
        <v>0.19039999999999999</v>
      </c>
      <c r="Y1909" s="152">
        <f t="shared" si="128"/>
        <v>1.48</v>
      </c>
      <c r="Z1909" s="152">
        <f t="shared" si="129"/>
        <v>2.9103999999999997</v>
      </c>
      <c r="AA1909" s="153"/>
      <c r="AB1909" s="153"/>
      <c r="AC1909" s="153"/>
      <c r="AD1909" s="153"/>
      <c r="AH1909" s="147"/>
    </row>
    <row r="1910" spans="1:34" s="146" customFormat="1" x14ac:dyDescent="0.25">
      <c r="A1910" s="142">
        <v>2548</v>
      </c>
      <c r="B1910" s="196" t="s">
        <v>3956</v>
      </c>
      <c r="C1910" s="196" t="s">
        <v>9360</v>
      </c>
      <c r="D1910" s="196" t="s">
        <v>2644</v>
      </c>
      <c r="E1910" s="148"/>
      <c r="F1910" s="196">
        <v>1995</v>
      </c>
      <c r="G1910" s="148"/>
      <c r="H1910" s="196" t="s">
        <v>1878</v>
      </c>
      <c r="I1910" s="141" t="s">
        <v>1879</v>
      </c>
      <c r="J1910" s="148"/>
      <c r="K1910" s="196" t="s">
        <v>1881</v>
      </c>
      <c r="L1910" s="240" t="s">
        <v>9361</v>
      </c>
      <c r="M1910" s="196">
        <v>352</v>
      </c>
      <c r="N1910" s="148"/>
      <c r="O1910" s="196" t="s">
        <v>7009</v>
      </c>
      <c r="P1910" s="144">
        <v>278</v>
      </c>
      <c r="Q1910" s="145">
        <f t="shared" si="130"/>
        <v>1.7103999999999997</v>
      </c>
      <c r="R1910" s="203">
        <v>1.2</v>
      </c>
      <c r="S1910" s="244">
        <v>1.45</v>
      </c>
      <c r="T1910" s="151">
        <v>0.13</v>
      </c>
      <c r="U1910" s="151">
        <v>1.9</v>
      </c>
      <c r="V1910" s="151">
        <v>0.33999999999999997</v>
      </c>
      <c r="W1910" s="151">
        <v>0.35</v>
      </c>
      <c r="X1910" s="152">
        <v>0.19039999999999999</v>
      </c>
      <c r="Y1910" s="152">
        <f t="shared" ref="Y1910:Y1969" si="131">S1910</f>
        <v>1.45</v>
      </c>
      <c r="Z1910" s="152">
        <f t="shared" ref="Z1910:Z1969" si="132">SUM(T1910:X1910)</f>
        <v>2.9103999999999997</v>
      </c>
      <c r="AA1910" s="153"/>
      <c r="AB1910" s="153"/>
      <c r="AC1910" s="153"/>
      <c r="AD1910" s="153"/>
      <c r="AH1910" s="147"/>
    </row>
    <row r="1911" spans="1:34" s="146" customFormat="1" x14ac:dyDescent="0.25">
      <c r="A1911" s="142">
        <v>634</v>
      </c>
      <c r="B1911" s="196" t="s">
        <v>9362</v>
      </c>
      <c r="C1911" s="196" t="s">
        <v>9363</v>
      </c>
      <c r="D1911" s="196" t="s">
        <v>5708</v>
      </c>
      <c r="E1911" s="148"/>
      <c r="F1911" s="196">
        <v>1985</v>
      </c>
      <c r="G1911" s="148"/>
      <c r="H1911" s="196" t="s">
        <v>2734</v>
      </c>
      <c r="I1911" s="141" t="s">
        <v>1879</v>
      </c>
      <c r="J1911" s="148"/>
      <c r="K1911" s="196" t="s">
        <v>1881</v>
      </c>
      <c r="L1911" s="240" t="s">
        <v>9364</v>
      </c>
      <c r="M1911" s="196">
        <v>354</v>
      </c>
      <c r="N1911" s="148"/>
      <c r="O1911" s="196" t="s">
        <v>7010</v>
      </c>
      <c r="P1911" s="144">
        <v>399</v>
      </c>
      <c r="Q1911" s="145">
        <f t="shared" si="130"/>
        <v>1.7103999999999997</v>
      </c>
      <c r="R1911" s="203">
        <v>1.2</v>
      </c>
      <c r="S1911" s="244">
        <f>0.25+1.31</f>
        <v>1.56</v>
      </c>
      <c r="T1911" s="151">
        <v>0.13</v>
      </c>
      <c r="U1911" s="151">
        <v>1.9</v>
      </c>
      <c r="V1911" s="151">
        <v>0.33999999999999997</v>
      </c>
      <c r="W1911" s="151">
        <v>0.35</v>
      </c>
      <c r="X1911" s="152">
        <v>0.19039999999999999</v>
      </c>
      <c r="Y1911" s="152">
        <f t="shared" si="131"/>
        <v>1.56</v>
      </c>
      <c r="Z1911" s="152">
        <f t="shared" si="132"/>
        <v>2.9103999999999997</v>
      </c>
      <c r="AA1911" s="153"/>
      <c r="AB1911" s="153"/>
      <c r="AC1911" s="153"/>
      <c r="AD1911" s="153"/>
      <c r="AH1911" s="147"/>
    </row>
    <row r="1912" spans="1:34" s="146" customFormat="1" x14ac:dyDescent="0.25">
      <c r="A1912" s="142">
        <v>1324</v>
      </c>
      <c r="B1912" s="196" t="s">
        <v>7994</v>
      </c>
      <c r="C1912" s="196" t="s">
        <v>9365</v>
      </c>
      <c r="D1912" s="196" t="s">
        <v>4693</v>
      </c>
      <c r="E1912" s="196" t="s">
        <v>2375</v>
      </c>
      <c r="F1912" s="196">
        <v>2004</v>
      </c>
      <c r="G1912" s="148"/>
      <c r="H1912" s="196" t="s">
        <v>1878</v>
      </c>
      <c r="I1912" s="141" t="s">
        <v>7527</v>
      </c>
      <c r="J1912" s="148"/>
      <c r="K1912" s="196" t="s">
        <v>1881</v>
      </c>
      <c r="L1912" s="240" t="s">
        <v>9366</v>
      </c>
      <c r="M1912" s="196">
        <v>112</v>
      </c>
      <c r="N1912" s="148"/>
      <c r="O1912" s="196" t="s">
        <v>7011</v>
      </c>
      <c r="P1912" s="144">
        <v>277</v>
      </c>
      <c r="Q1912" s="145">
        <f t="shared" si="130"/>
        <v>1.8</v>
      </c>
      <c r="R1912" s="203">
        <v>1.2</v>
      </c>
      <c r="S1912" s="244">
        <v>3</v>
      </c>
      <c r="T1912" s="151">
        <v>0.13</v>
      </c>
      <c r="U1912" s="151">
        <v>1.9</v>
      </c>
      <c r="V1912" s="151">
        <v>0.33999999999999997</v>
      </c>
      <c r="W1912" s="151">
        <v>0.35</v>
      </c>
      <c r="X1912" s="152">
        <v>0.19039999999999999</v>
      </c>
      <c r="Y1912" s="152">
        <f t="shared" si="131"/>
        <v>3</v>
      </c>
      <c r="Z1912" s="152">
        <f t="shared" si="132"/>
        <v>2.9103999999999997</v>
      </c>
      <c r="AA1912" s="153"/>
      <c r="AB1912" s="153"/>
      <c r="AC1912" s="153"/>
      <c r="AD1912" s="153"/>
      <c r="AH1912" s="147"/>
    </row>
    <row r="1913" spans="1:34" s="146" customFormat="1" x14ac:dyDescent="0.25">
      <c r="A1913" s="142">
        <v>765</v>
      </c>
      <c r="B1913" s="196" t="s">
        <v>9367</v>
      </c>
      <c r="C1913" s="196" t="s">
        <v>9368</v>
      </c>
      <c r="D1913" s="196" t="s">
        <v>4841</v>
      </c>
      <c r="E1913" s="196" t="s">
        <v>1899</v>
      </c>
      <c r="F1913" s="196">
        <v>2000</v>
      </c>
      <c r="G1913" s="148"/>
      <c r="H1913" s="196" t="s">
        <v>1878</v>
      </c>
      <c r="I1913" s="141" t="s">
        <v>1879</v>
      </c>
      <c r="J1913" s="148"/>
      <c r="K1913" s="196" t="s">
        <v>1881</v>
      </c>
      <c r="L1913" s="240" t="s">
        <v>9369</v>
      </c>
      <c r="M1913" s="196">
        <v>144</v>
      </c>
      <c r="N1913" s="148"/>
      <c r="O1913" s="196" t="s">
        <v>7012</v>
      </c>
      <c r="P1913" s="144">
        <v>132</v>
      </c>
      <c r="Q1913" s="145">
        <f t="shared" si="130"/>
        <v>2.92</v>
      </c>
      <c r="R1913" s="203">
        <v>1.2</v>
      </c>
      <c r="S1913" s="244">
        <v>4.12</v>
      </c>
      <c r="T1913" s="151">
        <v>0.13</v>
      </c>
      <c r="U1913" s="151">
        <v>1.9</v>
      </c>
      <c r="V1913" s="151">
        <v>0.33999999999999997</v>
      </c>
      <c r="W1913" s="151">
        <v>0.35</v>
      </c>
      <c r="X1913" s="152">
        <v>0.19039999999999999</v>
      </c>
      <c r="Y1913" s="152">
        <f t="shared" si="131"/>
        <v>4.12</v>
      </c>
      <c r="Z1913" s="152">
        <f t="shared" si="132"/>
        <v>2.9103999999999997</v>
      </c>
      <c r="AA1913" s="153"/>
      <c r="AB1913" s="153"/>
      <c r="AC1913" s="153"/>
      <c r="AD1913" s="153"/>
      <c r="AH1913" s="147"/>
    </row>
    <row r="1914" spans="1:34" s="146" customFormat="1" x14ac:dyDescent="0.25">
      <c r="A1914" s="142">
        <v>1395</v>
      </c>
      <c r="B1914" s="196" t="s">
        <v>8551</v>
      </c>
      <c r="C1914" s="196" t="s">
        <v>9370</v>
      </c>
      <c r="D1914" s="196" t="s">
        <v>2609</v>
      </c>
      <c r="E1914" s="148"/>
      <c r="F1914" s="196">
        <v>2015</v>
      </c>
      <c r="G1914" s="148"/>
      <c r="H1914" s="196" t="s">
        <v>1878</v>
      </c>
      <c r="I1914" s="141" t="s">
        <v>1879</v>
      </c>
      <c r="J1914" s="143" t="s">
        <v>9321</v>
      </c>
      <c r="K1914" s="196" t="s">
        <v>1881</v>
      </c>
      <c r="L1914" s="240" t="s">
        <v>9371</v>
      </c>
      <c r="M1914" s="196">
        <v>400</v>
      </c>
      <c r="N1914" s="148"/>
      <c r="O1914" s="196" t="s">
        <v>7013</v>
      </c>
      <c r="P1914" s="144">
        <v>361</v>
      </c>
      <c r="Q1914" s="145">
        <f t="shared" si="130"/>
        <v>1.7103999999999997</v>
      </c>
      <c r="R1914" s="203">
        <v>1.2</v>
      </c>
      <c r="S1914" s="244">
        <v>2.21</v>
      </c>
      <c r="T1914" s="151">
        <v>0.13</v>
      </c>
      <c r="U1914" s="151">
        <v>1.9</v>
      </c>
      <c r="V1914" s="151">
        <v>0.33999999999999997</v>
      </c>
      <c r="W1914" s="151">
        <v>0.35</v>
      </c>
      <c r="X1914" s="152">
        <v>0.19039999999999999</v>
      </c>
      <c r="Y1914" s="152">
        <f t="shared" si="131"/>
        <v>2.21</v>
      </c>
      <c r="Z1914" s="152">
        <f t="shared" si="132"/>
        <v>2.9103999999999997</v>
      </c>
      <c r="AA1914" s="153"/>
      <c r="AB1914" s="153"/>
      <c r="AC1914" s="153"/>
      <c r="AD1914" s="153"/>
      <c r="AH1914" s="147"/>
    </row>
    <row r="1915" spans="1:34" s="146" customFormat="1" x14ac:dyDescent="0.25">
      <c r="A1915" s="142">
        <v>692</v>
      </c>
      <c r="B1915" s="196" t="s">
        <v>7563</v>
      </c>
      <c r="C1915" s="196" t="s">
        <v>9372</v>
      </c>
      <c r="D1915" s="196" t="s">
        <v>1876</v>
      </c>
      <c r="E1915" s="196" t="s">
        <v>1877</v>
      </c>
      <c r="F1915" s="196">
        <v>2010</v>
      </c>
      <c r="G1915" s="148"/>
      <c r="H1915" s="196" t="s">
        <v>1878</v>
      </c>
      <c r="I1915" s="141" t="s">
        <v>1879</v>
      </c>
      <c r="J1915" s="148"/>
      <c r="K1915" s="196" t="s">
        <v>1881</v>
      </c>
      <c r="L1915" s="240" t="s">
        <v>9373</v>
      </c>
      <c r="M1915" s="196">
        <v>512</v>
      </c>
      <c r="N1915" s="148"/>
      <c r="O1915" s="196" t="s">
        <v>7014</v>
      </c>
      <c r="P1915" s="144">
        <v>432</v>
      </c>
      <c r="Q1915" s="145">
        <f t="shared" si="130"/>
        <v>1.7103999999999997</v>
      </c>
      <c r="R1915" s="203">
        <v>1.2</v>
      </c>
      <c r="S1915" s="244">
        <v>1.99</v>
      </c>
      <c r="T1915" s="151">
        <v>0.13</v>
      </c>
      <c r="U1915" s="151">
        <v>1.9</v>
      </c>
      <c r="V1915" s="151">
        <v>0.33999999999999997</v>
      </c>
      <c r="W1915" s="151">
        <v>0.35</v>
      </c>
      <c r="X1915" s="152">
        <v>0.19039999999999999</v>
      </c>
      <c r="Y1915" s="152">
        <f t="shared" si="131"/>
        <v>1.99</v>
      </c>
      <c r="Z1915" s="152">
        <f t="shared" si="132"/>
        <v>2.9103999999999997</v>
      </c>
      <c r="AA1915" s="153"/>
      <c r="AB1915" s="153"/>
      <c r="AC1915" s="153"/>
      <c r="AD1915" s="153"/>
      <c r="AH1915" s="147"/>
    </row>
    <row r="1916" spans="1:34" s="146" customFormat="1" x14ac:dyDescent="0.25">
      <c r="A1916" s="142">
        <v>735</v>
      </c>
      <c r="B1916" s="196" t="s">
        <v>9374</v>
      </c>
      <c r="C1916" s="196" t="s">
        <v>9375</v>
      </c>
      <c r="D1916" s="196" t="s">
        <v>9376</v>
      </c>
      <c r="E1916" s="148"/>
      <c r="F1916" s="196">
        <v>1990</v>
      </c>
      <c r="G1916" s="148"/>
      <c r="H1916" s="196" t="s">
        <v>2734</v>
      </c>
      <c r="I1916" s="141" t="s">
        <v>1879</v>
      </c>
      <c r="J1916" s="196" t="s">
        <v>9025</v>
      </c>
      <c r="K1916" s="196" t="s">
        <v>1881</v>
      </c>
      <c r="L1916" s="240" t="s">
        <v>9377</v>
      </c>
      <c r="M1916" s="196">
        <v>402</v>
      </c>
      <c r="N1916" s="148"/>
      <c r="O1916" s="196" t="s">
        <v>7015</v>
      </c>
      <c r="P1916" s="144">
        <v>516</v>
      </c>
      <c r="Q1916" s="145">
        <f t="shared" si="130"/>
        <v>2.2999999999999998</v>
      </c>
      <c r="R1916" s="203">
        <v>1.7</v>
      </c>
      <c r="S1916" s="244">
        <v>4</v>
      </c>
      <c r="T1916" s="151">
        <v>0.13</v>
      </c>
      <c r="U1916" s="151">
        <v>2.2000000000000002</v>
      </c>
      <c r="V1916" s="151">
        <v>0.33999999999999997</v>
      </c>
      <c r="W1916" s="151">
        <v>0.35</v>
      </c>
      <c r="X1916" s="152">
        <v>0.19039999999999999</v>
      </c>
      <c r="Y1916" s="152">
        <f t="shared" si="131"/>
        <v>4</v>
      </c>
      <c r="Z1916" s="152">
        <f t="shared" si="132"/>
        <v>3.2103999999999999</v>
      </c>
      <c r="AA1916" s="153"/>
      <c r="AB1916" s="153"/>
      <c r="AC1916" s="153"/>
      <c r="AD1916" s="153"/>
      <c r="AH1916" s="147"/>
    </row>
    <row r="1917" spans="1:34" s="146" customFormat="1" x14ac:dyDescent="0.25">
      <c r="A1917" s="142">
        <v>1315</v>
      </c>
      <c r="B1917" s="196" t="s">
        <v>9378</v>
      </c>
      <c r="C1917" s="196" t="s">
        <v>9379</v>
      </c>
      <c r="D1917" s="196" t="s">
        <v>9380</v>
      </c>
      <c r="E1917" s="148"/>
      <c r="F1917" s="196">
        <v>1995</v>
      </c>
      <c r="G1917" s="148"/>
      <c r="H1917" s="196" t="s">
        <v>2008</v>
      </c>
      <c r="I1917" s="141" t="s">
        <v>1879</v>
      </c>
      <c r="J1917" s="148"/>
      <c r="K1917" s="196" t="s">
        <v>1881</v>
      </c>
      <c r="L1917" s="240" t="s">
        <v>9381</v>
      </c>
      <c r="M1917" s="196">
        <v>128</v>
      </c>
      <c r="N1917" s="148"/>
      <c r="O1917" s="196" t="s">
        <v>7016</v>
      </c>
      <c r="P1917" s="144">
        <v>100</v>
      </c>
      <c r="Q1917" s="145">
        <f t="shared" si="130"/>
        <v>1.7313999999999996</v>
      </c>
      <c r="R1917" s="203">
        <v>1.2</v>
      </c>
      <c r="S1917" s="244">
        <v>1.7</v>
      </c>
      <c r="T1917" s="151">
        <v>0.13</v>
      </c>
      <c r="U1917" s="151">
        <v>1.9</v>
      </c>
      <c r="V1917" s="151">
        <v>0.33999999999999997</v>
      </c>
      <c r="W1917" s="151">
        <v>0.35</v>
      </c>
      <c r="X1917" s="152">
        <v>0.2114</v>
      </c>
      <c r="Y1917" s="152">
        <f t="shared" si="131"/>
        <v>1.7</v>
      </c>
      <c r="Z1917" s="152">
        <f t="shared" si="132"/>
        <v>2.9313999999999996</v>
      </c>
      <c r="AA1917" s="153"/>
      <c r="AB1917" s="153"/>
      <c r="AC1917" s="153"/>
      <c r="AD1917" s="153"/>
      <c r="AH1917" s="147"/>
    </row>
    <row r="1918" spans="1:34" s="146" customFormat="1" x14ac:dyDescent="0.25">
      <c r="A1918" s="148"/>
      <c r="B1918" s="196" t="s">
        <v>9382</v>
      </c>
      <c r="C1918" s="196" t="s">
        <v>9383</v>
      </c>
      <c r="D1918" s="196" t="s">
        <v>2054</v>
      </c>
      <c r="E1918" s="148"/>
      <c r="F1918" s="196">
        <v>1993</v>
      </c>
      <c r="G1918" s="148"/>
      <c r="H1918" s="196" t="s">
        <v>2734</v>
      </c>
      <c r="I1918" s="141" t="s">
        <v>6422</v>
      </c>
      <c r="J1918" s="148"/>
      <c r="K1918" s="196" t="s">
        <v>1881</v>
      </c>
      <c r="L1918" s="240" t="s">
        <v>9384</v>
      </c>
      <c r="M1918" s="196">
        <v>322</v>
      </c>
      <c r="N1918" s="148"/>
      <c r="O1918" s="196" t="s">
        <v>7017</v>
      </c>
      <c r="P1918" s="144">
        <v>528</v>
      </c>
      <c r="Q1918" s="145">
        <f t="shared" si="130"/>
        <v>1.5104</v>
      </c>
      <c r="R1918" s="203">
        <v>1.7</v>
      </c>
      <c r="S1918" s="244">
        <v>2.65</v>
      </c>
      <c r="T1918" s="151">
        <v>0.13</v>
      </c>
      <c r="U1918" s="151">
        <v>2.2000000000000002</v>
      </c>
      <c r="V1918" s="151">
        <v>0.33999999999999997</v>
      </c>
      <c r="W1918" s="151">
        <v>0.35</v>
      </c>
      <c r="X1918" s="152">
        <v>0.19039999999999999</v>
      </c>
      <c r="Y1918" s="152">
        <f t="shared" si="131"/>
        <v>2.65</v>
      </c>
      <c r="Z1918" s="152">
        <f t="shared" si="132"/>
        <v>3.2103999999999999</v>
      </c>
      <c r="AA1918" s="153"/>
      <c r="AB1918" s="153"/>
      <c r="AC1918" s="153"/>
      <c r="AD1918" s="153"/>
      <c r="AH1918" s="147"/>
    </row>
    <row r="1919" spans="1:34" s="146" customFormat="1" x14ac:dyDescent="0.25">
      <c r="A1919" s="142">
        <v>1809</v>
      </c>
      <c r="B1919" s="196" t="s">
        <v>9385</v>
      </c>
      <c r="C1919" s="196" t="s">
        <v>9386</v>
      </c>
      <c r="D1919" s="196" t="s">
        <v>1979</v>
      </c>
      <c r="E1919" s="148"/>
      <c r="F1919" s="196">
        <v>2014</v>
      </c>
      <c r="G1919" s="148"/>
      <c r="H1919" s="196" t="s">
        <v>2734</v>
      </c>
      <c r="I1919" s="141" t="s">
        <v>7817</v>
      </c>
      <c r="J1919" s="148"/>
      <c r="K1919" s="196" t="s">
        <v>1881</v>
      </c>
      <c r="L1919" s="240" t="s">
        <v>9387</v>
      </c>
      <c r="M1919" s="196">
        <v>354</v>
      </c>
      <c r="N1919" s="148"/>
      <c r="O1919" s="196" t="s">
        <v>7018</v>
      </c>
      <c r="P1919" s="144">
        <v>529</v>
      </c>
      <c r="Q1919" s="145">
        <f t="shared" si="130"/>
        <v>1.5313999999999999</v>
      </c>
      <c r="R1919" s="203">
        <v>1.7</v>
      </c>
      <c r="S1919" s="244">
        <f>0.75+2.29</f>
        <v>3.04</v>
      </c>
      <c r="T1919" s="151">
        <v>0.13</v>
      </c>
      <c r="U1919" s="151">
        <v>2.2000000000000002</v>
      </c>
      <c r="V1919" s="151">
        <v>0.33999999999999997</v>
      </c>
      <c r="W1919" s="151">
        <v>0.35</v>
      </c>
      <c r="X1919" s="152">
        <v>0.2114</v>
      </c>
      <c r="Y1919" s="152">
        <f t="shared" si="131"/>
        <v>3.04</v>
      </c>
      <c r="Z1919" s="152">
        <f t="shared" si="132"/>
        <v>3.2313999999999998</v>
      </c>
      <c r="AA1919" s="153"/>
      <c r="AB1919" s="153"/>
      <c r="AC1919" s="153"/>
      <c r="AD1919" s="153"/>
      <c r="AH1919" s="147"/>
    </row>
    <row r="1920" spans="1:34" s="146" customFormat="1" x14ac:dyDescent="0.25">
      <c r="A1920" s="142">
        <v>2681</v>
      </c>
      <c r="B1920" s="196" t="s">
        <v>9388</v>
      </c>
      <c r="C1920" s="196" t="s">
        <v>9389</v>
      </c>
      <c r="D1920" s="196" t="s">
        <v>9390</v>
      </c>
      <c r="E1920" s="148"/>
      <c r="F1920" s="196">
        <v>2008</v>
      </c>
      <c r="G1920" s="148"/>
      <c r="H1920" s="196" t="s">
        <v>2734</v>
      </c>
      <c r="I1920" s="141" t="s">
        <v>1929</v>
      </c>
      <c r="J1920" s="148"/>
      <c r="K1920" s="196" t="s">
        <v>1881</v>
      </c>
      <c r="L1920" s="240" t="s">
        <v>9391</v>
      </c>
      <c r="M1920" s="196">
        <v>130</v>
      </c>
      <c r="N1920" s="148"/>
      <c r="O1920" s="196" t="s">
        <v>7019</v>
      </c>
      <c r="P1920" s="144">
        <v>580</v>
      </c>
      <c r="Q1920" s="145">
        <f t="shared" si="130"/>
        <v>1.5999999999999999</v>
      </c>
      <c r="R1920" s="203">
        <v>1.7</v>
      </c>
      <c r="S1920" s="244">
        <v>3.3</v>
      </c>
      <c r="T1920" s="151">
        <v>0.13</v>
      </c>
      <c r="U1920" s="151">
        <v>2.2000000000000002</v>
      </c>
      <c r="V1920" s="151">
        <v>0.33999999999999997</v>
      </c>
      <c r="W1920" s="151">
        <v>0.35</v>
      </c>
      <c r="X1920" s="152">
        <v>0.2114</v>
      </c>
      <c r="Y1920" s="152">
        <f t="shared" si="131"/>
        <v>3.3</v>
      </c>
      <c r="Z1920" s="152">
        <f t="shared" si="132"/>
        <v>3.2313999999999998</v>
      </c>
      <c r="AA1920" s="153"/>
      <c r="AB1920" s="153"/>
      <c r="AC1920" s="153"/>
      <c r="AD1920" s="153"/>
      <c r="AH1920" s="147"/>
    </row>
    <row r="1921" spans="1:34" s="146" customFormat="1" x14ac:dyDescent="0.25">
      <c r="A1921" s="142">
        <v>634</v>
      </c>
      <c r="B1921" s="196" t="s">
        <v>9392</v>
      </c>
      <c r="C1921" s="196" t="s">
        <v>9393</v>
      </c>
      <c r="D1921" s="196" t="s">
        <v>4669</v>
      </c>
      <c r="E1921" s="148"/>
      <c r="F1921" s="196">
        <v>1981</v>
      </c>
      <c r="G1921" s="148"/>
      <c r="H1921" s="196" t="s">
        <v>2734</v>
      </c>
      <c r="I1921" s="141" t="s">
        <v>1879</v>
      </c>
      <c r="J1921" s="148"/>
      <c r="K1921" s="196" t="s">
        <v>1881</v>
      </c>
      <c r="L1921" s="241"/>
      <c r="M1921" s="196">
        <v>170</v>
      </c>
      <c r="N1921" s="148"/>
      <c r="O1921" s="196" t="s">
        <v>7020</v>
      </c>
      <c r="P1921" s="144">
        <v>402</v>
      </c>
      <c r="Q1921" s="145">
        <f t="shared" si="130"/>
        <v>1.7313999999999996</v>
      </c>
      <c r="R1921" s="203">
        <v>1.2</v>
      </c>
      <c r="S1921" s="244">
        <f>1.65+1.2</f>
        <v>2.8499999999999996</v>
      </c>
      <c r="T1921" s="151">
        <v>0.13</v>
      </c>
      <c r="U1921" s="151">
        <v>1.9</v>
      </c>
      <c r="V1921" s="151">
        <v>0.33999999999999997</v>
      </c>
      <c r="W1921" s="151">
        <v>0.35</v>
      </c>
      <c r="X1921" s="152">
        <v>0.2114</v>
      </c>
      <c r="Y1921" s="152">
        <f t="shared" si="131"/>
        <v>2.8499999999999996</v>
      </c>
      <c r="Z1921" s="152">
        <f t="shared" si="132"/>
        <v>2.9313999999999996</v>
      </c>
      <c r="AA1921" s="153"/>
      <c r="AB1921" s="153"/>
      <c r="AC1921" s="153"/>
      <c r="AD1921" s="153"/>
      <c r="AH1921" s="147"/>
    </row>
    <row r="1922" spans="1:34" s="146" customFormat="1" x14ac:dyDescent="0.25">
      <c r="A1922" s="142">
        <v>844</v>
      </c>
      <c r="B1922" s="148"/>
      <c r="C1922" s="196" t="s">
        <v>9394</v>
      </c>
      <c r="D1922" s="196" t="s">
        <v>2209</v>
      </c>
      <c r="E1922" s="148"/>
      <c r="F1922" s="196">
        <v>2002</v>
      </c>
      <c r="G1922" s="148"/>
      <c r="H1922" s="196" t="s">
        <v>1878</v>
      </c>
      <c r="I1922" s="141" t="s">
        <v>1879</v>
      </c>
      <c r="J1922" s="148"/>
      <c r="K1922" s="196" t="s">
        <v>1881</v>
      </c>
      <c r="L1922" s="240" t="s">
        <v>9395</v>
      </c>
      <c r="M1922" s="196">
        <v>832</v>
      </c>
      <c r="N1922" s="148"/>
      <c r="O1922" s="196" t="s">
        <v>7021</v>
      </c>
      <c r="P1922" s="144">
        <v>1003</v>
      </c>
      <c r="Q1922" s="145">
        <f t="shared" si="130"/>
        <v>3.5999999999999996</v>
      </c>
      <c r="R1922" s="203">
        <v>3.49</v>
      </c>
      <c r="S1922" s="244">
        <v>7.09</v>
      </c>
      <c r="T1922" s="151">
        <v>0.13</v>
      </c>
      <c r="U1922" s="151">
        <v>3.49</v>
      </c>
      <c r="V1922" s="151">
        <v>0.33999999999999997</v>
      </c>
      <c r="W1922" s="151">
        <v>0.35</v>
      </c>
      <c r="X1922" s="152">
        <v>0.19039999999999999</v>
      </c>
      <c r="Y1922" s="152">
        <f t="shared" si="131"/>
        <v>7.09</v>
      </c>
      <c r="Z1922" s="152">
        <f t="shared" si="132"/>
        <v>4.5004</v>
      </c>
      <c r="AA1922" s="153"/>
      <c r="AB1922" s="153"/>
      <c r="AC1922" s="153"/>
      <c r="AD1922" s="153"/>
      <c r="AH1922" s="147"/>
    </row>
    <row r="1923" spans="1:34" s="146" customFormat="1" x14ac:dyDescent="0.25">
      <c r="A1923" s="142">
        <v>1327</v>
      </c>
      <c r="B1923" s="196" t="s">
        <v>9396</v>
      </c>
      <c r="C1923" s="196" t="s">
        <v>9397</v>
      </c>
      <c r="D1923" s="196" t="s">
        <v>2901</v>
      </c>
      <c r="E1923" s="148"/>
      <c r="F1923" s="196">
        <v>2007</v>
      </c>
      <c r="G1923" s="148"/>
      <c r="H1923" s="196" t="s">
        <v>2734</v>
      </c>
      <c r="I1923" s="141" t="s">
        <v>1879</v>
      </c>
      <c r="J1923" s="148"/>
      <c r="K1923" s="196" t="s">
        <v>1881</v>
      </c>
      <c r="L1923" s="240" t="s">
        <v>9398</v>
      </c>
      <c r="M1923" s="196">
        <v>226</v>
      </c>
      <c r="N1923" s="148"/>
      <c r="O1923" s="196" t="s">
        <v>7022</v>
      </c>
      <c r="P1923" s="144">
        <v>363</v>
      </c>
      <c r="Q1923" s="145">
        <f t="shared" si="130"/>
        <v>1.7313999999999996</v>
      </c>
      <c r="R1923" s="203">
        <v>1.2</v>
      </c>
      <c r="S1923" s="244">
        <v>2.78</v>
      </c>
      <c r="T1923" s="151">
        <v>0.13</v>
      </c>
      <c r="U1923" s="151">
        <v>1.9</v>
      </c>
      <c r="V1923" s="151">
        <v>0.33999999999999997</v>
      </c>
      <c r="W1923" s="151">
        <v>0.35</v>
      </c>
      <c r="X1923" s="152">
        <v>0.2114</v>
      </c>
      <c r="Y1923" s="152">
        <f t="shared" si="131"/>
        <v>2.78</v>
      </c>
      <c r="Z1923" s="152">
        <f t="shared" si="132"/>
        <v>2.9313999999999996</v>
      </c>
      <c r="AA1923" s="153"/>
      <c r="AB1923" s="153"/>
      <c r="AC1923" s="153"/>
      <c r="AD1923" s="153"/>
      <c r="AH1923" s="147"/>
    </row>
    <row r="1924" spans="1:34" s="146" customFormat="1" x14ac:dyDescent="0.25">
      <c r="A1924" s="142">
        <v>796</v>
      </c>
      <c r="B1924" s="196" t="s">
        <v>9399</v>
      </c>
      <c r="C1924" s="196" t="s">
        <v>9400</v>
      </c>
      <c r="D1924" s="196" t="s">
        <v>9401</v>
      </c>
      <c r="E1924" s="196" t="s">
        <v>1913</v>
      </c>
      <c r="F1924" s="196">
        <v>2002</v>
      </c>
      <c r="G1924" s="148"/>
      <c r="H1924" s="196" t="s">
        <v>2734</v>
      </c>
      <c r="I1924" s="141" t="s">
        <v>1879</v>
      </c>
      <c r="J1924" s="148"/>
      <c r="K1924" s="196" t="s">
        <v>1881</v>
      </c>
      <c r="L1924" s="240" t="s">
        <v>9402</v>
      </c>
      <c r="M1924" s="196">
        <v>124</v>
      </c>
      <c r="N1924" s="148"/>
      <c r="O1924" s="196" t="s">
        <v>7023</v>
      </c>
      <c r="P1924" s="144">
        <v>269</v>
      </c>
      <c r="Q1924" s="145">
        <f t="shared" si="130"/>
        <v>1.7103999999999997</v>
      </c>
      <c r="R1924" s="203">
        <v>1.2</v>
      </c>
      <c r="S1924" s="244">
        <f>0.25+1.69</f>
        <v>1.94</v>
      </c>
      <c r="T1924" s="151">
        <v>0.13</v>
      </c>
      <c r="U1924" s="151">
        <v>1.9</v>
      </c>
      <c r="V1924" s="151">
        <v>0.33999999999999997</v>
      </c>
      <c r="W1924" s="151">
        <v>0.35</v>
      </c>
      <c r="X1924" s="152">
        <v>0.19039999999999999</v>
      </c>
      <c r="Y1924" s="152">
        <f t="shared" si="131"/>
        <v>1.94</v>
      </c>
      <c r="Z1924" s="152">
        <f t="shared" si="132"/>
        <v>2.9103999999999997</v>
      </c>
      <c r="AA1924" s="153"/>
      <c r="AB1924" s="153"/>
      <c r="AC1924" s="153"/>
      <c r="AD1924" s="153"/>
      <c r="AH1924" s="147"/>
    </row>
    <row r="1925" spans="1:34" s="146" customFormat="1" x14ac:dyDescent="0.25">
      <c r="A1925" s="142">
        <v>1367</v>
      </c>
      <c r="B1925" s="148"/>
      <c r="C1925" s="196" t="s">
        <v>9406</v>
      </c>
      <c r="D1925" s="196" t="s">
        <v>2257</v>
      </c>
      <c r="E1925" s="148"/>
      <c r="F1925" s="196">
        <v>2001</v>
      </c>
      <c r="G1925" s="148"/>
      <c r="H1925" s="196" t="s">
        <v>2734</v>
      </c>
      <c r="I1925" s="141" t="s">
        <v>1929</v>
      </c>
      <c r="J1925" s="148"/>
      <c r="K1925" s="196" t="s">
        <v>1881</v>
      </c>
      <c r="L1925" s="240" t="s">
        <v>9407</v>
      </c>
      <c r="M1925" s="196">
        <v>386</v>
      </c>
      <c r="N1925" s="148"/>
      <c r="O1925" s="196" t="s">
        <v>7025</v>
      </c>
      <c r="P1925" s="144">
        <v>522</v>
      </c>
      <c r="Q1925" s="145">
        <f t="shared" si="130"/>
        <v>1.5104</v>
      </c>
      <c r="R1925" s="203">
        <v>1.7</v>
      </c>
      <c r="S1925" s="244">
        <v>2.36</v>
      </c>
      <c r="T1925" s="151">
        <v>0.13</v>
      </c>
      <c r="U1925" s="151">
        <v>2.2000000000000002</v>
      </c>
      <c r="V1925" s="151">
        <v>0.33999999999999997</v>
      </c>
      <c r="W1925" s="151">
        <v>0.35</v>
      </c>
      <c r="X1925" s="152">
        <v>0.19039999999999999</v>
      </c>
      <c r="Y1925" s="152">
        <f t="shared" si="131"/>
        <v>2.36</v>
      </c>
      <c r="Z1925" s="152">
        <f t="shared" si="132"/>
        <v>3.2103999999999999</v>
      </c>
      <c r="AA1925" s="153"/>
      <c r="AB1925" s="153"/>
      <c r="AC1925" s="153"/>
      <c r="AD1925" s="153"/>
      <c r="AH1925" s="147"/>
    </row>
    <row r="1927" spans="1:34" s="146" customFormat="1" x14ac:dyDescent="0.25">
      <c r="A1927" s="142">
        <v>692</v>
      </c>
      <c r="B1927" s="196" t="s">
        <v>8613</v>
      </c>
      <c r="C1927" s="196" t="s">
        <v>9411</v>
      </c>
      <c r="D1927" s="196" t="s">
        <v>8258</v>
      </c>
      <c r="E1927" s="148"/>
      <c r="F1927" s="196">
        <v>1977</v>
      </c>
      <c r="G1927" s="148"/>
      <c r="H1927" s="196" t="s">
        <v>2734</v>
      </c>
      <c r="I1927" s="141" t="s">
        <v>1879</v>
      </c>
      <c r="J1927" s="148"/>
      <c r="K1927" s="196" t="s">
        <v>1881</v>
      </c>
      <c r="L1927" s="240" t="s">
        <v>9412</v>
      </c>
      <c r="M1927" s="196">
        <v>192</v>
      </c>
      <c r="N1927" s="148"/>
      <c r="O1927" s="196" t="s">
        <v>7027</v>
      </c>
      <c r="P1927" s="144">
        <v>414</v>
      </c>
      <c r="Q1927" s="145">
        <f t="shared" si="130"/>
        <v>1.7313999999999996</v>
      </c>
      <c r="R1927" s="203">
        <v>1.2</v>
      </c>
      <c r="S1927" s="244">
        <v>2.4</v>
      </c>
      <c r="T1927" s="151">
        <v>0.13</v>
      </c>
      <c r="U1927" s="151">
        <v>1.9</v>
      </c>
      <c r="V1927" s="151">
        <v>0.33999999999999997</v>
      </c>
      <c r="W1927" s="151">
        <v>0.35</v>
      </c>
      <c r="X1927" s="152">
        <v>0.2114</v>
      </c>
      <c r="Y1927" s="152">
        <f t="shared" si="131"/>
        <v>2.4</v>
      </c>
      <c r="Z1927" s="152">
        <f t="shared" si="132"/>
        <v>2.9313999999999996</v>
      </c>
      <c r="AA1927" s="153"/>
      <c r="AB1927" s="153"/>
      <c r="AC1927" s="153"/>
      <c r="AD1927" s="153"/>
      <c r="AH1927" s="147"/>
    </row>
    <row r="1928" spans="1:34" s="146" customFormat="1" x14ac:dyDescent="0.25">
      <c r="A1928" s="148"/>
      <c r="B1928" s="196" t="s">
        <v>9413</v>
      </c>
      <c r="C1928" s="196" t="s">
        <v>9414</v>
      </c>
      <c r="D1928" s="196" t="s">
        <v>9415</v>
      </c>
      <c r="E1928" s="148"/>
      <c r="F1928" s="196">
        <v>1985</v>
      </c>
      <c r="G1928" s="148"/>
      <c r="H1928" s="196" t="s">
        <v>2734</v>
      </c>
      <c r="I1928" s="141" t="s">
        <v>1879</v>
      </c>
      <c r="J1928" s="148"/>
      <c r="K1928" s="196" t="s">
        <v>1881</v>
      </c>
      <c r="L1928" s="240" t="s">
        <v>9416</v>
      </c>
      <c r="M1928" s="196">
        <v>864</v>
      </c>
      <c r="N1928" s="148"/>
      <c r="O1928" s="196" t="s">
        <v>7028</v>
      </c>
      <c r="P1928" s="144">
        <v>913</v>
      </c>
      <c r="Q1928" s="145">
        <f t="shared" si="130"/>
        <v>2.2999999999999998</v>
      </c>
      <c r="R1928" s="203">
        <v>1.7</v>
      </c>
      <c r="S1928" s="244">
        <v>4</v>
      </c>
      <c r="T1928" s="151">
        <v>0.13</v>
      </c>
      <c r="U1928" s="151">
        <v>2.2000000000000002</v>
      </c>
      <c r="V1928" s="151">
        <v>0.33999999999999997</v>
      </c>
      <c r="W1928" s="151">
        <v>0.35</v>
      </c>
      <c r="X1928" s="152">
        <v>0.19039999999999999</v>
      </c>
      <c r="Y1928" s="152">
        <f t="shared" si="131"/>
        <v>4</v>
      </c>
      <c r="Z1928" s="152">
        <f t="shared" si="132"/>
        <v>3.2103999999999999</v>
      </c>
      <c r="AA1928" s="153"/>
      <c r="AB1928" s="153"/>
      <c r="AC1928" s="153"/>
      <c r="AD1928" s="153"/>
      <c r="AH1928" s="147"/>
    </row>
    <row r="1929" spans="1:34" s="146" customFormat="1" x14ac:dyDescent="0.25">
      <c r="A1929" s="142">
        <v>591</v>
      </c>
      <c r="B1929" s="196" t="s">
        <v>9417</v>
      </c>
      <c r="C1929" s="196" t="s">
        <v>9418</v>
      </c>
      <c r="D1929" s="196" t="s">
        <v>9419</v>
      </c>
      <c r="E1929" s="196" t="s">
        <v>1913</v>
      </c>
      <c r="F1929" s="196">
        <v>1989</v>
      </c>
      <c r="G1929" s="148"/>
      <c r="H1929" s="196" t="s">
        <v>2734</v>
      </c>
      <c r="I1929" s="141" t="s">
        <v>1879</v>
      </c>
      <c r="J1929" s="148"/>
      <c r="K1929" s="196" t="s">
        <v>1881</v>
      </c>
      <c r="L1929" s="240" t="s">
        <v>9420</v>
      </c>
      <c r="M1929" s="196">
        <v>158</v>
      </c>
      <c r="N1929" s="148"/>
      <c r="O1929" s="196" t="s">
        <v>7029</v>
      </c>
      <c r="P1929" s="144">
        <v>282</v>
      </c>
      <c r="Q1929" s="145">
        <f t="shared" si="130"/>
        <v>1.7313999999999996</v>
      </c>
      <c r="R1929" s="203">
        <v>1.2</v>
      </c>
      <c r="S1929" s="244">
        <v>2.5</v>
      </c>
      <c r="T1929" s="151">
        <v>0.13</v>
      </c>
      <c r="U1929" s="151">
        <v>1.9</v>
      </c>
      <c r="V1929" s="151">
        <v>0.33999999999999997</v>
      </c>
      <c r="W1929" s="151">
        <v>0.35</v>
      </c>
      <c r="X1929" s="152">
        <v>0.2114</v>
      </c>
      <c r="Y1929" s="152">
        <f t="shared" si="131"/>
        <v>2.5</v>
      </c>
      <c r="Z1929" s="152">
        <f t="shared" si="132"/>
        <v>2.9313999999999996</v>
      </c>
      <c r="AA1929" s="153"/>
      <c r="AB1929" s="153"/>
      <c r="AC1929" s="153"/>
      <c r="AD1929" s="153"/>
      <c r="AH1929" s="147"/>
    </row>
    <row r="1930" spans="1:34" s="146" customFormat="1" x14ac:dyDescent="0.25">
      <c r="A1930" s="142">
        <v>704</v>
      </c>
      <c r="B1930" s="196" t="s">
        <v>9421</v>
      </c>
      <c r="C1930" s="196" t="s">
        <v>9422</v>
      </c>
      <c r="D1930" s="196" t="s">
        <v>9423</v>
      </c>
      <c r="E1930" s="148"/>
      <c r="F1930" s="196">
        <v>1995</v>
      </c>
      <c r="G1930" s="148"/>
      <c r="H1930" s="196" t="s">
        <v>1878</v>
      </c>
      <c r="I1930" s="141" t="s">
        <v>1879</v>
      </c>
      <c r="J1930" s="148"/>
      <c r="K1930" s="196" t="s">
        <v>1881</v>
      </c>
      <c r="L1930" s="240" t="s">
        <v>9424</v>
      </c>
      <c r="M1930" s="196">
        <v>124</v>
      </c>
      <c r="N1930" s="148"/>
      <c r="O1930" s="196" t="s">
        <v>7030</v>
      </c>
      <c r="P1930" s="144">
        <v>122</v>
      </c>
      <c r="Q1930" s="145">
        <f t="shared" si="130"/>
        <v>1.7103999999999997</v>
      </c>
      <c r="R1930" s="203">
        <v>1.2</v>
      </c>
      <c r="S1930" s="244">
        <f>0.7+1.65</f>
        <v>2.3499999999999996</v>
      </c>
      <c r="T1930" s="151">
        <v>0.13</v>
      </c>
      <c r="U1930" s="151">
        <v>1.9</v>
      </c>
      <c r="V1930" s="151">
        <v>0.33999999999999997</v>
      </c>
      <c r="W1930" s="151">
        <v>0.35</v>
      </c>
      <c r="X1930" s="152">
        <v>0.19039999999999999</v>
      </c>
      <c r="Y1930" s="152">
        <f t="shared" si="131"/>
        <v>2.3499999999999996</v>
      </c>
      <c r="Z1930" s="152">
        <f t="shared" si="132"/>
        <v>2.9103999999999997</v>
      </c>
      <c r="AA1930" s="153"/>
      <c r="AB1930" s="153"/>
      <c r="AC1930" s="153"/>
      <c r="AD1930" s="153"/>
      <c r="AH1930" s="147"/>
    </row>
    <row r="1931" spans="1:34" s="146" customFormat="1" x14ac:dyDescent="0.25">
      <c r="A1931" s="142">
        <v>2551</v>
      </c>
      <c r="B1931" s="196" t="s">
        <v>9425</v>
      </c>
      <c r="C1931" s="196" t="s">
        <v>9426</v>
      </c>
      <c r="D1931" s="196" t="s">
        <v>5005</v>
      </c>
      <c r="E1931" s="148"/>
      <c r="F1931" s="196">
        <v>2005</v>
      </c>
      <c r="G1931" s="148"/>
      <c r="H1931" s="196" t="s">
        <v>1878</v>
      </c>
      <c r="I1931" s="141" t="s">
        <v>1879</v>
      </c>
      <c r="J1931" s="148"/>
      <c r="K1931" s="196" t="s">
        <v>1881</v>
      </c>
      <c r="L1931" s="241"/>
      <c r="M1931" s="196">
        <v>368</v>
      </c>
      <c r="N1931" s="148"/>
      <c r="O1931" s="196" t="s">
        <v>7031</v>
      </c>
      <c r="P1931" s="144">
        <v>264</v>
      </c>
      <c r="Q1931" s="145">
        <f t="shared" si="130"/>
        <v>1.7103999999999997</v>
      </c>
      <c r="R1931" s="203">
        <v>1.2</v>
      </c>
      <c r="S1931" s="244">
        <f>0.29+1.29</f>
        <v>1.58</v>
      </c>
      <c r="T1931" s="151">
        <v>0.13</v>
      </c>
      <c r="U1931" s="151">
        <v>1.9</v>
      </c>
      <c r="V1931" s="151">
        <v>0.33999999999999997</v>
      </c>
      <c r="W1931" s="151">
        <v>0.35</v>
      </c>
      <c r="X1931" s="152">
        <v>0.19039999999999999</v>
      </c>
      <c r="Y1931" s="152">
        <f t="shared" si="131"/>
        <v>1.58</v>
      </c>
      <c r="Z1931" s="152">
        <f t="shared" si="132"/>
        <v>2.9103999999999997</v>
      </c>
      <c r="AA1931" s="153"/>
      <c r="AB1931" s="153"/>
      <c r="AC1931" s="153"/>
      <c r="AD1931" s="153"/>
      <c r="AH1931" s="147"/>
    </row>
    <row r="1932" spans="1:34" s="146" customFormat="1" x14ac:dyDescent="0.25">
      <c r="A1932" s="142">
        <v>2522</v>
      </c>
      <c r="B1932" s="196" t="s">
        <v>9427</v>
      </c>
      <c r="C1932" s="196" t="s">
        <v>9428</v>
      </c>
      <c r="D1932" s="196" t="s">
        <v>2609</v>
      </c>
      <c r="E1932" s="148"/>
      <c r="F1932" s="196">
        <v>2010</v>
      </c>
      <c r="G1932" s="148"/>
      <c r="H1932" s="196" t="s">
        <v>1878</v>
      </c>
      <c r="I1932" s="141" t="s">
        <v>1879</v>
      </c>
      <c r="J1932" s="143" t="s">
        <v>9321</v>
      </c>
      <c r="K1932" s="196" t="s">
        <v>1881</v>
      </c>
      <c r="L1932" s="240" t="s">
        <v>9429</v>
      </c>
      <c r="M1932" s="196">
        <v>352</v>
      </c>
      <c r="N1932" s="148"/>
      <c r="O1932" s="196" t="s">
        <v>7032</v>
      </c>
      <c r="P1932" s="144">
        <v>311</v>
      </c>
      <c r="Q1932" s="145">
        <f t="shared" si="130"/>
        <v>1.7103999999999997</v>
      </c>
      <c r="R1932" s="203">
        <v>1.2</v>
      </c>
      <c r="S1932" s="244">
        <v>1.9</v>
      </c>
      <c r="T1932" s="151">
        <v>0.13</v>
      </c>
      <c r="U1932" s="151">
        <v>1.9</v>
      </c>
      <c r="V1932" s="151">
        <v>0.33999999999999997</v>
      </c>
      <c r="W1932" s="151">
        <v>0.35</v>
      </c>
      <c r="X1932" s="152">
        <v>0.19039999999999999</v>
      </c>
      <c r="Y1932" s="152">
        <f t="shared" si="131"/>
        <v>1.9</v>
      </c>
      <c r="Z1932" s="152">
        <f t="shared" si="132"/>
        <v>2.9103999999999997</v>
      </c>
      <c r="AA1932" s="153"/>
      <c r="AB1932" s="153"/>
      <c r="AC1932" s="153"/>
      <c r="AD1932" s="153"/>
      <c r="AH1932" s="147"/>
    </row>
    <row r="1933" spans="1:34" s="146" customFormat="1" x14ac:dyDescent="0.25">
      <c r="A1933" s="142">
        <v>381</v>
      </c>
      <c r="B1933" s="196" t="s">
        <v>9430</v>
      </c>
      <c r="C1933" s="196" t="s">
        <v>9431</v>
      </c>
      <c r="D1933" s="196" t="s">
        <v>9432</v>
      </c>
      <c r="E1933" s="148"/>
      <c r="F1933" s="196">
        <v>1984</v>
      </c>
      <c r="G1933" s="148"/>
      <c r="H1933" s="196" t="s">
        <v>1878</v>
      </c>
      <c r="I1933" s="141" t="s">
        <v>1879</v>
      </c>
      <c r="J1933" s="148"/>
      <c r="K1933" s="196" t="s">
        <v>1881</v>
      </c>
      <c r="L1933" s="240" t="s">
        <v>9433</v>
      </c>
      <c r="M1933" s="196">
        <v>116</v>
      </c>
      <c r="N1933" s="148"/>
      <c r="O1933" s="196" t="s">
        <v>7033</v>
      </c>
      <c r="P1933" s="144">
        <v>201</v>
      </c>
      <c r="Q1933" s="145">
        <f t="shared" si="130"/>
        <v>1.7103999999999997</v>
      </c>
      <c r="R1933" s="203">
        <v>1.2</v>
      </c>
      <c r="S1933" s="244">
        <v>1.9</v>
      </c>
      <c r="T1933" s="151">
        <v>0.13</v>
      </c>
      <c r="U1933" s="151">
        <v>1.9</v>
      </c>
      <c r="V1933" s="151">
        <v>0.33999999999999997</v>
      </c>
      <c r="W1933" s="151">
        <v>0.35</v>
      </c>
      <c r="X1933" s="152">
        <v>0.19039999999999999</v>
      </c>
      <c r="Y1933" s="152">
        <f t="shared" si="131"/>
        <v>1.9</v>
      </c>
      <c r="Z1933" s="152">
        <f t="shared" si="132"/>
        <v>2.9103999999999997</v>
      </c>
      <c r="AA1933" s="153"/>
      <c r="AB1933" s="153"/>
      <c r="AC1933" s="153"/>
      <c r="AD1933" s="153"/>
      <c r="AH1933" s="147"/>
    </row>
    <row r="1934" spans="1:34" s="146" customFormat="1" x14ac:dyDescent="0.25">
      <c r="A1934" s="142">
        <v>2551</v>
      </c>
      <c r="B1934" s="196" t="s">
        <v>9425</v>
      </c>
      <c r="C1934" s="196" t="s">
        <v>9434</v>
      </c>
      <c r="D1934" s="196" t="s">
        <v>5005</v>
      </c>
      <c r="E1934" s="148"/>
      <c r="F1934" s="196">
        <v>2005</v>
      </c>
      <c r="G1934" s="148"/>
      <c r="H1934" s="196" t="s">
        <v>1878</v>
      </c>
      <c r="I1934" s="141" t="s">
        <v>1879</v>
      </c>
      <c r="J1934" s="148"/>
      <c r="K1934" s="196" t="s">
        <v>1881</v>
      </c>
      <c r="L1934" s="241"/>
      <c r="M1934" s="196">
        <v>368</v>
      </c>
      <c r="N1934" s="148"/>
      <c r="O1934" s="196" t="s">
        <v>7034</v>
      </c>
      <c r="P1934" s="144">
        <v>268</v>
      </c>
      <c r="Q1934" s="145">
        <f t="shared" si="130"/>
        <v>1.7103999999999997</v>
      </c>
      <c r="R1934" s="203">
        <v>1.2</v>
      </c>
      <c r="S1934" s="244">
        <f>0.25+1.39</f>
        <v>1.64</v>
      </c>
      <c r="T1934" s="151">
        <v>0.13</v>
      </c>
      <c r="U1934" s="151">
        <v>1.9</v>
      </c>
      <c r="V1934" s="151">
        <v>0.33999999999999997</v>
      </c>
      <c r="W1934" s="151">
        <v>0.35</v>
      </c>
      <c r="X1934" s="152">
        <v>0.19039999999999999</v>
      </c>
      <c r="Y1934" s="152">
        <f t="shared" si="131"/>
        <v>1.64</v>
      </c>
      <c r="Z1934" s="152">
        <f t="shared" si="132"/>
        <v>2.9103999999999997</v>
      </c>
      <c r="AA1934" s="153"/>
      <c r="AB1934" s="153"/>
      <c r="AC1934" s="153"/>
      <c r="AD1934" s="153"/>
      <c r="AH1934" s="147"/>
    </row>
    <row r="1935" spans="1:34" s="146" customFormat="1" x14ac:dyDescent="0.25">
      <c r="A1935" s="142">
        <v>719</v>
      </c>
      <c r="B1935" s="148"/>
      <c r="C1935" s="196" t="s">
        <v>9435</v>
      </c>
      <c r="D1935" s="196" t="s">
        <v>8697</v>
      </c>
      <c r="E1935" s="148"/>
      <c r="F1935" s="196">
        <v>2004</v>
      </c>
      <c r="G1935" s="148"/>
      <c r="H1935" s="196" t="s">
        <v>2734</v>
      </c>
      <c r="I1935" s="141" t="s">
        <v>1879</v>
      </c>
      <c r="J1935" s="148"/>
      <c r="K1935" s="196" t="s">
        <v>1881</v>
      </c>
      <c r="L1935" s="240" t="s">
        <v>9436</v>
      </c>
      <c r="M1935" s="148"/>
      <c r="N1935" s="148"/>
      <c r="O1935" s="196" t="s">
        <v>7035</v>
      </c>
      <c r="P1935" s="144">
        <v>622</v>
      </c>
      <c r="Q1935" s="145">
        <f t="shared" si="130"/>
        <v>1.5104</v>
      </c>
      <c r="R1935" s="203">
        <v>1.7</v>
      </c>
      <c r="S1935" s="244">
        <v>2.6</v>
      </c>
      <c r="T1935" s="151">
        <v>0.13</v>
      </c>
      <c r="U1935" s="151">
        <v>2.2000000000000002</v>
      </c>
      <c r="V1935" s="151">
        <v>0.33999999999999997</v>
      </c>
      <c r="W1935" s="151">
        <v>0.35</v>
      </c>
      <c r="X1935" s="152">
        <v>0.19039999999999999</v>
      </c>
      <c r="Y1935" s="152">
        <f t="shared" si="131"/>
        <v>2.6</v>
      </c>
      <c r="Z1935" s="152">
        <f t="shared" si="132"/>
        <v>3.2103999999999999</v>
      </c>
      <c r="AA1935" s="153"/>
      <c r="AB1935" s="153"/>
      <c r="AC1935" s="153"/>
      <c r="AD1935" s="153"/>
      <c r="AH1935" s="147"/>
    </row>
    <row r="1936" spans="1:34" s="146" customFormat="1" x14ac:dyDescent="0.25">
      <c r="A1936" s="142">
        <v>2522</v>
      </c>
      <c r="B1936" s="196" t="s">
        <v>2456</v>
      </c>
      <c r="C1936" s="196" t="s">
        <v>9437</v>
      </c>
      <c r="D1936" s="196" t="s">
        <v>3077</v>
      </c>
      <c r="E1936" s="148"/>
      <c r="F1936" s="196">
        <v>2012</v>
      </c>
      <c r="G1936" s="148"/>
      <c r="H1936" s="196" t="s">
        <v>1878</v>
      </c>
      <c r="I1936" s="141" t="s">
        <v>1879</v>
      </c>
      <c r="J1936" s="148"/>
      <c r="K1936" s="196" t="s">
        <v>1881</v>
      </c>
      <c r="L1936" s="241"/>
      <c r="M1936" s="196">
        <v>512</v>
      </c>
      <c r="N1936" s="148"/>
      <c r="O1936" s="196" t="s">
        <v>7036</v>
      </c>
      <c r="P1936" s="144">
        <v>370</v>
      </c>
      <c r="Q1936" s="145">
        <f t="shared" si="130"/>
        <v>1.7313999999999996</v>
      </c>
      <c r="R1936" s="203">
        <v>1.2</v>
      </c>
      <c r="S1936" s="244">
        <v>1.65</v>
      </c>
      <c r="T1936" s="151">
        <v>0.13</v>
      </c>
      <c r="U1936" s="151">
        <v>1.9</v>
      </c>
      <c r="V1936" s="151">
        <v>0.33999999999999997</v>
      </c>
      <c r="W1936" s="151">
        <v>0.35</v>
      </c>
      <c r="X1936" s="152">
        <v>0.2114</v>
      </c>
      <c r="Y1936" s="152">
        <f t="shared" si="131"/>
        <v>1.65</v>
      </c>
      <c r="Z1936" s="152">
        <f t="shared" si="132"/>
        <v>2.9313999999999996</v>
      </c>
      <c r="AA1936" s="153"/>
      <c r="AB1936" s="153"/>
      <c r="AC1936" s="153"/>
      <c r="AD1936" s="153"/>
      <c r="AH1936" s="147"/>
    </row>
    <row r="1937" spans="1:34" s="146" customFormat="1" x14ac:dyDescent="0.25">
      <c r="A1937" s="142">
        <v>1355</v>
      </c>
      <c r="B1937" s="196" t="s">
        <v>9438</v>
      </c>
      <c r="C1937" s="196" t="s">
        <v>9439</v>
      </c>
      <c r="D1937" s="196" t="s">
        <v>1988</v>
      </c>
      <c r="E1937" s="196" t="s">
        <v>1913</v>
      </c>
      <c r="F1937" s="196">
        <v>1989</v>
      </c>
      <c r="G1937" s="148"/>
      <c r="H1937" s="196" t="s">
        <v>1878</v>
      </c>
      <c r="I1937" s="141" t="s">
        <v>1879</v>
      </c>
      <c r="J1937" s="148"/>
      <c r="K1937" s="196" t="s">
        <v>1881</v>
      </c>
      <c r="L1937" s="240" t="s">
        <v>9440</v>
      </c>
      <c r="M1937" s="148"/>
      <c r="N1937" s="148"/>
      <c r="O1937" s="196" t="s">
        <v>7037</v>
      </c>
      <c r="P1937" s="144">
        <v>154</v>
      </c>
      <c r="Q1937" s="145">
        <f t="shared" si="130"/>
        <v>1.7103999999999997</v>
      </c>
      <c r="R1937" s="203">
        <v>1.2</v>
      </c>
      <c r="S1937" s="244">
        <v>2.39</v>
      </c>
      <c r="T1937" s="151">
        <v>0.13</v>
      </c>
      <c r="U1937" s="151">
        <v>1.9</v>
      </c>
      <c r="V1937" s="151">
        <v>0.33999999999999997</v>
      </c>
      <c r="W1937" s="151">
        <v>0.35</v>
      </c>
      <c r="X1937" s="152">
        <v>0.19039999999999999</v>
      </c>
      <c r="Y1937" s="152">
        <f t="shared" si="131"/>
        <v>2.39</v>
      </c>
      <c r="Z1937" s="152">
        <f t="shared" si="132"/>
        <v>2.9103999999999997</v>
      </c>
      <c r="AA1937" s="153"/>
      <c r="AB1937" s="153"/>
      <c r="AC1937" s="153"/>
      <c r="AD1937" s="153"/>
      <c r="AH1937" s="147"/>
    </row>
    <row r="1938" spans="1:34" s="146" customFormat="1" x14ac:dyDescent="0.25">
      <c r="A1938" s="142">
        <v>655</v>
      </c>
      <c r="B1938" s="196" t="s">
        <v>9441</v>
      </c>
      <c r="C1938" s="196" t="s">
        <v>9442</v>
      </c>
      <c r="D1938" s="196" t="s">
        <v>1876</v>
      </c>
      <c r="E1938" s="196" t="s">
        <v>2375</v>
      </c>
      <c r="F1938" s="196">
        <v>1994</v>
      </c>
      <c r="G1938" s="148"/>
      <c r="H1938" s="196" t="s">
        <v>1878</v>
      </c>
      <c r="I1938" s="141" t="s">
        <v>1914</v>
      </c>
      <c r="J1938" s="148"/>
      <c r="K1938" s="196" t="s">
        <v>1881</v>
      </c>
      <c r="L1938" s="240" t="s">
        <v>9443</v>
      </c>
      <c r="M1938" s="196">
        <v>336</v>
      </c>
      <c r="N1938" s="148"/>
      <c r="O1938" s="196" t="s">
        <v>7038</v>
      </c>
      <c r="P1938" s="144">
        <v>285</v>
      </c>
      <c r="Q1938" s="145">
        <f t="shared" si="130"/>
        <v>2.5299999999999994</v>
      </c>
      <c r="R1938" s="203">
        <v>1.2</v>
      </c>
      <c r="S1938" s="244">
        <f>2.53+1.2</f>
        <v>3.7299999999999995</v>
      </c>
      <c r="T1938" s="151">
        <v>0.13</v>
      </c>
      <c r="U1938" s="151">
        <v>1.9</v>
      </c>
      <c r="V1938" s="151">
        <v>0.33999999999999997</v>
      </c>
      <c r="W1938" s="151">
        <v>0.35</v>
      </c>
      <c r="X1938" s="152">
        <v>0.19039999999999999</v>
      </c>
      <c r="Y1938" s="152">
        <f t="shared" si="131"/>
        <v>3.7299999999999995</v>
      </c>
      <c r="Z1938" s="152">
        <f t="shared" si="132"/>
        <v>2.9103999999999997</v>
      </c>
      <c r="AA1938" s="153"/>
      <c r="AB1938" s="153"/>
      <c r="AC1938" s="153"/>
      <c r="AD1938" s="153"/>
      <c r="AH1938" s="147"/>
    </row>
    <row r="1939" spans="1:34" s="146" customFormat="1" x14ac:dyDescent="0.25">
      <c r="A1939" s="142">
        <v>792</v>
      </c>
      <c r="B1939" s="148"/>
      <c r="C1939" s="196" t="s">
        <v>9444</v>
      </c>
      <c r="D1939" s="196" t="s">
        <v>1998</v>
      </c>
      <c r="E1939" s="196" t="s">
        <v>1877</v>
      </c>
      <c r="F1939" s="196">
        <v>1997</v>
      </c>
      <c r="G1939" s="148"/>
      <c r="H1939" s="196" t="s">
        <v>1878</v>
      </c>
      <c r="I1939" s="141" t="s">
        <v>1914</v>
      </c>
      <c r="J1939" s="148"/>
      <c r="K1939" s="196" t="s">
        <v>1881</v>
      </c>
      <c r="L1939" s="240" t="s">
        <v>9445</v>
      </c>
      <c r="M1939" s="196">
        <v>144</v>
      </c>
      <c r="N1939" s="148"/>
      <c r="O1939" s="196" t="s">
        <v>7039</v>
      </c>
      <c r="P1939" s="144">
        <v>132</v>
      </c>
      <c r="Q1939" s="145">
        <f t="shared" si="130"/>
        <v>1.7103999999999997</v>
      </c>
      <c r="R1939" s="203">
        <v>1.2</v>
      </c>
      <c r="S1939" s="244">
        <v>2.2000000000000002</v>
      </c>
      <c r="T1939" s="151">
        <v>0.13</v>
      </c>
      <c r="U1939" s="151">
        <v>1.9</v>
      </c>
      <c r="V1939" s="151">
        <v>0.33999999999999997</v>
      </c>
      <c r="W1939" s="151">
        <v>0.35</v>
      </c>
      <c r="X1939" s="152">
        <v>0.19039999999999999</v>
      </c>
      <c r="Y1939" s="152">
        <f t="shared" si="131"/>
        <v>2.2000000000000002</v>
      </c>
      <c r="Z1939" s="152">
        <f t="shared" si="132"/>
        <v>2.9103999999999997</v>
      </c>
      <c r="AA1939" s="153"/>
      <c r="AB1939" s="153"/>
      <c r="AC1939" s="153"/>
      <c r="AD1939" s="153"/>
      <c r="AH1939" s="147"/>
    </row>
    <row r="1940" spans="1:34" s="146" customFormat="1" x14ac:dyDescent="0.25">
      <c r="A1940" s="142">
        <v>792</v>
      </c>
      <c r="B1940" s="148"/>
      <c r="C1940" s="196" t="s">
        <v>9446</v>
      </c>
      <c r="D1940" s="196" t="s">
        <v>2209</v>
      </c>
      <c r="E1940" s="148"/>
      <c r="F1940" s="196">
        <v>1983</v>
      </c>
      <c r="G1940" s="148"/>
      <c r="H1940" s="196" t="s">
        <v>2008</v>
      </c>
      <c r="I1940" s="141" t="s">
        <v>1879</v>
      </c>
      <c r="J1940" s="148"/>
      <c r="K1940" s="196" t="s">
        <v>1881</v>
      </c>
      <c r="L1940" s="240" t="s">
        <v>9447</v>
      </c>
      <c r="M1940" s="196">
        <v>128</v>
      </c>
      <c r="N1940" s="148"/>
      <c r="O1940" s="196" t="s">
        <v>7040</v>
      </c>
      <c r="P1940" s="144">
        <v>114</v>
      </c>
      <c r="Q1940" s="145">
        <f t="shared" si="130"/>
        <v>1.74</v>
      </c>
      <c r="R1940" s="203">
        <v>1.2</v>
      </c>
      <c r="S1940" s="244">
        <v>2.94</v>
      </c>
      <c r="T1940" s="151">
        <v>0.13</v>
      </c>
      <c r="U1940" s="151">
        <v>1.9</v>
      </c>
      <c r="V1940" s="151">
        <v>0.33999999999999997</v>
      </c>
      <c r="W1940" s="151">
        <v>0.35</v>
      </c>
      <c r="X1940" s="152">
        <v>0.19039999999999999</v>
      </c>
      <c r="Y1940" s="152">
        <f t="shared" si="131"/>
        <v>2.94</v>
      </c>
      <c r="Z1940" s="152">
        <f t="shared" si="132"/>
        <v>2.9103999999999997</v>
      </c>
      <c r="AA1940" s="153"/>
      <c r="AB1940" s="153"/>
      <c r="AC1940" s="153"/>
      <c r="AD1940" s="153"/>
      <c r="AH1940" s="147"/>
    </row>
    <row r="1941" spans="1:34" s="146" customFormat="1" x14ac:dyDescent="0.25">
      <c r="A1941" s="142">
        <v>1327</v>
      </c>
      <c r="B1941" s="196" t="s">
        <v>9448</v>
      </c>
      <c r="C1941" s="196" t="s">
        <v>9449</v>
      </c>
      <c r="D1941" s="196" t="s">
        <v>2609</v>
      </c>
      <c r="E1941" s="148"/>
      <c r="F1941" s="196">
        <v>1982</v>
      </c>
      <c r="G1941" s="148"/>
      <c r="H1941" s="196" t="s">
        <v>2008</v>
      </c>
      <c r="I1941" s="141" t="s">
        <v>1914</v>
      </c>
      <c r="J1941" s="148"/>
      <c r="K1941" s="196" t="s">
        <v>1881</v>
      </c>
      <c r="L1941" s="240" t="s">
        <v>9450</v>
      </c>
      <c r="M1941" s="196">
        <v>144</v>
      </c>
      <c r="N1941" s="148"/>
      <c r="O1941" s="196" t="s">
        <v>7041</v>
      </c>
      <c r="P1941" s="144">
        <v>75</v>
      </c>
      <c r="Q1941" s="145">
        <f t="shared" si="130"/>
        <v>2.5</v>
      </c>
      <c r="R1941" s="203">
        <v>1.2</v>
      </c>
      <c r="S1941" s="244">
        <v>3.7</v>
      </c>
      <c r="T1941" s="151">
        <v>0.13</v>
      </c>
      <c r="U1941" s="151">
        <v>1.9</v>
      </c>
      <c r="V1941" s="151">
        <v>0.33999999999999997</v>
      </c>
      <c r="W1941" s="151">
        <v>0.35</v>
      </c>
      <c r="X1941" s="152">
        <v>0.19039999999999999</v>
      </c>
      <c r="Y1941" s="152">
        <f t="shared" si="131"/>
        <v>3.7</v>
      </c>
      <c r="Z1941" s="152">
        <f t="shared" si="132"/>
        <v>2.9103999999999997</v>
      </c>
      <c r="AA1941" s="153"/>
      <c r="AB1941" s="153"/>
      <c r="AC1941" s="153"/>
      <c r="AD1941" s="153"/>
      <c r="AH1941" s="147"/>
    </row>
    <row r="1942" spans="1:34" s="146" customFormat="1" x14ac:dyDescent="0.25">
      <c r="A1942" s="142">
        <v>1355</v>
      </c>
      <c r="B1942" s="196" t="s">
        <v>9451</v>
      </c>
      <c r="C1942" s="196" t="s">
        <v>9452</v>
      </c>
      <c r="D1942" s="196" t="s">
        <v>2609</v>
      </c>
      <c r="E1942" s="148"/>
      <c r="F1942" s="196">
        <v>1986</v>
      </c>
      <c r="G1942" s="148"/>
      <c r="H1942" s="196" t="s">
        <v>1878</v>
      </c>
      <c r="I1942" s="141" t="s">
        <v>1914</v>
      </c>
      <c r="J1942" s="148"/>
      <c r="K1942" s="196" t="s">
        <v>1881</v>
      </c>
      <c r="L1942" s="240" t="s">
        <v>9453</v>
      </c>
      <c r="M1942" s="148"/>
      <c r="N1942" s="148"/>
      <c r="O1942" s="196" t="s">
        <v>7042</v>
      </c>
      <c r="P1942" s="144">
        <v>149</v>
      </c>
      <c r="Q1942" s="145">
        <f t="shared" si="130"/>
        <v>1.7103999999999997</v>
      </c>
      <c r="R1942" s="203">
        <v>1.2</v>
      </c>
      <c r="S1942" s="244">
        <v>2.9</v>
      </c>
      <c r="T1942" s="151">
        <v>0.13</v>
      </c>
      <c r="U1942" s="151">
        <v>1.9</v>
      </c>
      <c r="V1942" s="151">
        <v>0.33999999999999997</v>
      </c>
      <c r="W1942" s="151">
        <v>0.35</v>
      </c>
      <c r="X1942" s="152">
        <v>0.19039999999999999</v>
      </c>
      <c r="Y1942" s="152">
        <f t="shared" si="131"/>
        <v>2.9</v>
      </c>
      <c r="Z1942" s="152">
        <f t="shared" si="132"/>
        <v>2.9103999999999997</v>
      </c>
      <c r="AA1942" s="153"/>
      <c r="AB1942" s="153"/>
      <c r="AC1942" s="153"/>
      <c r="AD1942" s="153"/>
      <c r="AH1942" s="147"/>
    </row>
    <row r="1943" spans="1:34" s="146" customFormat="1" x14ac:dyDescent="0.25">
      <c r="A1943" s="142">
        <v>2673</v>
      </c>
      <c r="B1943" s="148"/>
      <c r="C1943" s="196" t="s">
        <v>9454</v>
      </c>
      <c r="D1943" s="196" t="s">
        <v>5930</v>
      </c>
      <c r="E1943" s="148"/>
      <c r="F1943" s="196">
        <v>1995</v>
      </c>
      <c r="G1943" s="148"/>
      <c r="H1943" s="196" t="s">
        <v>2734</v>
      </c>
      <c r="I1943" s="141" t="s">
        <v>1879</v>
      </c>
      <c r="J1943" s="148"/>
      <c r="K1943" s="196" t="s">
        <v>1881</v>
      </c>
      <c r="L1943" s="240" t="s">
        <v>9455</v>
      </c>
      <c r="M1943" s="196">
        <v>194</v>
      </c>
      <c r="N1943" s="148"/>
      <c r="O1943" s="196" t="s">
        <v>7043</v>
      </c>
      <c r="P1943" s="144">
        <v>391</v>
      </c>
      <c r="Q1943" s="145">
        <f t="shared" si="130"/>
        <v>1.7103999999999997</v>
      </c>
      <c r="R1943" s="203">
        <v>1.2</v>
      </c>
      <c r="S1943" s="244">
        <f>0.59+1.45</f>
        <v>2.04</v>
      </c>
      <c r="T1943" s="151">
        <v>0.13</v>
      </c>
      <c r="U1943" s="151">
        <v>1.9</v>
      </c>
      <c r="V1943" s="151">
        <v>0.33999999999999997</v>
      </c>
      <c r="W1943" s="151">
        <v>0.35</v>
      </c>
      <c r="X1943" s="152">
        <v>0.19039999999999999</v>
      </c>
      <c r="Y1943" s="152">
        <f t="shared" si="131"/>
        <v>2.04</v>
      </c>
      <c r="Z1943" s="152">
        <f t="shared" si="132"/>
        <v>2.9103999999999997</v>
      </c>
      <c r="AA1943" s="153"/>
      <c r="AB1943" s="153"/>
      <c r="AC1943" s="153"/>
      <c r="AD1943" s="153"/>
      <c r="AH1943" s="147"/>
    </row>
    <row r="1944" spans="1:34" s="146" customFormat="1" x14ac:dyDescent="0.25">
      <c r="A1944" s="142">
        <v>2530</v>
      </c>
      <c r="B1944" s="196" t="s">
        <v>9456</v>
      </c>
      <c r="C1944" s="196" t="s">
        <v>9457</v>
      </c>
      <c r="D1944" s="196" t="s">
        <v>2926</v>
      </c>
      <c r="E1944" s="148"/>
      <c r="F1944" s="196">
        <v>2002</v>
      </c>
      <c r="G1944" s="148"/>
      <c r="H1944" s="196" t="s">
        <v>2734</v>
      </c>
      <c r="I1944" s="141" t="s">
        <v>1879</v>
      </c>
      <c r="J1944" s="148"/>
      <c r="K1944" s="196" t="s">
        <v>1881</v>
      </c>
      <c r="L1944" s="240" t="s">
        <v>9458</v>
      </c>
      <c r="M1944" s="196">
        <v>322</v>
      </c>
      <c r="N1944" s="148"/>
      <c r="O1944" s="196" t="s">
        <v>7044</v>
      </c>
      <c r="P1944" s="144">
        <v>535</v>
      </c>
      <c r="Q1944" s="145">
        <f t="shared" si="130"/>
        <v>2.2700000000000005</v>
      </c>
      <c r="R1944" s="203">
        <v>1.7</v>
      </c>
      <c r="S1944" s="244">
        <f>2.22+1.75</f>
        <v>3.97</v>
      </c>
      <c r="T1944" s="151">
        <v>0.13</v>
      </c>
      <c r="U1944" s="151">
        <v>2.2000000000000002</v>
      </c>
      <c r="V1944" s="151">
        <v>0.33999999999999997</v>
      </c>
      <c r="W1944" s="151">
        <v>0.35</v>
      </c>
      <c r="X1944" s="152">
        <v>0.19039999999999999</v>
      </c>
      <c r="Y1944" s="152">
        <f t="shared" si="131"/>
        <v>3.97</v>
      </c>
      <c r="Z1944" s="152">
        <f t="shared" si="132"/>
        <v>3.2103999999999999</v>
      </c>
      <c r="AA1944" s="153"/>
      <c r="AB1944" s="153"/>
      <c r="AC1944" s="153"/>
      <c r="AD1944" s="153"/>
      <c r="AH1944" s="147"/>
    </row>
    <row r="1945" spans="1:34" s="146" customFormat="1" x14ac:dyDescent="0.25">
      <c r="A1945" s="142">
        <v>1386</v>
      </c>
      <c r="B1945" s="196" t="s">
        <v>9459</v>
      </c>
      <c r="C1945" s="196" t="s">
        <v>9460</v>
      </c>
      <c r="D1945" s="196" t="s">
        <v>2835</v>
      </c>
      <c r="E1945" s="196" t="s">
        <v>1913</v>
      </c>
      <c r="F1945" s="196">
        <v>2006</v>
      </c>
      <c r="G1945" s="148"/>
      <c r="H1945" s="196" t="s">
        <v>2734</v>
      </c>
      <c r="I1945" s="141" t="s">
        <v>1879</v>
      </c>
      <c r="J1945" s="148"/>
      <c r="K1945" s="196" t="s">
        <v>1881</v>
      </c>
      <c r="L1945" s="240" t="s">
        <v>9461</v>
      </c>
      <c r="M1945" s="196">
        <v>322</v>
      </c>
      <c r="N1945" s="148"/>
      <c r="O1945" s="196" t="s">
        <v>7045</v>
      </c>
      <c r="P1945" s="144">
        <v>417</v>
      </c>
      <c r="Q1945" s="145">
        <f t="shared" si="130"/>
        <v>1.7313999999999996</v>
      </c>
      <c r="R1945" s="203">
        <v>1.2</v>
      </c>
      <c r="S1945" s="244">
        <f>0.79+1.2</f>
        <v>1.99</v>
      </c>
      <c r="T1945" s="151">
        <v>0.13</v>
      </c>
      <c r="U1945" s="151">
        <v>1.9</v>
      </c>
      <c r="V1945" s="151">
        <v>0.33999999999999997</v>
      </c>
      <c r="W1945" s="151">
        <v>0.35</v>
      </c>
      <c r="X1945" s="152">
        <v>0.2114</v>
      </c>
      <c r="Y1945" s="152">
        <f t="shared" si="131"/>
        <v>1.99</v>
      </c>
      <c r="Z1945" s="152">
        <f t="shared" si="132"/>
        <v>2.9313999999999996</v>
      </c>
      <c r="AA1945" s="153"/>
      <c r="AB1945" s="153"/>
      <c r="AC1945" s="153"/>
      <c r="AD1945" s="153"/>
      <c r="AH1945" s="147"/>
    </row>
    <row r="1946" spans="1:34" s="146" customFormat="1" x14ac:dyDescent="0.25">
      <c r="A1946" s="142">
        <v>2522</v>
      </c>
      <c r="B1946" s="196" t="s">
        <v>9462</v>
      </c>
      <c r="C1946" s="196" t="s">
        <v>9463</v>
      </c>
      <c r="D1946" s="196" t="s">
        <v>9464</v>
      </c>
      <c r="E1946" s="148"/>
      <c r="F1946" s="196">
        <v>1991</v>
      </c>
      <c r="G1946" s="148"/>
      <c r="H1946" s="196" t="s">
        <v>2734</v>
      </c>
      <c r="I1946" s="141" t="s">
        <v>1879</v>
      </c>
      <c r="J1946" s="148"/>
      <c r="K1946" s="196" t="s">
        <v>1881</v>
      </c>
      <c r="L1946" s="240" t="s">
        <v>9465</v>
      </c>
      <c r="M1946" s="196">
        <v>234</v>
      </c>
      <c r="N1946" s="148"/>
      <c r="O1946" s="196" t="s">
        <v>7046</v>
      </c>
      <c r="P1946" s="144">
        <v>344</v>
      </c>
      <c r="Q1946" s="145">
        <f t="shared" si="130"/>
        <v>3.7</v>
      </c>
      <c r="R1946" s="203">
        <v>1.2</v>
      </c>
      <c r="S1946" s="244">
        <v>4.9000000000000004</v>
      </c>
      <c r="T1946" s="151">
        <v>0.13</v>
      </c>
      <c r="U1946" s="151">
        <v>1.9</v>
      </c>
      <c r="V1946" s="151">
        <v>0.33999999999999997</v>
      </c>
      <c r="W1946" s="151">
        <v>0.35</v>
      </c>
      <c r="X1946" s="152">
        <v>0.19039999999999999</v>
      </c>
      <c r="Y1946" s="152">
        <f t="shared" si="131"/>
        <v>4.9000000000000004</v>
      </c>
      <c r="Z1946" s="152">
        <f t="shared" si="132"/>
        <v>2.9103999999999997</v>
      </c>
      <c r="AA1946" s="153"/>
      <c r="AB1946" s="153"/>
      <c r="AC1946" s="153"/>
      <c r="AD1946" s="153"/>
      <c r="AH1946" s="147"/>
    </row>
    <row r="1947" spans="1:34" s="146" customFormat="1" x14ac:dyDescent="0.25">
      <c r="A1947" s="148"/>
      <c r="B1947" s="196" t="s">
        <v>3121</v>
      </c>
      <c r="C1947" s="196" t="s">
        <v>9466</v>
      </c>
      <c r="D1947" s="196" t="s">
        <v>3332</v>
      </c>
      <c r="E1947" s="148"/>
      <c r="F1947" s="196">
        <v>1990</v>
      </c>
      <c r="G1947" s="148"/>
      <c r="H1947" s="196" t="s">
        <v>2734</v>
      </c>
      <c r="I1947" s="141" t="s">
        <v>1879</v>
      </c>
      <c r="J1947" s="196" t="s">
        <v>2505</v>
      </c>
      <c r="K1947" s="196" t="s">
        <v>1881</v>
      </c>
      <c r="L1947" s="240" t="s">
        <v>9467</v>
      </c>
      <c r="M1947" s="196">
        <v>482</v>
      </c>
      <c r="N1947" s="148"/>
      <c r="O1947" s="196" t="s">
        <v>7047</v>
      </c>
      <c r="P1947" s="144">
        <v>506</v>
      </c>
      <c r="Q1947" s="145">
        <f t="shared" si="130"/>
        <v>1.5104</v>
      </c>
      <c r="R1947" s="203">
        <v>1.7</v>
      </c>
      <c r="S1947" s="244">
        <v>2.8</v>
      </c>
      <c r="T1947" s="151">
        <v>0.13</v>
      </c>
      <c r="U1947" s="151">
        <v>2.2000000000000002</v>
      </c>
      <c r="V1947" s="151">
        <v>0.33999999999999997</v>
      </c>
      <c r="W1947" s="151">
        <v>0.35</v>
      </c>
      <c r="X1947" s="152">
        <v>0.19039999999999999</v>
      </c>
      <c r="Y1947" s="152">
        <f t="shared" si="131"/>
        <v>2.8</v>
      </c>
      <c r="Z1947" s="152">
        <f t="shared" si="132"/>
        <v>3.2103999999999999</v>
      </c>
      <c r="AA1947" s="153"/>
      <c r="AB1947" s="153"/>
      <c r="AC1947" s="153"/>
      <c r="AD1947" s="153"/>
      <c r="AH1947" s="147"/>
    </row>
    <row r="1948" spans="1:34" s="146" customFormat="1" x14ac:dyDescent="0.25">
      <c r="A1948" s="142">
        <v>1327</v>
      </c>
      <c r="B1948" s="196" t="s">
        <v>9468</v>
      </c>
      <c r="C1948" s="196" t="s">
        <v>9469</v>
      </c>
      <c r="D1948" s="196" t="s">
        <v>2609</v>
      </c>
      <c r="E1948" s="148"/>
      <c r="F1948" s="196">
        <v>1978</v>
      </c>
      <c r="G1948" s="148"/>
      <c r="H1948" s="196" t="s">
        <v>2008</v>
      </c>
      <c r="I1948" s="141" t="s">
        <v>1914</v>
      </c>
      <c r="J1948" s="148"/>
      <c r="K1948" s="196" t="s">
        <v>1881</v>
      </c>
      <c r="L1948" s="240" t="s">
        <v>9470</v>
      </c>
      <c r="M1948" s="196">
        <v>142</v>
      </c>
      <c r="N1948" s="148"/>
      <c r="O1948" s="196" t="s">
        <v>7048</v>
      </c>
      <c r="P1948" s="144">
        <v>76</v>
      </c>
      <c r="Q1948" s="145">
        <f t="shared" si="130"/>
        <v>1.7313999999999996</v>
      </c>
      <c r="R1948" s="203">
        <v>1.2</v>
      </c>
      <c r="S1948" s="244">
        <v>2.5</v>
      </c>
      <c r="T1948" s="151">
        <v>0.13</v>
      </c>
      <c r="U1948" s="151">
        <v>1.9</v>
      </c>
      <c r="V1948" s="151">
        <v>0.33999999999999997</v>
      </c>
      <c r="W1948" s="151">
        <v>0.35</v>
      </c>
      <c r="X1948" s="152">
        <v>0.2114</v>
      </c>
      <c r="Y1948" s="152">
        <f t="shared" si="131"/>
        <v>2.5</v>
      </c>
      <c r="Z1948" s="152">
        <f t="shared" si="132"/>
        <v>2.9313999999999996</v>
      </c>
      <c r="AA1948" s="153"/>
      <c r="AB1948" s="153"/>
      <c r="AC1948" s="153"/>
      <c r="AD1948" s="153"/>
      <c r="AH1948" s="147"/>
    </row>
    <row r="1949" spans="1:34" s="146" customFormat="1" x14ac:dyDescent="0.25">
      <c r="A1949" s="142">
        <v>1327</v>
      </c>
      <c r="B1949" s="196" t="s">
        <v>9471</v>
      </c>
      <c r="C1949" s="196" t="s">
        <v>9472</v>
      </c>
      <c r="D1949" s="196" t="s">
        <v>2309</v>
      </c>
      <c r="E1949" s="196" t="s">
        <v>2032</v>
      </c>
      <c r="F1949" s="196">
        <v>1991</v>
      </c>
      <c r="G1949" s="148"/>
      <c r="H1949" s="196" t="s">
        <v>1878</v>
      </c>
      <c r="I1949" s="141" t="s">
        <v>1879</v>
      </c>
      <c r="J1949" s="196" t="s">
        <v>9473</v>
      </c>
      <c r="K1949" s="196" t="s">
        <v>1881</v>
      </c>
      <c r="L1949" s="240" t="s">
        <v>9474</v>
      </c>
      <c r="M1949" s="196">
        <v>80</v>
      </c>
      <c r="N1949" s="148"/>
      <c r="O1949" s="196" t="s">
        <v>7049</v>
      </c>
      <c r="P1949" s="144">
        <v>127</v>
      </c>
      <c r="Q1949" s="145">
        <f t="shared" si="130"/>
        <v>1.7103999999999997</v>
      </c>
      <c r="R1949" s="203">
        <v>1.2</v>
      </c>
      <c r="S1949" s="244">
        <v>1.84</v>
      </c>
      <c r="T1949" s="151">
        <v>0.13</v>
      </c>
      <c r="U1949" s="151">
        <v>1.9</v>
      </c>
      <c r="V1949" s="151">
        <v>0.33999999999999997</v>
      </c>
      <c r="W1949" s="151">
        <v>0.35</v>
      </c>
      <c r="X1949" s="152">
        <v>0.19039999999999999</v>
      </c>
      <c r="Y1949" s="152">
        <f t="shared" si="131"/>
        <v>1.84</v>
      </c>
      <c r="Z1949" s="152">
        <f t="shared" si="132"/>
        <v>2.9103999999999997</v>
      </c>
      <c r="AA1949" s="153"/>
      <c r="AB1949" s="153"/>
      <c r="AC1949" s="153"/>
      <c r="AD1949" s="153"/>
      <c r="AH1949" s="147"/>
    </row>
    <row r="1950" spans="1:34" s="146" customFormat="1" x14ac:dyDescent="0.25">
      <c r="A1950" s="142">
        <v>774</v>
      </c>
      <c r="B1950" s="196" t="s">
        <v>9475</v>
      </c>
      <c r="C1950" s="196" t="s">
        <v>9476</v>
      </c>
      <c r="D1950" s="196" t="s">
        <v>2209</v>
      </c>
      <c r="E1950" s="196" t="s">
        <v>1877</v>
      </c>
      <c r="F1950" s="196">
        <v>1982</v>
      </c>
      <c r="G1950" s="148"/>
      <c r="H1950" s="196" t="s">
        <v>1878</v>
      </c>
      <c r="I1950" s="141" t="s">
        <v>1914</v>
      </c>
      <c r="J1950" s="148"/>
      <c r="K1950" s="196" t="s">
        <v>1881</v>
      </c>
      <c r="L1950" s="240" t="s">
        <v>9477</v>
      </c>
      <c r="M1950" s="196">
        <v>416</v>
      </c>
      <c r="N1950" s="148"/>
      <c r="O1950" s="196" t="s">
        <v>7050</v>
      </c>
      <c r="P1950" s="144">
        <v>277</v>
      </c>
      <c r="Q1950" s="145">
        <f t="shared" si="130"/>
        <v>1.7103999999999997</v>
      </c>
      <c r="R1950" s="203">
        <v>1.2</v>
      </c>
      <c r="S1950" s="244">
        <v>2.9</v>
      </c>
      <c r="T1950" s="151">
        <v>0.13</v>
      </c>
      <c r="U1950" s="151">
        <v>1.9</v>
      </c>
      <c r="V1950" s="151">
        <v>0.33999999999999997</v>
      </c>
      <c r="W1950" s="151">
        <v>0.35</v>
      </c>
      <c r="X1950" s="152">
        <v>0.19039999999999999</v>
      </c>
      <c r="Y1950" s="152">
        <f t="shared" si="131"/>
        <v>2.9</v>
      </c>
      <c r="Z1950" s="152">
        <f t="shared" si="132"/>
        <v>2.9103999999999997</v>
      </c>
      <c r="AA1950" s="153"/>
      <c r="AB1950" s="153"/>
      <c r="AC1950" s="153"/>
      <c r="AD1950" s="153"/>
      <c r="AH1950" s="147"/>
    </row>
    <row r="1951" spans="1:34" s="146" customFormat="1" x14ac:dyDescent="0.25">
      <c r="A1951" s="142">
        <v>1324</v>
      </c>
      <c r="B1951" s="196" t="s">
        <v>9478</v>
      </c>
      <c r="C1951" s="196" t="s">
        <v>9479</v>
      </c>
      <c r="D1951" s="196" t="s">
        <v>2257</v>
      </c>
      <c r="E1951" s="148"/>
      <c r="F1951" s="196">
        <v>2001</v>
      </c>
      <c r="G1951" s="148"/>
      <c r="H1951" s="196" t="s">
        <v>1878</v>
      </c>
      <c r="I1951" s="141" t="s">
        <v>1879</v>
      </c>
      <c r="J1951" s="148"/>
      <c r="K1951" s="196" t="s">
        <v>1881</v>
      </c>
      <c r="L1951" s="240" t="s">
        <v>9480</v>
      </c>
      <c r="M1951" s="196">
        <v>144</v>
      </c>
      <c r="N1951" s="148"/>
      <c r="O1951" s="196" t="s">
        <v>7051</v>
      </c>
      <c r="P1951" s="144">
        <v>132</v>
      </c>
      <c r="Q1951" s="145">
        <f t="shared" si="130"/>
        <v>1.7103999999999997</v>
      </c>
      <c r="R1951" s="203">
        <v>1.2</v>
      </c>
      <c r="S1951" s="244">
        <v>2</v>
      </c>
      <c r="T1951" s="151">
        <v>0.13</v>
      </c>
      <c r="U1951" s="151">
        <v>1.9</v>
      </c>
      <c r="V1951" s="151">
        <v>0.33999999999999997</v>
      </c>
      <c r="W1951" s="151">
        <v>0.35</v>
      </c>
      <c r="X1951" s="152">
        <v>0.19039999999999999</v>
      </c>
      <c r="Y1951" s="152">
        <f t="shared" si="131"/>
        <v>2</v>
      </c>
      <c r="Z1951" s="152">
        <f t="shared" si="132"/>
        <v>2.9103999999999997</v>
      </c>
      <c r="AA1951" s="153"/>
      <c r="AB1951" s="153"/>
      <c r="AC1951" s="153"/>
      <c r="AD1951" s="153"/>
      <c r="AH1951" s="147"/>
    </row>
    <row r="1952" spans="1:34" s="146" customFormat="1" x14ac:dyDescent="0.25">
      <c r="A1952" s="142">
        <v>692</v>
      </c>
      <c r="B1952" s="196" t="s">
        <v>9481</v>
      </c>
      <c r="C1952" s="196" t="s">
        <v>9482</v>
      </c>
      <c r="D1952" s="196" t="s">
        <v>1912</v>
      </c>
      <c r="E1952" s="196" t="s">
        <v>1899</v>
      </c>
      <c r="F1952" s="196">
        <v>1993</v>
      </c>
      <c r="G1952" s="148"/>
      <c r="H1952" s="196" t="s">
        <v>1878</v>
      </c>
      <c r="I1952" s="141" t="s">
        <v>1914</v>
      </c>
      <c r="J1952" s="148"/>
      <c r="K1952" s="196" t="s">
        <v>1881</v>
      </c>
      <c r="L1952" s="240" t="s">
        <v>9483</v>
      </c>
      <c r="M1952" s="196">
        <v>146</v>
      </c>
      <c r="N1952" s="148"/>
      <c r="O1952" s="196" t="s">
        <v>7052</v>
      </c>
      <c r="P1952" s="144">
        <v>128</v>
      </c>
      <c r="Q1952" s="145">
        <f t="shared" si="130"/>
        <v>1.7103999999999997</v>
      </c>
      <c r="R1952" s="203">
        <v>1.2</v>
      </c>
      <c r="S1952" s="244">
        <v>1.65</v>
      </c>
      <c r="T1952" s="151">
        <v>0.13</v>
      </c>
      <c r="U1952" s="151">
        <v>1.9</v>
      </c>
      <c r="V1952" s="151">
        <v>0.33999999999999997</v>
      </c>
      <c r="W1952" s="151">
        <v>0.35</v>
      </c>
      <c r="X1952" s="152">
        <v>0.19039999999999999</v>
      </c>
      <c r="Y1952" s="152">
        <f t="shared" si="131"/>
        <v>1.65</v>
      </c>
      <c r="Z1952" s="152">
        <f t="shared" si="132"/>
        <v>2.9103999999999997</v>
      </c>
      <c r="AA1952" s="153"/>
      <c r="AB1952" s="153"/>
      <c r="AC1952" s="153"/>
      <c r="AD1952" s="153"/>
      <c r="AH1952" s="147"/>
    </row>
    <row r="1953" spans="1:34" s="146" customFormat="1" x14ac:dyDescent="0.25">
      <c r="A1953" s="142">
        <v>692</v>
      </c>
      <c r="B1953" s="196" t="s">
        <v>9484</v>
      </c>
      <c r="C1953" s="196" t="s">
        <v>9485</v>
      </c>
      <c r="D1953" s="196" t="s">
        <v>2609</v>
      </c>
      <c r="E1953" s="148"/>
      <c r="F1953" s="196">
        <v>1990</v>
      </c>
      <c r="G1953" s="148"/>
      <c r="H1953" s="196" t="s">
        <v>1878</v>
      </c>
      <c r="I1953" s="141" t="s">
        <v>1879</v>
      </c>
      <c r="J1953" s="148"/>
      <c r="K1953" s="196" t="s">
        <v>1881</v>
      </c>
      <c r="L1953" s="240" t="s">
        <v>9486</v>
      </c>
      <c r="M1953" s="196">
        <v>128</v>
      </c>
      <c r="N1953" s="148"/>
      <c r="O1953" s="196" t="s">
        <v>7053</v>
      </c>
      <c r="P1953" s="144">
        <v>93</v>
      </c>
      <c r="Q1953" s="145">
        <f t="shared" si="130"/>
        <v>1.7103999999999997</v>
      </c>
      <c r="R1953" s="203">
        <v>1.2</v>
      </c>
      <c r="S1953" s="244">
        <v>1.45</v>
      </c>
      <c r="T1953" s="151">
        <v>0.13</v>
      </c>
      <c r="U1953" s="151">
        <v>1.9</v>
      </c>
      <c r="V1953" s="151">
        <v>0.33999999999999997</v>
      </c>
      <c r="W1953" s="151">
        <v>0.35</v>
      </c>
      <c r="X1953" s="152">
        <v>0.19039999999999999</v>
      </c>
      <c r="Y1953" s="152">
        <f t="shared" si="131"/>
        <v>1.45</v>
      </c>
      <c r="Z1953" s="152">
        <f t="shared" si="132"/>
        <v>2.9103999999999997</v>
      </c>
      <c r="AA1953" s="153"/>
      <c r="AB1953" s="153"/>
      <c r="AC1953" s="153"/>
      <c r="AD1953" s="153"/>
      <c r="AH1953" s="147"/>
    </row>
    <row r="1954" spans="1:34" s="146" customFormat="1" x14ac:dyDescent="0.25">
      <c r="A1954" s="142">
        <v>284</v>
      </c>
      <c r="B1954" s="148"/>
      <c r="C1954" s="196" t="s">
        <v>9487</v>
      </c>
      <c r="D1954" s="148"/>
      <c r="E1954" s="148"/>
      <c r="F1954" s="148"/>
      <c r="G1954" s="148"/>
      <c r="H1954" s="196" t="s">
        <v>1878</v>
      </c>
      <c r="I1954" s="141" t="s">
        <v>1879</v>
      </c>
      <c r="J1954" s="148"/>
      <c r="K1954" s="196" t="s">
        <v>1881</v>
      </c>
      <c r="L1954" s="240" t="s">
        <v>9488</v>
      </c>
      <c r="M1954" s="196">
        <v>484</v>
      </c>
      <c r="N1954" s="148"/>
      <c r="O1954" s="196" t="s">
        <v>7054</v>
      </c>
      <c r="P1954" s="144">
        <v>250</v>
      </c>
      <c r="Q1954" s="145">
        <f t="shared" si="130"/>
        <v>2.2000000000000002</v>
      </c>
      <c r="R1954" s="203">
        <v>1.2</v>
      </c>
      <c r="S1954" s="244">
        <v>3.4</v>
      </c>
      <c r="T1954" s="151">
        <v>0.13</v>
      </c>
      <c r="U1954" s="151">
        <v>1.9</v>
      </c>
      <c r="V1954" s="151">
        <v>0.33999999999999997</v>
      </c>
      <c r="W1954" s="151">
        <v>0.35</v>
      </c>
      <c r="X1954" s="152">
        <v>0.19039999999999999</v>
      </c>
      <c r="Y1954" s="152">
        <f t="shared" si="131"/>
        <v>3.4</v>
      </c>
      <c r="Z1954" s="152">
        <f t="shared" si="132"/>
        <v>2.9103999999999997</v>
      </c>
      <c r="AA1954" s="153"/>
      <c r="AB1954" s="153"/>
      <c r="AC1954" s="153"/>
      <c r="AD1954" s="153"/>
      <c r="AH1954" s="147"/>
    </row>
    <row r="1955" spans="1:34" s="146" customFormat="1" x14ac:dyDescent="0.25">
      <c r="A1955" s="138">
        <v>796</v>
      </c>
      <c r="B1955" s="196" t="s">
        <v>7334</v>
      </c>
      <c r="C1955" s="196" t="s">
        <v>9489</v>
      </c>
      <c r="D1955" s="196" t="s">
        <v>9490</v>
      </c>
      <c r="E1955" s="148"/>
      <c r="F1955" s="196">
        <v>1992</v>
      </c>
      <c r="G1955" s="148"/>
      <c r="H1955" s="196" t="s">
        <v>2734</v>
      </c>
      <c r="I1955" s="141" t="s">
        <v>1879</v>
      </c>
      <c r="J1955" s="148"/>
      <c r="K1955" s="196" t="s">
        <v>1881</v>
      </c>
      <c r="L1955" s="241"/>
      <c r="M1955" s="196">
        <v>319</v>
      </c>
      <c r="N1955" s="148"/>
      <c r="O1955" s="196" t="s">
        <v>7055</v>
      </c>
      <c r="P1955" s="144">
        <v>504</v>
      </c>
      <c r="Q1955" s="145">
        <f t="shared" si="130"/>
        <v>1.5104</v>
      </c>
      <c r="R1955" s="203">
        <v>1.7</v>
      </c>
      <c r="S1955" s="244">
        <v>1.45</v>
      </c>
      <c r="T1955" s="151">
        <v>0.13</v>
      </c>
      <c r="U1955" s="151">
        <v>2.2000000000000002</v>
      </c>
      <c r="V1955" s="151">
        <v>0.33999999999999997</v>
      </c>
      <c r="W1955" s="151">
        <v>0.35</v>
      </c>
      <c r="X1955" s="152">
        <v>0.19039999999999999</v>
      </c>
      <c r="Y1955" s="152">
        <f t="shared" si="131"/>
        <v>1.45</v>
      </c>
      <c r="Z1955" s="152">
        <f t="shared" si="132"/>
        <v>3.2103999999999999</v>
      </c>
      <c r="AA1955" s="153"/>
      <c r="AB1955" s="153"/>
      <c r="AC1955" s="153"/>
      <c r="AD1955" s="153"/>
      <c r="AH1955" s="147"/>
    </row>
    <row r="1956" spans="1:34" s="146" customFormat="1" x14ac:dyDescent="0.25">
      <c r="A1956" s="142">
        <v>796</v>
      </c>
      <c r="B1956" s="196" t="s">
        <v>9291</v>
      </c>
      <c r="C1956" s="196" t="s">
        <v>9491</v>
      </c>
      <c r="D1956" s="196" t="s">
        <v>2257</v>
      </c>
      <c r="E1956" s="148"/>
      <c r="F1956" s="196">
        <v>2008</v>
      </c>
      <c r="G1956" s="148"/>
      <c r="H1956" s="196" t="s">
        <v>1878</v>
      </c>
      <c r="I1956" s="141" t="s">
        <v>7527</v>
      </c>
      <c r="J1956" s="196" t="s">
        <v>9492</v>
      </c>
      <c r="K1956" s="196" t="s">
        <v>1881</v>
      </c>
      <c r="L1956" s="240" t="s">
        <v>9493</v>
      </c>
      <c r="M1956" s="196">
        <v>331</v>
      </c>
      <c r="N1956" s="148"/>
      <c r="O1956" s="196" t="s">
        <v>7056</v>
      </c>
      <c r="P1956" s="144">
        <v>296</v>
      </c>
      <c r="Q1956" s="145">
        <f t="shared" si="130"/>
        <v>1.7313999999999996</v>
      </c>
      <c r="R1956" s="203">
        <v>1.2</v>
      </c>
      <c r="S1956" s="244">
        <v>1.55</v>
      </c>
      <c r="T1956" s="151">
        <v>0.13</v>
      </c>
      <c r="U1956" s="151">
        <v>1.9</v>
      </c>
      <c r="V1956" s="151">
        <v>0.33999999999999997</v>
      </c>
      <c r="W1956" s="151">
        <v>0.35</v>
      </c>
      <c r="X1956" s="152">
        <v>0.2114</v>
      </c>
      <c r="Y1956" s="152">
        <f t="shared" si="131"/>
        <v>1.55</v>
      </c>
      <c r="Z1956" s="152">
        <f t="shared" si="132"/>
        <v>2.9313999999999996</v>
      </c>
      <c r="AA1956" s="153"/>
      <c r="AB1956" s="153"/>
      <c r="AC1956" s="153"/>
      <c r="AD1956" s="153"/>
      <c r="AH1956" s="147"/>
    </row>
    <row r="1957" spans="1:34" s="146" customFormat="1" x14ac:dyDescent="0.25">
      <c r="A1957" s="138">
        <v>689</v>
      </c>
      <c r="B1957" s="196" t="s">
        <v>2242</v>
      </c>
      <c r="C1957" s="196" t="s">
        <v>9494</v>
      </c>
      <c r="D1957" s="196" t="s">
        <v>2054</v>
      </c>
      <c r="E1957" s="148"/>
      <c r="F1957" s="196">
        <v>2008</v>
      </c>
      <c r="G1957" s="148"/>
      <c r="H1957" s="196" t="s">
        <v>2734</v>
      </c>
      <c r="I1957" s="141" t="s">
        <v>1879</v>
      </c>
      <c r="J1957" s="196" t="s">
        <v>9495</v>
      </c>
      <c r="K1957" s="196" t="s">
        <v>1881</v>
      </c>
      <c r="L1957" s="240" t="s">
        <v>9496</v>
      </c>
      <c r="M1957" s="196">
        <v>493</v>
      </c>
      <c r="N1957" s="148"/>
      <c r="O1957" s="196" t="s">
        <v>7057</v>
      </c>
      <c r="P1957" s="144">
        <v>560</v>
      </c>
      <c r="Q1957" s="145">
        <f t="shared" si="130"/>
        <v>1.5104</v>
      </c>
      <c r="R1957" s="203">
        <v>1.7</v>
      </c>
      <c r="S1957" s="244">
        <v>2.25</v>
      </c>
      <c r="T1957" s="151">
        <v>0.13</v>
      </c>
      <c r="U1957" s="151">
        <v>2.2000000000000002</v>
      </c>
      <c r="V1957" s="151">
        <v>0.33999999999999997</v>
      </c>
      <c r="W1957" s="151">
        <v>0.35</v>
      </c>
      <c r="X1957" s="152">
        <v>0.19039999999999999</v>
      </c>
      <c r="Y1957" s="152">
        <f t="shared" si="131"/>
        <v>2.25</v>
      </c>
      <c r="Z1957" s="152">
        <f t="shared" si="132"/>
        <v>3.2103999999999999</v>
      </c>
      <c r="AA1957" s="153"/>
      <c r="AB1957" s="153"/>
      <c r="AC1957" s="153"/>
      <c r="AD1957" s="153"/>
      <c r="AH1957" s="147"/>
    </row>
    <row r="1958" spans="1:34" s="146" customFormat="1" x14ac:dyDescent="0.25">
      <c r="A1958" s="138">
        <v>609</v>
      </c>
      <c r="B1958" s="196" t="s">
        <v>9497</v>
      </c>
      <c r="C1958" s="196" t="s">
        <v>9498</v>
      </c>
      <c r="D1958" s="196" t="s">
        <v>3212</v>
      </c>
      <c r="E1958" s="148"/>
      <c r="F1958" s="196">
        <v>1998</v>
      </c>
      <c r="G1958" s="148"/>
      <c r="H1958" s="196" t="s">
        <v>2734</v>
      </c>
      <c r="I1958" s="141" t="s">
        <v>1879</v>
      </c>
      <c r="J1958" s="148"/>
      <c r="K1958" s="196" t="s">
        <v>1881</v>
      </c>
      <c r="L1958" s="240" t="s">
        <v>9499</v>
      </c>
      <c r="M1958" s="196">
        <v>303</v>
      </c>
      <c r="N1958" s="148"/>
      <c r="O1958" s="196" t="s">
        <v>7058</v>
      </c>
      <c r="P1958" s="144">
        <v>676</v>
      </c>
      <c r="Q1958" s="145">
        <f t="shared" ref="Q1958:Q2017" si="133">IF(Y1958&gt;Z1958,Y1958,Z1958)-R1958</f>
        <v>1.5313999999999999</v>
      </c>
      <c r="R1958" s="203">
        <v>1.7</v>
      </c>
      <c r="S1958" s="244">
        <v>3.1</v>
      </c>
      <c r="T1958" s="151">
        <v>0.13</v>
      </c>
      <c r="U1958" s="151">
        <v>2.2000000000000002</v>
      </c>
      <c r="V1958" s="151">
        <v>0.33999999999999997</v>
      </c>
      <c r="W1958" s="151">
        <v>0.35</v>
      </c>
      <c r="X1958" s="152">
        <v>0.2114</v>
      </c>
      <c r="Y1958" s="152">
        <f t="shared" si="131"/>
        <v>3.1</v>
      </c>
      <c r="Z1958" s="152">
        <f t="shared" si="132"/>
        <v>3.2313999999999998</v>
      </c>
      <c r="AA1958" s="153"/>
      <c r="AB1958" s="153"/>
      <c r="AC1958" s="153"/>
      <c r="AD1958" s="153"/>
      <c r="AH1958" s="147"/>
    </row>
    <row r="1959" spans="1:34" s="146" customFormat="1" x14ac:dyDescent="0.25">
      <c r="A1959" s="138">
        <v>689</v>
      </c>
      <c r="B1959" s="196" t="s">
        <v>9500</v>
      </c>
      <c r="C1959" s="196" t="s">
        <v>9501</v>
      </c>
      <c r="D1959" s="196" t="s">
        <v>3116</v>
      </c>
      <c r="E1959" s="196" t="s">
        <v>1877</v>
      </c>
      <c r="F1959" s="196">
        <v>2008</v>
      </c>
      <c r="G1959" s="148"/>
      <c r="H1959" s="196" t="s">
        <v>2734</v>
      </c>
      <c r="I1959" s="141" t="s">
        <v>7527</v>
      </c>
      <c r="J1959" s="148"/>
      <c r="K1959" s="196" t="s">
        <v>1881</v>
      </c>
      <c r="L1959" s="240" t="s">
        <v>9502</v>
      </c>
      <c r="M1959" s="196">
        <v>503</v>
      </c>
      <c r="N1959" s="148"/>
      <c r="O1959" s="196" t="s">
        <v>7059</v>
      </c>
      <c r="P1959" s="144">
        <v>826</v>
      </c>
      <c r="Q1959" s="145">
        <f t="shared" si="133"/>
        <v>1.5313999999999999</v>
      </c>
      <c r="R1959" s="203">
        <v>1.7</v>
      </c>
      <c r="S1959" s="244">
        <f>1.9+0.75</f>
        <v>2.65</v>
      </c>
      <c r="T1959" s="151">
        <v>0.13</v>
      </c>
      <c r="U1959" s="151">
        <v>2.2000000000000002</v>
      </c>
      <c r="V1959" s="151">
        <v>0.33999999999999997</v>
      </c>
      <c r="W1959" s="151">
        <v>0.35</v>
      </c>
      <c r="X1959" s="152">
        <v>0.2114</v>
      </c>
      <c r="Y1959" s="152">
        <f t="shared" si="131"/>
        <v>2.65</v>
      </c>
      <c r="Z1959" s="152">
        <f t="shared" si="132"/>
        <v>3.2313999999999998</v>
      </c>
      <c r="AA1959" s="153"/>
      <c r="AB1959" s="153"/>
      <c r="AC1959" s="153"/>
      <c r="AD1959" s="153"/>
      <c r="AH1959" s="147"/>
    </row>
    <row r="1960" spans="1:34" s="146" customFormat="1" x14ac:dyDescent="0.25">
      <c r="A1960" s="138">
        <v>2547</v>
      </c>
      <c r="B1960" s="196" t="s">
        <v>9503</v>
      </c>
      <c r="C1960" s="196" t="s">
        <v>9504</v>
      </c>
      <c r="D1960" s="196" t="s">
        <v>1920</v>
      </c>
      <c r="E1960" s="148"/>
      <c r="F1960" s="196">
        <v>2002</v>
      </c>
      <c r="G1960" s="148"/>
      <c r="H1960" s="196" t="s">
        <v>1878</v>
      </c>
      <c r="I1960" s="141" t="s">
        <v>1914</v>
      </c>
      <c r="J1960" s="196" t="s">
        <v>9196</v>
      </c>
      <c r="K1960" s="196" t="s">
        <v>1881</v>
      </c>
      <c r="L1960" s="240" t="s">
        <v>9505</v>
      </c>
      <c r="M1960" s="196">
        <v>348</v>
      </c>
      <c r="N1960" s="148"/>
      <c r="O1960" s="196" t="s">
        <v>7060</v>
      </c>
      <c r="P1960" s="144">
        <v>382</v>
      </c>
      <c r="Q1960" s="145">
        <f t="shared" si="133"/>
        <v>1.7313999999999996</v>
      </c>
      <c r="R1960" s="203">
        <v>1.2</v>
      </c>
      <c r="S1960" s="244">
        <v>2.4</v>
      </c>
      <c r="T1960" s="151">
        <v>0.13</v>
      </c>
      <c r="U1960" s="151">
        <v>1.9</v>
      </c>
      <c r="V1960" s="151">
        <v>0.33999999999999997</v>
      </c>
      <c r="W1960" s="151">
        <v>0.35</v>
      </c>
      <c r="X1960" s="152">
        <v>0.2114</v>
      </c>
      <c r="Y1960" s="152">
        <f t="shared" si="131"/>
        <v>2.4</v>
      </c>
      <c r="Z1960" s="152">
        <f t="shared" si="132"/>
        <v>2.9313999999999996</v>
      </c>
      <c r="AA1960" s="153"/>
      <c r="AB1960" s="153"/>
      <c r="AC1960" s="153"/>
      <c r="AD1960" s="153"/>
      <c r="AH1960" s="147"/>
    </row>
    <row r="1961" spans="1:34" s="146" customFormat="1" x14ac:dyDescent="0.25">
      <c r="A1961" s="138">
        <v>1386</v>
      </c>
      <c r="B1961" s="196" t="s">
        <v>9506</v>
      </c>
      <c r="C1961" s="196" t="s">
        <v>9507</v>
      </c>
      <c r="D1961" s="196" t="s">
        <v>1920</v>
      </c>
      <c r="E1961" s="148"/>
      <c r="F1961" s="196">
        <v>2018</v>
      </c>
      <c r="G1961" s="148"/>
      <c r="H1961" s="196" t="s">
        <v>1878</v>
      </c>
      <c r="I1961" s="141" t="s">
        <v>8132</v>
      </c>
      <c r="J1961" s="196" t="s">
        <v>9196</v>
      </c>
      <c r="K1961" s="196" t="s">
        <v>1881</v>
      </c>
      <c r="L1961" s="240" t="s">
        <v>9508</v>
      </c>
      <c r="M1961" s="196">
        <v>589</v>
      </c>
      <c r="N1961" s="148"/>
      <c r="O1961" s="196" t="s">
        <v>7061</v>
      </c>
      <c r="P1961" s="144">
        <v>392</v>
      </c>
      <c r="Q1961" s="145">
        <f t="shared" si="133"/>
        <v>2.2000000000000002</v>
      </c>
      <c r="R1961" s="203">
        <v>1.2</v>
      </c>
      <c r="S1961" s="244">
        <v>3.4</v>
      </c>
      <c r="T1961" s="151">
        <v>0.13</v>
      </c>
      <c r="U1961" s="151">
        <v>1.9</v>
      </c>
      <c r="V1961" s="151">
        <v>0.33999999999999997</v>
      </c>
      <c r="W1961" s="151">
        <v>0.35</v>
      </c>
      <c r="X1961" s="152">
        <v>0.19039999999999999</v>
      </c>
      <c r="Y1961" s="152">
        <f t="shared" si="131"/>
        <v>3.4</v>
      </c>
      <c r="Z1961" s="152">
        <f t="shared" si="132"/>
        <v>2.9103999999999997</v>
      </c>
      <c r="AA1961" s="153"/>
      <c r="AB1961" s="153"/>
      <c r="AC1961" s="153"/>
      <c r="AD1961" s="153"/>
      <c r="AH1961" s="147"/>
    </row>
    <row r="1962" spans="1:34" s="146" customFormat="1" x14ac:dyDescent="0.25">
      <c r="A1962" s="138">
        <v>1386</v>
      </c>
      <c r="B1962" s="196" t="s">
        <v>9509</v>
      </c>
      <c r="C1962" s="196" t="s">
        <v>9510</v>
      </c>
      <c r="D1962" s="196" t="s">
        <v>9511</v>
      </c>
      <c r="E1962" s="148"/>
      <c r="F1962" s="196">
        <v>2003</v>
      </c>
      <c r="G1962" s="148"/>
      <c r="H1962" s="196" t="s">
        <v>2734</v>
      </c>
      <c r="I1962" s="141" t="s">
        <v>1879</v>
      </c>
      <c r="J1962" s="148"/>
      <c r="K1962" s="196" t="s">
        <v>1881</v>
      </c>
      <c r="L1962" s="240" t="s">
        <v>9512</v>
      </c>
      <c r="M1962" s="196">
        <v>359</v>
      </c>
      <c r="N1962" s="148"/>
      <c r="O1962" s="196" t="s">
        <v>7062</v>
      </c>
      <c r="P1962" s="144">
        <v>783</v>
      </c>
      <c r="Q1962" s="145">
        <f t="shared" si="133"/>
        <v>1.5104</v>
      </c>
      <c r="R1962" s="203">
        <v>1.7</v>
      </c>
      <c r="S1962" s="244">
        <v>2.85</v>
      </c>
      <c r="T1962" s="151">
        <v>0.13</v>
      </c>
      <c r="U1962" s="151">
        <v>2.2000000000000002</v>
      </c>
      <c r="V1962" s="151">
        <v>0.33999999999999997</v>
      </c>
      <c r="W1962" s="151">
        <v>0.35</v>
      </c>
      <c r="X1962" s="152">
        <v>0.19039999999999999</v>
      </c>
      <c r="Y1962" s="152">
        <f t="shared" si="131"/>
        <v>2.85</v>
      </c>
      <c r="Z1962" s="152">
        <f t="shared" si="132"/>
        <v>3.2103999999999999</v>
      </c>
      <c r="AA1962" s="153"/>
      <c r="AB1962" s="153"/>
      <c r="AC1962" s="153"/>
      <c r="AD1962" s="153"/>
      <c r="AH1962" s="147"/>
    </row>
    <row r="1963" spans="1:34" s="146" customFormat="1" x14ac:dyDescent="0.25">
      <c r="A1963" s="138">
        <v>2553</v>
      </c>
      <c r="B1963" s="196" t="s">
        <v>9513</v>
      </c>
      <c r="C1963" s="196" t="s">
        <v>9514</v>
      </c>
      <c r="D1963" s="196" t="s">
        <v>9515</v>
      </c>
      <c r="E1963" s="148"/>
      <c r="F1963" s="196">
        <v>2016</v>
      </c>
      <c r="G1963" s="148"/>
      <c r="H1963" s="196" t="s">
        <v>1878</v>
      </c>
      <c r="I1963" s="141" t="s">
        <v>1879</v>
      </c>
      <c r="J1963" s="196" t="s">
        <v>9495</v>
      </c>
      <c r="K1963" s="196" t="s">
        <v>1881</v>
      </c>
      <c r="L1963" s="240" t="s">
        <v>9516</v>
      </c>
      <c r="M1963" s="196">
        <v>380</v>
      </c>
      <c r="N1963" s="148"/>
      <c r="O1963" s="196" t="s">
        <v>7063</v>
      </c>
      <c r="P1963" s="144">
        <v>325</v>
      </c>
      <c r="Q1963" s="145">
        <f t="shared" si="133"/>
        <v>1.9000000000000001</v>
      </c>
      <c r="R1963" s="203">
        <v>1.2</v>
      </c>
      <c r="S1963" s="244">
        <v>3.1</v>
      </c>
      <c r="T1963" s="151">
        <v>0.13</v>
      </c>
      <c r="U1963" s="151">
        <v>1.9</v>
      </c>
      <c r="V1963" s="151">
        <v>0.33999999999999997</v>
      </c>
      <c r="W1963" s="151">
        <v>0.35</v>
      </c>
      <c r="X1963" s="152">
        <v>0.2114</v>
      </c>
      <c r="Y1963" s="152">
        <f t="shared" si="131"/>
        <v>3.1</v>
      </c>
      <c r="Z1963" s="152">
        <f t="shared" si="132"/>
        <v>2.9313999999999996</v>
      </c>
      <c r="AA1963" s="153"/>
      <c r="AB1963" s="153"/>
      <c r="AC1963" s="153"/>
      <c r="AD1963" s="153"/>
      <c r="AH1963" s="147"/>
    </row>
    <row r="1964" spans="1:34" s="146" customFormat="1" x14ac:dyDescent="0.25">
      <c r="A1964" s="138">
        <v>2522</v>
      </c>
      <c r="B1964" s="196" t="s">
        <v>9517</v>
      </c>
      <c r="C1964" s="196" t="s">
        <v>9518</v>
      </c>
      <c r="D1964" s="196" t="s">
        <v>1979</v>
      </c>
      <c r="E1964" s="148"/>
      <c r="F1964" s="196">
        <v>2011</v>
      </c>
      <c r="G1964" s="148"/>
      <c r="H1964" s="196" t="s">
        <v>1878</v>
      </c>
      <c r="I1964" s="141" t="s">
        <v>1879</v>
      </c>
      <c r="J1964" s="148"/>
      <c r="K1964" s="196" t="s">
        <v>1881</v>
      </c>
      <c r="L1964" s="240" t="s">
        <v>9519</v>
      </c>
      <c r="M1964" s="196">
        <v>469</v>
      </c>
      <c r="N1964" s="148"/>
      <c r="O1964" s="196" t="s">
        <v>7064</v>
      </c>
      <c r="P1964" s="144">
        <v>530</v>
      </c>
      <c r="Q1964" s="145">
        <f t="shared" si="133"/>
        <v>1.5104</v>
      </c>
      <c r="R1964" s="203">
        <v>1.7</v>
      </c>
      <c r="S1964" s="244">
        <v>1.55</v>
      </c>
      <c r="T1964" s="151">
        <v>0.13</v>
      </c>
      <c r="U1964" s="151">
        <v>2.2000000000000002</v>
      </c>
      <c r="V1964" s="151">
        <v>0.33999999999999997</v>
      </c>
      <c r="W1964" s="151">
        <v>0.35</v>
      </c>
      <c r="X1964" s="152">
        <v>0.19039999999999999</v>
      </c>
      <c r="Y1964" s="152">
        <f t="shared" si="131"/>
        <v>1.55</v>
      </c>
      <c r="Z1964" s="152">
        <f t="shared" si="132"/>
        <v>3.2103999999999999</v>
      </c>
      <c r="AA1964" s="153"/>
      <c r="AB1964" s="153"/>
      <c r="AC1964" s="153"/>
      <c r="AD1964" s="153"/>
      <c r="AH1964" s="147"/>
    </row>
    <row r="1965" spans="1:34" s="146" customFormat="1" x14ac:dyDescent="0.25">
      <c r="A1965" s="138">
        <v>548</v>
      </c>
      <c r="B1965" s="196" t="s">
        <v>9520</v>
      </c>
      <c r="C1965" s="196" t="s">
        <v>9521</v>
      </c>
      <c r="D1965" s="196" t="s">
        <v>9032</v>
      </c>
      <c r="E1965" s="196" t="s">
        <v>1913</v>
      </c>
      <c r="F1965" s="196">
        <v>1999</v>
      </c>
      <c r="G1965" s="148"/>
      <c r="H1965" s="196" t="s">
        <v>1878</v>
      </c>
      <c r="I1965" s="141" t="s">
        <v>1879</v>
      </c>
      <c r="J1965" s="148"/>
      <c r="K1965" s="196" t="s">
        <v>1881</v>
      </c>
      <c r="L1965" s="240" t="s">
        <v>9522</v>
      </c>
      <c r="M1965" s="196">
        <v>186</v>
      </c>
      <c r="N1965" s="148"/>
      <c r="O1965" s="196" t="s">
        <v>7065</v>
      </c>
      <c r="P1965" s="144">
        <v>201</v>
      </c>
      <c r="Q1965" s="145">
        <f t="shared" si="133"/>
        <v>1.7313999999999996</v>
      </c>
      <c r="R1965" s="203">
        <v>1.2</v>
      </c>
      <c r="S1965" s="244">
        <v>2.35</v>
      </c>
      <c r="T1965" s="151">
        <v>0.13</v>
      </c>
      <c r="U1965" s="151">
        <v>1.9</v>
      </c>
      <c r="V1965" s="151">
        <v>0.33999999999999997</v>
      </c>
      <c r="W1965" s="151">
        <v>0.35</v>
      </c>
      <c r="X1965" s="152">
        <v>0.2114</v>
      </c>
      <c r="Y1965" s="152">
        <f t="shared" si="131"/>
        <v>2.35</v>
      </c>
      <c r="Z1965" s="152">
        <f t="shared" si="132"/>
        <v>2.9313999999999996</v>
      </c>
      <c r="AA1965" s="153"/>
      <c r="AB1965" s="153"/>
      <c r="AC1965" s="153"/>
      <c r="AD1965" s="153"/>
      <c r="AH1965" s="147"/>
    </row>
    <row r="1966" spans="1:34" s="146" customFormat="1" x14ac:dyDescent="0.25">
      <c r="A1966" s="138">
        <v>692</v>
      </c>
      <c r="B1966" s="196" t="s">
        <v>7654</v>
      </c>
      <c r="C1966" s="196" t="s">
        <v>9523</v>
      </c>
      <c r="D1966" s="148"/>
      <c r="E1966" s="148"/>
      <c r="F1966" s="148"/>
      <c r="G1966" s="148"/>
      <c r="H1966" s="196" t="s">
        <v>1878</v>
      </c>
      <c r="I1966" s="141" t="s">
        <v>1879</v>
      </c>
      <c r="J1966" s="196" t="s">
        <v>9196</v>
      </c>
      <c r="K1966" s="196" t="s">
        <v>1881</v>
      </c>
      <c r="L1966" s="241"/>
      <c r="M1966" s="196">
        <v>382</v>
      </c>
      <c r="N1966" s="148"/>
      <c r="O1966" s="196" t="s">
        <v>7066</v>
      </c>
      <c r="P1966" s="144">
        <v>347</v>
      </c>
      <c r="Q1966" s="145">
        <f t="shared" si="133"/>
        <v>1.7103999999999997</v>
      </c>
      <c r="R1966" s="203">
        <v>1.2</v>
      </c>
      <c r="S1966" s="244">
        <v>1.55</v>
      </c>
      <c r="T1966" s="151">
        <v>0.13</v>
      </c>
      <c r="U1966" s="151">
        <v>1.9</v>
      </c>
      <c r="V1966" s="151">
        <v>0.33999999999999997</v>
      </c>
      <c r="W1966" s="151">
        <v>0.35</v>
      </c>
      <c r="X1966" s="152">
        <v>0.19039999999999999</v>
      </c>
      <c r="Y1966" s="152">
        <f t="shared" si="131"/>
        <v>1.55</v>
      </c>
      <c r="Z1966" s="152">
        <f t="shared" si="132"/>
        <v>2.9103999999999997</v>
      </c>
      <c r="AA1966" s="153"/>
      <c r="AB1966" s="153"/>
      <c r="AC1966" s="153"/>
      <c r="AD1966" s="153"/>
      <c r="AH1966" s="147"/>
    </row>
    <row r="1967" spans="1:34" s="146" customFormat="1" x14ac:dyDescent="0.25">
      <c r="A1967" s="138">
        <v>692</v>
      </c>
      <c r="B1967" s="196" t="s">
        <v>9530</v>
      </c>
      <c r="C1967" s="196" t="s">
        <v>9531</v>
      </c>
      <c r="D1967" s="196" t="s">
        <v>2054</v>
      </c>
      <c r="E1967" s="148"/>
      <c r="F1967" s="148"/>
      <c r="G1967" s="148"/>
      <c r="H1967" s="196" t="s">
        <v>1878</v>
      </c>
      <c r="I1967" s="141" t="s">
        <v>1879</v>
      </c>
      <c r="J1967" s="148"/>
      <c r="K1967" s="196" t="s">
        <v>1881</v>
      </c>
      <c r="L1967" s="240" t="s">
        <v>9532</v>
      </c>
      <c r="M1967" s="196">
        <v>366</v>
      </c>
      <c r="N1967" s="148"/>
      <c r="O1967" s="196" t="s">
        <v>7069</v>
      </c>
      <c r="P1967" s="144">
        <v>265</v>
      </c>
      <c r="Q1967" s="145">
        <f t="shared" si="133"/>
        <v>1.7103999999999997</v>
      </c>
      <c r="R1967" s="203">
        <v>1.2</v>
      </c>
      <c r="S1967" s="244">
        <f>0.25+0.99</f>
        <v>1.24</v>
      </c>
      <c r="T1967" s="151">
        <v>0.13</v>
      </c>
      <c r="U1967" s="151">
        <v>1.9</v>
      </c>
      <c r="V1967" s="151">
        <v>0.33999999999999997</v>
      </c>
      <c r="W1967" s="151">
        <v>0.35</v>
      </c>
      <c r="X1967" s="152">
        <v>0.19039999999999999</v>
      </c>
      <c r="Y1967" s="152">
        <f t="shared" si="131"/>
        <v>1.24</v>
      </c>
      <c r="Z1967" s="152">
        <f t="shared" si="132"/>
        <v>2.9103999999999997</v>
      </c>
      <c r="AA1967" s="153"/>
      <c r="AB1967" s="153"/>
      <c r="AC1967" s="153"/>
      <c r="AD1967" s="153"/>
      <c r="AH1967" s="147"/>
    </row>
    <row r="1968" spans="1:34" s="146" customFormat="1" x14ac:dyDescent="0.25">
      <c r="A1968" s="142">
        <v>1386</v>
      </c>
      <c r="B1968" s="196" t="s">
        <v>9533</v>
      </c>
      <c r="C1968" s="196" t="s">
        <v>9534</v>
      </c>
      <c r="D1968" s="196" t="s">
        <v>4930</v>
      </c>
      <c r="E1968" s="148"/>
      <c r="F1968" s="196">
        <v>2007</v>
      </c>
      <c r="G1968" s="148"/>
      <c r="H1968" s="196" t="s">
        <v>2734</v>
      </c>
      <c r="I1968" s="141" t="s">
        <v>1879</v>
      </c>
      <c r="J1968" s="148"/>
      <c r="K1968" s="196" t="s">
        <v>1881</v>
      </c>
      <c r="L1968" s="241"/>
      <c r="M1968" s="196">
        <v>466</v>
      </c>
      <c r="N1968" s="148"/>
      <c r="O1968" s="196" t="s">
        <v>7070</v>
      </c>
      <c r="P1968" s="144">
        <v>538</v>
      </c>
      <c r="Q1968" s="145">
        <f t="shared" si="133"/>
        <v>1.5104</v>
      </c>
      <c r="R1968" s="203">
        <v>1.7</v>
      </c>
      <c r="S1968" s="244">
        <v>2.2999999999999998</v>
      </c>
      <c r="T1968" s="151">
        <v>0.13</v>
      </c>
      <c r="U1968" s="151">
        <v>2.2000000000000002</v>
      </c>
      <c r="V1968" s="151">
        <v>0.33999999999999997</v>
      </c>
      <c r="W1968" s="151">
        <v>0.35</v>
      </c>
      <c r="X1968" s="152">
        <v>0.19039999999999999</v>
      </c>
      <c r="Y1968" s="152">
        <f t="shared" si="131"/>
        <v>2.2999999999999998</v>
      </c>
      <c r="Z1968" s="152">
        <f t="shared" si="132"/>
        <v>3.2103999999999999</v>
      </c>
      <c r="AA1968" s="153"/>
      <c r="AB1968" s="153"/>
      <c r="AC1968" s="153"/>
      <c r="AD1968" s="153"/>
      <c r="AH1968" s="147"/>
    </row>
    <row r="1969" spans="1:34" s="146" customFormat="1" x14ac:dyDescent="0.25">
      <c r="A1969" s="142">
        <v>796</v>
      </c>
      <c r="B1969" s="196" t="s">
        <v>9539</v>
      </c>
      <c r="C1969" s="196" t="s">
        <v>9540</v>
      </c>
      <c r="D1969" s="196" t="s">
        <v>2424</v>
      </c>
      <c r="E1969" s="148"/>
      <c r="F1969" s="196">
        <v>2008</v>
      </c>
      <c r="G1969" s="148"/>
      <c r="H1969" s="196" t="s">
        <v>1878</v>
      </c>
      <c r="I1969" s="141" t="s">
        <v>1879</v>
      </c>
      <c r="J1969" s="148"/>
      <c r="K1969" s="196" t="s">
        <v>1881</v>
      </c>
      <c r="L1969" s="240" t="s">
        <v>9541</v>
      </c>
      <c r="M1969" s="196">
        <v>384</v>
      </c>
      <c r="N1969" s="148"/>
      <c r="O1969" s="196" t="s">
        <v>7072</v>
      </c>
      <c r="P1969" s="144">
        <v>321</v>
      </c>
      <c r="Q1969" s="145">
        <f t="shared" si="133"/>
        <v>1.7103999999999997</v>
      </c>
      <c r="R1969" s="203">
        <v>1.2</v>
      </c>
      <c r="S1969" s="244">
        <f>0.25+1.44</f>
        <v>1.69</v>
      </c>
      <c r="T1969" s="151">
        <v>0.13</v>
      </c>
      <c r="U1969" s="151">
        <v>1.9</v>
      </c>
      <c r="V1969" s="151">
        <v>0.33999999999999997</v>
      </c>
      <c r="W1969" s="151">
        <v>0.35</v>
      </c>
      <c r="X1969" s="152">
        <v>0.19039999999999999</v>
      </c>
      <c r="Y1969" s="152">
        <f t="shared" si="131"/>
        <v>1.69</v>
      </c>
      <c r="Z1969" s="152">
        <f t="shared" si="132"/>
        <v>2.9103999999999997</v>
      </c>
      <c r="AA1969" s="153"/>
      <c r="AB1969" s="153"/>
      <c r="AC1969" s="153"/>
      <c r="AD1969" s="153"/>
      <c r="AH1969" s="147"/>
    </row>
    <row r="1971" spans="1:34" s="146" customFormat="1" x14ac:dyDescent="0.25">
      <c r="A1971" s="142">
        <v>2518</v>
      </c>
      <c r="B1971" s="196" t="s">
        <v>4519</v>
      </c>
      <c r="C1971" s="196" t="s">
        <v>9545</v>
      </c>
      <c r="D1971" s="196" t="s">
        <v>9546</v>
      </c>
      <c r="E1971" s="148"/>
      <c r="F1971" s="196">
        <v>2011</v>
      </c>
      <c r="G1971" s="148"/>
      <c r="H1971" s="196" t="s">
        <v>1878</v>
      </c>
      <c r="I1971" s="141" t="s">
        <v>1879</v>
      </c>
      <c r="J1971" s="148"/>
      <c r="K1971" s="196" t="s">
        <v>1881</v>
      </c>
      <c r="L1971" s="240" t="s">
        <v>9547</v>
      </c>
      <c r="M1971" s="196">
        <v>256</v>
      </c>
      <c r="N1971" s="148"/>
      <c r="O1971" s="196" t="s">
        <v>7074</v>
      </c>
      <c r="P1971" s="144">
        <v>207</v>
      </c>
      <c r="Q1971" s="145">
        <f t="shared" si="133"/>
        <v>1.7313999999999996</v>
      </c>
      <c r="R1971" s="203">
        <v>1.2</v>
      </c>
      <c r="S1971" s="244">
        <f>0.77+1.4</f>
        <v>2.17</v>
      </c>
      <c r="T1971" s="151">
        <v>0.13</v>
      </c>
      <c r="U1971" s="151">
        <v>1.9</v>
      </c>
      <c r="V1971" s="151">
        <v>0.33999999999999997</v>
      </c>
      <c r="W1971" s="151">
        <v>0.35</v>
      </c>
      <c r="X1971" s="152">
        <v>0.2114</v>
      </c>
      <c r="Y1971" s="152">
        <f t="shared" ref="Y1971:Y2029" si="134">S1971</f>
        <v>2.17</v>
      </c>
      <c r="Z1971" s="152">
        <f t="shared" ref="Z1971:Z1981" si="135">SUM(T1971:X1971)</f>
        <v>2.9313999999999996</v>
      </c>
      <c r="AA1971" s="153"/>
      <c r="AB1971" s="153"/>
      <c r="AC1971" s="153"/>
      <c r="AD1971" s="153"/>
      <c r="AH1971" s="147"/>
    </row>
    <row r="1972" spans="1:34" s="146" customFormat="1" x14ac:dyDescent="0.25">
      <c r="A1972" s="142">
        <v>692</v>
      </c>
      <c r="B1972" s="196" t="s">
        <v>9548</v>
      </c>
      <c r="C1972" s="196" t="s">
        <v>9549</v>
      </c>
      <c r="D1972" s="196" t="s">
        <v>1920</v>
      </c>
      <c r="E1972" s="148"/>
      <c r="F1972" s="196">
        <v>1993</v>
      </c>
      <c r="G1972" s="148"/>
      <c r="H1972" s="196" t="s">
        <v>1878</v>
      </c>
      <c r="I1972" s="141" t="s">
        <v>1914</v>
      </c>
      <c r="J1972" s="148"/>
      <c r="K1972" s="196" t="s">
        <v>1881</v>
      </c>
      <c r="L1972" s="240" t="s">
        <v>9550</v>
      </c>
      <c r="M1972" s="196">
        <v>384</v>
      </c>
      <c r="N1972" s="148"/>
      <c r="O1972" s="196" t="s">
        <v>7075</v>
      </c>
      <c r="P1972" s="144">
        <v>217</v>
      </c>
      <c r="Q1972" s="145">
        <f t="shared" si="133"/>
        <v>1.7103999999999997</v>
      </c>
      <c r="R1972" s="203">
        <v>1.2</v>
      </c>
      <c r="S1972" s="244">
        <v>1.7</v>
      </c>
      <c r="T1972" s="151">
        <v>0.13</v>
      </c>
      <c r="U1972" s="151">
        <v>1.9</v>
      </c>
      <c r="V1972" s="151">
        <v>0.33999999999999997</v>
      </c>
      <c r="W1972" s="151">
        <v>0.35</v>
      </c>
      <c r="X1972" s="152">
        <v>0.19039999999999999</v>
      </c>
      <c r="Y1972" s="152">
        <f t="shared" si="134"/>
        <v>1.7</v>
      </c>
      <c r="Z1972" s="152">
        <f t="shared" si="135"/>
        <v>2.9103999999999997</v>
      </c>
      <c r="AA1972" s="153"/>
      <c r="AB1972" s="153"/>
      <c r="AC1972" s="153"/>
      <c r="AD1972" s="153"/>
      <c r="AH1972" s="147"/>
    </row>
    <row r="1973" spans="1:34" s="146" customFormat="1" x14ac:dyDescent="0.25">
      <c r="A1973" s="142">
        <v>1395</v>
      </c>
      <c r="B1973" s="196" t="s">
        <v>9551</v>
      </c>
      <c r="C1973" s="196" t="s">
        <v>9552</v>
      </c>
      <c r="D1973" s="196" t="s">
        <v>2257</v>
      </c>
      <c r="E1973" s="148"/>
      <c r="F1973" s="196">
        <v>2004</v>
      </c>
      <c r="G1973" s="148"/>
      <c r="H1973" s="196" t="s">
        <v>1878</v>
      </c>
      <c r="I1973" s="141" t="s">
        <v>1879</v>
      </c>
      <c r="J1973" s="148"/>
      <c r="K1973" s="196" t="s">
        <v>1881</v>
      </c>
      <c r="L1973" s="240" t="s">
        <v>9553</v>
      </c>
      <c r="M1973" s="196">
        <v>240</v>
      </c>
      <c r="N1973" s="148"/>
      <c r="O1973" s="196" t="s">
        <v>7076</v>
      </c>
      <c r="P1973" s="144">
        <v>166</v>
      </c>
      <c r="Q1973" s="145">
        <f t="shared" si="133"/>
        <v>1.7103999999999997</v>
      </c>
      <c r="R1973" s="203">
        <v>1.2</v>
      </c>
      <c r="S1973" s="244">
        <v>2.1</v>
      </c>
      <c r="T1973" s="151">
        <v>0.13</v>
      </c>
      <c r="U1973" s="151">
        <v>1.9</v>
      </c>
      <c r="V1973" s="151">
        <v>0.33999999999999997</v>
      </c>
      <c r="W1973" s="151">
        <v>0.35</v>
      </c>
      <c r="X1973" s="152">
        <v>0.19039999999999999</v>
      </c>
      <c r="Y1973" s="152">
        <f t="shared" si="134"/>
        <v>2.1</v>
      </c>
      <c r="Z1973" s="152">
        <f t="shared" si="135"/>
        <v>2.9103999999999997</v>
      </c>
      <c r="AA1973" s="153"/>
      <c r="AB1973" s="153"/>
      <c r="AC1973" s="153"/>
      <c r="AD1973" s="153"/>
      <c r="AH1973" s="147"/>
    </row>
    <row r="1974" spans="1:34" s="146" customFormat="1" x14ac:dyDescent="0.25">
      <c r="A1974" s="142">
        <v>2548</v>
      </c>
      <c r="B1974" s="196" t="s">
        <v>7984</v>
      </c>
      <c r="C1974" s="196" t="s">
        <v>9554</v>
      </c>
      <c r="D1974" s="196" t="s">
        <v>2300</v>
      </c>
      <c r="E1974" s="148"/>
      <c r="F1974" s="196">
        <v>2005</v>
      </c>
      <c r="G1974" s="148"/>
      <c r="H1974" s="196" t="s">
        <v>1878</v>
      </c>
      <c r="I1974" s="141" t="s">
        <v>1879</v>
      </c>
      <c r="J1974" s="148"/>
      <c r="K1974" s="196" t="s">
        <v>1881</v>
      </c>
      <c r="L1974" s="240" t="s">
        <v>9555</v>
      </c>
      <c r="M1974" s="196">
        <v>382</v>
      </c>
      <c r="N1974" s="148"/>
      <c r="O1974" s="196" t="s">
        <v>7077</v>
      </c>
      <c r="P1974" s="144">
        <v>345</v>
      </c>
      <c r="Q1974" s="145">
        <f t="shared" si="133"/>
        <v>1.7103999999999997</v>
      </c>
      <c r="R1974" s="203">
        <v>1.2</v>
      </c>
      <c r="S1974" s="244">
        <v>1.75</v>
      </c>
      <c r="T1974" s="151">
        <v>0.13</v>
      </c>
      <c r="U1974" s="151">
        <v>1.9</v>
      </c>
      <c r="V1974" s="151">
        <v>0.33999999999999997</v>
      </c>
      <c r="W1974" s="151">
        <v>0.35</v>
      </c>
      <c r="X1974" s="152">
        <v>0.19039999999999999</v>
      </c>
      <c r="Y1974" s="152">
        <f t="shared" si="134"/>
        <v>1.75</v>
      </c>
      <c r="Z1974" s="152">
        <f t="shared" si="135"/>
        <v>2.9103999999999997</v>
      </c>
      <c r="AA1974" s="153"/>
      <c r="AB1974" s="153"/>
      <c r="AC1974" s="153"/>
      <c r="AD1974" s="153"/>
      <c r="AH1974" s="147"/>
    </row>
    <row r="1975" spans="1:34" s="146" customFormat="1" x14ac:dyDescent="0.25">
      <c r="A1975" s="142">
        <v>796</v>
      </c>
      <c r="B1975" s="196" t="s">
        <v>9556</v>
      </c>
      <c r="C1975" s="196" t="s">
        <v>9557</v>
      </c>
      <c r="D1975" s="196" t="s">
        <v>1876</v>
      </c>
      <c r="E1975" s="196" t="s">
        <v>2032</v>
      </c>
      <c r="F1975" s="196">
        <v>2017</v>
      </c>
      <c r="G1975" s="148"/>
      <c r="H1975" s="196" t="s">
        <v>1878</v>
      </c>
      <c r="I1975" s="141" t="s">
        <v>1879</v>
      </c>
      <c r="J1975" s="148"/>
      <c r="K1975" s="196" t="s">
        <v>1881</v>
      </c>
      <c r="L1975" s="240" t="s">
        <v>9558</v>
      </c>
      <c r="M1975" s="196">
        <v>320</v>
      </c>
      <c r="N1975" s="148"/>
      <c r="O1975" s="196" t="s">
        <v>7078</v>
      </c>
      <c r="P1975" s="144">
        <v>314</v>
      </c>
      <c r="Q1975" s="145">
        <f t="shared" si="133"/>
        <v>1.7103999999999997</v>
      </c>
      <c r="R1975" s="203">
        <v>1.2</v>
      </c>
      <c r="S1975" s="244">
        <v>1.7</v>
      </c>
      <c r="T1975" s="151">
        <v>0.13</v>
      </c>
      <c r="U1975" s="151">
        <v>1.9</v>
      </c>
      <c r="V1975" s="151">
        <v>0.33999999999999997</v>
      </c>
      <c r="W1975" s="151">
        <v>0.35</v>
      </c>
      <c r="X1975" s="152">
        <v>0.19039999999999999</v>
      </c>
      <c r="Y1975" s="152">
        <f t="shared" si="134"/>
        <v>1.7</v>
      </c>
      <c r="Z1975" s="152">
        <f t="shared" si="135"/>
        <v>2.9103999999999997</v>
      </c>
      <c r="AA1975" s="153"/>
      <c r="AB1975" s="153"/>
      <c r="AC1975" s="153"/>
      <c r="AD1975" s="153"/>
      <c r="AH1975" s="147"/>
    </row>
    <row r="1976" spans="1:34" s="146" customFormat="1" x14ac:dyDescent="0.25">
      <c r="A1976" s="142">
        <v>2522</v>
      </c>
      <c r="B1976" s="196" t="s">
        <v>9559</v>
      </c>
      <c r="C1976" s="196" t="s">
        <v>9560</v>
      </c>
      <c r="D1976" s="196" t="s">
        <v>1920</v>
      </c>
      <c r="E1976" s="148"/>
      <c r="F1976" s="196">
        <v>2008</v>
      </c>
      <c r="G1976" s="148"/>
      <c r="H1976" s="196" t="s">
        <v>1878</v>
      </c>
      <c r="I1976" s="141" t="s">
        <v>1914</v>
      </c>
      <c r="J1976" s="148"/>
      <c r="K1976" s="196" t="s">
        <v>1881</v>
      </c>
      <c r="L1976" s="240" t="s">
        <v>9561</v>
      </c>
      <c r="M1976" s="196">
        <v>448</v>
      </c>
      <c r="N1976" s="148"/>
      <c r="O1976" s="196" t="s">
        <v>7079</v>
      </c>
      <c r="P1976" s="144">
        <v>340</v>
      </c>
      <c r="Q1976" s="145">
        <f t="shared" si="133"/>
        <v>1.7103999999999997</v>
      </c>
      <c r="R1976" s="203">
        <v>1.2</v>
      </c>
      <c r="S1976" s="244">
        <v>1.45</v>
      </c>
      <c r="T1976" s="151">
        <v>0.13</v>
      </c>
      <c r="U1976" s="151">
        <v>1.9</v>
      </c>
      <c r="V1976" s="151">
        <v>0.33999999999999997</v>
      </c>
      <c r="W1976" s="151">
        <v>0.35</v>
      </c>
      <c r="X1976" s="152">
        <v>0.19039999999999999</v>
      </c>
      <c r="Y1976" s="152">
        <f t="shared" si="134"/>
        <v>1.45</v>
      </c>
      <c r="Z1976" s="152">
        <f t="shared" si="135"/>
        <v>2.9103999999999997</v>
      </c>
      <c r="AA1976" s="153"/>
      <c r="AB1976" s="153"/>
      <c r="AC1976" s="153"/>
      <c r="AD1976" s="153"/>
      <c r="AH1976" s="147"/>
    </row>
    <row r="1977" spans="1:34" s="146" customFormat="1" x14ac:dyDescent="0.25">
      <c r="A1977" s="148"/>
      <c r="B1977" s="196" t="s">
        <v>9562</v>
      </c>
      <c r="C1977" s="196" t="s">
        <v>9563</v>
      </c>
      <c r="D1977" s="196" t="s">
        <v>4930</v>
      </c>
      <c r="E1977" s="148"/>
      <c r="F1977" s="148"/>
      <c r="G1977" s="148"/>
      <c r="H1977" s="196" t="s">
        <v>2734</v>
      </c>
      <c r="I1977" s="141" t="s">
        <v>1914</v>
      </c>
      <c r="J1977" s="148"/>
      <c r="K1977" s="196" t="s">
        <v>1881</v>
      </c>
      <c r="L1977" s="241"/>
      <c r="M1977" s="196">
        <v>438</v>
      </c>
      <c r="N1977" s="148"/>
      <c r="O1977" s="196" t="s">
        <v>7080</v>
      </c>
      <c r="P1977" s="144">
        <v>530</v>
      </c>
      <c r="Q1977" s="145">
        <f t="shared" si="133"/>
        <v>1.5104</v>
      </c>
      <c r="R1977" s="203">
        <v>1.7</v>
      </c>
      <c r="S1977" s="244">
        <v>3</v>
      </c>
      <c r="T1977" s="151">
        <v>0.13</v>
      </c>
      <c r="U1977" s="151">
        <v>2.2000000000000002</v>
      </c>
      <c r="V1977" s="151">
        <v>0.33999999999999997</v>
      </c>
      <c r="W1977" s="151">
        <v>0.35</v>
      </c>
      <c r="X1977" s="152">
        <v>0.19039999999999999</v>
      </c>
      <c r="Y1977" s="152">
        <f t="shared" si="134"/>
        <v>3</v>
      </c>
      <c r="Z1977" s="152">
        <f t="shared" si="135"/>
        <v>3.2103999999999999</v>
      </c>
      <c r="AA1977" s="153"/>
      <c r="AB1977" s="153"/>
      <c r="AC1977" s="153"/>
      <c r="AD1977" s="153"/>
      <c r="AH1977" s="147"/>
    </row>
    <row r="1978" spans="1:34" s="146" customFormat="1" x14ac:dyDescent="0.25">
      <c r="A1978" s="142">
        <v>2518</v>
      </c>
      <c r="B1978" s="196" t="s">
        <v>9564</v>
      </c>
      <c r="C1978" s="196" t="s">
        <v>9565</v>
      </c>
      <c r="D1978" s="196" t="s">
        <v>1876</v>
      </c>
      <c r="E1978" s="148"/>
      <c r="F1978" s="196">
        <v>2009</v>
      </c>
      <c r="G1978" s="148"/>
      <c r="H1978" s="196" t="s">
        <v>1878</v>
      </c>
      <c r="I1978" s="141" t="s">
        <v>1879</v>
      </c>
      <c r="J1978" s="196" t="s">
        <v>9196</v>
      </c>
      <c r="K1978" s="196" t="s">
        <v>1881</v>
      </c>
      <c r="L1978" s="240" t="s">
        <v>9566</v>
      </c>
      <c r="M1978" s="196">
        <v>288</v>
      </c>
      <c r="N1978" s="148"/>
      <c r="O1978" s="196" t="s">
        <v>7081</v>
      </c>
      <c r="P1978" s="144">
        <v>314</v>
      </c>
      <c r="Q1978" s="145">
        <f t="shared" si="133"/>
        <v>1.7313999999999996</v>
      </c>
      <c r="R1978" s="203">
        <v>1.2</v>
      </c>
      <c r="S1978" s="244">
        <v>2.4</v>
      </c>
      <c r="T1978" s="151">
        <v>0.13</v>
      </c>
      <c r="U1978" s="151">
        <v>1.9</v>
      </c>
      <c r="V1978" s="151">
        <v>0.33999999999999997</v>
      </c>
      <c r="W1978" s="151">
        <v>0.35</v>
      </c>
      <c r="X1978" s="152">
        <v>0.2114</v>
      </c>
      <c r="Y1978" s="152">
        <f t="shared" si="134"/>
        <v>2.4</v>
      </c>
      <c r="Z1978" s="152">
        <f t="shared" si="135"/>
        <v>2.9313999999999996</v>
      </c>
      <c r="AA1978" s="153"/>
      <c r="AB1978" s="153"/>
      <c r="AC1978" s="153"/>
      <c r="AD1978" s="153"/>
      <c r="AH1978" s="147"/>
    </row>
    <row r="1979" spans="1:34" s="146" customFormat="1" x14ac:dyDescent="0.25">
      <c r="A1979" s="142">
        <v>1913</v>
      </c>
      <c r="B1979" s="196" t="s">
        <v>9567</v>
      </c>
      <c r="C1979" s="196" t="s">
        <v>9568</v>
      </c>
      <c r="D1979" s="196" t="s">
        <v>2209</v>
      </c>
      <c r="E1979" s="148"/>
      <c r="F1979" s="196">
        <v>2005</v>
      </c>
      <c r="G1979" s="148"/>
      <c r="H1979" s="196" t="s">
        <v>2734</v>
      </c>
      <c r="I1979" s="141" t="s">
        <v>1879</v>
      </c>
      <c r="J1979" s="148"/>
      <c r="K1979" s="196" t="s">
        <v>1881</v>
      </c>
      <c r="L1979" s="240" t="s">
        <v>9569</v>
      </c>
      <c r="M1979" s="196">
        <v>354</v>
      </c>
      <c r="N1979" s="148"/>
      <c r="O1979" s="196" t="s">
        <v>7082</v>
      </c>
      <c r="P1979" s="144">
        <v>586</v>
      </c>
      <c r="Q1979" s="145">
        <f t="shared" si="133"/>
        <v>1.5104</v>
      </c>
      <c r="R1979" s="203">
        <v>1.7</v>
      </c>
      <c r="S1979" s="244">
        <f>0.72+0.95</f>
        <v>1.67</v>
      </c>
      <c r="T1979" s="151">
        <v>0.13</v>
      </c>
      <c r="U1979" s="151">
        <v>2.2000000000000002</v>
      </c>
      <c r="V1979" s="151">
        <v>0.33999999999999997</v>
      </c>
      <c r="W1979" s="151">
        <v>0.35</v>
      </c>
      <c r="X1979" s="152">
        <v>0.19039999999999999</v>
      </c>
      <c r="Y1979" s="152">
        <f t="shared" si="134"/>
        <v>1.67</v>
      </c>
      <c r="Z1979" s="152">
        <f t="shared" si="135"/>
        <v>3.2103999999999999</v>
      </c>
      <c r="AA1979" s="153"/>
      <c r="AB1979" s="153"/>
      <c r="AC1979" s="153"/>
      <c r="AD1979" s="153"/>
      <c r="AH1979" s="147"/>
    </row>
    <row r="1980" spans="1:34" s="146" customFormat="1" x14ac:dyDescent="0.25">
      <c r="A1980" s="142">
        <v>2576</v>
      </c>
      <c r="B1980" s="196" t="s">
        <v>9570</v>
      </c>
      <c r="C1980" s="196" t="s">
        <v>9571</v>
      </c>
      <c r="D1980" s="196" t="s">
        <v>1920</v>
      </c>
      <c r="E1980" s="148"/>
      <c r="F1980" s="196">
        <v>2012</v>
      </c>
      <c r="G1980" s="148"/>
      <c r="H1980" s="196" t="s">
        <v>1878</v>
      </c>
      <c r="I1980" s="141" t="s">
        <v>1879</v>
      </c>
      <c r="J1980" s="148"/>
      <c r="K1980" s="196" t="s">
        <v>1881</v>
      </c>
      <c r="L1980" s="240" t="s">
        <v>9572</v>
      </c>
      <c r="M1980" s="196">
        <v>480</v>
      </c>
      <c r="N1980" s="148"/>
      <c r="O1980" s="196" t="s">
        <v>7083</v>
      </c>
      <c r="P1980" s="144">
        <v>419</v>
      </c>
      <c r="Q1980" s="145">
        <f t="shared" si="133"/>
        <v>1.7500000000000002</v>
      </c>
      <c r="R1980" s="203">
        <v>1.2</v>
      </c>
      <c r="S1980" s="244">
        <v>2.95</v>
      </c>
      <c r="T1980" s="151">
        <v>0.13</v>
      </c>
      <c r="U1980" s="151">
        <v>1.9</v>
      </c>
      <c r="V1980" s="151">
        <v>0.33999999999999997</v>
      </c>
      <c r="W1980" s="151">
        <v>0.35</v>
      </c>
      <c r="X1980" s="152">
        <v>0.2114</v>
      </c>
      <c r="Y1980" s="152">
        <f t="shared" si="134"/>
        <v>2.95</v>
      </c>
      <c r="Z1980" s="152">
        <f t="shared" si="135"/>
        <v>2.9313999999999996</v>
      </c>
      <c r="AA1980" s="153"/>
      <c r="AB1980" s="153"/>
      <c r="AC1980" s="153"/>
      <c r="AD1980" s="153"/>
      <c r="AH1980" s="147"/>
    </row>
    <row r="1981" spans="1:34" s="146" customFormat="1" x14ac:dyDescent="0.25">
      <c r="A1981" s="142">
        <v>1327</v>
      </c>
      <c r="B1981" s="196" t="s">
        <v>9573</v>
      </c>
      <c r="C1981" s="196" t="s">
        <v>9574</v>
      </c>
      <c r="D1981" s="196" t="s">
        <v>2257</v>
      </c>
      <c r="E1981" s="196"/>
      <c r="F1981" s="196">
        <v>1998</v>
      </c>
      <c r="G1981" s="196"/>
      <c r="H1981" s="196" t="s">
        <v>1878</v>
      </c>
      <c r="I1981" s="141" t="s">
        <v>1879</v>
      </c>
      <c r="J1981" s="196"/>
      <c r="K1981" s="196" t="s">
        <v>1881</v>
      </c>
      <c r="L1981" s="240" t="s">
        <v>9575</v>
      </c>
      <c r="M1981" s="196">
        <v>528</v>
      </c>
      <c r="N1981" s="196"/>
      <c r="O1981" s="196" t="s">
        <v>7084</v>
      </c>
      <c r="P1981" s="144">
        <v>339</v>
      </c>
      <c r="Q1981" s="145">
        <f t="shared" si="133"/>
        <v>1.7103999999999997</v>
      </c>
      <c r="R1981" s="203">
        <v>1.2</v>
      </c>
      <c r="S1981" s="140">
        <v>2.4</v>
      </c>
      <c r="T1981" s="151">
        <v>0.13</v>
      </c>
      <c r="U1981" s="151">
        <v>1.9</v>
      </c>
      <c r="V1981" s="151">
        <v>0.33999999999999997</v>
      </c>
      <c r="W1981" s="151">
        <v>0.35</v>
      </c>
      <c r="X1981" s="152">
        <v>0.19039999999999999</v>
      </c>
      <c r="Y1981" s="152">
        <f t="shared" si="134"/>
        <v>2.4</v>
      </c>
      <c r="Z1981" s="152">
        <f t="shared" si="135"/>
        <v>2.9103999999999997</v>
      </c>
      <c r="AA1981" s="153"/>
      <c r="AB1981" s="153"/>
      <c r="AC1981" s="153"/>
      <c r="AD1981" s="153"/>
      <c r="AH1981" s="147"/>
    </row>
    <row r="1982" spans="1:34" s="146" customFormat="1" x14ac:dyDescent="0.25">
      <c r="A1982" s="196">
        <v>2515</v>
      </c>
      <c r="B1982" s="196" t="s">
        <v>9684</v>
      </c>
      <c r="C1982" s="196" t="s">
        <v>9685</v>
      </c>
      <c r="D1982" s="196" t="s">
        <v>7982</v>
      </c>
      <c r="E1982" s="196" t="s">
        <v>2157</v>
      </c>
      <c r="F1982" s="196">
        <v>2004</v>
      </c>
      <c r="G1982" s="196"/>
      <c r="H1982" s="196" t="s">
        <v>2734</v>
      </c>
      <c r="I1982" s="141" t="s">
        <v>1879</v>
      </c>
      <c r="J1982" s="196" t="s">
        <v>9495</v>
      </c>
      <c r="K1982" s="196" t="s">
        <v>1881</v>
      </c>
      <c r="L1982" s="240" t="s">
        <v>9686</v>
      </c>
      <c r="M1982" s="196">
        <v>382</v>
      </c>
      <c r="N1982" s="196"/>
      <c r="O1982" s="196" t="s">
        <v>9687</v>
      </c>
      <c r="P1982" s="144">
        <v>545</v>
      </c>
      <c r="Q1982" s="145">
        <f t="shared" si="133"/>
        <v>3.2</v>
      </c>
      <c r="R1982" s="203">
        <v>1.7</v>
      </c>
      <c r="S1982" s="203">
        <v>4.9000000000000004</v>
      </c>
      <c r="T1982" s="151"/>
      <c r="U1982" s="151">
        <v>2.2000000000000002</v>
      </c>
      <c r="V1982" s="151">
        <v>0.34</v>
      </c>
      <c r="W1982" s="151">
        <f>(T1982+U1982+V1982)/100*45</f>
        <v>1.143</v>
      </c>
      <c r="X1982" s="152">
        <f>(T1982+U1982+V1982+W1982)/100*7</f>
        <v>0.25780999999999998</v>
      </c>
      <c r="Y1982" s="152">
        <f t="shared" si="134"/>
        <v>4.9000000000000004</v>
      </c>
      <c r="Z1982" s="152">
        <f>SUM(T1982:X1982)</f>
        <v>3.9408099999999999</v>
      </c>
      <c r="AA1982" s="153"/>
      <c r="AB1982" s="153"/>
      <c r="AC1982" s="153"/>
      <c r="AD1982" s="153"/>
      <c r="AH1982" s="147"/>
    </row>
    <row r="1983" spans="1:34" s="146" customFormat="1" x14ac:dyDescent="0.25">
      <c r="A1983" s="196">
        <v>2515</v>
      </c>
      <c r="B1983" s="196" t="s">
        <v>9688</v>
      </c>
      <c r="C1983" s="196" t="s">
        <v>9689</v>
      </c>
      <c r="D1983" s="196" t="s">
        <v>9690</v>
      </c>
      <c r="E1983" s="196" t="s">
        <v>2922</v>
      </c>
      <c r="F1983" s="196">
        <v>2013</v>
      </c>
      <c r="G1983" s="196"/>
      <c r="H1983" s="196" t="s">
        <v>1878</v>
      </c>
      <c r="I1983" s="141" t="s">
        <v>1879</v>
      </c>
      <c r="J1983" s="196"/>
      <c r="K1983" s="196" t="s">
        <v>1881</v>
      </c>
      <c r="L1983" s="240" t="s">
        <v>9691</v>
      </c>
      <c r="M1983" s="196">
        <v>253</v>
      </c>
      <c r="N1983" s="196"/>
      <c r="O1983" s="196" t="s">
        <v>9692</v>
      </c>
      <c r="P1983" s="144">
        <v>196</v>
      </c>
      <c r="Q1983" s="145">
        <f t="shared" si="133"/>
        <v>2.7408099999999997</v>
      </c>
      <c r="R1983" s="203">
        <v>1.2</v>
      </c>
      <c r="S1983" s="203">
        <v>3.73</v>
      </c>
      <c r="T1983" s="151"/>
      <c r="U1983" s="151">
        <v>2.2000000000000002</v>
      </c>
      <c r="V1983" s="151">
        <v>0.34</v>
      </c>
      <c r="W1983" s="151">
        <f t="shared" ref="W1983:W2036" si="136">(T1983+U1983+V1983)/100*45</f>
        <v>1.143</v>
      </c>
      <c r="X1983" s="152">
        <f t="shared" ref="X1983:X2036" si="137">(T1983+U1983+V1983+W1983)/100*7</f>
        <v>0.25780999999999998</v>
      </c>
      <c r="Y1983" s="152">
        <f t="shared" si="134"/>
        <v>3.73</v>
      </c>
      <c r="Z1983" s="152">
        <f t="shared" ref="Z1983:Z2040" si="138">SUM(T1983:X1983)</f>
        <v>3.9408099999999999</v>
      </c>
      <c r="AA1983" s="153"/>
      <c r="AB1983" s="153"/>
      <c r="AC1983" s="153"/>
      <c r="AD1983" s="153"/>
      <c r="AH1983" s="147"/>
    </row>
    <row r="1984" spans="1:34" s="146" customFormat="1" x14ac:dyDescent="0.25">
      <c r="A1984" s="196">
        <v>2515</v>
      </c>
      <c r="B1984" s="196" t="s">
        <v>9693</v>
      </c>
      <c r="C1984" s="196" t="s">
        <v>9694</v>
      </c>
      <c r="D1984" s="196" t="s">
        <v>9695</v>
      </c>
      <c r="E1984" s="196"/>
      <c r="F1984" s="196">
        <v>2008</v>
      </c>
      <c r="G1984" s="196"/>
      <c r="H1984" s="196" t="s">
        <v>1878</v>
      </c>
      <c r="I1984" s="141" t="s">
        <v>1879</v>
      </c>
      <c r="J1984" s="196" t="s">
        <v>9495</v>
      </c>
      <c r="K1984" s="196" t="s">
        <v>1881</v>
      </c>
      <c r="L1984" s="240" t="s">
        <v>9696</v>
      </c>
      <c r="M1984" s="196">
        <v>87</v>
      </c>
      <c r="N1984" s="196"/>
      <c r="O1984" s="196" t="s">
        <v>9697</v>
      </c>
      <c r="P1984" s="144">
        <v>100</v>
      </c>
      <c r="Q1984" s="145">
        <f t="shared" si="133"/>
        <v>3.5999999999999996</v>
      </c>
      <c r="R1984" s="203">
        <v>1.2</v>
      </c>
      <c r="S1984" s="203">
        <v>4.8</v>
      </c>
      <c r="T1984" s="151"/>
      <c r="U1984" s="151">
        <v>2.2000000000000002</v>
      </c>
      <c r="V1984" s="151">
        <v>0.34</v>
      </c>
      <c r="W1984" s="151">
        <f t="shared" si="136"/>
        <v>1.143</v>
      </c>
      <c r="X1984" s="152">
        <f t="shared" si="137"/>
        <v>0.25780999999999998</v>
      </c>
      <c r="Y1984" s="152">
        <f t="shared" si="134"/>
        <v>4.8</v>
      </c>
      <c r="Z1984" s="152">
        <f t="shared" si="138"/>
        <v>3.9408099999999999</v>
      </c>
      <c r="AA1984" s="153"/>
      <c r="AB1984" s="153"/>
      <c r="AC1984" s="153"/>
      <c r="AD1984" s="153"/>
      <c r="AH1984" s="147"/>
    </row>
    <row r="1985" spans="1:34" s="146" customFormat="1" x14ac:dyDescent="0.25">
      <c r="A1985" s="196">
        <v>2515</v>
      </c>
      <c r="B1985" s="196" t="s">
        <v>9698</v>
      </c>
      <c r="C1985" s="196" t="s">
        <v>9699</v>
      </c>
      <c r="D1985" s="196" t="s">
        <v>9700</v>
      </c>
      <c r="E1985" s="196" t="s">
        <v>1913</v>
      </c>
      <c r="F1985" s="196">
        <v>2009</v>
      </c>
      <c r="G1985" s="196"/>
      <c r="H1985" s="196" t="s">
        <v>2734</v>
      </c>
      <c r="I1985" s="141" t="s">
        <v>1929</v>
      </c>
      <c r="J1985" s="196"/>
      <c r="K1985" s="196" t="s">
        <v>1881</v>
      </c>
      <c r="L1985" s="240" t="s">
        <v>9701</v>
      </c>
      <c r="M1985" s="196">
        <v>111</v>
      </c>
      <c r="N1985" s="196"/>
      <c r="O1985" s="196" t="s">
        <v>9702</v>
      </c>
      <c r="P1985" s="144">
        <v>149</v>
      </c>
      <c r="Q1985" s="145">
        <f t="shared" si="133"/>
        <v>3</v>
      </c>
      <c r="R1985" s="203">
        <v>1.2</v>
      </c>
      <c r="S1985" s="203">
        <v>4.2</v>
      </c>
      <c r="T1985" s="151"/>
      <c r="U1985" s="151">
        <v>2.2000000000000002</v>
      </c>
      <c r="V1985" s="151">
        <v>0.34</v>
      </c>
      <c r="W1985" s="151">
        <f t="shared" si="136"/>
        <v>1.143</v>
      </c>
      <c r="X1985" s="152">
        <f t="shared" si="137"/>
        <v>0.25780999999999998</v>
      </c>
      <c r="Y1985" s="152">
        <f t="shared" si="134"/>
        <v>4.2</v>
      </c>
      <c r="Z1985" s="152">
        <f t="shared" si="138"/>
        <v>3.9408099999999999</v>
      </c>
      <c r="AA1985" s="153"/>
      <c r="AB1985" s="153"/>
      <c r="AC1985" s="153"/>
      <c r="AD1985" s="153"/>
      <c r="AH1985" s="147"/>
    </row>
    <row r="1986" spans="1:34" s="146" customFormat="1" x14ac:dyDescent="0.25">
      <c r="A1986" s="196">
        <v>2515</v>
      </c>
      <c r="B1986" s="196" t="s">
        <v>9703</v>
      </c>
      <c r="C1986" s="196" t="s">
        <v>9704</v>
      </c>
      <c r="D1986" s="196" t="s">
        <v>9705</v>
      </c>
      <c r="E1986" s="196"/>
      <c r="F1986" s="196"/>
      <c r="G1986" s="196"/>
      <c r="H1986" s="196" t="s">
        <v>2734</v>
      </c>
      <c r="I1986" s="141" t="s">
        <v>1929</v>
      </c>
      <c r="J1986" s="196" t="s">
        <v>9706</v>
      </c>
      <c r="K1986" s="196" t="s">
        <v>1881</v>
      </c>
      <c r="L1986" s="240" t="s">
        <v>9707</v>
      </c>
      <c r="M1986" s="196"/>
      <c r="N1986" s="196"/>
      <c r="O1986" s="196" t="s">
        <v>9708</v>
      </c>
      <c r="P1986" s="144">
        <v>364</v>
      </c>
      <c r="Q1986" s="145">
        <f t="shared" si="133"/>
        <v>3.7</v>
      </c>
      <c r="R1986" s="203">
        <v>1.2</v>
      </c>
      <c r="S1986" s="203">
        <v>4.9000000000000004</v>
      </c>
      <c r="T1986" s="151"/>
      <c r="U1986" s="151">
        <v>2.2000000000000002</v>
      </c>
      <c r="V1986" s="151">
        <v>0.34</v>
      </c>
      <c r="W1986" s="151">
        <f t="shared" si="136"/>
        <v>1.143</v>
      </c>
      <c r="X1986" s="152">
        <f t="shared" si="137"/>
        <v>0.25780999999999998</v>
      </c>
      <c r="Y1986" s="152">
        <f t="shared" si="134"/>
        <v>4.9000000000000004</v>
      </c>
      <c r="Z1986" s="152">
        <f t="shared" si="138"/>
        <v>3.9408099999999999</v>
      </c>
      <c r="AA1986" s="153"/>
      <c r="AB1986" s="153"/>
      <c r="AC1986" s="153"/>
      <c r="AD1986" s="153"/>
      <c r="AH1986" s="147"/>
    </row>
    <row r="1987" spans="1:34" s="146" customFormat="1" x14ac:dyDescent="0.25">
      <c r="A1987" s="196">
        <v>2515</v>
      </c>
      <c r="B1987" s="196" t="s">
        <v>9709</v>
      </c>
      <c r="C1987" s="196" t="s">
        <v>9710</v>
      </c>
      <c r="D1987" s="196" t="s">
        <v>9711</v>
      </c>
      <c r="E1987" s="196"/>
      <c r="F1987" s="196">
        <v>2003</v>
      </c>
      <c r="G1987" s="196"/>
      <c r="H1987" s="196" t="s">
        <v>1878</v>
      </c>
      <c r="I1987" s="141" t="s">
        <v>1879</v>
      </c>
      <c r="J1987" s="196"/>
      <c r="K1987" s="196" t="s">
        <v>1881</v>
      </c>
      <c r="L1987" s="240" t="s">
        <v>9712</v>
      </c>
      <c r="M1987" s="196">
        <v>184</v>
      </c>
      <c r="N1987" s="196"/>
      <c r="O1987" s="196" t="s">
        <v>9713</v>
      </c>
      <c r="P1987" s="144">
        <v>249</v>
      </c>
      <c r="Q1987" s="145">
        <f t="shared" si="133"/>
        <v>2.7408099999999997</v>
      </c>
      <c r="R1987" s="203">
        <v>1.2</v>
      </c>
      <c r="S1987" s="203">
        <v>2.99</v>
      </c>
      <c r="T1987" s="151"/>
      <c r="U1987" s="151">
        <v>2.2000000000000002</v>
      </c>
      <c r="V1987" s="151">
        <v>0.34</v>
      </c>
      <c r="W1987" s="151">
        <f t="shared" si="136"/>
        <v>1.143</v>
      </c>
      <c r="X1987" s="152">
        <f t="shared" si="137"/>
        <v>0.25780999999999998</v>
      </c>
      <c r="Y1987" s="152">
        <f t="shared" si="134"/>
        <v>2.99</v>
      </c>
      <c r="Z1987" s="152">
        <f t="shared" si="138"/>
        <v>3.9408099999999999</v>
      </c>
      <c r="AA1987" s="153"/>
      <c r="AB1987" s="153"/>
      <c r="AC1987" s="153"/>
      <c r="AD1987" s="153"/>
      <c r="AH1987" s="147"/>
    </row>
    <row r="1988" spans="1:34" s="146" customFormat="1" x14ac:dyDescent="0.25">
      <c r="A1988" s="196">
        <v>766</v>
      </c>
      <c r="B1988" s="196"/>
      <c r="C1988" s="196" t="s">
        <v>9719</v>
      </c>
      <c r="D1988" s="196" t="s">
        <v>1979</v>
      </c>
      <c r="E1988" s="196"/>
      <c r="F1988" s="196">
        <v>2004</v>
      </c>
      <c r="G1988" s="196"/>
      <c r="H1988" s="196" t="s">
        <v>2734</v>
      </c>
      <c r="I1988" s="141" t="s">
        <v>1879</v>
      </c>
      <c r="J1988" s="196"/>
      <c r="K1988" s="196" t="s">
        <v>1881</v>
      </c>
      <c r="L1988" s="240" t="s">
        <v>9720</v>
      </c>
      <c r="M1988" s="196">
        <v>120</v>
      </c>
      <c r="N1988" s="196"/>
      <c r="O1988" s="196" t="s">
        <v>9721</v>
      </c>
      <c r="P1988" s="144">
        <v>501</v>
      </c>
      <c r="Q1988" s="145">
        <f t="shared" si="133"/>
        <v>2.2408099999999997</v>
      </c>
      <c r="R1988" s="203">
        <v>1.7</v>
      </c>
      <c r="S1988" s="203">
        <v>2.77</v>
      </c>
      <c r="T1988" s="203"/>
      <c r="U1988" s="151">
        <v>2.2000000000000002</v>
      </c>
      <c r="V1988" s="151">
        <v>0.34</v>
      </c>
      <c r="W1988" s="151">
        <f t="shared" si="136"/>
        <v>1.143</v>
      </c>
      <c r="X1988" s="152">
        <f t="shared" si="137"/>
        <v>0.25780999999999998</v>
      </c>
      <c r="Y1988" s="152">
        <f t="shared" si="134"/>
        <v>2.77</v>
      </c>
      <c r="Z1988" s="152">
        <f t="shared" si="138"/>
        <v>3.9408099999999999</v>
      </c>
      <c r="AA1988" s="153"/>
      <c r="AB1988" s="153"/>
      <c r="AC1988" s="153"/>
      <c r="AD1988" s="153"/>
      <c r="AH1988" s="147"/>
    </row>
    <row r="1989" spans="1:34" s="146" customFormat="1" x14ac:dyDescent="0.25">
      <c r="A1989" s="196">
        <v>701</v>
      </c>
      <c r="B1989" s="196" t="s">
        <v>2097</v>
      </c>
      <c r="C1989" s="196" t="s">
        <v>9722</v>
      </c>
      <c r="D1989" s="196" t="s">
        <v>1920</v>
      </c>
      <c r="E1989" s="196"/>
      <c r="F1989" s="196">
        <v>2015</v>
      </c>
      <c r="G1989" s="196"/>
      <c r="H1989" s="196" t="s">
        <v>1878</v>
      </c>
      <c r="I1989" s="141" t="s">
        <v>1879</v>
      </c>
      <c r="J1989" s="196" t="s">
        <v>9196</v>
      </c>
      <c r="K1989" s="196" t="s">
        <v>1881</v>
      </c>
      <c r="L1989" s="240" t="s">
        <v>9723</v>
      </c>
      <c r="M1989" s="196">
        <v>307</v>
      </c>
      <c r="N1989" s="196"/>
      <c r="O1989" s="196" t="s">
        <v>9724</v>
      </c>
      <c r="P1989" s="144">
        <v>418</v>
      </c>
      <c r="Q1989" s="145">
        <f t="shared" si="133"/>
        <v>2.7408099999999997</v>
      </c>
      <c r="R1989" s="203">
        <v>1.2</v>
      </c>
      <c r="S1989" s="203">
        <v>1.65</v>
      </c>
      <c r="T1989" s="203"/>
      <c r="U1989" s="151">
        <v>2.2000000000000002</v>
      </c>
      <c r="V1989" s="151">
        <v>0.34</v>
      </c>
      <c r="W1989" s="151">
        <f t="shared" si="136"/>
        <v>1.143</v>
      </c>
      <c r="X1989" s="152">
        <f t="shared" si="137"/>
        <v>0.25780999999999998</v>
      </c>
      <c r="Y1989" s="152">
        <f t="shared" si="134"/>
        <v>1.65</v>
      </c>
      <c r="Z1989" s="152">
        <f t="shared" si="138"/>
        <v>3.9408099999999999</v>
      </c>
      <c r="AA1989" s="153"/>
      <c r="AB1989" s="153"/>
      <c r="AC1989" s="153"/>
      <c r="AD1989" s="153"/>
      <c r="AH1989" s="147"/>
    </row>
    <row r="1990" spans="1:34" s="146" customFormat="1" x14ac:dyDescent="0.25">
      <c r="A1990" s="196">
        <v>1324</v>
      </c>
      <c r="B1990" s="196" t="s">
        <v>9725</v>
      </c>
      <c r="C1990" s="196" t="s">
        <v>9726</v>
      </c>
      <c r="D1990" s="196" t="s">
        <v>2054</v>
      </c>
      <c r="E1990" s="196"/>
      <c r="F1990" s="196">
        <v>2006</v>
      </c>
      <c r="G1990" s="196"/>
      <c r="H1990" s="196" t="s">
        <v>1878</v>
      </c>
      <c r="I1990" s="141" t="s">
        <v>1914</v>
      </c>
      <c r="J1990" s="196"/>
      <c r="K1990" s="196" t="s">
        <v>1881</v>
      </c>
      <c r="L1990" s="240" t="s">
        <v>9727</v>
      </c>
      <c r="M1990" s="196">
        <v>302</v>
      </c>
      <c r="N1990" s="196"/>
      <c r="O1990" s="196" t="s">
        <v>9728</v>
      </c>
      <c r="P1990" s="144">
        <v>385</v>
      </c>
      <c r="Q1990" s="145">
        <f t="shared" si="133"/>
        <v>2.7408099999999997</v>
      </c>
      <c r="R1990" s="203">
        <v>1.2</v>
      </c>
      <c r="S1990" s="203">
        <v>1.6</v>
      </c>
      <c r="T1990" s="203"/>
      <c r="U1990" s="151">
        <v>2.2000000000000002</v>
      </c>
      <c r="V1990" s="151">
        <v>0.34</v>
      </c>
      <c r="W1990" s="151">
        <f t="shared" si="136"/>
        <v>1.143</v>
      </c>
      <c r="X1990" s="152">
        <f t="shared" si="137"/>
        <v>0.25780999999999998</v>
      </c>
      <c r="Y1990" s="152">
        <f t="shared" si="134"/>
        <v>1.6</v>
      </c>
      <c r="Z1990" s="152">
        <f t="shared" si="138"/>
        <v>3.9408099999999999</v>
      </c>
      <c r="AA1990" s="153"/>
      <c r="AB1990" s="153"/>
      <c r="AC1990" s="153"/>
      <c r="AD1990" s="153"/>
      <c r="AH1990" s="147"/>
    </row>
    <row r="1991" spans="1:34" s="146" customFormat="1" x14ac:dyDescent="0.25">
      <c r="A1991" s="196">
        <v>2515</v>
      </c>
      <c r="B1991" s="196" t="s">
        <v>9729</v>
      </c>
      <c r="C1991" s="196" t="s">
        <v>9730</v>
      </c>
      <c r="D1991" s="196" t="s">
        <v>9731</v>
      </c>
      <c r="E1991" s="196" t="s">
        <v>1913</v>
      </c>
      <c r="F1991" s="196">
        <v>2013</v>
      </c>
      <c r="G1991" s="196"/>
      <c r="H1991" s="196" t="s">
        <v>2734</v>
      </c>
      <c r="I1991" s="141" t="s">
        <v>1879</v>
      </c>
      <c r="J1991" s="196" t="s">
        <v>9732</v>
      </c>
      <c r="K1991" s="196" t="s">
        <v>1881</v>
      </c>
      <c r="L1991" s="240" t="s">
        <v>9733</v>
      </c>
      <c r="M1991" s="196">
        <v>96</v>
      </c>
      <c r="N1991" s="196"/>
      <c r="O1991" s="196" t="s">
        <v>9734</v>
      </c>
      <c r="P1991" s="144">
        <v>329</v>
      </c>
      <c r="Q1991" s="145">
        <f t="shared" si="133"/>
        <v>2.7408099999999997</v>
      </c>
      <c r="R1991" s="203">
        <v>1.2</v>
      </c>
      <c r="S1991" s="203">
        <v>3.3</v>
      </c>
      <c r="T1991" s="203"/>
      <c r="U1991" s="151">
        <v>2.2000000000000002</v>
      </c>
      <c r="V1991" s="151">
        <v>0.34</v>
      </c>
      <c r="W1991" s="151">
        <f t="shared" si="136"/>
        <v>1.143</v>
      </c>
      <c r="X1991" s="152">
        <f t="shared" si="137"/>
        <v>0.25780999999999998</v>
      </c>
      <c r="Y1991" s="152">
        <f t="shared" si="134"/>
        <v>3.3</v>
      </c>
      <c r="Z1991" s="152">
        <f t="shared" si="138"/>
        <v>3.9408099999999999</v>
      </c>
      <c r="AA1991" s="153"/>
      <c r="AB1991" s="153"/>
      <c r="AC1991" s="153"/>
      <c r="AD1991" s="153"/>
      <c r="AH1991" s="147"/>
    </row>
    <row r="1992" spans="1:34" s="146" customFormat="1" x14ac:dyDescent="0.25">
      <c r="A1992" s="196">
        <v>2515</v>
      </c>
      <c r="B1992" s="196" t="s">
        <v>9735</v>
      </c>
      <c r="C1992" s="196" t="s">
        <v>9736</v>
      </c>
      <c r="D1992" s="196" t="s">
        <v>7982</v>
      </c>
      <c r="E1992" s="196" t="s">
        <v>1877</v>
      </c>
      <c r="F1992" s="196">
        <v>2003</v>
      </c>
      <c r="G1992" s="196"/>
      <c r="H1992" s="196" t="s">
        <v>2734</v>
      </c>
      <c r="I1992" s="141" t="s">
        <v>1879</v>
      </c>
      <c r="J1992" s="196" t="s">
        <v>9495</v>
      </c>
      <c r="K1992" s="196" t="s">
        <v>1881</v>
      </c>
      <c r="L1992" s="240" t="s">
        <v>9737</v>
      </c>
      <c r="M1992" s="196">
        <v>239</v>
      </c>
      <c r="N1992" s="196"/>
      <c r="O1992" s="196" t="s">
        <v>9738</v>
      </c>
      <c r="P1992" s="144">
        <v>402</v>
      </c>
      <c r="Q1992" s="145">
        <f t="shared" si="133"/>
        <v>6.3999999999999995</v>
      </c>
      <c r="R1992" s="203">
        <v>1.2</v>
      </c>
      <c r="S1992" s="203">
        <v>7.6</v>
      </c>
      <c r="T1992" s="203"/>
      <c r="U1992" s="151">
        <v>2.2000000000000002</v>
      </c>
      <c r="V1992" s="151">
        <v>0.34</v>
      </c>
      <c r="W1992" s="151">
        <f t="shared" si="136"/>
        <v>1.143</v>
      </c>
      <c r="X1992" s="152">
        <f t="shared" si="137"/>
        <v>0.25780999999999998</v>
      </c>
      <c r="Y1992" s="152">
        <f t="shared" si="134"/>
        <v>7.6</v>
      </c>
      <c r="Z1992" s="152">
        <f t="shared" si="138"/>
        <v>3.9408099999999999</v>
      </c>
      <c r="AA1992" s="153"/>
      <c r="AB1992" s="153"/>
      <c r="AC1992" s="153"/>
      <c r="AD1992" s="153"/>
      <c r="AH1992" s="147"/>
    </row>
    <row r="1993" spans="1:34" s="146" customFormat="1" x14ac:dyDescent="0.25">
      <c r="A1993" s="196">
        <v>692</v>
      </c>
      <c r="B1993" s="196" t="s">
        <v>4031</v>
      </c>
      <c r="C1993" s="196" t="s">
        <v>9739</v>
      </c>
      <c r="D1993" s="196" t="s">
        <v>2609</v>
      </c>
      <c r="E1993" s="196"/>
      <c r="F1993" s="196">
        <v>1995</v>
      </c>
      <c r="G1993" s="196"/>
      <c r="H1993" s="196" t="s">
        <v>2734</v>
      </c>
      <c r="I1993" s="141" t="s">
        <v>1879</v>
      </c>
      <c r="J1993" s="196"/>
      <c r="K1993" s="196" t="s">
        <v>1881</v>
      </c>
      <c r="L1993" s="240" t="s">
        <v>9740</v>
      </c>
      <c r="M1993" s="196">
        <v>522</v>
      </c>
      <c r="N1993" s="196"/>
      <c r="O1993" s="196" t="s">
        <v>9741</v>
      </c>
      <c r="P1993" s="144">
        <v>541</v>
      </c>
      <c r="Q1993" s="145">
        <f t="shared" si="133"/>
        <v>2.2408099999999997</v>
      </c>
      <c r="R1993" s="203">
        <v>1.7</v>
      </c>
      <c r="S1993" s="203">
        <v>2.8</v>
      </c>
      <c r="T1993" s="203"/>
      <c r="U1993" s="151">
        <v>2.2000000000000002</v>
      </c>
      <c r="V1993" s="151">
        <v>0.34</v>
      </c>
      <c r="W1993" s="151">
        <f t="shared" si="136"/>
        <v>1.143</v>
      </c>
      <c r="X1993" s="152">
        <f t="shared" si="137"/>
        <v>0.25780999999999998</v>
      </c>
      <c r="Y1993" s="152">
        <f t="shared" si="134"/>
        <v>2.8</v>
      </c>
      <c r="Z1993" s="152">
        <f t="shared" si="138"/>
        <v>3.9408099999999999</v>
      </c>
      <c r="AA1993" s="153"/>
      <c r="AB1993" s="153"/>
      <c r="AC1993" s="153"/>
      <c r="AD1993" s="153"/>
      <c r="AH1993" s="147"/>
    </row>
    <row r="1994" spans="1:34" s="146" customFormat="1" x14ac:dyDescent="0.25">
      <c r="A1994" s="196">
        <v>1386</v>
      </c>
      <c r="B1994" s="196" t="s">
        <v>9742</v>
      </c>
      <c r="C1994" s="196" t="s">
        <v>9743</v>
      </c>
      <c r="D1994" s="196" t="s">
        <v>9094</v>
      </c>
      <c r="E1994" s="196"/>
      <c r="F1994" s="196">
        <v>2004</v>
      </c>
      <c r="G1994" s="196"/>
      <c r="H1994" s="196" t="s">
        <v>2734</v>
      </c>
      <c r="I1994" s="141" t="s">
        <v>1879</v>
      </c>
      <c r="J1994" s="196" t="s">
        <v>9744</v>
      </c>
      <c r="K1994" s="196" t="s">
        <v>1881</v>
      </c>
      <c r="L1994" s="240"/>
      <c r="M1994" s="196">
        <v>574</v>
      </c>
      <c r="N1994" s="196"/>
      <c r="O1994" s="196" t="s">
        <v>9745</v>
      </c>
      <c r="P1994" s="144">
        <v>683</v>
      </c>
      <c r="Q1994" s="145">
        <f t="shared" si="133"/>
        <v>2.2408099999999997</v>
      </c>
      <c r="R1994" s="203">
        <v>1.7</v>
      </c>
      <c r="S1994" s="203">
        <v>1.7</v>
      </c>
      <c r="T1994" s="203"/>
      <c r="U1994" s="151">
        <v>2.2000000000000002</v>
      </c>
      <c r="V1994" s="151">
        <v>0.34</v>
      </c>
      <c r="W1994" s="151">
        <f t="shared" si="136"/>
        <v>1.143</v>
      </c>
      <c r="X1994" s="152">
        <f t="shared" si="137"/>
        <v>0.25780999999999998</v>
      </c>
      <c r="Y1994" s="152">
        <f t="shared" si="134"/>
        <v>1.7</v>
      </c>
      <c r="Z1994" s="152">
        <f t="shared" si="138"/>
        <v>3.9408099999999999</v>
      </c>
      <c r="AA1994" s="153"/>
      <c r="AB1994" s="153"/>
      <c r="AC1994" s="153"/>
      <c r="AD1994" s="153"/>
      <c r="AH1994" s="147"/>
    </row>
    <row r="1995" spans="1:34" s="146" customFormat="1" x14ac:dyDescent="0.25">
      <c r="A1995" s="196">
        <v>796</v>
      </c>
      <c r="B1995" s="196" t="s">
        <v>6186</v>
      </c>
      <c r="C1995" s="196" t="s">
        <v>9746</v>
      </c>
      <c r="D1995" s="196" t="s">
        <v>2309</v>
      </c>
      <c r="E1995" s="196" t="s">
        <v>1913</v>
      </c>
      <c r="F1995" s="196">
        <v>2008</v>
      </c>
      <c r="G1995" s="196"/>
      <c r="H1995" s="196" t="s">
        <v>1878</v>
      </c>
      <c r="I1995" s="141" t="s">
        <v>7527</v>
      </c>
      <c r="J1995" s="196"/>
      <c r="K1995" s="196" t="s">
        <v>1881</v>
      </c>
      <c r="L1995" s="240" t="s">
        <v>9747</v>
      </c>
      <c r="M1995" s="196">
        <v>212</v>
      </c>
      <c r="N1995" s="196"/>
      <c r="O1995" s="196" t="s">
        <v>9748</v>
      </c>
      <c r="P1995" s="144">
        <v>213</v>
      </c>
      <c r="Q1995" s="145">
        <f t="shared" si="133"/>
        <v>2.7408099999999997</v>
      </c>
      <c r="R1995" s="203">
        <v>1.2</v>
      </c>
      <c r="S1995" s="203">
        <v>1.8</v>
      </c>
      <c r="T1995" s="203"/>
      <c r="U1995" s="151">
        <v>2.2000000000000002</v>
      </c>
      <c r="V1995" s="151">
        <v>0.34</v>
      </c>
      <c r="W1995" s="151">
        <f t="shared" si="136"/>
        <v>1.143</v>
      </c>
      <c r="X1995" s="152">
        <f t="shared" si="137"/>
        <v>0.25780999999999998</v>
      </c>
      <c r="Y1995" s="152">
        <f t="shared" si="134"/>
        <v>1.8</v>
      </c>
      <c r="Z1995" s="152">
        <f t="shared" si="138"/>
        <v>3.9408099999999999</v>
      </c>
      <c r="AA1995" s="153"/>
      <c r="AB1995" s="153"/>
      <c r="AC1995" s="153"/>
      <c r="AD1995" s="153"/>
      <c r="AH1995" s="147"/>
    </row>
    <row r="1996" spans="1:34" s="146" customFormat="1" x14ac:dyDescent="0.25">
      <c r="A1996" s="196">
        <v>692</v>
      </c>
      <c r="B1996" s="196" t="s">
        <v>9749</v>
      </c>
      <c r="C1996" s="196" t="s">
        <v>9750</v>
      </c>
      <c r="D1996" s="196" t="s">
        <v>9751</v>
      </c>
      <c r="E1996" s="196" t="s">
        <v>1913</v>
      </c>
      <c r="F1996" s="196">
        <v>2002</v>
      </c>
      <c r="G1996" s="196"/>
      <c r="H1996" s="196" t="s">
        <v>1878</v>
      </c>
      <c r="I1996" s="141" t="s">
        <v>1914</v>
      </c>
      <c r="J1996" s="196"/>
      <c r="K1996" s="196" t="s">
        <v>1881</v>
      </c>
      <c r="L1996" s="240" t="s">
        <v>9752</v>
      </c>
      <c r="M1996" s="196">
        <v>382</v>
      </c>
      <c r="N1996" s="196"/>
      <c r="O1996" s="196" t="s">
        <v>9753</v>
      </c>
      <c r="P1996" s="144">
        <v>339</v>
      </c>
      <c r="Q1996" s="145">
        <f t="shared" si="133"/>
        <v>2.7408099999999997</v>
      </c>
      <c r="R1996" s="203">
        <v>1.2</v>
      </c>
      <c r="S1996" s="203">
        <v>1.45</v>
      </c>
      <c r="T1996" s="203"/>
      <c r="U1996" s="151">
        <v>2.2000000000000002</v>
      </c>
      <c r="V1996" s="151">
        <v>0.34</v>
      </c>
      <c r="W1996" s="151">
        <f t="shared" si="136"/>
        <v>1.143</v>
      </c>
      <c r="X1996" s="152">
        <f t="shared" si="137"/>
        <v>0.25780999999999998</v>
      </c>
      <c r="Y1996" s="152">
        <f t="shared" si="134"/>
        <v>1.45</v>
      </c>
      <c r="Z1996" s="152">
        <f t="shared" si="138"/>
        <v>3.9408099999999999</v>
      </c>
      <c r="AA1996" s="153"/>
      <c r="AB1996" s="153"/>
      <c r="AC1996" s="153"/>
      <c r="AD1996" s="153"/>
      <c r="AH1996" s="147"/>
    </row>
    <row r="1997" spans="1:34" s="146" customFormat="1" x14ac:dyDescent="0.25">
      <c r="A1997" s="196">
        <v>8</v>
      </c>
      <c r="B1997" s="196" t="s">
        <v>3369</v>
      </c>
      <c r="C1997" s="196" t="s">
        <v>9754</v>
      </c>
      <c r="D1997" s="196" t="s">
        <v>2209</v>
      </c>
      <c r="E1997" s="196" t="s">
        <v>2412</v>
      </c>
      <c r="F1997" s="196">
        <v>2004</v>
      </c>
      <c r="G1997" s="196"/>
      <c r="H1997" s="196" t="s">
        <v>1878</v>
      </c>
      <c r="I1997" s="141" t="s">
        <v>1914</v>
      </c>
      <c r="J1997" s="196"/>
      <c r="K1997" s="196" t="s">
        <v>1881</v>
      </c>
      <c r="L1997" s="240" t="s">
        <v>9755</v>
      </c>
      <c r="M1997" s="196">
        <v>796</v>
      </c>
      <c r="N1997" s="196"/>
      <c r="O1997" s="196" t="s">
        <v>9756</v>
      </c>
      <c r="P1997" s="144">
        <v>548</v>
      </c>
      <c r="Q1997" s="145">
        <f t="shared" si="133"/>
        <v>2.2408099999999997</v>
      </c>
      <c r="R1997" s="203">
        <v>1.7</v>
      </c>
      <c r="S1997" s="203">
        <v>1.99</v>
      </c>
      <c r="T1997" s="203"/>
      <c r="U1997" s="151">
        <v>2.2000000000000002</v>
      </c>
      <c r="V1997" s="151">
        <v>0.34</v>
      </c>
      <c r="W1997" s="151">
        <f t="shared" si="136"/>
        <v>1.143</v>
      </c>
      <c r="X1997" s="152">
        <f t="shared" si="137"/>
        <v>0.25780999999999998</v>
      </c>
      <c r="Y1997" s="152">
        <f t="shared" si="134"/>
        <v>1.99</v>
      </c>
      <c r="Z1997" s="152">
        <f t="shared" si="138"/>
        <v>3.9408099999999999</v>
      </c>
      <c r="AA1997" s="153"/>
      <c r="AB1997" s="153"/>
      <c r="AC1997" s="153"/>
      <c r="AD1997" s="153"/>
      <c r="AH1997" s="147"/>
    </row>
    <row r="1998" spans="1:34" s="146" customFormat="1" x14ac:dyDescent="0.25">
      <c r="A1998" s="196">
        <v>649</v>
      </c>
      <c r="B1998" s="196" t="s">
        <v>9757</v>
      </c>
      <c r="C1998" s="196" t="s">
        <v>9758</v>
      </c>
      <c r="D1998" s="196" t="s">
        <v>3057</v>
      </c>
      <c r="E1998" s="196" t="s">
        <v>1877</v>
      </c>
      <c r="F1998" s="196">
        <v>2001</v>
      </c>
      <c r="G1998" s="196"/>
      <c r="H1998" s="196" t="s">
        <v>2734</v>
      </c>
      <c r="I1998" s="141" t="s">
        <v>1879</v>
      </c>
      <c r="J1998" s="196"/>
      <c r="K1998" s="196" t="s">
        <v>1881</v>
      </c>
      <c r="L1998" s="240" t="s">
        <v>9759</v>
      </c>
      <c r="M1998" s="196">
        <v>155</v>
      </c>
      <c r="N1998" s="196"/>
      <c r="O1998" s="196" t="s">
        <v>9760</v>
      </c>
      <c r="P1998" s="144">
        <v>485</v>
      </c>
      <c r="Q1998" s="145">
        <f t="shared" si="133"/>
        <v>2.7408099999999997</v>
      </c>
      <c r="R1998" s="203">
        <v>1.2</v>
      </c>
      <c r="S1998" s="203">
        <v>2</v>
      </c>
      <c r="T1998" s="203"/>
      <c r="U1998" s="151">
        <v>2.2000000000000002</v>
      </c>
      <c r="V1998" s="151">
        <v>0.34</v>
      </c>
      <c r="W1998" s="151">
        <f t="shared" si="136"/>
        <v>1.143</v>
      </c>
      <c r="X1998" s="152">
        <f t="shared" si="137"/>
        <v>0.25780999999999998</v>
      </c>
      <c r="Y1998" s="152">
        <f t="shared" si="134"/>
        <v>2</v>
      </c>
      <c r="Z1998" s="152">
        <f t="shared" si="138"/>
        <v>3.9408099999999999</v>
      </c>
      <c r="AA1998" s="153"/>
      <c r="AB1998" s="153"/>
      <c r="AC1998" s="153"/>
      <c r="AD1998" s="153"/>
      <c r="AH1998" s="147"/>
    </row>
    <row r="1999" spans="1:34" s="146" customFormat="1" x14ac:dyDescent="0.25">
      <c r="A1999" s="196">
        <v>1386</v>
      </c>
      <c r="B1999" s="196" t="s">
        <v>9761</v>
      </c>
      <c r="C1999" s="196" t="s">
        <v>9762</v>
      </c>
      <c r="D1999" s="196" t="s">
        <v>9763</v>
      </c>
      <c r="E1999" s="196"/>
      <c r="F1999" s="196">
        <v>2011</v>
      </c>
      <c r="G1999" s="196"/>
      <c r="H1999" s="196" t="s">
        <v>1878</v>
      </c>
      <c r="I1999" s="141" t="s">
        <v>7527</v>
      </c>
      <c r="J1999" s="196"/>
      <c r="K1999" s="196" t="s">
        <v>1881</v>
      </c>
      <c r="L1999" s="240" t="s">
        <v>9764</v>
      </c>
      <c r="M1999" s="196">
        <v>399</v>
      </c>
      <c r="N1999" s="196"/>
      <c r="O1999" s="196" t="s">
        <v>9765</v>
      </c>
      <c r="P1999" s="144">
        <v>326</v>
      </c>
      <c r="Q1999" s="145">
        <f t="shared" si="133"/>
        <v>2.7408099999999997</v>
      </c>
      <c r="R1999" s="203">
        <v>1.2</v>
      </c>
      <c r="S1999" s="203">
        <v>1.65</v>
      </c>
      <c r="T1999" s="203"/>
      <c r="U1999" s="151">
        <v>2.2000000000000002</v>
      </c>
      <c r="V1999" s="151">
        <v>0.34</v>
      </c>
      <c r="W1999" s="151">
        <f t="shared" si="136"/>
        <v>1.143</v>
      </c>
      <c r="X1999" s="152">
        <f t="shared" si="137"/>
        <v>0.25780999999999998</v>
      </c>
      <c r="Y1999" s="152">
        <f t="shared" si="134"/>
        <v>1.65</v>
      </c>
      <c r="Z1999" s="152">
        <f t="shared" si="138"/>
        <v>3.9408099999999999</v>
      </c>
      <c r="AA1999" s="153"/>
      <c r="AB1999" s="153"/>
      <c r="AC1999" s="153"/>
      <c r="AD1999" s="153"/>
      <c r="AH1999" s="147"/>
    </row>
    <row r="2000" spans="1:34" s="146" customFormat="1" x14ac:dyDescent="0.25">
      <c r="A2000" s="196">
        <v>2851</v>
      </c>
      <c r="B2000" s="196" t="s">
        <v>2629</v>
      </c>
      <c r="C2000" s="196" t="s">
        <v>9766</v>
      </c>
      <c r="D2000" s="196" t="s">
        <v>1876</v>
      </c>
      <c r="E2000" s="196" t="s">
        <v>2175</v>
      </c>
      <c r="F2000" s="196">
        <v>2003</v>
      </c>
      <c r="G2000" s="196"/>
      <c r="H2000" s="196" t="s">
        <v>1878</v>
      </c>
      <c r="I2000" s="141" t="s">
        <v>7527</v>
      </c>
      <c r="J2000" s="196"/>
      <c r="K2000" s="196" t="s">
        <v>1881</v>
      </c>
      <c r="L2000" s="240" t="s">
        <v>9767</v>
      </c>
      <c r="M2000" s="196">
        <v>678</v>
      </c>
      <c r="N2000" s="196"/>
      <c r="O2000" s="196" t="s">
        <v>9768</v>
      </c>
      <c r="P2000" s="144">
        <v>518</v>
      </c>
      <c r="Q2000" s="145">
        <f t="shared" si="133"/>
        <v>2.2408099999999997</v>
      </c>
      <c r="R2000" s="203">
        <v>1.7</v>
      </c>
      <c r="S2000" s="203">
        <v>2.0499999999999998</v>
      </c>
      <c r="T2000" s="203"/>
      <c r="U2000" s="151">
        <v>2.2000000000000002</v>
      </c>
      <c r="V2000" s="151">
        <v>0.34</v>
      </c>
      <c r="W2000" s="151">
        <f t="shared" si="136"/>
        <v>1.143</v>
      </c>
      <c r="X2000" s="152">
        <f t="shared" si="137"/>
        <v>0.25780999999999998</v>
      </c>
      <c r="Y2000" s="152">
        <f t="shared" si="134"/>
        <v>2.0499999999999998</v>
      </c>
      <c r="Z2000" s="152">
        <f t="shared" si="138"/>
        <v>3.9408099999999999</v>
      </c>
      <c r="AA2000" s="153"/>
      <c r="AB2000" s="153"/>
      <c r="AC2000" s="153"/>
      <c r="AD2000" s="153"/>
      <c r="AH2000" s="147"/>
    </row>
    <row r="2001" spans="1:34" s="146" customFormat="1" x14ac:dyDescent="0.25">
      <c r="A2001" s="196">
        <v>692</v>
      </c>
      <c r="B2001" s="196" t="s">
        <v>9769</v>
      </c>
      <c r="C2001" s="196" t="s">
        <v>9770</v>
      </c>
      <c r="D2001" s="196" t="s">
        <v>2257</v>
      </c>
      <c r="E2001" s="196" t="s">
        <v>1913</v>
      </c>
      <c r="F2001" s="196">
        <v>2001</v>
      </c>
      <c r="G2001" s="196"/>
      <c r="H2001" s="196" t="s">
        <v>1878</v>
      </c>
      <c r="I2001" s="141" t="s">
        <v>7527</v>
      </c>
      <c r="J2001" s="196"/>
      <c r="K2001" s="196" t="s">
        <v>1881</v>
      </c>
      <c r="L2001" s="240" t="s">
        <v>9771</v>
      </c>
      <c r="M2001" s="196">
        <v>394</v>
      </c>
      <c r="N2001" s="196"/>
      <c r="O2001" s="196" t="s">
        <v>9772</v>
      </c>
      <c r="P2001" s="144">
        <v>213</v>
      </c>
      <c r="Q2001" s="145">
        <f t="shared" si="133"/>
        <v>2.7408099999999997</v>
      </c>
      <c r="R2001" s="203">
        <v>1.2</v>
      </c>
      <c r="S2001" s="203">
        <f>0.25+1.29</f>
        <v>1.54</v>
      </c>
      <c r="T2001" s="203"/>
      <c r="U2001" s="151">
        <v>2.2000000000000002</v>
      </c>
      <c r="V2001" s="151">
        <v>0.34</v>
      </c>
      <c r="W2001" s="151">
        <f t="shared" si="136"/>
        <v>1.143</v>
      </c>
      <c r="X2001" s="152">
        <f t="shared" si="137"/>
        <v>0.25780999999999998</v>
      </c>
      <c r="Y2001" s="152">
        <f t="shared" si="134"/>
        <v>1.54</v>
      </c>
      <c r="Z2001" s="152">
        <f t="shared" si="138"/>
        <v>3.9408099999999999</v>
      </c>
      <c r="AA2001" s="153"/>
      <c r="AB2001" s="153"/>
      <c r="AC2001" s="153"/>
      <c r="AD2001" s="153"/>
      <c r="AH2001" s="147"/>
    </row>
    <row r="2002" spans="1:34" s="146" customFormat="1" x14ac:dyDescent="0.25">
      <c r="A2002" s="196">
        <v>692</v>
      </c>
      <c r="B2002" s="196" t="s">
        <v>9773</v>
      </c>
      <c r="C2002" s="196" t="s">
        <v>9774</v>
      </c>
      <c r="D2002" s="196" t="s">
        <v>2257</v>
      </c>
      <c r="E2002" s="196"/>
      <c r="F2002" s="196">
        <v>2005</v>
      </c>
      <c r="G2002" s="196"/>
      <c r="H2002" s="196" t="s">
        <v>1878</v>
      </c>
      <c r="I2002" s="141" t="s">
        <v>1879</v>
      </c>
      <c r="J2002" s="196"/>
      <c r="K2002" s="196" t="s">
        <v>1881</v>
      </c>
      <c r="L2002" s="240" t="s">
        <v>9775</v>
      </c>
      <c r="M2002" s="196">
        <v>359</v>
      </c>
      <c r="N2002" s="196"/>
      <c r="O2002" s="196" t="s">
        <v>9776</v>
      </c>
      <c r="P2002" s="144">
        <v>358</v>
      </c>
      <c r="Q2002" s="145">
        <f t="shared" si="133"/>
        <v>2.7408099999999997</v>
      </c>
      <c r="R2002" s="203">
        <v>1.2</v>
      </c>
      <c r="S2002" s="203">
        <v>1.55</v>
      </c>
      <c r="T2002" s="203"/>
      <c r="U2002" s="151">
        <v>2.2000000000000002</v>
      </c>
      <c r="V2002" s="151">
        <v>0.34</v>
      </c>
      <c r="W2002" s="151">
        <f t="shared" si="136"/>
        <v>1.143</v>
      </c>
      <c r="X2002" s="152">
        <f t="shared" si="137"/>
        <v>0.25780999999999998</v>
      </c>
      <c r="Y2002" s="152">
        <f t="shared" si="134"/>
        <v>1.55</v>
      </c>
      <c r="Z2002" s="152">
        <f t="shared" si="138"/>
        <v>3.9408099999999999</v>
      </c>
      <c r="AA2002" s="153"/>
      <c r="AB2002" s="153"/>
      <c r="AC2002" s="153"/>
      <c r="AD2002" s="153"/>
      <c r="AH2002" s="147"/>
    </row>
    <row r="2003" spans="1:34" s="146" customFormat="1" x14ac:dyDescent="0.25">
      <c r="A2003" s="196">
        <v>2551</v>
      </c>
      <c r="B2003" s="196" t="s">
        <v>6327</v>
      </c>
      <c r="C2003" s="196" t="s">
        <v>9779</v>
      </c>
      <c r="D2003" s="196" t="s">
        <v>2054</v>
      </c>
      <c r="E2003" s="196"/>
      <c r="F2003" s="196">
        <v>2007</v>
      </c>
      <c r="G2003" s="196"/>
      <c r="H2003" s="196" t="s">
        <v>2734</v>
      </c>
      <c r="I2003" s="141" t="s">
        <v>1929</v>
      </c>
      <c r="J2003" s="196"/>
      <c r="K2003" s="196" t="s">
        <v>1881</v>
      </c>
      <c r="L2003" s="240" t="s">
        <v>9780</v>
      </c>
      <c r="M2003" s="196">
        <v>352</v>
      </c>
      <c r="N2003" s="196"/>
      <c r="O2003" s="196" t="s">
        <v>9781</v>
      </c>
      <c r="P2003" s="144">
        <v>419</v>
      </c>
      <c r="Q2003" s="145">
        <f t="shared" si="133"/>
        <v>2.7408099999999997</v>
      </c>
      <c r="R2003" s="203">
        <v>1.2</v>
      </c>
      <c r="S2003" s="203">
        <v>2.25</v>
      </c>
      <c r="T2003" s="203"/>
      <c r="U2003" s="151">
        <v>2.2000000000000002</v>
      </c>
      <c r="V2003" s="151">
        <v>0.34</v>
      </c>
      <c r="W2003" s="151">
        <f t="shared" si="136"/>
        <v>1.143</v>
      </c>
      <c r="X2003" s="152">
        <f t="shared" si="137"/>
        <v>0.25780999999999998</v>
      </c>
      <c r="Y2003" s="152">
        <f t="shared" si="134"/>
        <v>2.25</v>
      </c>
      <c r="Z2003" s="152">
        <f t="shared" si="138"/>
        <v>3.9408099999999999</v>
      </c>
      <c r="AA2003" s="153"/>
      <c r="AB2003" s="153"/>
      <c r="AC2003" s="153"/>
      <c r="AD2003" s="153"/>
      <c r="AH2003" s="147"/>
    </row>
    <row r="2004" spans="1:34" s="146" customFormat="1" x14ac:dyDescent="0.25">
      <c r="A2004" s="196">
        <v>4</v>
      </c>
      <c r="B2004" s="196" t="s">
        <v>9782</v>
      </c>
      <c r="C2004" s="196" t="s">
        <v>9783</v>
      </c>
      <c r="D2004" s="196" t="s">
        <v>9784</v>
      </c>
      <c r="E2004" s="196" t="s">
        <v>1877</v>
      </c>
      <c r="F2004" s="196">
        <v>2008</v>
      </c>
      <c r="G2004" s="196"/>
      <c r="H2004" s="196" t="s">
        <v>1878</v>
      </c>
      <c r="I2004" s="141" t="s">
        <v>1879</v>
      </c>
      <c r="J2004" s="196"/>
      <c r="K2004" s="196" t="s">
        <v>1881</v>
      </c>
      <c r="L2004" s="240" t="s">
        <v>9785</v>
      </c>
      <c r="M2004" s="196">
        <v>159</v>
      </c>
      <c r="N2004" s="196"/>
      <c r="O2004" s="196" t="s">
        <v>9786</v>
      </c>
      <c r="P2004" s="144">
        <v>103</v>
      </c>
      <c r="Q2004" s="145">
        <f t="shared" si="133"/>
        <v>5.1899999999999995</v>
      </c>
      <c r="R2004" s="203">
        <v>1.2</v>
      </c>
      <c r="S2004" s="203">
        <v>6.39</v>
      </c>
      <c r="T2004" s="203"/>
      <c r="U2004" s="151">
        <v>2.2000000000000002</v>
      </c>
      <c r="V2004" s="151">
        <v>0.34</v>
      </c>
      <c r="W2004" s="151">
        <f t="shared" si="136"/>
        <v>1.143</v>
      </c>
      <c r="X2004" s="152">
        <f t="shared" si="137"/>
        <v>0.25780999999999998</v>
      </c>
      <c r="Y2004" s="152">
        <f t="shared" si="134"/>
        <v>6.39</v>
      </c>
      <c r="Z2004" s="152">
        <f t="shared" si="138"/>
        <v>3.9408099999999999</v>
      </c>
      <c r="AA2004" s="153"/>
      <c r="AB2004" s="153"/>
      <c r="AC2004" s="153"/>
      <c r="AD2004" s="153"/>
      <c r="AH2004" s="147"/>
    </row>
    <row r="2005" spans="1:34" s="146" customFormat="1" x14ac:dyDescent="0.25">
      <c r="A2005" s="196">
        <v>692</v>
      </c>
      <c r="B2005" s="196" t="s">
        <v>9787</v>
      </c>
      <c r="C2005" s="196" t="s">
        <v>9788</v>
      </c>
      <c r="D2005" s="196" t="s">
        <v>1920</v>
      </c>
      <c r="E2005" s="196" t="s">
        <v>1899</v>
      </c>
      <c r="F2005" s="196">
        <v>2009</v>
      </c>
      <c r="G2005" s="196"/>
      <c r="H2005" s="196" t="s">
        <v>1878</v>
      </c>
      <c r="I2005" s="141" t="s">
        <v>1879</v>
      </c>
      <c r="J2005" s="196"/>
      <c r="K2005" s="196" t="s">
        <v>1881</v>
      </c>
      <c r="L2005" s="240" t="s">
        <v>9789</v>
      </c>
      <c r="M2005" s="196">
        <v>572</v>
      </c>
      <c r="N2005" s="196"/>
      <c r="O2005" s="196" t="s">
        <v>9790</v>
      </c>
      <c r="P2005" s="144">
        <v>351</v>
      </c>
      <c r="Q2005" s="145">
        <f t="shared" si="133"/>
        <v>2.7408099999999997</v>
      </c>
      <c r="R2005" s="203">
        <v>1.2</v>
      </c>
      <c r="S2005" s="203">
        <v>2</v>
      </c>
      <c r="T2005" s="203"/>
      <c r="U2005" s="151">
        <v>2.2000000000000002</v>
      </c>
      <c r="V2005" s="151">
        <v>0.34</v>
      </c>
      <c r="W2005" s="151">
        <f t="shared" si="136"/>
        <v>1.143</v>
      </c>
      <c r="X2005" s="152">
        <f t="shared" si="137"/>
        <v>0.25780999999999998</v>
      </c>
      <c r="Y2005" s="152">
        <f t="shared" si="134"/>
        <v>2</v>
      </c>
      <c r="Z2005" s="152">
        <f t="shared" si="138"/>
        <v>3.9408099999999999</v>
      </c>
      <c r="AA2005" s="153"/>
      <c r="AB2005" s="153"/>
      <c r="AC2005" s="153"/>
      <c r="AD2005" s="153"/>
      <c r="AH2005" s="147"/>
    </row>
    <row r="2006" spans="1:34" s="146" customFormat="1" x14ac:dyDescent="0.25">
      <c r="A2006" s="196">
        <v>735</v>
      </c>
      <c r="B2006" s="196" t="s">
        <v>9791</v>
      </c>
      <c r="C2006" s="196" t="s">
        <v>9792</v>
      </c>
      <c r="D2006" s="196" t="s">
        <v>9793</v>
      </c>
      <c r="E2006" s="196"/>
      <c r="F2006" s="196">
        <v>2000</v>
      </c>
      <c r="G2006" s="196"/>
      <c r="H2006" s="196" t="s">
        <v>2734</v>
      </c>
      <c r="I2006" s="141" t="s">
        <v>1914</v>
      </c>
      <c r="J2006" s="196"/>
      <c r="K2006" s="196" t="s">
        <v>1881</v>
      </c>
      <c r="L2006" s="240" t="s">
        <v>9794</v>
      </c>
      <c r="M2006" s="196">
        <v>378</v>
      </c>
      <c r="N2006" s="196"/>
      <c r="O2006" s="196" t="s">
        <v>9795</v>
      </c>
      <c r="P2006" s="144">
        <v>463</v>
      </c>
      <c r="Q2006" s="145">
        <f t="shared" si="133"/>
        <v>2.7408099999999997</v>
      </c>
      <c r="R2006" s="203">
        <v>1.2</v>
      </c>
      <c r="S2006" s="203">
        <v>2.9</v>
      </c>
      <c r="T2006" s="203"/>
      <c r="U2006" s="151">
        <v>2.2000000000000002</v>
      </c>
      <c r="V2006" s="151">
        <v>0.34</v>
      </c>
      <c r="W2006" s="151">
        <f t="shared" si="136"/>
        <v>1.143</v>
      </c>
      <c r="X2006" s="152">
        <f t="shared" si="137"/>
        <v>0.25780999999999998</v>
      </c>
      <c r="Y2006" s="152">
        <f t="shared" si="134"/>
        <v>2.9</v>
      </c>
      <c r="Z2006" s="152">
        <f t="shared" si="138"/>
        <v>3.9408099999999999</v>
      </c>
      <c r="AA2006" s="153"/>
      <c r="AB2006" s="153"/>
      <c r="AC2006" s="153"/>
      <c r="AD2006" s="153"/>
      <c r="AH2006" s="147"/>
    </row>
    <row r="2007" spans="1:34" s="146" customFormat="1" x14ac:dyDescent="0.25">
      <c r="A2007" s="196">
        <v>692</v>
      </c>
      <c r="B2007" s="196" t="s">
        <v>4816</v>
      </c>
      <c r="C2007" s="196" t="s">
        <v>9796</v>
      </c>
      <c r="D2007" s="196" t="s">
        <v>2257</v>
      </c>
      <c r="E2007" s="196"/>
      <c r="F2007" s="196">
        <v>2003</v>
      </c>
      <c r="G2007" s="196"/>
      <c r="H2007" s="196" t="s">
        <v>1878</v>
      </c>
      <c r="I2007" s="141" t="s">
        <v>7527</v>
      </c>
      <c r="J2007" s="196"/>
      <c r="K2007" s="196" t="s">
        <v>1881</v>
      </c>
      <c r="L2007" s="240" t="s">
        <v>9797</v>
      </c>
      <c r="M2007" s="196">
        <v>669</v>
      </c>
      <c r="N2007" s="196"/>
      <c r="O2007" s="196" t="s">
        <v>9798</v>
      </c>
      <c r="P2007" s="144">
        <v>419</v>
      </c>
      <c r="Q2007" s="145">
        <f t="shared" si="133"/>
        <v>2.7408099999999997</v>
      </c>
      <c r="R2007" s="203">
        <v>1.2</v>
      </c>
      <c r="S2007" s="203">
        <v>1.64</v>
      </c>
      <c r="T2007" s="203"/>
      <c r="U2007" s="151">
        <v>2.2000000000000002</v>
      </c>
      <c r="V2007" s="151">
        <v>0.34</v>
      </c>
      <c r="W2007" s="151">
        <f t="shared" si="136"/>
        <v>1.143</v>
      </c>
      <c r="X2007" s="152">
        <f t="shared" si="137"/>
        <v>0.25780999999999998</v>
      </c>
      <c r="Y2007" s="152">
        <f t="shared" si="134"/>
        <v>1.64</v>
      </c>
      <c r="Z2007" s="152">
        <f t="shared" si="138"/>
        <v>3.9408099999999999</v>
      </c>
      <c r="AA2007" s="153"/>
      <c r="AB2007" s="153"/>
      <c r="AC2007" s="153"/>
      <c r="AD2007" s="153"/>
      <c r="AH2007" s="147"/>
    </row>
    <row r="2008" spans="1:34" s="146" customFormat="1" x14ac:dyDescent="0.25">
      <c r="A2008" s="196">
        <v>735</v>
      </c>
      <c r="B2008" s="196" t="s">
        <v>9799</v>
      </c>
      <c r="C2008" s="196" t="s">
        <v>9800</v>
      </c>
      <c r="D2008" s="196" t="s">
        <v>1912</v>
      </c>
      <c r="E2008" s="196" t="s">
        <v>1913</v>
      </c>
      <c r="F2008" s="196">
        <v>2015</v>
      </c>
      <c r="G2008" s="196"/>
      <c r="H2008" s="196" t="s">
        <v>1878</v>
      </c>
      <c r="I2008" s="141" t="s">
        <v>1879</v>
      </c>
      <c r="J2008" s="196"/>
      <c r="K2008" s="196" t="s">
        <v>1881</v>
      </c>
      <c r="L2008" s="240" t="s">
        <v>9801</v>
      </c>
      <c r="M2008" s="196">
        <v>444</v>
      </c>
      <c r="N2008" s="196"/>
      <c r="O2008" s="196" t="s">
        <v>9802</v>
      </c>
      <c r="P2008" s="144">
        <v>384</v>
      </c>
      <c r="Q2008" s="145">
        <f t="shared" si="133"/>
        <v>2.7408099999999997</v>
      </c>
      <c r="R2008" s="203">
        <v>1.2</v>
      </c>
      <c r="S2008" s="203">
        <v>3.72</v>
      </c>
      <c r="T2008" s="203"/>
      <c r="U2008" s="151">
        <v>2.2000000000000002</v>
      </c>
      <c r="V2008" s="151">
        <v>0.34</v>
      </c>
      <c r="W2008" s="151">
        <f t="shared" si="136"/>
        <v>1.143</v>
      </c>
      <c r="X2008" s="152">
        <f t="shared" si="137"/>
        <v>0.25780999999999998</v>
      </c>
      <c r="Y2008" s="152">
        <f t="shared" si="134"/>
        <v>3.72</v>
      </c>
      <c r="Z2008" s="152">
        <f t="shared" si="138"/>
        <v>3.9408099999999999</v>
      </c>
      <c r="AA2008" s="153"/>
      <c r="AB2008" s="153"/>
      <c r="AC2008" s="153"/>
      <c r="AD2008" s="153"/>
      <c r="AH2008" s="147"/>
    </row>
    <row r="2009" spans="1:34" s="146" customFormat="1" x14ac:dyDescent="0.25">
      <c r="A2009" s="196">
        <v>632</v>
      </c>
      <c r="B2009" s="196" t="s">
        <v>9803</v>
      </c>
      <c r="C2009" s="196" t="s">
        <v>9804</v>
      </c>
      <c r="D2009" s="196" t="s">
        <v>1920</v>
      </c>
      <c r="E2009" s="196" t="s">
        <v>1913</v>
      </c>
      <c r="F2009" s="196">
        <v>2008</v>
      </c>
      <c r="G2009" s="196"/>
      <c r="H2009" s="196" t="s">
        <v>1878</v>
      </c>
      <c r="I2009" s="141" t="s">
        <v>1879</v>
      </c>
      <c r="J2009" s="196" t="s">
        <v>9805</v>
      </c>
      <c r="K2009" s="196" t="s">
        <v>1881</v>
      </c>
      <c r="L2009" s="240" t="s">
        <v>9806</v>
      </c>
      <c r="M2009" s="196">
        <v>543</v>
      </c>
      <c r="N2009" s="196"/>
      <c r="O2009" s="196" t="s">
        <v>9807</v>
      </c>
      <c r="P2009" s="144">
        <v>450</v>
      </c>
      <c r="Q2009" s="145">
        <f t="shared" si="133"/>
        <v>2.7408099999999997</v>
      </c>
      <c r="R2009" s="203">
        <v>1.2</v>
      </c>
      <c r="S2009" s="203">
        <v>1.99</v>
      </c>
      <c r="T2009" s="203"/>
      <c r="U2009" s="151">
        <v>2.2000000000000002</v>
      </c>
      <c r="V2009" s="151">
        <v>0.34</v>
      </c>
      <c r="W2009" s="151">
        <f t="shared" si="136"/>
        <v>1.143</v>
      </c>
      <c r="X2009" s="152">
        <f t="shared" si="137"/>
        <v>0.25780999999999998</v>
      </c>
      <c r="Y2009" s="152">
        <f t="shared" si="134"/>
        <v>1.99</v>
      </c>
      <c r="Z2009" s="152">
        <f t="shared" si="138"/>
        <v>3.9408099999999999</v>
      </c>
      <c r="AA2009" s="153"/>
      <c r="AB2009" s="153"/>
      <c r="AC2009" s="153"/>
      <c r="AD2009" s="153"/>
      <c r="AH2009" s="147"/>
    </row>
    <row r="2010" spans="1:34" s="146" customFormat="1" x14ac:dyDescent="0.25">
      <c r="A2010" s="196">
        <v>442</v>
      </c>
      <c r="B2010" s="196" t="s">
        <v>9808</v>
      </c>
      <c r="C2010" s="196" t="s">
        <v>9809</v>
      </c>
      <c r="D2010" s="196" t="s">
        <v>9810</v>
      </c>
      <c r="E2010" s="196" t="s">
        <v>1913</v>
      </c>
      <c r="F2010" s="196">
        <v>1997</v>
      </c>
      <c r="G2010" s="196"/>
      <c r="H2010" s="196" t="s">
        <v>1878</v>
      </c>
      <c r="I2010" s="141" t="s">
        <v>7817</v>
      </c>
      <c r="J2010" s="196"/>
      <c r="K2010" s="196" t="s">
        <v>1881</v>
      </c>
      <c r="L2010" s="240" t="s">
        <v>9811</v>
      </c>
      <c r="M2010" s="196">
        <v>221</v>
      </c>
      <c r="N2010" s="196"/>
      <c r="O2010" s="196" t="s">
        <v>9812</v>
      </c>
      <c r="P2010" s="144">
        <v>340</v>
      </c>
      <c r="Q2010" s="145">
        <f t="shared" si="133"/>
        <v>2.7408099999999997</v>
      </c>
      <c r="R2010" s="203">
        <v>1.2</v>
      </c>
      <c r="S2010" s="203">
        <f>0.74+2.29</f>
        <v>3.0300000000000002</v>
      </c>
      <c r="T2010" s="203"/>
      <c r="U2010" s="151">
        <v>2.2000000000000002</v>
      </c>
      <c r="V2010" s="151">
        <v>0.34</v>
      </c>
      <c r="W2010" s="151">
        <f t="shared" si="136"/>
        <v>1.143</v>
      </c>
      <c r="X2010" s="152">
        <f t="shared" si="137"/>
        <v>0.25780999999999998</v>
      </c>
      <c r="Y2010" s="152">
        <f t="shared" si="134"/>
        <v>3.0300000000000002</v>
      </c>
      <c r="Z2010" s="152">
        <f t="shared" si="138"/>
        <v>3.9408099999999999</v>
      </c>
      <c r="AA2010" s="153"/>
      <c r="AB2010" s="153"/>
      <c r="AC2010" s="153"/>
      <c r="AD2010" s="153"/>
      <c r="AH2010" s="147"/>
    </row>
    <row r="2011" spans="1:34" s="146" customFormat="1" x14ac:dyDescent="0.25">
      <c r="A2011" s="196">
        <v>1386</v>
      </c>
      <c r="B2011" s="196" t="s">
        <v>9813</v>
      </c>
      <c r="C2011" s="196" t="s">
        <v>9814</v>
      </c>
      <c r="D2011" s="196" t="s">
        <v>9815</v>
      </c>
      <c r="E2011" s="196"/>
      <c r="F2011" s="196">
        <v>1999</v>
      </c>
      <c r="G2011" s="196"/>
      <c r="H2011" s="196" t="s">
        <v>1878</v>
      </c>
      <c r="I2011" s="141" t="s">
        <v>1914</v>
      </c>
      <c r="J2011" s="196"/>
      <c r="K2011" s="196" t="s">
        <v>1881</v>
      </c>
      <c r="L2011" s="240"/>
      <c r="M2011" s="196">
        <v>188</v>
      </c>
      <c r="N2011" s="196"/>
      <c r="O2011" s="196" t="s">
        <v>9816</v>
      </c>
      <c r="P2011" s="144">
        <v>280</v>
      </c>
      <c r="Q2011" s="145">
        <f t="shared" si="133"/>
        <v>2.7408099999999997</v>
      </c>
      <c r="R2011" s="203">
        <v>1.2</v>
      </c>
      <c r="S2011" s="203">
        <v>1.9</v>
      </c>
      <c r="T2011" s="203"/>
      <c r="U2011" s="151">
        <v>2.2000000000000002</v>
      </c>
      <c r="V2011" s="151">
        <v>0.34</v>
      </c>
      <c r="W2011" s="151">
        <f t="shared" si="136"/>
        <v>1.143</v>
      </c>
      <c r="X2011" s="152">
        <f t="shared" si="137"/>
        <v>0.25780999999999998</v>
      </c>
      <c r="Y2011" s="152">
        <f t="shared" si="134"/>
        <v>1.9</v>
      </c>
      <c r="Z2011" s="152">
        <f t="shared" si="138"/>
        <v>3.9408099999999999</v>
      </c>
      <c r="AA2011" s="153"/>
      <c r="AB2011" s="153"/>
      <c r="AC2011" s="153"/>
      <c r="AD2011" s="153"/>
      <c r="AH2011" s="147"/>
    </row>
    <row r="2012" spans="1:34" s="146" customFormat="1" x14ac:dyDescent="0.25">
      <c r="A2012" s="196">
        <v>649</v>
      </c>
      <c r="B2012" s="196" t="s">
        <v>9817</v>
      </c>
      <c r="C2012" s="196" t="s">
        <v>9818</v>
      </c>
      <c r="D2012" s="196" t="s">
        <v>3606</v>
      </c>
      <c r="E2012" s="196"/>
      <c r="F2012" s="196"/>
      <c r="G2012" s="196"/>
      <c r="H2012" s="196" t="s">
        <v>1878</v>
      </c>
      <c r="I2012" s="141" t="s">
        <v>1879</v>
      </c>
      <c r="J2012" s="196"/>
      <c r="K2012" s="196" t="s">
        <v>1881</v>
      </c>
      <c r="L2012" s="240" t="s">
        <v>9819</v>
      </c>
      <c r="M2012" s="196">
        <v>95</v>
      </c>
      <c r="N2012" s="196"/>
      <c r="O2012" s="196" t="s">
        <v>9820</v>
      </c>
      <c r="P2012" s="144">
        <v>244</v>
      </c>
      <c r="Q2012" s="145">
        <f t="shared" si="133"/>
        <v>2.7408099999999997</v>
      </c>
      <c r="R2012" s="203">
        <v>1.2</v>
      </c>
      <c r="S2012" s="203">
        <v>2.4</v>
      </c>
      <c r="T2012" s="203"/>
      <c r="U2012" s="151">
        <v>2.2000000000000002</v>
      </c>
      <c r="V2012" s="151">
        <v>0.34</v>
      </c>
      <c r="W2012" s="151">
        <f t="shared" si="136"/>
        <v>1.143</v>
      </c>
      <c r="X2012" s="152">
        <f t="shared" si="137"/>
        <v>0.25780999999999998</v>
      </c>
      <c r="Y2012" s="152">
        <f t="shared" si="134"/>
        <v>2.4</v>
      </c>
      <c r="Z2012" s="152">
        <f t="shared" si="138"/>
        <v>3.9408099999999999</v>
      </c>
      <c r="AA2012" s="153"/>
      <c r="AB2012" s="153"/>
      <c r="AC2012" s="153"/>
      <c r="AD2012" s="153"/>
      <c r="AH2012" s="147"/>
    </row>
    <row r="2013" spans="1:34" s="146" customFormat="1" x14ac:dyDescent="0.25">
      <c r="A2013" s="196">
        <v>1386</v>
      </c>
      <c r="B2013" s="196" t="s">
        <v>9821</v>
      </c>
      <c r="C2013" s="196" t="s">
        <v>9822</v>
      </c>
      <c r="D2013" s="196" t="s">
        <v>2176</v>
      </c>
      <c r="E2013" s="196"/>
      <c r="F2013" s="196">
        <v>2009</v>
      </c>
      <c r="G2013" s="196"/>
      <c r="H2013" s="196" t="s">
        <v>2734</v>
      </c>
      <c r="I2013" s="141" t="s">
        <v>7527</v>
      </c>
      <c r="J2013" s="196"/>
      <c r="K2013" s="196" t="s">
        <v>1881</v>
      </c>
      <c r="L2013" s="240" t="s">
        <v>9823</v>
      </c>
      <c r="M2013" s="196">
        <v>253</v>
      </c>
      <c r="N2013" s="196"/>
      <c r="O2013" s="196" t="s">
        <v>9824</v>
      </c>
      <c r="P2013" s="144">
        <v>416</v>
      </c>
      <c r="Q2013" s="145">
        <f t="shared" si="133"/>
        <v>2.7408099999999997</v>
      </c>
      <c r="R2013" s="203">
        <v>1.2</v>
      </c>
      <c r="S2013" s="203">
        <v>1.64</v>
      </c>
      <c r="T2013" s="203"/>
      <c r="U2013" s="151">
        <v>2.2000000000000002</v>
      </c>
      <c r="V2013" s="151">
        <v>0.34</v>
      </c>
      <c r="W2013" s="151">
        <f t="shared" si="136"/>
        <v>1.143</v>
      </c>
      <c r="X2013" s="152">
        <f t="shared" si="137"/>
        <v>0.25780999999999998</v>
      </c>
      <c r="Y2013" s="152">
        <f t="shared" si="134"/>
        <v>1.64</v>
      </c>
      <c r="Z2013" s="152">
        <f t="shared" si="138"/>
        <v>3.9408099999999999</v>
      </c>
      <c r="AA2013" s="153"/>
      <c r="AB2013" s="153"/>
      <c r="AC2013" s="153"/>
      <c r="AD2013" s="153"/>
      <c r="AH2013" s="147"/>
    </row>
    <row r="2014" spans="1:34" s="146" customFormat="1" x14ac:dyDescent="0.25">
      <c r="A2014" s="196">
        <v>701</v>
      </c>
      <c r="B2014" s="196" t="s">
        <v>4638</v>
      </c>
      <c r="C2014" s="196" t="s">
        <v>9825</v>
      </c>
      <c r="D2014" s="196" t="s">
        <v>2926</v>
      </c>
      <c r="E2014" s="196" t="s">
        <v>2922</v>
      </c>
      <c r="F2014" s="196">
        <v>2010</v>
      </c>
      <c r="G2014" s="196"/>
      <c r="H2014" s="196" t="s">
        <v>1878</v>
      </c>
      <c r="I2014" s="141" t="s">
        <v>1879</v>
      </c>
      <c r="J2014" s="196"/>
      <c r="K2014" s="196" t="s">
        <v>1881</v>
      </c>
      <c r="L2014" s="240" t="s">
        <v>5064</v>
      </c>
      <c r="M2014" s="196">
        <v>303</v>
      </c>
      <c r="N2014" s="196"/>
      <c r="O2014" s="196" t="s">
        <v>9826</v>
      </c>
      <c r="P2014" s="144">
        <v>450</v>
      </c>
      <c r="Q2014" s="145">
        <f t="shared" si="133"/>
        <v>2.7408099999999997</v>
      </c>
      <c r="R2014" s="203">
        <v>1.2</v>
      </c>
      <c r="S2014" s="203">
        <v>1.65</v>
      </c>
      <c r="T2014" s="203"/>
      <c r="U2014" s="151">
        <v>2.2000000000000002</v>
      </c>
      <c r="V2014" s="151">
        <v>0.34</v>
      </c>
      <c r="W2014" s="151">
        <f t="shared" si="136"/>
        <v>1.143</v>
      </c>
      <c r="X2014" s="152">
        <f t="shared" si="137"/>
        <v>0.25780999999999998</v>
      </c>
      <c r="Y2014" s="152">
        <f t="shared" si="134"/>
        <v>1.65</v>
      </c>
      <c r="Z2014" s="152">
        <f t="shared" si="138"/>
        <v>3.9408099999999999</v>
      </c>
      <c r="AA2014" s="153"/>
      <c r="AB2014" s="153"/>
      <c r="AC2014" s="153"/>
      <c r="AD2014" s="153"/>
      <c r="AH2014" s="147"/>
    </row>
    <row r="2015" spans="1:34" s="146" customFormat="1" x14ac:dyDescent="0.25">
      <c r="A2015" s="196">
        <v>632</v>
      </c>
      <c r="B2015" s="196" t="s">
        <v>3154</v>
      </c>
      <c r="C2015" s="196" t="s">
        <v>9827</v>
      </c>
      <c r="D2015" s="196" t="s">
        <v>2209</v>
      </c>
      <c r="E2015" s="196"/>
      <c r="F2015" s="196">
        <v>2001</v>
      </c>
      <c r="G2015" s="196"/>
      <c r="H2015" s="196" t="s">
        <v>1878</v>
      </c>
      <c r="I2015" s="141" t="s">
        <v>1914</v>
      </c>
      <c r="J2015" s="196" t="s">
        <v>9196</v>
      </c>
      <c r="K2015" s="196" t="s">
        <v>1881</v>
      </c>
      <c r="L2015" s="240" t="s">
        <v>9828</v>
      </c>
      <c r="M2015" s="196">
        <v>378</v>
      </c>
      <c r="N2015" s="196"/>
      <c r="O2015" s="196" t="s">
        <v>9829</v>
      </c>
      <c r="P2015" s="144">
        <v>278</v>
      </c>
      <c r="Q2015" s="145">
        <f t="shared" si="133"/>
        <v>2.7408099999999997</v>
      </c>
      <c r="R2015" s="203">
        <v>1.2</v>
      </c>
      <c r="S2015" s="203">
        <v>2.1</v>
      </c>
      <c r="T2015" s="203"/>
      <c r="U2015" s="151">
        <v>2.2000000000000002</v>
      </c>
      <c r="V2015" s="151">
        <v>0.34</v>
      </c>
      <c r="W2015" s="151">
        <f t="shared" si="136"/>
        <v>1.143</v>
      </c>
      <c r="X2015" s="152">
        <f t="shared" si="137"/>
        <v>0.25780999999999998</v>
      </c>
      <c r="Y2015" s="152">
        <f t="shared" si="134"/>
        <v>2.1</v>
      </c>
      <c r="Z2015" s="152">
        <f t="shared" si="138"/>
        <v>3.9408099999999999</v>
      </c>
      <c r="AA2015" s="153"/>
      <c r="AB2015" s="153"/>
      <c r="AC2015" s="153"/>
      <c r="AD2015" s="153"/>
      <c r="AH2015" s="147"/>
    </row>
    <row r="2016" spans="1:34" s="146" customFormat="1" x14ac:dyDescent="0.25">
      <c r="A2016" s="196">
        <v>844</v>
      </c>
      <c r="B2016" s="196" t="s">
        <v>9830</v>
      </c>
      <c r="C2016" s="196" t="s">
        <v>9831</v>
      </c>
      <c r="D2016" s="196" t="s">
        <v>1979</v>
      </c>
      <c r="E2016" s="196"/>
      <c r="F2016" s="196"/>
      <c r="G2016" s="196"/>
      <c r="H2016" s="196" t="s">
        <v>2734</v>
      </c>
      <c r="I2016" s="141"/>
      <c r="J2016" s="196"/>
      <c r="K2016" s="196" t="s">
        <v>1881</v>
      </c>
      <c r="L2016" s="240" t="s">
        <v>9832</v>
      </c>
      <c r="M2016" s="196"/>
      <c r="N2016" s="196"/>
      <c r="O2016" s="196" t="s">
        <v>9833</v>
      </c>
      <c r="P2016" s="144">
        <v>255</v>
      </c>
      <c r="Q2016" s="145">
        <f t="shared" si="133"/>
        <v>12</v>
      </c>
      <c r="R2016" s="203">
        <v>1.2</v>
      </c>
      <c r="S2016" s="203">
        <v>13.2</v>
      </c>
      <c r="T2016" s="203"/>
      <c r="U2016" s="151">
        <v>2.2000000000000002</v>
      </c>
      <c r="V2016" s="151">
        <v>0.34</v>
      </c>
      <c r="W2016" s="151">
        <f t="shared" si="136"/>
        <v>1.143</v>
      </c>
      <c r="X2016" s="152">
        <f t="shared" si="137"/>
        <v>0.25780999999999998</v>
      </c>
      <c r="Y2016" s="152">
        <f t="shared" si="134"/>
        <v>13.2</v>
      </c>
      <c r="Z2016" s="152">
        <f t="shared" si="138"/>
        <v>3.9408099999999999</v>
      </c>
      <c r="AA2016" s="153"/>
      <c r="AB2016" s="153"/>
      <c r="AC2016" s="153"/>
      <c r="AD2016" s="153"/>
      <c r="AH2016" s="147"/>
    </row>
    <row r="2017" spans="1:34" s="146" customFormat="1" x14ac:dyDescent="0.25">
      <c r="A2017" s="196">
        <v>2547</v>
      </c>
      <c r="B2017" s="196" t="s">
        <v>9834</v>
      </c>
      <c r="C2017" s="196" t="s">
        <v>9835</v>
      </c>
      <c r="D2017" s="196" t="s">
        <v>2054</v>
      </c>
      <c r="E2017" s="196"/>
      <c r="F2017" s="196">
        <v>2000</v>
      </c>
      <c r="G2017" s="196"/>
      <c r="H2017" s="196" t="s">
        <v>1878</v>
      </c>
      <c r="I2017" s="141" t="s">
        <v>7527</v>
      </c>
      <c r="J2017" s="196"/>
      <c r="K2017" s="196" t="s">
        <v>1881</v>
      </c>
      <c r="L2017" s="240" t="s">
        <v>9836</v>
      </c>
      <c r="M2017" s="196">
        <v>318</v>
      </c>
      <c r="N2017" s="196"/>
      <c r="O2017" s="196" t="s">
        <v>9837</v>
      </c>
      <c r="P2017" s="144">
        <v>309</v>
      </c>
      <c r="Q2017" s="145">
        <f t="shared" si="133"/>
        <v>2.7408099999999997</v>
      </c>
      <c r="R2017" s="203">
        <v>1.2</v>
      </c>
      <c r="S2017" s="203">
        <v>1.4</v>
      </c>
      <c r="T2017" s="203"/>
      <c r="U2017" s="151">
        <v>2.2000000000000002</v>
      </c>
      <c r="V2017" s="151">
        <v>0.34</v>
      </c>
      <c r="W2017" s="151">
        <f t="shared" si="136"/>
        <v>1.143</v>
      </c>
      <c r="X2017" s="152">
        <f t="shared" si="137"/>
        <v>0.25780999999999998</v>
      </c>
      <c r="Y2017" s="152">
        <f t="shared" si="134"/>
        <v>1.4</v>
      </c>
      <c r="Z2017" s="152">
        <f t="shared" si="138"/>
        <v>3.9408099999999999</v>
      </c>
      <c r="AA2017" s="153"/>
      <c r="AB2017" s="153"/>
      <c r="AC2017" s="153"/>
      <c r="AD2017" s="153"/>
      <c r="AH2017" s="147"/>
    </row>
    <row r="2018" spans="1:34" s="146" customFormat="1" x14ac:dyDescent="0.25">
      <c r="A2018" s="196">
        <v>2553</v>
      </c>
      <c r="B2018" s="196" t="s">
        <v>2191</v>
      </c>
      <c r="C2018" s="196" t="s">
        <v>9838</v>
      </c>
      <c r="D2018" s="196" t="s">
        <v>1912</v>
      </c>
      <c r="E2018" s="196" t="s">
        <v>1899</v>
      </c>
      <c r="F2018" s="196">
        <v>2017</v>
      </c>
      <c r="G2018" s="196"/>
      <c r="H2018" s="196" t="s">
        <v>1878</v>
      </c>
      <c r="I2018" s="141" t="s">
        <v>1879</v>
      </c>
      <c r="J2018" s="196"/>
      <c r="K2018" s="196" t="s">
        <v>1881</v>
      </c>
      <c r="L2018" s="240" t="s">
        <v>9839</v>
      </c>
      <c r="M2018" s="196">
        <v>444</v>
      </c>
      <c r="N2018" s="196"/>
      <c r="O2018" s="196" t="s">
        <v>9840</v>
      </c>
      <c r="P2018" s="144">
        <v>403</v>
      </c>
      <c r="Q2018" s="145">
        <f t="shared" ref="Q2018:Q2073" si="139">IF(Y2018&gt;Z2018,Y2018,Z2018)-R2018</f>
        <v>2.7408099999999997</v>
      </c>
      <c r="R2018" s="203">
        <v>1.2</v>
      </c>
      <c r="S2018" s="203">
        <v>2.35</v>
      </c>
      <c r="T2018" s="203"/>
      <c r="U2018" s="151">
        <v>2.2000000000000002</v>
      </c>
      <c r="V2018" s="151">
        <v>0.34</v>
      </c>
      <c r="W2018" s="151">
        <f t="shared" si="136"/>
        <v>1.143</v>
      </c>
      <c r="X2018" s="152">
        <f t="shared" si="137"/>
        <v>0.25780999999999998</v>
      </c>
      <c r="Y2018" s="152">
        <f t="shared" si="134"/>
        <v>2.35</v>
      </c>
      <c r="Z2018" s="152">
        <f t="shared" si="138"/>
        <v>3.9408099999999999</v>
      </c>
      <c r="AA2018" s="153"/>
      <c r="AB2018" s="153"/>
      <c r="AC2018" s="153"/>
      <c r="AD2018" s="153"/>
      <c r="AH2018" s="147"/>
    </row>
    <row r="2019" spans="1:34" s="146" customFormat="1" x14ac:dyDescent="0.25">
      <c r="A2019" s="196">
        <v>2551</v>
      </c>
      <c r="B2019" s="196" t="s">
        <v>9841</v>
      </c>
      <c r="C2019" s="196" t="s">
        <v>9842</v>
      </c>
      <c r="D2019" s="196" t="s">
        <v>1876</v>
      </c>
      <c r="E2019" s="196" t="s">
        <v>2412</v>
      </c>
      <c r="F2019" s="196">
        <v>2017</v>
      </c>
      <c r="G2019" s="196"/>
      <c r="H2019" s="196" t="s">
        <v>1878</v>
      </c>
      <c r="I2019" s="141" t="s">
        <v>1929</v>
      </c>
      <c r="J2019" s="196"/>
      <c r="K2019" s="196" t="s">
        <v>1881</v>
      </c>
      <c r="L2019" s="240" t="s">
        <v>9843</v>
      </c>
      <c r="M2019" s="196">
        <v>413</v>
      </c>
      <c r="N2019" s="196"/>
      <c r="O2019" s="196" t="s">
        <v>9844</v>
      </c>
      <c r="P2019" s="144">
        <v>503</v>
      </c>
      <c r="Q2019" s="145">
        <f t="shared" si="139"/>
        <v>2.2408099999999997</v>
      </c>
      <c r="R2019" s="203">
        <v>1.7</v>
      </c>
      <c r="S2019" s="203">
        <v>2.9</v>
      </c>
      <c r="T2019" s="203"/>
      <c r="U2019" s="151">
        <v>2.2000000000000002</v>
      </c>
      <c r="V2019" s="151">
        <v>0.34</v>
      </c>
      <c r="W2019" s="151">
        <f t="shared" si="136"/>
        <v>1.143</v>
      </c>
      <c r="X2019" s="152">
        <f t="shared" si="137"/>
        <v>0.25780999999999998</v>
      </c>
      <c r="Y2019" s="152">
        <f t="shared" si="134"/>
        <v>2.9</v>
      </c>
      <c r="Z2019" s="152">
        <f t="shared" si="138"/>
        <v>3.9408099999999999</v>
      </c>
      <c r="AA2019" s="153"/>
      <c r="AB2019" s="153"/>
      <c r="AC2019" s="153"/>
      <c r="AD2019" s="153"/>
      <c r="AH2019" s="147"/>
    </row>
    <row r="2020" spans="1:34" s="146" customFormat="1" x14ac:dyDescent="0.25">
      <c r="A2020" s="196">
        <v>612</v>
      </c>
      <c r="B2020" s="196" t="s">
        <v>9845</v>
      </c>
      <c r="C2020" s="196" t="s">
        <v>9846</v>
      </c>
      <c r="D2020" s="196" t="s">
        <v>2209</v>
      </c>
      <c r="E2020" s="196"/>
      <c r="F2020" s="196">
        <v>1993</v>
      </c>
      <c r="G2020" s="196"/>
      <c r="H2020" s="196" t="s">
        <v>1878</v>
      </c>
      <c r="I2020" s="141" t="s">
        <v>1914</v>
      </c>
      <c r="J2020" s="196"/>
      <c r="K2020" s="196" t="s">
        <v>1881</v>
      </c>
      <c r="L2020" s="240" t="s">
        <v>9847</v>
      </c>
      <c r="M2020" s="196">
        <v>198</v>
      </c>
      <c r="N2020" s="196"/>
      <c r="O2020" s="196" t="s">
        <v>9848</v>
      </c>
      <c r="P2020" s="144">
        <v>212</v>
      </c>
      <c r="Q2020" s="145">
        <f t="shared" si="139"/>
        <v>2.7408099999999997</v>
      </c>
      <c r="R2020" s="203">
        <v>1.2</v>
      </c>
      <c r="S2020" s="203">
        <v>2.85</v>
      </c>
      <c r="T2020" s="203"/>
      <c r="U2020" s="151">
        <v>2.2000000000000002</v>
      </c>
      <c r="V2020" s="151">
        <v>0.34</v>
      </c>
      <c r="W2020" s="151">
        <f t="shared" si="136"/>
        <v>1.143</v>
      </c>
      <c r="X2020" s="152">
        <f t="shared" si="137"/>
        <v>0.25780999999999998</v>
      </c>
      <c r="Y2020" s="152">
        <f t="shared" si="134"/>
        <v>2.85</v>
      </c>
      <c r="Z2020" s="152">
        <f t="shared" si="138"/>
        <v>3.9408099999999999</v>
      </c>
      <c r="AA2020" s="153"/>
      <c r="AB2020" s="153"/>
      <c r="AC2020" s="153"/>
      <c r="AD2020" s="153"/>
      <c r="AH2020" s="147"/>
    </row>
    <row r="2021" spans="1:34" s="146" customFormat="1" x14ac:dyDescent="0.25">
      <c r="A2021" s="196">
        <v>2576</v>
      </c>
      <c r="B2021" s="196" t="s">
        <v>3808</v>
      </c>
      <c r="C2021" s="196" t="s">
        <v>9171</v>
      </c>
      <c r="D2021" s="196" t="s">
        <v>807</v>
      </c>
      <c r="E2021" s="196"/>
      <c r="F2021" s="196">
        <v>2005</v>
      </c>
      <c r="G2021" s="196"/>
      <c r="H2021" s="196" t="s">
        <v>1878</v>
      </c>
      <c r="I2021" s="141" t="s">
        <v>7527</v>
      </c>
      <c r="J2021" s="196"/>
      <c r="K2021" s="196" t="s">
        <v>1881</v>
      </c>
      <c r="L2021" s="240" t="s">
        <v>9172</v>
      </c>
      <c r="M2021" s="196"/>
      <c r="N2021" s="196"/>
      <c r="O2021" s="196" t="s">
        <v>9849</v>
      </c>
      <c r="P2021" s="144">
        <v>499</v>
      </c>
      <c r="Q2021" s="145">
        <f t="shared" si="139"/>
        <v>2.7408099999999997</v>
      </c>
      <c r="R2021" s="203">
        <v>1.2</v>
      </c>
      <c r="S2021" s="203">
        <v>1.95</v>
      </c>
      <c r="T2021" s="203"/>
      <c r="U2021" s="151">
        <v>2.2000000000000002</v>
      </c>
      <c r="V2021" s="151">
        <v>0.34</v>
      </c>
      <c r="W2021" s="151">
        <f t="shared" si="136"/>
        <v>1.143</v>
      </c>
      <c r="X2021" s="152">
        <f t="shared" si="137"/>
        <v>0.25780999999999998</v>
      </c>
      <c r="Y2021" s="152">
        <f t="shared" si="134"/>
        <v>1.95</v>
      </c>
      <c r="Z2021" s="152">
        <f t="shared" si="138"/>
        <v>3.9408099999999999</v>
      </c>
      <c r="AA2021" s="153"/>
      <c r="AB2021" s="153"/>
      <c r="AC2021" s="153"/>
      <c r="AD2021" s="153"/>
      <c r="AH2021" s="147"/>
    </row>
    <row r="2022" spans="1:34" s="146" customFormat="1" x14ac:dyDescent="0.25">
      <c r="A2022" s="196">
        <v>631</v>
      </c>
      <c r="B2022" s="196" t="s">
        <v>9850</v>
      </c>
      <c r="C2022" s="196" t="s">
        <v>9851</v>
      </c>
      <c r="D2022" s="196" t="s">
        <v>2209</v>
      </c>
      <c r="E2022" s="196"/>
      <c r="F2022" s="196">
        <v>2004</v>
      </c>
      <c r="G2022" s="196"/>
      <c r="H2022" s="196" t="s">
        <v>1878</v>
      </c>
      <c r="I2022" s="141" t="s">
        <v>1879</v>
      </c>
      <c r="J2022" s="196"/>
      <c r="K2022" s="196" t="s">
        <v>1881</v>
      </c>
      <c r="L2022" s="240" t="s">
        <v>9852</v>
      </c>
      <c r="M2022" s="196">
        <v>288</v>
      </c>
      <c r="N2022" s="196"/>
      <c r="O2022" s="196" t="s">
        <v>9853</v>
      </c>
      <c r="P2022" s="144">
        <v>274</v>
      </c>
      <c r="Q2022" s="145">
        <f t="shared" si="139"/>
        <v>2.7408099999999997</v>
      </c>
      <c r="R2022" s="203">
        <v>1.2</v>
      </c>
      <c r="S2022" s="203">
        <v>1.9</v>
      </c>
      <c r="T2022" s="203"/>
      <c r="U2022" s="151">
        <v>2.2000000000000002</v>
      </c>
      <c r="V2022" s="151">
        <v>0.34</v>
      </c>
      <c r="W2022" s="151">
        <f t="shared" si="136"/>
        <v>1.143</v>
      </c>
      <c r="X2022" s="152">
        <f t="shared" si="137"/>
        <v>0.25780999999999998</v>
      </c>
      <c r="Y2022" s="152">
        <f t="shared" si="134"/>
        <v>1.9</v>
      </c>
      <c r="Z2022" s="152">
        <f t="shared" si="138"/>
        <v>3.9408099999999999</v>
      </c>
      <c r="AA2022" s="153"/>
      <c r="AB2022" s="153"/>
      <c r="AC2022" s="153"/>
      <c r="AD2022" s="153"/>
      <c r="AH2022" s="147"/>
    </row>
    <row r="2023" spans="1:34" s="146" customFormat="1" x14ac:dyDescent="0.25">
      <c r="A2023" s="196">
        <v>1386</v>
      </c>
      <c r="B2023" s="196" t="s">
        <v>9858</v>
      </c>
      <c r="C2023" s="196" t="s">
        <v>9859</v>
      </c>
      <c r="D2023" s="196" t="s">
        <v>3077</v>
      </c>
      <c r="E2023" s="196" t="s">
        <v>1877</v>
      </c>
      <c r="F2023" s="196">
        <v>2013</v>
      </c>
      <c r="G2023" s="196"/>
      <c r="H2023" s="196" t="s">
        <v>1878</v>
      </c>
      <c r="I2023" s="141" t="s">
        <v>1879</v>
      </c>
      <c r="J2023" s="196" t="s">
        <v>9196</v>
      </c>
      <c r="K2023" s="196" t="s">
        <v>1881</v>
      </c>
      <c r="L2023" s="240" t="s">
        <v>9860</v>
      </c>
      <c r="M2023" s="196">
        <v>414</v>
      </c>
      <c r="N2023" s="196"/>
      <c r="O2023" s="196" t="s">
        <v>9861</v>
      </c>
      <c r="P2023" s="144">
        <v>359</v>
      </c>
      <c r="Q2023" s="145">
        <f t="shared" si="139"/>
        <v>2.7408099999999997</v>
      </c>
      <c r="R2023" s="203">
        <v>1.2</v>
      </c>
      <c r="S2023" s="203">
        <v>3.1</v>
      </c>
      <c r="T2023" s="203"/>
      <c r="U2023" s="151">
        <v>2.2000000000000002</v>
      </c>
      <c r="V2023" s="151">
        <v>0.34</v>
      </c>
      <c r="W2023" s="151">
        <f t="shared" si="136"/>
        <v>1.143</v>
      </c>
      <c r="X2023" s="152">
        <f t="shared" si="137"/>
        <v>0.25780999999999998</v>
      </c>
      <c r="Y2023" s="152">
        <f t="shared" si="134"/>
        <v>3.1</v>
      </c>
      <c r="Z2023" s="152">
        <f t="shared" si="138"/>
        <v>3.9408099999999999</v>
      </c>
      <c r="AA2023" s="153"/>
      <c r="AB2023" s="153"/>
      <c r="AC2023" s="153"/>
      <c r="AD2023" s="153"/>
      <c r="AH2023" s="147"/>
    </row>
    <row r="2024" spans="1:34" s="146" customFormat="1" x14ac:dyDescent="0.25">
      <c r="A2024" s="196">
        <v>692</v>
      </c>
      <c r="B2024" s="196" t="s">
        <v>9862</v>
      </c>
      <c r="C2024" s="196" t="s">
        <v>9863</v>
      </c>
      <c r="D2024" s="196" t="s">
        <v>2609</v>
      </c>
      <c r="E2024" s="196"/>
      <c r="F2024" s="196">
        <v>2016</v>
      </c>
      <c r="G2024" s="196"/>
      <c r="H2024" s="196" t="s">
        <v>1878</v>
      </c>
      <c r="I2024" s="141" t="s">
        <v>1914</v>
      </c>
      <c r="J2024" s="196"/>
      <c r="K2024" s="196" t="s">
        <v>1881</v>
      </c>
      <c r="L2024" s="240" t="s">
        <v>9864</v>
      </c>
      <c r="M2024" s="196">
        <v>286</v>
      </c>
      <c r="N2024" s="196"/>
      <c r="O2024" s="196" t="s">
        <v>9865</v>
      </c>
      <c r="P2024" s="144">
        <v>255</v>
      </c>
      <c r="Q2024" s="145">
        <f t="shared" si="139"/>
        <v>2.7408099999999997</v>
      </c>
      <c r="R2024" s="203">
        <v>1.2</v>
      </c>
      <c r="S2024" s="203">
        <v>2.35</v>
      </c>
      <c r="T2024" s="203"/>
      <c r="U2024" s="151">
        <v>2.2000000000000002</v>
      </c>
      <c r="V2024" s="151">
        <v>0.34</v>
      </c>
      <c r="W2024" s="151">
        <f t="shared" si="136"/>
        <v>1.143</v>
      </c>
      <c r="X2024" s="152">
        <f t="shared" si="137"/>
        <v>0.25780999999999998</v>
      </c>
      <c r="Y2024" s="152">
        <f t="shared" si="134"/>
        <v>2.35</v>
      </c>
      <c r="Z2024" s="152">
        <f t="shared" si="138"/>
        <v>3.9408099999999999</v>
      </c>
      <c r="AA2024" s="153"/>
      <c r="AB2024" s="153"/>
      <c r="AC2024" s="153"/>
      <c r="AD2024" s="153"/>
      <c r="AH2024" s="147"/>
    </row>
    <row r="2025" spans="1:34" s="146" customFormat="1" x14ac:dyDescent="0.25">
      <c r="A2025" s="196">
        <v>2547</v>
      </c>
      <c r="B2025" s="196" t="s">
        <v>9866</v>
      </c>
      <c r="C2025" s="196" t="s">
        <v>9867</v>
      </c>
      <c r="D2025" s="196" t="s">
        <v>5005</v>
      </c>
      <c r="E2025" s="196"/>
      <c r="F2025" s="196">
        <v>2007</v>
      </c>
      <c r="G2025" s="196"/>
      <c r="H2025" s="196" t="s">
        <v>2734</v>
      </c>
      <c r="I2025" s="141" t="s">
        <v>1879</v>
      </c>
      <c r="J2025" s="196"/>
      <c r="K2025" s="196" t="s">
        <v>1881</v>
      </c>
      <c r="L2025" s="240"/>
      <c r="M2025" s="196">
        <v>383</v>
      </c>
      <c r="N2025" s="196"/>
      <c r="O2025" s="196" t="s">
        <v>9868</v>
      </c>
      <c r="P2025" s="144">
        <v>485</v>
      </c>
      <c r="Q2025" s="145">
        <f t="shared" si="139"/>
        <v>2.7408099999999997</v>
      </c>
      <c r="R2025" s="203">
        <v>1.2</v>
      </c>
      <c r="S2025" s="203">
        <v>2.0499999999999998</v>
      </c>
      <c r="T2025" s="203"/>
      <c r="U2025" s="151">
        <v>2.2000000000000002</v>
      </c>
      <c r="V2025" s="151">
        <v>0.34</v>
      </c>
      <c r="W2025" s="151">
        <f t="shared" si="136"/>
        <v>1.143</v>
      </c>
      <c r="X2025" s="152">
        <f t="shared" si="137"/>
        <v>0.25780999999999998</v>
      </c>
      <c r="Y2025" s="152">
        <f t="shared" si="134"/>
        <v>2.0499999999999998</v>
      </c>
      <c r="Z2025" s="152">
        <f t="shared" si="138"/>
        <v>3.9408099999999999</v>
      </c>
      <c r="AA2025" s="153"/>
      <c r="AB2025" s="153"/>
      <c r="AC2025" s="153"/>
      <c r="AD2025" s="153"/>
      <c r="AH2025" s="147"/>
    </row>
    <row r="2026" spans="1:34" s="146" customFormat="1" x14ac:dyDescent="0.25">
      <c r="A2026" s="196">
        <v>691</v>
      </c>
      <c r="B2026" s="196" t="s">
        <v>4725</v>
      </c>
      <c r="C2026" s="196" t="s">
        <v>9869</v>
      </c>
      <c r="D2026" s="196" t="s">
        <v>9870</v>
      </c>
      <c r="E2026" s="196"/>
      <c r="F2026" s="196"/>
      <c r="G2026" s="196"/>
      <c r="H2026" s="196" t="s">
        <v>2734</v>
      </c>
      <c r="I2026" s="141" t="s">
        <v>1879</v>
      </c>
      <c r="J2026" s="196"/>
      <c r="K2026" s="196" t="s">
        <v>1881</v>
      </c>
      <c r="L2026" s="240" t="s">
        <v>9871</v>
      </c>
      <c r="M2026" s="196">
        <v>121</v>
      </c>
      <c r="N2026" s="196"/>
      <c r="O2026" s="196" t="s">
        <v>9872</v>
      </c>
      <c r="P2026" s="144">
        <v>200</v>
      </c>
      <c r="Q2026" s="145">
        <f t="shared" si="139"/>
        <v>2.7408099999999997</v>
      </c>
      <c r="R2026" s="203">
        <v>1.2</v>
      </c>
      <c r="S2026" s="203">
        <v>1.65</v>
      </c>
      <c r="T2026" s="203"/>
      <c r="U2026" s="151">
        <v>2.2000000000000002</v>
      </c>
      <c r="V2026" s="151">
        <v>0.34</v>
      </c>
      <c r="W2026" s="151">
        <f t="shared" si="136"/>
        <v>1.143</v>
      </c>
      <c r="X2026" s="152">
        <f t="shared" si="137"/>
        <v>0.25780999999999998</v>
      </c>
      <c r="Y2026" s="152">
        <f t="shared" si="134"/>
        <v>1.65</v>
      </c>
      <c r="Z2026" s="152">
        <f t="shared" si="138"/>
        <v>3.9408099999999999</v>
      </c>
      <c r="AA2026" s="153"/>
      <c r="AB2026" s="153"/>
      <c r="AC2026" s="153"/>
      <c r="AD2026" s="153"/>
      <c r="AH2026" s="147"/>
    </row>
    <row r="2027" spans="1:34" s="146" customFormat="1" x14ac:dyDescent="0.25">
      <c r="A2027" s="196">
        <v>1315</v>
      </c>
      <c r="B2027" s="196" t="s">
        <v>7746</v>
      </c>
      <c r="C2027" s="196" t="s">
        <v>9873</v>
      </c>
      <c r="D2027" s="196" t="s">
        <v>9874</v>
      </c>
      <c r="E2027" s="196"/>
      <c r="F2027" s="196">
        <v>2014</v>
      </c>
      <c r="G2027" s="196"/>
      <c r="H2027" s="196" t="s">
        <v>2734</v>
      </c>
      <c r="I2027" s="141" t="s">
        <v>1879</v>
      </c>
      <c r="J2027" s="196"/>
      <c r="K2027" s="196" t="s">
        <v>1881</v>
      </c>
      <c r="L2027" s="240" t="s">
        <v>9875</v>
      </c>
      <c r="M2027" s="196">
        <v>256</v>
      </c>
      <c r="N2027" s="196"/>
      <c r="O2027" s="196" t="s">
        <v>9876</v>
      </c>
      <c r="P2027" s="144">
        <v>250</v>
      </c>
      <c r="Q2027" s="145">
        <f t="shared" si="139"/>
        <v>2.7408099999999997</v>
      </c>
      <c r="R2027" s="203">
        <v>1.2</v>
      </c>
      <c r="S2027" s="203"/>
      <c r="T2027" s="203"/>
      <c r="U2027" s="151">
        <v>2.2000000000000002</v>
      </c>
      <c r="V2027" s="151">
        <v>0.34</v>
      </c>
      <c r="W2027" s="151">
        <f t="shared" si="136"/>
        <v>1.143</v>
      </c>
      <c r="X2027" s="152">
        <f t="shared" si="137"/>
        <v>0.25780999999999998</v>
      </c>
      <c r="Y2027" s="152">
        <f t="shared" si="134"/>
        <v>0</v>
      </c>
      <c r="Z2027" s="152">
        <f t="shared" si="138"/>
        <v>3.9408099999999999</v>
      </c>
      <c r="AA2027" s="153"/>
      <c r="AB2027" s="153"/>
      <c r="AC2027" s="153"/>
      <c r="AD2027" s="153"/>
      <c r="AH2027" s="147"/>
    </row>
    <row r="2028" spans="1:34" s="146" customFormat="1" x14ac:dyDescent="0.25">
      <c r="A2028" s="196">
        <v>1315</v>
      </c>
      <c r="B2028" s="196" t="s">
        <v>7746</v>
      </c>
      <c r="C2028" s="196" t="s">
        <v>9877</v>
      </c>
      <c r="D2028" s="196" t="s">
        <v>9874</v>
      </c>
      <c r="E2028" s="196"/>
      <c r="F2028" s="196">
        <v>2014</v>
      </c>
      <c r="G2028" s="196"/>
      <c r="H2028" s="196" t="s">
        <v>2734</v>
      </c>
      <c r="I2028" s="141" t="s">
        <v>1879</v>
      </c>
      <c r="J2028" s="196"/>
      <c r="K2028" s="196" t="s">
        <v>1881</v>
      </c>
      <c r="L2028" s="240" t="s">
        <v>9875</v>
      </c>
      <c r="M2028" s="196">
        <v>255</v>
      </c>
      <c r="N2028" s="196"/>
      <c r="O2028" s="196" t="s">
        <v>9878</v>
      </c>
      <c r="P2028" s="144">
        <v>249</v>
      </c>
      <c r="Q2028" s="145">
        <f t="shared" si="139"/>
        <v>2.7408099999999997</v>
      </c>
      <c r="R2028" s="203">
        <v>1.2</v>
      </c>
      <c r="S2028" s="203"/>
      <c r="T2028" s="203"/>
      <c r="U2028" s="151">
        <v>2.2000000000000002</v>
      </c>
      <c r="V2028" s="151">
        <v>0.34</v>
      </c>
      <c r="W2028" s="151">
        <f t="shared" si="136"/>
        <v>1.143</v>
      </c>
      <c r="X2028" s="152">
        <f t="shared" si="137"/>
        <v>0.25780999999999998</v>
      </c>
      <c r="Y2028" s="152">
        <f t="shared" si="134"/>
        <v>0</v>
      </c>
      <c r="Z2028" s="152">
        <f t="shared" si="138"/>
        <v>3.9408099999999999</v>
      </c>
      <c r="AA2028" s="153"/>
      <c r="AB2028" s="153"/>
      <c r="AC2028" s="153"/>
      <c r="AD2028" s="153"/>
      <c r="AH2028" s="147"/>
    </row>
    <row r="2029" spans="1:34" s="146" customFormat="1" x14ac:dyDescent="0.25">
      <c r="A2029" s="196">
        <v>1984</v>
      </c>
      <c r="B2029" s="196" t="s">
        <v>9879</v>
      </c>
      <c r="C2029" s="196" t="s">
        <v>9831</v>
      </c>
      <c r="D2029" s="196" t="s">
        <v>1979</v>
      </c>
      <c r="E2029" s="196"/>
      <c r="F2029" s="196"/>
      <c r="G2029" s="196"/>
      <c r="H2029" s="196" t="s">
        <v>2734</v>
      </c>
      <c r="I2029" s="141" t="s">
        <v>1879</v>
      </c>
      <c r="J2029" s="196"/>
      <c r="K2029" s="196" t="s">
        <v>1881</v>
      </c>
      <c r="L2029" s="240" t="s">
        <v>9832</v>
      </c>
      <c r="M2029" s="196"/>
      <c r="N2029" s="196"/>
      <c r="O2029" s="196" t="s">
        <v>9880</v>
      </c>
      <c r="P2029" s="144">
        <v>513</v>
      </c>
      <c r="Q2029" s="145">
        <f t="shared" si="139"/>
        <v>11.5</v>
      </c>
      <c r="R2029" s="203">
        <v>1.7</v>
      </c>
      <c r="S2029" s="203">
        <v>13.2</v>
      </c>
      <c r="T2029" s="203"/>
      <c r="U2029" s="151">
        <v>2.2000000000000002</v>
      </c>
      <c r="V2029" s="151">
        <v>0.34</v>
      </c>
      <c r="W2029" s="151">
        <f t="shared" si="136"/>
        <v>1.143</v>
      </c>
      <c r="X2029" s="152">
        <f t="shared" si="137"/>
        <v>0.25780999999999998</v>
      </c>
      <c r="Y2029" s="152">
        <f t="shared" si="134"/>
        <v>13.2</v>
      </c>
      <c r="Z2029" s="152">
        <f t="shared" si="138"/>
        <v>3.9408099999999999</v>
      </c>
      <c r="AA2029" s="153"/>
      <c r="AB2029" s="153"/>
      <c r="AC2029" s="153"/>
      <c r="AD2029" s="153"/>
      <c r="AH2029" s="147"/>
    </row>
    <row r="2030" spans="1:34" s="146" customFormat="1" x14ac:dyDescent="0.25">
      <c r="A2030" s="196">
        <v>796</v>
      </c>
      <c r="B2030" s="196" t="s">
        <v>6242</v>
      </c>
      <c r="C2030" s="196" t="s">
        <v>9885</v>
      </c>
      <c r="D2030" s="196" t="s">
        <v>1912</v>
      </c>
      <c r="E2030" s="196" t="s">
        <v>1913</v>
      </c>
      <c r="F2030" s="196">
        <v>2008</v>
      </c>
      <c r="G2030" s="196"/>
      <c r="H2030" s="196" t="s">
        <v>1878</v>
      </c>
      <c r="I2030" s="141" t="s">
        <v>1879</v>
      </c>
      <c r="J2030" s="196"/>
      <c r="K2030" s="196" t="s">
        <v>1881</v>
      </c>
      <c r="L2030" s="240" t="s">
        <v>9886</v>
      </c>
      <c r="M2030" s="196">
        <v>410</v>
      </c>
      <c r="N2030" s="196"/>
      <c r="O2030" s="196" t="s">
        <v>9887</v>
      </c>
      <c r="P2030" s="144">
        <v>341</v>
      </c>
      <c r="Q2030" s="145">
        <f t="shared" si="139"/>
        <v>2.7408099999999997</v>
      </c>
      <c r="R2030" s="203">
        <v>1.2</v>
      </c>
      <c r="S2030" s="203">
        <v>1.95</v>
      </c>
      <c r="T2030" s="203"/>
      <c r="U2030" s="151">
        <v>2.2000000000000002</v>
      </c>
      <c r="V2030" s="151">
        <v>0.34</v>
      </c>
      <c r="W2030" s="151">
        <f t="shared" si="136"/>
        <v>1.143</v>
      </c>
      <c r="X2030" s="152">
        <f t="shared" si="137"/>
        <v>0.25780999999999998</v>
      </c>
      <c r="Y2030" s="152">
        <f t="shared" ref="Y2030:Y2035" si="140">S2030</f>
        <v>1.95</v>
      </c>
      <c r="Z2030" s="152">
        <f t="shared" si="138"/>
        <v>3.9408099999999999</v>
      </c>
      <c r="AA2030" s="153"/>
      <c r="AB2030" s="153"/>
      <c r="AC2030" s="153"/>
      <c r="AD2030" s="153"/>
      <c r="AH2030" s="147"/>
    </row>
    <row r="2031" spans="1:34" s="146" customFormat="1" x14ac:dyDescent="0.25">
      <c r="A2031" s="196">
        <v>735</v>
      </c>
      <c r="B2031" s="196" t="s">
        <v>9881</v>
      </c>
      <c r="C2031" s="196" t="s">
        <v>9888</v>
      </c>
      <c r="D2031" s="196" t="s">
        <v>3077</v>
      </c>
      <c r="E2031" s="196" t="s">
        <v>1913</v>
      </c>
      <c r="F2031" s="196">
        <v>2015</v>
      </c>
      <c r="G2031" s="196"/>
      <c r="H2031" s="196" t="s">
        <v>1878</v>
      </c>
      <c r="I2031" s="141" t="s">
        <v>1929</v>
      </c>
      <c r="J2031" s="196"/>
      <c r="K2031" s="196" t="s">
        <v>1881</v>
      </c>
      <c r="L2031" s="240" t="s">
        <v>9889</v>
      </c>
      <c r="M2031" s="196">
        <v>541</v>
      </c>
      <c r="N2031" s="196"/>
      <c r="O2031" s="196" t="s">
        <v>9890</v>
      </c>
      <c r="P2031" s="144">
        <v>443</v>
      </c>
      <c r="Q2031" s="145">
        <f t="shared" si="139"/>
        <v>2.7408099999999997</v>
      </c>
      <c r="R2031" s="203">
        <v>1.2</v>
      </c>
      <c r="S2031" s="203">
        <v>3.2</v>
      </c>
      <c r="T2031" s="203"/>
      <c r="U2031" s="151">
        <v>2.2000000000000002</v>
      </c>
      <c r="V2031" s="151">
        <v>0.34</v>
      </c>
      <c r="W2031" s="151">
        <f t="shared" si="136"/>
        <v>1.143</v>
      </c>
      <c r="X2031" s="152">
        <f t="shared" si="137"/>
        <v>0.25780999999999998</v>
      </c>
      <c r="Y2031" s="152">
        <f t="shared" si="140"/>
        <v>3.2</v>
      </c>
      <c r="Z2031" s="152">
        <f t="shared" si="138"/>
        <v>3.9408099999999999</v>
      </c>
      <c r="AA2031" s="153"/>
      <c r="AB2031" s="153"/>
      <c r="AC2031" s="153"/>
      <c r="AD2031" s="153"/>
      <c r="AH2031" s="147"/>
    </row>
    <row r="2032" spans="1:34" s="146" customFormat="1" x14ac:dyDescent="0.25">
      <c r="A2032" s="196">
        <v>2547</v>
      </c>
      <c r="B2032" s="196" t="s">
        <v>9891</v>
      </c>
      <c r="C2032" s="196" t="s">
        <v>9892</v>
      </c>
      <c r="D2032" s="196" t="s">
        <v>9893</v>
      </c>
      <c r="E2032" s="196" t="s">
        <v>2175</v>
      </c>
      <c r="F2032" s="196">
        <v>2008</v>
      </c>
      <c r="G2032" s="196"/>
      <c r="H2032" s="196" t="s">
        <v>1878</v>
      </c>
      <c r="I2032" s="141" t="s">
        <v>1879</v>
      </c>
      <c r="J2032" s="196"/>
      <c r="K2032" s="196" t="s">
        <v>1881</v>
      </c>
      <c r="L2032" s="240" t="s">
        <v>9894</v>
      </c>
      <c r="M2032" s="196">
        <v>430</v>
      </c>
      <c r="N2032" s="196"/>
      <c r="O2032" s="196" t="s">
        <v>9895</v>
      </c>
      <c r="P2032" s="144">
        <v>300</v>
      </c>
      <c r="Q2032" s="145">
        <f t="shared" si="139"/>
        <v>2.7408099999999997</v>
      </c>
      <c r="R2032" s="203">
        <v>1.2</v>
      </c>
      <c r="S2032" s="203">
        <v>1.9</v>
      </c>
      <c r="T2032" s="203"/>
      <c r="U2032" s="151">
        <v>2.2000000000000002</v>
      </c>
      <c r="V2032" s="151">
        <v>0.34</v>
      </c>
      <c r="W2032" s="151">
        <f t="shared" si="136"/>
        <v>1.143</v>
      </c>
      <c r="X2032" s="152">
        <f t="shared" si="137"/>
        <v>0.25780999999999998</v>
      </c>
      <c r="Y2032" s="152">
        <f t="shared" si="140"/>
        <v>1.9</v>
      </c>
      <c r="Z2032" s="152">
        <f t="shared" si="138"/>
        <v>3.9408099999999999</v>
      </c>
      <c r="AA2032" s="153"/>
      <c r="AB2032" s="153"/>
      <c r="AC2032" s="153"/>
      <c r="AD2032" s="153"/>
      <c r="AH2032" s="147"/>
    </row>
    <row r="2033" spans="1:34" s="146" customFormat="1" x14ac:dyDescent="0.25">
      <c r="A2033" s="196">
        <v>1339</v>
      </c>
      <c r="B2033" s="196" t="s">
        <v>9896</v>
      </c>
      <c r="C2033" s="196" t="s">
        <v>9897</v>
      </c>
      <c r="D2033" s="196" t="s">
        <v>9898</v>
      </c>
      <c r="E2033" s="196"/>
      <c r="F2033" s="196">
        <v>2011</v>
      </c>
      <c r="G2033" s="196"/>
      <c r="H2033" s="196" t="s">
        <v>2734</v>
      </c>
      <c r="I2033" s="141" t="s">
        <v>1929</v>
      </c>
      <c r="J2033" s="196"/>
      <c r="K2033" s="196" t="s">
        <v>1881</v>
      </c>
      <c r="L2033" s="240" t="s">
        <v>9899</v>
      </c>
      <c r="M2033" s="196">
        <v>285</v>
      </c>
      <c r="N2033" s="196"/>
      <c r="O2033" s="196" t="s">
        <v>9900</v>
      </c>
      <c r="P2033" s="144">
        <v>827</v>
      </c>
      <c r="Q2033" s="145">
        <f t="shared" si="139"/>
        <v>3.3</v>
      </c>
      <c r="R2033" s="203">
        <v>1.7</v>
      </c>
      <c r="S2033" s="203">
        <v>5</v>
      </c>
      <c r="T2033" s="203"/>
      <c r="U2033" s="151">
        <v>2.2000000000000002</v>
      </c>
      <c r="V2033" s="151">
        <v>0.34</v>
      </c>
      <c r="W2033" s="151">
        <f t="shared" si="136"/>
        <v>1.143</v>
      </c>
      <c r="X2033" s="152">
        <f t="shared" si="137"/>
        <v>0.25780999999999998</v>
      </c>
      <c r="Y2033" s="152">
        <f t="shared" si="140"/>
        <v>5</v>
      </c>
      <c r="Z2033" s="152">
        <f t="shared" si="138"/>
        <v>3.9408099999999999</v>
      </c>
      <c r="AA2033" s="153"/>
      <c r="AB2033" s="153"/>
      <c r="AC2033" s="153"/>
      <c r="AD2033" s="153"/>
      <c r="AH2033" s="147"/>
    </row>
    <row r="2034" spans="1:34" s="146" customFormat="1" x14ac:dyDescent="0.25">
      <c r="A2034" s="196">
        <v>1339</v>
      </c>
      <c r="B2034" s="196" t="s">
        <v>9901</v>
      </c>
      <c r="C2034" s="196" t="s">
        <v>9902</v>
      </c>
      <c r="D2034" s="196" t="s">
        <v>9763</v>
      </c>
      <c r="E2034" s="196"/>
      <c r="F2034" s="196">
        <v>2010</v>
      </c>
      <c r="G2034" s="196"/>
      <c r="H2034" s="196" t="s">
        <v>1878</v>
      </c>
      <c r="I2034" s="141" t="s">
        <v>1929</v>
      </c>
      <c r="J2034" s="196"/>
      <c r="K2034" s="196" t="s">
        <v>1881</v>
      </c>
      <c r="L2034" s="240" t="s">
        <v>9903</v>
      </c>
      <c r="M2034" s="196">
        <v>192</v>
      </c>
      <c r="N2034" s="196"/>
      <c r="O2034" s="196" t="s">
        <v>9904</v>
      </c>
      <c r="P2034" s="144">
        <v>626</v>
      </c>
      <c r="Q2034" s="145">
        <f t="shared" si="139"/>
        <v>2.2408099999999997</v>
      </c>
      <c r="R2034" s="203">
        <v>1.7</v>
      </c>
      <c r="S2034" s="203">
        <v>3.9</v>
      </c>
      <c r="T2034" s="203"/>
      <c r="U2034" s="151">
        <v>2.2000000000000002</v>
      </c>
      <c r="V2034" s="151">
        <v>0.34</v>
      </c>
      <c r="W2034" s="151">
        <f t="shared" si="136"/>
        <v>1.143</v>
      </c>
      <c r="X2034" s="152">
        <f t="shared" si="137"/>
        <v>0.25780999999999998</v>
      </c>
      <c r="Y2034" s="152">
        <f t="shared" si="140"/>
        <v>3.9</v>
      </c>
      <c r="Z2034" s="152">
        <f t="shared" si="138"/>
        <v>3.9408099999999999</v>
      </c>
      <c r="AA2034" s="153"/>
      <c r="AB2034" s="153"/>
      <c r="AC2034" s="153"/>
      <c r="AD2034" s="153"/>
      <c r="AH2034" s="147"/>
    </row>
    <row r="2035" spans="1:34" s="146" customFormat="1" x14ac:dyDescent="0.25">
      <c r="A2035" s="196">
        <v>548</v>
      </c>
      <c r="B2035" s="196" t="s">
        <v>9905</v>
      </c>
      <c r="C2035" s="196" t="s">
        <v>9906</v>
      </c>
      <c r="D2035" s="196" t="s">
        <v>9511</v>
      </c>
      <c r="E2035" s="196"/>
      <c r="F2035" s="196">
        <v>2010</v>
      </c>
      <c r="G2035" s="196"/>
      <c r="H2035" s="196" t="s">
        <v>2734</v>
      </c>
      <c r="I2035" s="141" t="s">
        <v>1879</v>
      </c>
      <c r="J2035" s="196"/>
      <c r="K2035" s="196" t="s">
        <v>1881</v>
      </c>
      <c r="L2035" s="240" t="s">
        <v>9907</v>
      </c>
      <c r="M2035" s="196">
        <v>191</v>
      </c>
      <c r="N2035" s="196"/>
      <c r="O2035" s="196" t="s">
        <v>9908</v>
      </c>
      <c r="P2035" s="144">
        <v>490</v>
      </c>
      <c r="Q2035" s="145">
        <f t="shared" si="139"/>
        <v>2.7408099999999997</v>
      </c>
      <c r="R2035" s="203">
        <v>1.2</v>
      </c>
      <c r="S2035" s="203">
        <v>3.7</v>
      </c>
      <c r="T2035" s="203"/>
      <c r="U2035" s="151">
        <v>2.2000000000000002</v>
      </c>
      <c r="V2035" s="151">
        <v>0.34</v>
      </c>
      <c r="W2035" s="151">
        <f t="shared" si="136"/>
        <v>1.143</v>
      </c>
      <c r="X2035" s="152">
        <f t="shared" si="137"/>
        <v>0.25780999999999998</v>
      </c>
      <c r="Y2035" s="152">
        <f t="shared" si="140"/>
        <v>3.7</v>
      </c>
      <c r="Z2035" s="152">
        <f t="shared" si="138"/>
        <v>3.9408099999999999</v>
      </c>
      <c r="AA2035" s="153"/>
      <c r="AB2035" s="153"/>
      <c r="AC2035" s="153"/>
      <c r="AD2035" s="153"/>
      <c r="AH2035" s="147"/>
    </row>
    <row r="2036" spans="1:34" s="146" customFormat="1" x14ac:dyDescent="0.25">
      <c r="A2036" s="196">
        <v>796</v>
      </c>
      <c r="B2036" s="196" t="s">
        <v>9913</v>
      </c>
      <c r="C2036" s="196" t="s">
        <v>9914</v>
      </c>
      <c r="D2036" s="196" t="s">
        <v>3895</v>
      </c>
      <c r="E2036" s="196" t="s">
        <v>1913</v>
      </c>
      <c r="F2036" s="196">
        <v>2010</v>
      </c>
      <c r="G2036" s="196"/>
      <c r="H2036" s="196" t="s">
        <v>1878</v>
      </c>
      <c r="I2036" s="141" t="s">
        <v>1929</v>
      </c>
      <c r="J2036" s="196"/>
      <c r="K2036" s="196" t="s">
        <v>1881</v>
      </c>
      <c r="L2036" s="240" t="s">
        <v>9915</v>
      </c>
      <c r="M2036" s="196">
        <v>416</v>
      </c>
      <c r="N2036" s="196"/>
      <c r="O2036" s="196" t="s">
        <v>9916</v>
      </c>
      <c r="P2036" s="144">
        <v>353</v>
      </c>
      <c r="Q2036" s="145">
        <f t="shared" si="139"/>
        <v>4.6499999999999995</v>
      </c>
      <c r="R2036" s="203">
        <v>1.2</v>
      </c>
      <c r="S2036" s="203">
        <v>5.85</v>
      </c>
      <c r="T2036" s="203"/>
      <c r="U2036" s="78">
        <v>2.2000000000000002</v>
      </c>
      <c r="V2036" s="78">
        <v>0.34</v>
      </c>
      <c r="W2036" s="203">
        <f t="shared" si="136"/>
        <v>1.143</v>
      </c>
      <c r="X2036" s="152">
        <f t="shared" si="137"/>
        <v>0.25780999999999998</v>
      </c>
      <c r="Y2036" s="245">
        <f t="shared" ref="Y2036:Y2106" si="141">S2036</f>
        <v>5.85</v>
      </c>
      <c r="Z2036" s="152">
        <f t="shared" si="138"/>
        <v>3.9408099999999999</v>
      </c>
      <c r="AA2036" s="153"/>
      <c r="AB2036" s="153"/>
      <c r="AC2036" s="153"/>
      <c r="AD2036" s="153"/>
      <c r="AH2036" s="147"/>
    </row>
    <row r="2037" spans="1:34" s="146" customFormat="1" x14ac:dyDescent="0.25">
      <c r="A2037" s="196">
        <v>2518</v>
      </c>
      <c r="B2037" s="196" t="s">
        <v>9917</v>
      </c>
      <c r="C2037" s="196" t="s">
        <v>9918</v>
      </c>
      <c r="D2037" s="196" t="s">
        <v>9919</v>
      </c>
      <c r="E2037" s="196" t="s">
        <v>1913</v>
      </c>
      <c r="F2037" s="196">
        <v>2013</v>
      </c>
      <c r="G2037" s="196"/>
      <c r="H2037" s="196" t="s">
        <v>1878</v>
      </c>
      <c r="I2037" s="141" t="s">
        <v>1879</v>
      </c>
      <c r="J2037" s="196" t="s">
        <v>9196</v>
      </c>
      <c r="K2037" s="196" t="s">
        <v>1881</v>
      </c>
      <c r="L2037" s="240" t="s">
        <v>9920</v>
      </c>
      <c r="M2037" s="196">
        <v>345</v>
      </c>
      <c r="N2037" s="196"/>
      <c r="O2037" s="196" t="s">
        <v>9921</v>
      </c>
      <c r="P2037" s="144">
        <v>301</v>
      </c>
      <c r="Q2037" s="145">
        <f t="shared" si="139"/>
        <v>2.7408099999999997</v>
      </c>
      <c r="R2037" s="203">
        <v>1.2</v>
      </c>
      <c r="S2037" s="203">
        <f>0.33+1.65</f>
        <v>1.98</v>
      </c>
      <c r="T2037" s="203"/>
      <c r="U2037" s="78">
        <v>2.2000000000000002</v>
      </c>
      <c r="V2037" s="78">
        <v>0.34</v>
      </c>
      <c r="W2037" s="203">
        <f t="shared" ref="W2037:W2086" si="142">(T2037+U2037+V2037)/100*45</f>
        <v>1.143</v>
      </c>
      <c r="X2037" s="152">
        <f t="shared" ref="X2037:X2086" si="143">(T2037+U2037+V2037+W2037)/100*7</f>
        <v>0.25780999999999998</v>
      </c>
      <c r="Y2037" s="245">
        <f t="shared" si="141"/>
        <v>1.98</v>
      </c>
      <c r="Z2037" s="152">
        <f t="shared" si="138"/>
        <v>3.9408099999999999</v>
      </c>
      <c r="AA2037" s="153"/>
      <c r="AB2037" s="153"/>
      <c r="AC2037" s="153"/>
      <c r="AD2037" s="153"/>
      <c r="AH2037" s="147"/>
    </row>
    <row r="2038" spans="1:34" s="146" customFormat="1" x14ac:dyDescent="0.25">
      <c r="A2038" s="196">
        <v>2551</v>
      </c>
      <c r="B2038" s="196" t="s">
        <v>9922</v>
      </c>
      <c r="C2038" s="196" t="s">
        <v>9923</v>
      </c>
      <c r="D2038" s="196" t="s">
        <v>1876</v>
      </c>
      <c r="E2038" s="196"/>
      <c r="F2038" s="196">
        <v>2011</v>
      </c>
      <c r="G2038" s="196"/>
      <c r="H2038" s="196" t="s">
        <v>2734</v>
      </c>
      <c r="I2038" s="141" t="s">
        <v>1879</v>
      </c>
      <c r="J2038" s="196"/>
      <c r="K2038" s="196" t="s">
        <v>1881</v>
      </c>
      <c r="L2038" s="240" t="s">
        <v>9924</v>
      </c>
      <c r="M2038" s="196">
        <v>471</v>
      </c>
      <c r="N2038" s="196"/>
      <c r="O2038" s="196" t="s">
        <v>9925</v>
      </c>
      <c r="P2038" s="144">
        <v>741</v>
      </c>
      <c r="Q2038" s="145">
        <f t="shared" si="139"/>
        <v>2.2408099999999997</v>
      </c>
      <c r="R2038" s="203">
        <v>1.7</v>
      </c>
      <c r="S2038" s="203">
        <v>3</v>
      </c>
      <c r="T2038" s="203"/>
      <c r="U2038" s="78">
        <v>2.2000000000000002</v>
      </c>
      <c r="V2038" s="78">
        <v>0.34</v>
      </c>
      <c r="W2038" s="203">
        <f t="shared" si="142"/>
        <v>1.143</v>
      </c>
      <c r="X2038" s="152">
        <f t="shared" si="143"/>
        <v>0.25780999999999998</v>
      </c>
      <c r="Y2038" s="245">
        <f t="shared" si="141"/>
        <v>3</v>
      </c>
      <c r="Z2038" s="152">
        <f t="shared" si="138"/>
        <v>3.9408099999999999</v>
      </c>
      <c r="AA2038" s="153"/>
      <c r="AB2038" s="153"/>
      <c r="AC2038" s="153"/>
      <c r="AD2038" s="153"/>
      <c r="AH2038" s="147"/>
    </row>
    <row r="2039" spans="1:34" s="146" customFormat="1" x14ac:dyDescent="0.25">
      <c r="A2039" s="196">
        <v>689</v>
      </c>
      <c r="B2039" s="196" t="s">
        <v>2920</v>
      </c>
      <c r="C2039" s="196" t="s">
        <v>9926</v>
      </c>
      <c r="D2039" s="196" t="s">
        <v>9927</v>
      </c>
      <c r="E2039" s="196" t="s">
        <v>1913</v>
      </c>
      <c r="F2039" s="196">
        <v>2012</v>
      </c>
      <c r="G2039" s="196"/>
      <c r="H2039" s="196" t="s">
        <v>2734</v>
      </c>
      <c r="I2039" s="141" t="s">
        <v>1879</v>
      </c>
      <c r="J2039" s="196" t="s">
        <v>9196</v>
      </c>
      <c r="K2039" s="196" t="s">
        <v>1881</v>
      </c>
      <c r="L2039" s="240" t="s">
        <v>9928</v>
      </c>
      <c r="M2039" s="196">
        <v>443</v>
      </c>
      <c r="N2039" s="196"/>
      <c r="O2039" s="196" t="s">
        <v>9929</v>
      </c>
      <c r="P2039" s="144">
        <v>737</v>
      </c>
      <c r="Q2039" s="145">
        <f t="shared" si="139"/>
        <v>2.2599999999999998</v>
      </c>
      <c r="R2039" s="203">
        <v>1.7</v>
      </c>
      <c r="S2039" s="203">
        <v>3.96</v>
      </c>
      <c r="T2039" s="203"/>
      <c r="U2039" s="78">
        <v>2.2000000000000002</v>
      </c>
      <c r="V2039" s="78">
        <v>0.34</v>
      </c>
      <c r="W2039" s="203">
        <f t="shared" si="142"/>
        <v>1.143</v>
      </c>
      <c r="X2039" s="152">
        <f t="shared" si="143"/>
        <v>0.25780999999999998</v>
      </c>
      <c r="Y2039" s="245">
        <f t="shared" si="141"/>
        <v>3.96</v>
      </c>
      <c r="Z2039" s="152">
        <f t="shared" si="138"/>
        <v>3.9408099999999999</v>
      </c>
      <c r="AA2039" s="153"/>
      <c r="AB2039" s="153"/>
      <c r="AC2039" s="153"/>
      <c r="AD2039" s="153"/>
      <c r="AH2039" s="147"/>
    </row>
    <row r="2040" spans="1:34" s="146" customFormat="1" x14ac:dyDescent="0.25">
      <c r="A2040" s="196">
        <v>1374</v>
      </c>
      <c r="B2040" s="196" t="s">
        <v>4365</v>
      </c>
      <c r="C2040" s="196" t="s">
        <v>9933</v>
      </c>
      <c r="D2040" s="196" t="s">
        <v>1920</v>
      </c>
      <c r="E2040" s="196"/>
      <c r="F2040" s="196">
        <v>2014</v>
      </c>
      <c r="G2040" s="196"/>
      <c r="H2040" s="196" t="s">
        <v>1878</v>
      </c>
      <c r="I2040" s="141" t="s">
        <v>1929</v>
      </c>
      <c r="J2040" s="196"/>
      <c r="K2040" s="196" t="s">
        <v>1881</v>
      </c>
      <c r="L2040" s="240" t="s">
        <v>4367</v>
      </c>
      <c r="M2040" s="196">
        <v>237</v>
      </c>
      <c r="N2040" s="196"/>
      <c r="O2040" s="196" t="s">
        <v>9934</v>
      </c>
      <c r="P2040" s="144">
        <v>264</v>
      </c>
      <c r="Q2040" s="145">
        <f t="shared" si="139"/>
        <v>2.7408099999999997</v>
      </c>
      <c r="R2040" s="203">
        <v>1.2</v>
      </c>
      <c r="S2040" s="203">
        <v>1.69</v>
      </c>
      <c r="T2040" s="203"/>
      <c r="U2040" s="78">
        <v>2.2000000000000002</v>
      </c>
      <c r="V2040" s="78">
        <v>0.34</v>
      </c>
      <c r="W2040" s="203">
        <f t="shared" si="142"/>
        <v>1.143</v>
      </c>
      <c r="X2040" s="152">
        <f t="shared" si="143"/>
        <v>0.25780999999999998</v>
      </c>
      <c r="Y2040" s="245">
        <f t="shared" si="141"/>
        <v>1.69</v>
      </c>
      <c r="Z2040" s="152">
        <f t="shared" si="138"/>
        <v>3.9408099999999999</v>
      </c>
      <c r="AA2040" s="153"/>
      <c r="AB2040" s="153"/>
      <c r="AC2040" s="153"/>
      <c r="AD2040" s="153"/>
      <c r="AH2040" s="147"/>
    </row>
    <row r="2041" spans="1:34" s="146" customFormat="1" x14ac:dyDescent="0.25">
      <c r="A2041" s="196">
        <v>2518</v>
      </c>
      <c r="B2041" s="196" t="s">
        <v>9935</v>
      </c>
      <c r="C2041" s="196" t="s">
        <v>9936</v>
      </c>
      <c r="D2041" s="196" t="s">
        <v>9138</v>
      </c>
      <c r="E2041" s="196" t="s">
        <v>1877</v>
      </c>
      <c r="F2041" s="196">
        <v>2015</v>
      </c>
      <c r="G2041" s="196"/>
      <c r="H2041" s="196" t="s">
        <v>1878</v>
      </c>
      <c r="I2041" s="141" t="s">
        <v>1929</v>
      </c>
      <c r="J2041" s="196"/>
      <c r="K2041" s="196" t="s">
        <v>1881</v>
      </c>
      <c r="L2041" s="240" t="s">
        <v>9937</v>
      </c>
      <c r="M2041" s="196">
        <v>374</v>
      </c>
      <c r="N2041" s="196"/>
      <c r="O2041" s="196" t="s">
        <v>9938</v>
      </c>
      <c r="P2041" s="144">
        <v>339</v>
      </c>
      <c r="Q2041" s="145">
        <f t="shared" si="139"/>
        <v>4.2</v>
      </c>
      <c r="R2041" s="203">
        <v>1.2</v>
      </c>
      <c r="S2041" s="203">
        <v>5.4</v>
      </c>
      <c r="T2041" s="203"/>
      <c r="U2041" s="78">
        <v>2.2000000000000002</v>
      </c>
      <c r="V2041" s="78">
        <v>0.34</v>
      </c>
      <c r="W2041" s="203">
        <f t="shared" si="142"/>
        <v>1.143</v>
      </c>
      <c r="X2041" s="152">
        <f t="shared" si="143"/>
        <v>0.25780999999999998</v>
      </c>
      <c r="Y2041" s="245">
        <f t="shared" si="141"/>
        <v>5.4</v>
      </c>
      <c r="Z2041" s="152">
        <f t="shared" ref="Z2041:Z2086" si="144">SUM(T2041:X2041)</f>
        <v>3.9408099999999999</v>
      </c>
      <c r="AA2041" s="153"/>
      <c r="AB2041" s="153"/>
      <c r="AC2041" s="153"/>
      <c r="AD2041" s="153"/>
      <c r="AH2041" s="147"/>
    </row>
    <row r="2042" spans="1:34" s="146" customFormat="1" x14ac:dyDescent="0.25">
      <c r="A2042" s="196">
        <v>689</v>
      </c>
      <c r="B2042" s="196" t="s">
        <v>7852</v>
      </c>
      <c r="C2042" s="196" t="s">
        <v>9939</v>
      </c>
      <c r="D2042" s="196" t="s">
        <v>2054</v>
      </c>
      <c r="E2042" s="196"/>
      <c r="F2042" s="196">
        <v>2009</v>
      </c>
      <c r="G2042" s="196"/>
      <c r="H2042" s="196" t="s">
        <v>2734</v>
      </c>
      <c r="I2042" s="141" t="s">
        <v>1929</v>
      </c>
      <c r="J2042" s="196"/>
      <c r="K2042" s="196" t="s">
        <v>1881</v>
      </c>
      <c r="L2042" s="240" t="s">
        <v>9940</v>
      </c>
      <c r="M2042" s="196">
        <v>505</v>
      </c>
      <c r="N2042" s="196"/>
      <c r="O2042" s="196" t="s">
        <v>9941</v>
      </c>
      <c r="P2042" s="144">
        <v>454</v>
      </c>
      <c r="Q2042" s="145">
        <f t="shared" si="139"/>
        <v>2.7408099999999997</v>
      </c>
      <c r="R2042" s="203">
        <v>1.2</v>
      </c>
      <c r="S2042" s="203">
        <v>2.9</v>
      </c>
      <c r="T2042" s="203"/>
      <c r="U2042" s="78">
        <v>2.2000000000000002</v>
      </c>
      <c r="V2042" s="78">
        <v>0.34</v>
      </c>
      <c r="W2042" s="203">
        <f t="shared" si="142"/>
        <v>1.143</v>
      </c>
      <c r="X2042" s="152">
        <f t="shared" si="143"/>
        <v>0.25780999999999998</v>
      </c>
      <c r="Y2042" s="245">
        <f t="shared" si="141"/>
        <v>2.9</v>
      </c>
      <c r="Z2042" s="152">
        <f t="shared" si="144"/>
        <v>3.9408099999999999</v>
      </c>
      <c r="AA2042" s="153"/>
      <c r="AB2042" s="153"/>
      <c r="AC2042" s="153"/>
      <c r="AD2042" s="153"/>
      <c r="AH2042" s="147"/>
    </row>
    <row r="2043" spans="1:34" s="146" customFormat="1" x14ac:dyDescent="0.25">
      <c r="A2043" s="196">
        <v>2514</v>
      </c>
      <c r="B2043" s="196" t="s">
        <v>9945</v>
      </c>
      <c r="C2043" s="196" t="s">
        <v>9946</v>
      </c>
      <c r="D2043" s="196" t="s">
        <v>9947</v>
      </c>
      <c r="E2043" s="196"/>
      <c r="F2043" s="196"/>
      <c r="G2043" s="196"/>
      <c r="H2043" s="196" t="s">
        <v>2734</v>
      </c>
      <c r="I2043" s="141" t="s">
        <v>1879</v>
      </c>
      <c r="J2043" s="196"/>
      <c r="K2043" s="196" t="s">
        <v>1881</v>
      </c>
      <c r="L2043" s="240" t="s">
        <v>9948</v>
      </c>
      <c r="M2043" s="196">
        <v>143</v>
      </c>
      <c r="N2043" s="196"/>
      <c r="O2043" s="196" t="s">
        <v>9949</v>
      </c>
      <c r="P2043" s="144">
        <v>241</v>
      </c>
      <c r="Q2043" s="145">
        <f t="shared" si="139"/>
        <v>2.7408099999999997</v>
      </c>
      <c r="R2043" s="203">
        <v>1.2</v>
      </c>
      <c r="S2043" s="203">
        <v>2.1</v>
      </c>
      <c r="T2043" s="203"/>
      <c r="U2043" s="78">
        <v>2.2000000000000002</v>
      </c>
      <c r="V2043" s="78">
        <v>0.34</v>
      </c>
      <c r="W2043" s="203">
        <f t="shared" si="142"/>
        <v>1.143</v>
      </c>
      <c r="X2043" s="152">
        <f t="shared" si="143"/>
        <v>0.25780999999999998</v>
      </c>
      <c r="Y2043" s="245">
        <f t="shared" si="141"/>
        <v>2.1</v>
      </c>
      <c r="Z2043" s="152">
        <f t="shared" si="144"/>
        <v>3.9408099999999999</v>
      </c>
      <c r="AA2043" s="153"/>
      <c r="AB2043" s="153"/>
      <c r="AC2043" s="153"/>
      <c r="AD2043" s="153"/>
      <c r="AH2043" s="147"/>
    </row>
    <row r="2044" spans="1:34" s="146" customFormat="1" x14ac:dyDescent="0.25">
      <c r="A2044" s="196">
        <v>973</v>
      </c>
      <c r="B2044" s="196" t="s">
        <v>9950</v>
      </c>
      <c r="C2044" s="196" t="s">
        <v>9951</v>
      </c>
      <c r="D2044" s="196" t="s">
        <v>9952</v>
      </c>
      <c r="E2044" s="196"/>
      <c r="F2044" s="196">
        <v>1995</v>
      </c>
      <c r="G2044" s="196"/>
      <c r="H2044" s="196" t="s">
        <v>2734</v>
      </c>
      <c r="I2044" s="141" t="s">
        <v>1929</v>
      </c>
      <c r="J2044" s="196"/>
      <c r="K2044" s="196" t="s">
        <v>2025</v>
      </c>
      <c r="L2044" s="240" t="s">
        <v>9953</v>
      </c>
      <c r="M2044" s="196">
        <v>438</v>
      </c>
      <c r="N2044" s="196"/>
      <c r="O2044" s="196" t="s">
        <v>9954</v>
      </c>
      <c r="P2044" s="144">
        <v>808</v>
      </c>
      <c r="Q2044" s="145">
        <f t="shared" si="139"/>
        <v>2.76</v>
      </c>
      <c r="R2044" s="203">
        <v>1.7</v>
      </c>
      <c r="S2044" s="203">
        <v>4.46</v>
      </c>
      <c r="T2044" s="203"/>
      <c r="U2044" s="78">
        <v>2.2000000000000002</v>
      </c>
      <c r="V2044" s="78">
        <v>0.34</v>
      </c>
      <c r="W2044" s="203">
        <f t="shared" si="142"/>
        <v>1.143</v>
      </c>
      <c r="X2044" s="152">
        <f t="shared" si="143"/>
        <v>0.25780999999999998</v>
      </c>
      <c r="Y2044" s="245">
        <f t="shared" si="141"/>
        <v>4.46</v>
      </c>
      <c r="Z2044" s="152">
        <f t="shared" si="144"/>
        <v>3.9408099999999999</v>
      </c>
      <c r="AA2044" s="153"/>
      <c r="AB2044" s="153"/>
      <c r="AC2044" s="153"/>
      <c r="AD2044" s="153"/>
      <c r="AH2044" s="147"/>
    </row>
    <row r="2045" spans="1:34" s="146" customFormat="1" x14ac:dyDescent="0.25">
      <c r="A2045" s="196">
        <v>692</v>
      </c>
      <c r="B2045" s="196" t="s">
        <v>9955</v>
      </c>
      <c r="C2045" s="196" t="s">
        <v>9956</v>
      </c>
      <c r="D2045" s="196" t="s">
        <v>2257</v>
      </c>
      <c r="E2045" s="196"/>
      <c r="F2045" s="196">
        <v>1994</v>
      </c>
      <c r="G2045" s="196"/>
      <c r="H2045" s="196" t="s">
        <v>1878</v>
      </c>
      <c r="I2045" s="141" t="s">
        <v>7527</v>
      </c>
      <c r="J2045" s="196"/>
      <c r="K2045" s="196" t="s">
        <v>1881</v>
      </c>
      <c r="L2045" s="240" t="s">
        <v>9957</v>
      </c>
      <c r="M2045" s="196">
        <v>425</v>
      </c>
      <c r="N2045" s="196"/>
      <c r="O2045" s="196" t="s">
        <v>9958</v>
      </c>
      <c r="P2045" s="144">
        <v>460</v>
      </c>
      <c r="Q2045" s="145">
        <f t="shared" si="139"/>
        <v>2.7408099999999997</v>
      </c>
      <c r="R2045" s="203">
        <v>1.2</v>
      </c>
      <c r="S2045" s="203">
        <f>0.35+1.45</f>
        <v>1.7999999999999998</v>
      </c>
      <c r="T2045" s="203"/>
      <c r="U2045" s="78">
        <v>2.2000000000000002</v>
      </c>
      <c r="V2045" s="78">
        <v>0.34</v>
      </c>
      <c r="W2045" s="203">
        <f t="shared" si="142"/>
        <v>1.143</v>
      </c>
      <c r="X2045" s="152">
        <f t="shared" si="143"/>
        <v>0.25780999999999998</v>
      </c>
      <c r="Y2045" s="245">
        <f t="shared" si="141"/>
        <v>1.7999999999999998</v>
      </c>
      <c r="Z2045" s="152">
        <f t="shared" si="144"/>
        <v>3.9408099999999999</v>
      </c>
      <c r="AA2045" s="153"/>
      <c r="AB2045" s="153"/>
      <c r="AC2045" s="153"/>
      <c r="AD2045" s="153"/>
      <c r="AH2045" s="147"/>
    </row>
    <row r="2046" spans="1:34" s="146" customFormat="1" x14ac:dyDescent="0.25">
      <c r="A2046" s="196">
        <v>1365</v>
      </c>
      <c r="B2046" s="196" t="s">
        <v>9959</v>
      </c>
      <c r="C2046" s="196" t="s">
        <v>9960</v>
      </c>
      <c r="D2046" s="196" t="s">
        <v>9961</v>
      </c>
      <c r="E2046" s="196"/>
      <c r="F2046" s="196">
        <v>1989</v>
      </c>
      <c r="G2046" s="196"/>
      <c r="H2046" s="196" t="s">
        <v>2734</v>
      </c>
      <c r="I2046" s="141" t="s">
        <v>1929</v>
      </c>
      <c r="J2046" s="196"/>
      <c r="K2046" s="196" t="s">
        <v>1881</v>
      </c>
      <c r="L2046" s="240"/>
      <c r="M2046" s="196">
        <v>310</v>
      </c>
      <c r="N2046" s="196"/>
      <c r="O2046" s="196" t="s">
        <v>9962</v>
      </c>
      <c r="P2046" s="144">
        <v>836</v>
      </c>
      <c r="Q2046" s="145">
        <f t="shared" si="139"/>
        <v>2.2408099999999997</v>
      </c>
      <c r="R2046" s="203">
        <v>1.7</v>
      </c>
      <c r="S2046" s="203">
        <f>0.25+1.95</f>
        <v>2.2000000000000002</v>
      </c>
      <c r="T2046" s="203"/>
      <c r="U2046" s="78">
        <v>2.2000000000000002</v>
      </c>
      <c r="V2046" s="78">
        <v>0.34</v>
      </c>
      <c r="W2046" s="203">
        <f t="shared" si="142"/>
        <v>1.143</v>
      </c>
      <c r="X2046" s="152">
        <f t="shared" si="143"/>
        <v>0.25780999999999998</v>
      </c>
      <c r="Y2046" s="245">
        <f t="shared" si="141"/>
        <v>2.2000000000000002</v>
      </c>
      <c r="Z2046" s="152">
        <f t="shared" si="144"/>
        <v>3.9408099999999999</v>
      </c>
      <c r="AA2046" s="153"/>
      <c r="AB2046" s="153"/>
      <c r="AC2046" s="153"/>
      <c r="AD2046" s="153"/>
      <c r="AH2046" s="147"/>
    </row>
    <row r="2047" spans="1:34" s="146" customFormat="1" x14ac:dyDescent="0.25">
      <c r="A2047" s="196">
        <v>826</v>
      </c>
      <c r="B2047" s="196" t="s">
        <v>9963</v>
      </c>
      <c r="C2047" s="196" t="s">
        <v>9964</v>
      </c>
      <c r="D2047" s="196" t="s">
        <v>9032</v>
      </c>
      <c r="E2047" s="196" t="s">
        <v>1877</v>
      </c>
      <c r="F2047" s="196">
        <v>2006</v>
      </c>
      <c r="G2047" s="196"/>
      <c r="H2047" s="196" t="s">
        <v>1878</v>
      </c>
      <c r="I2047" s="141" t="s">
        <v>1929</v>
      </c>
      <c r="J2047" s="196"/>
      <c r="K2047" s="196" t="s">
        <v>1881</v>
      </c>
      <c r="L2047" s="240" t="s">
        <v>9965</v>
      </c>
      <c r="M2047" s="196">
        <v>389</v>
      </c>
      <c r="N2047" s="196"/>
      <c r="O2047" s="196" t="s">
        <v>9966</v>
      </c>
      <c r="P2047" s="144">
        <v>389</v>
      </c>
      <c r="Q2047" s="145">
        <f t="shared" si="139"/>
        <v>2.7408099999999997</v>
      </c>
      <c r="R2047" s="203">
        <v>1.2</v>
      </c>
      <c r="S2047" s="203">
        <v>3.93</v>
      </c>
      <c r="T2047" s="203"/>
      <c r="U2047" s="78">
        <v>2.2000000000000002</v>
      </c>
      <c r="V2047" s="78">
        <v>0.34</v>
      </c>
      <c r="W2047" s="203">
        <f t="shared" si="142"/>
        <v>1.143</v>
      </c>
      <c r="X2047" s="152">
        <f t="shared" si="143"/>
        <v>0.25780999999999998</v>
      </c>
      <c r="Y2047" s="245">
        <f t="shared" si="141"/>
        <v>3.93</v>
      </c>
      <c r="Z2047" s="152">
        <f t="shared" si="144"/>
        <v>3.9408099999999999</v>
      </c>
      <c r="AA2047" s="153"/>
      <c r="AB2047" s="153"/>
      <c r="AC2047" s="153"/>
      <c r="AD2047" s="153"/>
      <c r="AH2047" s="147"/>
    </row>
    <row r="2048" spans="1:34" s="146" customFormat="1" x14ac:dyDescent="0.25">
      <c r="A2048" s="196">
        <v>796</v>
      </c>
      <c r="B2048" s="196" t="s">
        <v>9967</v>
      </c>
      <c r="C2048" s="196" t="s">
        <v>8563</v>
      </c>
      <c r="D2048" s="196"/>
      <c r="E2048" s="196"/>
      <c r="F2048" s="196">
        <v>2010</v>
      </c>
      <c r="G2048" s="196"/>
      <c r="H2048" s="196" t="s">
        <v>1878</v>
      </c>
      <c r="I2048" s="141" t="s">
        <v>1879</v>
      </c>
      <c r="J2048" s="196"/>
      <c r="K2048" s="196" t="s">
        <v>1881</v>
      </c>
      <c r="L2048" s="240" t="s">
        <v>8564</v>
      </c>
      <c r="M2048" s="196">
        <v>479</v>
      </c>
      <c r="N2048" s="196"/>
      <c r="O2048" s="196" t="s">
        <v>9968</v>
      </c>
      <c r="P2048" s="144">
        <v>349</v>
      </c>
      <c r="Q2048" s="145">
        <f t="shared" si="139"/>
        <v>2.7408099999999997</v>
      </c>
      <c r="R2048" s="203">
        <v>1.2</v>
      </c>
      <c r="S2048" s="203">
        <v>3.38</v>
      </c>
      <c r="T2048" s="203"/>
      <c r="U2048" s="78">
        <v>2.2000000000000002</v>
      </c>
      <c r="V2048" s="78">
        <v>0.34</v>
      </c>
      <c r="W2048" s="203">
        <f t="shared" si="142"/>
        <v>1.143</v>
      </c>
      <c r="X2048" s="152">
        <f t="shared" si="143"/>
        <v>0.25780999999999998</v>
      </c>
      <c r="Y2048" s="245">
        <f t="shared" si="141"/>
        <v>3.38</v>
      </c>
      <c r="Z2048" s="152">
        <f t="shared" si="144"/>
        <v>3.9408099999999999</v>
      </c>
      <c r="AA2048" s="153"/>
      <c r="AB2048" s="153"/>
      <c r="AC2048" s="153"/>
      <c r="AD2048" s="153"/>
      <c r="AH2048" s="147"/>
    </row>
    <row r="2049" spans="1:34" s="146" customFormat="1" x14ac:dyDescent="0.25">
      <c r="A2049" s="196">
        <v>2553</v>
      </c>
      <c r="B2049" s="196" t="s">
        <v>9969</v>
      </c>
      <c r="C2049" s="196" t="s">
        <v>9970</v>
      </c>
      <c r="D2049" s="196" t="s">
        <v>3077</v>
      </c>
      <c r="E2049" s="196" t="s">
        <v>1913</v>
      </c>
      <c r="F2049" s="196">
        <v>2012</v>
      </c>
      <c r="G2049" s="196"/>
      <c r="H2049" s="196" t="s">
        <v>1878</v>
      </c>
      <c r="I2049" s="141" t="s">
        <v>7817</v>
      </c>
      <c r="J2049" s="196"/>
      <c r="K2049" s="196" t="s">
        <v>1881</v>
      </c>
      <c r="L2049" s="240" t="s">
        <v>9971</v>
      </c>
      <c r="M2049" s="196">
        <v>509</v>
      </c>
      <c r="N2049" s="196"/>
      <c r="O2049" s="196" t="s">
        <v>9972</v>
      </c>
      <c r="P2049" s="144">
        <v>456</v>
      </c>
      <c r="Q2049" s="145">
        <f t="shared" si="139"/>
        <v>2.99</v>
      </c>
      <c r="R2049" s="203">
        <v>1.2</v>
      </c>
      <c r="S2049" s="203">
        <v>4.1900000000000004</v>
      </c>
      <c r="T2049" s="203"/>
      <c r="U2049" s="78">
        <v>2.2000000000000002</v>
      </c>
      <c r="V2049" s="78">
        <v>0.34</v>
      </c>
      <c r="W2049" s="203">
        <f t="shared" si="142"/>
        <v>1.143</v>
      </c>
      <c r="X2049" s="152">
        <f t="shared" si="143"/>
        <v>0.25780999999999998</v>
      </c>
      <c r="Y2049" s="245">
        <f t="shared" si="141"/>
        <v>4.1900000000000004</v>
      </c>
      <c r="Z2049" s="152">
        <f t="shared" si="144"/>
        <v>3.9408099999999999</v>
      </c>
      <c r="AA2049" s="153"/>
      <c r="AB2049" s="153"/>
      <c r="AC2049" s="153"/>
      <c r="AD2049" s="153"/>
      <c r="AH2049" s="147"/>
    </row>
    <row r="2050" spans="1:34" s="146" customFormat="1" x14ac:dyDescent="0.25">
      <c r="A2050" s="196">
        <v>2553</v>
      </c>
      <c r="B2050" s="196" t="s">
        <v>3637</v>
      </c>
      <c r="C2050" s="196" t="s">
        <v>9973</v>
      </c>
      <c r="D2050" s="196" t="s">
        <v>9974</v>
      </c>
      <c r="E2050" s="196"/>
      <c r="F2050" s="196">
        <v>1990</v>
      </c>
      <c r="G2050" s="196"/>
      <c r="H2050" s="196" t="s">
        <v>2734</v>
      </c>
      <c r="I2050" s="141" t="s">
        <v>1879</v>
      </c>
      <c r="J2050" s="196"/>
      <c r="K2050" s="196" t="s">
        <v>1881</v>
      </c>
      <c r="L2050" s="240"/>
      <c r="M2050" s="196">
        <v>448</v>
      </c>
      <c r="N2050" s="196"/>
      <c r="O2050" s="196" t="s">
        <v>9975</v>
      </c>
      <c r="P2050" s="144">
        <v>533</v>
      </c>
      <c r="Q2050" s="145">
        <f t="shared" si="139"/>
        <v>2.2408099999999997</v>
      </c>
      <c r="R2050" s="203">
        <v>1.7</v>
      </c>
      <c r="S2050" s="203">
        <v>3.56</v>
      </c>
      <c r="T2050" s="203"/>
      <c r="U2050" s="78">
        <v>2.2000000000000002</v>
      </c>
      <c r="V2050" s="78">
        <v>0.34</v>
      </c>
      <c r="W2050" s="203">
        <f t="shared" si="142"/>
        <v>1.143</v>
      </c>
      <c r="X2050" s="152">
        <f t="shared" si="143"/>
        <v>0.25780999999999998</v>
      </c>
      <c r="Y2050" s="245">
        <f t="shared" si="141"/>
        <v>3.56</v>
      </c>
      <c r="Z2050" s="152">
        <f t="shared" si="144"/>
        <v>3.9408099999999999</v>
      </c>
      <c r="AA2050" s="153"/>
      <c r="AB2050" s="153"/>
      <c r="AC2050" s="153"/>
      <c r="AD2050" s="153"/>
      <c r="AH2050" s="147"/>
    </row>
    <row r="2051" spans="1:34" s="146" customFormat="1" x14ac:dyDescent="0.25">
      <c r="A2051" s="196">
        <v>8</v>
      </c>
      <c r="B2051" s="196" t="s">
        <v>9980</v>
      </c>
      <c r="C2051" s="196" t="s">
        <v>9981</v>
      </c>
      <c r="D2051" s="196" t="s">
        <v>1988</v>
      </c>
      <c r="E2051" s="196" t="s">
        <v>1877</v>
      </c>
      <c r="F2051" s="196">
        <v>1998</v>
      </c>
      <c r="G2051" s="196"/>
      <c r="H2051" s="196" t="s">
        <v>1878</v>
      </c>
      <c r="I2051" s="141" t="s">
        <v>1929</v>
      </c>
      <c r="J2051" s="196"/>
      <c r="K2051" s="196" t="s">
        <v>1881</v>
      </c>
      <c r="L2051" s="240" t="s">
        <v>9982</v>
      </c>
      <c r="M2051" s="196">
        <v>338</v>
      </c>
      <c r="N2051" s="196"/>
      <c r="O2051" s="196" t="s">
        <v>9983</v>
      </c>
      <c r="P2051" s="144">
        <v>303</v>
      </c>
      <c r="Q2051" s="145">
        <f t="shared" si="139"/>
        <v>3.0199999999999996</v>
      </c>
      <c r="R2051" s="203">
        <v>1.2</v>
      </c>
      <c r="S2051" s="203">
        <v>4.22</v>
      </c>
      <c r="T2051" s="203"/>
      <c r="U2051" s="78">
        <v>2.2000000000000002</v>
      </c>
      <c r="V2051" s="78">
        <v>0.34</v>
      </c>
      <c r="W2051" s="203">
        <f t="shared" si="142"/>
        <v>1.143</v>
      </c>
      <c r="X2051" s="152">
        <f t="shared" si="143"/>
        <v>0.25780999999999998</v>
      </c>
      <c r="Y2051" s="245">
        <f t="shared" si="141"/>
        <v>4.22</v>
      </c>
      <c r="Z2051" s="152">
        <f t="shared" si="144"/>
        <v>3.9408099999999999</v>
      </c>
      <c r="AA2051" s="153"/>
      <c r="AB2051" s="153"/>
      <c r="AC2051" s="153"/>
      <c r="AD2051" s="153"/>
      <c r="AH2051" s="147"/>
    </row>
    <row r="2052" spans="1:34" s="146" customFormat="1" x14ac:dyDescent="0.25">
      <c r="A2052" s="196">
        <v>2546</v>
      </c>
      <c r="B2052" s="196" t="s">
        <v>9984</v>
      </c>
      <c r="C2052" s="196" t="s">
        <v>9985</v>
      </c>
      <c r="D2052" s="196" t="s">
        <v>2232</v>
      </c>
      <c r="E2052" s="196" t="s">
        <v>1913</v>
      </c>
      <c r="F2052" s="196">
        <v>2001</v>
      </c>
      <c r="G2052" s="196"/>
      <c r="H2052" s="196" t="s">
        <v>1878</v>
      </c>
      <c r="I2052" s="141" t="s">
        <v>1929</v>
      </c>
      <c r="J2052" s="196"/>
      <c r="K2052" s="196" t="s">
        <v>1881</v>
      </c>
      <c r="L2052" s="240" t="s">
        <v>9986</v>
      </c>
      <c r="M2052" s="196">
        <v>220</v>
      </c>
      <c r="N2052" s="196"/>
      <c r="O2052" s="196" t="s">
        <v>9987</v>
      </c>
      <c r="P2052" s="144">
        <v>223</v>
      </c>
      <c r="Q2052" s="145">
        <f t="shared" si="139"/>
        <v>3</v>
      </c>
      <c r="R2052" s="203">
        <v>1.2</v>
      </c>
      <c r="S2052" s="203">
        <v>4.2</v>
      </c>
      <c r="T2052" s="203"/>
      <c r="U2052" s="78">
        <v>2.2000000000000002</v>
      </c>
      <c r="V2052" s="78">
        <v>0.34</v>
      </c>
      <c r="W2052" s="203">
        <f t="shared" si="142"/>
        <v>1.143</v>
      </c>
      <c r="X2052" s="152">
        <f t="shared" si="143"/>
        <v>0.25780999999999998</v>
      </c>
      <c r="Y2052" s="245">
        <f t="shared" si="141"/>
        <v>4.2</v>
      </c>
      <c r="Z2052" s="152">
        <f t="shared" si="144"/>
        <v>3.9408099999999999</v>
      </c>
      <c r="AA2052" s="153"/>
      <c r="AB2052" s="153"/>
      <c r="AC2052" s="153"/>
      <c r="AD2052" s="153"/>
      <c r="AH2052" s="147"/>
    </row>
    <row r="2053" spans="1:34" s="146" customFormat="1" x14ac:dyDescent="0.25">
      <c r="A2053" s="196">
        <v>1395</v>
      </c>
      <c r="B2053" s="196" t="s">
        <v>9988</v>
      </c>
      <c r="C2053" s="196" t="s">
        <v>9989</v>
      </c>
      <c r="D2053" s="196" t="s">
        <v>1920</v>
      </c>
      <c r="E2053" s="196" t="s">
        <v>3998</v>
      </c>
      <c r="F2053" s="196">
        <v>2009</v>
      </c>
      <c r="G2053" s="196"/>
      <c r="H2053" s="196" t="s">
        <v>1878</v>
      </c>
      <c r="I2053" s="141" t="s">
        <v>1879</v>
      </c>
      <c r="J2053" s="196"/>
      <c r="K2053" s="196" t="s">
        <v>1881</v>
      </c>
      <c r="L2053" s="240" t="s">
        <v>9990</v>
      </c>
      <c r="M2053" s="196">
        <v>111</v>
      </c>
      <c r="N2053" s="196"/>
      <c r="O2053" s="196" t="s">
        <v>9991</v>
      </c>
      <c r="P2053" s="144">
        <v>114</v>
      </c>
      <c r="Q2053" s="145">
        <f t="shared" si="139"/>
        <v>2.7408099999999997</v>
      </c>
      <c r="R2053" s="203">
        <v>1.2</v>
      </c>
      <c r="S2053" s="203">
        <v>3.87</v>
      </c>
      <c r="T2053" s="203"/>
      <c r="U2053" s="78">
        <v>2.2000000000000002</v>
      </c>
      <c r="V2053" s="78">
        <v>0.34</v>
      </c>
      <c r="W2053" s="203">
        <f t="shared" si="142"/>
        <v>1.143</v>
      </c>
      <c r="X2053" s="152">
        <f t="shared" si="143"/>
        <v>0.25780999999999998</v>
      </c>
      <c r="Y2053" s="245">
        <f t="shared" si="141"/>
        <v>3.87</v>
      </c>
      <c r="Z2053" s="152">
        <f t="shared" si="144"/>
        <v>3.9408099999999999</v>
      </c>
      <c r="AA2053" s="153"/>
      <c r="AB2053" s="153"/>
      <c r="AC2053" s="153"/>
      <c r="AD2053" s="153"/>
      <c r="AH2053" s="147"/>
    </row>
    <row r="2054" spans="1:34" s="146" customFormat="1" x14ac:dyDescent="0.25">
      <c r="A2054" s="196">
        <v>692</v>
      </c>
      <c r="B2054" s="196" t="s">
        <v>9996</v>
      </c>
      <c r="C2054" s="196" t="s">
        <v>9997</v>
      </c>
      <c r="D2054" s="196" t="s">
        <v>1876</v>
      </c>
      <c r="E2054" s="196"/>
      <c r="F2054" s="196">
        <v>2018</v>
      </c>
      <c r="G2054" s="196"/>
      <c r="H2054" s="196" t="s">
        <v>1878</v>
      </c>
      <c r="I2054" s="141" t="s">
        <v>1929</v>
      </c>
      <c r="J2054" s="196"/>
      <c r="K2054" s="196" t="s">
        <v>1881</v>
      </c>
      <c r="L2054" s="240" t="s">
        <v>9998</v>
      </c>
      <c r="M2054" s="196">
        <v>276</v>
      </c>
      <c r="N2054" s="196"/>
      <c r="O2054" s="196" t="s">
        <v>9999</v>
      </c>
      <c r="P2054" s="144">
        <v>275</v>
      </c>
      <c r="Q2054" s="145">
        <f t="shared" si="139"/>
        <v>2.7408099999999997</v>
      </c>
      <c r="R2054" s="203">
        <v>1.2</v>
      </c>
      <c r="S2054" s="203">
        <v>3.6</v>
      </c>
      <c r="T2054" s="203"/>
      <c r="U2054" s="78">
        <v>2.2000000000000002</v>
      </c>
      <c r="V2054" s="78">
        <v>0.34</v>
      </c>
      <c r="W2054" s="203">
        <f t="shared" si="142"/>
        <v>1.143</v>
      </c>
      <c r="X2054" s="152">
        <f t="shared" si="143"/>
        <v>0.25780999999999998</v>
      </c>
      <c r="Y2054" s="245">
        <f t="shared" si="141"/>
        <v>3.6</v>
      </c>
      <c r="Z2054" s="152">
        <f t="shared" si="144"/>
        <v>3.9408099999999999</v>
      </c>
      <c r="AA2054" s="153"/>
      <c r="AB2054" s="153"/>
      <c r="AC2054" s="153"/>
      <c r="AD2054" s="153"/>
      <c r="AH2054" s="147"/>
    </row>
    <row r="2055" spans="1:34" s="146" customFormat="1" x14ac:dyDescent="0.25">
      <c r="A2055" s="196">
        <v>765</v>
      </c>
      <c r="B2055" s="196" t="s">
        <v>10000</v>
      </c>
      <c r="C2055" s="196" t="s">
        <v>10001</v>
      </c>
      <c r="D2055" s="196" t="s">
        <v>2309</v>
      </c>
      <c r="E2055" s="196" t="s">
        <v>1913</v>
      </c>
      <c r="F2055" s="196">
        <v>2009</v>
      </c>
      <c r="G2055" s="196"/>
      <c r="H2055" s="196" t="s">
        <v>1878</v>
      </c>
      <c r="I2055" s="141" t="s">
        <v>1879</v>
      </c>
      <c r="J2055" s="196"/>
      <c r="K2055" s="196" t="s">
        <v>1881</v>
      </c>
      <c r="L2055" s="240" t="s">
        <v>10002</v>
      </c>
      <c r="M2055" s="196">
        <v>318</v>
      </c>
      <c r="N2055" s="196"/>
      <c r="O2055" s="196" t="s">
        <v>10003</v>
      </c>
      <c r="P2055" s="144">
        <v>307</v>
      </c>
      <c r="Q2055" s="145">
        <f t="shared" si="139"/>
        <v>2.9299999999999997</v>
      </c>
      <c r="R2055" s="203">
        <v>1.2</v>
      </c>
      <c r="S2055" s="203">
        <v>4.13</v>
      </c>
      <c r="T2055" s="203"/>
      <c r="U2055" s="78">
        <v>2.2000000000000002</v>
      </c>
      <c r="V2055" s="78">
        <v>0.34</v>
      </c>
      <c r="W2055" s="203">
        <f t="shared" si="142"/>
        <v>1.143</v>
      </c>
      <c r="X2055" s="152">
        <f t="shared" si="143"/>
        <v>0.25780999999999998</v>
      </c>
      <c r="Y2055" s="245">
        <f t="shared" si="141"/>
        <v>4.13</v>
      </c>
      <c r="Z2055" s="152">
        <f t="shared" si="144"/>
        <v>3.9408099999999999</v>
      </c>
      <c r="AA2055" s="153"/>
      <c r="AB2055" s="153"/>
      <c r="AC2055" s="153"/>
      <c r="AD2055" s="153"/>
      <c r="AH2055" s="147"/>
    </row>
    <row r="2056" spans="1:34" s="146" customFormat="1" x14ac:dyDescent="0.25">
      <c r="A2056" s="196">
        <v>1374</v>
      </c>
      <c r="B2056" s="196" t="s">
        <v>10004</v>
      </c>
      <c r="C2056" s="196" t="s">
        <v>10005</v>
      </c>
      <c r="D2056" s="196" t="s">
        <v>1876</v>
      </c>
      <c r="E2056" s="196" t="s">
        <v>1877</v>
      </c>
      <c r="F2056" s="196">
        <v>2012</v>
      </c>
      <c r="G2056" s="196"/>
      <c r="H2056" s="196" t="s">
        <v>1878</v>
      </c>
      <c r="I2056" s="141" t="s">
        <v>1929</v>
      </c>
      <c r="J2056" s="196"/>
      <c r="K2056" s="196" t="s">
        <v>1881</v>
      </c>
      <c r="L2056" s="240" t="s">
        <v>10006</v>
      </c>
      <c r="M2056" s="196"/>
      <c r="N2056" s="196"/>
      <c r="O2056" s="196" t="s">
        <v>10007</v>
      </c>
      <c r="P2056" s="144">
        <v>166</v>
      </c>
      <c r="Q2056" s="145">
        <f t="shared" si="139"/>
        <v>3.0300000000000002</v>
      </c>
      <c r="R2056" s="203">
        <v>1.2</v>
      </c>
      <c r="S2056" s="203">
        <v>4.2300000000000004</v>
      </c>
      <c r="T2056" s="203"/>
      <c r="U2056" s="78">
        <v>2.2000000000000002</v>
      </c>
      <c r="V2056" s="78">
        <v>0.34</v>
      </c>
      <c r="W2056" s="203">
        <f t="shared" si="142"/>
        <v>1.143</v>
      </c>
      <c r="X2056" s="152">
        <f t="shared" si="143"/>
        <v>0.25780999999999998</v>
      </c>
      <c r="Y2056" s="245">
        <f t="shared" si="141"/>
        <v>4.2300000000000004</v>
      </c>
      <c r="Z2056" s="152">
        <f t="shared" si="144"/>
        <v>3.9408099999999999</v>
      </c>
      <c r="AA2056" s="153"/>
      <c r="AB2056" s="153"/>
      <c r="AC2056" s="153"/>
      <c r="AD2056" s="153"/>
      <c r="AH2056" s="147"/>
    </row>
    <row r="2057" spans="1:34" s="146" customFormat="1" x14ac:dyDescent="0.25">
      <c r="A2057" s="196">
        <v>2547</v>
      </c>
      <c r="B2057" s="196" t="s">
        <v>2456</v>
      </c>
      <c r="C2057" s="196" t="s">
        <v>7822</v>
      </c>
      <c r="D2057" s="196" t="s">
        <v>3077</v>
      </c>
      <c r="E2057" s="196" t="s">
        <v>1913</v>
      </c>
      <c r="F2057" s="196">
        <v>2003</v>
      </c>
      <c r="G2057" s="196"/>
      <c r="H2057" s="196" t="s">
        <v>2734</v>
      </c>
      <c r="I2057" s="141" t="s">
        <v>1879</v>
      </c>
      <c r="J2057" s="196"/>
      <c r="K2057" s="196" t="s">
        <v>1881</v>
      </c>
      <c r="L2057" s="240" t="s">
        <v>10008</v>
      </c>
      <c r="M2057" s="196">
        <v>602</v>
      </c>
      <c r="N2057" s="196"/>
      <c r="O2057" s="196" t="s">
        <v>10009</v>
      </c>
      <c r="P2057" s="144">
        <v>817</v>
      </c>
      <c r="Q2057" s="145">
        <f t="shared" si="139"/>
        <v>2.2408099999999997</v>
      </c>
      <c r="R2057" s="203">
        <v>1.7</v>
      </c>
      <c r="S2057" s="203">
        <v>2.85</v>
      </c>
      <c r="T2057" s="203"/>
      <c r="U2057" s="78">
        <v>2.2000000000000002</v>
      </c>
      <c r="V2057" s="78">
        <v>0.34</v>
      </c>
      <c r="W2057" s="203">
        <f t="shared" si="142"/>
        <v>1.143</v>
      </c>
      <c r="X2057" s="152">
        <f t="shared" si="143"/>
        <v>0.25780999999999998</v>
      </c>
      <c r="Y2057" s="245">
        <f t="shared" si="141"/>
        <v>2.85</v>
      </c>
      <c r="Z2057" s="152">
        <f t="shared" si="144"/>
        <v>3.9408099999999999</v>
      </c>
      <c r="AA2057" s="153"/>
      <c r="AB2057" s="153"/>
      <c r="AC2057" s="153"/>
      <c r="AD2057" s="153"/>
      <c r="AH2057" s="147"/>
    </row>
    <row r="2058" spans="1:34" s="146" customFormat="1" x14ac:dyDescent="0.25">
      <c r="A2058" s="196">
        <v>2522</v>
      </c>
      <c r="B2058" s="196" t="s">
        <v>9866</v>
      </c>
      <c r="C2058" s="196" t="s">
        <v>10010</v>
      </c>
      <c r="D2058" s="196" t="s">
        <v>1912</v>
      </c>
      <c r="E2058" s="196" t="s">
        <v>1913</v>
      </c>
      <c r="F2058" s="196">
        <v>2010</v>
      </c>
      <c r="G2058" s="196"/>
      <c r="H2058" s="196" t="s">
        <v>1878</v>
      </c>
      <c r="I2058" s="141" t="s">
        <v>1879</v>
      </c>
      <c r="J2058" s="196"/>
      <c r="K2058" s="196" t="s">
        <v>1881</v>
      </c>
      <c r="L2058" s="240" t="s">
        <v>10011</v>
      </c>
      <c r="M2058" s="196">
        <v>413</v>
      </c>
      <c r="N2058" s="196"/>
      <c r="O2058" s="196" t="s">
        <v>10012</v>
      </c>
      <c r="P2058" s="144">
        <v>375</v>
      </c>
      <c r="Q2058" s="145">
        <f t="shared" si="139"/>
        <v>3.13</v>
      </c>
      <c r="R2058" s="203">
        <v>1.2</v>
      </c>
      <c r="S2058" s="203">
        <v>4.33</v>
      </c>
      <c r="T2058" s="203"/>
      <c r="U2058" s="78">
        <v>2.2000000000000002</v>
      </c>
      <c r="V2058" s="78">
        <v>0.34</v>
      </c>
      <c r="W2058" s="203">
        <f t="shared" si="142"/>
        <v>1.143</v>
      </c>
      <c r="X2058" s="152">
        <f t="shared" si="143"/>
        <v>0.25780999999999998</v>
      </c>
      <c r="Y2058" s="245">
        <f t="shared" si="141"/>
        <v>4.33</v>
      </c>
      <c r="Z2058" s="152">
        <f t="shared" si="144"/>
        <v>3.9408099999999999</v>
      </c>
      <c r="AA2058" s="153"/>
      <c r="AB2058" s="153"/>
      <c r="AC2058" s="153"/>
      <c r="AD2058" s="153"/>
      <c r="AH2058" s="147"/>
    </row>
    <row r="2059" spans="1:34" s="146" customFormat="1" x14ac:dyDescent="0.25">
      <c r="A2059" s="196">
        <v>2518</v>
      </c>
      <c r="B2059" s="196" t="s">
        <v>10013</v>
      </c>
      <c r="C2059" s="196" t="s">
        <v>10014</v>
      </c>
      <c r="D2059" s="196" t="s">
        <v>9192</v>
      </c>
      <c r="E2059" s="196" t="s">
        <v>1913</v>
      </c>
      <c r="F2059" s="196">
        <v>2016</v>
      </c>
      <c r="G2059" s="196"/>
      <c r="H2059" s="196" t="s">
        <v>1878</v>
      </c>
      <c r="I2059" s="141" t="s">
        <v>1879</v>
      </c>
      <c r="J2059" s="196"/>
      <c r="K2059" s="196" t="s">
        <v>1881</v>
      </c>
      <c r="L2059" s="240" t="s">
        <v>10015</v>
      </c>
      <c r="M2059" s="196">
        <v>206</v>
      </c>
      <c r="N2059" s="196"/>
      <c r="O2059" s="196" t="s">
        <v>10016</v>
      </c>
      <c r="P2059" s="144">
        <v>226</v>
      </c>
      <c r="Q2059" s="145">
        <f t="shared" si="139"/>
        <v>3.01</v>
      </c>
      <c r="R2059" s="203">
        <v>1.2</v>
      </c>
      <c r="S2059" s="203">
        <v>4.21</v>
      </c>
      <c r="T2059" s="203"/>
      <c r="U2059" s="78">
        <v>2.2000000000000002</v>
      </c>
      <c r="V2059" s="78">
        <v>0.34</v>
      </c>
      <c r="W2059" s="203">
        <f t="shared" si="142"/>
        <v>1.143</v>
      </c>
      <c r="X2059" s="152">
        <f t="shared" si="143"/>
        <v>0.25780999999999998</v>
      </c>
      <c r="Y2059" s="245">
        <f t="shared" si="141"/>
        <v>4.21</v>
      </c>
      <c r="Z2059" s="152">
        <f t="shared" si="144"/>
        <v>3.9408099999999999</v>
      </c>
      <c r="AA2059" s="153"/>
      <c r="AB2059" s="153"/>
      <c r="AC2059" s="153"/>
      <c r="AD2059" s="153"/>
      <c r="AH2059" s="147"/>
    </row>
    <row r="2060" spans="1:34" s="146" customFormat="1" x14ac:dyDescent="0.25">
      <c r="A2060" s="196">
        <v>689</v>
      </c>
      <c r="B2060" s="196" t="s">
        <v>10017</v>
      </c>
      <c r="C2060" s="196" t="s">
        <v>10018</v>
      </c>
      <c r="D2060" s="196" t="s">
        <v>10019</v>
      </c>
      <c r="E2060" s="196" t="s">
        <v>1913</v>
      </c>
      <c r="F2060" s="196">
        <v>2008</v>
      </c>
      <c r="G2060" s="196"/>
      <c r="H2060" s="196" t="s">
        <v>1878</v>
      </c>
      <c r="I2060" s="141" t="s">
        <v>7527</v>
      </c>
      <c r="J2060" s="196" t="s">
        <v>9196</v>
      </c>
      <c r="K2060" s="196" t="s">
        <v>1881</v>
      </c>
      <c r="L2060" s="240" t="s">
        <v>10020</v>
      </c>
      <c r="M2060" s="196">
        <v>284</v>
      </c>
      <c r="N2060" s="196"/>
      <c r="O2060" s="196" t="s">
        <v>10021</v>
      </c>
      <c r="P2060" s="144">
        <v>383</v>
      </c>
      <c r="Q2060" s="145">
        <f t="shared" si="139"/>
        <v>2.7408099999999997</v>
      </c>
      <c r="R2060" s="203">
        <v>1.2</v>
      </c>
      <c r="S2060" s="203">
        <v>3.4</v>
      </c>
      <c r="T2060" s="203"/>
      <c r="U2060" s="78">
        <v>2.2000000000000002</v>
      </c>
      <c r="V2060" s="78">
        <v>0.34</v>
      </c>
      <c r="W2060" s="203">
        <f t="shared" si="142"/>
        <v>1.143</v>
      </c>
      <c r="X2060" s="152">
        <f t="shared" si="143"/>
        <v>0.25780999999999998</v>
      </c>
      <c r="Y2060" s="245">
        <f t="shared" si="141"/>
        <v>3.4</v>
      </c>
      <c r="Z2060" s="152">
        <f t="shared" si="144"/>
        <v>3.9408099999999999</v>
      </c>
      <c r="AA2060" s="153"/>
      <c r="AB2060" s="153"/>
      <c r="AC2060" s="153"/>
      <c r="AD2060" s="153"/>
      <c r="AH2060" s="147"/>
    </row>
    <row r="2061" spans="1:34" s="146" customFormat="1" x14ac:dyDescent="0.25">
      <c r="A2061" s="196">
        <v>2598</v>
      </c>
      <c r="B2061" s="196" t="s">
        <v>10022</v>
      </c>
      <c r="C2061" s="196" t="s">
        <v>10023</v>
      </c>
      <c r="D2061" s="196" t="s">
        <v>2257</v>
      </c>
      <c r="E2061" s="196"/>
      <c r="F2061" s="196">
        <v>2014</v>
      </c>
      <c r="G2061" s="196"/>
      <c r="H2061" s="196" t="s">
        <v>1878</v>
      </c>
      <c r="I2061" s="141" t="s">
        <v>1914</v>
      </c>
      <c r="J2061" s="196" t="s">
        <v>9196</v>
      </c>
      <c r="K2061" s="196" t="s">
        <v>1881</v>
      </c>
      <c r="L2061" s="240" t="s">
        <v>10024</v>
      </c>
      <c r="M2061" s="196">
        <v>288</v>
      </c>
      <c r="N2061" s="196"/>
      <c r="O2061" s="196" t="s">
        <v>10025</v>
      </c>
      <c r="P2061" s="144">
        <v>315</v>
      </c>
      <c r="Q2061" s="145">
        <f t="shared" si="139"/>
        <v>2.7408099999999997</v>
      </c>
      <c r="R2061" s="203">
        <v>1.2</v>
      </c>
      <c r="S2061" s="203">
        <v>3.66</v>
      </c>
      <c r="T2061" s="203"/>
      <c r="U2061" s="78">
        <v>2.2000000000000002</v>
      </c>
      <c r="V2061" s="78">
        <v>0.34</v>
      </c>
      <c r="W2061" s="203">
        <f t="shared" si="142"/>
        <v>1.143</v>
      </c>
      <c r="X2061" s="152">
        <f t="shared" si="143"/>
        <v>0.25780999999999998</v>
      </c>
      <c r="Y2061" s="245">
        <f t="shared" si="141"/>
        <v>3.66</v>
      </c>
      <c r="Z2061" s="152">
        <f t="shared" si="144"/>
        <v>3.9408099999999999</v>
      </c>
      <c r="AA2061" s="153"/>
      <c r="AB2061" s="153"/>
      <c r="AC2061" s="153"/>
      <c r="AD2061" s="153"/>
      <c r="AH2061" s="147"/>
    </row>
    <row r="2062" spans="1:34" s="146" customFormat="1" x14ac:dyDescent="0.25">
      <c r="A2062" s="196">
        <v>690</v>
      </c>
      <c r="B2062" s="196" t="s">
        <v>10026</v>
      </c>
      <c r="C2062" s="196" t="s">
        <v>10027</v>
      </c>
      <c r="D2062" s="196" t="s">
        <v>10028</v>
      </c>
      <c r="E2062" s="196"/>
      <c r="F2062" s="196">
        <v>1998</v>
      </c>
      <c r="G2062" s="196"/>
      <c r="H2062" s="196" t="s">
        <v>2734</v>
      </c>
      <c r="I2062" s="141" t="s">
        <v>1929</v>
      </c>
      <c r="J2062" s="196"/>
      <c r="K2062" s="196" t="s">
        <v>1881</v>
      </c>
      <c r="L2062" s="240" t="s">
        <v>10029</v>
      </c>
      <c r="M2062" s="196">
        <v>191</v>
      </c>
      <c r="N2062" s="196"/>
      <c r="O2062" s="196" t="s">
        <v>10030</v>
      </c>
      <c r="P2062" s="144">
        <v>352</v>
      </c>
      <c r="Q2062" s="145">
        <f t="shared" si="139"/>
        <v>2.7408099999999997</v>
      </c>
      <c r="R2062" s="203">
        <v>1.2</v>
      </c>
      <c r="S2062" s="203">
        <v>2.1</v>
      </c>
      <c r="T2062" s="203"/>
      <c r="U2062" s="78">
        <v>2.2000000000000002</v>
      </c>
      <c r="V2062" s="78">
        <v>0.34</v>
      </c>
      <c r="W2062" s="203">
        <f t="shared" si="142"/>
        <v>1.143</v>
      </c>
      <c r="X2062" s="152">
        <f t="shared" si="143"/>
        <v>0.25780999999999998</v>
      </c>
      <c r="Y2062" s="245">
        <f t="shared" si="141"/>
        <v>2.1</v>
      </c>
      <c r="Z2062" s="152">
        <f t="shared" si="144"/>
        <v>3.9408099999999999</v>
      </c>
      <c r="AA2062" s="153"/>
      <c r="AB2062" s="153"/>
      <c r="AC2062" s="153"/>
      <c r="AD2062" s="153"/>
      <c r="AH2062" s="147"/>
    </row>
    <row r="2063" spans="1:34" s="146" customFormat="1" x14ac:dyDescent="0.25">
      <c r="A2063" s="196">
        <v>701</v>
      </c>
      <c r="B2063" s="196" t="s">
        <v>10031</v>
      </c>
      <c r="C2063" s="196" t="s">
        <v>10032</v>
      </c>
      <c r="D2063" s="196" t="s">
        <v>8098</v>
      </c>
      <c r="E2063" s="196"/>
      <c r="F2063" s="196">
        <v>2012</v>
      </c>
      <c r="G2063" s="196"/>
      <c r="H2063" s="196" t="s">
        <v>1878</v>
      </c>
      <c r="I2063" s="141" t="s">
        <v>1879</v>
      </c>
      <c r="J2063" s="196"/>
      <c r="K2063" s="196" t="s">
        <v>1881</v>
      </c>
      <c r="L2063" s="240" t="s">
        <v>10033</v>
      </c>
      <c r="M2063" s="196">
        <v>284</v>
      </c>
      <c r="N2063" s="196"/>
      <c r="O2063" s="196" t="s">
        <v>10034</v>
      </c>
      <c r="P2063" s="144">
        <v>362</v>
      </c>
      <c r="Q2063" s="145">
        <f t="shared" si="139"/>
        <v>3.13</v>
      </c>
      <c r="R2063" s="203">
        <v>1.2</v>
      </c>
      <c r="S2063" s="203">
        <v>4.33</v>
      </c>
      <c r="T2063" s="203"/>
      <c r="U2063" s="78">
        <v>2.2000000000000002</v>
      </c>
      <c r="V2063" s="78">
        <v>0.34</v>
      </c>
      <c r="W2063" s="203">
        <f t="shared" si="142"/>
        <v>1.143</v>
      </c>
      <c r="X2063" s="152">
        <f t="shared" si="143"/>
        <v>0.25780999999999998</v>
      </c>
      <c r="Y2063" s="245">
        <f t="shared" si="141"/>
        <v>4.33</v>
      </c>
      <c r="Z2063" s="152">
        <f t="shared" si="144"/>
        <v>3.9408099999999999</v>
      </c>
      <c r="AA2063" s="153"/>
      <c r="AB2063" s="153"/>
      <c r="AC2063" s="153"/>
      <c r="AD2063" s="153"/>
      <c r="AH2063" s="147"/>
    </row>
    <row r="2064" spans="1:34" s="146" customFormat="1" x14ac:dyDescent="0.25">
      <c r="A2064" s="196">
        <v>2547</v>
      </c>
      <c r="B2064" s="196" t="s">
        <v>3941</v>
      </c>
      <c r="C2064" s="196" t="s">
        <v>10035</v>
      </c>
      <c r="D2064" s="196" t="s">
        <v>1912</v>
      </c>
      <c r="E2064" s="196"/>
      <c r="F2064" s="196">
        <v>2005</v>
      </c>
      <c r="G2064" s="196"/>
      <c r="H2064" s="196" t="s">
        <v>1878</v>
      </c>
      <c r="I2064" s="141" t="s">
        <v>1914</v>
      </c>
      <c r="J2064" s="196" t="s">
        <v>9196</v>
      </c>
      <c r="K2064" s="196" t="s">
        <v>1881</v>
      </c>
      <c r="L2064" s="240" t="s">
        <v>10036</v>
      </c>
      <c r="M2064" s="196">
        <v>348</v>
      </c>
      <c r="N2064" s="196"/>
      <c r="O2064" s="196" t="s">
        <v>10037</v>
      </c>
      <c r="P2064" s="144">
        <v>274</v>
      </c>
      <c r="Q2064" s="145">
        <f t="shared" si="139"/>
        <v>2.7408099999999997</v>
      </c>
      <c r="R2064" s="203">
        <v>1.2</v>
      </c>
      <c r="S2064" s="203">
        <v>2.3199999999999998</v>
      </c>
      <c r="T2064" s="203"/>
      <c r="U2064" s="78">
        <v>2.2000000000000002</v>
      </c>
      <c r="V2064" s="78">
        <v>0.34</v>
      </c>
      <c r="W2064" s="203">
        <f t="shared" si="142"/>
        <v>1.143</v>
      </c>
      <c r="X2064" s="152">
        <f t="shared" si="143"/>
        <v>0.25780999999999998</v>
      </c>
      <c r="Y2064" s="245">
        <f t="shared" si="141"/>
        <v>2.3199999999999998</v>
      </c>
      <c r="Z2064" s="152">
        <f t="shared" si="144"/>
        <v>3.9408099999999999</v>
      </c>
      <c r="AA2064" s="153"/>
      <c r="AB2064" s="153"/>
      <c r="AC2064" s="153"/>
      <c r="AD2064" s="153"/>
      <c r="AH2064" s="147"/>
    </row>
    <row r="2065" spans="1:34" s="146" customFormat="1" x14ac:dyDescent="0.25">
      <c r="A2065" s="196">
        <v>1386</v>
      </c>
      <c r="B2065" s="196" t="s">
        <v>10038</v>
      </c>
      <c r="C2065" s="196" t="s">
        <v>10039</v>
      </c>
      <c r="D2065" s="196" t="s">
        <v>2054</v>
      </c>
      <c r="E2065" s="196"/>
      <c r="F2065" s="196">
        <v>2010</v>
      </c>
      <c r="G2065" s="196"/>
      <c r="H2065" s="196" t="s">
        <v>2734</v>
      </c>
      <c r="I2065" s="141" t="s">
        <v>1929</v>
      </c>
      <c r="J2065" s="196"/>
      <c r="K2065" s="196" t="s">
        <v>1881</v>
      </c>
      <c r="L2065" s="240" t="s">
        <v>10040</v>
      </c>
      <c r="M2065" s="196">
        <v>462</v>
      </c>
      <c r="N2065" s="196"/>
      <c r="O2065" s="196" t="s">
        <v>10041</v>
      </c>
      <c r="P2065" s="144">
        <v>402</v>
      </c>
      <c r="Q2065" s="145">
        <f t="shared" si="139"/>
        <v>2.7408099999999997</v>
      </c>
      <c r="R2065" s="203">
        <v>1.2</v>
      </c>
      <c r="S2065" s="203">
        <v>3.5</v>
      </c>
      <c r="T2065" s="203"/>
      <c r="U2065" s="78">
        <v>2.2000000000000002</v>
      </c>
      <c r="V2065" s="78">
        <v>0.34</v>
      </c>
      <c r="W2065" s="203">
        <f t="shared" si="142"/>
        <v>1.143</v>
      </c>
      <c r="X2065" s="152">
        <f t="shared" si="143"/>
        <v>0.25780999999999998</v>
      </c>
      <c r="Y2065" s="245">
        <f t="shared" si="141"/>
        <v>3.5</v>
      </c>
      <c r="Z2065" s="152">
        <f t="shared" si="144"/>
        <v>3.9408099999999999</v>
      </c>
      <c r="AA2065" s="153"/>
      <c r="AB2065" s="153"/>
      <c r="AC2065" s="153"/>
      <c r="AD2065" s="153"/>
      <c r="AH2065" s="147"/>
    </row>
    <row r="2066" spans="1:34" s="146" customFormat="1" x14ac:dyDescent="0.25">
      <c r="A2066" s="196">
        <v>1386</v>
      </c>
      <c r="B2066" s="196" t="s">
        <v>10042</v>
      </c>
      <c r="C2066" s="196" t="s">
        <v>10043</v>
      </c>
      <c r="D2066" s="196" t="s">
        <v>10044</v>
      </c>
      <c r="E2066" s="196" t="s">
        <v>1913</v>
      </c>
      <c r="F2066" s="196">
        <v>2010</v>
      </c>
      <c r="G2066" s="196"/>
      <c r="H2066" s="196" t="s">
        <v>2734</v>
      </c>
      <c r="I2066" s="141" t="s">
        <v>1929</v>
      </c>
      <c r="J2066" s="196"/>
      <c r="K2066" s="196" t="s">
        <v>1881</v>
      </c>
      <c r="L2066" s="240" t="s">
        <v>10045</v>
      </c>
      <c r="M2066" s="196">
        <v>308</v>
      </c>
      <c r="N2066" s="196"/>
      <c r="O2066" s="196" t="s">
        <v>10046</v>
      </c>
      <c r="P2066" s="144">
        <v>456</v>
      </c>
      <c r="Q2066" s="145">
        <f t="shared" si="139"/>
        <v>2.8499999999999996</v>
      </c>
      <c r="R2066" s="203">
        <v>1.2</v>
      </c>
      <c r="S2066" s="203">
        <v>4.05</v>
      </c>
      <c r="T2066" s="203"/>
      <c r="U2066" s="78">
        <v>2.2000000000000002</v>
      </c>
      <c r="V2066" s="78">
        <v>0.34</v>
      </c>
      <c r="W2066" s="203">
        <f t="shared" si="142"/>
        <v>1.143</v>
      </c>
      <c r="X2066" s="152">
        <f t="shared" si="143"/>
        <v>0.25780999999999998</v>
      </c>
      <c r="Y2066" s="245">
        <f t="shared" si="141"/>
        <v>4.05</v>
      </c>
      <c r="Z2066" s="152">
        <f t="shared" si="144"/>
        <v>3.9408099999999999</v>
      </c>
      <c r="AA2066" s="153"/>
      <c r="AB2066" s="153"/>
      <c r="AC2066" s="153"/>
      <c r="AD2066" s="153"/>
      <c r="AH2066" s="147"/>
    </row>
    <row r="2067" spans="1:34" s="146" customFormat="1" x14ac:dyDescent="0.25">
      <c r="A2067" s="196">
        <v>632</v>
      </c>
      <c r="B2067" s="196" t="s">
        <v>10047</v>
      </c>
      <c r="C2067" s="196" t="s">
        <v>10048</v>
      </c>
      <c r="D2067" s="196" t="s">
        <v>10049</v>
      </c>
      <c r="E2067" s="196"/>
      <c r="F2067" s="196">
        <v>2005</v>
      </c>
      <c r="G2067" s="196"/>
      <c r="H2067" s="196" t="s">
        <v>2734</v>
      </c>
      <c r="I2067" s="141" t="s">
        <v>1879</v>
      </c>
      <c r="J2067" s="196"/>
      <c r="K2067" s="196" t="s">
        <v>1881</v>
      </c>
      <c r="L2067" s="240" t="s">
        <v>10050</v>
      </c>
      <c r="M2067" s="196">
        <v>267</v>
      </c>
      <c r="N2067" s="196"/>
      <c r="O2067" s="196" t="s">
        <v>10051</v>
      </c>
      <c r="P2067" s="144">
        <v>313</v>
      </c>
      <c r="Q2067" s="145">
        <f t="shared" si="139"/>
        <v>4.54</v>
      </c>
      <c r="R2067" s="203">
        <v>1.2</v>
      </c>
      <c r="S2067" s="203">
        <v>5.74</v>
      </c>
      <c r="T2067" s="203"/>
      <c r="U2067" s="78">
        <v>2.2000000000000002</v>
      </c>
      <c r="V2067" s="78">
        <v>0.34</v>
      </c>
      <c r="W2067" s="203">
        <f t="shared" si="142"/>
        <v>1.143</v>
      </c>
      <c r="X2067" s="152">
        <f t="shared" si="143"/>
        <v>0.25780999999999998</v>
      </c>
      <c r="Y2067" s="245">
        <f t="shared" si="141"/>
        <v>5.74</v>
      </c>
      <c r="Z2067" s="152">
        <f t="shared" si="144"/>
        <v>3.9408099999999999</v>
      </c>
      <c r="AA2067" s="153"/>
      <c r="AB2067" s="153"/>
      <c r="AC2067" s="153"/>
      <c r="AD2067" s="153"/>
      <c r="AH2067" s="147"/>
    </row>
    <row r="2068" spans="1:34" s="146" customFormat="1" x14ac:dyDescent="0.25">
      <c r="A2068" s="196">
        <v>632</v>
      </c>
      <c r="B2068" s="196" t="s">
        <v>7321</v>
      </c>
      <c r="C2068" s="196" t="s">
        <v>10052</v>
      </c>
      <c r="D2068" s="196" t="s">
        <v>2209</v>
      </c>
      <c r="E2068" s="196" t="s">
        <v>1899</v>
      </c>
      <c r="F2068" s="196">
        <v>2014</v>
      </c>
      <c r="G2068" s="196"/>
      <c r="H2068" s="196" t="s">
        <v>1878</v>
      </c>
      <c r="I2068" s="141" t="s">
        <v>1879</v>
      </c>
      <c r="J2068" s="196" t="s">
        <v>9196</v>
      </c>
      <c r="K2068" s="196" t="s">
        <v>1881</v>
      </c>
      <c r="L2068" s="240" t="s">
        <v>10053</v>
      </c>
      <c r="M2068" s="196">
        <v>539</v>
      </c>
      <c r="N2068" s="196"/>
      <c r="O2068" s="196" t="s">
        <v>10054</v>
      </c>
      <c r="P2068" s="144">
        <v>476</v>
      </c>
      <c r="Q2068" s="145">
        <f t="shared" si="139"/>
        <v>3.0300000000000002</v>
      </c>
      <c r="R2068" s="203">
        <v>1.2</v>
      </c>
      <c r="S2068" s="203">
        <v>4.2300000000000004</v>
      </c>
      <c r="T2068" s="203"/>
      <c r="U2068" s="78">
        <v>2.2000000000000002</v>
      </c>
      <c r="V2068" s="78">
        <v>0.34</v>
      </c>
      <c r="W2068" s="203">
        <f t="shared" si="142"/>
        <v>1.143</v>
      </c>
      <c r="X2068" s="152">
        <f t="shared" si="143"/>
        <v>0.25780999999999998</v>
      </c>
      <c r="Y2068" s="245">
        <f t="shared" si="141"/>
        <v>4.2300000000000004</v>
      </c>
      <c r="Z2068" s="152">
        <f t="shared" si="144"/>
        <v>3.9408099999999999</v>
      </c>
      <c r="AA2068" s="153"/>
      <c r="AB2068" s="153"/>
      <c r="AC2068" s="153"/>
      <c r="AD2068" s="153"/>
      <c r="AH2068" s="147"/>
    </row>
    <row r="2069" spans="1:34" s="146" customFormat="1" x14ac:dyDescent="0.25">
      <c r="A2069" s="196">
        <v>796</v>
      </c>
      <c r="B2069" s="196" t="s">
        <v>10055</v>
      </c>
      <c r="C2069" s="196" t="s">
        <v>10056</v>
      </c>
      <c r="D2069" s="196" t="s">
        <v>9919</v>
      </c>
      <c r="E2069" s="196" t="s">
        <v>1913</v>
      </c>
      <c r="F2069" s="196">
        <v>2016</v>
      </c>
      <c r="G2069" s="196"/>
      <c r="H2069" s="196" t="s">
        <v>1878</v>
      </c>
      <c r="I2069" s="141" t="s">
        <v>1929</v>
      </c>
      <c r="J2069" s="196"/>
      <c r="K2069" s="196" t="s">
        <v>1881</v>
      </c>
      <c r="L2069" s="240" t="s">
        <v>10057</v>
      </c>
      <c r="M2069" s="196">
        <v>373</v>
      </c>
      <c r="N2069" s="196"/>
      <c r="O2069" s="196" t="s">
        <v>10058</v>
      </c>
      <c r="P2069" s="144">
        <v>329</v>
      </c>
      <c r="Q2069" s="145">
        <f t="shared" si="139"/>
        <v>7.839999999999999</v>
      </c>
      <c r="R2069" s="203">
        <v>1.2</v>
      </c>
      <c r="S2069" s="203">
        <v>9.0399999999999991</v>
      </c>
      <c r="T2069" s="203"/>
      <c r="U2069" s="78">
        <v>2.2000000000000002</v>
      </c>
      <c r="V2069" s="78">
        <v>0.34</v>
      </c>
      <c r="W2069" s="203">
        <f t="shared" si="142"/>
        <v>1.143</v>
      </c>
      <c r="X2069" s="152">
        <f t="shared" si="143"/>
        <v>0.25780999999999998</v>
      </c>
      <c r="Y2069" s="245">
        <f t="shared" si="141"/>
        <v>9.0399999999999991</v>
      </c>
      <c r="Z2069" s="152">
        <f t="shared" si="144"/>
        <v>3.9408099999999999</v>
      </c>
      <c r="AA2069" s="153"/>
      <c r="AB2069" s="153"/>
      <c r="AC2069" s="153"/>
      <c r="AD2069" s="153"/>
      <c r="AH2069" s="147"/>
    </row>
    <row r="2070" spans="1:34" s="146" customFormat="1" x14ac:dyDescent="0.25">
      <c r="A2070" s="196">
        <v>2530</v>
      </c>
      <c r="B2070" s="196"/>
      <c r="C2070" s="196" t="s">
        <v>10059</v>
      </c>
      <c r="D2070" s="196"/>
      <c r="E2070" s="196" t="s">
        <v>2518</v>
      </c>
      <c r="F2070" s="196">
        <v>1994</v>
      </c>
      <c r="G2070" s="196"/>
      <c r="H2070" s="196" t="s">
        <v>2734</v>
      </c>
      <c r="I2070" s="141" t="s">
        <v>1914</v>
      </c>
      <c r="J2070" s="196"/>
      <c r="K2070" s="196" t="s">
        <v>1881</v>
      </c>
      <c r="L2070" s="240" t="s">
        <v>10060</v>
      </c>
      <c r="M2070" s="196">
        <v>215</v>
      </c>
      <c r="N2070" s="196"/>
      <c r="O2070" s="196" t="s">
        <v>10061</v>
      </c>
      <c r="P2070" s="144">
        <v>351</v>
      </c>
      <c r="Q2070" s="145">
        <f t="shared" si="139"/>
        <v>5.29</v>
      </c>
      <c r="R2070" s="203">
        <v>1.2</v>
      </c>
      <c r="S2070" s="203">
        <v>6.49</v>
      </c>
      <c r="T2070" s="203"/>
      <c r="U2070" s="78">
        <v>2.2000000000000002</v>
      </c>
      <c r="V2070" s="78">
        <v>0.34</v>
      </c>
      <c r="W2070" s="203">
        <f t="shared" si="142"/>
        <v>1.143</v>
      </c>
      <c r="X2070" s="152">
        <f t="shared" si="143"/>
        <v>0.25780999999999998</v>
      </c>
      <c r="Y2070" s="245">
        <f t="shared" si="141"/>
        <v>6.49</v>
      </c>
      <c r="Z2070" s="152">
        <f t="shared" si="144"/>
        <v>3.9408099999999999</v>
      </c>
      <c r="AA2070" s="153"/>
      <c r="AB2070" s="153"/>
      <c r="AC2070" s="153"/>
      <c r="AD2070" s="153"/>
      <c r="AH2070" s="147"/>
    </row>
    <row r="2071" spans="1:34" s="146" customFormat="1" x14ac:dyDescent="0.25">
      <c r="A2071" s="196">
        <v>1386</v>
      </c>
      <c r="B2071" s="196" t="s">
        <v>10062</v>
      </c>
      <c r="C2071" s="196" t="s">
        <v>10063</v>
      </c>
      <c r="D2071" s="196" t="s">
        <v>9119</v>
      </c>
      <c r="E2071" s="196"/>
      <c r="F2071" s="196"/>
      <c r="G2071" s="196"/>
      <c r="H2071" s="196" t="s">
        <v>2734</v>
      </c>
      <c r="I2071" s="141" t="s">
        <v>1879</v>
      </c>
      <c r="J2071" s="196"/>
      <c r="K2071" s="196" t="s">
        <v>1881</v>
      </c>
      <c r="L2071" s="240" t="s">
        <v>10064</v>
      </c>
      <c r="M2071" s="196">
        <v>312</v>
      </c>
      <c r="N2071" s="196"/>
      <c r="O2071" s="196" t="s">
        <v>10065</v>
      </c>
      <c r="P2071" s="144">
        <v>391</v>
      </c>
      <c r="Q2071" s="145">
        <f t="shared" si="139"/>
        <v>8.89</v>
      </c>
      <c r="R2071" s="203">
        <v>1.2</v>
      </c>
      <c r="S2071" s="203">
        <v>10.09</v>
      </c>
      <c r="T2071" s="203"/>
      <c r="U2071" s="78">
        <v>2.2000000000000002</v>
      </c>
      <c r="V2071" s="78">
        <v>0.34</v>
      </c>
      <c r="W2071" s="203">
        <f t="shared" si="142"/>
        <v>1.143</v>
      </c>
      <c r="X2071" s="152">
        <f t="shared" si="143"/>
        <v>0.25780999999999998</v>
      </c>
      <c r="Y2071" s="245">
        <f t="shared" si="141"/>
        <v>10.09</v>
      </c>
      <c r="Z2071" s="152">
        <f t="shared" si="144"/>
        <v>3.9408099999999999</v>
      </c>
      <c r="AA2071" s="153"/>
      <c r="AB2071" s="153"/>
      <c r="AC2071" s="153"/>
      <c r="AD2071" s="153"/>
      <c r="AH2071" s="147"/>
    </row>
    <row r="2072" spans="1:34" s="146" customFormat="1" x14ac:dyDescent="0.25">
      <c r="A2072" s="196">
        <v>692</v>
      </c>
      <c r="B2072" s="196" t="s">
        <v>10066</v>
      </c>
      <c r="C2072" s="196" t="s">
        <v>10067</v>
      </c>
      <c r="D2072" s="196" t="s">
        <v>1920</v>
      </c>
      <c r="E2072" s="196" t="s">
        <v>1913</v>
      </c>
      <c r="F2072" s="196">
        <v>2008</v>
      </c>
      <c r="G2072" s="196"/>
      <c r="H2072" s="196" t="s">
        <v>1878</v>
      </c>
      <c r="I2072" s="141" t="s">
        <v>1879</v>
      </c>
      <c r="J2072" s="196"/>
      <c r="K2072" s="196" t="s">
        <v>1881</v>
      </c>
      <c r="L2072" s="240" t="s">
        <v>10068</v>
      </c>
      <c r="M2072" s="196">
        <v>349</v>
      </c>
      <c r="N2072" s="196"/>
      <c r="O2072" s="196" t="s">
        <v>10069</v>
      </c>
      <c r="P2072" s="144">
        <v>357</v>
      </c>
      <c r="Q2072" s="145">
        <f t="shared" si="139"/>
        <v>3.2</v>
      </c>
      <c r="R2072" s="203">
        <v>1.2</v>
      </c>
      <c r="S2072" s="203">
        <v>4.4000000000000004</v>
      </c>
      <c r="T2072" s="203"/>
      <c r="U2072" s="78">
        <v>2.2000000000000002</v>
      </c>
      <c r="V2072" s="78">
        <v>0.34</v>
      </c>
      <c r="W2072" s="203">
        <f t="shared" si="142"/>
        <v>1.143</v>
      </c>
      <c r="X2072" s="152">
        <f t="shared" si="143"/>
        <v>0.25780999999999998</v>
      </c>
      <c r="Y2072" s="245">
        <f t="shared" si="141"/>
        <v>4.4000000000000004</v>
      </c>
      <c r="Z2072" s="152">
        <f t="shared" si="144"/>
        <v>3.9408099999999999</v>
      </c>
      <c r="AA2072" s="153"/>
      <c r="AB2072" s="153"/>
      <c r="AC2072" s="153"/>
      <c r="AD2072" s="153"/>
      <c r="AH2072" s="147"/>
    </row>
    <row r="2073" spans="1:34" s="146" customFormat="1" x14ac:dyDescent="0.25">
      <c r="A2073" s="196">
        <v>796</v>
      </c>
      <c r="B2073" s="196" t="s">
        <v>10070</v>
      </c>
      <c r="C2073" s="196" t="s">
        <v>10071</v>
      </c>
      <c r="D2073" s="196" t="s">
        <v>9893</v>
      </c>
      <c r="E2073" s="196" t="s">
        <v>2175</v>
      </c>
      <c r="F2073" s="196">
        <v>2013</v>
      </c>
      <c r="G2073" s="196"/>
      <c r="H2073" s="196" t="s">
        <v>1878</v>
      </c>
      <c r="I2073" s="141" t="s">
        <v>1879</v>
      </c>
      <c r="J2073" s="196"/>
      <c r="K2073" s="196" t="s">
        <v>1881</v>
      </c>
      <c r="L2073" s="240" t="s">
        <v>10072</v>
      </c>
      <c r="M2073" s="196">
        <v>462</v>
      </c>
      <c r="N2073" s="196"/>
      <c r="O2073" s="196" t="s">
        <v>10073</v>
      </c>
      <c r="P2073" s="144">
        <v>469</v>
      </c>
      <c r="Q2073" s="145">
        <f t="shared" si="139"/>
        <v>3</v>
      </c>
      <c r="R2073" s="203">
        <v>1.2</v>
      </c>
      <c r="S2073" s="203">
        <v>4.2</v>
      </c>
      <c r="T2073" s="203"/>
      <c r="U2073" s="78">
        <v>2.2000000000000002</v>
      </c>
      <c r="V2073" s="78">
        <v>0.34</v>
      </c>
      <c r="W2073" s="203">
        <f t="shared" si="142"/>
        <v>1.143</v>
      </c>
      <c r="X2073" s="152">
        <f t="shared" si="143"/>
        <v>0.25780999999999998</v>
      </c>
      <c r="Y2073" s="245">
        <f t="shared" si="141"/>
        <v>4.2</v>
      </c>
      <c r="Z2073" s="152">
        <f t="shared" si="144"/>
        <v>3.9408099999999999</v>
      </c>
      <c r="AA2073" s="153"/>
      <c r="AB2073" s="153"/>
      <c r="AC2073" s="153"/>
      <c r="AD2073" s="153"/>
      <c r="AH2073" s="147"/>
    </row>
    <row r="2074" spans="1:34" s="146" customFormat="1" x14ac:dyDescent="0.25">
      <c r="A2074" s="196">
        <v>2551</v>
      </c>
      <c r="B2074" s="196" t="s">
        <v>8057</v>
      </c>
      <c r="C2074" s="196" t="s">
        <v>10078</v>
      </c>
      <c r="D2074" s="196" t="s">
        <v>2309</v>
      </c>
      <c r="E2074" s="196" t="s">
        <v>1913</v>
      </c>
      <c r="F2074" s="196">
        <v>2012</v>
      </c>
      <c r="G2074" s="196"/>
      <c r="H2074" s="196" t="s">
        <v>1878</v>
      </c>
      <c r="I2074" s="141" t="s">
        <v>1929</v>
      </c>
      <c r="J2074" s="196"/>
      <c r="K2074" s="196" t="s">
        <v>1881</v>
      </c>
      <c r="L2074" s="240" t="s">
        <v>10079</v>
      </c>
      <c r="M2074" s="196">
        <v>549</v>
      </c>
      <c r="N2074" s="196"/>
      <c r="O2074" s="196" t="s">
        <v>10080</v>
      </c>
      <c r="P2074" s="144">
        <v>416</v>
      </c>
      <c r="Q2074" s="145">
        <f t="shared" ref="Q2074:Q2120" si="145">IF(Y2074&gt;Z2074,Y2074,Z2074)-R2074</f>
        <v>3.3899999999999997</v>
      </c>
      <c r="R2074" s="203">
        <v>1.2</v>
      </c>
      <c r="S2074" s="203">
        <v>4.59</v>
      </c>
      <c r="T2074" s="203"/>
      <c r="U2074" s="78">
        <v>2.2000000000000002</v>
      </c>
      <c r="V2074" s="78">
        <v>0.34</v>
      </c>
      <c r="W2074" s="203">
        <f t="shared" si="142"/>
        <v>1.143</v>
      </c>
      <c r="X2074" s="152">
        <f t="shared" si="143"/>
        <v>0.25780999999999998</v>
      </c>
      <c r="Y2074" s="245">
        <f t="shared" si="141"/>
        <v>4.59</v>
      </c>
      <c r="Z2074" s="152">
        <f t="shared" si="144"/>
        <v>3.9408099999999999</v>
      </c>
      <c r="AA2074" s="153"/>
      <c r="AB2074" s="153"/>
      <c r="AC2074" s="153"/>
      <c r="AD2074" s="153"/>
      <c r="AH2074" s="147"/>
    </row>
    <row r="2075" spans="1:34" s="146" customFormat="1" x14ac:dyDescent="0.25">
      <c r="A2075" s="196">
        <v>692</v>
      </c>
      <c r="B2075" s="196" t="s">
        <v>10084</v>
      </c>
      <c r="C2075" s="196" t="s">
        <v>10085</v>
      </c>
      <c r="D2075" s="196" t="s">
        <v>9763</v>
      </c>
      <c r="E2075" s="196"/>
      <c r="F2075" s="196">
        <v>2006</v>
      </c>
      <c r="G2075" s="196"/>
      <c r="H2075" s="196" t="s">
        <v>1878</v>
      </c>
      <c r="I2075" s="141" t="s">
        <v>1879</v>
      </c>
      <c r="J2075" s="196" t="s">
        <v>9196</v>
      </c>
      <c r="K2075" s="196" t="s">
        <v>1881</v>
      </c>
      <c r="L2075" s="240" t="s">
        <v>10086</v>
      </c>
      <c r="M2075" s="196">
        <v>495</v>
      </c>
      <c r="N2075" s="196"/>
      <c r="O2075" s="196" t="s">
        <v>10087</v>
      </c>
      <c r="P2075" s="144">
        <v>413</v>
      </c>
      <c r="Q2075" s="145">
        <f t="shared" si="145"/>
        <v>2.7408099999999997</v>
      </c>
      <c r="R2075" s="203">
        <v>1.2</v>
      </c>
      <c r="S2075" s="203">
        <v>3.9</v>
      </c>
      <c r="T2075" s="203"/>
      <c r="U2075" s="78">
        <v>2.2000000000000002</v>
      </c>
      <c r="V2075" s="78">
        <v>0.34</v>
      </c>
      <c r="W2075" s="203">
        <f t="shared" si="142"/>
        <v>1.143</v>
      </c>
      <c r="X2075" s="152">
        <f t="shared" si="143"/>
        <v>0.25780999999999998</v>
      </c>
      <c r="Y2075" s="245">
        <f t="shared" si="141"/>
        <v>3.9</v>
      </c>
      <c r="Z2075" s="152">
        <f t="shared" si="144"/>
        <v>3.9408099999999999</v>
      </c>
      <c r="AA2075" s="153"/>
      <c r="AB2075" s="153"/>
      <c r="AC2075" s="153"/>
      <c r="AD2075" s="153"/>
      <c r="AH2075" s="147"/>
    </row>
    <row r="2076" spans="1:34" s="146" customFormat="1" x14ac:dyDescent="0.25">
      <c r="A2076" s="196">
        <v>2553</v>
      </c>
      <c r="B2076" s="196" t="s">
        <v>10088</v>
      </c>
      <c r="C2076" s="196" t="s">
        <v>10089</v>
      </c>
      <c r="D2076" s="196" t="s">
        <v>1912</v>
      </c>
      <c r="E2076" s="196"/>
      <c r="F2076" s="196">
        <v>1995</v>
      </c>
      <c r="G2076" s="196"/>
      <c r="H2076" s="196" t="s">
        <v>1878</v>
      </c>
      <c r="I2076" s="141" t="s">
        <v>7527</v>
      </c>
      <c r="J2076" s="196" t="s">
        <v>9196</v>
      </c>
      <c r="K2076" s="196" t="s">
        <v>1881</v>
      </c>
      <c r="L2076" s="240" t="s">
        <v>10090</v>
      </c>
      <c r="M2076" s="196">
        <v>380</v>
      </c>
      <c r="N2076" s="196"/>
      <c r="O2076" s="196" t="s">
        <v>10091</v>
      </c>
      <c r="P2076" s="144">
        <v>359</v>
      </c>
      <c r="Q2076" s="145">
        <f t="shared" si="145"/>
        <v>2.7408099999999997</v>
      </c>
      <c r="R2076" s="203">
        <v>1.2</v>
      </c>
      <c r="S2076" s="203">
        <v>1.9</v>
      </c>
      <c r="T2076" s="203"/>
      <c r="U2076" s="78">
        <v>2.2000000000000002</v>
      </c>
      <c r="V2076" s="78">
        <v>0.34</v>
      </c>
      <c r="W2076" s="203">
        <f t="shared" si="142"/>
        <v>1.143</v>
      </c>
      <c r="X2076" s="152">
        <f t="shared" si="143"/>
        <v>0.25780999999999998</v>
      </c>
      <c r="Y2076" s="245">
        <f t="shared" si="141"/>
        <v>1.9</v>
      </c>
      <c r="Z2076" s="152">
        <f t="shared" si="144"/>
        <v>3.9408099999999999</v>
      </c>
      <c r="AA2076" s="153"/>
      <c r="AB2076" s="153"/>
      <c r="AC2076" s="153"/>
      <c r="AD2076" s="153"/>
      <c r="AH2076" s="147"/>
    </row>
    <row r="2077" spans="1:34" s="146" customFormat="1" x14ac:dyDescent="0.25">
      <c r="A2077" s="196">
        <v>2518</v>
      </c>
      <c r="B2077" s="196" t="s">
        <v>8303</v>
      </c>
      <c r="C2077" s="196" t="s">
        <v>10092</v>
      </c>
      <c r="D2077" s="196" t="s">
        <v>10093</v>
      </c>
      <c r="E2077" s="196"/>
      <c r="F2077" s="196"/>
      <c r="G2077" s="196"/>
      <c r="H2077" s="196" t="s">
        <v>1878</v>
      </c>
      <c r="I2077" s="141" t="s">
        <v>1914</v>
      </c>
      <c r="J2077" s="196"/>
      <c r="K2077" s="196" t="s">
        <v>1881</v>
      </c>
      <c r="L2077" s="240" t="s">
        <v>10094</v>
      </c>
      <c r="M2077" s="196">
        <v>222</v>
      </c>
      <c r="N2077" s="196"/>
      <c r="O2077" s="196" t="s">
        <v>10095</v>
      </c>
      <c r="P2077" s="144">
        <v>263</v>
      </c>
      <c r="Q2077" s="145">
        <f t="shared" si="145"/>
        <v>2.79</v>
      </c>
      <c r="R2077" s="203">
        <v>1.2</v>
      </c>
      <c r="S2077" s="203">
        <v>3.99</v>
      </c>
      <c r="T2077" s="203"/>
      <c r="U2077" s="78">
        <v>2.2000000000000002</v>
      </c>
      <c r="V2077" s="78">
        <v>0.34</v>
      </c>
      <c r="W2077" s="203">
        <f t="shared" si="142"/>
        <v>1.143</v>
      </c>
      <c r="X2077" s="152">
        <f t="shared" si="143"/>
        <v>0.25780999999999998</v>
      </c>
      <c r="Y2077" s="245">
        <f t="shared" si="141"/>
        <v>3.99</v>
      </c>
      <c r="Z2077" s="152">
        <f t="shared" si="144"/>
        <v>3.9408099999999999</v>
      </c>
      <c r="AA2077" s="153"/>
      <c r="AB2077" s="153"/>
      <c r="AC2077" s="153"/>
      <c r="AD2077" s="153"/>
      <c r="AH2077" s="147"/>
    </row>
    <row r="2078" spans="1:34" s="146" customFormat="1" x14ac:dyDescent="0.25">
      <c r="A2078" s="196">
        <v>2518</v>
      </c>
      <c r="B2078" s="196" t="s">
        <v>10096</v>
      </c>
      <c r="C2078" s="196" t="s">
        <v>10097</v>
      </c>
      <c r="D2078" s="196" t="s">
        <v>1988</v>
      </c>
      <c r="E2078" s="196" t="s">
        <v>1913</v>
      </c>
      <c r="F2078" s="196">
        <v>2008</v>
      </c>
      <c r="G2078" s="196"/>
      <c r="H2078" s="196" t="s">
        <v>1878</v>
      </c>
      <c r="I2078" s="141" t="s">
        <v>1914</v>
      </c>
      <c r="J2078" s="196"/>
      <c r="K2078" s="196" t="s">
        <v>1881</v>
      </c>
      <c r="L2078" s="240" t="s">
        <v>10098</v>
      </c>
      <c r="M2078" s="196">
        <v>237</v>
      </c>
      <c r="N2078" s="196"/>
      <c r="O2078" s="196" t="s">
        <v>10099</v>
      </c>
      <c r="P2078" s="144">
        <v>232</v>
      </c>
      <c r="Q2078" s="145">
        <f t="shared" si="145"/>
        <v>2.7408099999999997</v>
      </c>
      <c r="R2078" s="203">
        <v>1.2</v>
      </c>
      <c r="S2078" s="203">
        <v>3.67</v>
      </c>
      <c r="T2078" s="203"/>
      <c r="U2078" s="78">
        <v>2.2000000000000002</v>
      </c>
      <c r="V2078" s="78">
        <v>0.34</v>
      </c>
      <c r="W2078" s="203">
        <f t="shared" si="142"/>
        <v>1.143</v>
      </c>
      <c r="X2078" s="152">
        <f t="shared" si="143"/>
        <v>0.25780999999999998</v>
      </c>
      <c r="Y2078" s="245">
        <f t="shared" si="141"/>
        <v>3.67</v>
      </c>
      <c r="Z2078" s="152">
        <f t="shared" si="144"/>
        <v>3.9408099999999999</v>
      </c>
      <c r="AA2078" s="153"/>
      <c r="AB2078" s="153"/>
      <c r="AC2078" s="153"/>
      <c r="AD2078" s="153"/>
      <c r="AH2078" s="147"/>
    </row>
    <row r="2079" spans="1:34" s="146" customFormat="1" x14ac:dyDescent="0.25">
      <c r="A2079" s="196">
        <v>2518</v>
      </c>
      <c r="B2079" s="196" t="s">
        <v>10100</v>
      </c>
      <c r="C2079" s="196" t="s">
        <v>10101</v>
      </c>
      <c r="D2079" s="196" t="s">
        <v>10102</v>
      </c>
      <c r="E2079" s="196"/>
      <c r="F2079" s="196">
        <v>1996</v>
      </c>
      <c r="G2079" s="196"/>
      <c r="H2079" s="196" t="s">
        <v>1878</v>
      </c>
      <c r="I2079" s="141" t="s">
        <v>1899</v>
      </c>
      <c r="J2079" s="196"/>
      <c r="K2079" s="196" t="s">
        <v>1881</v>
      </c>
      <c r="L2079" s="240" t="s">
        <v>10103</v>
      </c>
      <c r="M2079" s="196">
        <v>195</v>
      </c>
      <c r="N2079" s="196"/>
      <c r="O2079" s="196" t="s">
        <v>10104</v>
      </c>
      <c r="P2079" s="144">
        <v>178</v>
      </c>
      <c r="Q2079" s="145">
        <f t="shared" si="145"/>
        <v>2.7408099999999997</v>
      </c>
      <c r="R2079" s="203">
        <v>1.2</v>
      </c>
      <c r="S2079" s="203">
        <v>3.5</v>
      </c>
      <c r="T2079" s="203"/>
      <c r="U2079" s="78">
        <v>2.2000000000000002</v>
      </c>
      <c r="V2079" s="78">
        <v>0.34</v>
      </c>
      <c r="W2079" s="203">
        <f t="shared" si="142"/>
        <v>1.143</v>
      </c>
      <c r="X2079" s="152">
        <f t="shared" si="143"/>
        <v>0.25780999999999998</v>
      </c>
      <c r="Y2079" s="245">
        <f t="shared" si="141"/>
        <v>3.5</v>
      </c>
      <c r="Z2079" s="152">
        <f t="shared" si="144"/>
        <v>3.9408099999999999</v>
      </c>
      <c r="AA2079" s="153"/>
      <c r="AB2079" s="153"/>
      <c r="AC2079" s="153"/>
      <c r="AD2079" s="153"/>
      <c r="AH2079" s="147"/>
    </row>
    <row r="2080" spans="1:34" s="146" customFormat="1" x14ac:dyDescent="0.25">
      <c r="A2080" s="196">
        <v>1913</v>
      </c>
      <c r="B2080" s="196" t="s">
        <v>2877</v>
      </c>
      <c r="C2080" s="196" t="s">
        <v>10105</v>
      </c>
      <c r="D2080" s="196" t="s">
        <v>1988</v>
      </c>
      <c r="E2080" s="196" t="s">
        <v>1913</v>
      </c>
      <c r="F2080" s="196">
        <v>2007</v>
      </c>
      <c r="G2080" s="196"/>
      <c r="H2080" s="196" t="s">
        <v>1878</v>
      </c>
      <c r="I2080" s="141" t="s">
        <v>1879</v>
      </c>
      <c r="J2080" s="196" t="s">
        <v>9196</v>
      </c>
      <c r="K2080" s="196" t="s">
        <v>1881</v>
      </c>
      <c r="L2080" s="240" t="s">
        <v>10106</v>
      </c>
      <c r="M2080" s="196">
        <v>376</v>
      </c>
      <c r="N2080" s="196"/>
      <c r="O2080" s="196" t="s">
        <v>10107</v>
      </c>
      <c r="P2080" s="144">
        <v>462</v>
      </c>
      <c r="Q2080" s="145">
        <f t="shared" si="145"/>
        <v>2.7408099999999997</v>
      </c>
      <c r="R2080" s="203">
        <v>1.2</v>
      </c>
      <c r="S2080" s="203">
        <v>3.08</v>
      </c>
      <c r="T2080" s="203"/>
      <c r="U2080" s="78">
        <v>2.2000000000000002</v>
      </c>
      <c r="V2080" s="78">
        <v>0.34</v>
      </c>
      <c r="W2080" s="203">
        <f t="shared" si="142"/>
        <v>1.143</v>
      </c>
      <c r="X2080" s="152">
        <f t="shared" si="143"/>
        <v>0.25780999999999998</v>
      </c>
      <c r="Y2080" s="245">
        <f t="shared" si="141"/>
        <v>3.08</v>
      </c>
      <c r="Z2080" s="152">
        <f t="shared" si="144"/>
        <v>3.9408099999999999</v>
      </c>
      <c r="AA2080" s="153"/>
      <c r="AB2080" s="153"/>
      <c r="AC2080" s="153"/>
      <c r="AD2080" s="153"/>
      <c r="AH2080" s="147"/>
    </row>
    <row r="2081" spans="1:34" s="146" customFormat="1" x14ac:dyDescent="0.25">
      <c r="A2081" s="196">
        <v>796</v>
      </c>
      <c r="B2081" s="196" t="s">
        <v>4888</v>
      </c>
      <c r="C2081" s="196" t="s">
        <v>10108</v>
      </c>
      <c r="D2081" s="196" t="s">
        <v>1912</v>
      </c>
      <c r="E2081" s="196" t="s">
        <v>2937</v>
      </c>
      <c r="F2081" s="196">
        <v>2002</v>
      </c>
      <c r="G2081" s="196"/>
      <c r="H2081" s="196" t="s">
        <v>1878</v>
      </c>
      <c r="I2081" s="141" t="s">
        <v>1879</v>
      </c>
      <c r="J2081" s="196"/>
      <c r="K2081" s="196" t="s">
        <v>1881</v>
      </c>
      <c r="L2081" s="240" t="s">
        <v>10109</v>
      </c>
      <c r="M2081" s="196">
        <v>443</v>
      </c>
      <c r="N2081" s="196"/>
      <c r="O2081" s="196" t="s">
        <v>10110</v>
      </c>
      <c r="P2081" s="144">
        <v>366</v>
      </c>
      <c r="Q2081" s="145">
        <f t="shared" si="145"/>
        <v>2.7408099999999997</v>
      </c>
      <c r="R2081" s="203">
        <v>1.2</v>
      </c>
      <c r="S2081" s="203">
        <v>3.2</v>
      </c>
      <c r="T2081" s="203"/>
      <c r="U2081" s="78">
        <v>2.2000000000000002</v>
      </c>
      <c r="V2081" s="78">
        <v>0.34</v>
      </c>
      <c r="W2081" s="203">
        <f t="shared" si="142"/>
        <v>1.143</v>
      </c>
      <c r="X2081" s="152">
        <f t="shared" si="143"/>
        <v>0.25780999999999998</v>
      </c>
      <c r="Y2081" s="245">
        <f t="shared" si="141"/>
        <v>3.2</v>
      </c>
      <c r="Z2081" s="152">
        <f t="shared" si="144"/>
        <v>3.9408099999999999</v>
      </c>
      <c r="AA2081" s="148"/>
      <c r="AB2081" s="148"/>
      <c r="AC2081" s="148"/>
      <c r="AD2081" s="148"/>
      <c r="AH2081" s="147"/>
    </row>
    <row r="2082" spans="1:34" s="146" customFormat="1" x14ac:dyDescent="0.25">
      <c r="A2082" s="196">
        <v>2548</v>
      </c>
      <c r="B2082" s="196" t="s">
        <v>10111</v>
      </c>
      <c r="C2082" s="196" t="s">
        <v>10112</v>
      </c>
      <c r="D2082" s="196" t="s">
        <v>1920</v>
      </c>
      <c r="E2082" s="196" t="s">
        <v>1913</v>
      </c>
      <c r="F2082" s="196">
        <v>2001</v>
      </c>
      <c r="G2082" s="196"/>
      <c r="H2082" s="196" t="s">
        <v>1878</v>
      </c>
      <c r="I2082" s="141" t="s">
        <v>1879</v>
      </c>
      <c r="J2082" s="196"/>
      <c r="K2082" s="196" t="s">
        <v>1881</v>
      </c>
      <c r="L2082" s="240" t="s">
        <v>10113</v>
      </c>
      <c r="M2082" s="196">
        <v>347</v>
      </c>
      <c r="N2082" s="196"/>
      <c r="O2082" s="196" t="s">
        <v>10114</v>
      </c>
      <c r="P2082" s="144">
        <v>307</v>
      </c>
      <c r="Q2082" s="145">
        <f t="shared" si="145"/>
        <v>2.7408099999999997</v>
      </c>
      <c r="R2082" s="203">
        <v>1.2</v>
      </c>
      <c r="S2082" s="203">
        <v>2.92</v>
      </c>
      <c r="T2082" s="203"/>
      <c r="U2082" s="78">
        <v>2.2000000000000002</v>
      </c>
      <c r="V2082" s="78">
        <v>0.34</v>
      </c>
      <c r="W2082" s="203">
        <f t="shared" si="142"/>
        <v>1.143</v>
      </c>
      <c r="X2082" s="152">
        <f t="shared" si="143"/>
        <v>0.25780999999999998</v>
      </c>
      <c r="Y2082" s="245">
        <f t="shared" si="141"/>
        <v>2.92</v>
      </c>
      <c r="Z2082" s="152">
        <f t="shared" si="144"/>
        <v>3.9408099999999999</v>
      </c>
      <c r="AA2082" s="148"/>
      <c r="AB2082" s="148"/>
      <c r="AC2082" s="148"/>
      <c r="AD2082" s="148"/>
      <c r="AH2082" s="147"/>
    </row>
    <row r="2083" spans="1:34" s="146" customFormat="1" x14ac:dyDescent="0.25">
      <c r="A2083" s="196">
        <v>692</v>
      </c>
      <c r="B2083" s="196" t="s">
        <v>10115</v>
      </c>
      <c r="C2083" s="196" t="s">
        <v>10116</v>
      </c>
      <c r="D2083" s="196" t="s">
        <v>2609</v>
      </c>
      <c r="E2083" s="196" t="s">
        <v>1877</v>
      </c>
      <c r="F2083" s="196">
        <v>1999</v>
      </c>
      <c r="G2083" s="196"/>
      <c r="H2083" s="196" t="s">
        <v>1878</v>
      </c>
      <c r="I2083" s="141" t="s">
        <v>7527</v>
      </c>
      <c r="J2083" s="196"/>
      <c r="K2083" s="196" t="s">
        <v>1881</v>
      </c>
      <c r="L2083" s="240" t="s">
        <v>10117</v>
      </c>
      <c r="M2083" s="196">
        <v>380</v>
      </c>
      <c r="N2083" s="196"/>
      <c r="O2083" s="196" t="s">
        <v>10118</v>
      </c>
      <c r="P2083" s="144">
        <v>413</v>
      </c>
      <c r="Q2083" s="145">
        <f t="shared" si="145"/>
        <v>2.7408099999999997</v>
      </c>
      <c r="R2083" s="203">
        <v>1.2</v>
      </c>
      <c r="S2083" s="203">
        <v>3.36</v>
      </c>
      <c r="T2083" s="203"/>
      <c r="U2083" s="78">
        <v>2.2000000000000002</v>
      </c>
      <c r="V2083" s="78">
        <v>0.34</v>
      </c>
      <c r="W2083" s="203">
        <f t="shared" si="142"/>
        <v>1.143</v>
      </c>
      <c r="X2083" s="152">
        <f t="shared" si="143"/>
        <v>0.25780999999999998</v>
      </c>
      <c r="Y2083" s="245">
        <f t="shared" si="141"/>
        <v>3.36</v>
      </c>
      <c r="Z2083" s="152">
        <f t="shared" si="144"/>
        <v>3.9408099999999999</v>
      </c>
      <c r="AA2083" s="148"/>
      <c r="AB2083" s="148"/>
      <c r="AC2083" s="148"/>
      <c r="AD2083" s="148"/>
      <c r="AH2083" s="147"/>
    </row>
    <row r="2084" spans="1:34" s="146" customFormat="1" x14ac:dyDescent="0.25">
      <c r="A2084" s="196">
        <v>2547</v>
      </c>
      <c r="B2084" s="196" t="s">
        <v>10119</v>
      </c>
      <c r="C2084" s="196" t="s">
        <v>10120</v>
      </c>
      <c r="D2084" s="196" t="s">
        <v>10121</v>
      </c>
      <c r="E2084" s="196"/>
      <c r="F2084" s="196"/>
      <c r="G2084" s="196"/>
      <c r="H2084" s="196" t="s">
        <v>1878</v>
      </c>
      <c r="I2084" s="141" t="s">
        <v>7527</v>
      </c>
      <c r="J2084" s="196"/>
      <c r="K2084" s="196" t="s">
        <v>1881</v>
      </c>
      <c r="L2084" s="240"/>
      <c r="M2084" s="196">
        <v>654</v>
      </c>
      <c r="N2084" s="196"/>
      <c r="O2084" s="196" t="s">
        <v>10122</v>
      </c>
      <c r="P2084" s="144">
        <v>468</v>
      </c>
      <c r="Q2084" s="145">
        <f t="shared" si="145"/>
        <v>3.0999999999999996</v>
      </c>
      <c r="R2084" s="203">
        <v>1.2</v>
      </c>
      <c r="S2084" s="203">
        <v>4.3</v>
      </c>
      <c r="T2084" s="203"/>
      <c r="U2084" s="78">
        <v>2.2000000000000002</v>
      </c>
      <c r="V2084" s="78">
        <v>0.34</v>
      </c>
      <c r="W2084" s="203">
        <f t="shared" si="142"/>
        <v>1.143</v>
      </c>
      <c r="X2084" s="152">
        <f t="shared" si="143"/>
        <v>0.25780999999999998</v>
      </c>
      <c r="Y2084" s="245">
        <f t="shared" si="141"/>
        <v>4.3</v>
      </c>
      <c r="Z2084" s="152">
        <f t="shared" si="144"/>
        <v>3.9408099999999999</v>
      </c>
      <c r="AA2084" s="148"/>
      <c r="AB2084" s="148"/>
      <c r="AC2084" s="148"/>
      <c r="AD2084" s="148"/>
      <c r="AH2084" s="147"/>
    </row>
    <row r="2085" spans="1:34" s="146" customFormat="1" x14ac:dyDescent="0.25">
      <c r="A2085" s="196">
        <v>2547</v>
      </c>
      <c r="B2085" s="196" t="s">
        <v>10123</v>
      </c>
      <c r="C2085" s="196" t="s">
        <v>10124</v>
      </c>
      <c r="D2085" s="196" t="s">
        <v>2054</v>
      </c>
      <c r="E2085" s="196"/>
      <c r="F2085" s="196">
        <v>2011</v>
      </c>
      <c r="G2085" s="196"/>
      <c r="H2085" s="196" t="s">
        <v>1878</v>
      </c>
      <c r="I2085" s="141" t="s">
        <v>1879</v>
      </c>
      <c r="J2085" s="196"/>
      <c r="K2085" s="196" t="s">
        <v>1881</v>
      </c>
      <c r="L2085" s="240" t="s">
        <v>10125</v>
      </c>
      <c r="M2085" s="196">
        <v>398</v>
      </c>
      <c r="N2085" s="196"/>
      <c r="O2085" s="196" t="s">
        <v>10126</v>
      </c>
      <c r="P2085" s="144">
        <v>383</v>
      </c>
      <c r="Q2085" s="145">
        <f t="shared" si="145"/>
        <v>2.79</v>
      </c>
      <c r="R2085" s="203">
        <v>1.2</v>
      </c>
      <c r="S2085" s="203">
        <v>3.99</v>
      </c>
      <c r="T2085" s="203"/>
      <c r="U2085" s="78">
        <v>2.2000000000000002</v>
      </c>
      <c r="V2085" s="78">
        <v>0.34</v>
      </c>
      <c r="W2085" s="203">
        <f t="shared" si="142"/>
        <v>1.143</v>
      </c>
      <c r="X2085" s="152">
        <f t="shared" si="143"/>
        <v>0.25780999999999998</v>
      </c>
      <c r="Y2085" s="245">
        <f t="shared" si="141"/>
        <v>3.99</v>
      </c>
      <c r="Z2085" s="152">
        <f t="shared" si="144"/>
        <v>3.9408099999999999</v>
      </c>
      <c r="AA2085" s="148"/>
      <c r="AB2085" s="148"/>
      <c r="AC2085" s="148"/>
      <c r="AD2085" s="148"/>
      <c r="AH2085" s="147"/>
    </row>
    <row r="2086" spans="1:34" s="146" customFormat="1" x14ac:dyDescent="0.25">
      <c r="A2086" s="196">
        <v>692</v>
      </c>
      <c r="B2086" s="196" t="s">
        <v>10127</v>
      </c>
      <c r="C2086" s="196" t="s">
        <v>10128</v>
      </c>
      <c r="D2086" s="196" t="s">
        <v>3077</v>
      </c>
      <c r="E2086" s="196" t="s">
        <v>1913</v>
      </c>
      <c r="F2086" s="196">
        <v>2014</v>
      </c>
      <c r="G2086" s="196"/>
      <c r="H2086" s="196" t="s">
        <v>1878</v>
      </c>
      <c r="I2086" s="141" t="s">
        <v>1879</v>
      </c>
      <c r="J2086" s="196" t="s">
        <v>9196</v>
      </c>
      <c r="K2086" s="196" t="s">
        <v>1881</v>
      </c>
      <c r="L2086" s="240" t="s">
        <v>10129</v>
      </c>
      <c r="M2086" s="196">
        <v>573</v>
      </c>
      <c r="N2086" s="196"/>
      <c r="O2086" s="196" t="s">
        <v>10130</v>
      </c>
      <c r="P2086" s="144">
        <v>470</v>
      </c>
      <c r="Q2086" s="145">
        <f t="shared" si="145"/>
        <v>2.7700000000000005</v>
      </c>
      <c r="R2086" s="203">
        <v>1.2</v>
      </c>
      <c r="S2086" s="203">
        <v>3.97</v>
      </c>
      <c r="T2086" s="203"/>
      <c r="U2086" s="78">
        <v>2.2000000000000002</v>
      </c>
      <c r="V2086" s="78">
        <v>0.34</v>
      </c>
      <c r="W2086" s="203">
        <f t="shared" si="142"/>
        <v>1.143</v>
      </c>
      <c r="X2086" s="152">
        <f t="shared" si="143"/>
        <v>0.25780999999999998</v>
      </c>
      <c r="Y2086" s="245">
        <f t="shared" si="141"/>
        <v>3.97</v>
      </c>
      <c r="Z2086" s="152">
        <f t="shared" si="144"/>
        <v>3.9408099999999999</v>
      </c>
      <c r="AA2086" s="148"/>
      <c r="AB2086" s="148"/>
      <c r="AC2086" s="148"/>
      <c r="AD2086" s="148"/>
      <c r="AH2086" s="147"/>
    </row>
    <row r="2087" spans="1:34" s="146" customFormat="1" x14ac:dyDescent="0.25">
      <c r="A2087" s="196">
        <v>692</v>
      </c>
      <c r="B2087" s="196" t="s">
        <v>2870</v>
      </c>
      <c r="C2087" s="196" t="s">
        <v>10131</v>
      </c>
      <c r="D2087" s="196" t="s">
        <v>2054</v>
      </c>
      <c r="E2087" s="196"/>
      <c r="F2087" s="196"/>
      <c r="G2087" s="196"/>
      <c r="H2087" s="196" t="s">
        <v>2734</v>
      </c>
      <c r="I2087" s="141" t="s">
        <v>1929</v>
      </c>
      <c r="J2087" s="196"/>
      <c r="K2087" s="196" t="s">
        <v>1881</v>
      </c>
      <c r="L2087" s="240" t="s">
        <v>10132</v>
      </c>
      <c r="M2087" s="196">
        <v>487</v>
      </c>
      <c r="N2087" s="196"/>
      <c r="O2087" s="196" t="s">
        <v>10133</v>
      </c>
      <c r="P2087" s="144">
        <v>558</v>
      </c>
      <c r="Q2087" s="145">
        <f t="shared" si="145"/>
        <v>3.79</v>
      </c>
      <c r="R2087" s="203">
        <v>1.2</v>
      </c>
      <c r="S2087" s="203">
        <v>4.99</v>
      </c>
      <c r="T2087" s="203"/>
      <c r="U2087" s="78">
        <v>2.2000000000000002</v>
      </c>
      <c r="V2087" s="78">
        <v>0.34</v>
      </c>
      <c r="W2087" s="203">
        <f>Q2087-V2087-X2087</f>
        <v>3.1847000000000003</v>
      </c>
      <c r="X2087" s="152">
        <f>Q2087*0.07</f>
        <v>0.26530000000000004</v>
      </c>
      <c r="Y2087" s="245">
        <f t="shared" si="141"/>
        <v>4.99</v>
      </c>
      <c r="Z2087" s="148"/>
      <c r="AA2087" s="148"/>
      <c r="AB2087" s="148"/>
      <c r="AC2087" s="148"/>
      <c r="AD2087" s="148"/>
      <c r="AH2087" s="147"/>
    </row>
    <row r="2088" spans="1:34" s="146" customFormat="1" x14ac:dyDescent="0.25">
      <c r="A2088" s="196">
        <v>2518</v>
      </c>
      <c r="B2088" s="196" t="s">
        <v>7746</v>
      </c>
      <c r="C2088" s="196" t="s">
        <v>10134</v>
      </c>
      <c r="D2088" s="196" t="s">
        <v>2257</v>
      </c>
      <c r="E2088" s="196"/>
      <c r="F2088" s="196">
        <v>2002</v>
      </c>
      <c r="G2088" s="196"/>
      <c r="H2088" s="196" t="s">
        <v>1878</v>
      </c>
      <c r="I2088" s="141" t="s">
        <v>1914</v>
      </c>
      <c r="J2088" s="196"/>
      <c r="K2088" s="196" t="s">
        <v>1881</v>
      </c>
      <c r="L2088" s="240" t="s">
        <v>10135</v>
      </c>
      <c r="M2088" s="196">
        <v>635</v>
      </c>
      <c r="N2088" s="196"/>
      <c r="O2088" s="196" t="s">
        <v>10136</v>
      </c>
      <c r="P2088" s="144">
        <v>335</v>
      </c>
      <c r="Q2088" s="145">
        <f t="shared" si="145"/>
        <v>3.5599999999999996</v>
      </c>
      <c r="R2088" s="203">
        <v>1.2</v>
      </c>
      <c r="S2088" s="203">
        <v>4.76</v>
      </c>
      <c r="T2088" s="203"/>
      <c r="U2088" s="78">
        <v>2.2000000000000002</v>
      </c>
      <c r="V2088" s="78">
        <v>0.34</v>
      </c>
      <c r="W2088" s="203">
        <f t="shared" ref="W2088:W2120" si="146">Q2088-V2088-X2088</f>
        <v>2.9707999999999997</v>
      </c>
      <c r="X2088" s="152">
        <f t="shared" ref="X2088:X2120" si="147">Q2088*0.07</f>
        <v>0.2492</v>
      </c>
      <c r="Y2088" s="245">
        <f t="shared" si="141"/>
        <v>4.76</v>
      </c>
      <c r="Z2088" s="148"/>
      <c r="AA2088" s="148"/>
      <c r="AB2088" s="148"/>
      <c r="AC2088" s="148"/>
      <c r="AD2088" s="148"/>
      <c r="AH2088" s="147"/>
    </row>
    <row r="2089" spans="1:34" s="146" customFormat="1" x14ac:dyDescent="0.25">
      <c r="A2089" s="196">
        <v>2522</v>
      </c>
      <c r="B2089" s="196" t="s">
        <v>10137</v>
      </c>
      <c r="C2089" s="196" t="s">
        <v>10138</v>
      </c>
      <c r="D2089" s="196" t="s">
        <v>1912</v>
      </c>
      <c r="E2089" s="196" t="s">
        <v>1913</v>
      </c>
      <c r="F2089" s="196">
        <v>2015</v>
      </c>
      <c r="G2089" s="196"/>
      <c r="H2089" s="196" t="s">
        <v>1878</v>
      </c>
      <c r="I2089" s="141" t="s">
        <v>1929</v>
      </c>
      <c r="J2089" s="196"/>
      <c r="K2089" s="196" t="s">
        <v>1881</v>
      </c>
      <c r="L2089" s="240" t="s">
        <v>10139</v>
      </c>
      <c r="M2089" s="196">
        <v>412</v>
      </c>
      <c r="N2089" s="196"/>
      <c r="O2089" s="196" t="s">
        <v>10140</v>
      </c>
      <c r="P2089" s="144">
        <v>565</v>
      </c>
      <c r="Q2089" s="145">
        <f t="shared" si="145"/>
        <v>2.8599999999999994</v>
      </c>
      <c r="R2089" s="203">
        <v>1.2</v>
      </c>
      <c r="S2089" s="203">
        <v>4.0599999999999996</v>
      </c>
      <c r="T2089" s="203"/>
      <c r="U2089" s="78">
        <v>2.2000000000000002</v>
      </c>
      <c r="V2089" s="78">
        <v>0.34</v>
      </c>
      <c r="W2089" s="203">
        <f t="shared" si="146"/>
        <v>2.3197999999999994</v>
      </c>
      <c r="X2089" s="152">
        <f t="shared" si="147"/>
        <v>0.20019999999999999</v>
      </c>
      <c r="Y2089" s="245">
        <f t="shared" si="141"/>
        <v>4.0599999999999996</v>
      </c>
      <c r="Z2089" s="148"/>
      <c r="AA2089" s="148"/>
      <c r="AB2089" s="148"/>
      <c r="AC2089" s="148"/>
      <c r="AD2089" s="148"/>
      <c r="AH2089" s="147"/>
    </row>
    <row r="2090" spans="1:34" s="146" customFormat="1" x14ac:dyDescent="0.25">
      <c r="A2090" s="196">
        <v>2547</v>
      </c>
      <c r="B2090" s="196" t="s">
        <v>10141</v>
      </c>
      <c r="C2090" s="196" t="s">
        <v>10142</v>
      </c>
      <c r="D2090" s="196" t="s">
        <v>10143</v>
      </c>
      <c r="E2090" s="196" t="s">
        <v>1913</v>
      </c>
      <c r="F2090" s="196">
        <v>2017</v>
      </c>
      <c r="G2090" s="196"/>
      <c r="H2090" s="196" t="s">
        <v>1878</v>
      </c>
      <c r="I2090" s="141" t="s">
        <v>1879</v>
      </c>
      <c r="J2090" s="196"/>
      <c r="K2090" s="196" t="s">
        <v>1881</v>
      </c>
      <c r="L2090" s="240" t="s">
        <v>10144</v>
      </c>
      <c r="M2090" s="196">
        <v>296</v>
      </c>
      <c r="N2090" s="196"/>
      <c r="O2090" s="196" t="s">
        <v>10145</v>
      </c>
      <c r="P2090" s="144">
        <v>289</v>
      </c>
      <c r="Q2090" s="145">
        <f t="shared" si="145"/>
        <v>2.8999999999999995</v>
      </c>
      <c r="R2090" s="203">
        <v>1.2</v>
      </c>
      <c r="S2090" s="203">
        <v>4.0999999999999996</v>
      </c>
      <c r="T2090" s="203"/>
      <c r="U2090" s="78">
        <v>2.2000000000000002</v>
      </c>
      <c r="V2090" s="78">
        <v>0.34</v>
      </c>
      <c r="W2090" s="203">
        <f t="shared" si="146"/>
        <v>2.3569999999999998</v>
      </c>
      <c r="X2090" s="152">
        <f t="shared" si="147"/>
        <v>0.20299999999999999</v>
      </c>
      <c r="Y2090" s="245">
        <f t="shared" si="141"/>
        <v>4.0999999999999996</v>
      </c>
      <c r="Z2090" s="148"/>
      <c r="AA2090" s="148"/>
      <c r="AB2090" s="148"/>
      <c r="AC2090" s="148"/>
      <c r="AD2090" s="148"/>
      <c r="AH2090" s="147"/>
    </row>
    <row r="2091" spans="1:34" s="146" customFormat="1" x14ac:dyDescent="0.25">
      <c r="A2091" s="196">
        <v>2547</v>
      </c>
      <c r="B2091" s="196" t="s">
        <v>4071</v>
      </c>
      <c r="C2091" s="196" t="s">
        <v>10150</v>
      </c>
      <c r="D2091" s="196" t="s">
        <v>1912</v>
      </c>
      <c r="E2091" s="196"/>
      <c r="F2091" s="196">
        <v>1994</v>
      </c>
      <c r="G2091" s="196"/>
      <c r="H2091" s="196" t="s">
        <v>1878</v>
      </c>
      <c r="I2091" s="141" t="s">
        <v>1879</v>
      </c>
      <c r="J2091" s="196"/>
      <c r="K2091" s="196" t="s">
        <v>1881</v>
      </c>
      <c r="L2091" s="240" t="s">
        <v>10151</v>
      </c>
      <c r="M2091" s="196">
        <v>757</v>
      </c>
      <c r="N2091" s="196"/>
      <c r="O2091" s="196" t="s">
        <v>10152</v>
      </c>
      <c r="P2091" s="144">
        <v>500</v>
      </c>
      <c r="Q2091" s="145">
        <f t="shared" si="145"/>
        <v>2.2000000000000002</v>
      </c>
      <c r="R2091" s="203">
        <v>1.2</v>
      </c>
      <c r="S2091" s="203">
        <v>3.4</v>
      </c>
      <c r="T2091" s="203"/>
      <c r="U2091" s="78">
        <v>2.2000000000000002</v>
      </c>
      <c r="V2091" s="78">
        <v>0.34</v>
      </c>
      <c r="W2091" s="203">
        <f t="shared" si="146"/>
        <v>1.706</v>
      </c>
      <c r="X2091" s="152">
        <f t="shared" si="147"/>
        <v>0.15400000000000003</v>
      </c>
      <c r="Y2091" s="245">
        <f t="shared" si="141"/>
        <v>3.4</v>
      </c>
      <c r="Z2091" s="148"/>
      <c r="AA2091" s="148"/>
      <c r="AB2091" s="148"/>
      <c r="AC2091" s="148"/>
      <c r="AD2091" s="148"/>
      <c r="AH2091" s="147"/>
    </row>
    <row r="2092" spans="1:34" s="146" customFormat="1" x14ac:dyDescent="0.25">
      <c r="A2092" s="196">
        <v>1343</v>
      </c>
      <c r="B2092" s="196" t="s">
        <v>10153</v>
      </c>
      <c r="C2092" s="196" t="s">
        <v>10154</v>
      </c>
      <c r="D2092" s="196" t="s">
        <v>10155</v>
      </c>
      <c r="E2092" s="196" t="s">
        <v>1877</v>
      </c>
      <c r="F2092" s="196"/>
      <c r="G2092" s="196"/>
      <c r="H2092" s="196" t="s">
        <v>2734</v>
      </c>
      <c r="I2092" s="141" t="s">
        <v>1929</v>
      </c>
      <c r="J2092" s="196"/>
      <c r="K2092" s="196" t="s">
        <v>1881</v>
      </c>
      <c r="L2092" s="240" t="s">
        <v>10156</v>
      </c>
      <c r="M2092" s="196">
        <v>144</v>
      </c>
      <c r="N2092" s="196"/>
      <c r="O2092" s="196" t="s">
        <v>10157</v>
      </c>
      <c r="P2092" s="144">
        <v>246</v>
      </c>
      <c r="Q2092" s="145">
        <f t="shared" si="145"/>
        <v>3.7</v>
      </c>
      <c r="R2092" s="203">
        <v>1.2</v>
      </c>
      <c r="S2092" s="203">
        <v>4.9000000000000004</v>
      </c>
      <c r="T2092" s="203"/>
      <c r="U2092" s="78">
        <v>2.2000000000000002</v>
      </c>
      <c r="V2092" s="78">
        <v>0.34</v>
      </c>
      <c r="W2092" s="203">
        <f t="shared" si="146"/>
        <v>3.1010000000000004</v>
      </c>
      <c r="X2092" s="152">
        <f t="shared" si="147"/>
        <v>0.25900000000000006</v>
      </c>
      <c r="Y2092" s="245">
        <f t="shared" si="141"/>
        <v>4.9000000000000004</v>
      </c>
      <c r="Z2092" s="148"/>
      <c r="AA2092" s="148"/>
      <c r="AB2092" s="148"/>
      <c r="AC2092" s="148"/>
      <c r="AD2092" s="148"/>
      <c r="AH2092" s="147"/>
    </row>
    <row r="2093" spans="1:34" s="146" customFormat="1" x14ac:dyDescent="0.25">
      <c r="A2093" s="196">
        <v>2551</v>
      </c>
      <c r="B2093" s="196" t="s">
        <v>5033</v>
      </c>
      <c r="C2093" s="196" t="s">
        <v>10158</v>
      </c>
      <c r="D2093" s="196" t="s">
        <v>1988</v>
      </c>
      <c r="E2093" s="196" t="s">
        <v>2412</v>
      </c>
      <c r="F2093" s="196">
        <v>1999</v>
      </c>
      <c r="G2093" s="196"/>
      <c r="H2093" s="196" t="s">
        <v>1878</v>
      </c>
      <c r="I2093" s="141" t="s">
        <v>1879</v>
      </c>
      <c r="J2093" s="196"/>
      <c r="K2093" s="196" t="s">
        <v>1881</v>
      </c>
      <c r="L2093" s="240" t="s">
        <v>10159</v>
      </c>
      <c r="M2093" s="196">
        <v>538</v>
      </c>
      <c r="N2093" s="196"/>
      <c r="O2093" s="196" t="s">
        <v>10160</v>
      </c>
      <c r="P2093" s="144">
        <v>392</v>
      </c>
      <c r="Q2093" s="145">
        <f t="shared" si="145"/>
        <v>2.1799999999999997</v>
      </c>
      <c r="R2093" s="203">
        <v>1.2</v>
      </c>
      <c r="S2093" s="203">
        <v>3.38</v>
      </c>
      <c r="T2093" s="203"/>
      <c r="U2093" s="78">
        <v>2.2000000000000002</v>
      </c>
      <c r="V2093" s="78">
        <v>0.34</v>
      </c>
      <c r="W2093" s="203">
        <f t="shared" si="146"/>
        <v>1.6873999999999996</v>
      </c>
      <c r="X2093" s="152">
        <f t="shared" si="147"/>
        <v>0.15259999999999999</v>
      </c>
      <c r="Y2093" s="245">
        <f t="shared" si="141"/>
        <v>3.38</v>
      </c>
      <c r="Z2093" s="148"/>
      <c r="AA2093" s="148"/>
      <c r="AB2093" s="148"/>
      <c r="AC2093" s="148"/>
      <c r="AD2093" s="148"/>
      <c r="AH2093" s="147"/>
    </row>
    <row r="2094" spans="1:34" s="146" customFormat="1" x14ac:dyDescent="0.25">
      <c r="A2094" s="196">
        <v>1386</v>
      </c>
      <c r="B2094" s="196" t="s">
        <v>10161</v>
      </c>
      <c r="C2094" s="196" t="s">
        <v>10162</v>
      </c>
      <c r="D2094" s="196" t="s">
        <v>9119</v>
      </c>
      <c r="E2094" s="196" t="s">
        <v>10163</v>
      </c>
      <c r="F2094" s="196">
        <v>2017</v>
      </c>
      <c r="G2094" s="196"/>
      <c r="H2094" s="196" t="s">
        <v>1878</v>
      </c>
      <c r="I2094" s="141" t="s">
        <v>1879</v>
      </c>
      <c r="J2094" s="196"/>
      <c r="K2094" s="196" t="s">
        <v>1881</v>
      </c>
      <c r="L2094" s="240" t="s">
        <v>10164</v>
      </c>
      <c r="M2094" s="196">
        <v>254</v>
      </c>
      <c r="N2094" s="196"/>
      <c r="O2094" s="196" t="s">
        <v>10165</v>
      </c>
      <c r="P2094" s="144">
        <v>212</v>
      </c>
      <c r="Q2094" s="145">
        <f t="shared" si="145"/>
        <v>2.66</v>
      </c>
      <c r="R2094" s="203">
        <v>1.2</v>
      </c>
      <c r="S2094" s="203">
        <v>3.86</v>
      </c>
      <c r="T2094" s="203"/>
      <c r="U2094" s="78">
        <v>2.2000000000000002</v>
      </c>
      <c r="V2094" s="78">
        <v>0.34</v>
      </c>
      <c r="W2094" s="203">
        <f t="shared" si="146"/>
        <v>2.1338000000000004</v>
      </c>
      <c r="X2094" s="152">
        <f t="shared" si="147"/>
        <v>0.18620000000000003</v>
      </c>
      <c r="Y2094" s="245">
        <f t="shared" si="141"/>
        <v>3.86</v>
      </c>
      <c r="Z2094" s="148"/>
      <c r="AA2094" s="148"/>
      <c r="AB2094" s="148"/>
      <c r="AC2094" s="148"/>
      <c r="AD2094" s="148"/>
      <c r="AH2094" s="147"/>
    </row>
    <row r="2095" spans="1:34" s="146" customFormat="1" x14ac:dyDescent="0.25">
      <c r="A2095" s="196">
        <v>692</v>
      </c>
      <c r="B2095" s="196" t="s">
        <v>8747</v>
      </c>
      <c r="C2095" s="196" t="s">
        <v>10166</v>
      </c>
      <c r="D2095" s="196" t="s">
        <v>2257</v>
      </c>
      <c r="E2095" s="196"/>
      <c r="F2095" s="196">
        <v>2007</v>
      </c>
      <c r="G2095" s="196"/>
      <c r="H2095" s="196" t="s">
        <v>1878</v>
      </c>
      <c r="I2095" s="141" t="s">
        <v>1879</v>
      </c>
      <c r="J2095" s="196"/>
      <c r="K2095" s="196" t="s">
        <v>1881</v>
      </c>
      <c r="L2095" s="240" t="s">
        <v>10167</v>
      </c>
      <c r="M2095" s="196">
        <v>396</v>
      </c>
      <c r="N2095" s="196"/>
      <c r="O2095" s="196" t="s">
        <v>10168</v>
      </c>
      <c r="P2095" s="144">
        <v>266</v>
      </c>
      <c r="Q2095" s="145">
        <f t="shared" si="145"/>
        <v>1.7900000000000003</v>
      </c>
      <c r="R2095" s="203">
        <v>1.2</v>
      </c>
      <c r="S2095" s="203">
        <v>2.99</v>
      </c>
      <c r="T2095" s="203"/>
      <c r="U2095" s="78">
        <v>2.2000000000000002</v>
      </c>
      <c r="V2095" s="78">
        <v>0.34</v>
      </c>
      <c r="W2095" s="203">
        <f t="shared" si="146"/>
        <v>1.3247000000000002</v>
      </c>
      <c r="X2095" s="152">
        <f t="shared" si="147"/>
        <v>0.12530000000000002</v>
      </c>
      <c r="Y2095" s="245">
        <f t="shared" si="141"/>
        <v>2.99</v>
      </c>
      <c r="Z2095" s="148"/>
      <c r="AA2095" s="148"/>
      <c r="AB2095" s="148"/>
      <c r="AC2095" s="148"/>
      <c r="AD2095" s="148"/>
      <c r="AH2095" s="147"/>
    </row>
    <row r="2096" spans="1:34" s="146" customFormat="1" x14ac:dyDescent="0.25">
      <c r="A2096" s="196">
        <v>1386</v>
      </c>
      <c r="B2096" s="196" t="s">
        <v>10169</v>
      </c>
      <c r="C2096" s="196" t="s">
        <v>10170</v>
      </c>
      <c r="D2096" s="196" t="s">
        <v>9763</v>
      </c>
      <c r="E2096" s="196" t="s">
        <v>2412</v>
      </c>
      <c r="F2096" s="196">
        <v>1999</v>
      </c>
      <c r="G2096" s="196"/>
      <c r="H2096" s="196" t="s">
        <v>1878</v>
      </c>
      <c r="I2096" s="141" t="s">
        <v>1879</v>
      </c>
      <c r="J2096" s="196"/>
      <c r="K2096" s="196" t="s">
        <v>1881</v>
      </c>
      <c r="L2096" s="240" t="s">
        <v>10171</v>
      </c>
      <c r="M2096" s="196">
        <v>365</v>
      </c>
      <c r="N2096" s="196"/>
      <c r="O2096" s="196" t="s">
        <v>10172</v>
      </c>
      <c r="P2096" s="144">
        <v>380</v>
      </c>
      <c r="Q2096" s="145">
        <f t="shared" si="145"/>
        <v>2.2000000000000002</v>
      </c>
      <c r="R2096" s="203">
        <v>1.2</v>
      </c>
      <c r="S2096" s="203">
        <v>3.4</v>
      </c>
      <c r="T2096" s="203"/>
      <c r="U2096" s="78">
        <v>2.2000000000000002</v>
      </c>
      <c r="V2096" s="78">
        <v>0.34</v>
      </c>
      <c r="W2096" s="203">
        <f t="shared" si="146"/>
        <v>1.706</v>
      </c>
      <c r="X2096" s="152">
        <f t="shared" si="147"/>
        <v>0.15400000000000003</v>
      </c>
      <c r="Y2096" s="245">
        <f t="shared" si="141"/>
        <v>3.4</v>
      </c>
      <c r="Z2096" s="148"/>
      <c r="AA2096" s="148"/>
      <c r="AB2096" s="148"/>
      <c r="AC2096" s="148"/>
      <c r="AD2096" s="148"/>
      <c r="AH2096" s="147"/>
    </row>
    <row r="2097" spans="1:34" s="146" customFormat="1" x14ac:dyDescent="0.25">
      <c r="A2097" s="196">
        <v>796</v>
      </c>
      <c r="B2097" s="196" t="s">
        <v>10173</v>
      </c>
      <c r="C2097" s="196" t="s">
        <v>10174</v>
      </c>
      <c r="D2097" s="196" t="s">
        <v>1920</v>
      </c>
      <c r="E2097" s="196"/>
      <c r="F2097" s="196">
        <v>1999</v>
      </c>
      <c r="G2097" s="196"/>
      <c r="H2097" s="196" t="s">
        <v>1878</v>
      </c>
      <c r="I2097" s="141" t="s">
        <v>7527</v>
      </c>
      <c r="J2097" s="196"/>
      <c r="K2097" s="196" t="s">
        <v>1881</v>
      </c>
      <c r="L2097" s="240" t="s">
        <v>10175</v>
      </c>
      <c r="M2097" s="196">
        <v>403</v>
      </c>
      <c r="N2097" s="196"/>
      <c r="O2097" s="196" t="s">
        <v>10176</v>
      </c>
      <c r="P2097" s="144">
        <v>273</v>
      </c>
      <c r="Q2097" s="145">
        <f t="shared" si="145"/>
        <v>4.46</v>
      </c>
      <c r="R2097" s="203">
        <v>1.2</v>
      </c>
      <c r="S2097" s="203">
        <v>5.66</v>
      </c>
      <c r="T2097" s="203"/>
      <c r="U2097" s="78">
        <v>2.2000000000000002</v>
      </c>
      <c r="V2097" s="78">
        <v>0.34</v>
      </c>
      <c r="W2097" s="203">
        <f t="shared" si="146"/>
        <v>3.8078000000000003</v>
      </c>
      <c r="X2097" s="152">
        <f t="shared" si="147"/>
        <v>0.31220000000000003</v>
      </c>
      <c r="Y2097" s="245">
        <f t="shared" si="141"/>
        <v>5.66</v>
      </c>
      <c r="Z2097" s="148"/>
      <c r="AA2097" s="148"/>
      <c r="AB2097" s="148"/>
      <c r="AC2097" s="148"/>
      <c r="AD2097" s="148"/>
      <c r="AH2097" s="147"/>
    </row>
    <row r="2098" spans="1:34" s="146" customFormat="1" x14ac:dyDescent="0.25">
      <c r="A2098" s="196">
        <v>632</v>
      </c>
      <c r="B2098" s="196" t="s">
        <v>10177</v>
      </c>
      <c r="C2098" s="196" t="s">
        <v>10178</v>
      </c>
      <c r="D2098" s="196" t="s">
        <v>10179</v>
      </c>
      <c r="E2098" s="196"/>
      <c r="F2098" s="196">
        <v>1987</v>
      </c>
      <c r="G2098" s="196"/>
      <c r="H2098" s="196" t="s">
        <v>2734</v>
      </c>
      <c r="I2098" s="141" t="s">
        <v>1879</v>
      </c>
      <c r="J2098" s="196"/>
      <c r="K2098" s="196" t="s">
        <v>1881</v>
      </c>
      <c r="L2098" s="240" t="s">
        <v>10180</v>
      </c>
      <c r="M2098" s="196">
        <v>407</v>
      </c>
      <c r="N2098" s="196"/>
      <c r="O2098" s="196" t="s">
        <v>10181</v>
      </c>
      <c r="P2098" s="144">
        <v>545</v>
      </c>
      <c r="Q2098" s="145">
        <f t="shared" si="145"/>
        <v>2.2000000000000002</v>
      </c>
      <c r="R2098" s="203">
        <v>1.2</v>
      </c>
      <c r="S2098" s="203">
        <v>3.4</v>
      </c>
      <c r="T2098" s="203"/>
      <c r="U2098" s="78">
        <v>2.2000000000000002</v>
      </c>
      <c r="V2098" s="78">
        <v>0.34</v>
      </c>
      <c r="W2098" s="203">
        <f t="shared" si="146"/>
        <v>1.706</v>
      </c>
      <c r="X2098" s="152">
        <f t="shared" si="147"/>
        <v>0.15400000000000003</v>
      </c>
      <c r="Y2098" s="245">
        <f t="shared" si="141"/>
        <v>3.4</v>
      </c>
      <c r="Z2098" s="148"/>
      <c r="AA2098" s="148"/>
      <c r="AB2098" s="148"/>
      <c r="AC2098" s="148"/>
      <c r="AD2098" s="148"/>
      <c r="AH2098" s="147"/>
    </row>
    <row r="2099" spans="1:34" s="146" customFormat="1" x14ac:dyDescent="0.25">
      <c r="A2099" s="196">
        <v>1327</v>
      </c>
      <c r="B2099" s="196" t="s">
        <v>10182</v>
      </c>
      <c r="C2099" s="196" t="s">
        <v>10183</v>
      </c>
      <c r="D2099" s="196" t="s">
        <v>1912</v>
      </c>
      <c r="E2099" s="196" t="s">
        <v>1913</v>
      </c>
      <c r="F2099" s="196">
        <v>1996</v>
      </c>
      <c r="G2099" s="196"/>
      <c r="H2099" s="196" t="s">
        <v>2734</v>
      </c>
      <c r="I2099" s="141" t="s">
        <v>1929</v>
      </c>
      <c r="J2099" s="196" t="s">
        <v>10184</v>
      </c>
      <c r="K2099" s="196" t="s">
        <v>1881</v>
      </c>
      <c r="L2099" s="240" t="s">
        <v>10185</v>
      </c>
      <c r="M2099" s="196">
        <v>220</v>
      </c>
      <c r="N2099" s="196"/>
      <c r="O2099" s="196" t="s">
        <v>10186</v>
      </c>
      <c r="P2099" s="144">
        <v>309</v>
      </c>
      <c r="Q2099" s="145">
        <f t="shared" si="145"/>
        <v>1.1199999999999999</v>
      </c>
      <c r="R2099" s="203">
        <v>1.2</v>
      </c>
      <c r="S2099" s="203">
        <v>2.3199999999999998</v>
      </c>
      <c r="T2099" s="203"/>
      <c r="U2099" s="78">
        <v>2.2000000000000002</v>
      </c>
      <c r="V2099" s="78">
        <v>0.34</v>
      </c>
      <c r="W2099" s="203">
        <f t="shared" si="146"/>
        <v>0.70159999999999978</v>
      </c>
      <c r="X2099" s="152">
        <f t="shared" si="147"/>
        <v>7.8399999999999997E-2</v>
      </c>
      <c r="Y2099" s="245">
        <f t="shared" si="141"/>
        <v>2.3199999999999998</v>
      </c>
      <c r="Z2099" s="148"/>
      <c r="AA2099" s="148"/>
      <c r="AB2099" s="148"/>
      <c r="AC2099" s="148"/>
      <c r="AD2099" s="148"/>
      <c r="AH2099" s="147"/>
    </row>
    <row r="2100" spans="1:34" s="146" customFormat="1" x14ac:dyDescent="0.25">
      <c r="A2100" s="196">
        <v>636</v>
      </c>
      <c r="B2100" s="196" t="s">
        <v>1979</v>
      </c>
      <c r="C2100" s="196" t="s">
        <v>10187</v>
      </c>
      <c r="D2100" s="196" t="s">
        <v>1979</v>
      </c>
      <c r="E2100" s="196"/>
      <c r="F2100" s="196"/>
      <c r="G2100" s="196"/>
      <c r="H2100" s="196" t="s">
        <v>2734</v>
      </c>
      <c r="I2100" s="141" t="s">
        <v>1929</v>
      </c>
      <c r="J2100" s="196"/>
      <c r="K2100" s="196" t="s">
        <v>1881</v>
      </c>
      <c r="L2100" s="240" t="s">
        <v>10188</v>
      </c>
      <c r="M2100" s="196">
        <v>137</v>
      </c>
      <c r="N2100" s="196"/>
      <c r="O2100" s="196" t="s">
        <v>10189</v>
      </c>
      <c r="P2100" s="144">
        <v>830</v>
      </c>
      <c r="Q2100" s="145">
        <f t="shared" si="145"/>
        <v>2.74</v>
      </c>
      <c r="R2100" s="203">
        <v>1.2</v>
      </c>
      <c r="S2100" s="203">
        <v>3.94</v>
      </c>
      <c r="T2100" s="203"/>
      <c r="U2100" s="78">
        <v>2.2000000000000002</v>
      </c>
      <c r="V2100" s="78">
        <v>0.34</v>
      </c>
      <c r="W2100" s="203">
        <f t="shared" si="146"/>
        <v>2.2082000000000002</v>
      </c>
      <c r="X2100" s="152">
        <f t="shared" si="147"/>
        <v>0.19180000000000003</v>
      </c>
      <c r="Y2100" s="245">
        <f t="shared" si="141"/>
        <v>3.94</v>
      </c>
      <c r="Z2100" s="148"/>
      <c r="AA2100" s="148"/>
      <c r="AB2100" s="148"/>
      <c r="AC2100" s="148"/>
      <c r="AD2100" s="148"/>
      <c r="AH2100" s="147"/>
    </row>
    <row r="2101" spans="1:34" s="146" customFormat="1" x14ac:dyDescent="0.25">
      <c r="A2101" s="196">
        <v>839</v>
      </c>
      <c r="B2101" s="196" t="s">
        <v>10190</v>
      </c>
      <c r="C2101" s="196" t="s">
        <v>10191</v>
      </c>
      <c r="D2101" s="196" t="s">
        <v>10192</v>
      </c>
      <c r="E2101" s="196"/>
      <c r="F2101" s="196">
        <v>1988</v>
      </c>
      <c r="G2101" s="196"/>
      <c r="H2101" s="196" t="s">
        <v>2734</v>
      </c>
      <c r="I2101" s="141" t="s">
        <v>1929</v>
      </c>
      <c r="J2101" s="196"/>
      <c r="K2101" s="196" t="s">
        <v>1881</v>
      </c>
      <c r="L2101" s="240"/>
      <c r="M2101" s="196">
        <v>143</v>
      </c>
      <c r="N2101" s="196"/>
      <c r="O2101" s="196" t="s">
        <v>10193</v>
      </c>
      <c r="P2101" s="144">
        <v>546</v>
      </c>
      <c r="Q2101" s="145">
        <f t="shared" si="145"/>
        <v>3.5199999999999996</v>
      </c>
      <c r="R2101" s="203">
        <v>1.2</v>
      </c>
      <c r="S2101" s="203">
        <v>4.72</v>
      </c>
      <c r="T2101" s="203"/>
      <c r="U2101" s="78">
        <v>2.2000000000000002</v>
      </c>
      <c r="V2101" s="78">
        <v>0.34</v>
      </c>
      <c r="W2101" s="203">
        <f t="shared" si="146"/>
        <v>2.9335999999999998</v>
      </c>
      <c r="X2101" s="152">
        <f t="shared" si="147"/>
        <v>0.24639999999999998</v>
      </c>
      <c r="Y2101" s="245">
        <f t="shared" si="141"/>
        <v>4.72</v>
      </c>
      <c r="Z2101" s="148"/>
      <c r="AA2101" s="148"/>
      <c r="AB2101" s="148"/>
      <c r="AC2101" s="148"/>
      <c r="AD2101" s="148"/>
      <c r="AH2101" s="147"/>
    </row>
    <row r="2102" spans="1:34" s="146" customFormat="1" x14ac:dyDescent="0.25">
      <c r="A2102" s="196">
        <v>691</v>
      </c>
      <c r="B2102" s="196" t="s">
        <v>10194</v>
      </c>
      <c r="C2102" s="196" t="s">
        <v>10195</v>
      </c>
      <c r="D2102" s="196" t="s">
        <v>6132</v>
      </c>
      <c r="E2102" s="196"/>
      <c r="F2102" s="196">
        <v>2018</v>
      </c>
      <c r="G2102" s="196"/>
      <c r="H2102" s="196" t="s">
        <v>2734</v>
      </c>
      <c r="I2102" s="141" t="s">
        <v>1929</v>
      </c>
      <c r="J2102" s="196"/>
      <c r="K2102" s="196" t="s">
        <v>1881</v>
      </c>
      <c r="L2102" s="240" t="s">
        <v>10196</v>
      </c>
      <c r="M2102" s="196"/>
      <c r="N2102" s="196"/>
      <c r="O2102" s="196" t="s">
        <v>10197</v>
      </c>
      <c r="P2102" s="144">
        <v>292</v>
      </c>
      <c r="Q2102" s="145">
        <f t="shared" si="145"/>
        <v>12.3</v>
      </c>
      <c r="R2102" s="203">
        <v>1.2</v>
      </c>
      <c r="S2102" s="203">
        <v>13.5</v>
      </c>
      <c r="T2102" s="203"/>
      <c r="U2102" s="78">
        <v>2.2000000000000002</v>
      </c>
      <c r="V2102" s="78">
        <v>0.34</v>
      </c>
      <c r="W2102" s="203">
        <f t="shared" si="146"/>
        <v>11.099</v>
      </c>
      <c r="X2102" s="152">
        <f t="shared" si="147"/>
        <v>0.8610000000000001</v>
      </c>
      <c r="Y2102" s="245">
        <f t="shared" si="141"/>
        <v>13.5</v>
      </c>
      <c r="Z2102" s="148"/>
      <c r="AA2102" s="148"/>
      <c r="AB2102" s="148"/>
      <c r="AC2102" s="148"/>
      <c r="AD2102" s="148"/>
      <c r="AH2102" s="147"/>
    </row>
    <row r="2103" spans="1:34" s="146" customFormat="1" x14ac:dyDescent="0.25">
      <c r="A2103" s="196">
        <v>622</v>
      </c>
      <c r="B2103" s="196" t="s">
        <v>10198</v>
      </c>
      <c r="C2103" s="196" t="s">
        <v>10199</v>
      </c>
      <c r="D2103" s="196" t="s">
        <v>5762</v>
      </c>
      <c r="E2103" s="196"/>
      <c r="F2103" s="196"/>
      <c r="G2103" s="196"/>
      <c r="H2103" s="196" t="s">
        <v>2734</v>
      </c>
      <c r="I2103" s="141" t="s">
        <v>1929</v>
      </c>
      <c r="J2103" s="196"/>
      <c r="K2103" s="196" t="s">
        <v>1881</v>
      </c>
      <c r="L2103" s="240" t="s">
        <v>10200</v>
      </c>
      <c r="M2103" s="196">
        <v>100</v>
      </c>
      <c r="N2103" s="196"/>
      <c r="O2103" s="196" t="s">
        <v>10201</v>
      </c>
      <c r="P2103" s="144">
        <v>368</v>
      </c>
      <c r="Q2103" s="145">
        <f t="shared" si="145"/>
        <v>1.89</v>
      </c>
      <c r="R2103" s="203">
        <v>1.2</v>
      </c>
      <c r="S2103" s="203">
        <v>3.09</v>
      </c>
      <c r="T2103" s="203"/>
      <c r="U2103" s="78">
        <v>2.2000000000000002</v>
      </c>
      <c r="V2103" s="78">
        <v>0.34</v>
      </c>
      <c r="W2103" s="203">
        <f t="shared" si="146"/>
        <v>1.4176999999999997</v>
      </c>
      <c r="X2103" s="152">
        <f t="shared" si="147"/>
        <v>0.1323</v>
      </c>
      <c r="Y2103" s="245">
        <f t="shared" si="141"/>
        <v>3.09</v>
      </c>
      <c r="Z2103" s="148"/>
      <c r="AA2103" s="148"/>
      <c r="AB2103" s="148"/>
      <c r="AC2103" s="148"/>
      <c r="AD2103" s="148"/>
      <c r="AH2103" s="147"/>
    </row>
    <row r="2104" spans="1:34" s="146" customFormat="1" x14ac:dyDescent="0.25">
      <c r="A2104" s="196">
        <v>1396</v>
      </c>
      <c r="B2104" s="196" t="s">
        <v>10202</v>
      </c>
      <c r="C2104" s="196" t="s">
        <v>10203</v>
      </c>
      <c r="D2104" s="196" t="s">
        <v>2477</v>
      </c>
      <c r="E2104" s="196"/>
      <c r="F2104" s="196">
        <v>2014</v>
      </c>
      <c r="G2104" s="196"/>
      <c r="H2104" s="196" t="s">
        <v>2734</v>
      </c>
      <c r="I2104" s="141" t="s">
        <v>1929</v>
      </c>
      <c r="J2104" s="196"/>
      <c r="K2104" s="196" t="s">
        <v>1881</v>
      </c>
      <c r="L2104" s="240" t="s">
        <v>10204</v>
      </c>
      <c r="M2104" s="196">
        <v>477</v>
      </c>
      <c r="N2104" s="196"/>
      <c r="O2104" s="196" t="s">
        <v>10205</v>
      </c>
      <c r="P2104" s="144">
        <v>665</v>
      </c>
      <c r="Q2104" s="145">
        <f t="shared" si="145"/>
        <v>3.9299999999999997</v>
      </c>
      <c r="R2104" s="203">
        <v>1.2</v>
      </c>
      <c r="S2104" s="203">
        <v>5.13</v>
      </c>
      <c r="T2104" s="203"/>
      <c r="U2104" s="78">
        <v>2.2000000000000002</v>
      </c>
      <c r="V2104" s="78">
        <v>0.34</v>
      </c>
      <c r="W2104" s="203">
        <f t="shared" si="146"/>
        <v>3.3148999999999997</v>
      </c>
      <c r="X2104" s="152">
        <f t="shared" si="147"/>
        <v>0.27510000000000001</v>
      </c>
      <c r="Y2104" s="245">
        <f t="shared" si="141"/>
        <v>5.13</v>
      </c>
      <c r="Z2104" s="148"/>
      <c r="AA2104" s="148"/>
      <c r="AB2104" s="148"/>
      <c r="AC2104" s="148"/>
      <c r="AD2104" s="148"/>
      <c r="AH2104" s="147"/>
    </row>
    <row r="2105" spans="1:34" s="146" customFormat="1" x14ac:dyDescent="0.25">
      <c r="A2105" s="196">
        <v>1386</v>
      </c>
      <c r="B2105" s="196" t="s">
        <v>10206</v>
      </c>
      <c r="C2105" s="196" t="s">
        <v>10207</v>
      </c>
      <c r="D2105" s="196" t="s">
        <v>2054</v>
      </c>
      <c r="E2105" s="196" t="s">
        <v>1877</v>
      </c>
      <c r="F2105" s="196">
        <v>2006</v>
      </c>
      <c r="G2105" s="196"/>
      <c r="H2105" s="196" t="s">
        <v>2734</v>
      </c>
      <c r="I2105" s="141" t="s">
        <v>1929</v>
      </c>
      <c r="J2105" s="196"/>
      <c r="K2105" s="196" t="s">
        <v>1881</v>
      </c>
      <c r="L2105" s="240" t="s">
        <v>10208</v>
      </c>
      <c r="M2105" s="196">
        <v>382</v>
      </c>
      <c r="N2105" s="196"/>
      <c r="O2105" s="196" t="s">
        <v>10209</v>
      </c>
      <c r="P2105" s="144">
        <v>622</v>
      </c>
      <c r="Q2105" s="145">
        <f t="shared" si="145"/>
        <v>2.6799999999999997</v>
      </c>
      <c r="R2105" s="203">
        <v>1.2</v>
      </c>
      <c r="S2105" s="203">
        <v>3.88</v>
      </c>
      <c r="T2105" s="203"/>
      <c r="U2105" s="78">
        <v>2.2000000000000002</v>
      </c>
      <c r="V2105" s="78">
        <v>0.34</v>
      </c>
      <c r="W2105" s="203">
        <f t="shared" si="146"/>
        <v>2.1524000000000001</v>
      </c>
      <c r="X2105" s="152">
        <f t="shared" si="147"/>
        <v>0.18759999999999999</v>
      </c>
      <c r="Y2105" s="245">
        <f t="shared" si="141"/>
        <v>3.88</v>
      </c>
      <c r="Z2105" s="148"/>
      <c r="AA2105" s="148"/>
      <c r="AB2105" s="148"/>
      <c r="AC2105" s="148"/>
      <c r="AD2105" s="148"/>
      <c r="AH2105" s="147"/>
    </row>
    <row r="2106" spans="1:34" s="146" customFormat="1" x14ac:dyDescent="0.25">
      <c r="A2106" s="196">
        <v>839</v>
      </c>
      <c r="B2106" s="196" t="s">
        <v>10190</v>
      </c>
      <c r="C2106" s="196" t="s">
        <v>10210</v>
      </c>
      <c r="D2106" s="196" t="s">
        <v>10211</v>
      </c>
      <c r="E2106" s="196"/>
      <c r="F2106" s="196">
        <v>1986</v>
      </c>
      <c r="G2106" s="196"/>
      <c r="H2106" s="196" t="s">
        <v>2734</v>
      </c>
      <c r="I2106" s="141" t="s">
        <v>1929</v>
      </c>
      <c r="J2106" s="196"/>
      <c r="K2106" s="196" t="s">
        <v>1881</v>
      </c>
      <c r="L2106" s="240"/>
      <c r="M2106" s="196">
        <v>143</v>
      </c>
      <c r="N2106" s="196"/>
      <c r="O2106" s="196" t="s">
        <v>10212</v>
      </c>
      <c r="P2106" s="144">
        <v>534</v>
      </c>
      <c r="Q2106" s="145">
        <f t="shared" si="145"/>
        <v>13.75</v>
      </c>
      <c r="R2106" s="203">
        <v>1.2</v>
      </c>
      <c r="S2106" s="203">
        <f>11.99+2.96</f>
        <v>14.95</v>
      </c>
      <c r="T2106" s="203"/>
      <c r="U2106" s="78">
        <v>2.2000000000000002</v>
      </c>
      <c r="V2106" s="78">
        <v>0.34</v>
      </c>
      <c r="W2106" s="203">
        <f t="shared" si="146"/>
        <v>12.4475</v>
      </c>
      <c r="X2106" s="152">
        <f t="shared" si="147"/>
        <v>0.96250000000000013</v>
      </c>
      <c r="Y2106" s="245">
        <f t="shared" si="141"/>
        <v>14.95</v>
      </c>
      <c r="Z2106" s="148"/>
      <c r="AA2106" s="148"/>
      <c r="AB2106" s="148"/>
      <c r="AC2106" s="148"/>
      <c r="AD2106" s="148"/>
      <c r="AH2106" s="147"/>
    </row>
    <row r="2107" spans="1:34" s="146" customFormat="1" x14ac:dyDescent="0.25">
      <c r="A2107" s="196">
        <v>632</v>
      </c>
      <c r="B2107" s="196" t="s">
        <v>10213</v>
      </c>
      <c r="C2107" s="196" t="s">
        <v>10214</v>
      </c>
      <c r="D2107" s="196" t="s">
        <v>9893</v>
      </c>
      <c r="E2107" s="196"/>
      <c r="F2107" s="196">
        <v>2009</v>
      </c>
      <c r="G2107" s="196"/>
      <c r="H2107" s="196" t="s">
        <v>1878</v>
      </c>
      <c r="I2107" s="141" t="s">
        <v>1879</v>
      </c>
      <c r="J2107" s="196"/>
      <c r="K2107" s="196" t="s">
        <v>1881</v>
      </c>
      <c r="L2107" s="240" t="s">
        <v>10215</v>
      </c>
      <c r="M2107" s="196">
        <v>494</v>
      </c>
      <c r="N2107" s="196"/>
      <c r="O2107" s="196" t="s">
        <v>10216</v>
      </c>
      <c r="P2107" s="144">
        <v>454</v>
      </c>
      <c r="Q2107" s="145">
        <f t="shared" si="145"/>
        <v>2.8499999999999996</v>
      </c>
      <c r="R2107" s="203">
        <v>1.2</v>
      </c>
      <c r="S2107" s="203">
        <v>4.05</v>
      </c>
      <c r="T2107" s="203"/>
      <c r="U2107" s="78">
        <v>2.2000000000000002</v>
      </c>
      <c r="V2107" s="78">
        <v>0.34</v>
      </c>
      <c r="W2107" s="203">
        <f t="shared" si="146"/>
        <v>2.3104999999999998</v>
      </c>
      <c r="X2107" s="152">
        <f t="shared" si="147"/>
        <v>0.19949999999999998</v>
      </c>
      <c r="Y2107" s="245">
        <f t="shared" ref="Y2107:Y2121" si="148">S2107</f>
        <v>4.05</v>
      </c>
      <c r="Z2107" s="148"/>
      <c r="AA2107" s="148"/>
      <c r="AB2107" s="148"/>
      <c r="AC2107" s="148"/>
      <c r="AD2107" s="148"/>
      <c r="AH2107" s="147"/>
    </row>
    <row r="2108" spans="1:34" s="146" customFormat="1" x14ac:dyDescent="0.25">
      <c r="A2108" s="196">
        <v>632</v>
      </c>
      <c r="B2108" s="196" t="s">
        <v>10217</v>
      </c>
      <c r="C2108" s="196" t="s">
        <v>10218</v>
      </c>
      <c r="D2108" s="196" t="s">
        <v>2244</v>
      </c>
      <c r="E2108" s="196"/>
      <c r="F2108" s="196">
        <v>2000</v>
      </c>
      <c r="G2108" s="196"/>
      <c r="H2108" s="196" t="s">
        <v>2734</v>
      </c>
      <c r="I2108" s="141" t="s">
        <v>1929</v>
      </c>
      <c r="J2108" s="196"/>
      <c r="K2108" s="196" t="s">
        <v>1881</v>
      </c>
      <c r="L2108" s="240" t="s">
        <v>10219</v>
      </c>
      <c r="M2108" s="196">
        <v>373</v>
      </c>
      <c r="N2108" s="196"/>
      <c r="O2108" s="196" t="s">
        <v>10220</v>
      </c>
      <c r="P2108" s="144">
        <v>649</v>
      </c>
      <c r="Q2108" s="145">
        <f t="shared" si="145"/>
        <v>2.0099999999999998</v>
      </c>
      <c r="R2108" s="203">
        <v>1.2</v>
      </c>
      <c r="S2108" s="203">
        <v>3.21</v>
      </c>
      <c r="T2108" s="203"/>
      <c r="U2108" s="78">
        <v>2.2000000000000002</v>
      </c>
      <c r="V2108" s="78">
        <v>0.34</v>
      </c>
      <c r="W2108" s="203">
        <f t="shared" si="146"/>
        <v>1.5292999999999997</v>
      </c>
      <c r="X2108" s="152">
        <f t="shared" si="147"/>
        <v>0.14069999999999999</v>
      </c>
      <c r="Y2108" s="245">
        <f t="shared" si="148"/>
        <v>3.21</v>
      </c>
      <c r="Z2108" s="148"/>
      <c r="AA2108" s="148"/>
      <c r="AB2108" s="148"/>
      <c r="AC2108" s="148"/>
      <c r="AD2108" s="148"/>
      <c r="AH2108" s="147"/>
    </row>
    <row r="2109" spans="1:34" s="146" customFormat="1" x14ac:dyDescent="0.25">
      <c r="A2109" s="196">
        <v>2553</v>
      </c>
      <c r="B2109" s="196" t="s">
        <v>3941</v>
      </c>
      <c r="C2109" s="196" t="s">
        <v>3942</v>
      </c>
      <c r="D2109" s="196" t="s">
        <v>1912</v>
      </c>
      <c r="E2109" s="196"/>
      <c r="F2109" s="196">
        <v>1997</v>
      </c>
      <c r="G2109" s="196"/>
      <c r="H2109" s="196" t="s">
        <v>1878</v>
      </c>
      <c r="I2109" s="141" t="s">
        <v>1914</v>
      </c>
      <c r="J2109" s="196"/>
      <c r="K2109" s="196" t="s">
        <v>1881</v>
      </c>
      <c r="L2109" s="240" t="s">
        <v>3944</v>
      </c>
      <c r="M2109" s="196">
        <v>409</v>
      </c>
      <c r="N2109" s="196"/>
      <c r="O2109" s="196" t="s">
        <v>10221</v>
      </c>
      <c r="P2109" s="144">
        <v>286</v>
      </c>
      <c r="Q2109" s="145">
        <f t="shared" si="145"/>
        <v>2.29</v>
      </c>
      <c r="R2109" s="203">
        <v>1.2</v>
      </c>
      <c r="S2109" s="203">
        <v>3.49</v>
      </c>
      <c r="T2109" s="203"/>
      <c r="U2109" s="78">
        <v>2.2000000000000002</v>
      </c>
      <c r="V2109" s="78">
        <v>0.34</v>
      </c>
      <c r="W2109" s="203">
        <f t="shared" si="146"/>
        <v>1.7896999999999998</v>
      </c>
      <c r="X2109" s="152">
        <f t="shared" si="147"/>
        <v>0.16030000000000003</v>
      </c>
      <c r="Y2109" s="245">
        <f t="shared" si="148"/>
        <v>3.49</v>
      </c>
      <c r="Z2109" s="148"/>
      <c r="AA2109" s="148"/>
      <c r="AB2109" s="148"/>
      <c r="AC2109" s="148"/>
      <c r="AD2109" s="148"/>
      <c r="AH2109" s="147"/>
    </row>
    <row r="2110" spans="1:34" s="146" customFormat="1" x14ac:dyDescent="0.25">
      <c r="A2110" s="196">
        <v>1364</v>
      </c>
      <c r="B2110" s="196" t="s">
        <v>10222</v>
      </c>
      <c r="C2110" s="196" t="s">
        <v>10223</v>
      </c>
      <c r="D2110" s="196" t="s">
        <v>10224</v>
      </c>
      <c r="E2110" s="196"/>
      <c r="F2110" s="196"/>
      <c r="G2110" s="196"/>
      <c r="H2110" s="196" t="s">
        <v>1878</v>
      </c>
      <c r="I2110" s="141" t="s">
        <v>1879</v>
      </c>
      <c r="J2110" s="196"/>
      <c r="K2110" s="196" t="s">
        <v>1881</v>
      </c>
      <c r="L2110" s="240"/>
      <c r="M2110" s="196">
        <v>536</v>
      </c>
      <c r="N2110" s="196"/>
      <c r="O2110" s="196" t="s">
        <v>10225</v>
      </c>
      <c r="P2110" s="144">
        <v>1020</v>
      </c>
      <c r="Q2110" s="145">
        <f t="shared" si="145"/>
        <v>4.9799999999999995</v>
      </c>
      <c r="R2110" s="203">
        <v>1.2</v>
      </c>
      <c r="S2110" s="203">
        <f>4.95+1.23</f>
        <v>6.18</v>
      </c>
      <c r="T2110" s="203"/>
      <c r="U2110" s="78">
        <v>2.2000000000000002</v>
      </c>
      <c r="V2110" s="78">
        <v>0.34</v>
      </c>
      <c r="W2110" s="203">
        <f t="shared" si="146"/>
        <v>4.2913999999999994</v>
      </c>
      <c r="X2110" s="152">
        <f t="shared" si="147"/>
        <v>0.34860000000000002</v>
      </c>
      <c r="Y2110" s="245">
        <f t="shared" si="148"/>
        <v>6.18</v>
      </c>
      <c r="Z2110" s="148"/>
      <c r="AA2110" s="148"/>
      <c r="AB2110" s="148"/>
      <c r="AC2110" s="148"/>
      <c r="AD2110" s="148"/>
      <c r="AH2110" s="147"/>
    </row>
    <row r="2111" spans="1:34" s="146" customFormat="1" x14ac:dyDescent="0.25">
      <c r="A2111" s="196">
        <v>1327</v>
      </c>
      <c r="B2111" s="196" t="s">
        <v>10226</v>
      </c>
      <c r="C2111" s="196" t="s">
        <v>10227</v>
      </c>
      <c r="D2111" s="196" t="s">
        <v>2901</v>
      </c>
      <c r="E2111" s="196"/>
      <c r="F2111" s="196">
        <v>1979</v>
      </c>
      <c r="G2111" s="196"/>
      <c r="H2111" s="196" t="s">
        <v>2734</v>
      </c>
      <c r="I2111" s="141" t="s">
        <v>1879</v>
      </c>
      <c r="J2111" s="196"/>
      <c r="K2111" s="196" t="s">
        <v>1881</v>
      </c>
      <c r="L2111" s="240" t="s">
        <v>10228</v>
      </c>
      <c r="M2111" s="196">
        <v>449</v>
      </c>
      <c r="N2111" s="196"/>
      <c r="O2111" s="196" t="s">
        <v>10229</v>
      </c>
      <c r="P2111" s="144">
        <v>492</v>
      </c>
      <c r="Q2111" s="145">
        <f t="shared" si="145"/>
        <v>2.88</v>
      </c>
      <c r="R2111" s="203">
        <v>1.2</v>
      </c>
      <c r="S2111" s="203">
        <v>4.08</v>
      </c>
      <c r="T2111" s="203"/>
      <c r="U2111" s="78">
        <v>2.2000000000000002</v>
      </c>
      <c r="V2111" s="78">
        <v>0.34</v>
      </c>
      <c r="W2111" s="203">
        <f t="shared" si="146"/>
        <v>2.3384</v>
      </c>
      <c r="X2111" s="152">
        <f t="shared" si="147"/>
        <v>0.2016</v>
      </c>
      <c r="Y2111" s="245">
        <f t="shared" si="148"/>
        <v>4.08</v>
      </c>
      <c r="Z2111" s="148"/>
      <c r="AA2111" s="148"/>
      <c r="AB2111" s="148"/>
      <c r="AC2111" s="148"/>
      <c r="AD2111" s="148"/>
      <c r="AH2111" s="147"/>
    </row>
    <row r="2112" spans="1:34" s="146" customFormat="1" x14ac:dyDescent="0.25">
      <c r="A2112" s="196">
        <v>796</v>
      </c>
      <c r="B2112" s="196" t="s">
        <v>5057</v>
      </c>
      <c r="C2112" s="196" t="s">
        <v>10230</v>
      </c>
      <c r="D2112" s="196" t="s">
        <v>5005</v>
      </c>
      <c r="E2112" s="196" t="s">
        <v>1913</v>
      </c>
      <c r="F2112" s="196">
        <v>2002</v>
      </c>
      <c r="G2112" s="196"/>
      <c r="H2112" s="196" t="s">
        <v>2734</v>
      </c>
      <c r="I2112" s="141" t="s">
        <v>1879</v>
      </c>
      <c r="J2112" s="196"/>
      <c r="K2112" s="196" t="s">
        <v>1881</v>
      </c>
      <c r="L2112" s="240" t="s">
        <v>10231</v>
      </c>
      <c r="M2112" s="196">
        <v>250</v>
      </c>
      <c r="N2112" s="196"/>
      <c r="O2112" s="196" t="s">
        <v>10232</v>
      </c>
      <c r="P2112" s="144">
        <v>437</v>
      </c>
      <c r="Q2112" s="145">
        <f t="shared" si="145"/>
        <v>2.17</v>
      </c>
      <c r="R2112" s="203">
        <v>1.2</v>
      </c>
      <c r="S2112" s="203">
        <v>3.37</v>
      </c>
      <c r="T2112" s="203"/>
      <c r="U2112" s="78">
        <v>2.2000000000000002</v>
      </c>
      <c r="V2112" s="78">
        <v>0.34</v>
      </c>
      <c r="W2112" s="203">
        <f t="shared" si="146"/>
        <v>1.6780999999999999</v>
      </c>
      <c r="X2112" s="152">
        <f t="shared" si="147"/>
        <v>0.15190000000000001</v>
      </c>
      <c r="Y2112" s="245">
        <f t="shared" si="148"/>
        <v>3.37</v>
      </c>
      <c r="Z2112" s="148"/>
      <c r="AA2112" s="148"/>
      <c r="AB2112" s="148"/>
      <c r="AC2112" s="148"/>
      <c r="AD2112" s="148"/>
      <c r="AH2112" s="147"/>
    </row>
    <row r="2113" spans="1:34" s="146" customFormat="1" x14ac:dyDescent="0.25">
      <c r="A2113" s="196">
        <v>1386</v>
      </c>
      <c r="B2113" s="196" t="s">
        <v>10233</v>
      </c>
      <c r="C2113" s="196" t="s">
        <v>10234</v>
      </c>
      <c r="D2113" s="196" t="s">
        <v>2209</v>
      </c>
      <c r="E2113" s="196"/>
      <c r="F2113" s="196">
        <v>1995</v>
      </c>
      <c r="G2113" s="196"/>
      <c r="H2113" s="196" t="s">
        <v>1878</v>
      </c>
      <c r="I2113" s="141" t="s">
        <v>1879</v>
      </c>
      <c r="J2113" s="196"/>
      <c r="K2113" s="196" t="s">
        <v>1881</v>
      </c>
      <c r="L2113" s="240" t="s">
        <v>10235</v>
      </c>
      <c r="M2113" s="196">
        <v>364</v>
      </c>
      <c r="N2113" s="196"/>
      <c r="O2113" s="196" t="s">
        <v>10236</v>
      </c>
      <c r="P2113" s="144">
        <v>266</v>
      </c>
      <c r="Q2113" s="145">
        <f t="shared" si="145"/>
        <v>1.91</v>
      </c>
      <c r="R2113" s="203">
        <v>1.2</v>
      </c>
      <c r="S2113" s="203">
        <v>3.11</v>
      </c>
      <c r="T2113" s="203"/>
      <c r="U2113" s="78">
        <v>2.2000000000000002</v>
      </c>
      <c r="V2113" s="78">
        <v>0.34</v>
      </c>
      <c r="W2113" s="203">
        <f t="shared" si="146"/>
        <v>1.4362999999999999</v>
      </c>
      <c r="X2113" s="152">
        <f t="shared" si="147"/>
        <v>0.13370000000000001</v>
      </c>
      <c r="Y2113" s="245">
        <f t="shared" si="148"/>
        <v>3.11</v>
      </c>
      <c r="Z2113" s="148"/>
      <c r="AA2113" s="148"/>
      <c r="AB2113" s="148"/>
      <c r="AC2113" s="148"/>
      <c r="AD2113" s="148"/>
      <c r="AH2113" s="147"/>
    </row>
    <row r="2114" spans="1:34" s="146" customFormat="1" x14ac:dyDescent="0.25">
      <c r="A2114" s="196">
        <v>593</v>
      </c>
      <c r="B2114" s="196" t="s">
        <v>10237</v>
      </c>
      <c r="C2114" s="196" t="s">
        <v>10238</v>
      </c>
      <c r="D2114" s="196" t="s">
        <v>2971</v>
      </c>
      <c r="E2114" s="196"/>
      <c r="F2114" s="196">
        <v>1999</v>
      </c>
      <c r="G2114" s="196"/>
      <c r="H2114" s="196" t="s">
        <v>2734</v>
      </c>
      <c r="I2114" s="141" t="s">
        <v>1879</v>
      </c>
      <c r="J2114" s="196"/>
      <c r="K2114" s="196" t="s">
        <v>1881</v>
      </c>
      <c r="L2114" s="240" t="s">
        <v>10239</v>
      </c>
      <c r="M2114" s="196">
        <v>118</v>
      </c>
      <c r="N2114" s="196"/>
      <c r="O2114" s="196" t="s">
        <v>10240</v>
      </c>
      <c r="P2114" s="144">
        <v>214</v>
      </c>
      <c r="Q2114" s="145">
        <f t="shared" si="145"/>
        <v>3.0300000000000002</v>
      </c>
      <c r="R2114" s="203">
        <v>1.2</v>
      </c>
      <c r="S2114" s="203">
        <v>4.2300000000000004</v>
      </c>
      <c r="T2114" s="203"/>
      <c r="U2114" s="78">
        <v>2.2000000000000002</v>
      </c>
      <c r="V2114" s="78">
        <v>0.34</v>
      </c>
      <c r="W2114" s="203">
        <f t="shared" si="146"/>
        <v>2.4779000000000004</v>
      </c>
      <c r="X2114" s="152">
        <f t="shared" si="147"/>
        <v>0.21210000000000004</v>
      </c>
      <c r="Y2114" s="245">
        <f t="shared" si="148"/>
        <v>4.2300000000000004</v>
      </c>
      <c r="Z2114" s="148"/>
      <c r="AA2114" s="148"/>
      <c r="AB2114" s="148"/>
      <c r="AC2114" s="148"/>
      <c r="AD2114" s="148"/>
      <c r="AH2114" s="147"/>
    </row>
    <row r="2115" spans="1:34" s="146" customFormat="1" x14ac:dyDescent="0.25">
      <c r="A2115" s="196">
        <v>684</v>
      </c>
      <c r="B2115" s="196" t="s">
        <v>10241</v>
      </c>
      <c r="C2115" s="196" t="s">
        <v>10242</v>
      </c>
      <c r="D2115" s="196" t="s">
        <v>10243</v>
      </c>
      <c r="E2115" s="196"/>
      <c r="F2115" s="196">
        <v>2012</v>
      </c>
      <c r="G2115" s="196"/>
      <c r="H2115" s="196" t="s">
        <v>2734</v>
      </c>
      <c r="I2115" s="141" t="s">
        <v>1879</v>
      </c>
      <c r="J2115" s="196"/>
      <c r="K2115" s="196" t="s">
        <v>1881</v>
      </c>
      <c r="L2115" s="240" t="s">
        <v>10244</v>
      </c>
      <c r="M2115" s="196">
        <v>388</v>
      </c>
      <c r="N2115" s="196"/>
      <c r="O2115" s="196" t="s">
        <v>10245</v>
      </c>
      <c r="P2115" s="144">
        <v>637</v>
      </c>
      <c r="Q2115" s="145">
        <f t="shared" si="145"/>
        <v>2.79</v>
      </c>
      <c r="R2115" s="203">
        <v>1.2</v>
      </c>
      <c r="S2115" s="203">
        <v>3.99</v>
      </c>
      <c r="T2115" s="203"/>
      <c r="U2115" s="78">
        <v>2.2000000000000002</v>
      </c>
      <c r="V2115" s="78">
        <v>0.34</v>
      </c>
      <c r="W2115" s="203">
        <f t="shared" si="146"/>
        <v>2.2547000000000001</v>
      </c>
      <c r="X2115" s="152">
        <f t="shared" si="147"/>
        <v>0.19530000000000003</v>
      </c>
      <c r="Y2115" s="245">
        <f t="shared" si="148"/>
        <v>3.99</v>
      </c>
      <c r="Z2115" s="148"/>
      <c r="AA2115" s="148"/>
      <c r="AB2115" s="148"/>
      <c r="AC2115" s="148"/>
      <c r="AD2115" s="148"/>
      <c r="AH2115" s="147"/>
    </row>
    <row r="2117" spans="1:34" s="146" customFormat="1" x14ac:dyDescent="0.25">
      <c r="A2117" s="196">
        <v>2518</v>
      </c>
      <c r="B2117" s="196" t="s">
        <v>10251</v>
      </c>
      <c r="C2117" s="196" t="s">
        <v>10252</v>
      </c>
      <c r="D2117" s="196" t="s">
        <v>9119</v>
      </c>
      <c r="E2117" s="196" t="s">
        <v>10253</v>
      </c>
      <c r="F2117" s="196">
        <v>2014</v>
      </c>
      <c r="G2117" s="196"/>
      <c r="H2117" s="196" t="s">
        <v>1878</v>
      </c>
      <c r="I2117" s="141" t="s">
        <v>1879</v>
      </c>
      <c r="J2117" s="196"/>
      <c r="K2117" s="196" t="s">
        <v>1881</v>
      </c>
      <c r="L2117" s="240" t="s">
        <v>10254</v>
      </c>
      <c r="M2117" s="196">
        <v>542</v>
      </c>
      <c r="N2117" s="196"/>
      <c r="O2117" s="196" t="s">
        <v>10255</v>
      </c>
      <c r="P2117" s="144">
        <v>425</v>
      </c>
      <c r="Q2117" s="145">
        <f t="shared" si="145"/>
        <v>3.16</v>
      </c>
      <c r="R2117" s="203">
        <v>1.2</v>
      </c>
      <c r="S2117" s="203">
        <v>4.3600000000000003</v>
      </c>
      <c r="T2117" s="203"/>
      <c r="U2117" s="78">
        <v>2.2000000000000002</v>
      </c>
      <c r="V2117" s="78">
        <v>0.34</v>
      </c>
      <c r="W2117" s="203">
        <f t="shared" si="146"/>
        <v>2.5988000000000002</v>
      </c>
      <c r="X2117" s="152">
        <f t="shared" si="147"/>
        <v>0.22120000000000004</v>
      </c>
      <c r="Y2117" s="245">
        <f t="shared" si="148"/>
        <v>4.3600000000000003</v>
      </c>
      <c r="Z2117" s="148"/>
      <c r="AA2117" s="148"/>
      <c r="AB2117" s="148"/>
      <c r="AC2117" s="148"/>
      <c r="AD2117" s="148"/>
      <c r="AH2117" s="147"/>
    </row>
    <row r="2118" spans="1:34" s="146" customFormat="1" x14ac:dyDescent="0.25">
      <c r="A2118" s="196">
        <v>692</v>
      </c>
      <c r="B2118" s="196" t="s">
        <v>9542</v>
      </c>
      <c r="C2118" s="196" t="s">
        <v>10261</v>
      </c>
      <c r="D2118" s="196" t="s">
        <v>1920</v>
      </c>
      <c r="E2118" s="196"/>
      <c r="F2118" s="196">
        <v>2013</v>
      </c>
      <c r="G2118" s="196"/>
      <c r="H2118" s="196" t="s">
        <v>1878</v>
      </c>
      <c r="I2118" s="141" t="s">
        <v>1879</v>
      </c>
      <c r="J2118" s="196"/>
      <c r="K2118" s="196" t="s">
        <v>1881</v>
      </c>
      <c r="L2118" s="240" t="s">
        <v>10262</v>
      </c>
      <c r="M2118" s="196">
        <v>972</v>
      </c>
      <c r="N2118" s="196"/>
      <c r="O2118" s="196" t="s">
        <v>10263</v>
      </c>
      <c r="P2118" s="144">
        <v>633</v>
      </c>
      <c r="Q2118" s="145">
        <f t="shared" si="145"/>
        <v>3.04</v>
      </c>
      <c r="R2118" s="203">
        <v>1.2</v>
      </c>
      <c r="S2118" s="203">
        <v>4.24</v>
      </c>
      <c r="T2118" s="203"/>
      <c r="U2118" s="78">
        <v>2.2000000000000002</v>
      </c>
      <c r="V2118" s="78">
        <v>0.34</v>
      </c>
      <c r="W2118" s="203">
        <f t="shared" si="146"/>
        <v>2.4872000000000001</v>
      </c>
      <c r="X2118" s="152">
        <f t="shared" si="147"/>
        <v>0.21280000000000002</v>
      </c>
      <c r="Y2118" s="245">
        <f t="shared" si="148"/>
        <v>4.24</v>
      </c>
      <c r="Z2118" s="148"/>
      <c r="AA2118" s="148"/>
      <c r="AB2118" s="148"/>
      <c r="AC2118" s="148"/>
      <c r="AD2118" s="148"/>
      <c r="AH2118" s="147"/>
    </row>
    <row r="2119" spans="1:34" s="146" customFormat="1" x14ac:dyDescent="0.25">
      <c r="A2119" s="196">
        <v>692</v>
      </c>
      <c r="B2119" s="196" t="s">
        <v>10264</v>
      </c>
      <c r="C2119" s="196" t="s">
        <v>10265</v>
      </c>
      <c r="D2119" s="196" t="s">
        <v>3077</v>
      </c>
      <c r="E2119" s="196" t="s">
        <v>1913</v>
      </c>
      <c r="F2119" s="196">
        <v>2015</v>
      </c>
      <c r="G2119" s="196"/>
      <c r="H2119" s="196" t="s">
        <v>1878</v>
      </c>
      <c r="I2119" s="141" t="s">
        <v>1879</v>
      </c>
      <c r="J2119" s="196"/>
      <c r="K2119" s="196" t="s">
        <v>1881</v>
      </c>
      <c r="L2119" s="240" t="s">
        <v>10266</v>
      </c>
      <c r="M2119" s="196">
        <v>447</v>
      </c>
      <c r="N2119" s="196"/>
      <c r="O2119" s="196" t="s">
        <v>10267</v>
      </c>
      <c r="P2119" s="144">
        <v>404</v>
      </c>
      <c r="Q2119" s="145">
        <f t="shared" si="145"/>
        <v>2.92</v>
      </c>
      <c r="R2119" s="203">
        <v>1.2</v>
      </c>
      <c r="S2119" s="203">
        <v>4.12</v>
      </c>
      <c r="T2119" s="203"/>
      <c r="U2119" s="78">
        <v>2.2000000000000002</v>
      </c>
      <c r="V2119" s="78">
        <v>0.34</v>
      </c>
      <c r="W2119" s="203">
        <f t="shared" si="146"/>
        <v>2.3755999999999999</v>
      </c>
      <c r="X2119" s="152">
        <f t="shared" si="147"/>
        <v>0.20440000000000003</v>
      </c>
      <c r="Y2119" s="245">
        <f t="shared" si="148"/>
        <v>4.12</v>
      </c>
      <c r="Z2119" s="148"/>
      <c r="AA2119" s="148"/>
      <c r="AB2119" s="148"/>
      <c r="AC2119" s="148"/>
      <c r="AD2119" s="148"/>
      <c r="AH2119" s="147"/>
    </row>
    <row r="2120" spans="1:34" s="146" customFormat="1" x14ac:dyDescent="0.25">
      <c r="A2120" s="196">
        <v>1386</v>
      </c>
      <c r="B2120" s="196" t="s">
        <v>9506</v>
      </c>
      <c r="C2120" s="196" t="s">
        <v>10268</v>
      </c>
      <c r="D2120" s="196" t="s">
        <v>2368</v>
      </c>
      <c r="E2120" s="196"/>
      <c r="F2120" s="196">
        <v>2014</v>
      </c>
      <c r="G2120" s="196"/>
      <c r="H2120" s="196" t="s">
        <v>2734</v>
      </c>
      <c r="I2120" s="141" t="s">
        <v>1929</v>
      </c>
      <c r="J2120" s="196"/>
      <c r="K2120" s="196" t="s">
        <v>1881</v>
      </c>
      <c r="L2120" s="240" t="s">
        <v>10269</v>
      </c>
      <c r="M2120" s="196">
        <v>911</v>
      </c>
      <c r="N2120" s="196"/>
      <c r="O2120" s="196" t="s">
        <v>10270</v>
      </c>
      <c r="P2120" s="144">
        <v>1051</v>
      </c>
      <c r="Q2120" s="145">
        <f t="shared" si="145"/>
        <v>3.13</v>
      </c>
      <c r="R2120" s="203">
        <v>1.2</v>
      </c>
      <c r="S2120" s="203">
        <v>4.33</v>
      </c>
      <c r="T2120" s="203"/>
      <c r="U2120" s="78">
        <v>2.2000000000000002</v>
      </c>
      <c r="V2120" s="78">
        <v>0.34</v>
      </c>
      <c r="W2120" s="203">
        <f t="shared" si="146"/>
        <v>2.5709</v>
      </c>
      <c r="X2120" s="152">
        <f t="shared" si="147"/>
        <v>0.21910000000000002</v>
      </c>
      <c r="Y2120" s="245">
        <f t="shared" si="148"/>
        <v>4.33</v>
      </c>
      <c r="Z2120" s="148"/>
      <c r="AA2120" s="148"/>
      <c r="AB2120" s="148"/>
      <c r="AC2120" s="148"/>
      <c r="AD2120" s="148"/>
      <c r="AH2120" s="147"/>
    </row>
    <row r="2121" spans="1:34" s="146" customFormat="1" x14ac:dyDescent="0.25">
      <c r="A2121" s="138">
        <v>692</v>
      </c>
      <c r="B2121" s="196" t="s">
        <v>9204</v>
      </c>
      <c r="C2121" s="196" t="s">
        <v>10274</v>
      </c>
      <c r="D2121" s="196" t="s">
        <v>9893</v>
      </c>
      <c r="E2121" s="196"/>
      <c r="F2121" s="196">
        <v>1997</v>
      </c>
      <c r="G2121" s="196"/>
      <c r="H2121" s="196" t="s">
        <v>1878</v>
      </c>
      <c r="I2121" s="141" t="s">
        <v>7527</v>
      </c>
      <c r="J2121" s="196" t="s">
        <v>9196</v>
      </c>
      <c r="K2121" s="196" t="s">
        <v>1881</v>
      </c>
      <c r="L2121" s="240" t="s">
        <v>9206</v>
      </c>
      <c r="M2121" s="196">
        <v>442</v>
      </c>
      <c r="N2121" s="196"/>
      <c r="O2121" s="196" t="s">
        <v>10275</v>
      </c>
      <c r="P2121" s="144">
        <v>368</v>
      </c>
      <c r="Q2121" s="242">
        <f>S2121-R2121</f>
        <v>3.0999999999999996</v>
      </c>
      <c r="R2121" s="203">
        <v>1.2</v>
      </c>
      <c r="S2121" s="203">
        <v>4.3</v>
      </c>
      <c r="T2121" s="203"/>
      <c r="U2121" s="103"/>
      <c r="V2121" s="103"/>
      <c r="W2121" s="203"/>
      <c r="X2121" s="148"/>
      <c r="Y2121" s="148">
        <f t="shared" si="148"/>
        <v>4.3</v>
      </c>
      <c r="Z2121" s="148"/>
      <c r="AA2121" s="148"/>
      <c r="AB2121" s="148"/>
      <c r="AC2121" s="148"/>
      <c r="AG2121" s="147"/>
    </row>
    <row r="2122" spans="1:34" s="146" customFormat="1" x14ac:dyDescent="0.25">
      <c r="A2122" s="138">
        <v>689</v>
      </c>
      <c r="B2122" s="196" t="s">
        <v>10276</v>
      </c>
      <c r="C2122" s="196" t="s">
        <v>10277</v>
      </c>
      <c r="D2122" s="196" t="s">
        <v>2209</v>
      </c>
      <c r="E2122" s="196" t="s">
        <v>2175</v>
      </c>
      <c r="F2122" s="196">
        <v>2007</v>
      </c>
      <c r="G2122" s="196"/>
      <c r="H2122" s="196" t="s">
        <v>1878</v>
      </c>
      <c r="I2122" s="141" t="s">
        <v>7527</v>
      </c>
      <c r="J2122" s="196"/>
      <c r="K2122" s="196" t="s">
        <v>1881</v>
      </c>
      <c r="L2122" s="240" t="s">
        <v>10278</v>
      </c>
      <c r="M2122" s="196">
        <v>478</v>
      </c>
      <c r="N2122" s="196"/>
      <c r="O2122" s="196" t="s">
        <v>10279</v>
      </c>
      <c r="P2122" s="144">
        <v>496</v>
      </c>
      <c r="Q2122" s="242">
        <f>S2122-R2122</f>
        <v>3.01</v>
      </c>
      <c r="R2122" s="203">
        <v>1.2</v>
      </c>
      <c r="S2122" s="203">
        <v>4.21</v>
      </c>
      <c r="T2122" s="203"/>
      <c r="U2122" s="103"/>
      <c r="V2122" s="103"/>
      <c r="W2122" s="203"/>
      <c r="X2122" s="148"/>
      <c r="Y2122" s="148"/>
      <c r="Z2122" s="148"/>
      <c r="AA2122" s="148"/>
      <c r="AB2122" s="148"/>
      <c r="AC2122" s="148"/>
      <c r="AG2122" s="147"/>
    </row>
    <row r="2123" spans="1:34" s="146" customFormat="1" x14ac:dyDescent="0.25">
      <c r="A2123" s="138">
        <v>689</v>
      </c>
      <c r="B2123" s="196" t="s">
        <v>10276</v>
      </c>
      <c r="C2123" s="196" t="s">
        <v>10280</v>
      </c>
      <c r="D2123" s="196" t="s">
        <v>2209</v>
      </c>
      <c r="E2123" s="196" t="s">
        <v>1899</v>
      </c>
      <c r="F2123" s="196">
        <v>2007</v>
      </c>
      <c r="G2123" s="196"/>
      <c r="H2123" s="196" t="s">
        <v>1878</v>
      </c>
      <c r="I2123" s="141" t="s">
        <v>7527</v>
      </c>
      <c r="J2123" s="196"/>
      <c r="K2123" s="196" t="s">
        <v>1881</v>
      </c>
      <c r="L2123" s="240" t="s">
        <v>10281</v>
      </c>
      <c r="M2123" s="196">
        <v>446</v>
      </c>
      <c r="N2123" s="196"/>
      <c r="O2123" s="196" t="s">
        <v>10282</v>
      </c>
      <c r="P2123" s="144">
        <v>524</v>
      </c>
      <c r="Q2123" s="242">
        <f t="shared" ref="Q2123:Q2184" si="149">S2123-R2123</f>
        <v>3.13</v>
      </c>
      <c r="R2123" s="203">
        <v>1.2</v>
      </c>
      <c r="S2123" s="203">
        <v>4.33</v>
      </c>
      <c r="T2123" s="203"/>
      <c r="U2123" s="103"/>
      <c r="V2123" s="103"/>
      <c r="W2123" s="203"/>
      <c r="X2123" s="148"/>
      <c r="Y2123" s="148"/>
      <c r="Z2123" s="148"/>
      <c r="AA2123" s="148"/>
      <c r="AB2123" s="148"/>
      <c r="AC2123" s="148"/>
      <c r="AG2123" s="147"/>
    </row>
    <row r="2124" spans="1:34" s="146" customFormat="1" x14ac:dyDescent="0.25">
      <c r="A2124" s="142">
        <v>689</v>
      </c>
      <c r="B2124" s="196" t="s">
        <v>10276</v>
      </c>
      <c r="C2124" s="196" t="s">
        <v>10283</v>
      </c>
      <c r="D2124" s="196" t="s">
        <v>2209</v>
      </c>
      <c r="E2124" s="196" t="s">
        <v>2922</v>
      </c>
      <c r="F2124" s="196">
        <v>2007</v>
      </c>
      <c r="G2124" s="196"/>
      <c r="H2124" s="196" t="s">
        <v>1878</v>
      </c>
      <c r="I2124" s="141" t="s">
        <v>7527</v>
      </c>
      <c r="J2124" s="196"/>
      <c r="K2124" s="196" t="s">
        <v>1881</v>
      </c>
      <c r="L2124" s="240" t="s">
        <v>10284</v>
      </c>
      <c r="M2124" s="196">
        <v>525</v>
      </c>
      <c r="N2124" s="196"/>
      <c r="O2124" s="196" t="s">
        <v>10285</v>
      </c>
      <c r="P2124" s="144">
        <v>537</v>
      </c>
      <c r="Q2124" s="242">
        <f t="shared" si="149"/>
        <v>2.5</v>
      </c>
      <c r="R2124" s="203">
        <v>1.2</v>
      </c>
      <c r="S2124" s="203">
        <v>3.7</v>
      </c>
      <c r="T2124" s="203"/>
      <c r="U2124" s="103"/>
      <c r="V2124" s="103"/>
      <c r="W2124" s="203"/>
      <c r="X2124" s="148"/>
      <c r="Y2124" s="148"/>
      <c r="Z2124" s="148"/>
      <c r="AA2124" s="148"/>
      <c r="AB2124" s="148"/>
      <c r="AC2124" s="148"/>
      <c r="AG2124" s="147"/>
    </row>
    <row r="2125" spans="1:34" s="146" customFormat="1" x14ac:dyDescent="0.25">
      <c r="A2125" s="138">
        <v>2551</v>
      </c>
      <c r="B2125" s="196" t="s">
        <v>5033</v>
      </c>
      <c r="C2125" s="196" t="s">
        <v>10286</v>
      </c>
      <c r="D2125" s="196" t="s">
        <v>10287</v>
      </c>
      <c r="E2125" s="196"/>
      <c r="F2125" s="196">
        <v>2009</v>
      </c>
      <c r="G2125" s="196"/>
      <c r="H2125" s="196" t="s">
        <v>2734</v>
      </c>
      <c r="I2125" s="141" t="s">
        <v>7817</v>
      </c>
      <c r="J2125" s="196"/>
      <c r="K2125" s="196" t="s">
        <v>1881</v>
      </c>
      <c r="L2125" s="240" t="s">
        <v>10288</v>
      </c>
      <c r="M2125" s="196">
        <v>589</v>
      </c>
      <c r="N2125" s="196"/>
      <c r="O2125" s="196" t="s">
        <v>10289</v>
      </c>
      <c r="P2125" s="144">
        <v>754</v>
      </c>
      <c r="Q2125" s="242">
        <f t="shared" si="149"/>
        <v>3.0999999999999996</v>
      </c>
      <c r="R2125" s="203">
        <v>1.2</v>
      </c>
      <c r="S2125" s="242">
        <v>4.3</v>
      </c>
      <c r="T2125" s="203"/>
      <c r="U2125" s="103"/>
      <c r="V2125" s="103"/>
      <c r="W2125" s="203"/>
      <c r="X2125" s="148"/>
      <c r="Y2125" s="148"/>
      <c r="Z2125" s="148"/>
      <c r="AA2125" s="148"/>
      <c r="AB2125" s="148"/>
      <c r="AC2125" s="148"/>
      <c r="AG2125" s="147"/>
    </row>
    <row r="2126" spans="1:34" s="146" customFormat="1" x14ac:dyDescent="0.25">
      <c r="A2126" s="138">
        <v>1386</v>
      </c>
      <c r="B2126" s="196" t="s">
        <v>10290</v>
      </c>
      <c r="C2126" s="196" t="s">
        <v>10291</v>
      </c>
      <c r="D2126" s="196" t="s">
        <v>2054</v>
      </c>
      <c r="E2126" s="196"/>
      <c r="F2126" s="196">
        <v>2004</v>
      </c>
      <c r="G2126" s="196"/>
      <c r="H2126" s="196" t="s">
        <v>2734</v>
      </c>
      <c r="I2126" s="141" t="s">
        <v>1879</v>
      </c>
      <c r="J2126" s="196"/>
      <c r="K2126" s="196" t="s">
        <v>1881</v>
      </c>
      <c r="L2126" s="240" t="s">
        <v>10292</v>
      </c>
      <c r="M2126" s="196">
        <v>479</v>
      </c>
      <c r="N2126" s="196"/>
      <c r="O2126" s="196" t="s">
        <v>10293</v>
      </c>
      <c r="P2126" s="144">
        <v>667</v>
      </c>
      <c r="Q2126" s="242">
        <f t="shared" si="149"/>
        <v>2.62</v>
      </c>
      <c r="R2126" s="203">
        <v>1.2</v>
      </c>
      <c r="S2126" s="242">
        <v>3.82</v>
      </c>
      <c r="T2126" s="203"/>
      <c r="U2126" s="103"/>
      <c r="V2126" s="103"/>
      <c r="W2126" s="203"/>
      <c r="X2126" s="148"/>
      <c r="Y2126" s="148"/>
      <c r="Z2126" s="148"/>
      <c r="AA2126" s="148"/>
      <c r="AB2126" s="148"/>
      <c r="AC2126" s="148"/>
      <c r="AG2126" s="147"/>
    </row>
    <row r="2127" spans="1:34" s="146" customFormat="1" x14ac:dyDescent="0.25">
      <c r="A2127" s="138">
        <v>2518</v>
      </c>
      <c r="B2127" s="196" t="s">
        <v>10294</v>
      </c>
      <c r="C2127" s="196" t="s">
        <v>10295</v>
      </c>
      <c r="D2127" s="196" t="s">
        <v>1912</v>
      </c>
      <c r="E2127" s="196" t="s">
        <v>1913</v>
      </c>
      <c r="F2127" s="196">
        <v>2017</v>
      </c>
      <c r="G2127" s="196"/>
      <c r="H2127" s="196" t="s">
        <v>1878</v>
      </c>
      <c r="I2127" s="141" t="s">
        <v>1879</v>
      </c>
      <c r="J2127" s="196" t="s">
        <v>9196</v>
      </c>
      <c r="K2127" s="196" t="s">
        <v>1881</v>
      </c>
      <c r="L2127" s="240" t="s">
        <v>10296</v>
      </c>
      <c r="M2127" s="196">
        <v>315</v>
      </c>
      <c r="N2127" s="196"/>
      <c r="O2127" s="196" t="s">
        <v>10297</v>
      </c>
      <c r="P2127" s="144">
        <v>293</v>
      </c>
      <c r="Q2127" s="242">
        <f t="shared" si="149"/>
        <v>4.0699999999999994</v>
      </c>
      <c r="R2127" s="203">
        <v>1.2</v>
      </c>
      <c r="S2127" s="242">
        <v>5.27</v>
      </c>
      <c r="T2127" s="203"/>
      <c r="U2127" s="103"/>
      <c r="V2127" s="103"/>
      <c r="W2127" s="203"/>
      <c r="X2127" s="148"/>
      <c r="Y2127" s="148"/>
      <c r="Z2127" s="148"/>
      <c r="AA2127" s="148"/>
      <c r="AB2127" s="148"/>
      <c r="AC2127" s="148"/>
      <c r="AG2127" s="147"/>
    </row>
    <row r="2128" spans="1:34" s="146" customFormat="1" x14ac:dyDescent="0.25">
      <c r="A2128" s="138">
        <v>692</v>
      </c>
      <c r="B2128" s="196" t="s">
        <v>10302</v>
      </c>
      <c r="C2128" s="196" t="s">
        <v>10303</v>
      </c>
      <c r="D2128" s="196" t="s">
        <v>2309</v>
      </c>
      <c r="E2128" s="196" t="s">
        <v>1913</v>
      </c>
      <c r="F2128" s="196">
        <v>2006</v>
      </c>
      <c r="G2128" s="196"/>
      <c r="H2128" s="196" t="s">
        <v>1878</v>
      </c>
      <c r="I2128" s="141" t="s">
        <v>1879</v>
      </c>
      <c r="J2128" s="196"/>
      <c r="K2128" s="196" t="s">
        <v>1881</v>
      </c>
      <c r="L2128" s="240" t="s">
        <v>10304</v>
      </c>
      <c r="M2128" s="196">
        <v>267</v>
      </c>
      <c r="N2128" s="196"/>
      <c r="O2128" s="196" t="s">
        <v>10305</v>
      </c>
      <c r="P2128" s="144">
        <v>245</v>
      </c>
      <c r="Q2128" s="242">
        <f t="shared" si="149"/>
        <v>3.5</v>
      </c>
      <c r="R2128" s="203">
        <v>1.2</v>
      </c>
      <c r="S2128" s="242">
        <v>4.7</v>
      </c>
      <c r="T2128" s="203"/>
      <c r="U2128" s="103"/>
      <c r="V2128" s="103"/>
      <c r="W2128" s="203"/>
      <c r="X2128" s="148"/>
      <c r="Y2128" s="148"/>
      <c r="Z2128" s="148"/>
      <c r="AA2128" s="148"/>
      <c r="AB2128" s="148"/>
      <c r="AC2128" s="148"/>
      <c r="AG2128" s="147"/>
    </row>
    <row r="2129" spans="1:33" s="146" customFormat="1" x14ac:dyDescent="0.25">
      <c r="A2129" s="138">
        <v>2463</v>
      </c>
      <c r="B2129" s="196" t="s">
        <v>10306</v>
      </c>
      <c r="C2129" s="196" t="s">
        <v>10307</v>
      </c>
      <c r="D2129" s="196" t="s">
        <v>10308</v>
      </c>
      <c r="E2129" s="196"/>
      <c r="F2129" s="196"/>
      <c r="G2129" s="196"/>
      <c r="H2129" s="196" t="s">
        <v>1878</v>
      </c>
      <c r="I2129" s="141" t="s">
        <v>7817</v>
      </c>
      <c r="J2129" s="196"/>
      <c r="K2129" s="196" t="s">
        <v>1881</v>
      </c>
      <c r="L2129" s="240" t="s">
        <v>10309</v>
      </c>
      <c r="M2129" s="196">
        <v>141</v>
      </c>
      <c r="N2129" s="196"/>
      <c r="O2129" s="196" t="s">
        <v>10310</v>
      </c>
      <c r="P2129" s="144">
        <v>231</v>
      </c>
      <c r="Q2129" s="242">
        <f t="shared" si="149"/>
        <v>5</v>
      </c>
      <c r="R2129" s="203">
        <v>1.2</v>
      </c>
      <c r="S2129" s="242">
        <v>6.2</v>
      </c>
      <c r="T2129" s="203"/>
      <c r="U2129" s="103"/>
      <c r="V2129" s="103"/>
      <c r="W2129" s="203"/>
      <c r="X2129" s="148"/>
      <c r="Y2129" s="148"/>
      <c r="Z2129" s="148"/>
      <c r="AA2129" s="148"/>
      <c r="AB2129" s="148"/>
      <c r="AC2129" s="148"/>
      <c r="AG2129" s="147"/>
    </row>
    <row r="2130" spans="1:33" s="146" customFormat="1" x14ac:dyDescent="0.25">
      <c r="A2130" s="138">
        <v>2553</v>
      </c>
      <c r="B2130" s="196" t="s">
        <v>9082</v>
      </c>
      <c r="C2130" s="196" t="s">
        <v>10311</v>
      </c>
      <c r="D2130" s="196" t="s">
        <v>9032</v>
      </c>
      <c r="E2130" s="196"/>
      <c r="F2130" s="196">
        <v>2007</v>
      </c>
      <c r="G2130" s="196"/>
      <c r="H2130" s="196" t="s">
        <v>1878</v>
      </c>
      <c r="I2130" s="141" t="s">
        <v>7527</v>
      </c>
      <c r="J2130" s="196"/>
      <c r="K2130" s="196" t="s">
        <v>1881</v>
      </c>
      <c r="L2130" s="240" t="s">
        <v>10312</v>
      </c>
      <c r="M2130" s="196">
        <v>571</v>
      </c>
      <c r="N2130" s="196"/>
      <c r="O2130" s="196" t="s">
        <v>10313</v>
      </c>
      <c r="P2130" s="144">
        <v>431</v>
      </c>
      <c r="Q2130" s="242">
        <f t="shared" si="149"/>
        <v>3.1399999999999997</v>
      </c>
      <c r="R2130" s="203">
        <v>1.2</v>
      </c>
      <c r="S2130" s="242">
        <v>4.34</v>
      </c>
      <c r="T2130" s="203"/>
      <c r="U2130" s="103"/>
      <c r="V2130" s="103"/>
      <c r="W2130" s="203"/>
      <c r="X2130" s="148"/>
      <c r="Y2130" s="148"/>
      <c r="Z2130" s="148"/>
      <c r="AA2130" s="148"/>
      <c r="AB2130" s="148"/>
      <c r="AC2130" s="148"/>
      <c r="AG2130" s="147"/>
    </row>
    <row r="2131" spans="1:33" s="146" customFormat="1" x14ac:dyDescent="0.25">
      <c r="A2131" s="138">
        <v>1386</v>
      </c>
      <c r="B2131" s="196" t="s">
        <v>10314</v>
      </c>
      <c r="C2131" s="196" t="s">
        <v>10315</v>
      </c>
      <c r="D2131" s="196" t="s">
        <v>9192</v>
      </c>
      <c r="E2131" s="196" t="s">
        <v>1913</v>
      </c>
      <c r="F2131" s="196">
        <v>2016</v>
      </c>
      <c r="G2131" s="196"/>
      <c r="H2131" s="196" t="s">
        <v>1878</v>
      </c>
      <c r="I2131" s="141" t="s">
        <v>1914</v>
      </c>
      <c r="J2131" s="196"/>
      <c r="K2131" s="196" t="s">
        <v>1881</v>
      </c>
      <c r="L2131" s="240" t="s">
        <v>10316</v>
      </c>
      <c r="M2131" s="196">
        <v>348</v>
      </c>
      <c r="N2131" s="196"/>
      <c r="O2131" s="196" t="s">
        <v>10317</v>
      </c>
      <c r="P2131" s="144">
        <v>255</v>
      </c>
      <c r="Q2131" s="242">
        <f t="shared" si="149"/>
        <v>3.46</v>
      </c>
      <c r="R2131" s="203">
        <v>1.2</v>
      </c>
      <c r="S2131" s="242">
        <v>4.66</v>
      </c>
      <c r="T2131" s="203"/>
      <c r="U2131" s="103"/>
      <c r="V2131" s="103"/>
      <c r="W2131" s="203"/>
      <c r="X2131" s="148"/>
      <c r="Y2131" s="148"/>
      <c r="Z2131" s="148"/>
      <c r="AA2131" s="148"/>
      <c r="AB2131" s="148"/>
      <c r="AC2131" s="148"/>
      <c r="AG2131" s="147"/>
    </row>
    <row r="2132" spans="1:33" s="146" customFormat="1" x14ac:dyDescent="0.25">
      <c r="A2132" s="138">
        <v>632</v>
      </c>
      <c r="B2132" s="196" t="s">
        <v>10318</v>
      </c>
      <c r="C2132" s="196" t="s">
        <v>10319</v>
      </c>
      <c r="D2132" s="196" t="s">
        <v>1912</v>
      </c>
      <c r="E2132" s="196" t="s">
        <v>1877</v>
      </c>
      <c r="F2132" s="196">
        <v>2017</v>
      </c>
      <c r="G2132" s="196"/>
      <c r="H2132" s="196" t="s">
        <v>1878</v>
      </c>
      <c r="I2132" s="141" t="s">
        <v>1914</v>
      </c>
      <c r="J2132" s="196"/>
      <c r="K2132" s="196" t="s">
        <v>1881</v>
      </c>
      <c r="L2132" s="240" t="s">
        <v>10320</v>
      </c>
      <c r="M2132" s="196">
        <v>573</v>
      </c>
      <c r="N2132" s="196"/>
      <c r="O2132" s="196" t="s">
        <v>10321</v>
      </c>
      <c r="P2132" s="144">
        <v>481</v>
      </c>
      <c r="Q2132" s="242">
        <f t="shared" si="149"/>
        <v>3.46</v>
      </c>
      <c r="R2132" s="203">
        <v>1.2</v>
      </c>
      <c r="S2132" s="242">
        <v>4.66</v>
      </c>
      <c r="T2132" s="203"/>
      <c r="U2132" s="103"/>
      <c r="V2132" s="103"/>
      <c r="W2132" s="203"/>
      <c r="X2132" s="148"/>
      <c r="Y2132" s="148"/>
      <c r="Z2132" s="148"/>
      <c r="AA2132" s="148"/>
      <c r="AB2132" s="148"/>
      <c r="AC2132" s="148"/>
      <c r="AG2132" s="147"/>
    </row>
    <row r="2133" spans="1:33" s="146" customFormat="1" x14ac:dyDescent="0.25">
      <c r="A2133" s="138">
        <v>701</v>
      </c>
      <c r="B2133" s="196" t="s">
        <v>10322</v>
      </c>
      <c r="C2133" s="196" t="s">
        <v>10323</v>
      </c>
      <c r="D2133" s="196" t="s">
        <v>1912</v>
      </c>
      <c r="E2133" s="196" t="s">
        <v>1913</v>
      </c>
      <c r="F2133" s="196">
        <v>2008</v>
      </c>
      <c r="G2133" s="196"/>
      <c r="H2133" s="196" t="s">
        <v>1878</v>
      </c>
      <c r="I2133" s="141" t="s">
        <v>1879</v>
      </c>
      <c r="J2133" s="196" t="s">
        <v>9196</v>
      </c>
      <c r="K2133" s="196" t="s">
        <v>1881</v>
      </c>
      <c r="L2133" s="240" t="s">
        <v>10324</v>
      </c>
      <c r="M2133" s="196">
        <v>252</v>
      </c>
      <c r="N2133" s="196"/>
      <c r="O2133" s="196" t="s">
        <v>10325</v>
      </c>
      <c r="P2133" s="144">
        <v>214</v>
      </c>
      <c r="Q2133" s="242">
        <f t="shared" si="149"/>
        <v>2.5099999999999998</v>
      </c>
      <c r="R2133" s="203">
        <v>1.2</v>
      </c>
      <c r="S2133" s="203">
        <v>3.71</v>
      </c>
      <c r="T2133" s="203"/>
      <c r="U2133" s="103"/>
      <c r="V2133" s="103"/>
      <c r="W2133" s="203"/>
      <c r="X2133" s="148"/>
      <c r="Y2133" s="148"/>
      <c r="Z2133" s="148"/>
      <c r="AA2133" s="148"/>
      <c r="AB2133" s="148"/>
      <c r="AC2133" s="148"/>
      <c r="AG2133" s="147"/>
    </row>
    <row r="2134" spans="1:33" s="146" customFormat="1" x14ac:dyDescent="0.25">
      <c r="A2134" s="138">
        <v>692</v>
      </c>
      <c r="B2134" s="196" t="s">
        <v>4802</v>
      </c>
      <c r="C2134" s="196" t="s">
        <v>10326</v>
      </c>
      <c r="D2134" s="196" t="s">
        <v>1920</v>
      </c>
      <c r="E2134" s="196" t="s">
        <v>2358</v>
      </c>
      <c r="F2134" s="196">
        <v>2010</v>
      </c>
      <c r="G2134" s="196"/>
      <c r="H2134" s="196" t="s">
        <v>1878</v>
      </c>
      <c r="I2134" s="141" t="s">
        <v>1879</v>
      </c>
      <c r="J2134" s="196"/>
      <c r="K2134" s="196" t="s">
        <v>1881</v>
      </c>
      <c r="L2134" s="240" t="s">
        <v>10327</v>
      </c>
      <c r="M2134" s="196">
        <v>315</v>
      </c>
      <c r="N2134" s="196"/>
      <c r="O2134" s="196" t="s">
        <v>10328</v>
      </c>
      <c r="P2134" s="144">
        <v>313</v>
      </c>
      <c r="Q2134" s="242">
        <f t="shared" si="149"/>
        <v>2.42</v>
      </c>
      <c r="R2134" s="203">
        <v>1.2</v>
      </c>
      <c r="S2134" s="203">
        <v>3.62</v>
      </c>
      <c r="T2134" s="203"/>
      <c r="U2134" s="103"/>
      <c r="V2134" s="103"/>
      <c r="W2134" s="203"/>
      <c r="X2134" s="148"/>
      <c r="Y2134" s="148"/>
      <c r="Z2134" s="148"/>
      <c r="AA2134" s="148"/>
      <c r="AB2134" s="148"/>
      <c r="AC2134" s="148"/>
      <c r="AG2134" s="147"/>
    </row>
    <row r="2136" spans="1:33" s="146" customFormat="1" x14ac:dyDescent="0.25">
      <c r="A2136" s="138">
        <v>796</v>
      </c>
      <c r="B2136" s="196" t="s">
        <v>10333</v>
      </c>
      <c r="C2136" s="196" t="s">
        <v>10334</v>
      </c>
      <c r="D2136" s="196" t="s">
        <v>2309</v>
      </c>
      <c r="E2136" s="196" t="s">
        <v>1913</v>
      </c>
      <c r="F2136" s="196">
        <v>2019</v>
      </c>
      <c r="G2136" s="196"/>
      <c r="H2136" s="196" t="s">
        <v>1878</v>
      </c>
      <c r="I2136" s="141" t="s">
        <v>7817</v>
      </c>
      <c r="J2136" s="196"/>
      <c r="K2136" s="196" t="s">
        <v>1881</v>
      </c>
      <c r="L2136" s="240" t="s">
        <v>10335</v>
      </c>
      <c r="M2136" s="196">
        <v>681</v>
      </c>
      <c r="N2136" s="196"/>
      <c r="O2136" s="196" t="s">
        <v>10336</v>
      </c>
      <c r="P2136" s="144">
        <v>463</v>
      </c>
      <c r="Q2136" s="242">
        <f t="shared" si="149"/>
        <v>4.24</v>
      </c>
      <c r="R2136" s="203">
        <v>1.2</v>
      </c>
      <c r="S2136" s="203">
        <v>5.44</v>
      </c>
      <c r="T2136" s="203"/>
      <c r="U2136" s="103"/>
      <c r="V2136" s="103"/>
      <c r="W2136" s="203"/>
      <c r="X2136" s="148"/>
      <c r="Y2136" s="148"/>
      <c r="Z2136" s="148"/>
      <c r="AA2136" s="148"/>
      <c r="AB2136" s="148"/>
      <c r="AC2136" s="148"/>
      <c r="AG2136" s="147"/>
    </row>
    <row r="2137" spans="1:33" s="146" customFormat="1" x14ac:dyDescent="0.25">
      <c r="A2137" s="138">
        <v>795</v>
      </c>
      <c r="B2137" s="196" t="s">
        <v>10337</v>
      </c>
      <c r="C2137" s="196" t="s">
        <v>10338</v>
      </c>
      <c r="D2137" s="196" t="s">
        <v>1988</v>
      </c>
      <c r="E2137" s="196" t="s">
        <v>3731</v>
      </c>
      <c r="F2137" s="196">
        <v>2004</v>
      </c>
      <c r="G2137" s="196"/>
      <c r="H2137" s="196" t="s">
        <v>1878</v>
      </c>
      <c r="I2137" s="141" t="s">
        <v>1929</v>
      </c>
      <c r="J2137" s="196"/>
      <c r="K2137" s="196" t="s">
        <v>1881</v>
      </c>
      <c r="L2137" s="240" t="s">
        <v>10339</v>
      </c>
      <c r="M2137" s="196">
        <v>340</v>
      </c>
      <c r="N2137" s="196"/>
      <c r="O2137" s="196" t="s">
        <v>10340</v>
      </c>
      <c r="P2137" s="144">
        <v>298</v>
      </c>
      <c r="Q2137" s="242">
        <f t="shared" si="149"/>
        <v>4.72</v>
      </c>
      <c r="R2137" s="203">
        <v>1.2</v>
      </c>
      <c r="S2137" s="203">
        <v>5.92</v>
      </c>
      <c r="T2137" s="203"/>
      <c r="U2137" s="103"/>
      <c r="V2137" s="103"/>
      <c r="W2137" s="203"/>
      <c r="X2137" s="148"/>
      <c r="Y2137" s="148"/>
      <c r="Z2137" s="148"/>
      <c r="AA2137" s="148"/>
      <c r="AB2137" s="148"/>
      <c r="AC2137" s="148"/>
      <c r="AG2137" s="147"/>
    </row>
    <row r="2138" spans="1:33" s="146" customFormat="1" x14ac:dyDescent="0.25">
      <c r="A2138" s="138">
        <v>18</v>
      </c>
      <c r="B2138" s="196" t="s">
        <v>10346</v>
      </c>
      <c r="C2138" s="196" t="s">
        <v>10347</v>
      </c>
      <c r="D2138" s="196" t="s">
        <v>10348</v>
      </c>
      <c r="E2138" s="196"/>
      <c r="F2138" s="196">
        <v>2016</v>
      </c>
      <c r="G2138" s="196"/>
      <c r="H2138" s="196" t="s">
        <v>1878</v>
      </c>
      <c r="I2138" s="141" t="s">
        <v>1879</v>
      </c>
      <c r="J2138" s="196"/>
      <c r="K2138" s="196" t="s">
        <v>1881</v>
      </c>
      <c r="L2138" s="240" t="s">
        <v>10349</v>
      </c>
      <c r="M2138" s="196">
        <v>253</v>
      </c>
      <c r="N2138" s="196"/>
      <c r="O2138" s="196" t="s">
        <v>10350</v>
      </c>
      <c r="P2138" s="144">
        <v>385</v>
      </c>
      <c r="Q2138" s="242">
        <f t="shared" si="149"/>
        <v>11.3</v>
      </c>
      <c r="R2138" s="203">
        <v>1.2</v>
      </c>
      <c r="S2138" s="203">
        <v>12.5</v>
      </c>
      <c r="T2138" s="203"/>
      <c r="U2138" s="103"/>
      <c r="V2138" s="103"/>
      <c r="W2138" s="203"/>
      <c r="X2138" s="148"/>
      <c r="Y2138" s="148"/>
      <c r="Z2138" s="148"/>
      <c r="AA2138" s="148"/>
      <c r="AB2138" s="148"/>
      <c r="AC2138" s="148"/>
      <c r="AG2138" s="147"/>
    </row>
    <row r="2139" spans="1:33" s="146" customFormat="1" x14ac:dyDescent="0.25">
      <c r="A2139" s="138">
        <v>2576</v>
      </c>
      <c r="B2139" s="196" t="s">
        <v>3808</v>
      </c>
      <c r="C2139" s="196" t="s">
        <v>8040</v>
      </c>
      <c r="D2139" s="196" t="s">
        <v>807</v>
      </c>
      <c r="E2139" s="196"/>
      <c r="F2139" s="196">
        <v>2009</v>
      </c>
      <c r="G2139" s="196"/>
      <c r="H2139" s="196" t="s">
        <v>1878</v>
      </c>
      <c r="I2139" s="141" t="s">
        <v>1879</v>
      </c>
      <c r="J2139" s="196"/>
      <c r="K2139" s="196" t="s">
        <v>1881</v>
      </c>
      <c r="L2139" s="240" t="s">
        <v>10351</v>
      </c>
      <c r="M2139" s="196"/>
      <c r="N2139" s="196"/>
      <c r="O2139" s="196" t="s">
        <v>10352</v>
      </c>
      <c r="P2139" s="144">
        <v>533</v>
      </c>
      <c r="Q2139" s="242">
        <f t="shared" si="149"/>
        <v>3.79</v>
      </c>
      <c r="R2139" s="203">
        <v>1.2</v>
      </c>
      <c r="S2139" s="203">
        <v>4.99</v>
      </c>
      <c r="T2139" s="203"/>
      <c r="U2139" s="103"/>
      <c r="V2139" s="103"/>
      <c r="W2139" s="203"/>
      <c r="X2139" s="148"/>
      <c r="Y2139" s="148"/>
      <c r="Z2139" s="148"/>
      <c r="AA2139" s="148"/>
      <c r="AB2139" s="148"/>
      <c r="AC2139" s="148"/>
      <c r="AG2139" s="147"/>
    </row>
    <row r="2140" spans="1:33" s="146" customFormat="1" x14ac:dyDescent="0.25">
      <c r="A2140" s="142">
        <v>2576</v>
      </c>
      <c r="B2140" s="196" t="s">
        <v>3808</v>
      </c>
      <c r="C2140" s="196" t="s">
        <v>9171</v>
      </c>
      <c r="D2140" s="196" t="s">
        <v>807</v>
      </c>
      <c r="E2140" s="196"/>
      <c r="F2140" s="196">
        <v>2008</v>
      </c>
      <c r="G2140" s="196"/>
      <c r="H2140" s="196" t="s">
        <v>1878</v>
      </c>
      <c r="I2140" s="141" t="s">
        <v>7527</v>
      </c>
      <c r="J2140" s="196"/>
      <c r="K2140" s="196" t="s">
        <v>1881</v>
      </c>
      <c r="L2140" s="240" t="s">
        <v>9172</v>
      </c>
      <c r="M2140" s="196"/>
      <c r="N2140" s="196"/>
      <c r="O2140" s="196" t="s">
        <v>10353</v>
      </c>
      <c r="P2140" s="144">
        <v>494</v>
      </c>
      <c r="Q2140" s="242">
        <f t="shared" si="149"/>
        <v>2.2000000000000002</v>
      </c>
      <c r="R2140" s="203">
        <v>1.2</v>
      </c>
      <c r="S2140" s="203">
        <v>3.4</v>
      </c>
      <c r="T2140" s="203"/>
      <c r="U2140" s="103"/>
      <c r="V2140" s="103"/>
      <c r="W2140" s="203"/>
      <c r="X2140" s="148"/>
      <c r="Y2140" s="148"/>
      <c r="Z2140" s="148"/>
      <c r="AA2140" s="148"/>
      <c r="AB2140" s="148"/>
      <c r="AC2140" s="148"/>
      <c r="AG2140" s="147"/>
    </row>
    <row r="2141" spans="1:33" s="146" customFormat="1" x14ac:dyDescent="0.25">
      <c r="A2141" s="138">
        <v>692</v>
      </c>
      <c r="B2141" s="196" t="s">
        <v>4031</v>
      </c>
      <c r="C2141" s="196" t="s">
        <v>10354</v>
      </c>
      <c r="D2141" s="196" t="s">
        <v>2609</v>
      </c>
      <c r="E2141" s="196"/>
      <c r="F2141" s="196">
        <v>1999</v>
      </c>
      <c r="G2141" s="196"/>
      <c r="H2141" s="196" t="s">
        <v>1878</v>
      </c>
      <c r="I2141" s="141" t="s">
        <v>1914</v>
      </c>
      <c r="J2141" s="196" t="s">
        <v>9495</v>
      </c>
      <c r="K2141" s="196" t="s">
        <v>1881</v>
      </c>
      <c r="L2141" s="240" t="s">
        <v>10355</v>
      </c>
      <c r="M2141" s="196">
        <v>441</v>
      </c>
      <c r="N2141" s="196"/>
      <c r="O2141" s="196" t="s">
        <v>10356</v>
      </c>
      <c r="P2141" s="144">
        <v>324</v>
      </c>
      <c r="Q2141" s="242">
        <f t="shared" si="149"/>
        <v>1.4400000000000002</v>
      </c>
      <c r="R2141" s="203">
        <v>1.2</v>
      </c>
      <c r="S2141" s="203">
        <v>2.64</v>
      </c>
      <c r="T2141" s="203"/>
      <c r="U2141" s="103"/>
      <c r="V2141" s="103"/>
      <c r="W2141" s="203"/>
      <c r="X2141" s="148"/>
      <c r="Y2141" s="148"/>
      <c r="Z2141" s="148"/>
      <c r="AA2141" s="148"/>
      <c r="AB2141" s="148"/>
      <c r="AC2141" s="148"/>
      <c r="AG2141" s="147"/>
    </row>
    <row r="2142" spans="1:33" s="146" customFormat="1" x14ac:dyDescent="0.25">
      <c r="A2142" s="138">
        <v>1386</v>
      </c>
      <c r="B2142" s="196" t="s">
        <v>3143</v>
      </c>
      <c r="C2142" s="196" t="s">
        <v>10357</v>
      </c>
      <c r="D2142" s="196" t="s">
        <v>2609</v>
      </c>
      <c r="E2142" s="196"/>
      <c r="F2142" s="196">
        <v>2016</v>
      </c>
      <c r="G2142" s="196"/>
      <c r="H2142" s="196" t="s">
        <v>1878</v>
      </c>
      <c r="I2142" s="141" t="s">
        <v>1879</v>
      </c>
      <c r="J2142" s="196"/>
      <c r="K2142" s="196" t="s">
        <v>1881</v>
      </c>
      <c r="L2142" s="240" t="s">
        <v>10358</v>
      </c>
      <c r="M2142" s="196">
        <v>345</v>
      </c>
      <c r="N2142" s="196"/>
      <c r="O2142" s="196" t="s">
        <v>10359</v>
      </c>
      <c r="P2142" s="144">
        <v>305</v>
      </c>
      <c r="Q2142" s="242">
        <f t="shared" si="149"/>
        <v>2.8999999999999995</v>
      </c>
      <c r="R2142" s="203">
        <v>1.2</v>
      </c>
      <c r="S2142" s="203">
        <v>4.0999999999999996</v>
      </c>
      <c r="T2142" s="203"/>
      <c r="U2142" s="103"/>
      <c r="V2142" s="103"/>
      <c r="W2142" s="203"/>
      <c r="X2142" s="148"/>
      <c r="Y2142" s="148"/>
      <c r="Z2142" s="148"/>
      <c r="AA2142" s="148"/>
      <c r="AB2142" s="148"/>
      <c r="AC2142" s="148"/>
      <c r="AG2142" s="147"/>
    </row>
    <row r="2143" spans="1:33" s="146" customFormat="1" x14ac:dyDescent="0.25">
      <c r="A2143" s="138">
        <v>2547</v>
      </c>
      <c r="B2143" s="196" t="s">
        <v>3941</v>
      </c>
      <c r="C2143" s="196" t="s">
        <v>10360</v>
      </c>
      <c r="D2143" s="196" t="s">
        <v>10361</v>
      </c>
      <c r="E2143" s="196"/>
      <c r="F2143" s="196"/>
      <c r="G2143" s="196"/>
      <c r="H2143" s="196" t="s">
        <v>1878</v>
      </c>
      <c r="I2143" s="141" t="s">
        <v>1914</v>
      </c>
      <c r="J2143" s="196" t="s">
        <v>9495</v>
      </c>
      <c r="K2143" s="196" t="s">
        <v>1881</v>
      </c>
      <c r="L2143" s="240" t="s">
        <v>10362</v>
      </c>
      <c r="M2143" s="196">
        <v>413</v>
      </c>
      <c r="N2143" s="196"/>
      <c r="O2143" s="196" t="s">
        <v>10363</v>
      </c>
      <c r="P2143" s="144">
        <v>276</v>
      </c>
      <c r="Q2143" s="242">
        <f t="shared" si="149"/>
        <v>2.5</v>
      </c>
      <c r="R2143" s="203">
        <v>1.2</v>
      </c>
      <c r="S2143" s="203">
        <v>3.7</v>
      </c>
      <c r="T2143" s="203"/>
      <c r="U2143" s="103"/>
      <c r="V2143" s="103"/>
      <c r="W2143" s="203"/>
      <c r="X2143" s="148"/>
      <c r="Y2143" s="148"/>
      <c r="Z2143" s="148"/>
      <c r="AA2143" s="148"/>
      <c r="AB2143" s="148"/>
      <c r="AC2143" s="148"/>
      <c r="AG2143" s="147"/>
    </row>
    <row r="2144" spans="1:33" s="146" customFormat="1" x14ac:dyDescent="0.25">
      <c r="A2144" s="138">
        <v>548</v>
      </c>
      <c r="B2144" s="196" t="s">
        <v>10364</v>
      </c>
      <c r="C2144" s="196" t="s">
        <v>10365</v>
      </c>
      <c r="D2144" s="196" t="s">
        <v>9893</v>
      </c>
      <c r="E2144" s="196"/>
      <c r="F2144" s="196">
        <v>1969</v>
      </c>
      <c r="G2144" s="196"/>
      <c r="H2144" s="196" t="s">
        <v>1878</v>
      </c>
      <c r="I2144" s="141" t="s">
        <v>1879</v>
      </c>
      <c r="J2144" s="196"/>
      <c r="K2144" s="196" t="s">
        <v>1881</v>
      </c>
      <c r="L2144" s="240"/>
      <c r="M2144" s="196">
        <v>157</v>
      </c>
      <c r="N2144" s="196"/>
      <c r="O2144" s="196" t="s">
        <v>10366</v>
      </c>
      <c r="P2144" s="144">
        <v>120</v>
      </c>
      <c r="Q2144" s="242">
        <f t="shared" si="149"/>
        <v>3.12</v>
      </c>
      <c r="R2144" s="203">
        <v>1.2</v>
      </c>
      <c r="S2144" s="203">
        <v>4.32</v>
      </c>
      <c r="T2144" s="203"/>
      <c r="U2144" s="103"/>
      <c r="V2144" s="103"/>
      <c r="W2144" s="203"/>
      <c r="X2144" s="148"/>
      <c r="Y2144" s="148"/>
      <c r="Z2144" s="148"/>
      <c r="AA2144" s="148"/>
      <c r="AB2144" s="148"/>
      <c r="AC2144" s="148"/>
      <c r="AG2144" s="147"/>
    </row>
    <row r="2145" spans="1:33" s="146" customFormat="1" x14ac:dyDescent="0.25">
      <c r="A2145" s="138">
        <v>632</v>
      </c>
      <c r="B2145" s="196" t="s">
        <v>3233</v>
      </c>
      <c r="C2145" s="196" t="s">
        <v>10367</v>
      </c>
      <c r="D2145" s="196" t="s">
        <v>2054</v>
      </c>
      <c r="E2145" s="196" t="s">
        <v>2032</v>
      </c>
      <c r="F2145" s="196">
        <v>2010</v>
      </c>
      <c r="G2145" s="196"/>
      <c r="H2145" s="196" t="s">
        <v>1878</v>
      </c>
      <c r="I2145" s="141" t="s">
        <v>7817</v>
      </c>
      <c r="J2145" s="196"/>
      <c r="K2145" s="196" t="s">
        <v>1881</v>
      </c>
      <c r="L2145" s="240" t="s">
        <v>10368</v>
      </c>
      <c r="M2145" s="196">
        <v>701</v>
      </c>
      <c r="N2145" s="196"/>
      <c r="O2145" s="196" t="s">
        <v>10369</v>
      </c>
      <c r="P2145" s="144">
        <v>639</v>
      </c>
      <c r="Q2145" s="242">
        <f t="shared" si="149"/>
        <v>2.0999999999999996</v>
      </c>
      <c r="R2145" s="203">
        <v>1.2</v>
      </c>
      <c r="S2145" s="203">
        <v>3.3</v>
      </c>
      <c r="T2145" s="203"/>
      <c r="U2145" s="103"/>
      <c r="V2145" s="103"/>
      <c r="W2145" s="203"/>
      <c r="X2145" s="148"/>
      <c r="Y2145" s="148"/>
      <c r="Z2145" s="148"/>
      <c r="AA2145" s="148"/>
      <c r="AB2145" s="148"/>
      <c r="AC2145" s="148"/>
      <c r="AG2145" s="147"/>
    </row>
    <row r="2146" spans="1:33" s="146" customFormat="1" x14ac:dyDescent="0.25">
      <c r="A2146" s="138">
        <v>706</v>
      </c>
      <c r="B2146" s="196" t="s">
        <v>10370</v>
      </c>
      <c r="C2146" s="196" t="s">
        <v>10371</v>
      </c>
      <c r="D2146" s="196" t="s">
        <v>10372</v>
      </c>
      <c r="E2146" s="196"/>
      <c r="F2146" s="196">
        <v>1941</v>
      </c>
      <c r="G2146" s="196"/>
      <c r="H2146" s="196" t="s">
        <v>2734</v>
      </c>
      <c r="I2146" s="141" t="s">
        <v>1879</v>
      </c>
      <c r="J2146" s="196"/>
      <c r="K2146" s="196" t="s">
        <v>1881</v>
      </c>
      <c r="L2146" s="240"/>
      <c r="M2146" s="196">
        <v>156</v>
      </c>
      <c r="N2146" s="196"/>
      <c r="O2146" s="196" t="s">
        <v>10373</v>
      </c>
      <c r="P2146" s="144">
        <v>268</v>
      </c>
      <c r="Q2146" s="242">
        <f t="shared" si="149"/>
        <v>4.3999999999999995</v>
      </c>
      <c r="R2146" s="203">
        <v>1.2</v>
      </c>
      <c r="S2146" s="203">
        <v>5.6</v>
      </c>
      <c r="T2146" s="203"/>
      <c r="U2146" s="103"/>
      <c r="V2146" s="103"/>
      <c r="W2146" s="203"/>
      <c r="X2146" s="148"/>
      <c r="Y2146" s="148"/>
      <c r="Z2146" s="148"/>
      <c r="AA2146" s="148"/>
      <c r="AB2146" s="148"/>
      <c r="AC2146" s="148"/>
      <c r="AG2146" s="147"/>
    </row>
    <row r="2147" spans="1:33" s="146" customFormat="1" x14ac:dyDescent="0.25">
      <c r="A2147" s="138">
        <v>689</v>
      </c>
      <c r="B2147" s="196" t="s">
        <v>2470</v>
      </c>
      <c r="C2147" s="196" t="s">
        <v>10374</v>
      </c>
      <c r="D2147" s="196" t="s">
        <v>2309</v>
      </c>
      <c r="E2147" s="196" t="s">
        <v>1913</v>
      </c>
      <c r="F2147" s="196">
        <v>2008</v>
      </c>
      <c r="G2147" s="196"/>
      <c r="H2147" s="196" t="s">
        <v>1878</v>
      </c>
      <c r="I2147" s="141" t="s">
        <v>1879</v>
      </c>
      <c r="J2147" s="196"/>
      <c r="K2147" s="196" t="s">
        <v>1881</v>
      </c>
      <c r="L2147" s="240" t="s">
        <v>10375</v>
      </c>
      <c r="M2147" s="196">
        <v>370</v>
      </c>
      <c r="N2147" s="196"/>
      <c r="O2147" s="196" t="s">
        <v>10376</v>
      </c>
      <c r="P2147" s="144">
        <v>268</v>
      </c>
      <c r="Q2147" s="242">
        <f t="shared" si="149"/>
        <v>2.2000000000000002</v>
      </c>
      <c r="R2147" s="203">
        <v>1.2</v>
      </c>
      <c r="S2147" s="203">
        <v>3.4</v>
      </c>
      <c r="T2147" s="203"/>
      <c r="U2147" s="103"/>
      <c r="V2147" s="103"/>
      <c r="W2147" s="203"/>
      <c r="X2147" s="148"/>
      <c r="Y2147" s="148"/>
      <c r="Z2147" s="148"/>
      <c r="AA2147" s="148"/>
      <c r="AB2147" s="148"/>
      <c r="AC2147" s="148"/>
      <c r="AG2147" s="147"/>
    </row>
    <row r="2148" spans="1:33" s="146" customFormat="1" x14ac:dyDescent="0.25">
      <c r="A2148" s="138">
        <v>2548</v>
      </c>
      <c r="B2148" s="196" t="s">
        <v>10377</v>
      </c>
      <c r="C2148" s="196" t="s">
        <v>10378</v>
      </c>
      <c r="D2148" s="196" t="s">
        <v>1988</v>
      </c>
      <c r="E2148" s="196" t="s">
        <v>2518</v>
      </c>
      <c r="F2148" s="196">
        <v>2004</v>
      </c>
      <c r="G2148" s="196"/>
      <c r="H2148" s="196" t="s">
        <v>1878</v>
      </c>
      <c r="I2148" s="141" t="s">
        <v>1879</v>
      </c>
      <c r="J2148" s="196"/>
      <c r="K2148" s="196" t="s">
        <v>1881</v>
      </c>
      <c r="L2148" s="240" t="s">
        <v>10379</v>
      </c>
      <c r="M2148" s="196">
        <v>329</v>
      </c>
      <c r="N2148" s="196"/>
      <c r="O2148" s="196" t="s">
        <v>10380</v>
      </c>
      <c r="P2148" s="144">
        <v>238</v>
      </c>
      <c r="Q2148" s="242">
        <f t="shared" si="149"/>
        <v>2.62</v>
      </c>
      <c r="R2148" s="203">
        <v>1.2</v>
      </c>
      <c r="S2148" s="203">
        <v>3.82</v>
      </c>
      <c r="T2148" s="203"/>
      <c r="U2148" s="103"/>
      <c r="V2148" s="103"/>
      <c r="W2148" s="203"/>
      <c r="X2148" s="148"/>
      <c r="Y2148" s="148"/>
      <c r="Z2148" s="148"/>
      <c r="AA2148" s="148"/>
      <c r="AB2148" s="148"/>
      <c r="AC2148" s="148"/>
      <c r="AG2148" s="147"/>
    </row>
    <row r="2149" spans="1:33" s="146" customFormat="1" x14ac:dyDescent="0.25">
      <c r="A2149" s="138">
        <v>689</v>
      </c>
      <c r="B2149" s="196" t="s">
        <v>10381</v>
      </c>
      <c r="C2149" s="196" t="s">
        <v>10382</v>
      </c>
      <c r="D2149" s="196" t="s">
        <v>10383</v>
      </c>
      <c r="E2149" s="196" t="s">
        <v>1913</v>
      </c>
      <c r="F2149" s="196">
        <v>2011</v>
      </c>
      <c r="G2149" s="196"/>
      <c r="H2149" s="196" t="s">
        <v>2734</v>
      </c>
      <c r="I2149" s="141" t="s">
        <v>1879</v>
      </c>
      <c r="J2149" s="196"/>
      <c r="K2149" s="196" t="s">
        <v>1881</v>
      </c>
      <c r="L2149" s="240" t="s">
        <v>10384</v>
      </c>
      <c r="M2149" s="196">
        <v>346</v>
      </c>
      <c r="N2149" s="196"/>
      <c r="O2149" s="196" t="s">
        <v>10385</v>
      </c>
      <c r="P2149" s="144">
        <v>520</v>
      </c>
      <c r="Q2149" s="242">
        <f t="shared" si="149"/>
        <v>2.7800000000000002</v>
      </c>
      <c r="R2149" s="203">
        <v>1.2</v>
      </c>
      <c r="S2149" s="203">
        <v>3.98</v>
      </c>
      <c r="T2149" s="203"/>
      <c r="U2149" s="103"/>
      <c r="V2149" s="103"/>
      <c r="W2149" s="203"/>
      <c r="X2149" s="148"/>
      <c r="Y2149" s="148"/>
      <c r="Z2149" s="148"/>
      <c r="AA2149" s="148"/>
      <c r="AB2149" s="148"/>
      <c r="AC2149" s="148"/>
      <c r="AG2149" s="147"/>
    </row>
    <row r="2150" spans="1:33" s="146" customFormat="1" x14ac:dyDescent="0.25">
      <c r="A2150" s="138">
        <v>765</v>
      </c>
      <c r="B2150" s="196" t="s">
        <v>10386</v>
      </c>
      <c r="C2150" s="196" t="s">
        <v>10387</v>
      </c>
      <c r="D2150" s="196" t="s">
        <v>2054</v>
      </c>
      <c r="E2150" s="196" t="s">
        <v>1899</v>
      </c>
      <c r="F2150" s="196">
        <v>2013</v>
      </c>
      <c r="G2150" s="196"/>
      <c r="H2150" s="196" t="s">
        <v>1878</v>
      </c>
      <c r="I2150" s="141" t="s">
        <v>7817</v>
      </c>
      <c r="J2150" s="196"/>
      <c r="K2150" s="196" t="s">
        <v>1881</v>
      </c>
      <c r="L2150" s="240" t="s">
        <v>10388</v>
      </c>
      <c r="M2150" s="196">
        <v>255</v>
      </c>
      <c r="N2150" s="196"/>
      <c r="O2150" s="196" t="s">
        <v>10389</v>
      </c>
      <c r="P2150" s="144">
        <v>283</v>
      </c>
      <c r="Q2150" s="242">
        <f t="shared" si="149"/>
        <v>2.4000000000000004</v>
      </c>
      <c r="R2150" s="203">
        <v>1.2</v>
      </c>
      <c r="S2150" s="203">
        <v>3.6</v>
      </c>
      <c r="T2150" s="203"/>
      <c r="U2150" s="103"/>
      <c r="V2150" s="103"/>
      <c r="W2150" s="203"/>
      <c r="X2150" s="148"/>
      <c r="Y2150" s="148"/>
      <c r="Z2150" s="148"/>
      <c r="AA2150" s="148"/>
      <c r="AB2150" s="148"/>
      <c r="AC2150" s="148"/>
      <c r="AG2150" s="147"/>
    </row>
    <row r="2151" spans="1:33" s="146" customFormat="1" x14ac:dyDescent="0.25">
      <c r="A2151" s="138">
        <v>633</v>
      </c>
      <c r="B2151" s="196" t="s">
        <v>10390</v>
      </c>
      <c r="C2151" s="196" t="s">
        <v>10391</v>
      </c>
      <c r="D2151" s="196" t="s">
        <v>10392</v>
      </c>
      <c r="E2151" s="196" t="s">
        <v>2175</v>
      </c>
      <c r="F2151" s="196">
        <v>2009</v>
      </c>
      <c r="G2151" s="196"/>
      <c r="H2151" s="196" t="s">
        <v>1878</v>
      </c>
      <c r="I2151" s="141" t="s">
        <v>1929</v>
      </c>
      <c r="J2151" s="196" t="s">
        <v>9196</v>
      </c>
      <c r="K2151" s="196" t="s">
        <v>1881</v>
      </c>
      <c r="L2151" s="240" t="s">
        <v>10393</v>
      </c>
      <c r="M2151" s="196">
        <v>473</v>
      </c>
      <c r="N2151" s="196"/>
      <c r="O2151" s="196" t="s">
        <v>10394</v>
      </c>
      <c r="P2151" s="144">
        <v>559</v>
      </c>
      <c r="Q2151" s="242">
        <f t="shared" si="149"/>
        <v>2.8999999999999995</v>
      </c>
      <c r="R2151" s="203">
        <v>1.2</v>
      </c>
      <c r="S2151" s="203">
        <v>4.0999999999999996</v>
      </c>
      <c r="T2151" s="203"/>
      <c r="U2151" s="103"/>
      <c r="V2151" s="103"/>
      <c r="W2151" s="203"/>
      <c r="X2151" s="148"/>
      <c r="Y2151" s="148"/>
      <c r="Z2151" s="148"/>
      <c r="AA2151" s="148"/>
      <c r="AB2151" s="148"/>
      <c r="AC2151" s="148"/>
      <c r="AG2151" s="147"/>
    </row>
    <row r="2152" spans="1:33" s="146" customFormat="1" x14ac:dyDescent="0.25">
      <c r="A2152" s="138">
        <v>1927</v>
      </c>
      <c r="B2152" s="196" t="s">
        <v>10395</v>
      </c>
      <c r="C2152" s="196" t="s">
        <v>10396</v>
      </c>
      <c r="D2152" s="196" t="s">
        <v>10397</v>
      </c>
      <c r="E2152" s="196" t="s">
        <v>2032</v>
      </c>
      <c r="F2152" s="196">
        <v>2012</v>
      </c>
      <c r="G2152" s="196"/>
      <c r="H2152" s="196" t="s">
        <v>1878</v>
      </c>
      <c r="I2152" s="141" t="s">
        <v>7817</v>
      </c>
      <c r="J2152" s="196"/>
      <c r="K2152" s="196" t="s">
        <v>1881</v>
      </c>
      <c r="L2152" s="240" t="s">
        <v>10398</v>
      </c>
      <c r="M2152" s="196">
        <v>270</v>
      </c>
      <c r="N2152" s="196"/>
      <c r="O2152" s="196" t="s">
        <v>10399</v>
      </c>
      <c r="P2152" s="144">
        <v>423</v>
      </c>
      <c r="Q2152" s="242">
        <f t="shared" si="149"/>
        <v>4.99</v>
      </c>
      <c r="R2152" s="203">
        <v>1.2</v>
      </c>
      <c r="S2152" s="203">
        <v>6.19</v>
      </c>
      <c r="T2152" s="203"/>
      <c r="U2152" s="103"/>
      <c r="V2152" s="103"/>
      <c r="W2152" s="203"/>
      <c r="X2152" s="148"/>
      <c r="Y2152" s="148"/>
      <c r="Z2152" s="148"/>
      <c r="AA2152" s="148"/>
      <c r="AB2152" s="148"/>
      <c r="AC2152" s="148"/>
      <c r="AG2152" s="147"/>
    </row>
    <row r="2153" spans="1:33" s="146" customFormat="1" x14ac:dyDescent="0.25">
      <c r="A2153" s="138">
        <v>701</v>
      </c>
      <c r="B2153" s="196" t="s">
        <v>10400</v>
      </c>
      <c r="C2153" s="196" t="s">
        <v>10401</v>
      </c>
      <c r="D2153" s="196" t="s">
        <v>2054</v>
      </c>
      <c r="E2153" s="196" t="s">
        <v>2032</v>
      </c>
      <c r="F2153" s="196">
        <v>2015</v>
      </c>
      <c r="G2153" s="196"/>
      <c r="H2153" s="196" t="s">
        <v>1878</v>
      </c>
      <c r="I2153" s="141" t="s">
        <v>1929</v>
      </c>
      <c r="J2153" s="196"/>
      <c r="K2153" s="196" t="s">
        <v>1881</v>
      </c>
      <c r="L2153" s="240" t="s">
        <v>10402</v>
      </c>
      <c r="M2153" s="196">
        <v>361</v>
      </c>
      <c r="N2153" s="196"/>
      <c r="O2153" s="196" t="s">
        <v>10403</v>
      </c>
      <c r="P2153" s="144">
        <v>352</v>
      </c>
      <c r="Q2153" s="242">
        <f t="shared" si="149"/>
        <v>2.66</v>
      </c>
      <c r="R2153" s="203">
        <v>1.2</v>
      </c>
      <c r="S2153" s="203">
        <v>3.86</v>
      </c>
      <c r="T2153" s="203"/>
      <c r="U2153" s="103"/>
      <c r="V2153" s="103"/>
      <c r="W2153" s="203"/>
      <c r="X2153" s="148"/>
      <c r="Y2153" s="148"/>
      <c r="Z2153" s="148"/>
      <c r="AA2153" s="148"/>
      <c r="AB2153" s="148"/>
      <c r="AC2153" s="148"/>
      <c r="AG2153" s="147"/>
    </row>
    <row r="2154" spans="1:33" s="146" customFormat="1" x14ac:dyDescent="0.25">
      <c r="A2154" s="138">
        <v>796</v>
      </c>
      <c r="B2154" s="196" t="s">
        <v>3080</v>
      </c>
      <c r="C2154" s="196" t="s">
        <v>10404</v>
      </c>
      <c r="D2154" s="196" t="s">
        <v>2209</v>
      </c>
      <c r="E2154" s="196"/>
      <c r="F2154" s="196">
        <v>2017</v>
      </c>
      <c r="G2154" s="196"/>
      <c r="H2154" s="196" t="s">
        <v>1878</v>
      </c>
      <c r="I2154" s="141" t="s">
        <v>1879</v>
      </c>
      <c r="J2154" s="196"/>
      <c r="K2154" s="196" t="s">
        <v>1881</v>
      </c>
      <c r="L2154" s="240" t="s">
        <v>10405</v>
      </c>
      <c r="M2154" s="196">
        <v>591</v>
      </c>
      <c r="N2154" s="196"/>
      <c r="O2154" s="196" t="s">
        <v>10406</v>
      </c>
      <c r="P2154" s="144">
        <v>487</v>
      </c>
      <c r="Q2154" s="242">
        <f t="shared" si="149"/>
        <v>2.83</v>
      </c>
      <c r="R2154" s="203">
        <v>1.2</v>
      </c>
      <c r="S2154" s="203">
        <v>4.03</v>
      </c>
      <c r="T2154" s="203"/>
      <c r="U2154" s="103"/>
      <c r="V2154" s="103"/>
      <c r="W2154" s="203"/>
      <c r="X2154" s="148"/>
      <c r="Y2154" s="148"/>
      <c r="Z2154" s="148"/>
      <c r="AA2154" s="148"/>
      <c r="AB2154" s="148"/>
      <c r="AC2154" s="148"/>
      <c r="AG2154" s="147"/>
    </row>
    <row r="2155" spans="1:33" s="146" customFormat="1" x14ac:dyDescent="0.25">
      <c r="A2155" s="138">
        <v>1941</v>
      </c>
      <c r="B2155" s="196" t="s">
        <v>10407</v>
      </c>
      <c r="C2155" s="196" t="s">
        <v>10408</v>
      </c>
      <c r="D2155" s="196" t="s">
        <v>10409</v>
      </c>
      <c r="E2155" s="196"/>
      <c r="F2155" s="196"/>
      <c r="G2155" s="196"/>
      <c r="H2155" s="196" t="s">
        <v>1878</v>
      </c>
      <c r="I2155" s="141" t="s">
        <v>1929</v>
      </c>
      <c r="J2155" s="196"/>
      <c r="K2155" s="196" t="s">
        <v>1881</v>
      </c>
      <c r="L2155" s="240" t="s">
        <v>10410</v>
      </c>
      <c r="M2155" s="196">
        <v>127</v>
      </c>
      <c r="N2155" s="196"/>
      <c r="O2155" s="196" t="s">
        <v>10411</v>
      </c>
      <c r="P2155" s="144">
        <v>336</v>
      </c>
      <c r="Q2155" s="242">
        <f t="shared" si="149"/>
        <v>2.71</v>
      </c>
      <c r="R2155" s="203">
        <v>1.2</v>
      </c>
      <c r="S2155" s="203">
        <v>3.91</v>
      </c>
      <c r="T2155" s="203"/>
      <c r="U2155" s="103"/>
      <c r="V2155" s="103"/>
      <c r="W2155" s="203"/>
      <c r="X2155" s="148"/>
      <c r="Y2155" s="148"/>
      <c r="Z2155" s="148"/>
      <c r="AA2155" s="148"/>
      <c r="AB2155" s="148"/>
      <c r="AC2155" s="148"/>
      <c r="AG2155" s="147"/>
    </row>
    <row r="2156" spans="1:33" s="146" customFormat="1" x14ac:dyDescent="0.25">
      <c r="A2156" s="138">
        <v>763</v>
      </c>
      <c r="B2156" s="196" t="s">
        <v>10412</v>
      </c>
      <c r="C2156" s="196" t="s">
        <v>10413</v>
      </c>
      <c r="D2156" s="196" t="s">
        <v>1912</v>
      </c>
      <c r="E2156" s="196" t="s">
        <v>1899</v>
      </c>
      <c r="F2156" s="196">
        <v>2013</v>
      </c>
      <c r="G2156" s="196"/>
      <c r="H2156" s="196" t="s">
        <v>1878</v>
      </c>
      <c r="I2156" s="141" t="s">
        <v>7817</v>
      </c>
      <c r="J2156" s="196"/>
      <c r="K2156" s="196" t="s">
        <v>1881</v>
      </c>
      <c r="L2156" s="240" t="s">
        <v>10414</v>
      </c>
      <c r="M2156" s="196">
        <v>191</v>
      </c>
      <c r="N2156" s="196"/>
      <c r="O2156" s="196" t="s">
        <v>10415</v>
      </c>
      <c r="P2156" s="144">
        <v>170</v>
      </c>
      <c r="Q2156" s="242">
        <f t="shared" si="149"/>
        <v>6.79</v>
      </c>
      <c r="R2156" s="203">
        <v>1.2</v>
      </c>
      <c r="S2156" s="203">
        <v>7.99</v>
      </c>
      <c r="T2156" s="203"/>
      <c r="U2156" s="103"/>
      <c r="V2156" s="103"/>
      <c r="W2156" s="203"/>
      <c r="X2156" s="148"/>
      <c r="Y2156" s="148"/>
      <c r="Z2156" s="148"/>
      <c r="AA2156" s="148"/>
      <c r="AB2156" s="148"/>
      <c r="AC2156" s="148"/>
      <c r="AG2156" s="147"/>
    </row>
    <row r="2157" spans="1:33" s="146" customFormat="1" x14ac:dyDescent="0.25">
      <c r="A2157" s="138">
        <v>701</v>
      </c>
      <c r="B2157" s="196" t="s">
        <v>10416</v>
      </c>
      <c r="C2157" s="196" t="s">
        <v>10417</v>
      </c>
      <c r="D2157" s="196" t="s">
        <v>9490</v>
      </c>
      <c r="E2157" s="196"/>
      <c r="F2157" s="196"/>
      <c r="G2157" s="196"/>
      <c r="H2157" s="196" t="s">
        <v>2734</v>
      </c>
      <c r="I2157" s="141" t="s">
        <v>1879</v>
      </c>
      <c r="J2157" s="196"/>
      <c r="K2157" s="196" t="s">
        <v>1881</v>
      </c>
      <c r="L2157" s="240"/>
      <c r="M2157" s="196">
        <v>158</v>
      </c>
      <c r="N2157" s="196"/>
      <c r="O2157" s="196" t="s">
        <v>10418</v>
      </c>
      <c r="P2157" s="144">
        <v>255</v>
      </c>
      <c r="Q2157" s="242">
        <f t="shared" si="149"/>
        <v>2.87</v>
      </c>
      <c r="R2157" s="203">
        <v>1.2</v>
      </c>
      <c r="S2157" s="203">
        <v>4.07</v>
      </c>
      <c r="T2157" s="203"/>
      <c r="U2157" s="103"/>
      <c r="V2157" s="103"/>
      <c r="W2157" s="203"/>
      <c r="X2157" s="148"/>
      <c r="Y2157" s="148"/>
      <c r="Z2157" s="148"/>
      <c r="AA2157" s="148"/>
      <c r="AB2157" s="148"/>
      <c r="AC2157" s="148"/>
      <c r="AG2157" s="147"/>
    </row>
    <row r="2158" spans="1:33" s="146" customFormat="1" x14ac:dyDescent="0.25">
      <c r="A2158" s="138">
        <v>633</v>
      </c>
      <c r="B2158" s="196" t="s">
        <v>10419</v>
      </c>
      <c r="C2158" s="196" t="s">
        <v>10420</v>
      </c>
      <c r="D2158" s="196" t="s">
        <v>10421</v>
      </c>
      <c r="E2158" s="196"/>
      <c r="F2158" s="196"/>
      <c r="G2158" s="196"/>
      <c r="H2158" s="196" t="s">
        <v>1878</v>
      </c>
      <c r="I2158" s="141" t="s">
        <v>1879</v>
      </c>
      <c r="J2158" s="196"/>
      <c r="K2158" s="196" t="s">
        <v>1881</v>
      </c>
      <c r="L2158" s="240"/>
      <c r="M2158" s="196">
        <v>383</v>
      </c>
      <c r="N2158" s="196"/>
      <c r="O2158" s="196" t="s">
        <v>10422</v>
      </c>
      <c r="P2158" s="144">
        <v>279</v>
      </c>
      <c r="Q2158" s="242">
        <f t="shared" si="149"/>
        <v>2.96</v>
      </c>
      <c r="R2158" s="203">
        <v>1.2</v>
      </c>
      <c r="S2158" s="203">
        <v>4.16</v>
      </c>
      <c r="T2158" s="203"/>
      <c r="U2158" s="103"/>
      <c r="V2158" s="103"/>
      <c r="W2158" s="203"/>
      <c r="X2158" s="148"/>
      <c r="Y2158" s="148"/>
      <c r="Z2158" s="148"/>
      <c r="AA2158" s="148"/>
      <c r="AB2158" s="148"/>
      <c r="AC2158" s="148"/>
      <c r="AG2158" s="147"/>
    </row>
    <row r="2159" spans="1:33" s="146" customFormat="1" x14ac:dyDescent="0.25">
      <c r="A2159" s="138">
        <v>8</v>
      </c>
      <c r="B2159" s="196" t="s">
        <v>10423</v>
      </c>
      <c r="C2159" s="196" t="s">
        <v>10424</v>
      </c>
      <c r="D2159" s="196" t="s">
        <v>2309</v>
      </c>
      <c r="E2159" s="196" t="s">
        <v>1913</v>
      </c>
      <c r="F2159" s="196">
        <v>2018</v>
      </c>
      <c r="G2159" s="196"/>
      <c r="H2159" s="196" t="s">
        <v>1878</v>
      </c>
      <c r="I2159" s="141" t="s">
        <v>1914</v>
      </c>
      <c r="J2159" s="196"/>
      <c r="K2159" s="196" t="s">
        <v>1881</v>
      </c>
      <c r="L2159" s="240" t="s">
        <v>10425</v>
      </c>
      <c r="M2159" s="196">
        <v>267</v>
      </c>
      <c r="N2159" s="196"/>
      <c r="O2159" s="196" t="s">
        <v>10426</v>
      </c>
      <c r="P2159" s="144">
        <v>276</v>
      </c>
      <c r="Q2159" s="242">
        <f t="shared" si="149"/>
        <v>2.66</v>
      </c>
      <c r="R2159" s="203">
        <v>1.2</v>
      </c>
      <c r="S2159" s="203">
        <v>3.86</v>
      </c>
      <c r="T2159" s="203"/>
      <c r="U2159" s="103"/>
      <c r="V2159" s="103"/>
      <c r="W2159" s="203"/>
      <c r="X2159" s="148"/>
      <c r="Y2159" s="148"/>
      <c r="Z2159" s="148"/>
      <c r="AA2159" s="148"/>
      <c r="AB2159" s="148"/>
      <c r="AC2159" s="148"/>
      <c r="AG2159" s="147"/>
    </row>
    <row r="2160" spans="1:33" s="146" customFormat="1" x14ac:dyDescent="0.25">
      <c r="A2160" s="138">
        <v>2972</v>
      </c>
      <c r="B2160" s="196"/>
      <c r="C2160" s="196" t="s">
        <v>10427</v>
      </c>
      <c r="D2160" s="196" t="s">
        <v>10428</v>
      </c>
      <c r="E2160" s="196"/>
      <c r="F2160" s="196">
        <v>2011</v>
      </c>
      <c r="G2160" s="196"/>
      <c r="H2160" s="196" t="s">
        <v>1878</v>
      </c>
      <c r="I2160" s="141" t="s">
        <v>1929</v>
      </c>
      <c r="J2160" s="196"/>
      <c r="K2160" s="196" t="s">
        <v>1881</v>
      </c>
      <c r="L2160" s="240" t="s">
        <v>10429</v>
      </c>
      <c r="M2160" s="196">
        <v>96</v>
      </c>
      <c r="N2160" s="196"/>
      <c r="O2160" s="196" t="s">
        <v>10430</v>
      </c>
      <c r="P2160" s="144">
        <v>165</v>
      </c>
      <c r="Q2160" s="242">
        <f t="shared" si="149"/>
        <v>4.2</v>
      </c>
      <c r="R2160" s="203">
        <v>1.2</v>
      </c>
      <c r="S2160" s="203">
        <v>5.4</v>
      </c>
      <c r="T2160" s="203"/>
      <c r="U2160" s="103"/>
      <c r="V2160" s="103"/>
      <c r="W2160" s="203"/>
      <c r="X2160" s="148"/>
      <c r="Y2160" s="148"/>
      <c r="Z2160" s="148"/>
      <c r="AA2160" s="148"/>
      <c r="AB2160" s="148"/>
      <c r="AC2160" s="148"/>
      <c r="AG2160" s="147"/>
    </row>
    <row r="2161" spans="1:33" s="146" customFormat="1" x14ac:dyDescent="0.25">
      <c r="A2161" s="138">
        <v>2553</v>
      </c>
      <c r="B2161" s="196" t="s">
        <v>10431</v>
      </c>
      <c r="C2161" s="196" t="s">
        <v>10432</v>
      </c>
      <c r="D2161" s="196"/>
      <c r="E2161" s="196" t="s">
        <v>1913</v>
      </c>
      <c r="F2161" s="196">
        <v>2017</v>
      </c>
      <c r="G2161" s="196"/>
      <c r="H2161" s="196" t="s">
        <v>1878</v>
      </c>
      <c r="I2161" s="141" t="s">
        <v>7527</v>
      </c>
      <c r="J2161" s="196" t="s">
        <v>9196</v>
      </c>
      <c r="K2161" s="196" t="s">
        <v>1881</v>
      </c>
      <c r="L2161" s="240" t="s">
        <v>10433</v>
      </c>
      <c r="M2161" s="196">
        <v>377</v>
      </c>
      <c r="N2161" s="196"/>
      <c r="O2161" s="196" t="s">
        <v>10434</v>
      </c>
      <c r="P2161" s="144">
        <v>339</v>
      </c>
      <c r="Q2161" s="242">
        <f t="shared" si="149"/>
        <v>4.79</v>
      </c>
      <c r="R2161" s="203">
        <v>1.2</v>
      </c>
      <c r="S2161" s="203">
        <v>5.99</v>
      </c>
      <c r="T2161" s="203"/>
      <c r="U2161" s="103"/>
      <c r="V2161" s="103"/>
      <c r="W2161" s="203"/>
      <c r="X2161" s="148"/>
      <c r="Y2161" s="148"/>
      <c r="Z2161" s="148"/>
      <c r="AA2161" s="148"/>
      <c r="AB2161" s="148"/>
      <c r="AC2161" s="148"/>
      <c r="AG2161" s="147"/>
    </row>
    <row r="2162" spans="1:33" s="146" customFormat="1" x14ac:dyDescent="0.25">
      <c r="A2162" s="138">
        <v>1327</v>
      </c>
      <c r="B2162" s="196" t="s">
        <v>10435</v>
      </c>
      <c r="C2162" s="196" t="s">
        <v>10436</v>
      </c>
      <c r="D2162" s="196" t="s">
        <v>10437</v>
      </c>
      <c r="E2162" s="196"/>
      <c r="F2162" s="196">
        <v>2011</v>
      </c>
      <c r="G2162" s="196"/>
      <c r="H2162" s="196" t="s">
        <v>2734</v>
      </c>
      <c r="I2162" s="141" t="s">
        <v>1929</v>
      </c>
      <c r="J2162" s="196"/>
      <c r="K2162" s="196" t="s">
        <v>1881</v>
      </c>
      <c r="L2162" s="240" t="s">
        <v>10438</v>
      </c>
      <c r="M2162" s="196">
        <v>224</v>
      </c>
      <c r="N2162" s="196"/>
      <c r="O2162" s="196" t="s">
        <v>10439</v>
      </c>
      <c r="P2162" s="144">
        <v>299</v>
      </c>
      <c r="Q2162" s="242">
        <f t="shared" si="149"/>
        <v>3.42</v>
      </c>
      <c r="R2162" s="203">
        <v>1.2</v>
      </c>
      <c r="S2162" s="203">
        <v>4.62</v>
      </c>
      <c r="T2162" s="203"/>
      <c r="U2162" s="103"/>
      <c r="V2162" s="103"/>
      <c r="W2162" s="203"/>
      <c r="X2162" s="148"/>
      <c r="Y2162" s="148"/>
      <c r="Z2162" s="148"/>
      <c r="AA2162" s="148"/>
      <c r="AB2162" s="148"/>
      <c r="AC2162" s="148"/>
      <c r="AG2162" s="147"/>
    </row>
    <row r="2163" spans="1:33" s="146" customFormat="1" x14ac:dyDescent="0.25">
      <c r="A2163" s="138">
        <v>1386</v>
      </c>
      <c r="B2163" s="196" t="s">
        <v>2242</v>
      </c>
      <c r="C2163" s="196" t="s">
        <v>3359</v>
      </c>
      <c r="D2163" s="196" t="s">
        <v>2609</v>
      </c>
      <c r="E2163" s="196"/>
      <c r="F2163" s="196">
        <v>1993</v>
      </c>
      <c r="G2163" s="196"/>
      <c r="H2163" s="196" t="s">
        <v>1878</v>
      </c>
      <c r="I2163" s="141" t="s">
        <v>1879</v>
      </c>
      <c r="J2163" s="196"/>
      <c r="K2163" s="196" t="s">
        <v>1881</v>
      </c>
      <c r="L2163" s="240" t="s">
        <v>3361</v>
      </c>
      <c r="M2163" s="196">
        <v>762</v>
      </c>
      <c r="N2163" s="196"/>
      <c r="O2163" s="196" t="s">
        <v>10440</v>
      </c>
      <c r="P2163" s="144">
        <v>476</v>
      </c>
      <c r="Q2163" s="242">
        <f t="shared" si="149"/>
        <v>1.7</v>
      </c>
      <c r="R2163" s="203">
        <v>1.2</v>
      </c>
      <c r="S2163" s="203">
        <v>2.9</v>
      </c>
      <c r="T2163" s="203"/>
      <c r="U2163" s="103"/>
      <c r="V2163" s="103"/>
      <c r="W2163" s="203"/>
      <c r="X2163" s="148"/>
      <c r="Y2163" s="148"/>
      <c r="Z2163" s="148"/>
      <c r="AA2163" s="148"/>
      <c r="AB2163" s="148"/>
      <c r="AC2163" s="148"/>
      <c r="AG2163" s="147"/>
    </row>
    <row r="2164" spans="1:33" s="146" customFormat="1" x14ac:dyDescent="0.25">
      <c r="A2164" s="142">
        <v>1386</v>
      </c>
      <c r="B2164" s="196" t="s">
        <v>2242</v>
      </c>
      <c r="C2164" s="196" t="s">
        <v>10441</v>
      </c>
      <c r="D2164" s="196" t="s">
        <v>9490</v>
      </c>
      <c r="E2164" s="196"/>
      <c r="F2164" s="196">
        <v>1978</v>
      </c>
      <c r="G2164" s="196"/>
      <c r="H2164" s="196" t="s">
        <v>2734</v>
      </c>
      <c r="I2164" s="141" t="s">
        <v>1929</v>
      </c>
      <c r="J2164" s="196"/>
      <c r="K2164" s="196" t="s">
        <v>1881</v>
      </c>
      <c r="L2164" s="240"/>
      <c r="M2164" s="196">
        <v>254</v>
      </c>
      <c r="N2164" s="196"/>
      <c r="O2164" s="196" t="s">
        <v>10442</v>
      </c>
      <c r="P2164" s="144">
        <v>445</v>
      </c>
      <c r="Q2164" s="242">
        <f t="shared" si="149"/>
        <v>2.2000000000000002</v>
      </c>
      <c r="R2164" s="203">
        <v>1.2</v>
      </c>
      <c r="S2164" s="203">
        <v>3.4</v>
      </c>
      <c r="T2164" s="203"/>
      <c r="U2164" s="103"/>
      <c r="V2164" s="103"/>
      <c r="W2164" s="203"/>
      <c r="X2164" s="148"/>
      <c r="Y2164" s="148"/>
      <c r="Z2164" s="148"/>
      <c r="AA2164" s="148"/>
      <c r="AB2164" s="148"/>
      <c r="AC2164" s="148"/>
      <c r="AG2164" s="147"/>
    </row>
    <row r="2165" spans="1:33" s="146" customFormat="1" x14ac:dyDescent="0.25">
      <c r="A2165" s="138">
        <v>2947</v>
      </c>
      <c r="B2165" s="196" t="s">
        <v>10443</v>
      </c>
      <c r="C2165" s="196" t="s">
        <v>10444</v>
      </c>
      <c r="D2165" s="196" t="s">
        <v>10445</v>
      </c>
      <c r="E2165" s="196" t="s">
        <v>1913</v>
      </c>
      <c r="F2165" s="196">
        <v>1984</v>
      </c>
      <c r="G2165" s="196"/>
      <c r="H2165" s="196" t="s">
        <v>1878</v>
      </c>
      <c r="I2165" s="141" t="s">
        <v>1929</v>
      </c>
      <c r="J2165" s="196"/>
      <c r="K2165" s="196" t="s">
        <v>1881</v>
      </c>
      <c r="L2165" s="240" t="s">
        <v>10446</v>
      </c>
      <c r="M2165" s="196">
        <v>192</v>
      </c>
      <c r="N2165" s="196"/>
      <c r="O2165" s="196" t="s">
        <v>10447</v>
      </c>
      <c r="P2165" s="144">
        <v>244</v>
      </c>
      <c r="Q2165" s="242">
        <f t="shared" si="149"/>
        <v>2.79</v>
      </c>
      <c r="R2165" s="203">
        <v>1.2</v>
      </c>
      <c r="S2165" s="203">
        <v>3.99</v>
      </c>
      <c r="T2165" s="203"/>
      <c r="U2165" s="103"/>
      <c r="V2165" s="103"/>
      <c r="W2165" s="203"/>
      <c r="X2165" s="148"/>
      <c r="Y2165" s="148"/>
      <c r="Z2165" s="148"/>
      <c r="AA2165" s="148"/>
      <c r="AB2165" s="148"/>
      <c r="AC2165" s="148"/>
      <c r="AG2165" s="147"/>
    </row>
    <row r="2166" spans="1:33" s="146" customFormat="1" x14ac:dyDescent="0.25">
      <c r="A2166" s="138">
        <v>689</v>
      </c>
      <c r="B2166" s="196" t="s">
        <v>10448</v>
      </c>
      <c r="C2166" s="196" t="s">
        <v>10449</v>
      </c>
      <c r="D2166" s="196" t="s">
        <v>5766</v>
      </c>
      <c r="E2166" s="196" t="s">
        <v>1913</v>
      </c>
      <c r="F2166" s="196">
        <v>1996</v>
      </c>
      <c r="G2166" s="196"/>
      <c r="H2166" s="196" t="s">
        <v>1878</v>
      </c>
      <c r="I2166" s="141" t="s">
        <v>1929</v>
      </c>
      <c r="J2166" s="196"/>
      <c r="K2166" s="196" t="s">
        <v>1881</v>
      </c>
      <c r="L2166" s="240" t="s">
        <v>10450</v>
      </c>
      <c r="M2166" s="196">
        <v>470</v>
      </c>
      <c r="N2166" s="196"/>
      <c r="O2166" s="196" t="s">
        <v>10451</v>
      </c>
      <c r="P2166" s="144">
        <v>462</v>
      </c>
      <c r="Q2166" s="242">
        <f t="shared" si="149"/>
        <v>3.8</v>
      </c>
      <c r="R2166" s="203">
        <v>1.2</v>
      </c>
      <c r="S2166" s="203">
        <v>5</v>
      </c>
      <c r="T2166" s="203"/>
      <c r="U2166" s="103"/>
      <c r="V2166" s="103"/>
      <c r="W2166" s="203"/>
      <c r="X2166" s="148"/>
      <c r="Y2166" s="148"/>
      <c r="Z2166" s="148"/>
      <c r="AA2166" s="148"/>
      <c r="AB2166" s="148"/>
      <c r="AC2166" s="148"/>
      <c r="AG2166" s="147"/>
    </row>
    <row r="2167" spans="1:33" s="146" customFormat="1" x14ac:dyDescent="0.25">
      <c r="A2167" s="138">
        <v>1386</v>
      </c>
      <c r="B2167" s="196" t="s">
        <v>4695</v>
      </c>
      <c r="C2167" s="196" t="s">
        <v>10452</v>
      </c>
      <c r="D2167" s="196" t="s">
        <v>9893</v>
      </c>
      <c r="E2167" s="196"/>
      <c r="F2167" s="196">
        <v>2011</v>
      </c>
      <c r="G2167" s="196"/>
      <c r="H2167" s="196" t="s">
        <v>1878</v>
      </c>
      <c r="I2167" s="141" t="s">
        <v>1929</v>
      </c>
      <c r="J2167" s="196"/>
      <c r="K2167" s="196" t="s">
        <v>1881</v>
      </c>
      <c r="L2167" s="240" t="s">
        <v>10453</v>
      </c>
      <c r="M2167" s="196">
        <v>215</v>
      </c>
      <c r="N2167" s="196"/>
      <c r="O2167" s="196" t="s">
        <v>10454</v>
      </c>
      <c r="P2167" s="144">
        <v>328</v>
      </c>
      <c r="Q2167" s="242">
        <f t="shared" si="149"/>
        <v>2.9399999999999995</v>
      </c>
      <c r="R2167" s="203">
        <v>1.2</v>
      </c>
      <c r="S2167" s="203">
        <v>4.1399999999999997</v>
      </c>
      <c r="T2167" s="203"/>
      <c r="U2167" s="103"/>
      <c r="V2167" s="103"/>
      <c r="W2167" s="203"/>
      <c r="X2167" s="148"/>
      <c r="Y2167" s="148"/>
      <c r="Z2167" s="148"/>
      <c r="AA2167" s="148"/>
      <c r="AB2167" s="148"/>
      <c r="AC2167" s="148"/>
      <c r="AG2167" s="147"/>
    </row>
    <row r="2168" spans="1:33" s="146" customFormat="1" x14ac:dyDescent="0.25">
      <c r="A2168" s="138">
        <v>795</v>
      </c>
      <c r="B2168" s="196" t="s">
        <v>10455</v>
      </c>
      <c r="C2168" s="196" t="s">
        <v>10456</v>
      </c>
      <c r="D2168" s="196" t="s">
        <v>2644</v>
      </c>
      <c r="E2168" s="196"/>
      <c r="F2168" s="196">
        <v>1985</v>
      </c>
      <c r="G2168" s="196"/>
      <c r="H2168" s="196" t="s">
        <v>1878</v>
      </c>
      <c r="I2168" s="141" t="s">
        <v>1879</v>
      </c>
      <c r="J2168" s="196"/>
      <c r="K2168" s="196" t="s">
        <v>1881</v>
      </c>
      <c r="L2168" s="240" t="s">
        <v>10457</v>
      </c>
      <c r="M2168" s="196">
        <v>181</v>
      </c>
      <c r="N2168" s="196"/>
      <c r="O2168" s="196" t="s">
        <v>10458</v>
      </c>
      <c r="P2168" s="144">
        <v>164</v>
      </c>
      <c r="Q2168" s="242">
        <f t="shared" si="149"/>
        <v>2.74</v>
      </c>
      <c r="R2168" s="203">
        <v>1.2</v>
      </c>
      <c r="S2168" s="203">
        <v>3.94</v>
      </c>
      <c r="T2168" s="203"/>
      <c r="U2168" s="103"/>
      <c r="V2168" s="103"/>
      <c r="W2168" s="203"/>
      <c r="X2168" s="148"/>
      <c r="Y2168" s="148"/>
      <c r="Z2168" s="148"/>
      <c r="AA2168" s="148"/>
      <c r="AB2168" s="148"/>
      <c r="AC2168" s="148"/>
      <c r="AG2168" s="147"/>
    </row>
    <row r="2169" spans="1:33" s="146" customFormat="1" x14ac:dyDescent="0.25">
      <c r="A2169" s="138">
        <v>701</v>
      </c>
      <c r="B2169" s="196" t="s">
        <v>10459</v>
      </c>
      <c r="C2169" s="196" t="s">
        <v>10460</v>
      </c>
      <c r="D2169" s="196" t="s">
        <v>7487</v>
      </c>
      <c r="E2169" s="196"/>
      <c r="F2169" s="196">
        <v>2018</v>
      </c>
      <c r="G2169" s="196"/>
      <c r="H2169" s="196" t="s">
        <v>1878</v>
      </c>
      <c r="I2169" s="141" t="s">
        <v>1929</v>
      </c>
      <c r="J2169" s="196"/>
      <c r="K2169" s="196" t="s">
        <v>1881</v>
      </c>
      <c r="L2169" s="240" t="s">
        <v>10461</v>
      </c>
      <c r="M2169" s="196">
        <v>144</v>
      </c>
      <c r="N2169" s="196"/>
      <c r="O2169" s="196" t="s">
        <v>10462</v>
      </c>
      <c r="P2169" s="144">
        <v>217</v>
      </c>
      <c r="Q2169" s="242">
        <f t="shared" si="149"/>
        <v>8.7900000000000009</v>
      </c>
      <c r="R2169" s="203">
        <v>1.2</v>
      </c>
      <c r="S2169" s="203">
        <v>9.99</v>
      </c>
      <c r="T2169" s="203"/>
      <c r="U2169" s="103"/>
      <c r="V2169" s="103"/>
      <c r="W2169" s="203"/>
      <c r="X2169" s="148"/>
      <c r="Y2169" s="148"/>
      <c r="Z2169" s="148"/>
      <c r="AA2169" s="148"/>
      <c r="AB2169" s="148"/>
      <c r="AC2169" s="148"/>
      <c r="AG2169" s="147"/>
    </row>
    <row r="2170" spans="1:33" s="146" customFormat="1" x14ac:dyDescent="0.25">
      <c r="A2170" s="138">
        <v>632</v>
      </c>
      <c r="B2170" s="196" t="s">
        <v>10463</v>
      </c>
      <c r="C2170" s="196" t="s">
        <v>10464</v>
      </c>
      <c r="D2170" s="196" t="s">
        <v>3524</v>
      </c>
      <c r="E2170" s="196" t="s">
        <v>1913</v>
      </c>
      <c r="F2170" s="196">
        <v>2002</v>
      </c>
      <c r="G2170" s="196"/>
      <c r="H2170" s="196" t="s">
        <v>2734</v>
      </c>
      <c r="I2170" s="141" t="s">
        <v>1929</v>
      </c>
      <c r="J2170" s="196"/>
      <c r="K2170" s="196" t="s">
        <v>1881</v>
      </c>
      <c r="L2170" s="240" t="s">
        <v>10465</v>
      </c>
      <c r="M2170" s="196">
        <v>122</v>
      </c>
      <c r="N2170" s="196"/>
      <c r="O2170" s="196" t="s">
        <v>10466</v>
      </c>
      <c r="P2170" s="144">
        <v>227</v>
      </c>
      <c r="Q2170" s="242">
        <f t="shared" si="149"/>
        <v>2.9699999999999998</v>
      </c>
      <c r="R2170" s="203">
        <v>1.2</v>
      </c>
      <c r="S2170" s="203">
        <v>4.17</v>
      </c>
      <c r="T2170" s="203"/>
      <c r="U2170" s="103"/>
      <c r="V2170" s="103"/>
      <c r="W2170" s="203"/>
      <c r="X2170" s="148"/>
      <c r="Y2170" s="148"/>
      <c r="Z2170" s="148"/>
      <c r="AA2170" s="148"/>
      <c r="AB2170" s="148"/>
      <c r="AC2170" s="148"/>
      <c r="AG2170" s="147"/>
    </row>
    <row r="2171" spans="1:33" s="146" customFormat="1" x14ac:dyDescent="0.25">
      <c r="A2171" s="138">
        <v>2551</v>
      </c>
      <c r="B2171" s="196" t="s">
        <v>4238</v>
      </c>
      <c r="C2171" s="196" t="s">
        <v>10467</v>
      </c>
      <c r="D2171" s="196" t="s">
        <v>2232</v>
      </c>
      <c r="E2171" s="196" t="s">
        <v>1899</v>
      </c>
      <c r="F2171" s="196">
        <v>2015</v>
      </c>
      <c r="G2171" s="196"/>
      <c r="H2171" s="196" t="s">
        <v>1878</v>
      </c>
      <c r="I2171" s="141" t="s">
        <v>1929</v>
      </c>
      <c r="J2171" s="196"/>
      <c r="K2171" s="196" t="s">
        <v>1881</v>
      </c>
      <c r="L2171" s="240" t="s">
        <v>10468</v>
      </c>
      <c r="M2171" s="196">
        <v>380</v>
      </c>
      <c r="N2171" s="196"/>
      <c r="O2171" s="196" t="s">
        <v>10469</v>
      </c>
      <c r="P2171" s="144">
        <v>316</v>
      </c>
      <c r="Q2171" s="242">
        <f t="shared" si="149"/>
        <v>5.79</v>
      </c>
      <c r="R2171" s="203">
        <v>1.2</v>
      </c>
      <c r="S2171" s="203">
        <v>6.99</v>
      </c>
      <c r="T2171" s="203"/>
      <c r="U2171" s="103"/>
      <c r="V2171" s="103"/>
      <c r="W2171" s="203"/>
      <c r="X2171" s="148"/>
      <c r="Y2171" s="148"/>
      <c r="Z2171" s="148"/>
      <c r="AA2171" s="148"/>
      <c r="AB2171" s="148"/>
      <c r="AC2171" s="148"/>
      <c r="AG2171" s="147"/>
    </row>
    <row r="2172" spans="1:33" s="146" customFormat="1" x14ac:dyDescent="0.25">
      <c r="A2172" s="138">
        <v>633</v>
      </c>
      <c r="B2172" s="196" t="s">
        <v>10470</v>
      </c>
      <c r="C2172" s="196" t="s">
        <v>10471</v>
      </c>
      <c r="D2172" s="196" t="s">
        <v>2054</v>
      </c>
      <c r="E2172" s="196" t="s">
        <v>2032</v>
      </c>
      <c r="F2172" s="196">
        <v>1999</v>
      </c>
      <c r="G2172" s="196"/>
      <c r="H2172" s="196" t="s">
        <v>2734</v>
      </c>
      <c r="I2172" s="141" t="s">
        <v>1929</v>
      </c>
      <c r="J2172" s="196"/>
      <c r="K2172" s="196" t="s">
        <v>1881</v>
      </c>
      <c r="L2172" s="240" t="s">
        <v>10472</v>
      </c>
      <c r="M2172" s="196">
        <v>460</v>
      </c>
      <c r="N2172" s="196"/>
      <c r="O2172" s="196" t="s">
        <v>10473</v>
      </c>
      <c r="P2172" s="144">
        <v>547</v>
      </c>
      <c r="Q2172" s="242">
        <f t="shared" si="149"/>
        <v>1.3</v>
      </c>
      <c r="R2172" s="203">
        <v>1.2</v>
      </c>
      <c r="S2172" s="203">
        <v>2.5</v>
      </c>
      <c r="T2172" s="203"/>
      <c r="U2172" s="103"/>
      <c r="V2172" s="103"/>
      <c r="W2172" s="203"/>
      <c r="X2172" s="148"/>
      <c r="Y2172" s="148"/>
      <c r="Z2172" s="148"/>
      <c r="AA2172" s="148"/>
      <c r="AB2172" s="148"/>
      <c r="AC2172" s="148"/>
      <c r="AG2172" s="147"/>
    </row>
    <row r="2173" spans="1:33" s="146" customFormat="1" x14ac:dyDescent="0.25">
      <c r="A2173" s="138">
        <v>1386</v>
      </c>
      <c r="B2173" s="196" t="s">
        <v>10474</v>
      </c>
      <c r="C2173" s="196" t="s">
        <v>10475</v>
      </c>
      <c r="D2173" s="196" t="s">
        <v>2054</v>
      </c>
      <c r="E2173" s="196" t="s">
        <v>2032</v>
      </c>
      <c r="F2173" s="196">
        <v>2014</v>
      </c>
      <c r="G2173" s="196"/>
      <c r="H2173" s="196" t="s">
        <v>1878</v>
      </c>
      <c r="I2173" s="141" t="s">
        <v>1929</v>
      </c>
      <c r="J2173" s="196"/>
      <c r="K2173" s="196" t="s">
        <v>1881</v>
      </c>
      <c r="L2173" s="240" t="s">
        <v>10476</v>
      </c>
      <c r="M2173" s="196">
        <v>239</v>
      </c>
      <c r="N2173" s="196"/>
      <c r="O2173" s="196" t="s">
        <v>10477</v>
      </c>
      <c r="P2173" s="144">
        <v>239</v>
      </c>
      <c r="Q2173" s="242">
        <f t="shared" si="149"/>
        <v>1.8</v>
      </c>
      <c r="R2173" s="203">
        <v>1.2</v>
      </c>
      <c r="S2173" s="203">
        <v>3</v>
      </c>
      <c r="T2173" s="203"/>
      <c r="U2173" s="103"/>
      <c r="V2173" s="103"/>
      <c r="W2173" s="203"/>
      <c r="X2173" s="148"/>
      <c r="Y2173" s="148"/>
      <c r="Z2173" s="148"/>
      <c r="AA2173" s="148"/>
      <c r="AB2173" s="148"/>
      <c r="AC2173" s="148"/>
      <c r="AG2173" s="147"/>
    </row>
    <row r="2174" spans="1:33" s="146" customFormat="1" x14ac:dyDescent="0.25">
      <c r="A2174" s="138">
        <v>2551</v>
      </c>
      <c r="B2174" s="196" t="s">
        <v>10478</v>
      </c>
      <c r="C2174" s="196" t="s">
        <v>10479</v>
      </c>
      <c r="D2174" s="196" t="s">
        <v>9893</v>
      </c>
      <c r="E2174" s="196"/>
      <c r="F2174" s="196">
        <v>1996</v>
      </c>
      <c r="G2174" s="196"/>
      <c r="H2174" s="196" t="s">
        <v>1878</v>
      </c>
      <c r="I2174" s="141" t="s">
        <v>7527</v>
      </c>
      <c r="J2174" s="196"/>
      <c r="K2174" s="196" t="s">
        <v>1881</v>
      </c>
      <c r="L2174" s="240" t="s">
        <v>10480</v>
      </c>
      <c r="M2174" s="196">
        <v>513</v>
      </c>
      <c r="N2174" s="196"/>
      <c r="O2174" s="196" t="s">
        <v>10481</v>
      </c>
      <c r="P2174" s="144">
        <v>400</v>
      </c>
      <c r="Q2174" s="242">
        <f t="shared" si="149"/>
        <v>1.5200000000000002</v>
      </c>
      <c r="R2174" s="203">
        <v>1.2</v>
      </c>
      <c r="S2174" s="203">
        <v>2.72</v>
      </c>
      <c r="T2174" s="203"/>
      <c r="U2174" s="103"/>
      <c r="V2174" s="103"/>
      <c r="W2174" s="203"/>
      <c r="X2174" s="148"/>
      <c r="Y2174" s="148"/>
      <c r="Z2174" s="148"/>
      <c r="AA2174" s="148"/>
      <c r="AB2174" s="148"/>
      <c r="AC2174" s="148"/>
      <c r="AG2174" s="147"/>
    </row>
    <row r="2175" spans="1:33" s="146" customFormat="1" x14ac:dyDescent="0.25">
      <c r="A2175" s="138">
        <v>2547</v>
      </c>
      <c r="B2175" s="196" t="s">
        <v>3637</v>
      </c>
      <c r="C2175" s="196" t="s">
        <v>10482</v>
      </c>
      <c r="D2175" s="196" t="s">
        <v>3077</v>
      </c>
      <c r="E2175" s="196" t="s">
        <v>1913</v>
      </c>
      <c r="F2175" s="196">
        <v>2016</v>
      </c>
      <c r="G2175" s="196"/>
      <c r="H2175" s="196" t="s">
        <v>1878</v>
      </c>
      <c r="I2175" s="141" t="s">
        <v>1929</v>
      </c>
      <c r="J2175" s="196"/>
      <c r="K2175" s="196" t="s">
        <v>1881</v>
      </c>
      <c r="L2175" s="240" t="s">
        <v>10483</v>
      </c>
      <c r="M2175" s="196">
        <v>607</v>
      </c>
      <c r="N2175" s="196"/>
      <c r="O2175" s="196" t="s">
        <v>10484</v>
      </c>
      <c r="P2175" s="144">
        <v>498</v>
      </c>
      <c r="Q2175" s="242">
        <f t="shared" si="149"/>
        <v>3.38</v>
      </c>
      <c r="R2175" s="203">
        <v>1.2</v>
      </c>
      <c r="S2175" s="203">
        <v>4.58</v>
      </c>
      <c r="T2175" s="203"/>
      <c r="U2175" s="103"/>
      <c r="V2175" s="103"/>
      <c r="W2175" s="203"/>
      <c r="X2175" s="148"/>
      <c r="Y2175" s="148"/>
      <c r="Z2175" s="148"/>
      <c r="AA2175" s="148"/>
      <c r="AB2175" s="148"/>
      <c r="AC2175" s="148"/>
      <c r="AG2175" s="147"/>
    </row>
    <row r="2176" spans="1:33" s="146" customFormat="1" x14ac:dyDescent="0.25">
      <c r="A2176" s="138">
        <v>1315</v>
      </c>
      <c r="B2176" s="196" t="s">
        <v>4725</v>
      </c>
      <c r="C2176" s="196" t="s">
        <v>10485</v>
      </c>
      <c r="D2176" s="196"/>
      <c r="E2176" s="196"/>
      <c r="F2176" s="196"/>
      <c r="G2176" s="196"/>
      <c r="H2176" s="196" t="s">
        <v>2734</v>
      </c>
      <c r="I2176" s="141" t="s">
        <v>1929</v>
      </c>
      <c r="J2176" s="196"/>
      <c r="K2176" s="196" t="s">
        <v>1881</v>
      </c>
      <c r="L2176" s="240" t="s">
        <v>10486</v>
      </c>
      <c r="M2176" s="196">
        <v>361</v>
      </c>
      <c r="N2176" s="196"/>
      <c r="O2176" s="196" t="s">
        <v>10487</v>
      </c>
      <c r="P2176" s="144">
        <v>469</v>
      </c>
      <c r="Q2176" s="242">
        <f t="shared" si="149"/>
        <v>4.79</v>
      </c>
      <c r="R2176" s="203">
        <v>1.2</v>
      </c>
      <c r="S2176" s="203">
        <v>5.99</v>
      </c>
      <c r="T2176" s="203"/>
      <c r="U2176" s="103"/>
      <c r="V2176" s="103"/>
      <c r="W2176" s="203"/>
      <c r="X2176" s="148"/>
      <c r="Y2176" s="148"/>
      <c r="Z2176" s="148"/>
      <c r="AA2176" s="148"/>
      <c r="AB2176" s="148"/>
      <c r="AC2176" s="148"/>
      <c r="AG2176" s="147"/>
    </row>
    <row r="2177" spans="1:33" s="146" customFormat="1" x14ac:dyDescent="0.25">
      <c r="A2177" s="138">
        <v>632</v>
      </c>
      <c r="B2177" s="196" t="s">
        <v>10488</v>
      </c>
      <c r="C2177" s="196" t="s">
        <v>10489</v>
      </c>
      <c r="D2177" s="196" t="s">
        <v>9192</v>
      </c>
      <c r="E2177" s="196"/>
      <c r="F2177" s="196">
        <v>1993</v>
      </c>
      <c r="G2177" s="196"/>
      <c r="H2177" s="196" t="s">
        <v>2734</v>
      </c>
      <c r="I2177" s="141" t="s">
        <v>1929</v>
      </c>
      <c r="J2177" s="196" t="s">
        <v>10490</v>
      </c>
      <c r="K2177" s="196" t="s">
        <v>1881</v>
      </c>
      <c r="L2177" s="240" t="s">
        <v>10491</v>
      </c>
      <c r="M2177" s="196">
        <v>511</v>
      </c>
      <c r="N2177" s="196"/>
      <c r="O2177" s="196" t="s">
        <v>10492</v>
      </c>
      <c r="P2177" s="144">
        <v>653</v>
      </c>
      <c r="Q2177" s="242">
        <f t="shared" si="149"/>
        <v>5.3</v>
      </c>
      <c r="R2177" s="203">
        <v>1.2</v>
      </c>
      <c r="S2177" s="203">
        <v>6.5</v>
      </c>
      <c r="T2177" s="203"/>
      <c r="U2177" s="103"/>
      <c r="V2177" s="103"/>
      <c r="W2177" s="203"/>
      <c r="X2177" s="148"/>
      <c r="Y2177" s="148"/>
      <c r="Z2177" s="148"/>
      <c r="AA2177" s="148"/>
      <c r="AB2177" s="148"/>
      <c r="AC2177" s="148"/>
      <c r="AG2177" s="147"/>
    </row>
    <row r="2178" spans="1:33" s="146" customFormat="1" x14ac:dyDescent="0.25">
      <c r="A2178" s="138">
        <v>633</v>
      </c>
      <c r="B2178" s="196" t="s">
        <v>10493</v>
      </c>
      <c r="C2178" s="196" t="s">
        <v>10494</v>
      </c>
      <c r="D2178" s="196" t="s">
        <v>1920</v>
      </c>
      <c r="E2178" s="196"/>
      <c r="F2178" s="196">
        <v>2007</v>
      </c>
      <c r="G2178" s="196"/>
      <c r="H2178" s="196" t="s">
        <v>1878</v>
      </c>
      <c r="I2178" s="141" t="s">
        <v>1879</v>
      </c>
      <c r="J2178" s="196" t="s">
        <v>9196</v>
      </c>
      <c r="K2178" s="196" t="s">
        <v>1881</v>
      </c>
      <c r="L2178" s="240" t="s">
        <v>10495</v>
      </c>
      <c r="M2178" s="196">
        <v>668</v>
      </c>
      <c r="N2178" s="196"/>
      <c r="O2178" s="196" t="s">
        <v>10496</v>
      </c>
      <c r="P2178" s="144">
        <v>407</v>
      </c>
      <c r="Q2178" s="242">
        <f t="shared" si="149"/>
        <v>1.57</v>
      </c>
      <c r="R2178" s="203">
        <v>1.2</v>
      </c>
      <c r="S2178" s="203">
        <v>2.77</v>
      </c>
      <c r="T2178" s="203"/>
      <c r="U2178" s="103"/>
      <c r="V2178" s="103"/>
      <c r="W2178" s="203"/>
      <c r="X2178" s="148"/>
      <c r="Y2178" s="148"/>
      <c r="Z2178" s="148"/>
      <c r="AA2178" s="148"/>
      <c r="AB2178" s="148"/>
      <c r="AC2178" s="148"/>
      <c r="AG2178" s="147"/>
    </row>
    <row r="2179" spans="1:33" s="146" customFormat="1" x14ac:dyDescent="0.25">
      <c r="A2179" s="138">
        <v>2553</v>
      </c>
      <c r="B2179" s="196" t="s">
        <v>10497</v>
      </c>
      <c r="C2179" s="196" t="s">
        <v>10498</v>
      </c>
      <c r="D2179" s="196" t="s">
        <v>1912</v>
      </c>
      <c r="E2179" s="196" t="s">
        <v>1913</v>
      </c>
      <c r="F2179" s="196">
        <v>2015</v>
      </c>
      <c r="G2179" s="196"/>
      <c r="H2179" s="196" t="s">
        <v>1878</v>
      </c>
      <c r="I2179" s="141" t="s">
        <v>1879</v>
      </c>
      <c r="J2179" s="196" t="s">
        <v>9196</v>
      </c>
      <c r="K2179" s="196" t="s">
        <v>1881</v>
      </c>
      <c r="L2179" s="240" t="s">
        <v>10499</v>
      </c>
      <c r="M2179" s="196">
        <v>310</v>
      </c>
      <c r="N2179" s="196"/>
      <c r="O2179" s="196" t="s">
        <v>10500</v>
      </c>
      <c r="P2179" s="144">
        <v>266</v>
      </c>
      <c r="Q2179" s="242">
        <f t="shared" si="149"/>
        <v>2.0200000000000005</v>
      </c>
      <c r="R2179" s="203">
        <v>1.2</v>
      </c>
      <c r="S2179" s="203">
        <v>3.22</v>
      </c>
      <c r="T2179" s="203"/>
      <c r="U2179" s="103"/>
      <c r="V2179" s="103"/>
      <c r="W2179" s="203"/>
      <c r="X2179" s="148"/>
      <c r="Y2179" s="148"/>
      <c r="Z2179" s="148"/>
      <c r="AA2179" s="148"/>
      <c r="AB2179" s="148"/>
      <c r="AC2179" s="148"/>
      <c r="AG2179" s="147"/>
    </row>
    <row r="2180" spans="1:33" s="146" customFormat="1" x14ac:dyDescent="0.25">
      <c r="A2180" s="138">
        <v>2553</v>
      </c>
      <c r="B2180" s="196" t="s">
        <v>10501</v>
      </c>
      <c r="C2180" s="196" t="s">
        <v>10502</v>
      </c>
      <c r="D2180" s="196" t="s">
        <v>2054</v>
      </c>
      <c r="E2180" s="196"/>
      <c r="F2180" s="196">
        <v>2019</v>
      </c>
      <c r="G2180" s="196"/>
      <c r="H2180" s="196" t="s">
        <v>1878</v>
      </c>
      <c r="I2180" s="141" t="s">
        <v>1929</v>
      </c>
      <c r="J2180" s="196"/>
      <c r="K2180" s="196" t="s">
        <v>1881</v>
      </c>
      <c r="L2180" s="240" t="s">
        <v>10503</v>
      </c>
      <c r="M2180" s="196">
        <v>367</v>
      </c>
      <c r="N2180" s="196"/>
      <c r="O2180" s="196" t="s">
        <v>10504</v>
      </c>
      <c r="P2180" s="144">
        <v>365</v>
      </c>
      <c r="Q2180" s="242">
        <f t="shared" si="149"/>
        <v>2</v>
      </c>
      <c r="R2180" s="203">
        <v>1.2</v>
      </c>
      <c r="S2180" s="203">
        <v>3.2</v>
      </c>
      <c r="T2180" s="203"/>
      <c r="U2180" s="103"/>
      <c r="V2180" s="103"/>
      <c r="W2180" s="203"/>
      <c r="X2180" s="148"/>
      <c r="Y2180" s="148"/>
      <c r="Z2180" s="148"/>
      <c r="AA2180" s="148"/>
      <c r="AB2180" s="148"/>
      <c r="AC2180" s="148"/>
      <c r="AG2180" s="147"/>
    </row>
    <row r="2181" spans="1:33" s="146" customFormat="1" x14ac:dyDescent="0.25">
      <c r="A2181" s="138">
        <v>689</v>
      </c>
      <c r="B2181" s="196" t="s">
        <v>10505</v>
      </c>
      <c r="C2181" s="196" t="s">
        <v>10506</v>
      </c>
      <c r="D2181" s="196" t="s">
        <v>10421</v>
      </c>
      <c r="E2181" s="196"/>
      <c r="F2181" s="196">
        <v>2007</v>
      </c>
      <c r="G2181" s="196"/>
      <c r="H2181" s="196" t="s">
        <v>1878</v>
      </c>
      <c r="I2181" s="141" t="s">
        <v>1914</v>
      </c>
      <c r="J2181" s="196"/>
      <c r="K2181" s="196" t="s">
        <v>1881</v>
      </c>
      <c r="L2181" s="240"/>
      <c r="M2181" s="196">
        <v>458</v>
      </c>
      <c r="N2181" s="196"/>
      <c r="O2181" s="196" t="s">
        <v>10507</v>
      </c>
      <c r="P2181" s="144">
        <v>340</v>
      </c>
      <c r="Q2181" s="242">
        <f t="shared" si="149"/>
        <v>2.8999999999999995</v>
      </c>
      <c r="R2181" s="203">
        <v>1.2</v>
      </c>
      <c r="S2181" s="203">
        <v>4.0999999999999996</v>
      </c>
      <c r="T2181" s="203"/>
      <c r="U2181" s="103"/>
      <c r="V2181" s="103"/>
      <c r="W2181" s="203"/>
      <c r="X2181" s="148"/>
      <c r="Y2181" s="148"/>
      <c r="Z2181" s="148"/>
      <c r="AA2181" s="148"/>
      <c r="AB2181" s="148"/>
      <c r="AC2181" s="148"/>
      <c r="AG2181" s="147"/>
    </row>
    <row r="2182" spans="1:33" s="146" customFormat="1" x14ac:dyDescent="0.25">
      <c r="A2182" s="138">
        <v>2553</v>
      </c>
      <c r="B2182" s="196" t="s">
        <v>10508</v>
      </c>
      <c r="C2182" s="196" t="s">
        <v>10509</v>
      </c>
      <c r="D2182" s="196" t="s">
        <v>2257</v>
      </c>
      <c r="E2182" s="196" t="s">
        <v>1913</v>
      </c>
      <c r="F2182" s="196">
        <v>1998</v>
      </c>
      <c r="G2182" s="196"/>
      <c r="H2182" s="196" t="s">
        <v>1878</v>
      </c>
      <c r="I2182" s="141" t="s">
        <v>1914</v>
      </c>
      <c r="J2182" s="196"/>
      <c r="K2182" s="196" t="s">
        <v>1881</v>
      </c>
      <c r="L2182" s="240" t="s">
        <v>10510</v>
      </c>
      <c r="M2182" s="196">
        <v>345</v>
      </c>
      <c r="N2182" s="196"/>
      <c r="O2182" s="196" t="s">
        <v>10511</v>
      </c>
      <c r="P2182" s="144">
        <v>198</v>
      </c>
      <c r="Q2182" s="242">
        <f t="shared" si="149"/>
        <v>1.45</v>
      </c>
      <c r="R2182" s="203">
        <v>1.2</v>
      </c>
      <c r="S2182" s="203">
        <v>2.65</v>
      </c>
      <c r="T2182" s="203"/>
      <c r="U2182" s="103"/>
      <c r="V2182" s="103"/>
      <c r="W2182" s="203"/>
      <c r="X2182" s="148"/>
      <c r="Y2182" s="148"/>
      <c r="Z2182" s="148"/>
      <c r="AA2182" s="148"/>
      <c r="AB2182" s="148"/>
      <c r="AC2182" s="148"/>
      <c r="AG2182" s="147"/>
    </row>
    <row r="2183" spans="1:33" s="146" customFormat="1" x14ac:dyDescent="0.25">
      <c r="A2183" s="138">
        <v>796</v>
      </c>
      <c r="B2183" s="196" t="s">
        <v>3637</v>
      </c>
      <c r="C2183" s="196" t="s">
        <v>10512</v>
      </c>
      <c r="D2183" s="196" t="s">
        <v>2209</v>
      </c>
      <c r="E2183" s="196"/>
      <c r="F2183" s="196">
        <v>2006</v>
      </c>
      <c r="G2183" s="196"/>
      <c r="H2183" s="196" t="s">
        <v>1878</v>
      </c>
      <c r="I2183" s="141" t="s">
        <v>1879</v>
      </c>
      <c r="J2183" s="196"/>
      <c r="K2183" s="196" t="s">
        <v>1881</v>
      </c>
      <c r="L2183" s="240" t="s">
        <v>10513</v>
      </c>
      <c r="M2183" s="196">
        <v>240</v>
      </c>
      <c r="N2183" s="196"/>
      <c r="O2183" s="196" t="s">
        <v>10514</v>
      </c>
      <c r="P2183" s="144">
        <v>231</v>
      </c>
      <c r="Q2183" s="242">
        <f t="shared" si="149"/>
        <v>2.8999999999999995</v>
      </c>
      <c r="R2183" s="203">
        <v>1.2</v>
      </c>
      <c r="S2183" s="203">
        <v>4.0999999999999996</v>
      </c>
      <c r="T2183" s="203"/>
      <c r="U2183" s="103"/>
      <c r="V2183" s="103"/>
      <c r="W2183" s="203"/>
      <c r="X2183" s="148"/>
      <c r="Y2183" s="148"/>
      <c r="Z2183" s="148"/>
      <c r="AA2183" s="148"/>
      <c r="AB2183" s="148"/>
      <c r="AC2183" s="148"/>
      <c r="AG2183" s="147"/>
    </row>
    <row r="2184" spans="1:33" s="146" customFormat="1" x14ac:dyDescent="0.25">
      <c r="A2184" s="138">
        <v>2518</v>
      </c>
      <c r="B2184" s="196" t="s">
        <v>10515</v>
      </c>
      <c r="C2184" s="196" t="s">
        <v>10516</v>
      </c>
      <c r="D2184" s="196" t="s">
        <v>10143</v>
      </c>
      <c r="E2184" s="196" t="s">
        <v>1913</v>
      </c>
      <c r="F2184" s="196">
        <v>2017</v>
      </c>
      <c r="G2184" s="196"/>
      <c r="H2184" s="196" t="s">
        <v>1878</v>
      </c>
      <c r="I2184" s="141" t="s">
        <v>1879</v>
      </c>
      <c r="J2184" s="196" t="s">
        <v>9196</v>
      </c>
      <c r="K2184" s="196" t="s">
        <v>1881</v>
      </c>
      <c r="L2184" s="240" t="s">
        <v>10517</v>
      </c>
      <c r="M2184" s="196">
        <v>351</v>
      </c>
      <c r="N2184" s="196"/>
      <c r="O2184" s="196" t="s">
        <v>10518</v>
      </c>
      <c r="P2184" s="144">
        <v>342</v>
      </c>
      <c r="Q2184" s="242">
        <f t="shared" si="149"/>
        <v>3.3199999999999994</v>
      </c>
      <c r="R2184" s="203">
        <v>1.2</v>
      </c>
      <c r="S2184" s="203">
        <v>4.5199999999999996</v>
      </c>
      <c r="T2184" s="203"/>
      <c r="U2184" s="103"/>
      <c r="V2184" s="103"/>
      <c r="W2184" s="203"/>
      <c r="X2184" s="148"/>
      <c r="Y2184" s="148"/>
      <c r="Z2184" s="148"/>
      <c r="AA2184" s="148"/>
      <c r="AB2184" s="148"/>
      <c r="AC2184" s="148"/>
      <c r="AG2184" s="147"/>
    </row>
    <row r="2185" spans="1:33" s="146" customFormat="1" x14ac:dyDescent="0.25">
      <c r="A2185" s="138">
        <v>692</v>
      </c>
      <c r="B2185" s="196" t="s">
        <v>10519</v>
      </c>
      <c r="C2185" s="196" t="s">
        <v>10520</v>
      </c>
      <c r="D2185" s="196" t="s">
        <v>9961</v>
      </c>
      <c r="E2185" s="196"/>
      <c r="F2185" s="196"/>
      <c r="G2185" s="196"/>
      <c r="H2185" s="196" t="s">
        <v>2734</v>
      </c>
      <c r="I2185" s="141" t="s">
        <v>1929</v>
      </c>
      <c r="J2185" s="196"/>
      <c r="K2185" s="196" t="s">
        <v>1881</v>
      </c>
      <c r="L2185" s="240"/>
      <c r="M2185" s="196">
        <v>254</v>
      </c>
      <c r="N2185" s="196"/>
      <c r="O2185" s="196" t="s">
        <v>10521</v>
      </c>
      <c r="P2185" s="144">
        <v>452</v>
      </c>
      <c r="Q2185" s="242">
        <f t="shared" ref="Q2185:Q2226" si="150">S2185-R2185</f>
        <v>2.4000000000000004</v>
      </c>
      <c r="R2185" s="203">
        <v>1.2</v>
      </c>
      <c r="S2185" s="203">
        <v>3.6</v>
      </c>
      <c r="T2185" s="203"/>
      <c r="U2185" s="103"/>
      <c r="V2185" s="103"/>
      <c r="W2185" s="203"/>
      <c r="X2185" s="148"/>
      <c r="Y2185" s="148"/>
      <c r="Z2185" s="148"/>
      <c r="AA2185" s="148"/>
      <c r="AB2185" s="148"/>
      <c r="AC2185" s="148"/>
      <c r="AG2185" s="147"/>
    </row>
    <row r="2186" spans="1:33" s="146" customFormat="1" x14ac:dyDescent="0.25">
      <c r="A2186" s="138">
        <v>2547</v>
      </c>
      <c r="B2186" s="196" t="s">
        <v>10522</v>
      </c>
      <c r="C2186" s="196" t="s">
        <v>10523</v>
      </c>
      <c r="D2186" s="196" t="s">
        <v>2054</v>
      </c>
      <c r="E2186" s="196"/>
      <c r="F2186" s="196">
        <v>2005</v>
      </c>
      <c r="G2186" s="196"/>
      <c r="H2186" s="196" t="s">
        <v>2734</v>
      </c>
      <c r="I2186" s="141" t="s">
        <v>1929</v>
      </c>
      <c r="J2186" s="196"/>
      <c r="K2186" s="196" t="s">
        <v>1881</v>
      </c>
      <c r="L2186" s="240" t="s">
        <v>10524</v>
      </c>
      <c r="M2186" s="196">
        <v>207</v>
      </c>
      <c r="N2186" s="196"/>
      <c r="O2186" s="196" t="s">
        <v>10525</v>
      </c>
      <c r="P2186" s="144">
        <v>397</v>
      </c>
      <c r="Q2186" s="242">
        <f t="shared" si="150"/>
        <v>2.21</v>
      </c>
      <c r="R2186" s="203">
        <v>1.2</v>
      </c>
      <c r="S2186" s="203">
        <v>3.41</v>
      </c>
      <c r="T2186" s="203"/>
      <c r="U2186" s="103"/>
      <c r="V2186" s="103"/>
      <c r="W2186" s="203"/>
      <c r="X2186" s="148"/>
      <c r="Y2186" s="148"/>
      <c r="Z2186" s="148"/>
      <c r="AA2186" s="148"/>
      <c r="AB2186" s="148"/>
      <c r="AC2186" s="148"/>
      <c r="AG2186" s="147"/>
    </row>
    <row r="2187" spans="1:33" s="146" customFormat="1" x14ac:dyDescent="0.25">
      <c r="A2187" s="138">
        <v>1386</v>
      </c>
      <c r="B2187" s="196" t="s">
        <v>10526</v>
      </c>
      <c r="C2187" s="196" t="s">
        <v>10527</v>
      </c>
      <c r="D2187" s="196" t="s">
        <v>9119</v>
      </c>
      <c r="E2187" s="196" t="s">
        <v>2032</v>
      </c>
      <c r="F2187" s="196">
        <v>2012</v>
      </c>
      <c r="G2187" s="196"/>
      <c r="H2187" s="196" t="s">
        <v>1878</v>
      </c>
      <c r="I2187" s="141" t="s">
        <v>1879</v>
      </c>
      <c r="J2187" s="196"/>
      <c r="K2187" s="196" t="s">
        <v>1881</v>
      </c>
      <c r="L2187" s="240" t="s">
        <v>10528</v>
      </c>
      <c r="M2187" s="196">
        <v>431</v>
      </c>
      <c r="N2187" s="196"/>
      <c r="O2187" s="196" t="s">
        <v>10529</v>
      </c>
      <c r="P2187" s="144">
        <v>346</v>
      </c>
      <c r="Q2187" s="242">
        <f t="shared" si="150"/>
        <v>3.0199999999999996</v>
      </c>
      <c r="R2187" s="203">
        <v>1.2</v>
      </c>
      <c r="S2187" s="203">
        <v>4.22</v>
      </c>
      <c r="T2187" s="203"/>
      <c r="U2187" s="103"/>
      <c r="V2187" s="103"/>
      <c r="W2187" s="203"/>
      <c r="X2187" s="148"/>
      <c r="Y2187" s="148"/>
      <c r="Z2187" s="148"/>
      <c r="AA2187" s="148"/>
      <c r="AB2187" s="148"/>
      <c r="AC2187" s="148"/>
      <c r="AG2187" s="147"/>
    </row>
    <row r="2188" spans="1:33" s="146" customFormat="1" x14ac:dyDescent="0.25">
      <c r="A2188" s="138">
        <v>701</v>
      </c>
      <c r="B2188" s="196" t="s">
        <v>3035</v>
      </c>
      <c r="C2188" s="196" t="s">
        <v>7557</v>
      </c>
      <c r="D2188" s="196" t="s">
        <v>9893</v>
      </c>
      <c r="E2188" s="196"/>
      <c r="F2188" s="196">
        <v>2008</v>
      </c>
      <c r="G2188" s="196"/>
      <c r="H2188" s="196" t="s">
        <v>1878</v>
      </c>
      <c r="I2188" s="141" t="s">
        <v>1929</v>
      </c>
      <c r="J2188" s="196"/>
      <c r="K2188" s="196" t="s">
        <v>1881</v>
      </c>
      <c r="L2188" s="240"/>
      <c r="M2188" s="196">
        <v>221</v>
      </c>
      <c r="N2188" s="196"/>
      <c r="O2188" s="196" t="s">
        <v>10530</v>
      </c>
      <c r="P2188" s="144">
        <v>279</v>
      </c>
      <c r="Q2188" s="242">
        <f t="shared" si="150"/>
        <v>2.66</v>
      </c>
      <c r="R2188" s="203">
        <v>1.2</v>
      </c>
      <c r="S2188" s="203">
        <v>3.86</v>
      </c>
      <c r="T2188" s="203"/>
      <c r="U2188" s="103"/>
      <c r="V2188" s="103"/>
      <c r="W2188" s="203"/>
      <c r="X2188" s="148"/>
      <c r="Y2188" s="148"/>
      <c r="Z2188" s="148"/>
      <c r="AA2188" s="148"/>
      <c r="AB2188" s="148"/>
      <c r="AC2188" s="148"/>
      <c r="AG2188" s="147"/>
    </row>
    <row r="2189" spans="1:33" s="146" customFormat="1" x14ac:dyDescent="0.25">
      <c r="A2189" s="138">
        <v>2553</v>
      </c>
      <c r="B2189" s="196" t="s">
        <v>3121</v>
      </c>
      <c r="C2189" s="196" t="s">
        <v>10531</v>
      </c>
      <c r="D2189" s="196" t="s">
        <v>2309</v>
      </c>
      <c r="E2189" s="196"/>
      <c r="F2189" s="196"/>
      <c r="G2189" s="196"/>
      <c r="H2189" s="196" t="s">
        <v>1878</v>
      </c>
      <c r="I2189" s="141" t="s">
        <v>1879</v>
      </c>
      <c r="J2189" s="196"/>
      <c r="K2189" s="196" t="s">
        <v>1881</v>
      </c>
      <c r="L2189" s="240" t="s">
        <v>10532</v>
      </c>
      <c r="M2189" s="196">
        <v>474</v>
      </c>
      <c r="N2189" s="196"/>
      <c r="O2189" s="196" t="s">
        <v>10533</v>
      </c>
      <c r="P2189" s="144">
        <v>315</v>
      </c>
      <c r="Q2189" s="242">
        <f t="shared" si="150"/>
        <v>3.01</v>
      </c>
      <c r="R2189" s="203">
        <v>1.2</v>
      </c>
      <c r="S2189" s="203">
        <v>4.21</v>
      </c>
      <c r="T2189" s="203"/>
      <c r="U2189" s="103"/>
      <c r="V2189" s="103"/>
      <c r="W2189" s="203"/>
      <c r="X2189" s="148"/>
      <c r="Y2189" s="148"/>
      <c r="Z2189" s="148"/>
      <c r="AA2189" s="148"/>
      <c r="AB2189" s="148"/>
      <c r="AC2189" s="148"/>
      <c r="AG2189" s="147"/>
    </row>
    <row r="2190" spans="1:33" s="146" customFormat="1" x14ac:dyDescent="0.25">
      <c r="A2190" s="138">
        <v>1386</v>
      </c>
      <c r="B2190" s="196" t="s">
        <v>2456</v>
      </c>
      <c r="C2190" s="196" t="s">
        <v>8483</v>
      </c>
      <c r="D2190" s="196" t="s">
        <v>1912</v>
      </c>
      <c r="E2190" s="196"/>
      <c r="F2190" s="196">
        <v>1999</v>
      </c>
      <c r="G2190" s="196"/>
      <c r="H2190" s="196" t="s">
        <v>1878</v>
      </c>
      <c r="I2190" s="141" t="s">
        <v>7527</v>
      </c>
      <c r="J2190" s="196"/>
      <c r="K2190" s="196" t="s">
        <v>1881</v>
      </c>
      <c r="L2190" s="240" t="s">
        <v>10534</v>
      </c>
      <c r="M2190" s="196">
        <v>597</v>
      </c>
      <c r="N2190" s="196"/>
      <c r="O2190" s="196" t="s">
        <v>10535</v>
      </c>
      <c r="P2190" s="144">
        <v>404</v>
      </c>
      <c r="Q2190" s="242">
        <f t="shared" si="150"/>
        <v>2.1900000000000004</v>
      </c>
      <c r="R2190" s="203">
        <v>1.2</v>
      </c>
      <c r="S2190" s="203">
        <v>3.39</v>
      </c>
      <c r="T2190" s="203"/>
      <c r="U2190" s="103"/>
      <c r="V2190" s="103"/>
      <c r="W2190" s="203"/>
      <c r="X2190" s="148"/>
      <c r="Y2190" s="148"/>
      <c r="Z2190" s="148"/>
      <c r="AA2190" s="148"/>
      <c r="AB2190" s="148"/>
      <c r="AC2190" s="148"/>
      <c r="AG2190" s="147"/>
    </row>
    <row r="2191" spans="1:33" s="146" customFormat="1" x14ac:dyDescent="0.25">
      <c r="A2191" s="138">
        <v>632</v>
      </c>
      <c r="B2191" s="196" t="s">
        <v>7258</v>
      </c>
      <c r="C2191" s="196" t="s">
        <v>10536</v>
      </c>
      <c r="D2191" s="196" t="s">
        <v>2257</v>
      </c>
      <c r="E2191" s="196"/>
      <c r="F2191" s="196">
        <v>1997</v>
      </c>
      <c r="G2191" s="196"/>
      <c r="H2191" s="196" t="s">
        <v>1878</v>
      </c>
      <c r="I2191" s="141" t="s">
        <v>1879</v>
      </c>
      <c r="J2191" s="196" t="s">
        <v>9495</v>
      </c>
      <c r="K2191" s="196" t="s">
        <v>1881</v>
      </c>
      <c r="L2191" s="240" t="s">
        <v>10537</v>
      </c>
      <c r="M2191" s="196">
        <v>409</v>
      </c>
      <c r="N2191" s="196"/>
      <c r="O2191" s="196" t="s">
        <v>10538</v>
      </c>
      <c r="P2191" s="144">
        <v>393</v>
      </c>
      <c r="Q2191" s="242">
        <f t="shared" si="150"/>
        <v>2.1900000000000004</v>
      </c>
      <c r="R2191" s="203">
        <v>1.2</v>
      </c>
      <c r="S2191" s="203">
        <v>3.39</v>
      </c>
      <c r="T2191" s="203"/>
      <c r="U2191" s="103"/>
      <c r="V2191" s="103"/>
      <c r="W2191" s="203"/>
      <c r="X2191" s="148"/>
      <c r="Y2191" s="148"/>
      <c r="Z2191" s="148"/>
      <c r="AA2191" s="148"/>
      <c r="AB2191" s="148"/>
      <c r="AC2191" s="148"/>
      <c r="AG2191" s="147"/>
    </row>
    <row r="2192" spans="1:33" s="146" customFormat="1" x14ac:dyDescent="0.25">
      <c r="A2192" s="138">
        <v>692</v>
      </c>
      <c r="B2192" s="196" t="s">
        <v>10539</v>
      </c>
      <c r="C2192" s="196" t="s">
        <v>10540</v>
      </c>
      <c r="D2192" s="196" t="s">
        <v>2257</v>
      </c>
      <c r="E2192" s="196"/>
      <c r="F2192" s="196">
        <v>2007</v>
      </c>
      <c r="G2192" s="196"/>
      <c r="H2192" s="196" t="s">
        <v>1878</v>
      </c>
      <c r="I2192" s="141" t="s">
        <v>1929</v>
      </c>
      <c r="J2192" s="196"/>
      <c r="K2192" s="196" t="s">
        <v>1881</v>
      </c>
      <c r="L2192" s="240" t="s">
        <v>10541</v>
      </c>
      <c r="M2192" s="196">
        <v>371</v>
      </c>
      <c r="N2192" s="196"/>
      <c r="O2192" s="196" t="s">
        <v>10542</v>
      </c>
      <c r="P2192" s="144">
        <v>423</v>
      </c>
      <c r="Q2192" s="242">
        <f t="shared" si="150"/>
        <v>3.01</v>
      </c>
      <c r="R2192" s="203">
        <v>1.2</v>
      </c>
      <c r="S2192" s="203">
        <v>4.21</v>
      </c>
      <c r="T2192" s="203"/>
      <c r="U2192" s="103"/>
      <c r="V2192" s="103"/>
      <c r="W2192" s="203"/>
      <c r="X2192" s="148"/>
      <c r="Y2192" s="148"/>
      <c r="Z2192" s="148"/>
      <c r="AA2192" s="148"/>
      <c r="AB2192" s="148"/>
      <c r="AC2192" s="148"/>
      <c r="AG2192" s="147"/>
    </row>
    <row r="2193" spans="1:33" s="146" customFormat="1" x14ac:dyDescent="0.25">
      <c r="A2193" s="138">
        <v>11</v>
      </c>
      <c r="B2193" s="196" t="s">
        <v>10543</v>
      </c>
      <c r="C2193" s="196" t="s">
        <v>10544</v>
      </c>
      <c r="D2193" s="196" t="s">
        <v>10543</v>
      </c>
      <c r="E2193" s="196" t="s">
        <v>1913</v>
      </c>
      <c r="F2193" s="196">
        <v>2001</v>
      </c>
      <c r="G2193" s="196"/>
      <c r="H2193" s="196" t="s">
        <v>1878</v>
      </c>
      <c r="I2193" s="141" t="s">
        <v>1929</v>
      </c>
      <c r="J2193" s="196"/>
      <c r="K2193" s="196" t="s">
        <v>1881</v>
      </c>
      <c r="L2193" s="240" t="s">
        <v>10545</v>
      </c>
      <c r="M2193" s="196">
        <v>256</v>
      </c>
      <c r="N2193" s="196"/>
      <c r="O2193" s="196" t="s">
        <v>10546</v>
      </c>
      <c r="P2193" s="144">
        <v>131</v>
      </c>
      <c r="Q2193" s="242">
        <f t="shared" si="150"/>
        <v>1.7</v>
      </c>
      <c r="R2193" s="203">
        <v>1.2</v>
      </c>
      <c r="S2193" s="203">
        <v>2.9</v>
      </c>
      <c r="T2193" s="203"/>
      <c r="U2193" s="103"/>
      <c r="V2193" s="103"/>
      <c r="W2193" s="203"/>
      <c r="X2193" s="148"/>
      <c r="Y2193" s="148"/>
      <c r="Z2193" s="148"/>
      <c r="AA2193" s="148"/>
      <c r="AB2193" s="148"/>
      <c r="AC2193" s="148"/>
      <c r="AG2193" s="147"/>
    </row>
    <row r="2194" spans="1:33" s="146" customFormat="1" x14ac:dyDescent="0.25">
      <c r="A2194" s="138">
        <v>607</v>
      </c>
      <c r="B2194" s="196" t="s">
        <v>10547</v>
      </c>
      <c r="C2194" s="196" t="s">
        <v>10548</v>
      </c>
      <c r="D2194" s="196" t="s">
        <v>10549</v>
      </c>
      <c r="E2194" s="196" t="s">
        <v>1913</v>
      </c>
      <c r="F2194" s="196">
        <v>2004</v>
      </c>
      <c r="G2194" s="196"/>
      <c r="H2194" s="196" t="s">
        <v>1878</v>
      </c>
      <c r="I2194" s="141" t="s">
        <v>1929</v>
      </c>
      <c r="J2194" s="196"/>
      <c r="K2194" s="196" t="s">
        <v>1881</v>
      </c>
      <c r="L2194" s="240" t="s">
        <v>10550</v>
      </c>
      <c r="M2194" s="196"/>
      <c r="N2194" s="196"/>
      <c r="O2194" s="196" t="s">
        <v>10551</v>
      </c>
      <c r="P2194" s="144">
        <v>117</v>
      </c>
      <c r="Q2194" s="242">
        <f t="shared" si="150"/>
        <v>4.79</v>
      </c>
      <c r="R2194" s="203">
        <v>1.2</v>
      </c>
      <c r="S2194" s="203">
        <v>5.99</v>
      </c>
      <c r="T2194" s="203"/>
      <c r="U2194" s="103"/>
      <c r="V2194" s="103"/>
      <c r="W2194" s="203"/>
      <c r="X2194" s="148"/>
      <c r="Y2194" s="148"/>
      <c r="Z2194" s="148"/>
      <c r="AA2194" s="148"/>
      <c r="AB2194" s="148"/>
      <c r="AC2194" s="148"/>
      <c r="AG2194" s="147"/>
    </row>
    <row r="2195" spans="1:33" s="146" customFormat="1" x14ac:dyDescent="0.25">
      <c r="A2195" s="138">
        <v>11</v>
      </c>
      <c r="B2195" s="196" t="s">
        <v>10552</v>
      </c>
      <c r="C2195" s="196" t="s">
        <v>10553</v>
      </c>
      <c r="D2195" s="196" t="s">
        <v>10554</v>
      </c>
      <c r="E2195" s="196"/>
      <c r="F2195" s="196"/>
      <c r="G2195" s="196"/>
      <c r="H2195" s="196" t="s">
        <v>1878</v>
      </c>
      <c r="I2195" s="141" t="s">
        <v>1929</v>
      </c>
      <c r="J2195" s="196"/>
      <c r="K2195" s="196" t="s">
        <v>1881</v>
      </c>
      <c r="L2195" s="240" t="s">
        <v>10555</v>
      </c>
      <c r="M2195" s="196">
        <v>128</v>
      </c>
      <c r="N2195" s="196"/>
      <c r="O2195" s="196" t="s">
        <v>10556</v>
      </c>
      <c r="P2195" s="144">
        <v>136</v>
      </c>
      <c r="Q2195" s="242">
        <f t="shared" si="150"/>
        <v>1.3</v>
      </c>
      <c r="R2195" s="203">
        <v>1.2</v>
      </c>
      <c r="S2195" s="203">
        <v>2.5</v>
      </c>
      <c r="T2195" s="203"/>
      <c r="U2195" s="103"/>
      <c r="V2195" s="103"/>
      <c r="W2195" s="203"/>
      <c r="X2195" s="148"/>
      <c r="Y2195" s="148"/>
      <c r="Z2195" s="148"/>
      <c r="AA2195" s="148"/>
      <c r="AB2195" s="148"/>
      <c r="AC2195" s="148"/>
      <c r="AG2195" s="147"/>
    </row>
    <row r="2196" spans="1:33" s="146" customFormat="1" x14ac:dyDescent="0.25">
      <c r="A2196" s="138">
        <v>692</v>
      </c>
      <c r="B2196" s="196" t="s">
        <v>2935</v>
      </c>
      <c r="C2196" s="196" t="s">
        <v>10557</v>
      </c>
      <c r="D2196" s="196" t="s">
        <v>2244</v>
      </c>
      <c r="E2196" s="196" t="s">
        <v>2518</v>
      </c>
      <c r="F2196" s="196">
        <v>2004</v>
      </c>
      <c r="G2196" s="196"/>
      <c r="H2196" s="196" t="s">
        <v>1878</v>
      </c>
      <c r="I2196" s="141" t="s">
        <v>1929</v>
      </c>
      <c r="J2196" s="196"/>
      <c r="K2196" s="196" t="s">
        <v>1881</v>
      </c>
      <c r="L2196" s="240" t="s">
        <v>10558</v>
      </c>
      <c r="M2196" s="196">
        <v>267</v>
      </c>
      <c r="N2196" s="196"/>
      <c r="O2196" s="196" t="s">
        <v>10559</v>
      </c>
      <c r="P2196" s="144">
        <v>361</v>
      </c>
      <c r="Q2196" s="242">
        <f t="shared" si="150"/>
        <v>1.3</v>
      </c>
      <c r="R2196" s="203">
        <v>1.2</v>
      </c>
      <c r="S2196" s="203">
        <v>2.5</v>
      </c>
      <c r="T2196" s="203"/>
      <c r="U2196" s="103"/>
      <c r="V2196" s="103"/>
      <c r="W2196" s="203"/>
      <c r="X2196" s="148"/>
      <c r="Y2196" s="148"/>
      <c r="Z2196" s="148"/>
      <c r="AA2196" s="148"/>
      <c r="AB2196" s="148"/>
      <c r="AC2196" s="148"/>
      <c r="AG2196" s="147"/>
    </row>
    <row r="2197" spans="1:33" s="146" customFormat="1" x14ac:dyDescent="0.25">
      <c r="A2197" s="138">
        <v>940</v>
      </c>
      <c r="B2197" s="196" t="s">
        <v>10560</v>
      </c>
      <c r="C2197" s="196" t="s">
        <v>10561</v>
      </c>
      <c r="D2197" s="196" t="s">
        <v>2036</v>
      </c>
      <c r="E2197" s="196" t="s">
        <v>2032</v>
      </c>
      <c r="F2197" s="196">
        <v>2005</v>
      </c>
      <c r="G2197" s="196"/>
      <c r="H2197" s="196" t="s">
        <v>2734</v>
      </c>
      <c r="I2197" s="141" t="s">
        <v>1929</v>
      </c>
      <c r="J2197" s="196"/>
      <c r="K2197" s="196" t="s">
        <v>1881</v>
      </c>
      <c r="L2197" s="240" t="s">
        <v>10562</v>
      </c>
      <c r="M2197" s="196">
        <v>203</v>
      </c>
      <c r="N2197" s="196"/>
      <c r="O2197" s="196" t="s">
        <v>10563</v>
      </c>
      <c r="P2197" s="144">
        <v>283</v>
      </c>
      <c r="Q2197" s="242">
        <f t="shared" si="150"/>
        <v>1.7900000000000003</v>
      </c>
      <c r="R2197" s="203">
        <v>1.2</v>
      </c>
      <c r="S2197" s="203">
        <v>2.99</v>
      </c>
      <c r="T2197" s="203"/>
      <c r="U2197" s="103"/>
      <c r="V2197" s="103"/>
      <c r="W2197" s="203"/>
      <c r="X2197" s="148"/>
      <c r="Y2197" s="148"/>
      <c r="Z2197" s="148"/>
      <c r="AA2197" s="148"/>
      <c r="AB2197" s="148"/>
      <c r="AC2197" s="148"/>
      <c r="AG2197" s="147"/>
    </row>
    <row r="2199" spans="1:33" s="146" customFormat="1" x14ac:dyDescent="0.25">
      <c r="A2199" s="142">
        <v>692</v>
      </c>
      <c r="B2199" s="196" t="s">
        <v>10567</v>
      </c>
      <c r="C2199" s="196" t="s">
        <v>10568</v>
      </c>
      <c r="D2199" s="196" t="s">
        <v>1920</v>
      </c>
      <c r="E2199" s="196"/>
      <c r="F2199" s="196">
        <v>2004</v>
      </c>
      <c r="G2199" s="196"/>
      <c r="H2199" s="196" t="s">
        <v>10569</v>
      </c>
      <c r="I2199" s="141" t="s">
        <v>1929</v>
      </c>
      <c r="J2199" s="196"/>
      <c r="K2199" s="196" t="s">
        <v>1881</v>
      </c>
      <c r="L2199" s="240" t="s">
        <v>10570</v>
      </c>
      <c r="M2199" s="196">
        <v>732</v>
      </c>
      <c r="N2199" s="196"/>
      <c r="O2199" s="196" t="s">
        <v>10571</v>
      </c>
      <c r="P2199" s="144">
        <v>533</v>
      </c>
      <c r="Q2199" s="242">
        <f t="shared" si="150"/>
        <v>2.5499999999999998</v>
      </c>
      <c r="R2199" s="203">
        <v>1.2</v>
      </c>
      <c r="S2199" s="203">
        <f>0.9+2.85</f>
        <v>3.75</v>
      </c>
      <c r="T2199" s="203"/>
      <c r="U2199" s="103"/>
      <c r="V2199" s="103"/>
      <c r="W2199" s="203"/>
      <c r="X2199" s="148"/>
      <c r="Y2199" s="148"/>
      <c r="Z2199" s="148"/>
      <c r="AA2199" s="148"/>
      <c r="AB2199" s="148"/>
      <c r="AC2199" s="148"/>
      <c r="AG2199" s="147"/>
    </row>
    <row r="2200" spans="1:33" s="146" customFormat="1" x14ac:dyDescent="0.25">
      <c r="A2200" s="138">
        <v>633</v>
      </c>
      <c r="B2200" s="196" t="s">
        <v>2252</v>
      </c>
      <c r="C2200" s="196" t="s">
        <v>10572</v>
      </c>
      <c r="D2200" s="196" t="s">
        <v>2609</v>
      </c>
      <c r="E2200" s="196" t="s">
        <v>2518</v>
      </c>
      <c r="F2200" s="196">
        <v>2006</v>
      </c>
      <c r="G2200" s="196"/>
      <c r="H2200" s="196" t="s">
        <v>1878</v>
      </c>
      <c r="I2200" s="141" t="s">
        <v>7527</v>
      </c>
      <c r="J2200" s="196"/>
      <c r="K2200" s="196" t="s">
        <v>1881</v>
      </c>
      <c r="L2200" s="240" t="s">
        <v>10573</v>
      </c>
      <c r="M2200" s="196">
        <v>987</v>
      </c>
      <c r="N2200" s="196"/>
      <c r="O2200" s="196" t="s">
        <v>10574</v>
      </c>
      <c r="P2200" s="144">
        <v>612</v>
      </c>
      <c r="Q2200" s="242">
        <f t="shared" si="150"/>
        <v>1.7900000000000003</v>
      </c>
      <c r="R2200" s="203">
        <v>1.2</v>
      </c>
      <c r="S2200" s="203">
        <v>2.99</v>
      </c>
      <c r="T2200" s="203"/>
      <c r="U2200" s="103"/>
      <c r="V2200" s="103"/>
      <c r="W2200" s="203"/>
      <c r="X2200" s="148"/>
      <c r="Y2200" s="148"/>
      <c r="Z2200" s="148"/>
      <c r="AA2200" s="148"/>
      <c r="AB2200" s="148"/>
      <c r="AC2200" s="148"/>
      <c r="AG2200" s="147"/>
    </row>
    <row r="2201" spans="1:33" s="146" customFormat="1" x14ac:dyDescent="0.25">
      <c r="A2201" s="138">
        <v>2548</v>
      </c>
      <c r="B2201" s="196" t="s">
        <v>6262</v>
      </c>
      <c r="C2201" s="196" t="s">
        <v>6263</v>
      </c>
      <c r="D2201" s="196" t="s">
        <v>2209</v>
      </c>
      <c r="E2201" s="196" t="s">
        <v>2412</v>
      </c>
      <c r="F2201" s="196">
        <v>2006</v>
      </c>
      <c r="G2201" s="196"/>
      <c r="H2201" s="196" t="s">
        <v>1878</v>
      </c>
      <c r="I2201" s="141" t="s">
        <v>1879</v>
      </c>
      <c r="J2201" s="196"/>
      <c r="K2201" s="196" t="s">
        <v>1881</v>
      </c>
      <c r="L2201" s="240" t="s">
        <v>8394</v>
      </c>
      <c r="M2201" s="196">
        <v>526</v>
      </c>
      <c r="N2201" s="196"/>
      <c r="O2201" s="196" t="s">
        <v>10579</v>
      </c>
      <c r="P2201" s="144">
        <v>445</v>
      </c>
      <c r="Q2201" s="242">
        <f t="shared" si="150"/>
        <v>1.7900000000000003</v>
      </c>
      <c r="R2201" s="203">
        <v>1.2</v>
      </c>
      <c r="S2201" s="203">
        <v>2.99</v>
      </c>
      <c r="T2201" s="203"/>
      <c r="U2201" s="103"/>
      <c r="V2201" s="103"/>
      <c r="W2201" s="203"/>
      <c r="X2201" s="148"/>
      <c r="Y2201" s="148"/>
      <c r="Z2201" s="148"/>
      <c r="AA2201" s="148"/>
      <c r="AB2201" s="148"/>
      <c r="AC2201" s="148"/>
      <c r="AG2201" s="147"/>
    </row>
    <row r="2202" spans="1:33" s="146" customFormat="1" x14ac:dyDescent="0.25">
      <c r="A2202" s="142">
        <v>692</v>
      </c>
      <c r="B2202" s="196" t="s">
        <v>10580</v>
      </c>
      <c r="C2202" s="196" t="s">
        <v>10581</v>
      </c>
      <c r="D2202" s="196" t="s">
        <v>2232</v>
      </c>
      <c r="E2202" s="196" t="s">
        <v>2412</v>
      </c>
      <c r="F2202" s="196">
        <v>2000</v>
      </c>
      <c r="G2202" s="196"/>
      <c r="H2202" s="196" t="s">
        <v>1878</v>
      </c>
      <c r="I2202" s="141" t="s">
        <v>1879</v>
      </c>
      <c r="J2202" s="196" t="s">
        <v>9495</v>
      </c>
      <c r="K2202" s="196" t="s">
        <v>1881</v>
      </c>
      <c r="L2202" s="240" t="s">
        <v>10582</v>
      </c>
      <c r="M2202" s="196">
        <v>572</v>
      </c>
      <c r="N2202" s="196"/>
      <c r="O2202" s="196" t="s">
        <v>10583</v>
      </c>
      <c r="P2202" s="144">
        <v>479</v>
      </c>
      <c r="Q2202" s="242">
        <f t="shared" si="150"/>
        <v>1.3</v>
      </c>
      <c r="R2202" s="203">
        <v>1.2</v>
      </c>
      <c r="S2202" s="203">
        <v>2.5</v>
      </c>
      <c r="T2202" s="203"/>
      <c r="U2202" s="103"/>
      <c r="V2202" s="103"/>
      <c r="W2202" s="203"/>
      <c r="X2202" s="148"/>
      <c r="Y2202" s="148"/>
      <c r="Z2202" s="148"/>
      <c r="AA2202" s="148"/>
      <c r="AB2202" s="148"/>
      <c r="AC2202" s="148"/>
      <c r="AG2202" s="147"/>
    </row>
    <row r="2203" spans="1:33" s="146" customFormat="1" x14ac:dyDescent="0.25">
      <c r="A2203" s="138">
        <v>1008</v>
      </c>
      <c r="B2203" s="196" t="s">
        <v>10584</v>
      </c>
      <c r="C2203" s="196" t="s">
        <v>10584</v>
      </c>
      <c r="D2203" s="196" t="s">
        <v>10585</v>
      </c>
      <c r="E2203" s="196"/>
      <c r="F2203" s="196">
        <v>2009</v>
      </c>
      <c r="G2203" s="196"/>
      <c r="H2203" s="196" t="s">
        <v>1878</v>
      </c>
      <c r="I2203" s="141" t="s">
        <v>1879</v>
      </c>
      <c r="J2203" s="196"/>
      <c r="K2203" s="196" t="s">
        <v>1881</v>
      </c>
      <c r="L2203" s="240"/>
      <c r="M2203" s="196">
        <v>1233</v>
      </c>
      <c r="N2203" s="196"/>
      <c r="O2203" s="196" t="s">
        <v>10586</v>
      </c>
      <c r="P2203" s="144">
        <v>567</v>
      </c>
      <c r="Q2203" s="242">
        <f t="shared" si="150"/>
        <v>1.3</v>
      </c>
      <c r="R2203" s="203">
        <v>1.2</v>
      </c>
      <c r="S2203" s="203">
        <v>2.5</v>
      </c>
      <c r="T2203" s="203"/>
      <c r="U2203" s="103"/>
      <c r="V2203" s="103"/>
      <c r="W2203" s="203"/>
      <c r="X2203" s="148"/>
      <c r="Y2203" s="148"/>
      <c r="Z2203" s="148"/>
      <c r="AA2203" s="148"/>
      <c r="AB2203" s="148"/>
      <c r="AC2203" s="148"/>
      <c r="AG2203" s="147"/>
    </row>
    <row r="2204" spans="1:33" s="146" customFormat="1" x14ac:dyDescent="0.25">
      <c r="A2204" s="138">
        <v>1327</v>
      </c>
      <c r="B2204" s="196" t="s">
        <v>7625</v>
      </c>
      <c r="C2204" s="196" t="s">
        <v>10587</v>
      </c>
      <c r="D2204" s="196" t="s">
        <v>9893</v>
      </c>
      <c r="E2204" s="196" t="s">
        <v>1877</v>
      </c>
      <c r="F2204" s="196">
        <v>2000</v>
      </c>
      <c r="G2204" s="196"/>
      <c r="H2204" s="196" t="s">
        <v>1878</v>
      </c>
      <c r="I2204" s="141" t="s">
        <v>1929</v>
      </c>
      <c r="J2204" s="196"/>
      <c r="K2204" s="196" t="s">
        <v>1881</v>
      </c>
      <c r="L2204" s="240" t="s">
        <v>10588</v>
      </c>
      <c r="M2204" s="196">
        <v>284</v>
      </c>
      <c r="N2204" s="196"/>
      <c r="O2204" s="196" t="s">
        <v>10589</v>
      </c>
      <c r="P2204" s="144">
        <v>188</v>
      </c>
      <c r="Q2204" s="242">
        <f t="shared" si="150"/>
        <v>1.1199999999999999</v>
      </c>
      <c r="R2204" s="203">
        <v>1.2</v>
      </c>
      <c r="S2204" s="203">
        <v>2.3199999999999998</v>
      </c>
      <c r="T2204" s="203"/>
      <c r="U2204" s="103"/>
      <c r="V2204" s="103"/>
      <c r="W2204" s="203"/>
      <c r="X2204" s="148"/>
      <c r="Y2204" s="148"/>
      <c r="Z2204" s="148"/>
      <c r="AA2204" s="148"/>
      <c r="AB2204" s="148"/>
      <c r="AC2204" s="148"/>
      <c r="AG2204" s="147"/>
    </row>
    <row r="2205" spans="1:33" s="146" customFormat="1" x14ac:dyDescent="0.25">
      <c r="A2205" s="138">
        <v>2518</v>
      </c>
      <c r="B2205" s="196" t="s">
        <v>10595</v>
      </c>
      <c r="C2205" s="196" t="s">
        <v>10596</v>
      </c>
      <c r="D2205" s="196" t="s">
        <v>2232</v>
      </c>
      <c r="E2205" s="196"/>
      <c r="F2205" s="196">
        <v>2009</v>
      </c>
      <c r="G2205" s="196"/>
      <c r="H2205" s="196" t="s">
        <v>1878</v>
      </c>
      <c r="I2205" s="141" t="s">
        <v>1929</v>
      </c>
      <c r="J2205" s="196"/>
      <c r="K2205" s="196" t="s">
        <v>1881</v>
      </c>
      <c r="L2205" s="240" t="s">
        <v>10597</v>
      </c>
      <c r="M2205" s="196">
        <v>281</v>
      </c>
      <c r="N2205" s="196"/>
      <c r="O2205" s="196" t="s">
        <v>10598</v>
      </c>
      <c r="P2205" s="144">
        <v>278</v>
      </c>
      <c r="Q2205" s="242">
        <f t="shared" si="150"/>
        <v>0.79</v>
      </c>
      <c r="R2205" s="203">
        <v>1.2</v>
      </c>
      <c r="S2205" s="203">
        <v>1.99</v>
      </c>
      <c r="T2205" s="203"/>
      <c r="U2205" s="103"/>
      <c r="V2205" s="103"/>
      <c r="W2205" s="203"/>
      <c r="X2205" s="148"/>
      <c r="Y2205" s="148"/>
      <c r="Z2205" s="148"/>
      <c r="AA2205" s="148"/>
      <c r="AB2205" s="148"/>
      <c r="AC2205" s="148"/>
      <c r="AG2205" s="147"/>
    </row>
    <row r="2206" spans="1:33" s="146" customFormat="1" x14ac:dyDescent="0.25">
      <c r="A2206" s="138">
        <v>692</v>
      </c>
      <c r="B2206" s="196" t="s">
        <v>5996</v>
      </c>
      <c r="C2206" s="196" t="s">
        <v>5997</v>
      </c>
      <c r="D2206" s="196" t="s">
        <v>2609</v>
      </c>
      <c r="E2206" s="196" t="s">
        <v>1877</v>
      </c>
      <c r="F2206" s="196">
        <v>2006</v>
      </c>
      <c r="G2206" s="196"/>
      <c r="H2206" s="196" t="s">
        <v>1878</v>
      </c>
      <c r="I2206" s="141" t="s">
        <v>7817</v>
      </c>
      <c r="J2206" s="196"/>
      <c r="K2206" s="196" t="s">
        <v>1881</v>
      </c>
      <c r="L2206" s="240" t="s">
        <v>5998</v>
      </c>
      <c r="M2206" s="196">
        <v>311</v>
      </c>
      <c r="N2206" s="196"/>
      <c r="O2206" s="196" t="s">
        <v>10599</v>
      </c>
      <c r="P2206" s="144">
        <v>291</v>
      </c>
      <c r="Q2206" s="242">
        <f t="shared" si="150"/>
        <v>2.75</v>
      </c>
      <c r="R2206" s="203">
        <v>1.2</v>
      </c>
      <c r="S2206" s="203">
        <f>2.5+1.45</f>
        <v>3.95</v>
      </c>
      <c r="T2206" s="203"/>
      <c r="U2206" s="103"/>
      <c r="V2206" s="103"/>
      <c r="W2206" s="203"/>
      <c r="X2206" s="148"/>
      <c r="Y2206" s="148"/>
      <c r="Z2206" s="148"/>
      <c r="AA2206" s="148"/>
      <c r="AB2206" s="148"/>
      <c r="AC2206" s="148"/>
      <c r="AG2206" s="147"/>
    </row>
    <row r="2207" spans="1:33" s="146" customFormat="1" x14ac:dyDescent="0.25">
      <c r="A2207" s="138">
        <v>795</v>
      </c>
      <c r="B2207" s="196" t="s">
        <v>3517</v>
      </c>
      <c r="C2207" s="196" t="s">
        <v>10600</v>
      </c>
      <c r="D2207" s="196" t="s">
        <v>2644</v>
      </c>
      <c r="E2207" s="196"/>
      <c r="F2207" s="196">
        <v>1998</v>
      </c>
      <c r="G2207" s="196"/>
      <c r="H2207" s="196" t="s">
        <v>1878</v>
      </c>
      <c r="I2207" s="141" t="s">
        <v>1929</v>
      </c>
      <c r="J2207" s="196"/>
      <c r="K2207" s="196" t="s">
        <v>1881</v>
      </c>
      <c r="L2207" s="240" t="s">
        <v>10601</v>
      </c>
      <c r="M2207" s="196">
        <v>245</v>
      </c>
      <c r="N2207" s="196"/>
      <c r="O2207" s="196" t="s">
        <v>10602</v>
      </c>
      <c r="P2207" s="144">
        <v>230</v>
      </c>
      <c r="Q2207" s="242">
        <f t="shared" si="150"/>
        <v>1.7900000000000003</v>
      </c>
      <c r="R2207" s="203">
        <v>1.2</v>
      </c>
      <c r="S2207" s="203">
        <v>2.99</v>
      </c>
      <c r="T2207" s="203"/>
      <c r="U2207" s="103"/>
      <c r="V2207" s="103"/>
      <c r="W2207" s="203"/>
      <c r="X2207" s="148"/>
      <c r="Y2207" s="148"/>
      <c r="Z2207" s="148"/>
      <c r="AA2207" s="148"/>
      <c r="AB2207" s="148"/>
      <c r="AC2207" s="148"/>
      <c r="AG2207" s="147"/>
    </row>
    <row r="2208" spans="1:33" s="146" customFormat="1" x14ac:dyDescent="0.25">
      <c r="A2208" s="138">
        <v>2553</v>
      </c>
      <c r="B2208" s="196" t="s">
        <v>4599</v>
      </c>
      <c r="C2208" s="196" t="s">
        <v>10603</v>
      </c>
      <c r="D2208" s="196" t="s">
        <v>2257</v>
      </c>
      <c r="E2208" s="196"/>
      <c r="F2208" s="196">
        <v>2008</v>
      </c>
      <c r="G2208" s="196"/>
      <c r="H2208" s="196" t="s">
        <v>1878</v>
      </c>
      <c r="I2208" s="141" t="s">
        <v>7527</v>
      </c>
      <c r="J2208" s="196" t="s">
        <v>9495</v>
      </c>
      <c r="K2208" s="196" t="s">
        <v>1881</v>
      </c>
      <c r="L2208" s="240" t="s">
        <v>10604</v>
      </c>
      <c r="M2208" s="196">
        <v>534</v>
      </c>
      <c r="N2208" s="196"/>
      <c r="O2208" s="196" t="s">
        <v>10605</v>
      </c>
      <c r="P2208" s="144">
        <v>407</v>
      </c>
      <c r="Q2208" s="242">
        <f t="shared" si="150"/>
        <v>2.99</v>
      </c>
      <c r="R2208" s="203">
        <v>1.2</v>
      </c>
      <c r="S2208" s="203">
        <v>4.1900000000000004</v>
      </c>
      <c r="T2208" s="203"/>
      <c r="U2208" s="103"/>
      <c r="V2208" s="103"/>
      <c r="W2208" s="203"/>
      <c r="X2208" s="148"/>
      <c r="Y2208" s="148"/>
      <c r="Z2208" s="148"/>
      <c r="AA2208" s="148"/>
      <c r="AB2208" s="148"/>
      <c r="AC2208" s="148"/>
      <c r="AG2208" s="147"/>
    </row>
    <row r="2209" spans="1:33" s="146" customFormat="1" x14ac:dyDescent="0.25">
      <c r="A2209" s="138">
        <v>692</v>
      </c>
      <c r="B2209" s="196" t="s">
        <v>10606</v>
      </c>
      <c r="C2209" s="196" t="s">
        <v>10607</v>
      </c>
      <c r="D2209" s="196" t="s">
        <v>1876</v>
      </c>
      <c r="E2209" s="196" t="s">
        <v>9325</v>
      </c>
      <c r="F2209" s="196">
        <v>2012</v>
      </c>
      <c r="G2209" s="196"/>
      <c r="H2209" s="196" t="s">
        <v>1878</v>
      </c>
      <c r="I2209" s="141" t="s">
        <v>1879</v>
      </c>
      <c r="J2209" s="196"/>
      <c r="K2209" s="196" t="s">
        <v>1881</v>
      </c>
      <c r="L2209" s="240" t="s">
        <v>10608</v>
      </c>
      <c r="M2209" s="196">
        <v>333</v>
      </c>
      <c r="N2209" s="196"/>
      <c r="O2209" s="196" t="s">
        <v>10609</v>
      </c>
      <c r="P2209" s="144">
        <v>288</v>
      </c>
      <c r="Q2209" s="242">
        <f t="shared" si="150"/>
        <v>2.4000000000000004</v>
      </c>
      <c r="R2209" s="203">
        <v>1.2</v>
      </c>
      <c r="S2209" s="203">
        <v>3.6</v>
      </c>
      <c r="T2209" s="203"/>
      <c r="U2209" s="103"/>
      <c r="V2209" s="103"/>
      <c r="W2209" s="203"/>
      <c r="X2209" s="148"/>
      <c r="Y2209" s="148"/>
      <c r="Z2209" s="148"/>
      <c r="AA2209" s="148"/>
      <c r="AB2209" s="148"/>
      <c r="AC2209" s="148"/>
      <c r="AG2209" s="147"/>
    </row>
    <row r="2210" spans="1:33" s="146" customFormat="1" x14ac:dyDescent="0.25">
      <c r="A2210" s="138">
        <v>632</v>
      </c>
      <c r="B2210" s="196" t="s">
        <v>3832</v>
      </c>
      <c r="C2210" s="196" t="s">
        <v>10614</v>
      </c>
      <c r="D2210" s="196" t="s">
        <v>2054</v>
      </c>
      <c r="E2210" s="196"/>
      <c r="F2210" s="196">
        <v>2005</v>
      </c>
      <c r="G2210" s="196"/>
      <c r="H2210" s="196" t="s">
        <v>1878</v>
      </c>
      <c r="I2210" s="141" t="s">
        <v>7817</v>
      </c>
      <c r="J2210" s="196"/>
      <c r="K2210" s="196" t="s">
        <v>1881</v>
      </c>
      <c r="L2210" s="240" t="s">
        <v>10615</v>
      </c>
      <c r="M2210" s="196">
        <v>1151</v>
      </c>
      <c r="N2210" s="196"/>
      <c r="O2210" s="196" t="s">
        <v>10616</v>
      </c>
      <c r="P2210" s="144">
        <v>887</v>
      </c>
      <c r="Q2210" s="242">
        <f t="shared" si="150"/>
        <v>4.79</v>
      </c>
      <c r="R2210" s="203">
        <v>1.2</v>
      </c>
      <c r="S2210" s="203">
        <v>5.99</v>
      </c>
      <c r="T2210" s="203"/>
      <c r="U2210" s="103"/>
      <c r="V2210" s="103"/>
      <c r="W2210" s="203"/>
      <c r="X2210" s="148"/>
      <c r="Y2210" s="148"/>
      <c r="Z2210" s="148"/>
      <c r="AA2210" s="148"/>
      <c r="AB2210" s="148"/>
      <c r="AC2210" s="148"/>
      <c r="AG2210" s="147"/>
    </row>
    <row r="2211" spans="1:33" s="146" customFormat="1" x14ac:dyDescent="0.25">
      <c r="A2211" s="138">
        <v>1023</v>
      </c>
      <c r="B2211" s="196"/>
      <c r="C2211" s="196" t="s">
        <v>10584</v>
      </c>
      <c r="D2211" s="196" t="s">
        <v>8548</v>
      </c>
      <c r="E2211" s="196" t="s">
        <v>2032</v>
      </c>
      <c r="F2211" s="196">
        <v>2011</v>
      </c>
      <c r="G2211" s="196"/>
      <c r="H2211" s="196" t="s">
        <v>2734</v>
      </c>
      <c r="I2211" s="141" t="s">
        <v>1929</v>
      </c>
      <c r="J2211" s="196"/>
      <c r="K2211" s="196" t="s">
        <v>1881</v>
      </c>
      <c r="L2211" s="240" t="s">
        <v>10617</v>
      </c>
      <c r="M2211" s="196">
        <v>1458</v>
      </c>
      <c r="N2211" s="196"/>
      <c r="O2211" s="196" t="s">
        <v>10618</v>
      </c>
      <c r="P2211" s="144">
        <v>814</v>
      </c>
      <c r="Q2211" s="242">
        <f t="shared" si="150"/>
        <v>4.8</v>
      </c>
      <c r="R2211" s="203">
        <v>1.2</v>
      </c>
      <c r="S2211" s="203">
        <v>6</v>
      </c>
      <c r="T2211" s="203"/>
      <c r="U2211" s="103"/>
      <c r="V2211" s="103"/>
      <c r="W2211" s="203"/>
      <c r="X2211" s="148"/>
      <c r="Y2211" s="148"/>
      <c r="Z2211" s="148"/>
      <c r="AA2211" s="148"/>
      <c r="AB2211" s="148"/>
      <c r="AC2211" s="148"/>
      <c r="AG2211" s="147"/>
    </row>
    <row r="2212" spans="1:33" s="146" customFormat="1" x14ac:dyDescent="0.25">
      <c r="A2212" s="138">
        <v>1327</v>
      </c>
      <c r="B2212" s="196" t="s">
        <v>10619</v>
      </c>
      <c r="C2212" s="196" t="s">
        <v>10620</v>
      </c>
      <c r="D2212" s="196" t="s">
        <v>1988</v>
      </c>
      <c r="E2212" s="196"/>
      <c r="F2212" s="196">
        <v>2018</v>
      </c>
      <c r="G2212" s="196"/>
      <c r="H2212" s="196" t="s">
        <v>2734</v>
      </c>
      <c r="I2212" s="141" t="s">
        <v>1929</v>
      </c>
      <c r="J2212" s="196"/>
      <c r="K2212" s="196" t="s">
        <v>1881</v>
      </c>
      <c r="L2212" s="240" t="s">
        <v>10621</v>
      </c>
      <c r="M2212" s="196">
        <v>133</v>
      </c>
      <c r="N2212" s="196"/>
      <c r="O2212" s="196" t="s">
        <v>10622</v>
      </c>
      <c r="P2212" s="144">
        <v>322</v>
      </c>
      <c r="Q2212" s="242">
        <f t="shared" si="150"/>
        <v>2.8</v>
      </c>
      <c r="R2212" s="203">
        <v>1.2</v>
      </c>
      <c r="S2212" s="203">
        <v>4</v>
      </c>
      <c r="T2212" s="203"/>
      <c r="U2212" s="103"/>
      <c r="V2212" s="103"/>
      <c r="W2212" s="203"/>
      <c r="X2212" s="148"/>
      <c r="Y2212" s="148"/>
      <c r="Z2212" s="148"/>
      <c r="AA2212" s="148"/>
      <c r="AB2212" s="148"/>
      <c r="AC2212" s="148"/>
      <c r="AG2212" s="147"/>
    </row>
    <row r="2213" spans="1:33" s="146" customFormat="1" x14ac:dyDescent="0.25">
      <c r="A2213" s="138">
        <v>1927</v>
      </c>
      <c r="B2213" s="196" t="s">
        <v>10623</v>
      </c>
      <c r="C2213" s="196" t="s">
        <v>10624</v>
      </c>
      <c r="D2213" s="196" t="s">
        <v>4841</v>
      </c>
      <c r="E2213" s="196"/>
      <c r="F2213" s="196">
        <v>2008</v>
      </c>
      <c r="G2213" s="196"/>
      <c r="H2213" s="196" t="s">
        <v>1878</v>
      </c>
      <c r="I2213" s="141"/>
      <c r="J2213" s="196" t="s">
        <v>10625</v>
      </c>
      <c r="K2213" s="196" t="s">
        <v>1881</v>
      </c>
      <c r="L2213" s="240" t="s">
        <v>10626</v>
      </c>
      <c r="M2213" s="196">
        <v>245</v>
      </c>
      <c r="N2213" s="196"/>
      <c r="O2213" s="196" t="s">
        <v>10627</v>
      </c>
      <c r="P2213" s="144">
        <v>224</v>
      </c>
      <c r="Q2213" s="242">
        <f t="shared" si="150"/>
        <v>5.79</v>
      </c>
      <c r="R2213" s="203">
        <v>1.2</v>
      </c>
      <c r="S2213" s="203">
        <v>6.99</v>
      </c>
      <c r="T2213" s="203"/>
      <c r="U2213" s="103"/>
      <c r="V2213" s="103"/>
      <c r="W2213" s="203"/>
      <c r="X2213" s="148"/>
      <c r="Y2213" s="148"/>
      <c r="Z2213" s="148"/>
      <c r="AA2213" s="148"/>
      <c r="AB2213" s="148"/>
      <c r="AC2213" s="148"/>
      <c r="AG2213" s="147"/>
    </row>
    <row r="2214" spans="1:33" s="146" customFormat="1" ht="26.4" x14ac:dyDescent="0.25">
      <c r="A2214" s="138">
        <v>951</v>
      </c>
      <c r="B2214" s="138" t="s">
        <v>10628</v>
      </c>
      <c r="C2214" s="196" t="s">
        <v>10629</v>
      </c>
      <c r="D2214" s="196" t="s">
        <v>7358</v>
      </c>
      <c r="E2214" s="196" t="s">
        <v>2175</v>
      </c>
      <c r="F2214" s="196">
        <v>1988</v>
      </c>
      <c r="G2214" s="196"/>
      <c r="H2214" s="196" t="s">
        <v>1878</v>
      </c>
      <c r="I2214" s="141" t="s">
        <v>1879</v>
      </c>
      <c r="J2214" s="196"/>
      <c r="K2214" s="196" t="s">
        <v>1881</v>
      </c>
      <c r="L2214" s="240" t="s">
        <v>10630</v>
      </c>
      <c r="M2214" s="196">
        <v>221</v>
      </c>
      <c r="N2214" s="196"/>
      <c r="O2214" s="196" t="s">
        <v>10631</v>
      </c>
      <c r="P2214" s="144">
        <v>303</v>
      </c>
      <c r="Q2214" s="242">
        <f t="shared" si="150"/>
        <v>4.79</v>
      </c>
      <c r="R2214" s="203">
        <v>1.2</v>
      </c>
      <c r="S2214" s="203">
        <v>5.99</v>
      </c>
      <c r="T2214" s="203"/>
      <c r="U2214" s="103"/>
      <c r="V2214" s="103"/>
      <c r="W2214" s="203"/>
      <c r="X2214" s="148"/>
      <c r="Y2214" s="148"/>
      <c r="Z2214" s="148"/>
      <c r="AA2214" s="148"/>
      <c r="AB2214" s="148"/>
      <c r="AC2214" s="148"/>
      <c r="AG2214" s="147"/>
    </row>
    <row r="2215" spans="1:33" s="146" customFormat="1" x14ac:dyDescent="0.25">
      <c r="A2215" s="138">
        <v>647</v>
      </c>
      <c r="B2215" s="196" t="s">
        <v>10632</v>
      </c>
      <c r="C2215" s="196" t="s">
        <v>10633</v>
      </c>
      <c r="D2215" s="196" t="s">
        <v>1912</v>
      </c>
      <c r="E2215" s="196" t="s">
        <v>2175</v>
      </c>
      <c r="F2215" s="196">
        <v>2007</v>
      </c>
      <c r="G2215" s="196"/>
      <c r="H2215" s="196" t="s">
        <v>10634</v>
      </c>
      <c r="I2215" s="141" t="s">
        <v>1879</v>
      </c>
      <c r="J2215" s="196"/>
      <c r="K2215" s="196" t="s">
        <v>1881</v>
      </c>
      <c r="L2215" s="240" t="s">
        <v>10635</v>
      </c>
      <c r="M2215" s="196">
        <v>409</v>
      </c>
      <c r="N2215" s="196"/>
      <c r="O2215" s="196" t="s">
        <v>10636</v>
      </c>
      <c r="P2215" s="144">
        <v>352</v>
      </c>
      <c r="Q2215" s="242">
        <f t="shared" si="150"/>
        <v>4.3</v>
      </c>
      <c r="R2215" s="203">
        <v>1.2</v>
      </c>
      <c r="S2215" s="203">
        <v>5.5</v>
      </c>
      <c r="T2215" s="203"/>
      <c r="U2215" s="103"/>
      <c r="V2215" s="103"/>
      <c r="W2215" s="203"/>
      <c r="X2215" s="148"/>
      <c r="Y2215" s="148"/>
      <c r="Z2215" s="148"/>
      <c r="AA2215" s="148"/>
      <c r="AB2215" s="148"/>
      <c r="AC2215" s="148"/>
      <c r="AG2215" s="147"/>
    </row>
    <row r="2216" spans="1:33" s="146" customFormat="1" x14ac:dyDescent="0.25">
      <c r="A2216" s="138">
        <v>796</v>
      </c>
      <c r="B2216" s="196" t="s">
        <v>10637</v>
      </c>
      <c r="C2216" s="196" t="s">
        <v>10638</v>
      </c>
      <c r="D2216" s="196" t="s">
        <v>4930</v>
      </c>
      <c r="E2216" s="196"/>
      <c r="F2216" s="196">
        <v>2014</v>
      </c>
      <c r="G2216" s="196"/>
      <c r="H2216" s="196" t="s">
        <v>2734</v>
      </c>
      <c r="I2216" s="141" t="s">
        <v>1879</v>
      </c>
      <c r="J2216" s="196" t="s">
        <v>9495</v>
      </c>
      <c r="K2216" s="196" t="s">
        <v>1881</v>
      </c>
      <c r="L2216" s="240"/>
      <c r="M2216" s="196">
        <v>348</v>
      </c>
      <c r="N2216" s="196"/>
      <c r="O2216" s="196" t="s">
        <v>10639</v>
      </c>
      <c r="P2216" s="144">
        <v>382</v>
      </c>
      <c r="Q2216" s="242">
        <f t="shared" si="150"/>
        <v>4.29</v>
      </c>
      <c r="R2216" s="203">
        <v>1.2</v>
      </c>
      <c r="S2216" s="203">
        <v>5.49</v>
      </c>
      <c r="T2216" s="203"/>
      <c r="U2216" s="103"/>
      <c r="V2216" s="103"/>
      <c r="W2216" s="203"/>
      <c r="X2216" s="148"/>
      <c r="Y2216" s="148"/>
      <c r="Z2216" s="148"/>
      <c r="AA2216" s="148"/>
      <c r="AB2216" s="148"/>
      <c r="AC2216" s="148"/>
      <c r="AG2216" s="147"/>
    </row>
    <row r="2217" spans="1:33" s="146" customFormat="1" x14ac:dyDescent="0.25">
      <c r="A2217" s="138">
        <v>796</v>
      </c>
      <c r="B2217" s="196" t="s">
        <v>10640</v>
      </c>
      <c r="C2217" s="196" t="s">
        <v>10641</v>
      </c>
      <c r="D2217" s="196" t="s">
        <v>9893</v>
      </c>
      <c r="E2217" s="196"/>
      <c r="F2217" s="196">
        <v>1998</v>
      </c>
      <c r="G2217" s="196"/>
      <c r="H2217" s="196" t="s">
        <v>1878</v>
      </c>
      <c r="I2217" s="141" t="s">
        <v>1879</v>
      </c>
      <c r="J2217" s="196"/>
      <c r="K2217" s="196" t="s">
        <v>1881</v>
      </c>
      <c r="L2217" s="240" t="s">
        <v>10642</v>
      </c>
      <c r="M2217" s="196">
        <v>283</v>
      </c>
      <c r="N2217" s="196"/>
      <c r="O2217" s="196" t="s">
        <v>10643</v>
      </c>
      <c r="P2217" s="144">
        <v>246</v>
      </c>
      <c r="Q2217" s="242">
        <f t="shared" si="150"/>
        <v>1.3</v>
      </c>
      <c r="R2217" s="203">
        <v>1.2</v>
      </c>
      <c r="S2217" s="203">
        <v>2.5</v>
      </c>
      <c r="T2217" s="203"/>
      <c r="U2217" s="103"/>
      <c r="V2217" s="103"/>
      <c r="W2217" s="203"/>
      <c r="X2217" s="148"/>
      <c r="Y2217" s="148"/>
      <c r="Z2217" s="148"/>
      <c r="AA2217" s="148"/>
      <c r="AB2217" s="148"/>
      <c r="AC2217" s="148"/>
      <c r="AG2217" s="147"/>
    </row>
    <row r="2218" spans="1:33" s="146" customFormat="1" x14ac:dyDescent="0.25">
      <c r="A2218" s="138">
        <v>692</v>
      </c>
      <c r="B2218" s="196" t="s">
        <v>10644</v>
      </c>
      <c r="C2218" s="196" t="s">
        <v>10645</v>
      </c>
      <c r="D2218" s="196" t="s">
        <v>2054</v>
      </c>
      <c r="E2218" s="196" t="s">
        <v>2032</v>
      </c>
      <c r="F2218" s="196">
        <v>2010</v>
      </c>
      <c r="G2218" s="196"/>
      <c r="H2218" s="196" t="s">
        <v>2734</v>
      </c>
      <c r="I2218" s="141" t="s">
        <v>1929</v>
      </c>
      <c r="J2218" s="196"/>
      <c r="K2218" s="196" t="s">
        <v>1881</v>
      </c>
      <c r="L2218" s="240" t="s">
        <v>10646</v>
      </c>
      <c r="M2218" s="196">
        <v>301</v>
      </c>
      <c r="N2218" s="196"/>
      <c r="O2218" s="196" t="s">
        <v>10647</v>
      </c>
      <c r="P2218" s="144">
        <v>303</v>
      </c>
      <c r="Q2218" s="242">
        <f t="shared" si="150"/>
        <v>3.79</v>
      </c>
      <c r="R2218" s="203">
        <v>1.2</v>
      </c>
      <c r="S2218" s="203">
        <v>4.99</v>
      </c>
      <c r="T2218" s="203"/>
      <c r="U2218" s="103"/>
      <c r="V2218" s="103"/>
      <c r="W2218" s="203"/>
      <c r="X2218" s="148"/>
      <c r="Y2218" s="148"/>
      <c r="Z2218" s="148"/>
      <c r="AA2218" s="148"/>
      <c r="AB2218" s="148"/>
      <c r="AC2218" s="148"/>
      <c r="AG2218" s="147"/>
    </row>
    <row r="2219" spans="1:33" s="146" customFormat="1" x14ac:dyDescent="0.25">
      <c r="A2219" s="138">
        <v>692</v>
      </c>
      <c r="B2219" s="196" t="s">
        <v>10302</v>
      </c>
      <c r="C2219" s="196" t="s">
        <v>10648</v>
      </c>
      <c r="D2219" s="196" t="s">
        <v>2054</v>
      </c>
      <c r="E2219" s="196" t="s">
        <v>2032</v>
      </c>
      <c r="F2219" s="196">
        <v>2009</v>
      </c>
      <c r="G2219" s="196"/>
      <c r="H2219" s="196" t="s">
        <v>2734</v>
      </c>
      <c r="I2219" s="141" t="s">
        <v>1929</v>
      </c>
      <c r="J2219" s="196"/>
      <c r="K2219" s="196" t="s">
        <v>1881</v>
      </c>
      <c r="L2219" s="240" t="s">
        <v>10649</v>
      </c>
      <c r="M2219" s="196">
        <v>335</v>
      </c>
      <c r="N2219" s="196"/>
      <c r="O2219" s="196" t="s">
        <v>10650</v>
      </c>
      <c r="P2219" s="144">
        <v>414</v>
      </c>
      <c r="Q2219" s="242">
        <f t="shared" si="150"/>
        <v>3.59</v>
      </c>
      <c r="R2219" s="203">
        <v>1.2</v>
      </c>
      <c r="S2219" s="203">
        <v>4.79</v>
      </c>
      <c r="T2219" s="203"/>
      <c r="U2219" s="103"/>
      <c r="V2219" s="103"/>
      <c r="W2219" s="203"/>
      <c r="X2219" s="148"/>
      <c r="Y2219" s="148"/>
      <c r="Z2219" s="148"/>
      <c r="AA2219" s="148"/>
      <c r="AB2219" s="148"/>
      <c r="AC2219" s="148"/>
      <c r="AG2219" s="147"/>
    </row>
    <row r="2220" spans="1:33" s="146" customFormat="1" x14ac:dyDescent="0.25">
      <c r="A2220" s="138">
        <v>692</v>
      </c>
      <c r="B2220" s="196" t="s">
        <v>10651</v>
      </c>
      <c r="C2220" s="196" t="s">
        <v>10652</v>
      </c>
      <c r="D2220" s="196" t="s">
        <v>10653</v>
      </c>
      <c r="E2220" s="196" t="s">
        <v>6097</v>
      </c>
      <c r="F2220" s="196">
        <v>2014</v>
      </c>
      <c r="G2220" s="196"/>
      <c r="H2220" s="196" t="s">
        <v>1878</v>
      </c>
      <c r="I2220" s="141" t="s">
        <v>1879</v>
      </c>
      <c r="J2220" s="196"/>
      <c r="K2220" s="196" t="s">
        <v>1881</v>
      </c>
      <c r="L2220" s="240" t="s">
        <v>10654</v>
      </c>
      <c r="M2220" s="196">
        <v>542</v>
      </c>
      <c r="N2220" s="196"/>
      <c r="O2220" s="196" t="s">
        <v>10655</v>
      </c>
      <c r="P2220" s="144">
        <v>653</v>
      </c>
      <c r="Q2220" s="242">
        <f t="shared" si="150"/>
        <v>2.5999999999999996</v>
      </c>
      <c r="R2220" s="203">
        <v>1.2</v>
      </c>
      <c r="S2220" s="203">
        <v>3.8</v>
      </c>
      <c r="T2220" s="203"/>
      <c r="U2220" s="103"/>
      <c r="V2220" s="103"/>
      <c r="W2220" s="203"/>
      <c r="X2220" s="148"/>
      <c r="Y2220" s="148"/>
      <c r="Z2220" s="148"/>
      <c r="AA2220" s="148"/>
      <c r="AB2220" s="148"/>
      <c r="AC2220" s="148"/>
      <c r="AG2220" s="147"/>
    </row>
    <row r="2221" spans="1:33" s="146" customFormat="1" x14ac:dyDescent="0.25">
      <c r="A2221" s="138">
        <v>2553</v>
      </c>
      <c r="B2221" s="196" t="s">
        <v>4599</v>
      </c>
      <c r="C2221" s="196" t="s">
        <v>10656</v>
      </c>
      <c r="D2221" s="196" t="s">
        <v>2054</v>
      </c>
      <c r="E2221" s="196"/>
      <c r="F2221" s="196">
        <v>2010</v>
      </c>
      <c r="G2221" s="196"/>
      <c r="H2221" s="196" t="s">
        <v>1878</v>
      </c>
      <c r="I2221" s="141" t="s">
        <v>1914</v>
      </c>
      <c r="J2221" s="196"/>
      <c r="K2221" s="196" t="s">
        <v>1881</v>
      </c>
      <c r="L2221" s="240" t="s">
        <v>10657</v>
      </c>
      <c r="M2221" s="196">
        <v>1065</v>
      </c>
      <c r="N2221" s="196"/>
      <c r="O2221" s="196" t="s">
        <v>10658</v>
      </c>
      <c r="P2221" s="144">
        <v>672</v>
      </c>
      <c r="Q2221" s="242">
        <f t="shared" si="150"/>
        <v>1.7900000000000003</v>
      </c>
      <c r="R2221" s="203">
        <v>1.2</v>
      </c>
      <c r="S2221" s="203">
        <v>2.99</v>
      </c>
      <c r="T2221" s="203"/>
      <c r="U2221" s="103"/>
      <c r="V2221" s="103"/>
      <c r="W2221" s="203"/>
      <c r="X2221" s="148"/>
      <c r="Y2221" s="148"/>
      <c r="Z2221" s="148"/>
      <c r="AA2221" s="148"/>
      <c r="AB2221" s="148"/>
      <c r="AC2221" s="148"/>
      <c r="AG2221" s="147"/>
    </row>
    <row r="2222" spans="1:33" s="146" customFormat="1" x14ac:dyDescent="0.25">
      <c r="A2222" s="138">
        <v>2551</v>
      </c>
      <c r="B2222" s="196" t="s">
        <v>5033</v>
      </c>
      <c r="C2222" s="196" t="s">
        <v>7247</v>
      </c>
      <c r="D2222" s="196" t="s">
        <v>1988</v>
      </c>
      <c r="E2222" s="196" t="s">
        <v>1877</v>
      </c>
      <c r="F2222" s="196">
        <v>2000</v>
      </c>
      <c r="G2222" s="196"/>
      <c r="H2222" s="196" t="s">
        <v>1878</v>
      </c>
      <c r="I2222" s="141" t="s">
        <v>1879</v>
      </c>
      <c r="J2222" s="196"/>
      <c r="K2222" s="196" t="s">
        <v>1881</v>
      </c>
      <c r="L2222" s="240" t="s">
        <v>7249</v>
      </c>
      <c r="M2222" s="196">
        <v>350</v>
      </c>
      <c r="N2222" s="196"/>
      <c r="O2222" s="196" t="s">
        <v>10659</v>
      </c>
      <c r="P2222" s="144">
        <v>262</v>
      </c>
      <c r="Q2222" s="242">
        <f t="shared" si="150"/>
        <v>2.1799999999999997</v>
      </c>
      <c r="R2222" s="203">
        <v>1.2</v>
      </c>
      <c r="S2222" s="203">
        <v>3.38</v>
      </c>
      <c r="T2222" s="203"/>
      <c r="U2222" s="103"/>
      <c r="V2222" s="103"/>
      <c r="W2222" s="203"/>
      <c r="X2222" s="148"/>
      <c r="Y2222" s="148"/>
      <c r="Z2222" s="148"/>
      <c r="AA2222" s="148"/>
      <c r="AB2222" s="148"/>
      <c r="AC2222" s="148"/>
      <c r="AG2222" s="147"/>
    </row>
    <row r="2223" spans="1:33" s="146" customFormat="1" x14ac:dyDescent="0.25">
      <c r="A2223" s="138">
        <v>632</v>
      </c>
      <c r="B2223" s="196" t="s">
        <v>2467</v>
      </c>
      <c r="C2223" s="196" t="s">
        <v>3231</v>
      </c>
      <c r="D2223" s="196" t="s">
        <v>2257</v>
      </c>
      <c r="E2223" s="196"/>
      <c r="F2223" s="196">
        <v>2003</v>
      </c>
      <c r="G2223" s="196"/>
      <c r="H2223" s="196" t="s">
        <v>1878</v>
      </c>
      <c r="I2223" s="141" t="s">
        <v>1879</v>
      </c>
      <c r="J2223" s="196"/>
      <c r="K2223" s="196" t="s">
        <v>1881</v>
      </c>
      <c r="L2223" s="240" t="s">
        <v>10660</v>
      </c>
      <c r="M2223" s="196">
        <v>413</v>
      </c>
      <c r="N2223" s="196"/>
      <c r="O2223" s="196" t="s">
        <v>10661</v>
      </c>
      <c r="P2223" s="144">
        <v>447</v>
      </c>
      <c r="Q2223" s="242">
        <f t="shared" si="150"/>
        <v>2.66</v>
      </c>
      <c r="R2223" s="203">
        <v>1.2</v>
      </c>
      <c r="S2223" s="203">
        <v>3.86</v>
      </c>
      <c r="T2223" s="203"/>
      <c r="U2223" s="103"/>
      <c r="V2223" s="103"/>
      <c r="W2223" s="203"/>
      <c r="X2223" s="148"/>
      <c r="Y2223" s="148"/>
      <c r="Z2223" s="148"/>
      <c r="AA2223" s="148"/>
      <c r="AB2223" s="148"/>
      <c r="AC2223" s="148"/>
      <c r="AG2223" s="147"/>
    </row>
    <row r="2224" spans="1:33" s="146" customFormat="1" x14ac:dyDescent="0.25">
      <c r="A2224" s="138">
        <v>607</v>
      </c>
      <c r="B2224" s="196" t="s">
        <v>10662</v>
      </c>
      <c r="C2224" s="196" t="s">
        <v>10663</v>
      </c>
      <c r="D2224" s="196" t="s">
        <v>10664</v>
      </c>
      <c r="E2224" s="196" t="s">
        <v>1913</v>
      </c>
      <c r="F2224" s="196">
        <v>1986</v>
      </c>
      <c r="G2224" s="196"/>
      <c r="H2224" s="196" t="s">
        <v>1878</v>
      </c>
      <c r="I2224" s="141" t="s">
        <v>1879</v>
      </c>
      <c r="J2224" s="196" t="s">
        <v>9732</v>
      </c>
      <c r="K2224" s="196" t="s">
        <v>1881</v>
      </c>
      <c r="L2224" s="240" t="s">
        <v>10665</v>
      </c>
      <c r="M2224" s="196">
        <v>190</v>
      </c>
      <c r="N2224" s="196"/>
      <c r="O2224" s="196" t="s">
        <v>10666</v>
      </c>
      <c r="P2224" s="144">
        <v>269</v>
      </c>
      <c r="Q2224" s="242">
        <f t="shared" si="150"/>
        <v>5.2</v>
      </c>
      <c r="R2224" s="203">
        <v>1.2</v>
      </c>
      <c r="S2224" s="203">
        <f>4.45+1.95</f>
        <v>6.4</v>
      </c>
      <c r="T2224" s="203"/>
      <c r="U2224" s="103"/>
      <c r="V2224" s="103"/>
      <c r="W2224" s="203"/>
      <c r="X2224" s="148"/>
      <c r="Y2224" s="148"/>
      <c r="Z2224" s="148"/>
      <c r="AA2224" s="148"/>
      <c r="AB2224" s="148"/>
      <c r="AC2224" s="148"/>
      <c r="AG2224" s="147"/>
    </row>
    <row r="2225" spans="1:34" s="146" customFormat="1" x14ac:dyDescent="0.25">
      <c r="A2225" s="138">
        <v>692</v>
      </c>
      <c r="B2225" s="196" t="s">
        <v>9334</v>
      </c>
      <c r="C2225" s="196" t="s">
        <v>10667</v>
      </c>
      <c r="D2225" s="196" t="s">
        <v>1920</v>
      </c>
      <c r="E2225" s="196"/>
      <c r="F2225" s="196">
        <v>2003</v>
      </c>
      <c r="G2225" s="196"/>
      <c r="H2225" s="196" t="s">
        <v>1878</v>
      </c>
      <c r="I2225" s="141" t="s">
        <v>7527</v>
      </c>
      <c r="J2225" s="196" t="s">
        <v>9196</v>
      </c>
      <c r="K2225" s="196" t="s">
        <v>1881</v>
      </c>
      <c r="L2225" s="240" t="s">
        <v>10668</v>
      </c>
      <c r="M2225" s="196">
        <v>604</v>
      </c>
      <c r="N2225" s="196"/>
      <c r="O2225" s="196" t="s">
        <v>10669</v>
      </c>
      <c r="P2225" s="144">
        <v>498</v>
      </c>
      <c r="Q2225" s="242">
        <f t="shared" si="150"/>
        <v>3.0300000000000002</v>
      </c>
      <c r="R2225" s="203">
        <v>1.2</v>
      </c>
      <c r="S2225" s="203">
        <v>4.2300000000000004</v>
      </c>
      <c r="T2225" s="203"/>
      <c r="U2225" s="103"/>
      <c r="V2225" s="103"/>
      <c r="W2225" s="203"/>
      <c r="X2225" s="148"/>
      <c r="Y2225" s="148"/>
      <c r="Z2225" s="148"/>
      <c r="AA2225" s="148"/>
      <c r="AB2225" s="148"/>
      <c r="AC2225" s="148"/>
      <c r="AG2225" s="147"/>
    </row>
    <row r="2226" spans="1:34" s="146" customFormat="1" x14ac:dyDescent="0.25">
      <c r="A2226" s="138">
        <v>8</v>
      </c>
      <c r="B2226" s="196" t="s">
        <v>10670</v>
      </c>
      <c r="C2226" s="196" t="s">
        <v>10671</v>
      </c>
      <c r="D2226" s="196" t="s">
        <v>2257</v>
      </c>
      <c r="E2226" s="196"/>
      <c r="F2226" s="196">
        <v>1993</v>
      </c>
      <c r="G2226" s="196"/>
      <c r="H2226" s="196" t="s">
        <v>1878</v>
      </c>
      <c r="I2226" s="141" t="s">
        <v>1914</v>
      </c>
      <c r="J2226" s="196"/>
      <c r="K2226" s="196" t="s">
        <v>1881</v>
      </c>
      <c r="L2226" s="240" t="s">
        <v>10672</v>
      </c>
      <c r="M2226" s="196">
        <v>254</v>
      </c>
      <c r="N2226" s="196"/>
      <c r="O2226" s="196" t="s">
        <v>10673</v>
      </c>
      <c r="P2226" s="144">
        <v>145</v>
      </c>
      <c r="Q2226" s="242">
        <f t="shared" si="150"/>
        <v>2.4699999999999998</v>
      </c>
      <c r="R2226" s="203">
        <v>1.2</v>
      </c>
      <c r="S2226" s="203">
        <v>3.67</v>
      </c>
      <c r="T2226" s="203"/>
      <c r="U2226" s="103"/>
      <c r="V2226" s="103"/>
      <c r="W2226" s="203"/>
      <c r="X2226" s="148"/>
      <c r="Y2226" s="148"/>
      <c r="Z2226" s="148"/>
      <c r="AA2226" s="148"/>
      <c r="AB2226" s="148"/>
      <c r="AC2226" s="148"/>
      <c r="AG2226" s="147"/>
    </row>
    <row r="2227" spans="1:34" s="146" customFormat="1" x14ac:dyDescent="0.25">
      <c r="A2227" s="196">
        <v>689</v>
      </c>
      <c r="B2227" s="196" t="s">
        <v>10674</v>
      </c>
      <c r="C2227" s="196" t="s">
        <v>10675</v>
      </c>
      <c r="D2227" s="196" t="s">
        <v>1876</v>
      </c>
      <c r="E2227" s="196"/>
      <c r="F2227" s="196">
        <v>2014</v>
      </c>
      <c r="G2227" s="196"/>
      <c r="H2227" s="196" t="s">
        <v>1878</v>
      </c>
      <c r="I2227" s="141" t="s">
        <v>7527</v>
      </c>
      <c r="J2227" s="196" t="s">
        <v>9092</v>
      </c>
      <c r="K2227" s="196" t="s">
        <v>1881</v>
      </c>
      <c r="L2227" s="240" t="s">
        <v>10676</v>
      </c>
      <c r="M2227" s="196">
        <v>1072</v>
      </c>
      <c r="N2227" s="196"/>
      <c r="O2227" s="196" t="s">
        <v>10677</v>
      </c>
      <c r="P2227" s="144">
        <v>862</v>
      </c>
      <c r="Q2227" s="148">
        <v>8.8000000000000007</v>
      </c>
      <c r="R2227" s="203">
        <v>1.2</v>
      </c>
      <c r="S2227" s="203">
        <v>10</v>
      </c>
      <c r="T2227" s="203"/>
      <c r="U2227" s="103"/>
      <c r="V2227" s="103"/>
      <c r="W2227" s="203"/>
      <c r="X2227" s="148"/>
      <c r="Y2227" s="148"/>
      <c r="Z2227" s="148"/>
      <c r="AA2227" s="148"/>
      <c r="AB2227" s="148"/>
      <c r="AC2227" s="148"/>
      <c r="AD2227" s="148"/>
      <c r="AH2227" s="147"/>
    </row>
    <row r="2228" spans="1:34" s="146" customFormat="1" x14ac:dyDescent="0.25">
      <c r="A2228" s="196">
        <v>1394</v>
      </c>
      <c r="B2228" s="196" t="s">
        <v>10678</v>
      </c>
      <c r="C2228" s="196" t="s">
        <v>10679</v>
      </c>
      <c r="D2228" s="196" t="s">
        <v>10680</v>
      </c>
      <c r="E2228" s="196" t="s">
        <v>1913</v>
      </c>
      <c r="F2228" s="196">
        <v>2005</v>
      </c>
      <c r="G2228" s="196"/>
      <c r="H2228" s="196" t="s">
        <v>1878</v>
      </c>
      <c r="I2228" s="141" t="s">
        <v>7527</v>
      </c>
      <c r="J2228" s="196"/>
      <c r="K2228" s="196" t="s">
        <v>1881</v>
      </c>
      <c r="L2228" s="240" t="s">
        <v>10681</v>
      </c>
      <c r="M2228" s="196">
        <v>94</v>
      </c>
      <c r="N2228" s="196"/>
      <c r="O2228" s="196" t="s">
        <v>10682</v>
      </c>
      <c r="P2228" s="144">
        <v>259</v>
      </c>
      <c r="Q2228" s="148">
        <v>3.04</v>
      </c>
      <c r="R2228" s="203">
        <v>1.2</v>
      </c>
      <c r="S2228" s="203">
        <v>4.24</v>
      </c>
      <c r="T2228" s="203"/>
      <c r="U2228" s="103"/>
      <c r="V2228" s="103"/>
      <c r="W2228" s="203"/>
      <c r="X2228" s="148"/>
      <c r="Y2228" s="148"/>
      <c r="Z2228" s="148"/>
      <c r="AA2228" s="148"/>
      <c r="AB2228" s="148"/>
      <c r="AC2228" s="148"/>
      <c r="AD2228" s="148"/>
      <c r="AH2228" s="147"/>
    </row>
    <row r="2230" spans="1:34" s="146" customFormat="1" x14ac:dyDescent="0.25">
      <c r="A2230" s="196">
        <v>689</v>
      </c>
      <c r="B2230" s="196" t="s">
        <v>10687</v>
      </c>
      <c r="C2230" s="196" t="s">
        <v>10688</v>
      </c>
      <c r="D2230" s="196" t="s">
        <v>1876</v>
      </c>
      <c r="E2230" s="196" t="s">
        <v>3053</v>
      </c>
      <c r="F2230" s="196">
        <v>2008</v>
      </c>
      <c r="G2230" s="196"/>
      <c r="H2230" s="196" t="s">
        <v>1878</v>
      </c>
      <c r="I2230" s="141" t="s">
        <v>1879</v>
      </c>
      <c r="J2230" s="196"/>
      <c r="K2230" s="196" t="s">
        <v>1881</v>
      </c>
      <c r="L2230" s="240" t="s">
        <v>10689</v>
      </c>
      <c r="M2230" s="196">
        <v>640</v>
      </c>
      <c r="N2230" s="196"/>
      <c r="O2230" s="196" t="s">
        <v>10690</v>
      </c>
      <c r="P2230" s="144">
        <v>860</v>
      </c>
      <c r="Q2230" s="148">
        <v>2.92</v>
      </c>
      <c r="R2230" s="203">
        <v>1.2</v>
      </c>
      <c r="S2230" s="203">
        <v>4.12</v>
      </c>
      <c r="T2230" s="203"/>
      <c r="U2230" s="103"/>
      <c r="V2230" s="103"/>
      <c r="W2230" s="203"/>
      <c r="X2230" s="148"/>
      <c r="Y2230" s="148"/>
      <c r="Z2230" s="148"/>
      <c r="AA2230" s="148"/>
      <c r="AB2230" s="148"/>
      <c r="AC2230" s="148"/>
      <c r="AD2230" s="148"/>
      <c r="AH2230" s="147"/>
    </row>
    <row r="2231" spans="1:34" s="146" customFormat="1" x14ac:dyDescent="0.25">
      <c r="A2231" s="196">
        <v>1386</v>
      </c>
      <c r="B2231" s="196" t="s">
        <v>10691</v>
      </c>
      <c r="C2231" s="196" t="s">
        <v>10692</v>
      </c>
      <c r="D2231" s="196" t="s">
        <v>2209</v>
      </c>
      <c r="E2231" s="196"/>
      <c r="F2231" s="196">
        <v>2017</v>
      </c>
      <c r="G2231" s="196"/>
      <c r="H2231" s="196" t="s">
        <v>1878</v>
      </c>
      <c r="I2231" s="141" t="s">
        <v>1879</v>
      </c>
      <c r="J2231" s="196" t="s">
        <v>9092</v>
      </c>
      <c r="K2231" s="196" t="s">
        <v>1881</v>
      </c>
      <c r="L2231" s="240" t="s">
        <v>10693</v>
      </c>
      <c r="M2231" s="196">
        <v>272</v>
      </c>
      <c r="N2231" s="196"/>
      <c r="O2231" s="196" t="s">
        <v>10694</v>
      </c>
      <c r="P2231" s="144">
        <v>266</v>
      </c>
      <c r="Q2231" s="148">
        <v>5.71</v>
      </c>
      <c r="R2231" s="203">
        <v>1.2</v>
      </c>
      <c r="S2231" s="203">
        <v>6.91</v>
      </c>
      <c r="T2231" s="203"/>
      <c r="U2231" s="103"/>
      <c r="V2231" s="103"/>
      <c r="W2231" s="203"/>
      <c r="X2231" s="148"/>
      <c r="Y2231" s="148"/>
      <c r="Z2231" s="148"/>
      <c r="AA2231" s="148"/>
      <c r="AB2231" s="148"/>
      <c r="AC2231" s="148"/>
      <c r="AD2231" s="148"/>
      <c r="AH2231" s="147"/>
    </row>
    <row r="2232" spans="1:34" s="146" customFormat="1" x14ac:dyDescent="0.25">
      <c r="A2232" s="196">
        <v>2002</v>
      </c>
      <c r="B2232" s="196" t="s">
        <v>3024</v>
      </c>
      <c r="C2232" s="196" t="s">
        <v>10695</v>
      </c>
      <c r="D2232" s="196" t="s">
        <v>10044</v>
      </c>
      <c r="E2232" s="196" t="s">
        <v>1877</v>
      </c>
      <c r="F2232" s="196">
        <v>2009</v>
      </c>
      <c r="G2232" s="196"/>
      <c r="H2232" s="196" t="s">
        <v>1878</v>
      </c>
      <c r="I2232" s="141" t="s">
        <v>1914</v>
      </c>
      <c r="J2232" s="196"/>
      <c r="K2232" s="196" t="s">
        <v>1881</v>
      </c>
      <c r="L2232" s="240" t="s">
        <v>3027</v>
      </c>
      <c r="M2232" s="196">
        <v>336</v>
      </c>
      <c r="N2232" s="196"/>
      <c r="O2232" s="196" t="s">
        <v>10696</v>
      </c>
      <c r="P2232" s="144">
        <v>381</v>
      </c>
      <c r="Q2232" s="148">
        <v>2.2000000000000002</v>
      </c>
      <c r="R2232" s="203">
        <v>1.2</v>
      </c>
      <c r="S2232" s="203">
        <v>3.4</v>
      </c>
      <c r="T2232" s="203"/>
      <c r="U2232" s="103"/>
      <c r="V2232" s="103"/>
      <c r="W2232" s="203"/>
      <c r="X2232" s="148"/>
      <c r="Y2232" s="148"/>
      <c r="Z2232" s="148"/>
      <c r="AA2232" s="148"/>
      <c r="AB2232" s="148"/>
      <c r="AC2232" s="148"/>
      <c r="AD2232" s="148"/>
      <c r="AH2232" s="147"/>
    </row>
    <row r="2233" spans="1:34" s="146" customFormat="1" x14ac:dyDescent="0.25">
      <c r="A2233" s="196">
        <v>2514</v>
      </c>
      <c r="B2233" s="196"/>
      <c r="C2233" s="196" t="s">
        <v>10697</v>
      </c>
      <c r="D2233" s="196" t="s">
        <v>10698</v>
      </c>
      <c r="E2233" s="196"/>
      <c r="F2233" s="196">
        <v>2008</v>
      </c>
      <c r="G2233" s="196"/>
      <c r="H2233" s="196" t="s">
        <v>1878</v>
      </c>
      <c r="I2233" s="141" t="s">
        <v>1879</v>
      </c>
      <c r="J2233" s="196"/>
      <c r="K2233" s="196" t="s">
        <v>1881</v>
      </c>
      <c r="L2233" s="240"/>
      <c r="M2233" s="196">
        <v>120</v>
      </c>
      <c r="N2233" s="196"/>
      <c r="O2233" s="196" t="s">
        <v>10699</v>
      </c>
      <c r="P2233" s="144">
        <v>114</v>
      </c>
      <c r="Q2233" s="148">
        <v>2.6100000000000003</v>
      </c>
      <c r="R2233" s="203">
        <v>1.2</v>
      </c>
      <c r="S2233" s="203">
        <v>3.81</v>
      </c>
      <c r="T2233" s="203"/>
      <c r="U2233" s="103"/>
      <c r="V2233" s="103"/>
      <c r="W2233" s="203"/>
      <c r="X2233" s="148"/>
      <c r="Y2233" s="148"/>
      <c r="Z2233" s="148"/>
      <c r="AA2233" s="148"/>
      <c r="AB2233" s="148"/>
      <c r="AC2233" s="148"/>
      <c r="AD2233" s="148"/>
      <c r="AH2233" s="147"/>
    </row>
    <row r="2234" spans="1:34" s="146" customFormat="1" x14ac:dyDescent="0.25">
      <c r="A2234" s="196">
        <v>689</v>
      </c>
      <c r="B2234" s="196" t="s">
        <v>7529</v>
      </c>
      <c r="C2234" s="196" t="s">
        <v>10700</v>
      </c>
      <c r="D2234" s="196" t="s">
        <v>3077</v>
      </c>
      <c r="E2234" s="196" t="s">
        <v>1913</v>
      </c>
      <c r="F2234" s="196">
        <v>2009</v>
      </c>
      <c r="G2234" s="196"/>
      <c r="H2234" s="196" t="s">
        <v>2734</v>
      </c>
      <c r="I2234" s="141" t="s">
        <v>1879</v>
      </c>
      <c r="J2234" s="196"/>
      <c r="K2234" s="196" t="s">
        <v>1881</v>
      </c>
      <c r="L2234" s="240" t="s">
        <v>10701</v>
      </c>
      <c r="M2234" s="196">
        <v>1026</v>
      </c>
      <c r="N2234" s="196"/>
      <c r="O2234" s="196" t="s">
        <v>10702</v>
      </c>
      <c r="P2234" s="144">
        <v>1344</v>
      </c>
      <c r="Q2234" s="148">
        <v>3.01</v>
      </c>
      <c r="R2234" s="203">
        <v>1.2</v>
      </c>
      <c r="S2234" s="203">
        <v>4.21</v>
      </c>
      <c r="T2234" s="203"/>
      <c r="U2234" s="103"/>
      <c r="V2234" s="103"/>
      <c r="W2234" s="203"/>
      <c r="X2234" s="148"/>
      <c r="Y2234" s="148"/>
      <c r="Z2234" s="148"/>
      <c r="AA2234" s="148"/>
      <c r="AB2234" s="148"/>
      <c r="AC2234" s="148"/>
      <c r="AD2234" s="148"/>
      <c r="AH2234" s="147"/>
    </row>
    <row r="2235" spans="1:34" s="146" customFormat="1" x14ac:dyDescent="0.25">
      <c r="A2235" s="196">
        <v>632</v>
      </c>
      <c r="B2235" s="196" t="s">
        <v>7529</v>
      </c>
      <c r="C2235" s="196" t="s">
        <v>10703</v>
      </c>
      <c r="D2235" s="196" t="s">
        <v>3077</v>
      </c>
      <c r="E2235" s="196"/>
      <c r="F2235" s="196">
        <v>1995</v>
      </c>
      <c r="G2235" s="196"/>
      <c r="H2235" s="196" t="s">
        <v>2734</v>
      </c>
      <c r="I2235" s="141" t="s">
        <v>1914</v>
      </c>
      <c r="J2235" s="196"/>
      <c r="K2235" s="196" t="s">
        <v>1881</v>
      </c>
      <c r="L2235" s="240"/>
      <c r="M2235" s="196">
        <v>802</v>
      </c>
      <c r="N2235" s="196"/>
      <c r="O2235" s="196" t="s">
        <v>10704</v>
      </c>
      <c r="P2235" s="144">
        <v>927</v>
      </c>
      <c r="Q2235" s="148">
        <v>2.7</v>
      </c>
      <c r="R2235" s="203">
        <v>1.2</v>
      </c>
      <c r="S2235" s="203">
        <v>3.9</v>
      </c>
      <c r="T2235" s="203"/>
      <c r="U2235" s="103"/>
      <c r="V2235" s="103"/>
      <c r="W2235" s="203"/>
      <c r="X2235" s="148"/>
      <c r="Y2235" s="148"/>
      <c r="Z2235" s="148"/>
      <c r="AA2235" s="148"/>
      <c r="AB2235" s="148"/>
      <c r="AC2235" s="148"/>
      <c r="AD2235" s="148"/>
      <c r="AH2235" s="147"/>
    </row>
    <row r="2236" spans="1:34" s="146" customFormat="1" x14ac:dyDescent="0.25">
      <c r="A2236" s="196">
        <v>1927</v>
      </c>
      <c r="B2236" s="196" t="s">
        <v>10705</v>
      </c>
      <c r="C2236" s="196" t="s">
        <v>10706</v>
      </c>
      <c r="D2236" s="196" t="s">
        <v>10707</v>
      </c>
      <c r="E2236" s="196" t="s">
        <v>2922</v>
      </c>
      <c r="F2236" s="196">
        <v>2009</v>
      </c>
      <c r="G2236" s="196"/>
      <c r="H2236" s="196" t="s">
        <v>1878</v>
      </c>
      <c r="I2236" s="141" t="s">
        <v>1879</v>
      </c>
      <c r="J2236" s="196"/>
      <c r="K2236" s="196" t="s">
        <v>1881</v>
      </c>
      <c r="L2236" s="240" t="s">
        <v>10708</v>
      </c>
      <c r="M2236" s="196">
        <v>162</v>
      </c>
      <c r="N2236" s="196"/>
      <c r="O2236" s="196" t="s">
        <v>10709</v>
      </c>
      <c r="P2236" s="144">
        <v>318</v>
      </c>
      <c r="Q2236" s="148">
        <v>3.6799999999999997</v>
      </c>
      <c r="R2236" s="203">
        <v>1.2</v>
      </c>
      <c r="S2236" s="203">
        <v>4.88</v>
      </c>
      <c r="T2236" s="203"/>
      <c r="U2236" s="103"/>
      <c r="V2236" s="103"/>
      <c r="W2236" s="203"/>
      <c r="X2236" s="148"/>
      <c r="Y2236" s="148"/>
      <c r="Z2236" s="148"/>
      <c r="AA2236" s="148"/>
      <c r="AB2236" s="148"/>
      <c r="AC2236" s="148"/>
      <c r="AD2236" s="148"/>
      <c r="AH2236" s="147"/>
    </row>
    <row r="2237" spans="1:34" s="146" customFormat="1" x14ac:dyDescent="0.25">
      <c r="A2237" s="196">
        <v>624</v>
      </c>
      <c r="B2237" s="196" t="s">
        <v>10710</v>
      </c>
      <c r="C2237" s="196" t="s">
        <v>10711</v>
      </c>
      <c r="D2237" s="196" t="s">
        <v>2609</v>
      </c>
      <c r="E2237" s="196"/>
      <c r="F2237" s="196">
        <v>1996</v>
      </c>
      <c r="G2237" s="196"/>
      <c r="H2237" s="196" t="s">
        <v>1878</v>
      </c>
      <c r="I2237" s="141" t="s">
        <v>1914</v>
      </c>
      <c r="J2237" s="196" t="s">
        <v>10712</v>
      </c>
      <c r="K2237" s="196" t="s">
        <v>1881</v>
      </c>
      <c r="L2237" s="240" t="s">
        <v>10713</v>
      </c>
      <c r="M2237" s="196">
        <v>190</v>
      </c>
      <c r="N2237" s="196"/>
      <c r="O2237" s="196" t="s">
        <v>10714</v>
      </c>
      <c r="P2237" s="144">
        <v>272</v>
      </c>
      <c r="Q2237" s="148">
        <v>4.49</v>
      </c>
      <c r="R2237" s="203">
        <v>1.2</v>
      </c>
      <c r="S2237" s="203">
        <v>5.69</v>
      </c>
      <c r="T2237" s="203"/>
      <c r="U2237" s="103"/>
      <c r="V2237" s="103"/>
      <c r="W2237" s="203"/>
      <c r="X2237" s="148"/>
      <c r="Y2237" s="148"/>
      <c r="Z2237" s="148"/>
      <c r="AA2237" s="148"/>
      <c r="AB2237" s="148"/>
      <c r="AC2237" s="148"/>
      <c r="AD2237" s="148"/>
      <c r="AH2237" s="147"/>
    </row>
    <row r="2238" spans="1:34" s="146" customFormat="1" x14ac:dyDescent="0.25">
      <c r="A2238" s="196">
        <v>16</v>
      </c>
      <c r="B2238" s="196" t="s">
        <v>10715</v>
      </c>
      <c r="C2238" s="196" t="s">
        <v>10716</v>
      </c>
      <c r="D2238" s="196" t="s">
        <v>2530</v>
      </c>
      <c r="E2238" s="196" t="s">
        <v>1899</v>
      </c>
      <c r="F2238" s="196">
        <v>2017</v>
      </c>
      <c r="G2238" s="196"/>
      <c r="H2238" s="196" t="s">
        <v>1878</v>
      </c>
      <c r="I2238" s="141" t="s">
        <v>1929</v>
      </c>
      <c r="J2238" s="196"/>
      <c r="K2238" s="196" t="s">
        <v>1881</v>
      </c>
      <c r="L2238" s="240" t="s">
        <v>10717</v>
      </c>
      <c r="M2238" s="196">
        <v>64</v>
      </c>
      <c r="N2238" s="196"/>
      <c r="O2238" s="196" t="s">
        <v>10718</v>
      </c>
      <c r="P2238" s="144">
        <v>102</v>
      </c>
      <c r="Q2238" s="148">
        <v>5.3999999999999995</v>
      </c>
      <c r="R2238" s="203">
        <v>1.2</v>
      </c>
      <c r="S2238" s="203">
        <v>6.6</v>
      </c>
      <c r="T2238" s="203"/>
      <c r="U2238" s="103"/>
      <c r="V2238" s="103"/>
      <c r="W2238" s="203"/>
      <c r="X2238" s="148"/>
      <c r="Y2238" s="148"/>
      <c r="Z2238" s="148"/>
      <c r="AA2238" s="148"/>
      <c r="AB2238" s="148"/>
      <c r="AC2238" s="148"/>
      <c r="AD2238" s="148"/>
      <c r="AH2238" s="147"/>
    </row>
    <row r="2239" spans="1:34" s="146" customFormat="1" x14ac:dyDescent="0.25">
      <c r="A2239" s="196">
        <v>796</v>
      </c>
      <c r="B2239" s="196" t="s">
        <v>10719</v>
      </c>
      <c r="C2239" s="196" t="s">
        <v>10720</v>
      </c>
      <c r="D2239" s="196" t="s">
        <v>2209</v>
      </c>
      <c r="E2239" s="196" t="s">
        <v>1921</v>
      </c>
      <c r="F2239" s="196">
        <v>2005</v>
      </c>
      <c r="G2239" s="196"/>
      <c r="H2239" s="196" t="s">
        <v>1878</v>
      </c>
      <c r="I2239" s="141" t="s">
        <v>1879</v>
      </c>
      <c r="J2239" s="196"/>
      <c r="K2239" s="196" t="s">
        <v>1881</v>
      </c>
      <c r="L2239" s="240" t="s">
        <v>10721</v>
      </c>
      <c r="M2239" s="196">
        <v>528</v>
      </c>
      <c r="N2239" s="196"/>
      <c r="O2239" s="196" t="s">
        <v>10722</v>
      </c>
      <c r="P2239" s="144">
        <v>428</v>
      </c>
      <c r="Q2239" s="148">
        <v>2.7300000000000004</v>
      </c>
      <c r="R2239" s="203">
        <v>1.2</v>
      </c>
      <c r="S2239" s="203">
        <v>3.93</v>
      </c>
      <c r="T2239" s="203"/>
      <c r="U2239" s="103"/>
      <c r="V2239" s="103"/>
      <c r="W2239" s="203"/>
      <c r="X2239" s="148"/>
      <c r="Y2239" s="148"/>
      <c r="Z2239" s="148"/>
      <c r="AA2239" s="148"/>
      <c r="AB2239" s="148"/>
      <c r="AC2239" s="148"/>
      <c r="AD2239" s="148"/>
      <c r="AH2239" s="147"/>
    </row>
    <row r="2240" spans="1:34" s="146" customFormat="1" x14ac:dyDescent="0.25">
      <c r="A2240" s="196">
        <v>765</v>
      </c>
      <c r="B2240" s="196" t="s">
        <v>10723</v>
      </c>
      <c r="C2240" s="196" t="s">
        <v>10724</v>
      </c>
      <c r="D2240" s="196" t="s">
        <v>2309</v>
      </c>
      <c r="E2240" s="196" t="s">
        <v>1913</v>
      </c>
      <c r="F2240" s="196">
        <v>2006</v>
      </c>
      <c r="G2240" s="196"/>
      <c r="H2240" s="196" t="s">
        <v>1878</v>
      </c>
      <c r="I2240" s="141" t="s">
        <v>1879</v>
      </c>
      <c r="J2240" s="196" t="s">
        <v>9092</v>
      </c>
      <c r="K2240" s="196" t="s">
        <v>1881</v>
      </c>
      <c r="L2240" s="240" t="s">
        <v>10725</v>
      </c>
      <c r="M2240" s="196">
        <v>208</v>
      </c>
      <c r="N2240" s="196"/>
      <c r="O2240" s="196" t="s">
        <v>10726</v>
      </c>
      <c r="P2240" s="144">
        <v>186</v>
      </c>
      <c r="Q2240" s="148">
        <v>3.13</v>
      </c>
      <c r="R2240" s="203">
        <v>1.2</v>
      </c>
      <c r="S2240" s="203">
        <v>4.33</v>
      </c>
      <c r="T2240" s="203"/>
      <c r="U2240" s="103"/>
      <c r="V2240" s="103"/>
      <c r="W2240" s="203"/>
      <c r="X2240" s="148"/>
      <c r="Y2240" s="148"/>
      <c r="Z2240" s="148"/>
      <c r="AA2240" s="148"/>
      <c r="AB2240" s="148"/>
      <c r="AC2240" s="148"/>
      <c r="AD2240" s="148"/>
      <c r="AH2240" s="147"/>
    </row>
    <row r="2241" spans="1:34" s="146" customFormat="1" x14ac:dyDescent="0.25">
      <c r="A2241" s="196">
        <v>2522</v>
      </c>
      <c r="B2241" s="196" t="s">
        <v>10727</v>
      </c>
      <c r="C2241" s="196" t="s">
        <v>10728</v>
      </c>
      <c r="D2241" s="196" t="s">
        <v>1920</v>
      </c>
      <c r="E2241" s="196"/>
      <c r="F2241" s="196">
        <v>2002</v>
      </c>
      <c r="G2241" s="196"/>
      <c r="H2241" s="196" t="s">
        <v>1878</v>
      </c>
      <c r="I2241" s="141" t="s">
        <v>1879</v>
      </c>
      <c r="J2241" s="196"/>
      <c r="K2241" s="196" t="s">
        <v>1881</v>
      </c>
      <c r="L2241" s="240" t="s">
        <v>10729</v>
      </c>
      <c r="M2241" s="196">
        <v>576</v>
      </c>
      <c r="N2241" s="196"/>
      <c r="O2241" s="196" t="s">
        <v>10730</v>
      </c>
      <c r="P2241" s="144">
        <v>475</v>
      </c>
      <c r="Q2241" s="148">
        <v>1.8099999999999998</v>
      </c>
      <c r="R2241" s="203">
        <v>1.2</v>
      </c>
      <c r="S2241" s="203">
        <v>3.01</v>
      </c>
      <c r="T2241" s="203"/>
      <c r="U2241" s="103"/>
      <c r="V2241" s="103"/>
      <c r="W2241" s="203"/>
      <c r="X2241" s="148"/>
      <c r="Y2241" s="148"/>
      <c r="Z2241" s="148"/>
      <c r="AA2241" s="148"/>
      <c r="AB2241" s="148"/>
      <c r="AC2241" s="148"/>
      <c r="AD2241" s="148"/>
      <c r="AH2241" s="147"/>
    </row>
    <row r="2242" spans="1:34" s="146" customFormat="1" x14ac:dyDescent="0.25">
      <c r="A2242" s="196">
        <v>692</v>
      </c>
      <c r="B2242" s="196" t="s">
        <v>2242</v>
      </c>
      <c r="C2242" s="196" t="s">
        <v>10731</v>
      </c>
      <c r="D2242" s="196" t="s">
        <v>2609</v>
      </c>
      <c r="E2242" s="196"/>
      <c r="F2242" s="196">
        <v>2003</v>
      </c>
      <c r="G2242" s="196"/>
      <c r="H2242" s="196" t="s">
        <v>1878</v>
      </c>
      <c r="I2242" s="141" t="s">
        <v>1879</v>
      </c>
      <c r="J2242" s="196" t="s">
        <v>10732</v>
      </c>
      <c r="K2242" s="196" t="s">
        <v>1881</v>
      </c>
      <c r="L2242" s="240" t="s">
        <v>10733</v>
      </c>
      <c r="M2242" s="196">
        <v>336</v>
      </c>
      <c r="N2242" s="196"/>
      <c r="O2242" s="196" t="s">
        <v>10734</v>
      </c>
      <c r="P2242" s="144">
        <v>293</v>
      </c>
      <c r="Q2242" s="148">
        <v>1.5799999999999998</v>
      </c>
      <c r="R2242" s="203">
        <v>1.2</v>
      </c>
      <c r="S2242" s="203">
        <v>2.78</v>
      </c>
      <c r="T2242" s="203"/>
      <c r="U2242" s="103"/>
      <c r="V2242" s="103"/>
      <c r="W2242" s="203"/>
      <c r="X2242" s="148"/>
      <c r="Y2242" s="148"/>
      <c r="Z2242" s="148"/>
      <c r="AA2242" s="148"/>
      <c r="AB2242" s="148"/>
      <c r="AC2242" s="148"/>
      <c r="AD2242" s="148"/>
      <c r="AH2242" s="147"/>
    </row>
    <row r="2243" spans="1:34" s="146" customFormat="1" x14ac:dyDescent="0.25">
      <c r="A2243" s="196">
        <v>692</v>
      </c>
      <c r="B2243" s="196" t="s">
        <v>7258</v>
      </c>
      <c r="C2243" s="196" t="s">
        <v>10536</v>
      </c>
      <c r="D2243" s="196" t="s">
        <v>2257</v>
      </c>
      <c r="E2243" s="196"/>
      <c r="F2243" s="196">
        <v>1997</v>
      </c>
      <c r="G2243" s="196"/>
      <c r="H2243" s="196" t="s">
        <v>1878</v>
      </c>
      <c r="I2243" s="141" t="s">
        <v>1914</v>
      </c>
      <c r="J2243" s="196"/>
      <c r="K2243" s="196" t="s">
        <v>1881</v>
      </c>
      <c r="L2243" s="240" t="s">
        <v>10537</v>
      </c>
      <c r="M2243" s="196">
        <v>416</v>
      </c>
      <c r="N2243" s="196"/>
      <c r="O2243" s="196" t="s">
        <v>10735</v>
      </c>
      <c r="P2243" s="144">
        <v>392</v>
      </c>
      <c r="Q2243" s="148">
        <v>2.5099999999999998</v>
      </c>
      <c r="R2243" s="203">
        <v>1.2</v>
      </c>
      <c r="S2243" s="203">
        <v>3.71</v>
      </c>
      <c r="T2243" s="203"/>
      <c r="U2243" s="103"/>
      <c r="V2243" s="103"/>
      <c r="W2243" s="203"/>
      <c r="X2243" s="148"/>
      <c r="Y2243" s="148"/>
      <c r="Z2243" s="148"/>
      <c r="AA2243" s="148"/>
      <c r="AB2243" s="148"/>
      <c r="AC2243" s="148"/>
      <c r="AD2243" s="148"/>
      <c r="AH2243" s="147"/>
    </row>
    <row r="2244" spans="1:34" s="146" customFormat="1" x14ac:dyDescent="0.25">
      <c r="A2244" s="196">
        <v>796</v>
      </c>
      <c r="B2244" s="196" t="s">
        <v>10736</v>
      </c>
      <c r="C2244" s="196" t="s">
        <v>10737</v>
      </c>
      <c r="D2244" s="196" t="s">
        <v>10738</v>
      </c>
      <c r="E2244" s="196" t="s">
        <v>1921</v>
      </c>
      <c r="F2244" s="196">
        <v>2015</v>
      </c>
      <c r="G2244" s="196"/>
      <c r="H2244" s="196" t="s">
        <v>1878</v>
      </c>
      <c r="I2244" s="141" t="s">
        <v>1879</v>
      </c>
      <c r="J2244" s="196"/>
      <c r="K2244" s="196" t="s">
        <v>1881</v>
      </c>
      <c r="L2244" s="240" t="s">
        <v>10739</v>
      </c>
      <c r="M2244" s="196">
        <v>384</v>
      </c>
      <c r="N2244" s="196"/>
      <c r="O2244" s="196" t="s">
        <v>10740</v>
      </c>
      <c r="P2244" s="144">
        <v>328</v>
      </c>
      <c r="Q2244" s="148">
        <v>3.79</v>
      </c>
      <c r="R2244" s="203">
        <v>1.2</v>
      </c>
      <c r="S2244" s="203">
        <v>4.99</v>
      </c>
      <c r="T2244" s="203"/>
      <c r="U2244" s="103"/>
      <c r="V2244" s="103"/>
      <c r="W2244" s="203"/>
      <c r="X2244" s="148"/>
      <c r="Y2244" s="148"/>
      <c r="Z2244" s="148"/>
      <c r="AA2244" s="148"/>
      <c r="AB2244" s="148"/>
      <c r="AC2244" s="148"/>
      <c r="AD2244" s="148"/>
      <c r="AH2244" s="147"/>
    </row>
    <row r="2245" spans="1:34" s="146" customFormat="1" x14ac:dyDescent="0.25">
      <c r="A2245" s="196">
        <v>796</v>
      </c>
      <c r="B2245" s="196" t="s">
        <v>10741</v>
      </c>
      <c r="C2245" s="196" t="s">
        <v>10742</v>
      </c>
      <c r="D2245" s="196" t="s">
        <v>2232</v>
      </c>
      <c r="E2245" s="196"/>
      <c r="F2245" s="196">
        <v>2008</v>
      </c>
      <c r="G2245" s="196"/>
      <c r="H2245" s="196" t="s">
        <v>1878</v>
      </c>
      <c r="I2245" s="141" t="s">
        <v>7527</v>
      </c>
      <c r="J2245" s="196"/>
      <c r="K2245" s="196" t="s">
        <v>1881</v>
      </c>
      <c r="L2245" s="240" t="s">
        <v>10743</v>
      </c>
      <c r="M2245" s="196">
        <v>448</v>
      </c>
      <c r="N2245" s="196"/>
      <c r="O2245" s="196" t="s">
        <v>10744</v>
      </c>
      <c r="P2245" s="144">
        <v>359</v>
      </c>
      <c r="Q2245" s="148">
        <v>2.79</v>
      </c>
      <c r="R2245" s="203">
        <v>1.2</v>
      </c>
      <c r="S2245" s="203">
        <v>3.99</v>
      </c>
      <c r="T2245" s="203"/>
      <c r="U2245" s="103"/>
      <c r="V2245" s="103"/>
      <c r="W2245" s="203"/>
      <c r="X2245" s="148"/>
      <c r="Y2245" s="148"/>
      <c r="Z2245" s="148"/>
      <c r="AA2245" s="148"/>
      <c r="AB2245" s="148"/>
      <c r="AC2245" s="148"/>
      <c r="AD2245" s="148"/>
      <c r="AH2245" s="147"/>
    </row>
    <row r="2247" spans="1:34" s="146" customFormat="1" x14ac:dyDescent="0.25">
      <c r="A2247" s="196">
        <v>2522</v>
      </c>
      <c r="B2247" s="196" t="s">
        <v>10419</v>
      </c>
      <c r="C2247" s="196" t="s">
        <v>10748</v>
      </c>
      <c r="D2247" s="196" t="s">
        <v>10749</v>
      </c>
      <c r="E2247" s="196"/>
      <c r="F2247" s="196">
        <v>2015</v>
      </c>
      <c r="G2247" s="196"/>
      <c r="H2247" s="196" t="s">
        <v>1878</v>
      </c>
      <c r="I2247" s="141" t="s">
        <v>7527</v>
      </c>
      <c r="J2247" s="196" t="s">
        <v>9092</v>
      </c>
      <c r="K2247" s="196" t="s">
        <v>1881</v>
      </c>
      <c r="L2247" s="240" t="s">
        <v>10750</v>
      </c>
      <c r="M2247" s="196">
        <v>304</v>
      </c>
      <c r="N2247" s="196"/>
      <c r="O2247" s="196" t="s">
        <v>10751</v>
      </c>
      <c r="P2247" s="144">
        <v>390</v>
      </c>
      <c r="Q2247" s="148">
        <v>3.71</v>
      </c>
      <c r="R2247" s="203">
        <v>1.2</v>
      </c>
      <c r="S2247" s="203">
        <v>4.91</v>
      </c>
      <c r="T2247" s="203"/>
      <c r="U2247" s="103"/>
      <c r="V2247" s="103"/>
      <c r="W2247" s="203"/>
      <c r="X2247" s="148"/>
      <c r="Y2247" s="148"/>
      <c r="Z2247" s="148"/>
      <c r="AA2247" s="148"/>
      <c r="AB2247" s="148"/>
      <c r="AC2247" s="148"/>
      <c r="AD2247" s="148"/>
      <c r="AH2247" s="147"/>
    </row>
    <row r="2248" spans="1:34" s="146" customFormat="1" x14ac:dyDescent="0.25">
      <c r="A2248" s="196">
        <v>2691</v>
      </c>
      <c r="B2248" s="196" t="s">
        <v>10752</v>
      </c>
      <c r="C2248" s="196" t="s">
        <v>10753</v>
      </c>
      <c r="D2248" s="196" t="s">
        <v>2156</v>
      </c>
      <c r="E2248" s="196" t="s">
        <v>2175</v>
      </c>
      <c r="F2248" s="196">
        <v>2006</v>
      </c>
      <c r="G2248" s="196"/>
      <c r="H2248" s="196" t="s">
        <v>1878</v>
      </c>
      <c r="I2248" s="141" t="s">
        <v>1879</v>
      </c>
      <c r="J2248" s="196"/>
      <c r="K2248" s="196" t="s">
        <v>1881</v>
      </c>
      <c r="L2248" s="240" t="s">
        <v>10754</v>
      </c>
      <c r="M2248" s="196">
        <v>168</v>
      </c>
      <c r="N2248" s="196"/>
      <c r="O2248" s="196" t="s">
        <v>10755</v>
      </c>
      <c r="P2248" s="144">
        <v>186</v>
      </c>
      <c r="Q2248" s="148">
        <v>2.2000000000000002</v>
      </c>
      <c r="R2248" s="203">
        <v>1.2</v>
      </c>
      <c r="S2248" s="203">
        <v>3.4</v>
      </c>
      <c r="T2248" s="203"/>
      <c r="U2248" s="103"/>
      <c r="V2248" s="103"/>
      <c r="W2248" s="203"/>
      <c r="X2248" s="148"/>
      <c r="Y2248" s="148"/>
      <c r="Z2248" s="148"/>
      <c r="AA2248" s="148"/>
      <c r="AB2248" s="148"/>
      <c r="AC2248" s="148"/>
      <c r="AD2248" s="148"/>
      <c r="AH2248" s="147"/>
    </row>
    <row r="2249" spans="1:34" s="146" customFormat="1" x14ac:dyDescent="0.25">
      <c r="A2249" s="196">
        <v>632</v>
      </c>
      <c r="B2249" s="196" t="s">
        <v>7529</v>
      </c>
      <c r="C2249" s="196" t="s">
        <v>10756</v>
      </c>
      <c r="D2249" s="196" t="s">
        <v>1993</v>
      </c>
      <c r="E2249" s="196" t="s">
        <v>1877</v>
      </c>
      <c r="F2249" s="196">
        <v>2005</v>
      </c>
      <c r="G2249" s="196"/>
      <c r="H2249" s="196" t="s">
        <v>2734</v>
      </c>
      <c r="I2249" s="141" t="s">
        <v>1879</v>
      </c>
      <c r="J2249" s="196"/>
      <c r="K2249" s="196" t="s">
        <v>1881</v>
      </c>
      <c r="L2249" s="240" t="s">
        <v>10757</v>
      </c>
      <c r="M2249" s="196">
        <v>1314</v>
      </c>
      <c r="N2249" s="196"/>
      <c r="O2249" s="196" t="s">
        <v>10758</v>
      </c>
      <c r="P2249" s="144">
        <v>1489</v>
      </c>
      <c r="Q2249" s="148">
        <v>3.34</v>
      </c>
      <c r="R2249" s="203">
        <v>1.2</v>
      </c>
      <c r="S2249" s="203">
        <v>4.54</v>
      </c>
      <c r="T2249" s="203"/>
      <c r="U2249" s="103"/>
      <c r="V2249" s="103"/>
      <c r="W2249" s="203"/>
      <c r="X2249" s="148"/>
      <c r="Y2249" s="148"/>
      <c r="Z2249" s="148"/>
      <c r="AA2249" s="148"/>
      <c r="AB2249" s="148"/>
      <c r="AC2249" s="148"/>
      <c r="AD2249" s="148"/>
      <c r="AH2249" s="147"/>
    </row>
    <row r="2250" spans="1:34" s="146" customFormat="1" x14ac:dyDescent="0.25">
      <c r="A2250" s="196">
        <v>701</v>
      </c>
      <c r="B2250" s="196" t="s">
        <v>10759</v>
      </c>
      <c r="C2250" s="196" t="s">
        <v>10760</v>
      </c>
      <c r="D2250" s="196" t="s">
        <v>10761</v>
      </c>
      <c r="E2250" s="196" t="s">
        <v>1877</v>
      </c>
      <c r="F2250" s="196">
        <v>2011</v>
      </c>
      <c r="G2250" s="196"/>
      <c r="H2250" s="196" t="s">
        <v>1878</v>
      </c>
      <c r="I2250" s="141" t="s">
        <v>1879</v>
      </c>
      <c r="J2250" s="196"/>
      <c r="K2250" s="196" t="s">
        <v>1881</v>
      </c>
      <c r="L2250" s="240" t="s">
        <v>10762</v>
      </c>
      <c r="M2250" s="196">
        <v>112</v>
      </c>
      <c r="N2250" s="196"/>
      <c r="O2250" s="196" t="s">
        <v>10763</v>
      </c>
      <c r="P2250" s="144">
        <v>316</v>
      </c>
      <c r="Q2250" s="148">
        <v>2.66</v>
      </c>
      <c r="R2250" s="203">
        <v>1.2</v>
      </c>
      <c r="S2250" s="203">
        <v>3.86</v>
      </c>
      <c r="T2250" s="203"/>
      <c r="U2250" s="103"/>
      <c r="V2250" s="103"/>
      <c r="W2250" s="203"/>
      <c r="X2250" s="148"/>
      <c r="Y2250" s="148"/>
      <c r="Z2250" s="148"/>
      <c r="AA2250" s="148"/>
      <c r="AB2250" s="148"/>
      <c r="AC2250" s="148"/>
      <c r="AD2250" s="148"/>
      <c r="AH2250" s="147"/>
    </row>
    <row r="2251" spans="1:34" s="146" customFormat="1" x14ac:dyDescent="0.25">
      <c r="A2251" s="196">
        <v>1327</v>
      </c>
      <c r="B2251" s="196" t="s">
        <v>10764</v>
      </c>
      <c r="C2251" s="196" t="s">
        <v>10765</v>
      </c>
      <c r="D2251" s="196" t="s">
        <v>1988</v>
      </c>
      <c r="E2251" s="196"/>
      <c r="F2251" s="196">
        <v>2006</v>
      </c>
      <c r="G2251" s="196"/>
      <c r="H2251" s="196" t="s">
        <v>1878</v>
      </c>
      <c r="I2251" s="141" t="s">
        <v>1879</v>
      </c>
      <c r="J2251" s="196" t="s">
        <v>9473</v>
      </c>
      <c r="K2251" s="196" t="s">
        <v>1881</v>
      </c>
      <c r="L2251" s="240" t="s">
        <v>10766</v>
      </c>
      <c r="M2251" s="196">
        <v>336</v>
      </c>
      <c r="N2251" s="196"/>
      <c r="O2251" s="196" t="s">
        <v>10767</v>
      </c>
      <c r="P2251" s="144">
        <v>324</v>
      </c>
      <c r="Q2251" s="148">
        <v>2.5499999999999998</v>
      </c>
      <c r="R2251" s="203">
        <v>1.2</v>
      </c>
      <c r="S2251" s="203">
        <v>3.75</v>
      </c>
      <c r="T2251" s="203"/>
      <c r="U2251" s="103"/>
      <c r="V2251" s="103"/>
      <c r="W2251" s="203"/>
      <c r="X2251" s="148"/>
      <c r="Y2251" s="148"/>
      <c r="Z2251" s="148"/>
      <c r="AA2251" s="148"/>
      <c r="AB2251" s="148"/>
      <c r="AC2251" s="148"/>
      <c r="AD2251" s="148"/>
      <c r="AH2251" s="147"/>
    </row>
    <row r="2252" spans="1:34" s="146" customFormat="1" x14ac:dyDescent="0.25">
      <c r="A2252" s="196">
        <v>1315</v>
      </c>
      <c r="B2252" s="196"/>
      <c r="C2252" s="196" t="s">
        <v>10768</v>
      </c>
      <c r="D2252" s="196" t="s">
        <v>4435</v>
      </c>
      <c r="E2252" s="196"/>
      <c r="F2252" s="196">
        <v>2009</v>
      </c>
      <c r="G2252" s="196"/>
      <c r="H2252" s="196" t="s">
        <v>1878</v>
      </c>
      <c r="I2252" s="141" t="s">
        <v>1879</v>
      </c>
      <c r="J2252" s="196"/>
      <c r="K2252" s="196" t="s">
        <v>1881</v>
      </c>
      <c r="L2252" s="240" t="s">
        <v>10769</v>
      </c>
      <c r="M2252" s="196">
        <v>192</v>
      </c>
      <c r="N2252" s="196"/>
      <c r="O2252" s="196" t="s">
        <v>10770</v>
      </c>
      <c r="P2252" s="144">
        <v>364</v>
      </c>
      <c r="Q2252" s="148">
        <v>3.13</v>
      </c>
      <c r="R2252" s="203">
        <v>1.2</v>
      </c>
      <c r="S2252" s="203">
        <v>4.33</v>
      </c>
      <c r="T2252" s="203"/>
      <c r="U2252" s="103"/>
      <c r="V2252" s="103"/>
      <c r="W2252" s="203"/>
      <c r="X2252" s="148"/>
      <c r="Y2252" s="148"/>
      <c r="Z2252" s="148"/>
      <c r="AA2252" s="148"/>
      <c r="AB2252" s="148"/>
      <c r="AC2252" s="148"/>
      <c r="AD2252" s="148"/>
      <c r="AH2252" s="147"/>
    </row>
    <row r="2253" spans="1:34" s="146" customFormat="1" x14ac:dyDescent="0.25">
      <c r="A2253" s="196">
        <v>1984</v>
      </c>
      <c r="B2253" s="196" t="s">
        <v>10771</v>
      </c>
      <c r="C2253" s="196" t="s">
        <v>10772</v>
      </c>
      <c r="D2253" s="196" t="s">
        <v>3524</v>
      </c>
      <c r="E2253" s="196" t="s">
        <v>1913</v>
      </c>
      <c r="F2253" s="196">
        <v>2004</v>
      </c>
      <c r="G2253" s="196"/>
      <c r="H2253" s="196" t="s">
        <v>1878</v>
      </c>
      <c r="I2253" s="141" t="s">
        <v>1914</v>
      </c>
      <c r="J2253" s="196"/>
      <c r="K2253" s="196" t="s">
        <v>1881</v>
      </c>
      <c r="L2253" s="240" t="s">
        <v>10773</v>
      </c>
      <c r="M2253" s="196">
        <v>80</v>
      </c>
      <c r="N2253" s="196"/>
      <c r="O2253" s="196" t="s">
        <v>10774</v>
      </c>
      <c r="P2253" s="144">
        <v>169</v>
      </c>
      <c r="Q2253" s="148">
        <v>2.91</v>
      </c>
      <c r="R2253" s="203">
        <v>1.2</v>
      </c>
      <c r="S2253" s="203">
        <v>4.1100000000000003</v>
      </c>
      <c r="T2253" s="203"/>
      <c r="U2253" s="103"/>
      <c r="V2253" s="103"/>
      <c r="W2253" s="203"/>
      <c r="X2253" s="148"/>
      <c r="Y2253" s="148"/>
      <c r="Z2253" s="148"/>
      <c r="AA2253" s="148"/>
      <c r="AB2253" s="148"/>
      <c r="AC2253" s="148"/>
      <c r="AD2253" s="148"/>
      <c r="AH2253" s="147"/>
    </row>
    <row r="2254" spans="1:34" s="146" customFormat="1" x14ac:dyDescent="0.25">
      <c r="A2254" s="196">
        <v>2522</v>
      </c>
      <c r="B2254" s="196" t="s">
        <v>10775</v>
      </c>
      <c r="C2254" s="196" t="s">
        <v>10776</v>
      </c>
      <c r="D2254" s="196" t="s">
        <v>2209</v>
      </c>
      <c r="E2254" s="196" t="s">
        <v>1899</v>
      </c>
      <c r="F2254" s="196">
        <v>2005</v>
      </c>
      <c r="G2254" s="196"/>
      <c r="H2254" s="196" t="s">
        <v>1878</v>
      </c>
      <c r="I2254" s="141" t="s">
        <v>1879</v>
      </c>
      <c r="J2254" s="196" t="s">
        <v>9092</v>
      </c>
      <c r="K2254" s="196" t="s">
        <v>1881</v>
      </c>
      <c r="L2254" s="240" t="s">
        <v>10777</v>
      </c>
      <c r="M2254" s="196">
        <v>384</v>
      </c>
      <c r="N2254" s="196"/>
      <c r="O2254" s="196" t="s">
        <v>10778</v>
      </c>
      <c r="P2254" s="144">
        <v>363</v>
      </c>
      <c r="Q2254" s="148">
        <v>2.3499999999999996</v>
      </c>
      <c r="R2254" s="203">
        <v>1.2</v>
      </c>
      <c r="S2254" s="203">
        <v>3.55</v>
      </c>
      <c r="T2254" s="203"/>
      <c r="U2254" s="103"/>
      <c r="V2254" s="103"/>
      <c r="W2254" s="203"/>
      <c r="X2254" s="148"/>
      <c r="Y2254" s="148"/>
      <c r="Z2254" s="148"/>
      <c r="AA2254" s="148"/>
      <c r="AB2254" s="148"/>
      <c r="AC2254" s="148"/>
      <c r="AD2254" s="148"/>
      <c r="AH2254" s="147"/>
    </row>
    <row r="2255" spans="1:34" s="146" customFormat="1" x14ac:dyDescent="0.25">
      <c r="A2255" s="196">
        <v>2522</v>
      </c>
      <c r="B2255" s="196" t="s">
        <v>8194</v>
      </c>
      <c r="C2255" s="196" t="s">
        <v>10779</v>
      </c>
      <c r="D2255" s="196" t="s">
        <v>3149</v>
      </c>
      <c r="E2255" s="196"/>
      <c r="F2255" s="196">
        <v>2003</v>
      </c>
      <c r="G2255" s="196"/>
      <c r="H2255" s="196" t="s">
        <v>1878</v>
      </c>
      <c r="I2255" s="141" t="s">
        <v>7527</v>
      </c>
      <c r="J2255" s="196"/>
      <c r="K2255" s="196" t="s">
        <v>1881</v>
      </c>
      <c r="L2255" s="240" t="s">
        <v>10780</v>
      </c>
      <c r="M2255" s="196">
        <v>320</v>
      </c>
      <c r="N2255" s="196"/>
      <c r="O2255" s="196" t="s">
        <v>10781</v>
      </c>
      <c r="P2255" s="144">
        <v>189</v>
      </c>
      <c r="Q2255" s="148">
        <v>3.9400000000000004</v>
      </c>
      <c r="R2255" s="203">
        <v>1.2</v>
      </c>
      <c r="S2255" s="203">
        <v>5.1400000000000006</v>
      </c>
      <c r="T2255" s="203"/>
      <c r="U2255" s="103"/>
      <c r="V2255" s="103"/>
      <c r="W2255" s="203"/>
      <c r="X2255" s="148"/>
      <c r="Y2255" s="148"/>
      <c r="Z2255" s="148"/>
      <c r="AA2255" s="148"/>
      <c r="AB2255" s="148"/>
      <c r="AC2255" s="148"/>
      <c r="AD2255" s="148"/>
      <c r="AH2255" s="147"/>
    </row>
    <row r="2256" spans="1:34" s="146" customFormat="1" x14ac:dyDescent="0.25">
      <c r="A2256" s="196">
        <v>1339</v>
      </c>
      <c r="B2256" s="196" t="s">
        <v>10782</v>
      </c>
      <c r="C2256" s="196" t="s">
        <v>10783</v>
      </c>
      <c r="D2256" s="196" t="s">
        <v>10784</v>
      </c>
      <c r="E2256" s="196"/>
      <c r="F2256" s="196">
        <v>2018</v>
      </c>
      <c r="G2256" s="196"/>
      <c r="H2256" s="196" t="s">
        <v>2734</v>
      </c>
      <c r="I2256" s="141" t="s">
        <v>1929</v>
      </c>
      <c r="J2256" s="196"/>
      <c r="K2256" s="196" t="s">
        <v>1881</v>
      </c>
      <c r="L2256" s="240" t="s">
        <v>10785</v>
      </c>
      <c r="M2256" s="196">
        <v>162</v>
      </c>
      <c r="N2256" s="196"/>
      <c r="O2256" s="196" t="s">
        <v>10786</v>
      </c>
      <c r="P2256" s="144">
        <v>620</v>
      </c>
      <c r="Q2256" s="148">
        <v>16.79</v>
      </c>
      <c r="R2256" s="203">
        <v>1.2</v>
      </c>
      <c r="S2256" s="203">
        <v>17.989999999999998</v>
      </c>
      <c r="T2256" s="203"/>
      <c r="U2256" s="103"/>
      <c r="V2256" s="103"/>
      <c r="W2256" s="203"/>
      <c r="X2256" s="148"/>
      <c r="Y2256" s="148"/>
      <c r="Z2256" s="148"/>
      <c r="AA2256" s="148"/>
      <c r="AB2256" s="148"/>
      <c r="AC2256" s="148"/>
      <c r="AD2256" s="148"/>
      <c r="AH2256" s="147"/>
    </row>
    <row r="2257" spans="1:34" s="146" customFormat="1" x14ac:dyDescent="0.25">
      <c r="A2257" s="196">
        <v>1339</v>
      </c>
      <c r="B2257" s="196" t="s">
        <v>10787</v>
      </c>
      <c r="C2257" s="196" t="s">
        <v>10788</v>
      </c>
      <c r="D2257" s="196"/>
      <c r="E2257" s="196"/>
      <c r="F2257" s="196">
        <v>2018</v>
      </c>
      <c r="G2257" s="196"/>
      <c r="H2257" s="196" t="s">
        <v>1878</v>
      </c>
      <c r="I2257" s="141" t="s">
        <v>1879</v>
      </c>
      <c r="J2257" s="196"/>
      <c r="K2257" s="196" t="s">
        <v>1881</v>
      </c>
      <c r="L2257" s="240"/>
      <c r="M2257" s="196">
        <v>151</v>
      </c>
      <c r="N2257" s="196"/>
      <c r="O2257" s="196" t="s">
        <v>10789</v>
      </c>
      <c r="P2257" s="144">
        <v>267</v>
      </c>
      <c r="Q2257" s="148">
        <v>7.45</v>
      </c>
      <c r="R2257" s="203">
        <v>1.2</v>
      </c>
      <c r="S2257" s="203">
        <v>8.65</v>
      </c>
      <c r="T2257" s="203"/>
      <c r="U2257" s="103"/>
      <c r="V2257" s="103"/>
      <c r="W2257" s="203"/>
      <c r="X2257" s="148"/>
      <c r="Y2257" s="148"/>
      <c r="Z2257" s="148"/>
      <c r="AA2257" s="148"/>
      <c r="AB2257" s="148"/>
      <c r="AC2257" s="148"/>
      <c r="AD2257" s="148"/>
      <c r="AH2257" s="147"/>
    </row>
    <row r="2258" spans="1:34" s="146" customFormat="1" x14ac:dyDescent="0.25">
      <c r="A2258" s="196">
        <v>1315</v>
      </c>
      <c r="B2258" s="196" t="s">
        <v>10790</v>
      </c>
      <c r="C2258" s="196" t="s">
        <v>10791</v>
      </c>
      <c r="D2258" s="196" t="s">
        <v>2453</v>
      </c>
      <c r="E2258" s="196" t="s">
        <v>3053</v>
      </c>
      <c r="F2258" s="196">
        <v>2005</v>
      </c>
      <c r="G2258" s="196"/>
      <c r="H2258" s="196" t="s">
        <v>1878</v>
      </c>
      <c r="I2258" s="141" t="s">
        <v>7527</v>
      </c>
      <c r="J2258" s="196"/>
      <c r="K2258" s="196" t="s">
        <v>1881</v>
      </c>
      <c r="L2258" s="240" t="s">
        <v>10792</v>
      </c>
      <c r="M2258" s="196">
        <v>384</v>
      </c>
      <c r="N2258" s="196"/>
      <c r="O2258" s="196" t="s">
        <v>10793</v>
      </c>
      <c r="P2258" s="144">
        <v>409</v>
      </c>
      <c r="Q2258" s="148">
        <v>2.79</v>
      </c>
      <c r="R2258" s="203">
        <v>1.2</v>
      </c>
      <c r="S2258" s="203">
        <v>3.99</v>
      </c>
      <c r="T2258" s="203"/>
      <c r="U2258" s="103"/>
      <c r="V2258" s="103"/>
      <c r="W2258" s="203"/>
      <c r="X2258" s="148"/>
      <c r="Y2258" s="148"/>
      <c r="Z2258" s="148"/>
      <c r="AA2258" s="148"/>
      <c r="AB2258" s="148"/>
      <c r="AC2258" s="148"/>
      <c r="AD2258" s="148"/>
      <c r="AH2258" s="147"/>
    </row>
    <row r="2259" spans="1:34" s="146" customFormat="1" x14ac:dyDescent="0.25">
      <c r="A2259" s="196">
        <v>1315</v>
      </c>
      <c r="B2259" s="196" t="s">
        <v>10794</v>
      </c>
      <c r="C2259" s="196" t="s">
        <v>10795</v>
      </c>
      <c r="D2259" s="196" t="s">
        <v>3312</v>
      </c>
      <c r="E2259" s="196"/>
      <c r="F2259" s="196">
        <v>2004</v>
      </c>
      <c r="G2259" s="196"/>
      <c r="H2259" s="196" t="s">
        <v>1878</v>
      </c>
      <c r="I2259" s="141" t="s">
        <v>1879</v>
      </c>
      <c r="J2259" s="196"/>
      <c r="K2259" s="196" t="s">
        <v>1881</v>
      </c>
      <c r="L2259" s="240" t="s">
        <v>10796</v>
      </c>
      <c r="M2259" s="196">
        <v>226</v>
      </c>
      <c r="N2259" s="196"/>
      <c r="O2259" s="196" t="s">
        <v>10797</v>
      </c>
      <c r="P2259" s="144">
        <v>362</v>
      </c>
      <c r="Q2259" s="148">
        <v>2.1900000000000004</v>
      </c>
      <c r="R2259" s="203">
        <v>1.2</v>
      </c>
      <c r="S2259" s="203">
        <v>3.39</v>
      </c>
      <c r="T2259" s="203"/>
      <c r="U2259" s="103"/>
      <c r="V2259" s="103"/>
      <c r="W2259" s="203"/>
      <c r="X2259" s="148"/>
      <c r="Y2259" s="148"/>
      <c r="Z2259" s="148"/>
      <c r="AA2259" s="148"/>
      <c r="AB2259" s="148"/>
      <c r="AC2259" s="148"/>
      <c r="AD2259" s="148"/>
      <c r="AH2259" s="147"/>
    </row>
    <row r="2260" spans="1:34" s="146" customFormat="1" x14ac:dyDescent="0.25">
      <c r="A2260" s="196">
        <v>2691</v>
      </c>
      <c r="B2260" s="196" t="s">
        <v>10752</v>
      </c>
      <c r="C2260" s="196" t="s">
        <v>10798</v>
      </c>
      <c r="D2260" s="196" t="s">
        <v>2156</v>
      </c>
      <c r="E2260" s="196"/>
      <c r="F2260" s="196">
        <v>2005</v>
      </c>
      <c r="G2260" s="196"/>
      <c r="H2260" s="196" t="s">
        <v>1878</v>
      </c>
      <c r="I2260" s="141" t="s">
        <v>1879</v>
      </c>
      <c r="J2260" s="196"/>
      <c r="K2260" s="196" t="s">
        <v>1881</v>
      </c>
      <c r="L2260" s="240" t="s">
        <v>10799</v>
      </c>
      <c r="M2260" s="196">
        <v>176</v>
      </c>
      <c r="N2260" s="196"/>
      <c r="O2260" s="196" t="s">
        <v>10800</v>
      </c>
      <c r="P2260" s="144">
        <v>198</v>
      </c>
      <c r="Q2260" s="148">
        <v>2.2000000000000002</v>
      </c>
      <c r="R2260" s="203">
        <v>1.2</v>
      </c>
      <c r="S2260" s="203">
        <v>3.4</v>
      </c>
      <c r="T2260" s="203"/>
      <c r="U2260" s="103"/>
      <c r="V2260" s="103"/>
      <c r="W2260" s="203"/>
      <c r="X2260" s="148"/>
      <c r="Y2260" s="148"/>
      <c r="Z2260" s="148"/>
      <c r="AA2260" s="148"/>
      <c r="AB2260" s="148"/>
      <c r="AC2260" s="148"/>
      <c r="AD2260" s="148"/>
      <c r="AH2260" s="147"/>
    </row>
    <row r="2261" spans="1:34" s="146" customFormat="1" x14ac:dyDescent="0.25">
      <c r="A2261" s="196">
        <v>629</v>
      </c>
      <c r="B2261" s="196" t="s">
        <v>10801</v>
      </c>
      <c r="C2261" s="196" t="s">
        <v>10802</v>
      </c>
      <c r="D2261" s="196" t="s">
        <v>9711</v>
      </c>
      <c r="E2261" s="196"/>
      <c r="F2261" s="196">
        <v>2012</v>
      </c>
      <c r="G2261" s="196"/>
      <c r="H2261" s="196" t="s">
        <v>1878</v>
      </c>
      <c r="I2261" s="141" t="s">
        <v>1879</v>
      </c>
      <c r="J2261" s="196"/>
      <c r="K2261" s="196" t="s">
        <v>1881</v>
      </c>
      <c r="L2261" s="240" t="s">
        <v>10803</v>
      </c>
      <c r="M2261" s="196">
        <v>128</v>
      </c>
      <c r="N2261" s="196"/>
      <c r="O2261" s="196" t="s">
        <v>10804</v>
      </c>
      <c r="P2261" s="144">
        <v>241</v>
      </c>
      <c r="Q2261" s="148">
        <v>2.1100000000000003</v>
      </c>
      <c r="R2261" s="203">
        <v>1.2</v>
      </c>
      <c r="S2261" s="203">
        <v>3.31</v>
      </c>
      <c r="T2261" s="203"/>
      <c r="U2261" s="103"/>
      <c r="V2261" s="103"/>
      <c r="W2261" s="203"/>
      <c r="X2261" s="148"/>
      <c r="Y2261" s="148"/>
      <c r="Z2261" s="148"/>
      <c r="AA2261" s="148"/>
      <c r="AB2261" s="148"/>
      <c r="AC2261" s="148"/>
      <c r="AD2261" s="148"/>
      <c r="AH2261" s="147"/>
    </row>
    <row r="2262" spans="1:34" s="146" customFormat="1" x14ac:dyDescent="0.25">
      <c r="A2262" s="196">
        <v>1984</v>
      </c>
      <c r="B2262" s="196" t="s">
        <v>10805</v>
      </c>
      <c r="C2262" s="196" t="s">
        <v>10806</v>
      </c>
      <c r="D2262" s="196" t="s">
        <v>3524</v>
      </c>
      <c r="E2262" s="196" t="s">
        <v>1913</v>
      </c>
      <c r="F2262" s="196">
        <v>1999</v>
      </c>
      <c r="G2262" s="196"/>
      <c r="H2262" s="196" t="s">
        <v>2734</v>
      </c>
      <c r="I2262" s="141" t="s">
        <v>1879</v>
      </c>
      <c r="J2262" s="196"/>
      <c r="K2262" s="196" t="s">
        <v>1881</v>
      </c>
      <c r="L2262" s="240" t="s">
        <v>10807</v>
      </c>
      <c r="M2262" s="196">
        <v>62</v>
      </c>
      <c r="N2262" s="196"/>
      <c r="O2262" s="196" t="s">
        <v>10808</v>
      </c>
      <c r="P2262" s="144">
        <v>276</v>
      </c>
      <c r="Q2262" s="148">
        <v>3.01</v>
      </c>
      <c r="R2262" s="203">
        <v>1.2</v>
      </c>
      <c r="S2262" s="203">
        <v>4.21</v>
      </c>
      <c r="T2262" s="203"/>
      <c r="U2262" s="103"/>
      <c r="V2262" s="103"/>
      <c r="W2262" s="203"/>
      <c r="X2262" s="148"/>
      <c r="Y2262" s="148"/>
      <c r="Z2262" s="148"/>
      <c r="AA2262" s="148"/>
      <c r="AB2262" s="148"/>
      <c r="AC2262" s="148"/>
      <c r="AD2262" s="148"/>
      <c r="AH2262" s="147"/>
    </row>
    <row r="2263" spans="1:34" s="146" customFormat="1" x14ac:dyDescent="0.25">
      <c r="A2263" s="196">
        <v>1984</v>
      </c>
      <c r="B2263" s="196" t="s">
        <v>10809</v>
      </c>
      <c r="C2263" s="196" t="s">
        <v>10810</v>
      </c>
      <c r="D2263" s="196" t="s">
        <v>2402</v>
      </c>
      <c r="E2263" s="196"/>
      <c r="F2263" s="196">
        <v>1997</v>
      </c>
      <c r="G2263" s="196"/>
      <c r="H2263" s="196" t="s">
        <v>2734</v>
      </c>
      <c r="I2263" s="141" t="s">
        <v>1879</v>
      </c>
      <c r="J2263" s="196"/>
      <c r="K2263" s="196" t="s">
        <v>1881</v>
      </c>
      <c r="L2263" s="240">
        <v>9783505105593</v>
      </c>
      <c r="M2263" s="196">
        <v>46</v>
      </c>
      <c r="N2263" s="196"/>
      <c r="O2263" s="196" t="s">
        <v>10811</v>
      </c>
      <c r="P2263" s="144">
        <v>170</v>
      </c>
      <c r="Q2263" s="148">
        <v>1.6900000000000002</v>
      </c>
      <c r="R2263" s="203">
        <v>1.2</v>
      </c>
      <c r="S2263" s="203">
        <v>2.89</v>
      </c>
      <c r="T2263" s="203"/>
      <c r="U2263" s="103"/>
      <c r="V2263" s="103"/>
      <c r="W2263" s="203"/>
      <c r="X2263" s="148"/>
      <c r="Y2263" s="148"/>
      <c r="Z2263" s="148"/>
      <c r="AA2263" s="148"/>
      <c r="AB2263" s="148"/>
      <c r="AC2263" s="148"/>
      <c r="AD2263" s="148"/>
      <c r="AH2263" s="147"/>
    </row>
    <row r="2264" spans="1:34" s="146" customFormat="1" x14ac:dyDescent="0.25">
      <c r="A2264" s="196">
        <v>1339</v>
      </c>
      <c r="B2264" s="196" t="s">
        <v>10812</v>
      </c>
      <c r="C2264" s="196" t="s">
        <v>10813</v>
      </c>
      <c r="D2264" s="196" t="s">
        <v>10814</v>
      </c>
      <c r="E2264" s="196"/>
      <c r="F2264" s="196">
        <v>2018</v>
      </c>
      <c r="G2264" s="196"/>
      <c r="H2264" s="196" t="s">
        <v>1878</v>
      </c>
      <c r="I2264" s="141" t="s">
        <v>1879</v>
      </c>
      <c r="J2264" s="196" t="s">
        <v>10815</v>
      </c>
      <c r="K2264" s="196" t="s">
        <v>1881</v>
      </c>
      <c r="L2264" s="240">
        <v>9783960501206</v>
      </c>
      <c r="M2264" s="196">
        <v>348</v>
      </c>
      <c r="N2264" s="196"/>
      <c r="O2264" s="196" t="s">
        <v>10816</v>
      </c>
      <c r="P2264" s="144">
        <v>370</v>
      </c>
      <c r="Q2264" s="148">
        <v>11.790000000000001</v>
      </c>
      <c r="R2264" s="203">
        <v>1.2</v>
      </c>
      <c r="S2264" s="203">
        <v>12.99</v>
      </c>
      <c r="T2264" s="203"/>
      <c r="U2264" s="103"/>
      <c r="V2264" s="103"/>
      <c r="W2264" s="203"/>
      <c r="X2264" s="148"/>
      <c r="Y2264" s="148"/>
      <c r="Z2264" s="148"/>
      <c r="AA2264" s="148"/>
      <c r="AB2264" s="148"/>
      <c r="AC2264" s="148"/>
      <c r="AD2264" s="148"/>
      <c r="AH2264" s="147"/>
    </row>
    <row r="2265" spans="1:34" s="146" customFormat="1" x14ac:dyDescent="0.25">
      <c r="A2265" s="196">
        <v>701</v>
      </c>
      <c r="B2265" s="196" t="s">
        <v>10817</v>
      </c>
      <c r="C2265" s="196" t="s">
        <v>10818</v>
      </c>
      <c r="D2265" s="196" t="s">
        <v>1876</v>
      </c>
      <c r="E2265" s="196"/>
      <c r="F2265" s="196">
        <v>2009</v>
      </c>
      <c r="G2265" s="196"/>
      <c r="H2265" s="196" t="s">
        <v>4297</v>
      </c>
      <c r="I2265" s="141" t="s">
        <v>1879</v>
      </c>
      <c r="J2265" s="196"/>
      <c r="K2265" s="196" t="s">
        <v>1881</v>
      </c>
      <c r="L2265" s="240">
        <v>9783890293721</v>
      </c>
      <c r="M2265" s="196">
        <v>210</v>
      </c>
      <c r="N2265" s="196"/>
      <c r="O2265" s="196" t="s">
        <v>10819</v>
      </c>
      <c r="P2265" s="144">
        <v>264</v>
      </c>
      <c r="Q2265" s="148">
        <v>2.84</v>
      </c>
      <c r="R2265" s="203">
        <v>1.2</v>
      </c>
      <c r="S2265" s="203">
        <v>4.04</v>
      </c>
      <c r="T2265" s="203"/>
      <c r="U2265" s="103"/>
      <c r="V2265" s="103"/>
      <c r="W2265" s="203"/>
      <c r="X2265" s="148"/>
      <c r="Y2265" s="148"/>
      <c r="Z2265" s="148"/>
      <c r="AA2265" s="148"/>
      <c r="AB2265" s="148"/>
      <c r="AC2265" s="148"/>
      <c r="AD2265" s="148"/>
      <c r="AH2265" s="147"/>
    </row>
    <row r="2266" spans="1:34" s="146" customFormat="1" x14ac:dyDescent="0.25">
      <c r="A2266" s="196">
        <v>2522</v>
      </c>
      <c r="B2266" s="196" t="s">
        <v>10820</v>
      </c>
      <c r="C2266" s="196" t="s">
        <v>10821</v>
      </c>
      <c r="D2266" s="196" t="s">
        <v>2609</v>
      </c>
      <c r="E2266" s="196" t="s">
        <v>1899</v>
      </c>
      <c r="F2266" s="196">
        <v>2016</v>
      </c>
      <c r="G2266" s="196"/>
      <c r="H2266" s="196" t="s">
        <v>1878</v>
      </c>
      <c r="I2266" s="141" t="s">
        <v>1879</v>
      </c>
      <c r="J2266" s="196"/>
      <c r="K2266" s="196" t="s">
        <v>1881</v>
      </c>
      <c r="L2266" s="240">
        <v>9783596036080</v>
      </c>
      <c r="M2266" s="196">
        <v>416</v>
      </c>
      <c r="N2266" s="196"/>
      <c r="O2266" s="196" t="s">
        <v>10822</v>
      </c>
      <c r="P2266" s="144">
        <v>367</v>
      </c>
      <c r="Q2266" s="148">
        <v>4.5199999999999996</v>
      </c>
      <c r="R2266" s="203">
        <v>1.2</v>
      </c>
      <c r="S2266" s="203">
        <v>5.72</v>
      </c>
      <c r="T2266" s="203"/>
      <c r="U2266" s="103"/>
      <c r="V2266" s="103"/>
      <c r="W2266" s="203"/>
      <c r="X2266" s="148"/>
      <c r="Y2266" s="148"/>
      <c r="Z2266" s="148"/>
      <c r="AA2266" s="148"/>
      <c r="AB2266" s="148"/>
      <c r="AC2266" s="148"/>
      <c r="AD2266" s="148"/>
      <c r="AH2266" s="147"/>
    </row>
    <row r="2267" spans="1:34" s="146" customFormat="1" x14ac:dyDescent="0.25">
      <c r="A2267" s="196">
        <v>701</v>
      </c>
      <c r="B2267" s="196" t="s">
        <v>10823</v>
      </c>
      <c r="C2267" s="196" t="s">
        <v>10824</v>
      </c>
      <c r="D2267" s="196" t="s">
        <v>10825</v>
      </c>
      <c r="E2267" s="196" t="s">
        <v>1899</v>
      </c>
      <c r="F2267" s="196">
        <v>2003</v>
      </c>
      <c r="G2267" s="196"/>
      <c r="H2267" s="196" t="s">
        <v>1878</v>
      </c>
      <c r="I2267" s="141" t="s">
        <v>1879</v>
      </c>
      <c r="J2267" s="196"/>
      <c r="K2267" s="196" t="s">
        <v>1881</v>
      </c>
      <c r="L2267" s="240">
        <v>9783359014195</v>
      </c>
      <c r="M2267" s="196">
        <v>160</v>
      </c>
      <c r="N2267" s="196"/>
      <c r="O2267" s="196" t="s">
        <v>10826</v>
      </c>
      <c r="P2267" s="144">
        <v>145</v>
      </c>
      <c r="Q2267" s="148">
        <v>3.88</v>
      </c>
      <c r="R2267" s="203">
        <v>1.2</v>
      </c>
      <c r="S2267" s="203">
        <v>5.08</v>
      </c>
      <c r="T2267" s="203"/>
      <c r="U2267" s="103"/>
      <c r="V2267" s="103"/>
      <c r="W2267" s="203"/>
      <c r="X2267" s="148"/>
      <c r="Y2267" s="148"/>
      <c r="Z2267" s="148"/>
      <c r="AA2267" s="148"/>
      <c r="AB2267" s="148"/>
      <c r="AC2267" s="148"/>
      <c r="AD2267" s="148"/>
      <c r="AH2267" s="147"/>
    </row>
    <row r="2268" spans="1:34" s="146" customFormat="1" x14ac:dyDescent="0.25">
      <c r="A2268" s="196">
        <v>2522</v>
      </c>
      <c r="B2268" s="196" t="s">
        <v>10827</v>
      </c>
      <c r="C2268" s="196" t="s">
        <v>10828</v>
      </c>
      <c r="D2268" s="196" t="s">
        <v>2257</v>
      </c>
      <c r="E2268" s="196" t="s">
        <v>1921</v>
      </c>
      <c r="F2268" s="196">
        <v>2009</v>
      </c>
      <c r="G2268" s="196"/>
      <c r="H2268" s="196" t="s">
        <v>1878</v>
      </c>
      <c r="I2268" s="141" t="s">
        <v>1879</v>
      </c>
      <c r="J2268" s="196"/>
      <c r="K2268" s="196" t="s">
        <v>1881</v>
      </c>
      <c r="L2268" s="240">
        <v>9783426501276</v>
      </c>
      <c r="M2268" s="196">
        <v>464</v>
      </c>
      <c r="N2268" s="196"/>
      <c r="O2268" s="196" t="s">
        <v>10829</v>
      </c>
      <c r="P2268" s="144">
        <v>343</v>
      </c>
      <c r="Q2268" s="148">
        <v>1.6900000000000002</v>
      </c>
      <c r="R2268" s="203">
        <v>1.2</v>
      </c>
      <c r="S2268" s="203">
        <v>2.89</v>
      </c>
      <c r="T2268" s="203"/>
      <c r="U2268" s="103"/>
      <c r="V2268" s="103"/>
      <c r="W2268" s="203"/>
      <c r="X2268" s="148"/>
      <c r="Y2268" s="148"/>
      <c r="Z2268" s="148"/>
      <c r="AA2268" s="148"/>
      <c r="AB2268" s="148"/>
      <c r="AC2268" s="148"/>
      <c r="AD2268" s="148"/>
      <c r="AH2268" s="147"/>
    </row>
    <row r="2269" spans="1:34" s="146" customFormat="1" x14ac:dyDescent="0.25">
      <c r="A2269" s="196">
        <v>1327</v>
      </c>
      <c r="B2269" s="196" t="s">
        <v>10830</v>
      </c>
      <c r="C2269" s="196" t="s">
        <v>10831</v>
      </c>
      <c r="D2269" s="196" t="s">
        <v>2300</v>
      </c>
      <c r="E2269" s="196" t="s">
        <v>2032</v>
      </c>
      <c r="F2269" s="196">
        <v>2003</v>
      </c>
      <c r="G2269" s="196"/>
      <c r="H2269" s="196" t="s">
        <v>1878</v>
      </c>
      <c r="I2269" s="141" t="s">
        <v>1914</v>
      </c>
      <c r="J2269" s="196"/>
      <c r="K2269" s="196" t="s">
        <v>1881</v>
      </c>
      <c r="L2269" s="240">
        <v>9783499226939</v>
      </c>
      <c r="M2269" s="196">
        <v>736</v>
      </c>
      <c r="N2269" s="196"/>
      <c r="O2269" s="196" t="s">
        <v>10832</v>
      </c>
      <c r="P2269" s="144">
        <v>397</v>
      </c>
      <c r="Q2269" s="148">
        <v>2.91</v>
      </c>
      <c r="R2269" s="203">
        <v>1.2</v>
      </c>
      <c r="S2269" s="203">
        <v>4.1100000000000003</v>
      </c>
      <c r="T2269" s="203"/>
      <c r="U2269" s="103"/>
      <c r="V2269" s="103"/>
      <c r="W2269" s="203"/>
      <c r="X2269" s="148"/>
      <c r="Y2269" s="148"/>
      <c r="Z2269" s="148"/>
      <c r="AA2269" s="148"/>
      <c r="AB2269" s="148"/>
      <c r="AC2269" s="148"/>
      <c r="AD2269" s="148"/>
      <c r="AH2269" s="147"/>
    </row>
    <row r="2270" spans="1:34" s="146" customFormat="1" x14ac:dyDescent="0.25">
      <c r="A2270" s="196">
        <v>1327</v>
      </c>
      <c r="B2270" s="196" t="s">
        <v>10833</v>
      </c>
      <c r="C2270" s="196" t="s">
        <v>10834</v>
      </c>
      <c r="D2270" s="196" t="s">
        <v>2309</v>
      </c>
      <c r="E2270" s="196"/>
      <c r="F2270" s="196">
        <v>1989</v>
      </c>
      <c r="G2270" s="196"/>
      <c r="H2270" s="196" t="s">
        <v>1878</v>
      </c>
      <c r="I2270" s="141" t="s">
        <v>7527</v>
      </c>
      <c r="J2270" s="196"/>
      <c r="K2270" s="196" t="s">
        <v>1881</v>
      </c>
      <c r="L2270" s="240">
        <v>9783548220826</v>
      </c>
      <c r="M2270" s="196">
        <v>214</v>
      </c>
      <c r="N2270" s="196"/>
      <c r="O2270" s="196" t="s">
        <v>10835</v>
      </c>
      <c r="P2270" s="144">
        <v>412</v>
      </c>
      <c r="Q2270" s="148">
        <v>3.9799999999999995</v>
      </c>
      <c r="R2270" s="203">
        <v>1.2</v>
      </c>
      <c r="S2270" s="203">
        <v>5.18</v>
      </c>
      <c r="T2270" s="203"/>
      <c r="U2270" s="103"/>
      <c r="V2270" s="103"/>
      <c r="W2270" s="203"/>
      <c r="X2270" s="148"/>
      <c r="Y2270" s="148"/>
      <c r="Z2270" s="148"/>
      <c r="AA2270" s="148"/>
      <c r="AB2270" s="148"/>
      <c r="AC2270" s="148"/>
      <c r="AD2270" s="148"/>
      <c r="AH2270" s="147"/>
    </row>
    <row r="2271" spans="1:34" s="146" customFormat="1" x14ac:dyDescent="0.25">
      <c r="A2271" s="196">
        <v>1365</v>
      </c>
      <c r="B2271" s="196" t="s">
        <v>10836</v>
      </c>
      <c r="C2271" s="196" t="s">
        <v>10837</v>
      </c>
      <c r="D2271" s="196" t="s">
        <v>10838</v>
      </c>
      <c r="E2271" s="196" t="s">
        <v>2375</v>
      </c>
      <c r="F2271" s="196">
        <v>1999</v>
      </c>
      <c r="G2271" s="196"/>
      <c r="H2271" s="196" t="s">
        <v>1878</v>
      </c>
      <c r="I2271" s="141" t="s">
        <v>7527</v>
      </c>
      <c r="J2271" s="196"/>
      <c r="K2271" s="196" t="s">
        <v>1881</v>
      </c>
      <c r="L2271" s="240">
        <v>9783894050146</v>
      </c>
      <c r="M2271" s="196">
        <v>224</v>
      </c>
      <c r="N2271" s="196"/>
      <c r="O2271" s="196" t="s">
        <v>10839</v>
      </c>
      <c r="P2271" s="144">
        <v>253</v>
      </c>
      <c r="Q2271" s="148">
        <v>2.9699999999999998</v>
      </c>
      <c r="R2271" s="203">
        <v>1.2</v>
      </c>
      <c r="S2271" s="203">
        <v>4.17</v>
      </c>
      <c r="T2271" s="203"/>
      <c r="U2271" s="103"/>
      <c r="V2271" s="103"/>
      <c r="W2271" s="203"/>
      <c r="X2271" s="148"/>
      <c r="Y2271" s="148"/>
      <c r="Z2271" s="148"/>
      <c r="AA2271" s="148"/>
      <c r="AB2271" s="148"/>
      <c r="AC2271" s="148"/>
      <c r="AD2271" s="148"/>
      <c r="AH2271" s="147"/>
    </row>
    <row r="2272" spans="1:34" s="146" customFormat="1" x14ac:dyDescent="0.25">
      <c r="A2272" s="196">
        <v>692</v>
      </c>
      <c r="B2272" s="196" t="s">
        <v>10840</v>
      </c>
      <c r="C2272" s="196" t="s">
        <v>10841</v>
      </c>
      <c r="D2272" s="196" t="s">
        <v>2257</v>
      </c>
      <c r="E2272" s="196"/>
      <c r="F2272" s="196">
        <v>2002</v>
      </c>
      <c r="G2272" s="196"/>
      <c r="H2272" s="196" t="s">
        <v>1878</v>
      </c>
      <c r="I2272" s="141" t="s">
        <v>7527</v>
      </c>
      <c r="J2272" s="196" t="s">
        <v>9092</v>
      </c>
      <c r="K2272" s="196" t="s">
        <v>1881</v>
      </c>
      <c r="L2272" s="240">
        <v>9783426629710</v>
      </c>
      <c r="M2272" s="196">
        <v>336</v>
      </c>
      <c r="N2272" s="196"/>
      <c r="O2272" s="196" t="s">
        <v>10842</v>
      </c>
      <c r="P2272" s="144">
        <v>218</v>
      </c>
      <c r="Q2272" s="148">
        <v>1.6900000000000002</v>
      </c>
      <c r="R2272" s="203">
        <v>1.2</v>
      </c>
      <c r="S2272" s="203">
        <v>2.89</v>
      </c>
      <c r="T2272" s="203"/>
      <c r="U2272" s="103"/>
      <c r="V2272" s="103"/>
      <c r="W2272" s="203"/>
      <c r="X2272" s="148"/>
      <c r="Y2272" s="148"/>
      <c r="Z2272" s="148"/>
      <c r="AA2272" s="148"/>
      <c r="AB2272" s="148"/>
      <c r="AC2272" s="148"/>
      <c r="AD2272" s="148"/>
      <c r="AH2272" s="147"/>
    </row>
    <row r="2273" spans="1:34" s="146" customFormat="1" x14ac:dyDescent="0.25">
      <c r="A2273" s="196">
        <v>692</v>
      </c>
      <c r="B2273" s="196" t="s">
        <v>10843</v>
      </c>
      <c r="C2273" s="196" t="s">
        <v>10844</v>
      </c>
      <c r="D2273" s="196" t="s">
        <v>5941</v>
      </c>
      <c r="E2273" s="196"/>
      <c r="F2273" s="196">
        <v>1996</v>
      </c>
      <c r="G2273" s="196"/>
      <c r="H2273" s="196" t="s">
        <v>2734</v>
      </c>
      <c r="I2273" s="141" t="s">
        <v>1879</v>
      </c>
      <c r="J2273" s="196"/>
      <c r="K2273" s="196" t="s">
        <v>1881</v>
      </c>
      <c r="L2273" s="240">
        <v>3446185437</v>
      </c>
      <c r="M2273" s="196">
        <v>290</v>
      </c>
      <c r="N2273" s="196"/>
      <c r="O2273" s="196" t="s">
        <v>10845</v>
      </c>
      <c r="P2273" s="144">
        <v>420</v>
      </c>
      <c r="Q2273" s="148">
        <v>2.2000000000000002</v>
      </c>
      <c r="R2273" s="203">
        <v>1.2</v>
      </c>
      <c r="S2273" s="203">
        <v>3.4</v>
      </c>
      <c r="T2273" s="203"/>
      <c r="U2273" s="103"/>
      <c r="V2273" s="103"/>
      <c r="W2273" s="203"/>
      <c r="X2273" s="148"/>
      <c r="Y2273" s="148"/>
      <c r="Z2273" s="148"/>
      <c r="AA2273" s="148"/>
      <c r="AB2273" s="148"/>
      <c r="AC2273" s="148"/>
      <c r="AD2273" s="148"/>
      <c r="AH2273" s="147"/>
    </row>
    <row r="2274" spans="1:34" s="146" customFormat="1" x14ac:dyDescent="0.25">
      <c r="A2274" s="196">
        <v>2522</v>
      </c>
      <c r="B2274" s="196" t="s">
        <v>10846</v>
      </c>
      <c r="C2274" s="196" t="s">
        <v>10847</v>
      </c>
      <c r="D2274" s="196" t="s">
        <v>2424</v>
      </c>
      <c r="E2274" s="196" t="s">
        <v>1921</v>
      </c>
      <c r="F2274" s="196">
        <v>2012</v>
      </c>
      <c r="G2274" s="196"/>
      <c r="H2274" s="196" t="s">
        <v>1878</v>
      </c>
      <c r="I2274" s="141" t="s">
        <v>1879</v>
      </c>
      <c r="J2274" s="196"/>
      <c r="K2274" s="196" t="s">
        <v>1881</v>
      </c>
      <c r="L2274" s="240">
        <v>9783453355859</v>
      </c>
      <c r="M2274" s="196">
        <v>480</v>
      </c>
      <c r="N2274" s="196"/>
      <c r="O2274" s="196" t="s">
        <v>10848</v>
      </c>
      <c r="P2274" s="144">
        <v>387</v>
      </c>
      <c r="Q2274" s="148">
        <v>2.8499999999999996</v>
      </c>
      <c r="R2274" s="203">
        <v>1.2</v>
      </c>
      <c r="S2274" s="203">
        <v>4.05</v>
      </c>
      <c r="T2274" s="203"/>
      <c r="U2274" s="103"/>
      <c r="V2274" s="103"/>
      <c r="W2274" s="203"/>
      <c r="X2274" s="148"/>
      <c r="Y2274" s="148"/>
      <c r="Z2274" s="148"/>
      <c r="AA2274" s="148"/>
      <c r="AB2274" s="148"/>
      <c r="AC2274" s="148"/>
      <c r="AD2274" s="148"/>
      <c r="AH2274" s="147"/>
    </row>
    <row r="2275" spans="1:34" s="146" customFormat="1" x14ac:dyDescent="0.25">
      <c r="A2275" s="196">
        <v>632</v>
      </c>
      <c r="B2275" s="196" t="s">
        <v>3233</v>
      </c>
      <c r="C2275" s="196" t="s">
        <v>3908</v>
      </c>
      <c r="D2275" s="196" t="s">
        <v>2257</v>
      </c>
      <c r="E2275" s="196"/>
      <c r="F2275" s="196">
        <v>2005</v>
      </c>
      <c r="G2275" s="196"/>
      <c r="H2275" s="196" t="s">
        <v>1878</v>
      </c>
      <c r="I2275" s="141" t="s">
        <v>1914</v>
      </c>
      <c r="J2275" s="196" t="s">
        <v>9092</v>
      </c>
      <c r="K2275" s="196" t="s">
        <v>1881</v>
      </c>
      <c r="L2275" s="240">
        <v>9783426629345</v>
      </c>
      <c r="M2275" s="196">
        <v>624</v>
      </c>
      <c r="N2275" s="196"/>
      <c r="O2275" s="196" t="s">
        <v>10849</v>
      </c>
      <c r="P2275" s="144">
        <v>457</v>
      </c>
      <c r="Q2275" s="148">
        <v>2.8199999999999994</v>
      </c>
      <c r="R2275" s="203">
        <v>1.2</v>
      </c>
      <c r="S2275" s="203">
        <v>4.0199999999999996</v>
      </c>
      <c r="T2275" s="203"/>
      <c r="U2275" s="103"/>
      <c r="V2275" s="103"/>
      <c r="W2275" s="203"/>
      <c r="X2275" s="148"/>
      <c r="Y2275" s="148"/>
      <c r="Z2275" s="148"/>
      <c r="AA2275" s="148"/>
      <c r="AB2275" s="148"/>
      <c r="AC2275" s="148"/>
      <c r="AD2275" s="148"/>
      <c r="AH2275" s="147"/>
    </row>
    <row r="2276" spans="1:34" s="146" customFormat="1" x14ac:dyDescent="0.25">
      <c r="A2276" s="196">
        <v>2522</v>
      </c>
      <c r="B2276" s="196" t="s">
        <v>6262</v>
      </c>
      <c r="C2276" s="196" t="s">
        <v>6263</v>
      </c>
      <c r="D2276" s="196" t="s">
        <v>2209</v>
      </c>
      <c r="E2276" s="196" t="s">
        <v>8240</v>
      </c>
      <c r="F2276" s="196">
        <v>2009</v>
      </c>
      <c r="G2276" s="196"/>
      <c r="H2276" s="196" t="s">
        <v>1878</v>
      </c>
      <c r="I2276" s="141" t="s">
        <v>7527</v>
      </c>
      <c r="J2276" s="196"/>
      <c r="K2276" s="196" t="s">
        <v>1881</v>
      </c>
      <c r="L2276" s="240">
        <v>9783453024540</v>
      </c>
      <c r="M2276" s="196">
        <v>544</v>
      </c>
      <c r="N2276" s="196"/>
      <c r="O2276" s="196" t="s">
        <v>10850</v>
      </c>
      <c r="P2276" s="144">
        <v>436</v>
      </c>
      <c r="Q2276" s="148">
        <v>2.96</v>
      </c>
      <c r="R2276" s="203">
        <v>1.2</v>
      </c>
      <c r="S2276" s="203">
        <v>4.16</v>
      </c>
      <c r="T2276" s="203"/>
      <c r="U2276" s="103"/>
      <c r="V2276" s="103"/>
      <c r="W2276" s="203"/>
      <c r="X2276" s="148"/>
      <c r="Y2276" s="148"/>
      <c r="Z2276" s="148"/>
      <c r="AA2276" s="148"/>
      <c r="AB2276" s="148"/>
      <c r="AC2276" s="148"/>
      <c r="AD2276" s="148"/>
      <c r="AH2276" s="147"/>
    </row>
    <row r="2277" spans="1:34" s="146" customFormat="1" x14ac:dyDescent="0.25">
      <c r="A2277" s="196">
        <v>1327</v>
      </c>
      <c r="B2277" s="196" t="s">
        <v>10851</v>
      </c>
      <c r="C2277" s="196" t="s">
        <v>10852</v>
      </c>
      <c r="D2277" s="196" t="s">
        <v>2054</v>
      </c>
      <c r="E2277" s="196"/>
      <c r="F2277" s="196">
        <v>2013</v>
      </c>
      <c r="G2277" s="196"/>
      <c r="H2277" s="196" t="s">
        <v>1878</v>
      </c>
      <c r="I2277" s="141" t="s">
        <v>1879</v>
      </c>
      <c r="J2277" s="196"/>
      <c r="K2277" s="196" t="s">
        <v>1881</v>
      </c>
      <c r="L2277" s="240">
        <v>9783863656645</v>
      </c>
      <c r="M2277" s="196">
        <v>240</v>
      </c>
      <c r="N2277" s="196"/>
      <c r="O2277" s="196" t="s">
        <v>10853</v>
      </c>
      <c r="P2277" s="144">
        <v>238</v>
      </c>
      <c r="Q2277" s="148">
        <v>6.8</v>
      </c>
      <c r="R2277" s="203">
        <v>1.2</v>
      </c>
      <c r="S2277" s="203">
        <v>8</v>
      </c>
      <c r="T2277" s="203"/>
      <c r="U2277" s="103"/>
      <c r="V2277" s="103"/>
      <c r="W2277" s="203"/>
      <c r="X2277" s="148"/>
      <c r="Y2277" s="148"/>
      <c r="Z2277" s="148"/>
      <c r="AA2277" s="148"/>
      <c r="AB2277" s="148"/>
      <c r="AC2277" s="148"/>
      <c r="AD2277" s="148"/>
      <c r="AH2277" s="147"/>
    </row>
    <row r="2278" spans="1:34" s="146" customFormat="1" x14ac:dyDescent="0.25">
      <c r="A2278" s="196">
        <v>1327</v>
      </c>
      <c r="B2278" s="196" t="s">
        <v>10854</v>
      </c>
      <c r="C2278" s="196" t="s">
        <v>10855</v>
      </c>
      <c r="D2278" s="196" t="s">
        <v>2901</v>
      </c>
      <c r="E2278" s="196"/>
      <c r="F2278" s="196">
        <v>2008</v>
      </c>
      <c r="G2278" s="196"/>
      <c r="H2278" s="196" t="s">
        <v>2734</v>
      </c>
      <c r="I2278" s="141" t="s">
        <v>1879</v>
      </c>
      <c r="J2278" s="196" t="s">
        <v>2505</v>
      </c>
      <c r="K2278" s="196" t="s">
        <v>1881</v>
      </c>
      <c r="L2278" s="240">
        <v>9783763258994</v>
      </c>
      <c r="M2278" s="196">
        <v>370</v>
      </c>
      <c r="N2278" s="196"/>
      <c r="O2278" s="196" t="s">
        <v>10856</v>
      </c>
      <c r="P2278" s="144">
        <v>523</v>
      </c>
      <c r="Q2278" s="148">
        <v>2.7199999999999998</v>
      </c>
      <c r="R2278" s="203">
        <v>1.2</v>
      </c>
      <c r="S2278" s="203">
        <v>3.92</v>
      </c>
      <c r="T2278" s="203"/>
      <c r="U2278" s="103"/>
      <c r="V2278" s="103"/>
      <c r="W2278" s="203"/>
      <c r="X2278" s="148"/>
      <c r="Y2278" s="148"/>
      <c r="Z2278" s="148"/>
      <c r="AA2278" s="148"/>
      <c r="AB2278" s="148"/>
      <c r="AC2278" s="148"/>
      <c r="AD2278" s="148"/>
      <c r="AH2278" s="147"/>
    </row>
    <row r="2279" spans="1:34" s="146" customFormat="1" x14ac:dyDescent="0.25">
      <c r="A2279" s="196"/>
      <c r="B2279" s="196" t="s">
        <v>10857</v>
      </c>
      <c r="C2279" s="196" t="s">
        <v>10858</v>
      </c>
      <c r="D2279" s="196" t="s">
        <v>10859</v>
      </c>
      <c r="E2279" s="196" t="s">
        <v>1913</v>
      </c>
      <c r="F2279" s="196">
        <v>1999</v>
      </c>
      <c r="G2279" s="196"/>
      <c r="H2279" s="196" t="s">
        <v>2734</v>
      </c>
      <c r="I2279" s="141" t="s">
        <v>1879</v>
      </c>
      <c r="J2279" s="196"/>
      <c r="K2279" s="196" t="s">
        <v>1881</v>
      </c>
      <c r="L2279" s="240">
        <v>3870222603</v>
      </c>
      <c r="M2279" s="196">
        <v>202</v>
      </c>
      <c r="N2279" s="196"/>
      <c r="O2279" s="196" t="s">
        <v>10860</v>
      </c>
      <c r="P2279" s="144">
        <v>496</v>
      </c>
      <c r="Q2279" s="148">
        <v>3.33</v>
      </c>
      <c r="R2279" s="203">
        <v>1.2</v>
      </c>
      <c r="S2279" s="203">
        <v>4.53</v>
      </c>
      <c r="T2279" s="203"/>
      <c r="U2279" s="103"/>
      <c r="V2279" s="103"/>
      <c r="W2279" s="203"/>
      <c r="X2279" s="148"/>
      <c r="Y2279" s="148"/>
      <c r="Z2279" s="148"/>
      <c r="AA2279" s="148"/>
      <c r="AB2279" s="148"/>
      <c r="AC2279" s="148"/>
      <c r="AD2279" s="148"/>
      <c r="AH2279" s="147"/>
    </row>
    <row r="2280" spans="1:34" s="146" customFormat="1" x14ac:dyDescent="0.25">
      <c r="A2280" s="196">
        <v>701</v>
      </c>
      <c r="B2280" s="196" t="s">
        <v>10861</v>
      </c>
      <c r="C2280" s="196" t="s">
        <v>10862</v>
      </c>
      <c r="D2280" s="196" t="s">
        <v>2309</v>
      </c>
      <c r="E2280" s="196" t="s">
        <v>1913</v>
      </c>
      <c r="F2280" s="196">
        <v>2008</v>
      </c>
      <c r="G2280" s="196"/>
      <c r="H2280" s="196" t="s">
        <v>1878</v>
      </c>
      <c r="I2280" s="141" t="s">
        <v>7527</v>
      </c>
      <c r="J2280" s="196"/>
      <c r="K2280" s="196" t="s">
        <v>1881</v>
      </c>
      <c r="L2280" s="240">
        <v>9783548268187</v>
      </c>
      <c r="M2280" s="196">
        <v>194</v>
      </c>
      <c r="N2280" s="196"/>
      <c r="O2280" s="196" t="s">
        <v>10863</v>
      </c>
      <c r="P2280" s="144">
        <v>220</v>
      </c>
      <c r="Q2280" s="148">
        <v>2.8499999999999996</v>
      </c>
      <c r="R2280" s="203">
        <v>1.2</v>
      </c>
      <c r="S2280" s="203">
        <v>4.05</v>
      </c>
      <c r="T2280" s="203"/>
      <c r="U2280" s="103"/>
      <c r="V2280" s="103"/>
      <c r="W2280" s="203"/>
      <c r="X2280" s="148"/>
      <c r="Y2280" s="148"/>
      <c r="Z2280" s="148"/>
      <c r="AA2280" s="148"/>
      <c r="AB2280" s="148"/>
      <c r="AC2280" s="148"/>
      <c r="AD2280" s="148"/>
      <c r="AH2280" s="147"/>
    </row>
    <row r="2281" spans="1:34" s="146" customFormat="1" x14ac:dyDescent="0.25">
      <c r="A2281" s="196">
        <v>2551</v>
      </c>
      <c r="B2281" s="196" t="s">
        <v>9425</v>
      </c>
      <c r="C2281" s="196" t="s">
        <v>9426</v>
      </c>
      <c r="D2281" s="196" t="s">
        <v>1920</v>
      </c>
      <c r="E2281" s="196"/>
      <c r="F2281" s="196">
        <v>2004</v>
      </c>
      <c r="G2281" s="196"/>
      <c r="H2281" s="196" t="s">
        <v>1878</v>
      </c>
      <c r="I2281" s="141" t="s">
        <v>7527</v>
      </c>
      <c r="J2281" s="196"/>
      <c r="K2281" s="196" t="s">
        <v>1881</v>
      </c>
      <c r="L2281" s="240">
        <v>9783404151035</v>
      </c>
      <c r="M2281" s="196">
        <v>368</v>
      </c>
      <c r="N2281" s="196"/>
      <c r="O2281" s="196" t="s">
        <v>10864</v>
      </c>
      <c r="P2281" s="144">
        <v>398</v>
      </c>
      <c r="Q2281" s="148">
        <v>3.0300000000000002</v>
      </c>
      <c r="R2281" s="203">
        <v>1.2</v>
      </c>
      <c r="S2281" s="203">
        <v>4.2300000000000004</v>
      </c>
      <c r="T2281" s="203"/>
      <c r="U2281" s="103"/>
      <c r="V2281" s="103"/>
      <c r="W2281" s="203"/>
      <c r="X2281" s="148"/>
      <c r="Y2281" s="148"/>
      <c r="Z2281" s="148"/>
      <c r="AA2281" s="148"/>
      <c r="AB2281" s="148"/>
      <c r="AC2281" s="148"/>
      <c r="AD2281" s="148"/>
      <c r="AH2281" s="147"/>
    </row>
    <row r="2282" spans="1:34" s="146" customFormat="1" x14ac:dyDescent="0.25">
      <c r="A2282" s="196">
        <v>701</v>
      </c>
      <c r="B2282" s="196" t="s">
        <v>10865</v>
      </c>
      <c r="C2282" s="196" t="s">
        <v>10866</v>
      </c>
      <c r="D2282" s="196" t="s">
        <v>2309</v>
      </c>
      <c r="E2282" s="196" t="s">
        <v>1913</v>
      </c>
      <c r="F2282" s="196">
        <v>2013</v>
      </c>
      <c r="G2282" s="196"/>
      <c r="H2282" s="196" t="s">
        <v>1878</v>
      </c>
      <c r="I2282" s="141" t="s">
        <v>1879</v>
      </c>
      <c r="J2282" s="196"/>
      <c r="K2282" s="196" t="s">
        <v>1881</v>
      </c>
      <c r="L2282" s="240">
        <v>9783548375113</v>
      </c>
      <c r="M2282" s="196">
        <v>176</v>
      </c>
      <c r="N2282" s="196"/>
      <c r="O2282" s="196" t="s">
        <v>10867</v>
      </c>
      <c r="P2282" s="144">
        <v>285</v>
      </c>
      <c r="Q2282" s="148">
        <v>2.8999999999999995</v>
      </c>
      <c r="R2282" s="203">
        <v>1.2</v>
      </c>
      <c r="S2282" s="203">
        <v>4.0999999999999996</v>
      </c>
      <c r="T2282" s="203"/>
      <c r="U2282" s="103"/>
      <c r="V2282" s="103"/>
      <c r="W2282" s="203"/>
      <c r="X2282" s="148"/>
      <c r="Y2282" s="148"/>
      <c r="Z2282" s="148"/>
      <c r="AA2282" s="148"/>
      <c r="AB2282" s="148"/>
      <c r="AC2282" s="148"/>
      <c r="AD2282" s="148"/>
      <c r="AH2282" s="147"/>
    </row>
    <row r="2283" spans="1:34" s="146" customFormat="1" x14ac:dyDescent="0.25">
      <c r="A2283" s="196">
        <v>2851</v>
      </c>
      <c r="B2283" s="196" t="s">
        <v>10868</v>
      </c>
      <c r="C2283" s="196" t="s">
        <v>10869</v>
      </c>
      <c r="D2283" s="196" t="s">
        <v>1988</v>
      </c>
      <c r="E2283" s="196" t="s">
        <v>1877</v>
      </c>
      <c r="F2283" s="196">
        <v>2013</v>
      </c>
      <c r="G2283" s="196"/>
      <c r="H2283" s="196" t="s">
        <v>1878</v>
      </c>
      <c r="I2283" s="141" t="s">
        <v>1879</v>
      </c>
      <c r="J2283" s="196"/>
      <c r="K2283" s="196" t="s">
        <v>1881</v>
      </c>
      <c r="L2283" s="240">
        <v>9783423140607</v>
      </c>
      <c r="M2283" s="196">
        <v>544</v>
      </c>
      <c r="N2283" s="196"/>
      <c r="O2283" s="196" t="s">
        <v>10870</v>
      </c>
      <c r="P2283" s="144">
        <v>393</v>
      </c>
      <c r="Q2283" s="148">
        <v>4.7299999999999995</v>
      </c>
      <c r="R2283" s="203">
        <v>1.2</v>
      </c>
      <c r="S2283" s="203">
        <v>5.93</v>
      </c>
      <c r="T2283" s="203"/>
      <c r="U2283" s="103"/>
      <c r="V2283" s="103"/>
      <c r="W2283" s="203"/>
      <c r="X2283" s="148"/>
      <c r="Y2283" s="148"/>
      <c r="Z2283" s="148"/>
      <c r="AA2283" s="148"/>
      <c r="AB2283" s="148"/>
      <c r="AC2283" s="148"/>
      <c r="AD2283" s="148"/>
      <c r="AH2283" s="147"/>
    </row>
    <row r="2284" spans="1:34" s="146" customFormat="1" x14ac:dyDescent="0.25">
      <c r="A2284" s="196">
        <v>964</v>
      </c>
      <c r="B2284" s="196" t="s">
        <v>10875</v>
      </c>
      <c r="C2284" s="196" t="s">
        <v>10876</v>
      </c>
      <c r="D2284" s="196" t="s">
        <v>2300</v>
      </c>
      <c r="E2284" s="196"/>
      <c r="F2284" s="196">
        <v>1988</v>
      </c>
      <c r="G2284" s="196"/>
      <c r="H2284" s="196" t="s">
        <v>1878</v>
      </c>
      <c r="I2284" s="141" t="s">
        <v>1879</v>
      </c>
      <c r="J2284" s="196" t="s">
        <v>10877</v>
      </c>
      <c r="K2284" s="196" t="s">
        <v>1881</v>
      </c>
      <c r="L2284" s="240">
        <v>3498028863</v>
      </c>
      <c r="M2284" s="196">
        <v>272</v>
      </c>
      <c r="N2284" s="196"/>
      <c r="O2284" s="196" t="s">
        <v>10878</v>
      </c>
      <c r="P2284" s="144">
        <v>325</v>
      </c>
      <c r="Q2284" s="148">
        <v>2.2999999999999998</v>
      </c>
      <c r="R2284" s="203">
        <v>1.2</v>
      </c>
      <c r="S2284" s="203">
        <v>3.5</v>
      </c>
      <c r="T2284" s="203"/>
      <c r="U2284" s="103"/>
      <c r="V2284" s="103"/>
      <c r="W2284" s="203"/>
      <c r="X2284" s="148"/>
      <c r="Y2284" s="148"/>
      <c r="Z2284" s="148"/>
      <c r="AA2284" s="148"/>
      <c r="AB2284" s="148"/>
      <c r="AC2284" s="148"/>
      <c r="AD2284" s="148"/>
      <c r="AH2284" s="147"/>
    </row>
    <row r="2285" spans="1:34" s="146" customFormat="1" x14ac:dyDescent="0.25">
      <c r="A2285" s="196">
        <v>2576</v>
      </c>
      <c r="B2285" s="196" t="s">
        <v>8035</v>
      </c>
      <c r="C2285" s="196" t="s">
        <v>9171</v>
      </c>
      <c r="D2285" s="196" t="s">
        <v>807</v>
      </c>
      <c r="E2285" s="196" t="s">
        <v>2157</v>
      </c>
      <c r="F2285" s="196">
        <v>2008</v>
      </c>
      <c r="G2285" s="196"/>
      <c r="H2285" s="196" t="s">
        <v>1878</v>
      </c>
      <c r="I2285" s="141" t="s">
        <v>7527</v>
      </c>
      <c r="J2285" s="196"/>
      <c r="K2285" s="196" t="s">
        <v>1881</v>
      </c>
      <c r="L2285" s="240">
        <v>9783551356901</v>
      </c>
      <c r="M2285" s="196">
        <v>528</v>
      </c>
      <c r="N2285" s="196"/>
      <c r="O2285" s="196" t="s">
        <v>10879</v>
      </c>
      <c r="P2285" s="144">
        <v>483</v>
      </c>
      <c r="Q2285" s="148">
        <v>2.5200000000000005</v>
      </c>
      <c r="R2285" s="203">
        <v>1.2</v>
      </c>
      <c r="S2285" s="203">
        <v>3.72</v>
      </c>
      <c r="T2285" s="203"/>
      <c r="U2285" s="103"/>
      <c r="V2285" s="103"/>
      <c r="W2285" s="203"/>
      <c r="X2285" s="148"/>
      <c r="Y2285" s="148"/>
      <c r="Z2285" s="148"/>
      <c r="AA2285" s="148"/>
      <c r="AB2285" s="148"/>
      <c r="AC2285" s="148"/>
      <c r="AD2285" s="148"/>
      <c r="AH2285" s="147"/>
    </row>
    <row r="2286" spans="1:34" s="146" customFormat="1" x14ac:dyDescent="0.25">
      <c r="A2286" s="196">
        <v>691</v>
      </c>
      <c r="B2286" s="196"/>
      <c r="C2286" s="196" t="s">
        <v>10880</v>
      </c>
      <c r="D2286" s="196" t="s">
        <v>1927</v>
      </c>
      <c r="E2286" s="196"/>
      <c r="F2286" s="196"/>
      <c r="G2286" s="196"/>
      <c r="H2286" s="196" t="s">
        <v>2734</v>
      </c>
      <c r="I2286" s="141" t="s">
        <v>1879</v>
      </c>
      <c r="J2286" s="196" t="s">
        <v>10732</v>
      </c>
      <c r="K2286" s="196" t="s">
        <v>1881</v>
      </c>
      <c r="L2286" s="240">
        <v>9781405465632</v>
      </c>
      <c r="M2286" s="196">
        <v>130</v>
      </c>
      <c r="N2286" s="196"/>
      <c r="O2286" s="196" t="s">
        <v>10881</v>
      </c>
      <c r="P2286" s="144">
        <v>633</v>
      </c>
      <c r="Q2286" s="148">
        <v>3.2699999999999996</v>
      </c>
      <c r="R2286" s="203">
        <v>1.2</v>
      </c>
      <c r="S2286" s="203">
        <v>4.47</v>
      </c>
      <c r="T2286" s="203"/>
      <c r="U2286" s="103"/>
      <c r="V2286" s="103"/>
      <c r="W2286" s="203"/>
      <c r="X2286" s="148"/>
      <c r="Y2286" s="148"/>
      <c r="Z2286" s="148"/>
      <c r="AA2286" s="148"/>
      <c r="AB2286" s="148"/>
      <c r="AC2286" s="148"/>
      <c r="AD2286" s="148"/>
      <c r="AH2286" s="147"/>
    </row>
    <row r="2287" spans="1:34" s="146" customFormat="1" x14ac:dyDescent="0.25">
      <c r="A2287" s="196">
        <v>1313</v>
      </c>
      <c r="B2287" s="196" t="s">
        <v>10882</v>
      </c>
      <c r="C2287" s="196" t="s">
        <v>10883</v>
      </c>
      <c r="D2287" s="196" t="s">
        <v>3524</v>
      </c>
      <c r="E2287" s="196" t="s">
        <v>1913</v>
      </c>
      <c r="F2287" s="196">
        <v>2001</v>
      </c>
      <c r="G2287" s="196"/>
      <c r="H2287" s="196" t="s">
        <v>4297</v>
      </c>
      <c r="I2287" s="141" t="s">
        <v>1879</v>
      </c>
      <c r="J2287" s="196"/>
      <c r="K2287" s="196" t="s">
        <v>1881</v>
      </c>
      <c r="L2287" s="240">
        <v>9783785538623</v>
      </c>
      <c r="M2287" s="196">
        <v>38</v>
      </c>
      <c r="N2287" s="196"/>
      <c r="O2287" s="196" t="s">
        <v>10884</v>
      </c>
      <c r="P2287" s="144">
        <v>277</v>
      </c>
      <c r="Q2287" s="148">
        <v>2.5200000000000005</v>
      </c>
      <c r="R2287" s="203">
        <v>1.2</v>
      </c>
      <c r="S2287" s="203">
        <v>3.72</v>
      </c>
      <c r="T2287" s="203"/>
      <c r="U2287" s="103"/>
      <c r="V2287" s="103"/>
      <c r="W2287" s="203"/>
      <c r="X2287" s="148"/>
      <c r="Y2287" s="148"/>
      <c r="Z2287" s="148"/>
      <c r="AA2287" s="148"/>
      <c r="AB2287" s="148"/>
      <c r="AC2287" s="148"/>
      <c r="AD2287" s="148"/>
      <c r="AH2287" s="147"/>
    </row>
    <row r="2288" spans="1:34" s="146" customFormat="1" x14ac:dyDescent="0.25">
      <c r="A2288" s="196">
        <v>1309</v>
      </c>
      <c r="B2288" s="196"/>
      <c r="C2288" s="196" t="s">
        <v>10885</v>
      </c>
      <c r="D2288" s="196" t="s">
        <v>10886</v>
      </c>
      <c r="E2288" s="196"/>
      <c r="F2288" s="196">
        <v>1993</v>
      </c>
      <c r="G2288" s="196"/>
      <c r="H2288" s="196" t="s">
        <v>2734</v>
      </c>
      <c r="I2288" s="141" t="s">
        <v>1879</v>
      </c>
      <c r="J2288" s="196"/>
      <c r="K2288" s="196" t="s">
        <v>1881</v>
      </c>
      <c r="L2288" s="240"/>
      <c r="M2288" s="196"/>
      <c r="N2288" s="196"/>
      <c r="O2288" s="196" t="s">
        <v>10887</v>
      </c>
      <c r="P2288" s="144">
        <v>216</v>
      </c>
      <c r="Q2288" s="148">
        <v>4.8</v>
      </c>
      <c r="R2288" s="203">
        <v>1.2</v>
      </c>
      <c r="S2288" s="203">
        <v>6</v>
      </c>
      <c r="T2288" s="203"/>
      <c r="U2288" s="103"/>
      <c r="V2288" s="103"/>
      <c r="W2288" s="203"/>
      <c r="X2288" s="148"/>
      <c r="Y2288" s="148"/>
      <c r="Z2288" s="148"/>
      <c r="AA2288" s="148"/>
      <c r="AB2288" s="148"/>
      <c r="AC2288" s="148"/>
      <c r="AD2288" s="148"/>
      <c r="AH2288" s="147"/>
    </row>
    <row r="2289" spans="1:34" s="146" customFormat="1" x14ac:dyDescent="0.25">
      <c r="A2289" s="196">
        <v>1309</v>
      </c>
      <c r="B2289" s="196"/>
      <c r="C2289" s="196" t="s">
        <v>10888</v>
      </c>
      <c r="D2289" s="196" t="s">
        <v>10886</v>
      </c>
      <c r="E2289" s="196"/>
      <c r="F2289" s="196">
        <v>1992</v>
      </c>
      <c r="G2289" s="196"/>
      <c r="H2289" s="196" t="s">
        <v>2734</v>
      </c>
      <c r="I2289" s="141" t="s">
        <v>1879</v>
      </c>
      <c r="J2289" s="196"/>
      <c r="K2289" s="196" t="s">
        <v>1881</v>
      </c>
      <c r="L2289" s="240"/>
      <c r="M2289" s="196"/>
      <c r="N2289" s="196"/>
      <c r="O2289" s="196" t="s">
        <v>10889</v>
      </c>
      <c r="P2289" s="144">
        <v>209</v>
      </c>
      <c r="Q2289" s="148">
        <v>2.7</v>
      </c>
      <c r="R2289" s="203">
        <v>1.2</v>
      </c>
      <c r="S2289" s="203">
        <v>3.9</v>
      </c>
      <c r="T2289" s="203"/>
      <c r="U2289" s="103"/>
      <c r="V2289" s="103"/>
      <c r="W2289" s="203"/>
      <c r="X2289" s="148"/>
      <c r="Y2289" s="148"/>
      <c r="Z2289" s="148"/>
      <c r="AA2289" s="148"/>
      <c r="AB2289" s="148"/>
      <c r="AC2289" s="148"/>
      <c r="AD2289" s="148"/>
      <c r="AH2289" s="147"/>
    </row>
    <row r="2290" spans="1:34" s="146" customFormat="1" x14ac:dyDescent="0.25">
      <c r="A2290" s="196">
        <v>16</v>
      </c>
      <c r="B2290" s="196" t="s">
        <v>4433</v>
      </c>
      <c r="C2290" s="196" t="s">
        <v>10890</v>
      </c>
      <c r="D2290" s="196" t="s">
        <v>4435</v>
      </c>
      <c r="E2290" s="196"/>
      <c r="F2290" s="196">
        <v>2005</v>
      </c>
      <c r="G2290" s="196"/>
      <c r="H2290" s="196" t="s">
        <v>2734</v>
      </c>
      <c r="I2290" s="141" t="s">
        <v>7817</v>
      </c>
      <c r="J2290" s="196"/>
      <c r="K2290" s="196" t="s">
        <v>1881</v>
      </c>
      <c r="L2290" s="240">
        <v>9783811225411</v>
      </c>
      <c r="M2290" s="196">
        <v>190</v>
      </c>
      <c r="N2290" s="196"/>
      <c r="O2290" s="196" t="s">
        <v>10891</v>
      </c>
      <c r="P2290" s="144">
        <v>309</v>
      </c>
      <c r="Q2290" s="148">
        <v>2.2599999999999998</v>
      </c>
      <c r="R2290" s="203">
        <v>1.2</v>
      </c>
      <c r="S2290" s="203">
        <v>3.46</v>
      </c>
      <c r="T2290" s="203"/>
      <c r="U2290" s="103"/>
      <c r="V2290" s="103"/>
      <c r="W2290" s="203"/>
      <c r="X2290" s="148"/>
      <c r="Y2290" s="148"/>
      <c r="Z2290" s="148"/>
      <c r="AA2290" s="148"/>
      <c r="AB2290" s="148"/>
      <c r="AC2290" s="148"/>
      <c r="AD2290" s="148"/>
      <c r="AH2290" s="147"/>
    </row>
    <row r="2291" spans="1:34" s="146" customFormat="1" x14ac:dyDescent="0.25">
      <c r="A2291" s="196">
        <v>1984</v>
      </c>
      <c r="B2291" s="196" t="s">
        <v>10892</v>
      </c>
      <c r="C2291" s="196" t="s">
        <v>10893</v>
      </c>
      <c r="D2291" s="196" t="s">
        <v>2054</v>
      </c>
      <c r="E2291" s="196"/>
      <c r="F2291" s="196">
        <v>2005</v>
      </c>
      <c r="G2291" s="196"/>
      <c r="H2291" s="196" t="s">
        <v>2734</v>
      </c>
      <c r="I2291" s="141" t="s">
        <v>7817</v>
      </c>
      <c r="J2291" s="196"/>
      <c r="K2291" s="196" t="s">
        <v>1881</v>
      </c>
      <c r="L2291" s="240">
        <v>4026411150642</v>
      </c>
      <c r="M2291" s="196">
        <v>44</v>
      </c>
      <c r="N2291" s="196"/>
      <c r="O2291" s="196" t="s">
        <v>10894</v>
      </c>
      <c r="P2291" s="144">
        <v>178</v>
      </c>
      <c r="Q2291" s="148">
        <v>1.9799999999999998</v>
      </c>
      <c r="R2291" s="203">
        <v>1.2</v>
      </c>
      <c r="S2291" s="203">
        <v>3.1799999999999997</v>
      </c>
      <c r="T2291" s="203"/>
      <c r="U2291" s="103"/>
      <c r="V2291" s="103"/>
      <c r="W2291" s="203"/>
      <c r="X2291" s="148"/>
      <c r="Y2291" s="148"/>
      <c r="Z2291" s="148"/>
      <c r="AA2291" s="148"/>
      <c r="AB2291" s="148"/>
      <c r="AC2291" s="148"/>
      <c r="AD2291" s="148"/>
      <c r="AH2291" s="147"/>
    </row>
    <row r="2292" spans="1:34" s="146" customFormat="1" x14ac:dyDescent="0.25">
      <c r="A2292" s="196">
        <v>1984</v>
      </c>
      <c r="B2292" s="196" t="s">
        <v>10895</v>
      </c>
      <c r="C2292" s="196" t="s">
        <v>10896</v>
      </c>
      <c r="D2292" s="196" t="s">
        <v>10897</v>
      </c>
      <c r="E2292" s="196"/>
      <c r="F2292" s="196"/>
      <c r="G2292" s="196"/>
      <c r="H2292" s="196" t="s">
        <v>1878</v>
      </c>
      <c r="I2292" s="141" t="s">
        <v>7817</v>
      </c>
      <c r="J2292" s="196"/>
      <c r="K2292" s="196" t="s">
        <v>1881</v>
      </c>
      <c r="L2292" s="240">
        <v>9783867751728</v>
      </c>
      <c r="M2292" s="196">
        <v>48</v>
      </c>
      <c r="N2292" s="196"/>
      <c r="O2292" s="196" t="s">
        <v>10898</v>
      </c>
      <c r="P2292" s="144">
        <v>102</v>
      </c>
      <c r="Q2292" s="148">
        <v>1.8800000000000001</v>
      </c>
      <c r="R2292" s="203">
        <v>1.2</v>
      </c>
      <c r="S2292" s="203">
        <v>3.08</v>
      </c>
      <c r="T2292" s="203"/>
      <c r="U2292" s="103"/>
      <c r="V2292" s="103"/>
      <c r="W2292" s="203"/>
      <c r="X2292" s="148"/>
      <c r="Y2292" s="148"/>
      <c r="Z2292" s="148"/>
      <c r="AA2292" s="148"/>
      <c r="AB2292" s="148"/>
      <c r="AC2292" s="148"/>
      <c r="AD2292" s="148"/>
      <c r="AH2292" s="147"/>
    </row>
    <row r="2293" spans="1:34" s="146" customFormat="1" x14ac:dyDescent="0.25">
      <c r="A2293" s="196">
        <v>735</v>
      </c>
      <c r="B2293" s="196" t="s">
        <v>2242</v>
      </c>
      <c r="C2293" s="196" t="s">
        <v>10899</v>
      </c>
      <c r="D2293" s="196" t="s">
        <v>2054</v>
      </c>
      <c r="E2293" s="196"/>
      <c r="F2293" s="196">
        <v>1995</v>
      </c>
      <c r="G2293" s="196"/>
      <c r="H2293" s="196" t="s">
        <v>2734</v>
      </c>
      <c r="I2293" s="141" t="s">
        <v>1879</v>
      </c>
      <c r="J2293" s="196"/>
      <c r="K2293" s="196" t="s">
        <v>1881</v>
      </c>
      <c r="L2293" s="240">
        <v>9783828967991</v>
      </c>
      <c r="M2293" s="196">
        <v>354</v>
      </c>
      <c r="N2293" s="196"/>
      <c r="O2293" s="196" t="s">
        <v>10900</v>
      </c>
      <c r="P2293" s="144">
        <v>516</v>
      </c>
      <c r="Q2293" s="148">
        <v>2.7</v>
      </c>
      <c r="R2293" s="203">
        <v>1.2</v>
      </c>
      <c r="S2293" s="203">
        <v>3.9</v>
      </c>
      <c r="T2293" s="203"/>
      <c r="U2293" s="103"/>
      <c r="V2293" s="103"/>
      <c r="W2293" s="203"/>
      <c r="X2293" s="148"/>
      <c r="Y2293" s="148"/>
      <c r="Z2293" s="148"/>
      <c r="AA2293" s="148"/>
      <c r="AB2293" s="148"/>
      <c r="AC2293" s="148"/>
      <c r="AD2293" s="148"/>
      <c r="AH2293" s="147"/>
    </row>
    <row r="2294" spans="1:34" s="146" customFormat="1" x14ac:dyDescent="0.25">
      <c r="A2294" s="196">
        <v>1326</v>
      </c>
      <c r="B2294" s="196" t="s">
        <v>10901</v>
      </c>
      <c r="C2294" s="196" t="s">
        <v>10902</v>
      </c>
      <c r="D2294" s="196" t="s">
        <v>10903</v>
      </c>
      <c r="E2294" s="196"/>
      <c r="F2294" s="196">
        <v>1990</v>
      </c>
      <c r="G2294" s="196"/>
      <c r="H2294" s="196" t="s">
        <v>1878</v>
      </c>
      <c r="I2294" s="141" t="s">
        <v>1914</v>
      </c>
      <c r="J2294" s="196"/>
      <c r="K2294" s="196" t="s">
        <v>1881</v>
      </c>
      <c r="L2294" s="240">
        <v>9783492111775</v>
      </c>
      <c r="M2294" s="196">
        <v>192</v>
      </c>
      <c r="N2294" s="196"/>
      <c r="O2294" s="196" t="s">
        <v>10904</v>
      </c>
      <c r="P2294" s="144">
        <v>168</v>
      </c>
      <c r="Q2294" s="148">
        <v>2.29</v>
      </c>
      <c r="R2294" s="203">
        <v>1.2</v>
      </c>
      <c r="S2294" s="203">
        <v>3.49</v>
      </c>
      <c r="T2294" s="203"/>
      <c r="U2294" s="103"/>
      <c r="V2294" s="103"/>
      <c r="W2294" s="203"/>
      <c r="X2294" s="148"/>
      <c r="Y2294" s="148"/>
      <c r="Z2294" s="148"/>
      <c r="AA2294" s="148"/>
      <c r="AB2294" s="148"/>
      <c r="AC2294" s="148"/>
      <c r="AD2294" s="148"/>
      <c r="AH2294" s="147"/>
    </row>
    <row r="2295" spans="1:34" s="146" customFormat="1" x14ac:dyDescent="0.25">
      <c r="A2295" s="196">
        <v>2522</v>
      </c>
      <c r="B2295" s="196" t="s">
        <v>10905</v>
      </c>
      <c r="C2295" s="196" t="s">
        <v>10906</v>
      </c>
      <c r="D2295" s="196" t="s">
        <v>2309</v>
      </c>
      <c r="E2295" s="196"/>
      <c r="F2295" s="196">
        <v>1999</v>
      </c>
      <c r="G2295" s="196"/>
      <c r="H2295" s="196" t="s">
        <v>1878</v>
      </c>
      <c r="I2295" s="141" t="s">
        <v>1914</v>
      </c>
      <c r="J2295" s="196"/>
      <c r="K2295" s="196" t="s">
        <v>1881</v>
      </c>
      <c r="L2295" s="240">
        <v>9783548246598</v>
      </c>
      <c r="M2295" s="196">
        <v>512</v>
      </c>
      <c r="N2295" s="196"/>
      <c r="O2295" s="196" t="s">
        <v>10907</v>
      </c>
      <c r="P2295" s="144">
        <v>298</v>
      </c>
      <c r="Q2295" s="148">
        <v>1.6900000000000002</v>
      </c>
      <c r="R2295" s="203">
        <v>1.2</v>
      </c>
      <c r="S2295" s="203">
        <v>2.89</v>
      </c>
      <c r="T2295" s="203"/>
      <c r="U2295" s="103"/>
      <c r="V2295" s="103"/>
      <c r="W2295" s="203"/>
      <c r="X2295" s="148"/>
      <c r="Y2295" s="148"/>
      <c r="Z2295" s="148"/>
      <c r="AA2295" s="148"/>
      <c r="AB2295" s="148"/>
      <c r="AC2295" s="148"/>
      <c r="AD2295" s="148"/>
      <c r="AH2295" s="147"/>
    </row>
    <row r="2296" spans="1:34" s="146" customFormat="1" x14ac:dyDescent="0.25">
      <c r="A2296" s="196">
        <v>704</v>
      </c>
      <c r="B2296" s="196" t="s">
        <v>10908</v>
      </c>
      <c r="C2296" s="196" t="s">
        <v>10909</v>
      </c>
      <c r="D2296" s="196" t="s">
        <v>3030</v>
      </c>
      <c r="E2296" s="196"/>
      <c r="F2296" s="196">
        <v>1984</v>
      </c>
      <c r="G2296" s="196"/>
      <c r="H2296" s="196" t="s">
        <v>2734</v>
      </c>
      <c r="I2296" s="141" t="s">
        <v>1879</v>
      </c>
      <c r="J2296" s="196"/>
      <c r="K2296" s="196" t="s">
        <v>1881</v>
      </c>
      <c r="L2296" s="240">
        <v>3720512835</v>
      </c>
      <c r="M2296" s="196">
        <v>206</v>
      </c>
      <c r="N2296" s="196"/>
      <c r="O2296" s="196" t="s">
        <v>10910</v>
      </c>
      <c r="P2296" s="144">
        <v>418</v>
      </c>
      <c r="Q2296" s="148">
        <v>1.6900000000000002</v>
      </c>
      <c r="R2296" s="203">
        <v>1.2</v>
      </c>
      <c r="S2296" s="203">
        <v>2.89</v>
      </c>
      <c r="T2296" s="203"/>
      <c r="U2296" s="103"/>
      <c r="V2296" s="103"/>
      <c r="W2296" s="203"/>
      <c r="X2296" s="148"/>
      <c r="Y2296" s="148"/>
      <c r="Z2296" s="148"/>
      <c r="AA2296" s="148"/>
      <c r="AB2296" s="148"/>
      <c r="AC2296" s="148"/>
      <c r="AD2296" s="148"/>
      <c r="AH2296" s="147"/>
    </row>
    <row r="2297" spans="1:34" s="146" customFormat="1" x14ac:dyDescent="0.25">
      <c r="A2297" s="196">
        <v>704</v>
      </c>
      <c r="B2297" s="196" t="s">
        <v>10911</v>
      </c>
      <c r="C2297" s="196" t="s">
        <v>10912</v>
      </c>
      <c r="D2297" s="196" t="s">
        <v>10913</v>
      </c>
      <c r="E2297" s="196"/>
      <c r="F2297" s="196">
        <v>1963</v>
      </c>
      <c r="G2297" s="196"/>
      <c r="H2297" s="196" t="s">
        <v>2734</v>
      </c>
      <c r="I2297" s="141" t="s">
        <v>7527</v>
      </c>
      <c r="J2297" s="196" t="s">
        <v>10914</v>
      </c>
      <c r="K2297" s="196" t="s">
        <v>1881</v>
      </c>
      <c r="L2297" s="240"/>
      <c r="M2297" s="196">
        <v>154</v>
      </c>
      <c r="N2297" s="196"/>
      <c r="O2297" s="196" t="s">
        <v>10915</v>
      </c>
      <c r="P2297" s="144">
        <v>209</v>
      </c>
      <c r="Q2297" s="148">
        <v>1.8</v>
      </c>
      <c r="R2297" s="203">
        <v>1.2</v>
      </c>
      <c r="S2297" s="203">
        <v>3</v>
      </c>
      <c r="T2297" s="203"/>
      <c r="U2297" s="103"/>
      <c r="V2297" s="103"/>
      <c r="W2297" s="203"/>
      <c r="X2297" s="148"/>
      <c r="Y2297" s="148"/>
      <c r="Z2297" s="148"/>
      <c r="AA2297" s="148"/>
      <c r="AB2297" s="148"/>
      <c r="AC2297" s="148"/>
      <c r="AD2297" s="148"/>
      <c r="AH2297" s="147"/>
    </row>
    <row r="2298" spans="1:34" s="146" customFormat="1" x14ac:dyDescent="0.25">
      <c r="A2298" s="196">
        <v>704</v>
      </c>
      <c r="B2298" s="196" t="s">
        <v>10916</v>
      </c>
      <c r="C2298" s="196" t="s">
        <v>10917</v>
      </c>
      <c r="D2298" s="196" t="s">
        <v>2300</v>
      </c>
      <c r="E2298" s="196"/>
      <c r="F2298" s="196">
        <v>1989</v>
      </c>
      <c r="G2298" s="196"/>
      <c r="H2298" s="196" t="s">
        <v>1878</v>
      </c>
      <c r="I2298" s="141" t="s">
        <v>1914</v>
      </c>
      <c r="J2298" s="196"/>
      <c r="K2298" s="196" t="s">
        <v>1881</v>
      </c>
      <c r="L2298" s="240">
        <v>9783499122880</v>
      </c>
      <c r="M2298" s="196">
        <v>126</v>
      </c>
      <c r="N2298" s="196"/>
      <c r="O2298" s="196" t="s">
        <v>10918</v>
      </c>
      <c r="P2298" s="144">
        <v>85</v>
      </c>
      <c r="Q2298" s="148">
        <v>2.4000000000000004</v>
      </c>
      <c r="R2298" s="203">
        <v>1.2</v>
      </c>
      <c r="S2298" s="203">
        <v>3.6</v>
      </c>
      <c r="T2298" s="203"/>
      <c r="U2298" s="103"/>
      <c r="V2298" s="103"/>
      <c r="W2298" s="203"/>
      <c r="X2298" s="148"/>
      <c r="Y2298" s="148"/>
      <c r="Z2298" s="148"/>
      <c r="AA2298" s="148"/>
      <c r="AB2298" s="148"/>
      <c r="AC2298" s="148"/>
      <c r="AD2298" s="148"/>
      <c r="AH2298" s="147"/>
    </row>
    <row r="2299" spans="1:34" s="146" customFormat="1" x14ac:dyDescent="0.25">
      <c r="A2299" s="196">
        <v>1339</v>
      </c>
      <c r="B2299" s="196" t="s">
        <v>10919</v>
      </c>
      <c r="C2299" s="196" t="s">
        <v>10920</v>
      </c>
      <c r="D2299" s="196" t="s">
        <v>4825</v>
      </c>
      <c r="E2299" s="196"/>
      <c r="F2299" s="196">
        <v>2000</v>
      </c>
      <c r="G2299" s="196"/>
      <c r="H2299" s="196" t="s">
        <v>1878</v>
      </c>
      <c r="I2299" s="141" t="s">
        <v>7527</v>
      </c>
      <c r="J2299" s="196"/>
      <c r="K2299" s="196" t="s">
        <v>1881</v>
      </c>
      <c r="L2299" s="240">
        <v>9783310005941</v>
      </c>
      <c r="M2299" s="196">
        <v>136</v>
      </c>
      <c r="N2299" s="196"/>
      <c r="O2299" s="196" t="s">
        <v>10921</v>
      </c>
      <c r="P2299" s="144">
        <v>348</v>
      </c>
      <c r="Q2299" s="148">
        <v>1.6900000000000002</v>
      </c>
      <c r="R2299" s="203">
        <v>1.2</v>
      </c>
      <c r="S2299" s="203">
        <v>2.89</v>
      </c>
      <c r="T2299" s="203"/>
      <c r="U2299" s="103"/>
      <c r="V2299" s="103"/>
      <c r="W2299" s="203"/>
      <c r="X2299" s="148"/>
      <c r="Y2299" s="148"/>
      <c r="Z2299" s="148"/>
      <c r="AA2299" s="148"/>
      <c r="AB2299" s="148"/>
      <c r="AC2299" s="148"/>
      <c r="AD2299" s="148"/>
      <c r="AH2299" s="147"/>
    </row>
    <row r="2300" spans="1:34" s="146" customFormat="1" x14ac:dyDescent="0.25">
      <c r="A2300" s="196">
        <v>106</v>
      </c>
      <c r="B2300" s="196" t="s">
        <v>9896</v>
      </c>
      <c r="C2300" s="196" t="s">
        <v>10922</v>
      </c>
      <c r="D2300" s="196" t="s">
        <v>2151</v>
      </c>
      <c r="E2300" s="196"/>
      <c r="F2300" s="196">
        <v>1989</v>
      </c>
      <c r="G2300" s="196"/>
      <c r="H2300" s="196" t="s">
        <v>1878</v>
      </c>
      <c r="I2300" s="141" t="s">
        <v>1914</v>
      </c>
      <c r="J2300" s="196"/>
      <c r="K2300" s="196" t="s">
        <v>1881</v>
      </c>
      <c r="L2300" s="240">
        <v>9783811882348</v>
      </c>
      <c r="M2300" s="196">
        <v>144</v>
      </c>
      <c r="N2300" s="196"/>
      <c r="O2300" s="196" t="s">
        <v>10923</v>
      </c>
      <c r="P2300" s="144">
        <v>109</v>
      </c>
      <c r="Q2300" s="148">
        <v>1.7100000000000002</v>
      </c>
      <c r="R2300" s="203">
        <v>1.2</v>
      </c>
      <c r="S2300" s="203">
        <v>2.91</v>
      </c>
      <c r="T2300" s="203"/>
      <c r="U2300" s="103"/>
      <c r="V2300" s="103"/>
      <c r="W2300" s="203"/>
      <c r="X2300" s="148"/>
      <c r="Y2300" s="148"/>
      <c r="Z2300" s="148"/>
      <c r="AA2300" s="148"/>
      <c r="AB2300" s="148"/>
      <c r="AC2300" s="148"/>
      <c r="AD2300" s="148"/>
      <c r="AH2300" s="147"/>
    </row>
    <row r="2301" spans="1:34" s="146" customFormat="1" x14ac:dyDescent="0.25">
      <c r="A2301" s="196">
        <v>548</v>
      </c>
      <c r="B2301" s="196" t="s">
        <v>10924</v>
      </c>
      <c r="C2301" s="196" t="s">
        <v>10925</v>
      </c>
      <c r="D2301" s="196" t="s">
        <v>10926</v>
      </c>
      <c r="E2301" s="196"/>
      <c r="F2301" s="196">
        <v>1943</v>
      </c>
      <c r="G2301" s="196"/>
      <c r="H2301" s="196" t="s">
        <v>2734</v>
      </c>
      <c r="I2301" s="141" t="s">
        <v>8132</v>
      </c>
      <c r="J2301" s="196" t="s">
        <v>10914</v>
      </c>
      <c r="K2301" s="196" t="s">
        <v>1881</v>
      </c>
      <c r="L2301" s="240"/>
      <c r="M2301" s="196">
        <v>418</v>
      </c>
      <c r="N2301" s="196"/>
      <c r="O2301" s="196" t="s">
        <v>10927</v>
      </c>
      <c r="P2301" s="144">
        <v>615</v>
      </c>
      <c r="Q2301" s="148">
        <v>5.5</v>
      </c>
      <c r="R2301" s="203">
        <v>1.2</v>
      </c>
      <c r="S2301" s="203">
        <v>6.7</v>
      </c>
      <c r="T2301" s="203"/>
      <c r="U2301" s="103"/>
      <c r="V2301" s="103"/>
      <c r="W2301" s="203"/>
      <c r="X2301" s="148"/>
      <c r="Y2301" s="148"/>
      <c r="Z2301" s="148"/>
      <c r="AA2301" s="148"/>
      <c r="AB2301" s="148"/>
      <c r="AC2301" s="148"/>
      <c r="AD2301" s="148"/>
      <c r="AH2301" s="147"/>
    </row>
    <row r="2302" spans="1:34" s="146" customFormat="1" x14ac:dyDescent="0.25">
      <c r="A2302" s="196">
        <v>704</v>
      </c>
      <c r="B2302" s="196" t="s">
        <v>10928</v>
      </c>
      <c r="C2302" s="196" t="s">
        <v>10929</v>
      </c>
      <c r="D2302" s="196" t="s">
        <v>10930</v>
      </c>
      <c r="E2302" s="196"/>
      <c r="F2302" s="196">
        <v>1959</v>
      </c>
      <c r="G2302" s="196"/>
      <c r="H2302" s="196" t="s">
        <v>2734</v>
      </c>
      <c r="I2302" s="141" t="s">
        <v>8132</v>
      </c>
      <c r="J2302" s="196" t="s">
        <v>10914</v>
      </c>
      <c r="K2302" s="196" t="s">
        <v>1881</v>
      </c>
      <c r="L2302" s="240"/>
      <c r="M2302" s="196">
        <v>198</v>
      </c>
      <c r="N2302" s="196"/>
      <c r="O2302" s="196" t="s">
        <v>10931</v>
      </c>
      <c r="P2302" s="144">
        <v>239</v>
      </c>
      <c r="Q2302" s="148">
        <v>3.0999999999999996</v>
      </c>
      <c r="R2302" s="203">
        <v>1.2</v>
      </c>
      <c r="S2302" s="203">
        <v>4.3</v>
      </c>
      <c r="T2302" s="203"/>
      <c r="U2302" s="103"/>
      <c r="V2302" s="103"/>
      <c r="W2302" s="203"/>
      <c r="X2302" s="148"/>
      <c r="Y2302" s="148"/>
      <c r="Z2302" s="148"/>
      <c r="AA2302" s="148"/>
      <c r="AB2302" s="148"/>
      <c r="AC2302" s="148"/>
      <c r="AD2302" s="148"/>
      <c r="AH2302" s="147"/>
    </row>
    <row r="2303" spans="1:34" s="146" customFormat="1" x14ac:dyDescent="0.25">
      <c r="A2303" s="196">
        <v>769</v>
      </c>
      <c r="B2303" s="196"/>
      <c r="C2303" s="196" t="s">
        <v>10932</v>
      </c>
      <c r="D2303" s="196"/>
      <c r="E2303" s="196"/>
      <c r="F2303" s="196"/>
      <c r="G2303" s="196"/>
      <c r="H2303" s="196" t="s">
        <v>2734</v>
      </c>
      <c r="I2303" s="141" t="s">
        <v>8132</v>
      </c>
      <c r="J2303" s="196"/>
      <c r="K2303" s="196" t="s">
        <v>10933</v>
      </c>
      <c r="L2303" s="240"/>
      <c r="M2303" s="196"/>
      <c r="N2303" s="196"/>
      <c r="O2303" s="196" t="s">
        <v>10934</v>
      </c>
      <c r="P2303" s="144">
        <v>1340</v>
      </c>
      <c r="Q2303" s="148">
        <v>4.29</v>
      </c>
      <c r="R2303" s="203">
        <v>1.2</v>
      </c>
      <c r="S2303" s="203">
        <v>5.49</v>
      </c>
      <c r="T2303" s="203"/>
      <c r="U2303" s="103"/>
      <c r="V2303" s="103"/>
      <c r="W2303" s="203"/>
      <c r="X2303" s="148"/>
      <c r="Y2303" s="148"/>
      <c r="Z2303" s="148"/>
      <c r="AA2303" s="148"/>
      <c r="AB2303" s="148"/>
      <c r="AC2303" s="148"/>
      <c r="AD2303" s="148"/>
      <c r="AH2303" s="147"/>
    </row>
    <row r="2304" spans="1:34" s="146" customFormat="1" x14ac:dyDescent="0.25">
      <c r="A2304" s="196">
        <v>1365</v>
      </c>
      <c r="B2304" s="196" t="s">
        <v>10935</v>
      </c>
      <c r="C2304" s="196" t="s">
        <v>10936</v>
      </c>
      <c r="D2304" s="196" t="s">
        <v>2156</v>
      </c>
      <c r="E2304" s="196"/>
      <c r="F2304" s="196">
        <v>1979</v>
      </c>
      <c r="G2304" s="196"/>
      <c r="H2304" s="196" t="s">
        <v>1878</v>
      </c>
      <c r="I2304" s="141" t="s">
        <v>1914</v>
      </c>
      <c r="J2304" s="196" t="s">
        <v>10732</v>
      </c>
      <c r="K2304" s="196" t="s">
        <v>1881</v>
      </c>
      <c r="L2304" s="240"/>
      <c r="M2304" s="196">
        <v>180</v>
      </c>
      <c r="N2304" s="196"/>
      <c r="O2304" s="196" t="s">
        <v>10937</v>
      </c>
      <c r="P2304" s="144">
        <v>150</v>
      </c>
      <c r="Q2304" s="148">
        <v>2.29</v>
      </c>
      <c r="R2304" s="203">
        <v>1.2</v>
      </c>
      <c r="S2304" s="203">
        <v>3.49</v>
      </c>
      <c r="T2304" s="203"/>
      <c r="U2304" s="103"/>
      <c r="V2304" s="103"/>
      <c r="W2304" s="203"/>
      <c r="X2304" s="148"/>
      <c r="Y2304" s="148"/>
      <c r="Z2304" s="148"/>
      <c r="AA2304" s="148"/>
      <c r="AB2304" s="148"/>
      <c r="AC2304" s="148"/>
      <c r="AD2304" s="148"/>
      <c r="AH2304" s="147"/>
    </row>
    <row r="2305" spans="1:34" s="146" customFormat="1" x14ac:dyDescent="0.25">
      <c r="A2305" s="196">
        <v>593</v>
      </c>
      <c r="B2305" s="196"/>
      <c r="C2305" s="196" t="s">
        <v>10938</v>
      </c>
      <c r="D2305" s="196" t="s">
        <v>2679</v>
      </c>
      <c r="E2305" s="196"/>
      <c r="F2305" s="196"/>
      <c r="G2305" s="196"/>
      <c r="H2305" s="196" t="s">
        <v>1878</v>
      </c>
      <c r="I2305" s="141" t="s">
        <v>7527</v>
      </c>
      <c r="J2305" s="196"/>
      <c r="K2305" s="196" t="s">
        <v>1881</v>
      </c>
      <c r="L2305" s="240"/>
      <c r="M2305" s="196">
        <v>192</v>
      </c>
      <c r="N2305" s="196"/>
      <c r="O2305" s="196" t="s">
        <v>10939</v>
      </c>
      <c r="P2305" s="144">
        <v>251</v>
      </c>
      <c r="Q2305" s="148">
        <v>2.5</v>
      </c>
      <c r="R2305" s="203">
        <v>1.2</v>
      </c>
      <c r="S2305" s="203">
        <v>3.7</v>
      </c>
      <c r="T2305" s="203"/>
      <c r="U2305" s="103"/>
      <c r="V2305" s="103"/>
      <c r="W2305" s="203"/>
      <c r="X2305" s="148"/>
      <c r="Y2305" s="148"/>
      <c r="Z2305" s="148"/>
      <c r="AA2305" s="148"/>
      <c r="AB2305" s="148"/>
      <c r="AC2305" s="148"/>
      <c r="AD2305" s="148"/>
      <c r="AH2305" s="147"/>
    </row>
    <row r="2306" spans="1:34" s="146" customFormat="1" x14ac:dyDescent="0.25">
      <c r="A2306" s="196">
        <v>704</v>
      </c>
      <c r="B2306" s="196"/>
      <c r="C2306" s="196" t="s">
        <v>10940</v>
      </c>
      <c r="D2306" s="196" t="s">
        <v>10941</v>
      </c>
      <c r="E2306" s="196"/>
      <c r="F2306" s="196">
        <v>1960</v>
      </c>
      <c r="G2306" s="196"/>
      <c r="H2306" s="196" t="s">
        <v>2734</v>
      </c>
      <c r="I2306" s="141" t="s">
        <v>8132</v>
      </c>
      <c r="J2306" s="196"/>
      <c r="K2306" s="196" t="s">
        <v>1881</v>
      </c>
      <c r="L2306" s="240"/>
      <c r="M2306" s="196">
        <v>130</v>
      </c>
      <c r="N2306" s="196"/>
      <c r="O2306" s="196" t="s">
        <v>10942</v>
      </c>
      <c r="P2306" s="144">
        <v>145</v>
      </c>
      <c r="Q2306" s="148">
        <v>7.1000000000000005</v>
      </c>
      <c r="R2306" s="203">
        <v>1.2</v>
      </c>
      <c r="S2306" s="203">
        <v>8.3000000000000007</v>
      </c>
      <c r="T2306" s="203"/>
      <c r="U2306" s="103"/>
      <c r="V2306" s="103"/>
      <c r="W2306" s="203"/>
      <c r="X2306" s="148"/>
      <c r="Y2306" s="148"/>
      <c r="Z2306" s="148"/>
      <c r="AA2306" s="148"/>
      <c r="AB2306" s="148"/>
      <c r="AC2306" s="148"/>
      <c r="AD2306" s="148"/>
      <c r="AH2306" s="147"/>
    </row>
    <row r="2307" spans="1:34" s="146" customFormat="1" x14ac:dyDescent="0.25">
      <c r="A2307" s="196">
        <v>704</v>
      </c>
      <c r="B2307" s="196" t="s">
        <v>10943</v>
      </c>
      <c r="C2307" s="196" t="s">
        <v>10944</v>
      </c>
      <c r="D2307" s="196" t="s">
        <v>2309</v>
      </c>
      <c r="E2307" s="196" t="s">
        <v>1913</v>
      </c>
      <c r="F2307" s="196">
        <v>2001</v>
      </c>
      <c r="G2307" s="196"/>
      <c r="H2307" s="196" t="s">
        <v>1878</v>
      </c>
      <c r="I2307" s="141" t="s">
        <v>1914</v>
      </c>
      <c r="J2307" s="196"/>
      <c r="K2307" s="196" t="s">
        <v>1881</v>
      </c>
      <c r="L2307" s="240">
        <v>9783548362601</v>
      </c>
      <c r="M2307" s="196">
        <v>240</v>
      </c>
      <c r="N2307" s="196"/>
      <c r="O2307" s="196" t="s">
        <v>10945</v>
      </c>
      <c r="P2307" s="144">
        <v>162</v>
      </c>
      <c r="Q2307" s="148">
        <v>3.0300000000000002</v>
      </c>
      <c r="R2307" s="203">
        <v>1.2</v>
      </c>
      <c r="S2307" s="203">
        <v>4.2300000000000004</v>
      </c>
      <c r="T2307" s="203"/>
      <c r="U2307" s="103"/>
      <c r="V2307" s="103"/>
      <c r="W2307" s="203"/>
      <c r="X2307" s="148"/>
      <c r="Y2307" s="148"/>
      <c r="Z2307" s="148"/>
      <c r="AA2307" s="148"/>
      <c r="AB2307" s="148"/>
      <c r="AC2307" s="148"/>
      <c r="AD2307" s="148"/>
      <c r="AH2307" s="147"/>
    </row>
    <row r="2308" spans="1:34" s="146" customFormat="1" x14ac:dyDescent="0.25">
      <c r="A2308" s="196">
        <v>632</v>
      </c>
      <c r="B2308" s="196" t="s">
        <v>10946</v>
      </c>
      <c r="C2308" s="196" t="s">
        <v>10947</v>
      </c>
      <c r="D2308" s="196" t="s">
        <v>10948</v>
      </c>
      <c r="E2308" s="196"/>
      <c r="F2308" s="196">
        <v>1959</v>
      </c>
      <c r="G2308" s="196"/>
      <c r="H2308" s="196" t="s">
        <v>2734</v>
      </c>
      <c r="I2308" s="141" t="s">
        <v>8132</v>
      </c>
      <c r="J2308" s="196"/>
      <c r="K2308" s="196" t="s">
        <v>1881</v>
      </c>
      <c r="L2308" s="240"/>
      <c r="M2308" s="196">
        <v>326</v>
      </c>
      <c r="N2308" s="196"/>
      <c r="O2308" s="196" t="s">
        <v>10949</v>
      </c>
      <c r="P2308" s="144">
        <v>404</v>
      </c>
      <c r="Q2308" s="148">
        <v>8.4</v>
      </c>
      <c r="R2308" s="203">
        <v>1.2</v>
      </c>
      <c r="S2308" s="203">
        <v>9.6</v>
      </c>
      <c r="T2308" s="203"/>
      <c r="U2308" s="103"/>
      <c r="V2308" s="103"/>
      <c r="W2308" s="203"/>
      <c r="X2308" s="148"/>
      <c r="Y2308" s="148"/>
      <c r="Z2308" s="148"/>
      <c r="AA2308" s="148"/>
      <c r="AB2308" s="148"/>
      <c r="AC2308" s="148"/>
      <c r="AD2308" s="148"/>
      <c r="AH2308" s="147"/>
    </row>
    <row r="2309" spans="1:34" s="146" customFormat="1" x14ac:dyDescent="0.25">
      <c r="A2309" s="196">
        <v>8</v>
      </c>
      <c r="B2309" s="196" t="s">
        <v>10950</v>
      </c>
      <c r="C2309" s="196" t="s">
        <v>10951</v>
      </c>
      <c r="D2309" s="196" t="s">
        <v>10952</v>
      </c>
      <c r="E2309" s="196"/>
      <c r="F2309" s="196">
        <v>1987</v>
      </c>
      <c r="G2309" s="196"/>
      <c r="H2309" s="196" t="s">
        <v>2734</v>
      </c>
      <c r="I2309" s="141" t="s">
        <v>7527</v>
      </c>
      <c r="J2309" s="196"/>
      <c r="K2309" s="196" t="s">
        <v>1881</v>
      </c>
      <c r="L2309" s="240">
        <v>3923251149</v>
      </c>
      <c r="M2309" s="196">
        <v>242</v>
      </c>
      <c r="N2309" s="196"/>
      <c r="O2309" s="196" t="s">
        <v>10953</v>
      </c>
      <c r="P2309" s="144">
        <v>724</v>
      </c>
      <c r="Q2309" s="148">
        <v>8.7800000000000011</v>
      </c>
      <c r="R2309" s="203">
        <v>1.2</v>
      </c>
      <c r="S2309" s="203">
        <v>9.98</v>
      </c>
      <c r="T2309" s="203"/>
      <c r="U2309" s="103"/>
      <c r="V2309" s="103"/>
      <c r="W2309" s="203"/>
      <c r="X2309" s="148"/>
      <c r="Y2309" s="148"/>
      <c r="Z2309" s="148"/>
      <c r="AA2309" s="148"/>
      <c r="AB2309" s="148"/>
      <c r="AC2309" s="148"/>
      <c r="AD2309" s="148"/>
      <c r="AH2309" s="147"/>
    </row>
    <row r="2310" spans="1:34" s="146" customFormat="1" x14ac:dyDescent="0.25">
      <c r="A2310" s="196">
        <v>8</v>
      </c>
      <c r="B2310" s="196" t="s">
        <v>10954</v>
      </c>
      <c r="C2310" s="196" t="s">
        <v>10955</v>
      </c>
      <c r="D2310" s="196" t="s">
        <v>10956</v>
      </c>
      <c r="E2310" s="196"/>
      <c r="F2310" s="196"/>
      <c r="G2310" s="196"/>
      <c r="H2310" s="196" t="s">
        <v>1878</v>
      </c>
      <c r="I2310" s="141" t="s">
        <v>7527</v>
      </c>
      <c r="J2310" s="196"/>
      <c r="K2310" s="196" t="s">
        <v>1881</v>
      </c>
      <c r="L2310" s="240"/>
      <c r="M2310" s="196">
        <v>128</v>
      </c>
      <c r="N2310" s="196"/>
      <c r="O2310" s="196" t="s">
        <v>10957</v>
      </c>
      <c r="P2310" s="144">
        <v>302</v>
      </c>
      <c r="Q2310" s="148">
        <v>3.5999999999999996</v>
      </c>
      <c r="R2310" s="203">
        <v>1.2</v>
      </c>
      <c r="S2310" s="203">
        <v>4.8</v>
      </c>
      <c r="T2310" s="203"/>
      <c r="U2310" s="103"/>
      <c r="V2310" s="103"/>
      <c r="W2310" s="203"/>
      <c r="X2310" s="148"/>
      <c r="Y2310" s="148"/>
      <c r="Z2310" s="148"/>
      <c r="AA2310" s="148"/>
      <c r="AB2310" s="148"/>
      <c r="AC2310" s="148"/>
      <c r="AD2310" s="148"/>
      <c r="AH2310" s="147"/>
    </row>
    <row r="2311" spans="1:34" s="146" customFormat="1" x14ac:dyDescent="0.25">
      <c r="A2311" s="196">
        <v>704</v>
      </c>
      <c r="B2311" s="196" t="s">
        <v>10958</v>
      </c>
      <c r="C2311" s="196" t="s">
        <v>10959</v>
      </c>
      <c r="D2311" s="196" t="s">
        <v>10960</v>
      </c>
      <c r="E2311" s="196"/>
      <c r="F2311" s="196">
        <v>1974</v>
      </c>
      <c r="G2311" s="196"/>
      <c r="H2311" s="196" t="s">
        <v>2734</v>
      </c>
      <c r="I2311" s="141" t="s">
        <v>7527</v>
      </c>
      <c r="J2311" s="196"/>
      <c r="K2311" s="196" t="s">
        <v>1881</v>
      </c>
      <c r="L2311" s="240"/>
      <c r="M2311" s="196">
        <v>338</v>
      </c>
      <c r="N2311" s="196"/>
      <c r="O2311" s="196" t="s">
        <v>10961</v>
      </c>
      <c r="P2311" s="144">
        <v>431</v>
      </c>
      <c r="Q2311" s="148">
        <v>5.85</v>
      </c>
      <c r="R2311" s="203">
        <v>1.2</v>
      </c>
      <c r="S2311" s="203">
        <v>7.05</v>
      </c>
      <c r="T2311" s="203"/>
      <c r="U2311" s="103"/>
      <c r="V2311" s="103"/>
      <c r="W2311" s="203"/>
      <c r="X2311" s="148"/>
      <c r="Y2311" s="148"/>
      <c r="Z2311" s="148"/>
      <c r="AA2311" s="148"/>
      <c r="AB2311" s="148"/>
      <c r="AC2311" s="148"/>
      <c r="AD2311" s="148"/>
      <c r="AH2311" s="147"/>
    </row>
    <row r="2312" spans="1:34" s="146" customFormat="1" x14ac:dyDescent="0.25">
      <c r="A2312" s="196">
        <v>593</v>
      </c>
      <c r="B2312" s="196"/>
      <c r="C2312" s="196" t="s">
        <v>10962</v>
      </c>
      <c r="D2312" s="196" t="s">
        <v>10963</v>
      </c>
      <c r="E2312" s="196" t="s">
        <v>2014</v>
      </c>
      <c r="F2312" s="196">
        <v>1987</v>
      </c>
      <c r="G2312" s="196"/>
      <c r="H2312" s="196" t="s">
        <v>2734</v>
      </c>
      <c r="I2312" s="141" t="s">
        <v>7527</v>
      </c>
      <c r="J2312" s="196"/>
      <c r="K2312" s="196" t="s">
        <v>1881</v>
      </c>
      <c r="L2312" s="240"/>
      <c r="M2312" s="196">
        <v>290</v>
      </c>
      <c r="N2312" s="196"/>
      <c r="O2312" s="196" t="s">
        <v>10964</v>
      </c>
      <c r="P2312" s="144">
        <v>525</v>
      </c>
      <c r="Q2312" s="148">
        <v>3.3</v>
      </c>
      <c r="R2312" s="203">
        <v>1.2</v>
      </c>
      <c r="S2312" s="203">
        <v>4.5</v>
      </c>
      <c r="T2312" s="203"/>
      <c r="U2312" s="103"/>
      <c r="V2312" s="103"/>
      <c r="W2312" s="203"/>
      <c r="X2312" s="148"/>
      <c r="Y2312" s="148"/>
      <c r="Z2312" s="148"/>
      <c r="AA2312" s="148"/>
      <c r="AB2312" s="148"/>
      <c r="AC2312" s="148"/>
      <c r="AD2312" s="148"/>
      <c r="AH2312" s="147"/>
    </row>
    <row r="2313" spans="1:34" s="146" customFormat="1" x14ac:dyDescent="0.25">
      <c r="A2313" s="196">
        <v>2522</v>
      </c>
      <c r="B2313" s="196" t="s">
        <v>1891</v>
      </c>
      <c r="C2313" s="196" t="s">
        <v>10965</v>
      </c>
      <c r="D2313" s="196" t="s">
        <v>1876</v>
      </c>
      <c r="E2313" s="196"/>
      <c r="F2313" s="196">
        <v>2005</v>
      </c>
      <c r="G2313" s="196"/>
      <c r="H2313" s="196" t="s">
        <v>1878</v>
      </c>
      <c r="I2313" s="141" t="s">
        <v>7527</v>
      </c>
      <c r="J2313" s="196"/>
      <c r="K2313" s="196" t="s">
        <v>1881</v>
      </c>
      <c r="L2313" s="240">
        <v>9783492245241</v>
      </c>
      <c r="M2313" s="196">
        <v>461</v>
      </c>
      <c r="N2313" s="196"/>
      <c r="O2313" s="196" t="s">
        <v>10966</v>
      </c>
      <c r="P2313" s="144">
        <v>380</v>
      </c>
      <c r="Q2313" s="148">
        <v>3.24</v>
      </c>
      <c r="R2313" s="203">
        <v>1.2</v>
      </c>
      <c r="S2313" s="203">
        <v>4.4400000000000004</v>
      </c>
      <c r="T2313" s="203"/>
      <c r="U2313" s="103"/>
      <c r="V2313" s="103"/>
      <c r="W2313" s="203"/>
      <c r="X2313" s="148"/>
      <c r="Y2313" s="148"/>
      <c r="Z2313" s="148"/>
      <c r="AA2313" s="148"/>
      <c r="AB2313" s="148"/>
      <c r="AC2313" s="148"/>
      <c r="AD2313" s="148"/>
      <c r="AH2313" s="147"/>
    </row>
    <row r="2314" spans="1:34" s="146" customFormat="1" x14ac:dyDescent="0.25">
      <c r="A2314" s="196">
        <v>2705</v>
      </c>
      <c r="B2314" s="196" t="s">
        <v>10967</v>
      </c>
      <c r="C2314" s="196" t="s">
        <v>10968</v>
      </c>
      <c r="D2314" s="196" t="s">
        <v>2257</v>
      </c>
      <c r="E2314" s="196"/>
      <c r="F2314" s="196">
        <v>2001</v>
      </c>
      <c r="G2314" s="196"/>
      <c r="H2314" s="196" t="s">
        <v>1878</v>
      </c>
      <c r="I2314" s="141" t="s">
        <v>1879</v>
      </c>
      <c r="J2314" s="196"/>
      <c r="K2314" s="196" t="s">
        <v>1881</v>
      </c>
      <c r="L2314" s="240">
        <v>9783426870716</v>
      </c>
      <c r="M2314" s="196">
        <v>364</v>
      </c>
      <c r="N2314" s="196"/>
      <c r="O2314" s="196" t="s">
        <v>10969</v>
      </c>
      <c r="P2314" s="144">
        <v>312</v>
      </c>
      <c r="Q2314" s="148">
        <v>4.5</v>
      </c>
      <c r="R2314" s="203">
        <v>1.2</v>
      </c>
      <c r="S2314" s="203">
        <v>5.7</v>
      </c>
      <c r="T2314" s="203"/>
      <c r="U2314" s="103"/>
      <c r="V2314" s="103"/>
      <c r="W2314" s="203"/>
      <c r="X2314" s="148"/>
      <c r="Y2314" s="148"/>
      <c r="Z2314" s="148"/>
      <c r="AA2314" s="148"/>
      <c r="AB2314" s="148"/>
      <c r="AC2314" s="148"/>
      <c r="AD2314" s="148"/>
      <c r="AH2314" s="147"/>
    </row>
    <row r="2315" spans="1:34" s="146" customFormat="1" x14ac:dyDescent="0.25">
      <c r="A2315" s="196">
        <v>2672</v>
      </c>
      <c r="B2315" s="196"/>
      <c r="C2315" s="196" t="s">
        <v>10970</v>
      </c>
      <c r="D2315" s="196" t="s">
        <v>10971</v>
      </c>
      <c r="E2315" s="196"/>
      <c r="F2315" s="196"/>
      <c r="G2315" s="196"/>
      <c r="H2315" s="196" t="s">
        <v>1878</v>
      </c>
      <c r="I2315" s="141" t="s">
        <v>7527</v>
      </c>
      <c r="J2315" s="196"/>
      <c r="K2315" s="196" t="s">
        <v>1881</v>
      </c>
      <c r="L2315" s="240">
        <v>9783860707746</v>
      </c>
      <c r="M2315" s="196">
        <v>64</v>
      </c>
      <c r="N2315" s="196"/>
      <c r="O2315" s="196" t="s">
        <v>10972</v>
      </c>
      <c r="P2315" s="144">
        <v>203</v>
      </c>
      <c r="Q2315" s="148">
        <v>1.59</v>
      </c>
      <c r="R2315" s="203">
        <v>1.2</v>
      </c>
      <c r="S2315" s="203">
        <v>2.79</v>
      </c>
      <c r="T2315" s="203"/>
      <c r="U2315" s="103"/>
      <c r="V2315" s="103"/>
      <c r="W2315" s="203"/>
      <c r="X2315" s="148"/>
      <c r="Y2315" s="148"/>
      <c r="Z2315" s="148"/>
      <c r="AA2315" s="148"/>
      <c r="AB2315" s="148"/>
      <c r="AC2315" s="148"/>
      <c r="AD2315" s="148"/>
      <c r="AH2315" s="147"/>
    </row>
    <row r="2316" spans="1:34" s="146" customFormat="1" x14ac:dyDescent="0.25">
      <c r="A2316" s="196">
        <v>773</v>
      </c>
      <c r="B2316" s="196" t="s">
        <v>10973</v>
      </c>
      <c r="C2316" s="196" t="s">
        <v>10974</v>
      </c>
      <c r="D2316" s="196" t="s">
        <v>1912</v>
      </c>
      <c r="E2316" s="196" t="s">
        <v>4339</v>
      </c>
      <c r="F2316" s="196">
        <v>2002</v>
      </c>
      <c r="G2316" s="196"/>
      <c r="H2316" s="196" t="s">
        <v>1878</v>
      </c>
      <c r="I2316" s="141" t="s">
        <v>1914</v>
      </c>
      <c r="J2316" s="196"/>
      <c r="K2316" s="196" t="s">
        <v>1881</v>
      </c>
      <c r="L2316" s="240">
        <v>9783442151479</v>
      </c>
      <c r="M2316" s="196">
        <v>704</v>
      </c>
      <c r="N2316" s="196"/>
      <c r="O2316" s="196" t="s">
        <v>10975</v>
      </c>
      <c r="P2316" s="144">
        <v>568</v>
      </c>
      <c r="Q2316" s="148">
        <v>2.79</v>
      </c>
      <c r="R2316" s="203">
        <v>1.2</v>
      </c>
      <c r="S2316" s="203">
        <v>3.99</v>
      </c>
      <c r="T2316" s="203"/>
      <c r="U2316" s="103"/>
      <c r="V2316" s="103"/>
      <c r="W2316" s="203"/>
      <c r="X2316" s="148"/>
      <c r="Y2316" s="148"/>
      <c r="Z2316" s="148"/>
      <c r="AA2316" s="148"/>
      <c r="AB2316" s="148"/>
      <c r="AC2316" s="148"/>
      <c r="AD2316" s="148"/>
      <c r="AH2316" s="147"/>
    </row>
    <row r="2317" spans="1:34" s="146" customFormat="1" x14ac:dyDescent="0.25">
      <c r="A2317" s="196">
        <v>692</v>
      </c>
      <c r="B2317" s="196" t="s">
        <v>8074</v>
      </c>
      <c r="C2317" s="196" t="s">
        <v>10976</v>
      </c>
      <c r="D2317" s="196" t="s">
        <v>2835</v>
      </c>
      <c r="E2317" s="196"/>
      <c r="F2317" s="196"/>
      <c r="G2317" s="196"/>
      <c r="H2317" s="196" t="s">
        <v>1878</v>
      </c>
      <c r="I2317" s="141" t="s">
        <v>1914</v>
      </c>
      <c r="J2317" s="196"/>
      <c r="K2317" s="196" t="s">
        <v>1881</v>
      </c>
      <c r="L2317" s="240">
        <v>9783518399873</v>
      </c>
      <c r="M2317" s="196">
        <v>464</v>
      </c>
      <c r="N2317" s="196"/>
      <c r="O2317" s="196" t="s">
        <v>10977</v>
      </c>
      <c r="P2317" s="144">
        <v>376</v>
      </c>
      <c r="Q2317" s="148">
        <v>2.5099999999999998</v>
      </c>
      <c r="R2317" s="203">
        <v>1.2</v>
      </c>
      <c r="S2317" s="203">
        <v>3.71</v>
      </c>
      <c r="T2317" s="203"/>
      <c r="U2317" s="103"/>
      <c r="V2317" s="103"/>
      <c r="W2317" s="203"/>
      <c r="X2317" s="148"/>
      <c r="Y2317" s="148"/>
      <c r="Z2317" s="148"/>
      <c r="AA2317" s="148"/>
      <c r="AB2317" s="148"/>
      <c r="AC2317" s="148"/>
      <c r="AD2317" s="148"/>
      <c r="AH2317" s="147"/>
    </row>
    <row r="2318" spans="1:34" s="146" customFormat="1" x14ac:dyDescent="0.25">
      <c r="A2318" s="196">
        <v>1327</v>
      </c>
      <c r="B2318" s="196" t="s">
        <v>10978</v>
      </c>
      <c r="C2318" s="196" t="s">
        <v>10979</v>
      </c>
      <c r="D2318" s="196" t="s">
        <v>10980</v>
      </c>
      <c r="E2318" s="196" t="s">
        <v>1921</v>
      </c>
      <c r="F2318" s="196">
        <v>2009</v>
      </c>
      <c r="G2318" s="196"/>
      <c r="H2318" s="196" t="s">
        <v>1878</v>
      </c>
      <c r="I2318" s="141" t="s">
        <v>7817</v>
      </c>
      <c r="J2318" s="196" t="s">
        <v>9092</v>
      </c>
      <c r="K2318" s="196" t="s">
        <v>1881</v>
      </c>
      <c r="L2318" s="240">
        <v>9783630621692</v>
      </c>
      <c r="M2318" s="196">
        <v>256</v>
      </c>
      <c r="N2318" s="196"/>
      <c r="O2318" s="196" t="s">
        <v>10981</v>
      </c>
      <c r="P2318" s="144">
        <v>247</v>
      </c>
      <c r="Q2318" s="148">
        <v>2.3499999999999996</v>
      </c>
      <c r="R2318" s="203">
        <v>1.2</v>
      </c>
      <c r="S2318" s="203">
        <v>3.55</v>
      </c>
      <c r="T2318" s="203"/>
      <c r="U2318" s="103"/>
      <c r="V2318" s="103"/>
      <c r="W2318" s="203"/>
      <c r="X2318" s="148"/>
      <c r="Y2318" s="148"/>
      <c r="Z2318" s="148"/>
      <c r="AA2318" s="148"/>
      <c r="AB2318" s="148"/>
      <c r="AC2318" s="148"/>
      <c r="AD2318" s="148"/>
      <c r="AH2318" s="147"/>
    </row>
    <row r="2319" spans="1:34" s="146" customFormat="1" x14ac:dyDescent="0.25">
      <c r="A2319" s="196">
        <v>2571</v>
      </c>
      <c r="B2319" s="196" t="s">
        <v>10982</v>
      </c>
      <c r="C2319" s="196" t="s">
        <v>10983</v>
      </c>
      <c r="D2319" s="196" t="s">
        <v>10984</v>
      </c>
      <c r="E2319" s="196" t="s">
        <v>1899</v>
      </c>
      <c r="F2319" s="196">
        <v>2004</v>
      </c>
      <c r="G2319" s="196"/>
      <c r="H2319" s="196" t="s">
        <v>2734</v>
      </c>
      <c r="I2319" s="141" t="s">
        <v>1879</v>
      </c>
      <c r="J2319" s="196" t="s">
        <v>10985</v>
      </c>
      <c r="K2319" s="196" t="s">
        <v>1881</v>
      </c>
      <c r="L2319" s="240">
        <v>9783250600619</v>
      </c>
      <c r="M2319" s="196">
        <v>178</v>
      </c>
      <c r="N2319" s="196"/>
      <c r="O2319" s="196" t="s">
        <v>10986</v>
      </c>
      <c r="P2319" s="144">
        <v>279</v>
      </c>
      <c r="Q2319" s="148">
        <v>2.4500000000000002</v>
      </c>
      <c r="R2319" s="203">
        <v>1.2</v>
      </c>
      <c r="S2319" s="203">
        <v>3.65</v>
      </c>
      <c r="T2319" s="203"/>
      <c r="U2319" s="103"/>
      <c r="V2319" s="103"/>
      <c r="W2319" s="203"/>
      <c r="X2319" s="148"/>
      <c r="Y2319" s="148"/>
      <c r="Z2319" s="148"/>
      <c r="AA2319" s="148"/>
      <c r="AB2319" s="148"/>
      <c r="AC2319" s="148"/>
      <c r="AD2319" s="148"/>
      <c r="AH2319" s="147"/>
    </row>
    <row r="2320" spans="1:34" s="146" customFormat="1" x14ac:dyDescent="0.25">
      <c r="A2320" s="196">
        <v>968</v>
      </c>
      <c r="B2320" s="196" t="s">
        <v>10987</v>
      </c>
      <c r="C2320" s="196" t="s">
        <v>10988</v>
      </c>
      <c r="D2320" s="196" t="s">
        <v>10989</v>
      </c>
      <c r="E2320" s="196"/>
      <c r="F2320" s="196">
        <v>2005</v>
      </c>
      <c r="G2320" s="196"/>
      <c r="H2320" s="196" t="s">
        <v>1878</v>
      </c>
      <c r="I2320" s="141" t="s">
        <v>8132</v>
      </c>
      <c r="J2320" s="196"/>
      <c r="K2320" s="196" t="s">
        <v>2025</v>
      </c>
      <c r="L2320" s="240">
        <v>9780717138647</v>
      </c>
      <c r="M2320" s="196">
        <v>490</v>
      </c>
      <c r="N2320" s="196"/>
      <c r="O2320" s="196" t="s">
        <v>10990</v>
      </c>
      <c r="P2320" s="144">
        <v>359</v>
      </c>
      <c r="Q2320" s="148">
        <v>1.6900000000000002</v>
      </c>
      <c r="R2320" s="203">
        <v>1.2</v>
      </c>
      <c r="S2320" s="203">
        <v>2.89</v>
      </c>
      <c r="T2320" s="203"/>
      <c r="U2320" s="103"/>
      <c r="V2320" s="103"/>
      <c r="W2320" s="203"/>
      <c r="X2320" s="148"/>
      <c r="Y2320" s="148"/>
      <c r="Z2320" s="148"/>
      <c r="AA2320" s="148"/>
      <c r="AB2320" s="148"/>
      <c r="AC2320" s="148"/>
      <c r="AD2320" s="148"/>
      <c r="AH2320" s="147"/>
    </row>
    <row r="2321" spans="1:34" s="146" customFormat="1" x14ac:dyDescent="0.25">
      <c r="A2321" s="196">
        <v>701</v>
      </c>
      <c r="B2321" s="196" t="s">
        <v>10991</v>
      </c>
      <c r="C2321" s="196" t="s">
        <v>10992</v>
      </c>
      <c r="D2321" s="196" t="s">
        <v>6456</v>
      </c>
      <c r="E2321" s="196" t="s">
        <v>2358</v>
      </c>
      <c r="F2321" s="196">
        <v>2013</v>
      </c>
      <c r="G2321" s="196"/>
      <c r="H2321" s="196" t="s">
        <v>1878</v>
      </c>
      <c r="I2321" s="141" t="s">
        <v>1914</v>
      </c>
      <c r="J2321" s="196"/>
      <c r="K2321" s="196" t="s">
        <v>1881</v>
      </c>
      <c r="L2321" s="240">
        <v>9783862652198</v>
      </c>
      <c r="M2321" s="196">
        <v>224</v>
      </c>
      <c r="N2321" s="196"/>
      <c r="O2321" s="196" t="s">
        <v>10993</v>
      </c>
      <c r="P2321" s="144">
        <v>234</v>
      </c>
      <c r="Q2321" s="148">
        <v>2.7300000000000004</v>
      </c>
      <c r="R2321" s="203">
        <v>1.2</v>
      </c>
      <c r="S2321" s="203">
        <v>3.93</v>
      </c>
      <c r="T2321" s="203"/>
      <c r="U2321" s="103"/>
      <c r="V2321" s="103"/>
      <c r="W2321" s="203"/>
      <c r="X2321" s="148"/>
      <c r="Y2321" s="148"/>
      <c r="Z2321" s="148"/>
      <c r="AA2321" s="148"/>
      <c r="AB2321" s="148"/>
      <c r="AC2321" s="148"/>
      <c r="AD2321" s="148"/>
      <c r="AH2321" s="147"/>
    </row>
    <row r="2322" spans="1:34" s="146" customFormat="1" x14ac:dyDescent="0.25">
      <c r="A2322" s="196">
        <v>2518</v>
      </c>
      <c r="B2322" s="196" t="s">
        <v>10994</v>
      </c>
      <c r="C2322" s="196" t="s">
        <v>10995</v>
      </c>
      <c r="D2322" s="196" t="s">
        <v>1988</v>
      </c>
      <c r="E2322" s="196" t="s">
        <v>2937</v>
      </c>
      <c r="F2322" s="196">
        <v>2015</v>
      </c>
      <c r="G2322" s="196"/>
      <c r="H2322" s="196" t="s">
        <v>1878</v>
      </c>
      <c r="I2322" s="141" t="s">
        <v>1879</v>
      </c>
      <c r="J2322" s="196"/>
      <c r="K2322" s="196" t="s">
        <v>1881</v>
      </c>
      <c r="L2322" s="240">
        <v>9783423213301</v>
      </c>
      <c r="M2322" s="196">
        <v>240</v>
      </c>
      <c r="N2322" s="196"/>
      <c r="O2322" s="196" t="s">
        <v>10996</v>
      </c>
      <c r="P2322" s="144">
        <v>237</v>
      </c>
      <c r="Q2322" s="148">
        <v>2.9799999999999995</v>
      </c>
      <c r="R2322" s="203">
        <v>1.2</v>
      </c>
      <c r="S2322" s="203">
        <v>4.18</v>
      </c>
      <c r="T2322" s="203"/>
      <c r="U2322" s="103"/>
      <c r="V2322" s="103"/>
      <c r="W2322" s="203"/>
      <c r="X2322" s="148"/>
      <c r="Y2322" s="148"/>
      <c r="Z2322" s="148"/>
      <c r="AA2322" s="148"/>
      <c r="AB2322" s="148"/>
      <c r="AC2322" s="148"/>
      <c r="AD2322" s="148"/>
      <c r="AH2322" s="147"/>
    </row>
    <row r="2323" spans="1:34" s="146" customFormat="1" x14ac:dyDescent="0.25">
      <c r="A2323" s="196">
        <v>701</v>
      </c>
      <c r="B2323" s="196" t="s">
        <v>10997</v>
      </c>
      <c r="C2323" s="196" t="s">
        <v>10998</v>
      </c>
      <c r="D2323" s="196" t="s">
        <v>10999</v>
      </c>
      <c r="E2323" s="196"/>
      <c r="F2323" s="196">
        <v>2012</v>
      </c>
      <c r="G2323" s="196"/>
      <c r="H2323" s="196" t="s">
        <v>2734</v>
      </c>
      <c r="I2323" s="141" t="s">
        <v>1929</v>
      </c>
      <c r="J2323" s="196"/>
      <c r="K2323" s="196" t="s">
        <v>1881</v>
      </c>
      <c r="L2323" s="240">
        <v>9783746234397</v>
      </c>
      <c r="M2323" s="196">
        <v>322</v>
      </c>
      <c r="N2323" s="196"/>
      <c r="O2323" s="196" t="s">
        <v>11000</v>
      </c>
      <c r="P2323" s="144">
        <v>391</v>
      </c>
      <c r="Q2323" s="148">
        <v>3.2199999999999998</v>
      </c>
      <c r="R2323" s="203">
        <v>1.2</v>
      </c>
      <c r="S2323" s="203">
        <v>4.42</v>
      </c>
      <c r="T2323" s="203"/>
      <c r="U2323" s="103"/>
      <c r="V2323" s="103"/>
      <c r="W2323" s="203"/>
      <c r="X2323" s="148"/>
      <c r="Y2323" s="148"/>
      <c r="Z2323" s="148"/>
      <c r="AA2323" s="148"/>
      <c r="AB2323" s="148"/>
      <c r="AC2323" s="148"/>
      <c r="AD2323" s="148"/>
      <c r="AH2323" s="147"/>
    </row>
    <row r="2324" spans="1:34" s="146" customFormat="1" x14ac:dyDescent="0.25">
      <c r="A2324" s="196">
        <v>2514</v>
      </c>
      <c r="B2324" s="196"/>
      <c r="C2324" s="196" t="s">
        <v>11001</v>
      </c>
      <c r="D2324" s="196" t="s">
        <v>2472</v>
      </c>
      <c r="E2324" s="196"/>
      <c r="F2324" s="196">
        <v>1994</v>
      </c>
      <c r="G2324" s="196"/>
      <c r="H2324" s="196" t="s">
        <v>2734</v>
      </c>
      <c r="I2324" s="141" t="s">
        <v>1879</v>
      </c>
      <c r="J2324" s="196"/>
      <c r="K2324" s="196" t="s">
        <v>1881</v>
      </c>
      <c r="L2324" s="240">
        <v>9783850014533</v>
      </c>
      <c r="M2324" s="196">
        <v>326</v>
      </c>
      <c r="N2324" s="196"/>
      <c r="O2324" s="196" t="s">
        <v>11002</v>
      </c>
      <c r="P2324" s="144">
        <v>578</v>
      </c>
      <c r="Q2324" s="148">
        <v>2.7</v>
      </c>
      <c r="R2324" s="203">
        <v>1.2</v>
      </c>
      <c r="S2324" s="203">
        <v>3.9</v>
      </c>
      <c r="T2324" s="203"/>
      <c r="U2324" s="103"/>
      <c r="V2324" s="103"/>
      <c r="W2324" s="203"/>
      <c r="X2324" s="148"/>
      <c r="Y2324" s="148"/>
      <c r="Z2324" s="148"/>
      <c r="AA2324" s="148"/>
      <c r="AB2324" s="148"/>
      <c r="AC2324" s="148"/>
      <c r="AD2324" s="148"/>
      <c r="AH2324" s="147"/>
    </row>
    <row r="2325" spans="1:34" s="146" customFormat="1" x14ac:dyDescent="0.25">
      <c r="A2325" s="196">
        <v>852</v>
      </c>
      <c r="B2325" s="196" t="s">
        <v>11003</v>
      </c>
      <c r="C2325" s="196" t="s">
        <v>11004</v>
      </c>
      <c r="D2325" s="196" t="s">
        <v>2309</v>
      </c>
      <c r="E2325" s="196" t="s">
        <v>1913</v>
      </c>
      <c r="F2325" s="196">
        <v>2004</v>
      </c>
      <c r="G2325" s="196"/>
      <c r="H2325" s="196" t="s">
        <v>1878</v>
      </c>
      <c r="I2325" s="141" t="s">
        <v>7527</v>
      </c>
      <c r="J2325" s="196"/>
      <c r="K2325" s="196" t="s">
        <v>1881</v>
      </c>
      <c r="L2325" s="240">
        <v>9783548258928</v>
      </c>
      <c r="M2325" s="196">
        <v>384</v>
      </c>
      <c r="N2325" s="196"/>
      <c r="O2325" s="196" t="s">
        <v>11005</v>
      </c>
      <c r="P2325" s="144">
        <v>260</v>
      </c>
      <c r="Q2325" s="148">
        <v>2.5</v>
      </c>
      <c r="R2325" s="203">
        <v>1.2</v>
      </c>
      <c r="S2325" s="203">
        <v>3.7</v>
      </c>
      <c r="T2325" s="203"/>
      <c r="U2325" s="103"/>
      <c r="V2325" s="103"/>
      <c r="W2325" s="203"/>
      <c r="X2325" s="148"/>
      <c r="Y2325" s="148"/>
      <c r="Z2325" s="148"/>
      <c r="AA2325" s="148"/>
      <c r="AB2325" s="148"/>
      <c r="AC2325" s="148"/>
      <c r="AD2325" s="148"/>
      <c r="AH2325" s="147"/>
    </row>
    <row r="2326" spans="1:34" s="146" customFormat="1" x14ac:dyDescent="0.25">
      <c r="A2326" s="196">
        <v>1913</v>
      </c>
      <c r="B2326" s="196" t="s">
        <v>8774</v>
      </c>
      <c r="C2326" s="196" t="s">
        <v>11006</v>
      </c>
      <c r="D2326" s="196" t="s">
        <v>1876</v>
      </c>
      <c r="E2326" s="196"/>
      <c r="F2326" s="196">
        <v>1979</v>
      </c>
      <c r="G2326" s="196"/>
      <c r="H2326" s="196" t="s">
        <v>2734</v>
      </c>
      <c r="I2326" s="141" t="s">
        <v>1879</v>
      </c>
      <c r="J2326" s="196" t="s">
        <v>2505</v>
      </c>
      <c r="K2326" s="196" t="s">
        <v>1881</v>
      </c>
      <c r="L2326" s="240"/>
      <c r="M2326" s="196">
        <v>514</v>
      </c>
      <c r="N2326" s="196"/>
      <c r="O2326" s="196" t="s">
        <v>11007</v>
      </c>
      <c r="P2326" s="144">
        <v>781</v>
      </c>
      <c r="Q2326" s="148">
        <v>2.9699999999999998</v>
      </c>
      <c r="R2326" s="203">
        <v>1.2</v>
      </c>
      <c r="S2326" s="203">
        <v>4.17</v>
      </c>
      <c r="T2326" s="203"/>
      <c r="U2326" s="103"/>
      <c r="V2326" s="103"/>
      <c r="W2326" s="203"/>
      <c r="X2326" s="148"/>
      <c r="Y2326" s="148"/>
      <c r="Z2326" s="148"/>
      <c r="AA2326" s="148"/>
      <c r="AB2326" s="148"/>
      <c r="AC2326" s="148"/>
      <c r="AD2326" s="148"/>
      <c r="AH2326" s="147"/>
    </row>
    <row r="2327" spans="1:34" s="146" customFormat="1" x14ac:dyDescent="0.25">
      <c r="A2327" s="196">
        <v>1327</v>
      </c>
      <c r="B2327" s="196" t="s">
        <v>11008</v>
      </c>
      <c r="C2327" s="196" t="s">
        <v>11009</v>
      </c>
      <c r="D2327" s="196" t="s">
        <v>1876</v>
      </c>
      <c r="E2327" s="196"/>
      <c r="F2327" s="196"/>
      <c r="G2327" s="196"/>
      <c r="H2327" s="196" t="s">
        <v>2734</v>
      </c>
      <c r="I2327" s="141" t="s">
        <v>1879</v>
      </c>
      <c r="J2327" s="196" t="s">
        <v>2505</v>
      </c>
      <c r="K2327" s="196" t="s">
        <v>1881</v>
      </c>
      <c r="L2327" s="240"/>
      <c r="M2327" s="196">
        <v>362</v>
      </c>
      <c r="N2327" s="196"/>
      <c r="O2327" s="196" t="s">
        <v>11010</v>
      </c>
      <c r="P2327" s="144">
        <v>429</v>
      </c>
      <c r="Q2327" s="148">
        <v>2.8</v>
      </c>
      <c r="R2327" s="203">
        <v>1.2</v>
      </c>
      <c r="S2327" s="203">
        <v>4</v>
      </c>
      <c r="T2327" s="203"/>
      <c r="U2327" s="103"/>
      <c r="V2327" s="103"/>
      <c r="W2327" s="203"/>
      <c r="X2327" s="148"/>
      <c r="Y2327" s="148"/>
      <c r="Z2327" s="148"/>
      <c r="AA2327" s="148"/>
      <c r="AB2327" s="148"/>
      <c r="AC2327" s="148"/>
      <c r="AD2327" s="148"/>
      <c r="AH2327" s="147"/>
    </row>
    <row r="2328" spans="1:34" s="146" customFormat="1" x14ac:dyDescent="0.25">
      <c r="A2328" s="196">
        <v>2694</v>
      </c>
      <c r="B2328" s="196" t="s">
        <v>11011</v>
      </c>
      <c r="C2328" s="196" t="s">
        <v>11012</v>
      </c>
      <c r="D2328" s="196" t="s">
        <v>11013</v>
      </c>
      <c r="E2328" s="196"/>
      <c r="F2328" s="196">
        <v>1975</v>
      </c>
      <c r="G2328" s="196"/>
      <c r="H2328" s="196" t="s">
        <v>2734</v>
      </c>
      <c r="I2328" s="141" t="s">
        <v>1879</v>
      </c>
      <c r="J2328" s="196"/>
      <c r="K2328" s="196" t="s">
        <v>1881</v>
      </c>
      <c r="L2328" s="240"/>
      <c r="M2328" s="196">
        <v>138</v>
      </c>
      <c r="N2328" s="196"/>
      <c r="O2328" s="196" t="s">
        <v>11014</v>
      </c>
      <c r="P2328" s="144">
        <v>497</v>
      </c>
      <c r="Q2328" s="148">
        <v>9.8000000000000007</v>
      </c>
      <c r="R2328" s="203">
        <v>1.2</v>
      </c>
      <c r="S2328" s="203">
        <v>11</v>
      </c>
      <c r="T2328" s="203"/>
      <c r="U2328" s="103"/>
      <c r="V2328" s="103"/>
      <c r="W2328" s="203"/>
      <c r="X2328" s="148"/>
      <c r="Y2328" s="148"/>
      <c r="Z2328" s="148"/>
      <c r="AA2328" s="148"/>
      <c r="AB2328" s="148"/>
      <c r="AC2328" s="148"/>
      <c r="AD2328" s="148"/>
      <c r="AH2328" s="147"/>
    </row>
    <row r="2329" spans="1:34" s="146" customFormat="1" x14ac:dyDescent="0.25">
      <c r="A2329" s="196">
        <v>2537</v>
      </c>
      <c r="B2329" s="196" t="s">
        <v>4461</v>
      </c>
      <c r="C2329" s="196" t="s">
        <v>11015</v>
      </c>
      <c r="D2329" s="196" t="s">
        <v>7733</v>
      </c>
      <c r="E2329" s="196" t="s">
        <v>1877</v>
      </c>
      <c r="F2329" s="196">
        <v>2013</v>
      </c>
      <c r="G2329" s="196"/>
      <c r="H2329" s="196" t="s">
        <v>1878</v>
      </c>
      <c r="I2329" s="141" t="s">
        <v>6422</v>
      </c>
      <c r="J2329" s="196" t="s">
        <v>11016</v>
      </c>
      <c r="K2329" s="196" t="s">
        <v>2025</v>
      </c>
      <c r="L2329" s="240">
        <v>9783140400695</v>
      </c>
      <c r="M2329" s="196">
        <v>148</v>
      </c>
      <c r="N2329" s="196"/>
      <c r="O2329" s="196" t="s">
        <v>11017</v>
      </c>
      <c r="P2329" s="144">
        <v>274</v>
      </c>
      <c r="Q2329" s="148">
        <v>4.16</v>
      </c>
      <c r="R2329" s="203">
        <v>1.2</v>
      </c>
      <c r="S2329" s="203">
        <v>5.36</v>
      </c>
      <c r="T2329" s="203"/>
      <c r="U2329" s="103"/>
      <c r="V2329" s="103"/>
      <c r="W2329" s="203"/>
      <c r="X2329" s="148"/>
      <c r="Y2329" s="148"/>
      <c r="Z2329" s="148"/>
      <c r="AA2329" s="148"/>
      <c r="AB2329" s="148"/>
      <c r="AC2329" s="148"/>
      <c r="AD2329" s="148"/>
      <c r="AH2329" s="147"/>
    </row>
    <row r="2330" spans="1:34" s="146" customFormat="1" x14ac:dyDescent="0.25">
      <c r="A2330" s="196">
        <v>701</v>
      </c>
      <c r="B2330" s="196" t="s">
        <v>11018</v>
      </c>
      <c r="C2330" s="196" t="s">
        <v>11019</v>
      </c>
      <c r="D2330" s="196" t="s">
        <v>2257</v>
      </c>
      <c r="E2330" s="196"/>
      <c r="F2330" s="196">
        <v>2006</v>
      </c>
      <c r="G2330" s="196"/>
      <c r="H2330" s="196" t="s">
        <v>1878</v>
      </c>
      <c r="I2330" s="141" t="s">
        <v>1879</v>
      </c>
      <c r="J2330" s="196" t="s">
        <v>9092</v>
      </c>
      <c r="K2330" s="196" t="s">
        <v>1881</v>
      </c>
      <c r="L2330" s="240">
        <v>9783426779583</v>
      </c>
      <c r="M2330" s="196">
        <v>192</v>
      </c>
      <c r="N2330" s="196"/>
      <c r="O2330" s="196" t="s">
        <v>11020</v>
      </c>
      <c r="P2330" s="144">
        <v>170</v>
      </c>
      <c r="Q2330" s="148">
        <v>4.13</v>
      </c>
      <c r="R2330" s="203">
        <v>1.2</v>
      </c>
      <c r="S2330" s="203">
        <v>5.33</v>
      </c>
      <c r="T2330" s="203"/>
      <c r="U2330" s="103"/>
      <c r="V2330" s="103"/>
      <c r="W2330" s="203"/>
      <c r="X2330" s="148"/>
      <c r="Y2330" s="148"/>
      <c r="Z2330" s="148"/>
      <c r="AA2330" s="148"/>
      <c r="AB2330" s="148"/>
      <c r="AC2330" s="148"/>
      <c r="AD2330" s="148"/>
      <c r="AH2330" s="147"/>
    </row>
    <row r="2331" spans="1:34" s="146" customFormat="1" x14ac:dyDescent="0.25">
      <c r="A2331" s="196">
        <v>796</v>
      </c>
      <c r="B2331" s="196" t="s">
        <v>3143</v>
      </c>
      <c r="C2331" s="196" t="s">
        <v>11021</v>
      </c>
      <c r="D2331" s="196" t="s">
        <v>2609</v>
      </c>
      <c r="E2331" s="196"/>
      <c r="F2331" s="196">
        <v>2015</v>
      </c>
      <c r="G2331" s="196"/>
      <c r="H2331" s="196" t="s">
        <v>1878</v>
      </c>
      <c r="I2331" s="141" t="s">
        <v>1879</v>
      </c>
      <c r="J2331" s="196" t="s">
        <v>9092</v>
      </c>
      <c r="K2331" s="196" t="s">
        <v>1881</v>
      </c>
      <c r="L2331" s="240">
        <v>9783596193349</v>
      </c>
      <c r="M2331" s="196">
        <v>400</v>
      </c>
      <c r="N2331" s="196"/>
      <c r="O2331" s="196" t="s">
        <v>11022</v>
      </c>
      <c r="P2331" s="144">
        <v>354</v>
      </c>
      <c r="Q2331" s="148">
        <v>3.08</v>
      </c>
      <c r="R2331" s="203">
        <v>1.2</v>
      </c>
      <c r="S2331" s="203">
        <v>4.28</v>
      </c>
      <c r="T2331" s="203"/>
      <c r="U2331" s="103"/>
      <c r="V2331" s="103"/>
      <c r="W2331" s="203"/>
      <c r="X2331" s="148"/>
      <c r="Y2331" s="148"/>
      <c r="Z2331" s="148"/>
      <c r="AA2331" s="148"/>
      <c r="AB2331" s="148"/>
      <c r="AC2331" s="148"/>
      <c r="AD2331" s="148"/>
      <c r="AH2331" s="147"/>
    </row>
    <row r="2332" spans="1:34" s="146" customFormat="1" x14ac:dyDescent="0.25">
      <c r="A2332" s="196">
        <v>1327</v>
      </c>
      <c r="B2332" s="196" t="s">
        <v>11023</v>
      </c>
      <c r="C2332" s="196" t="s">
        <v>11024</v>
      </c>
      <c r="D2332" s="196" t="s">
        <v>11025</v>
      </c>
      <c r="E2332" s="196"/>
      <c r="F2332" s="196">
        <v>1959</v>
      </c>
      <c r="G2332" s="196"/>
      <c r="H2332" s="196" t="s">
        <v>2734</v>
      </c>
      <c r="I2332" s="141" t="s">
        <v>1914</v>
      </c>
      <c r="J2332" s="196"/>
      <c r="K2332" s="196" t="s">
        <v>1881</v>
      </c>
      <c r="L2332" s="240"/>
      <c r="M2332" s="196">
        <v>370</v>
      </c>
      <c r="N2332" s="196"/>
      <c r="O2332" s="196" t="s">
        <v>11026</v>
      </c>
      <c r="P2332" s="144">
        <v>496</v>
      </c>
      <c r="Q2332" s="148">
        <v>2.79</v>
      </c>
      <c r="R2332" s="203">
        <v>1.2</v>
      </c>
      <c r="S2332" s="203">
        <v>3.99</v>
      </c>
      <c r="T2332" s="203"/>
      <c r="U2332" s="103"/>
      <c r="V2332" s="103"/>
      <c r="W2332" s="203"/>
      <c r="X2332" s="148"/>
      <c r="Y2332" s="148"/>
      <c r="Z2332" s="148"/>
      <c r="AA2332" s="148"/>
      <c r="AB2332" s="148"/>
      <c r="AC2332" s="148"/>
      <c r="AD2332" s="148"/>
      <c r="AH2332" s="147"/>
    </row>
    <row r="2333" spans="1:34" s="146" customFormat="1" x14ac:dyDescent="0.25">
      <c r="A2333" s="196"/>
      <c r="B2333" s="196"/>
      <c r="C2333" s="196" t="s">
        <v>11027</v>
      </c>
      <c r="D2333" s="196" t="s">
        <v>9711</v>
      </c>
      <c r="E2333" s="196"/>
      <c r="F2333" s="196">
        <v>1980</v>
      </c>
      <c r="G2333" s="196"/>
      <c r="H2333" s="196" t="s">
        <v>11028</v>
      </c>
      <c r="I2333" s="141" t="s">
        <v>1914</v>
      </c>
      <c r="J2333" s="196"/>
      <c r="K2333" s="196" t="s">
        <v>1881</v>
      </c>
      <c r="L2333" s="240"/>
      <c r="M2333" s="196">
        <v>32</v>
      </c>
      <c r="N2333" s="196"/>
      <c r="O2333" s="196" t="s">
        <v>11029</v>
      </c>
      <c r="P2333" s="144">
        <v>76</v>
      </c>
      <c r="Q2333" s="148">
        <v>4.5699999999999994</v>
      </c>
      <c r="R2333" s="203">
        <v>1.2</v>
      </c>
      <c r="S2333" s="203">
        <v>5.77</v>
      </c>
      <c r="T2333" s="203"/>
      <c r="U2333" s="103"/>
      <c r="V2333" s="103"/>
      <c r="W2333" s="203"/>
      <c r="X2333" s="148"/>
      <c r="Y2333" s="148"/>
      <c r="Z2333" s="148"/>
      <c r="AA2333" s="148"/>
      <c r="AB2333" s="148"/>
      <c r="AC2333" s="148"/>
      <c r="AD2333" s="148"/>
      <c r="AH2333" s="147"/>
    </row>
    <row r="2334" spans="1:34" s="146" customFormat="1" x14ac:dyDescent="0.25">
      <c r="A2334" s="196"/>
      <c r="B2334" s="196"/>
      <c r="C2334" s="196" t="s">
        <v>11030</v>
      </c>
      <c r="D2334" s="196" t="s">
        <v>11031</v>
      </c>
      <c r="E2334" s="196"/>
      <c r="F2334" s="196">
        <v>1989</v>
      </c>
      <c r="G2334" s="196"/>
      <c r="H2334" s="196" t="s">
        <v>5112</v>
      </c>
      <c r="I2334" s="141" t="s">
        <v>1879</v>
      </c>
      <c r="J2334" s="196" t="s">
        <v>11032</v>
      </c>
      <c r="K2334" s="196" t="s">
        <v>1881</v>
      </c>
      <c r="L2334" s="240">
        <v>3893730761</v>
      </c>
      <c r="M2334" s="196">
        <v>100</v>
      </c>
      <c r="N2334" s="196"/>
      <c r="O2334" s="196" t="s">
        <v>11033</v>
      </c>
      <c r="P2334" s="144">
        <v>272</v>
      </c>
      <c r="Q2334" s="148">
        <v>6.79</v>
      </c>
      <c r="R2334" s="203">
        <v>1.2</v>
      </c>
      <c r="S2334" s="203">
        <v>7.99</v>
      </c>
      <c r="T2334" s="203"/>
      <c r="U2334" s="103"/>
      <c r="V2334" s="103"/>
      <c r="W2334" s="203"/>
      <c r="X2334" s="148"/>
      <c r="Y2334" s="148"/>
      <c r="Z2334" s="148"/>
      <c r="AA2334" s="148"/>
      <c r="AB2334" s="148"/>
      <c r="AC2334" s="148"/>
      <c r="AD2334" s="148"/>
      <c r="AH2334" s="147"/>
    </row>
    <row r="2335" spans="1:34" s="146" customFormat="1" x14ac:dyDescent="0.25">
      <c r="A2335" s="196"/>
      <c r="B2335" s="196" t="s">
        <v>11034</v>
      </c>
      <c r="C2335" s="196" t="s">
        <v>11035</v>
      </c>
      <c r="D2335" s="196" t="s">
        <v>5005</v>
      </c>
      <c r="E2335" s="196"/>
      <c r="F2335" s="196"/>
      <c r="G2335" s="196"/>
      <c r="H2335" s="196" t="s">
        <v>2734</v>
      </c>
      <c r="I2335" s="141" t="s">
        <v>8132</v>
      </c>
      <c r="J2335" s="196"/>
      <c r="K2335" s="196" t="s">
        <v>1881</v>
      </c>
      <c r="L2335" s="240"/>
      <c r="M2335" s="196">
        <v>158</v>
      </c>
      <c r="N2335" s="196"/>
      <c r="O2335" s="196" t="s">
        <v>11036</v>
      </c>
      <c r="P2335" s="144">
        <v>821</v>
      </c>
      <c r="Q2335" s="148">
        <v>6.05</v>
      </c>
      <c r="R2335" s="203">
        <v>1.2</v>
      </c>
      <c r="S2335" s="203">
        <v>7.25</v>
      </c>
      <c r="T2335" s="203"/>
      <c r="U2335" s="103"/>
      <c r="V2335" s="103"/>
      <c r="W2335" s="203"/>
      <c r="X2335" s="148"/>
      <c r="Y2335" s="148"/>
      <c r="Z2335" s="148"/>
      <c r="AA2335" s="148"/>
      <c r="AB2335" s="148"/>
      <c r="AC2335" s="148"/>
      <c r="AD2335" s="148"/>
      <c r="AH2335" s="147"/>
    </row>
    <row r="2336" spans="1:34" s="146" customFormat="1" x14ac:dyDescent="0.25">
      <c r="A2336" s="196"/>
      <c r="B2336" s="196" t="s">
        <v>11037</v>
      </c>
      <c r="C2336" s="196" t="s">
        <v>11038</v>
      </c>
      <c r="D2336" s="196" t="s">
        <v>5005</v>
      </c>
      <c r="E2336" s="196"/>
      <c r="F2336" s="196">
        <v>1973</v>
      </c>
      <c r="G2336" s="196"/>
      <c r="H2336" s="196" t="s">
        <v>2734</v>
      </c>
      <c r="I2336" s="141" t="s">
        <v>8132</v>
      </c>
      <c r="J2336" s="196"/>
      <c r="K2336" s="196" t="s">
        <v>1881</v>
      </c>
      <c r="L2336" s="240"/>
      <c r="M2336" s="196">
        <v>146</v>
      </c>
      <c r="N2336" s="196"/>
      <c r="O2336" s="196" t="s">
        <v>11039</v>
      </c>
      <c r="P2336" s="144">
        <v>736</v>
      </c>
      <c r="Q2336" s="148">
        <v>3.05</v>
      </c>
      <c r="R2336" s="203">
        <v>1.2</v>
      </c>
      <c r="S2336" s="203">
        <v>4.25</v>
      </c>
      <c r="T2336" s="203"/>
      <c r="U2336" s="103"/>
      <c r="V2336" s="103"/>
      <c r="W2336" s="203"/>
      <c r="X2336" s="148"/>
      <c r="Y2336" s="148"/>
      <c r="Z2336" s="148"/>
      <c r="AA2336" s="148"/>
      <c r="AB2336" s="148"/>
      <c r="AC2336" s="148"/>
      <c r="AD2336" s="148"/>
      <c r="AH2336" s="147"/>
    </row>
    <row r="2337" spans="1:34" s="146" customFormat="1" x14ac:dyDescent="0.25">
      <c r="A2337" s="196"/>
      <c r="B2337" s="196" t="s">
        <v>11040</v>
      </c>
      <c r="C2337" s="196" t="s">
        <v>11041</v>
      </c>
      <c r="D2337" s="196" t="s">
        <v>2221</v>
      </c>
      <c r="E2337" s="196" t="s">
        <v>2032</v>
      </c>
      <c r="F2337" s="196">
        <v>1976</v>
      </c>
      <c r="G2337" s="196"/>
      <c r="H2337" s="196" t="s">
        <v>2734</v>
      </c>
      <c r="I2337" s="141" t="s">
        <v>1914</v>
      </c>
      <c r="J2337" s="196"/>
      <c r="K2337" s="196" t="s">
        <v>1881</v>
      </c>
      <c r="L2337" s="240">
        <v>3797302150</v>
      </c>
      <c r="M2337" s="196">
        <v>254</v>
      </c>
      <c r="N2337" s="196"/>
      <c r="O2337" s="196" t="s">
        <v>11042</v>
      </c>
      <c r="P2337" s="144">
        <v>770</v>
      </c>
      <c r="Q2337" s="148">
        <v>2.7</v>
      </c>
      <c r="R2337" s="203">
        <v>1.2</v>
      </c>
      <c r="S2337" s="203">
        <v>3.9</v>
      </c>
      <c r="T2337" s="203"/>
      <c r="U2337" s="103"/>
      <c r="V2337" s="103"/>
      <c r="W2337" s="203"/>
      <c r="X2337" s="148"/>
      <c r="Y2337" s="148"/>
      <c r="Z2337" s="148"/>
      <c r="AA2337" s="148"/>
      <c r="AB2337" s="148"/>
      <c r="AC2337" s="148"/>
      <c r="AD2337" s="148"/>
      <c r="AH2337" s="147"/>
    </row>
    <row r="2338" spans="1:34" s="146" customFormat="1" x14ac:dyDescent="0.25">
      <c r="A2338" s="196"/>
      <c r="B2338" s="196" t="s">
        <v>11043</v>
      </c>
      <c r="C2338" s="196" t="s">
        <v>11044</v>
      </c>
      <c r="D2338" s="196" t="s">
        <v>11045</v>
      </c>
      <c r="E2338" s="196"/>
      <c r="F2338" s="196">
        <v>1976</v>
      </c>
      <c r="G2338" s="196"/>
      <c r="H2338" s="196" t="s">
        <v>2734</v>
      </c>
      <c r="I2338" s="141" t="s">
        <v>1914</v>
      </c>
      <c r="J2338" s="196"/>
      <c r="K2338" s="196" t="s">
        <v>1881</v>
      </c>
      <c r="L2338" s="240"/>
      <c r="M2338" s="196">
        <v>366</v>
      </c>
      <c r="N2338" s="196"/>
      <c r="O2338" s="196" t="s">
        <v>11046</v>
      </c>
      <c r="P2338" s="144">
        <v>1261</v>
      </c>
      <c r="Q2338" s="148">
        <v>2</v>
      </c>
      <c r="R2338" s="203">
        <v>1.2</v>
      </c>
      <c r="S2338" s="203">
        <v>3.2</v>
      </c>
      <c r="T2338" s="203"/>
      <c r="U2338" s="103"/>
      <c r="V2338" s="103"/>
      <c r="W2338" s="203"/>
      <c r="X2338" s="148"/>
      <c r="Y2338" s="148"/>
      <c r="Z2338" s="148"/>
      <c r="AA2338" s="148"/>
      <c r="AB2338" s="148"/>
      <c r="AC2338" s="148"/>
      <c r="AD2338" s="148"/>
      <c r="AH2338" s="147"/>
    </row>
    <row r="2339" spans="1:34" s="146" customFormat="1" x14ac:dyDescent="0.25">
      <c r="A2339" s="196"/>
      <c r="B2339" s="196" t="s">
        <v>11047</v>
      </c>
      <c r="C2339" s="196" t="s">
        <v>11048</v>
      </c>
      <c r="D2339" s="196" t="s">
        <v>7924</v>
      </c>
      <c r="E2339" s="196" t="s">
        <v>3731</v>
      </c>
      <c r="F2339" s="196">
        <v>1996</v>
      </c>
      <c r="G2339" s="196"/>
      <c r="H2339" s="196" t="s">
        <v>2734</v>
      </c>
      <c r="I2339" s="141" t="s">
        <v>7527</v>
      </c>
      <c r="J2339" s="196"/>
      <c r="K2339" s="196" t="s">
        <v>1881</v>
      </c>
      <c r="L2339" s="240">
        <v>9783466302925</v>
      </c>
      <c r="M2339" s="196">
        <v>130</v>
      </c>
      <c r="N2339" s="196"/>
      <c r="O2339" s="196" t="s">
        <v>11049</v>
      </c>
      <c r="P2339" s="144">
        <v>420</v>
      </c>
      <c r="Q2339" s="148">
        <v>2.4400000000000004</v>
      </c>
      <c r="R2339" s="203">
        <v>1.2</v>
      </c>
      <c r="S2339" s="203">
        <v>3.64</v>
      </c>
      <c r="T2339" s="203"/>
      <c r="U2339" s="103"/>
      <c r="V2339" s="103"/>
      <c r="W2339" s="203"/>
      <c r="X2339" s="148"/>
      <c r="Y2339" s="148"/>
      <c r="Z2339" s="148"/>
      <c r="AA2339" s="148"/>
      <c r="AB2339" s="148"/>
      <c r="AC2339" s="148"/>
      <c r="AD2339" s="148"/>
      <c r="AH2339" s="147"/>
    </row>
    <row r="2340" spans="1:34" s="146" customFormat="1" x14ac:dyDescent="0.25">
      <c r="A2340" s="196"/>
      <c r="B2340" s="196" t="s">
        <v>11050</v>
      </c>
      <c r="C2340" s="196" t="s">
        <v>11051</v>
      </c>
      <c r="D2340" s="196" t="s">
        <v>8535</v>
      </c>
      <c r="E2340" s="196"/>
      <c r="F2340" s="196">
        <v>1997</v>
      </c>
      <c r="G2340" s="196"/>
      <c r="H2340" s="196" t="s">
        <v>2734</v>
      </c>
      <c r="I2340" s="141" t="s">
        <v>7527</v>
      </c>
      <c r="J2340" s="196"/>
      <c r="K2340" s="196" t="s">
        <v>1881</v>
      </c>
      <c r="L2340" s="240">
        <v>9783517079233</v>
      </c>
      <c r="M2340" s="196">
        <v>194</v>
      </c>
      <c r="N2340" s="196"/>
      <c r="O2340" s="196" t="s">
        <v>11052</v>
      </c>
      <c r="P2340" s="144">
        <v>376</v>
      </c>
      <c r="Q2340" s="148">
        <v>2.66</v>
      </c>
      <c r="R2340" s="203">
        <v>1.2</v>
      </c>
      <c r="S2340" s="203">
        <v>3.86</v>
      </c>
      <c r="T2340" s="203"/>
      <c r="U2340" s="103"/>
      <c r="V2340" s="103"/>
      <c r="W2340" s="203"/>
      <c r="X2340" s="148"/>
      <c r="Y2340" s="148"/>
      <c r="Z2340" s="148"/>
      <c r="AA2340" s="148"/>
      <c r="AB2340" s="148"/>
      <c r="AC2340" s="148"/>
      <c r="AD2340" s="148"/>
      <c r="AH2340" s="147"/>
    </row>
    <row r="2341" spans="1:34" s="146" customFormat="1" x14ac:dyDescent="0.25">
      <c r="A2341" s="196"/>
      <c r="B2341" s="196" t="s">
        <v>11053</v>
      </c>
      <c r="C2341" s="196" t="s">
        <v>11054</v>
      </c>
      <c r="D2341" s="196" t="s">
        <v>11055</v>
      </c>
      <c r="E2341" s="196"/>
      <c r="F2341" s="196">
        <v>1991</v>
      </c>
      <c r="G2341" s="196"/>
      <c r="H2341" s="196" t="s">
        <v>1878</v>
      </c>
      <c r="I2341" s="141" t="s">
        <v>8132</v>
      </c>
      <c r="J2341" s="196"/>
      <c r="K2341" s="196" t="s">
        <v>1881</v>
      </c>
      <c r="L2341" s="240" t="s">
        <v>11056</v>
      </c>
      <c r="M2341" s="196">
        <v>192</v>
      </c>
      <c r="N2341" s="196"/>
      <c r="O2341" s="196" t="s">
        <v>11057</v>
      </c>
      <c r="P2341" s="144">
        <v>255</v>
      </c>
      <c r="Q2341" s="148">
        <v>24.79</v>
      </c>
      <c r="R2341" s="203">
        <v>1.2</v>
      </c>
      <c r="S2341" s="203">
        <v>25.99</v>
      </c>
      <c r="T2341" s="203"/>
      <c r="U2341" s="103"/>
      <c r="V2341" s="103"/>
      <c r="W2341" s="203"/>
      <c r="X2341" s="148"/>
      <c r="Y2341" s="148"/>
      <c r="Z2341" s="148"/>
      <c r="AA2341" s="148"/>
      <c r="AB2341" s="148"/>
      <c r="AC2341" s="148"/>
      <c r="AD2341" s="148"/>
      <c r="AH2341" s="147"/>
    </row>
    <row r="2342" spans="1:34" s="146" customFormat="1" x14ac:dyDescent="0.25">
      <c r="A2342" s="196"/>
      <c r="B2342" s="196" t="s">
        <v>11058</v>
      </c>
      <c r="C2342" s="196" t="s">
        <v>11059</v>
      </c>
      <c r="D2342" s="196" t="s">
        <v>5941</v>
      </c>
      <c r="E2342" s="196"/>
      <c r="F2342" s="196">
        <v>2001</v>
      </c>
      <c r="G2342" s="196"/>
      <c r="H2342" s="196" t="s">
        <v>2734</v>
      </c>
      <c r="I2342" s="141" t="s">
        <v>1914</v>
      </c>
      <c r="J2342" s="196"/>
      <c r="K2342" s="196" t="s">
        <v>1881</v>
      </c>
      <c r="L2342" s="240" t="s">
        <v>11060</v>
      </c>
      <c r="M2342" s="196">
        <v>144</v>
      </c>
      <c r="N2342" s="196"/>
      <c r="O2342" s="196" t="s">
        <v>11061</v>
      </c>
      <c r="P2342" s="144">
        <v>633</v>
      </c>
      <c r="Q2342" s="148">
        <v>10.8</v>
      </c>
      <c r="R2342" s="203">
        <v>1.2</v>
      </c>
      <c r="S2342" s="203">
        <v>12</v>
      </c>
      <c r="T2342" s="203"/>
      <c r="U2342" s="103"/>
      <c r="V2342" s="103"/>
      <c r="W2342" s="203"/>
      <c r="X2342" s="148"/>
      <c r="Y2342" s="148"/>
      <c r="Z2342" s="148"/>
      <c r="AA2342" s="148"/>
      <c r="AB2342" s="148"/>
      <c r="AC2342" s="148"/>
      <c r="AD2342" s="148"/>
      <c r="AH2342" s="147"/>
    </row>
    <row r="2343" spans="1:34" s="146" customFormat="1" x14ac:dyDescent="0.25">
      <c r="A2343" s="196"/>
      <c r="B2343" s="196"/>
      <c r="C2343" s="196" t="s">
        <v>11062</v>
      </c>
      <c r="D2343" s="196" t="s">
        <v>5005</v>
      </c>
      <c r="E2343" s="196"/>
      <c r="F2343" s="196"/>
      <c r="G2343" s="196"/>
      <c r="H2343" s="196" t="s">
        <v>2734</v>
      </c>
      <c r="I2343" s="141" t="s">
        <v>1914</v>
      </c>
      <c r="J2343" s="196"/>
      <c r="K2343" s="196" t="s">
        <v>1881</v>
      </c>
      <c r="L2343" s="240"/>
      <c r="M2343" s="196">
        <v>546</v>
      </c>
      <c r="N2343" s="196"/>
      <c r="O2343" s="196" t="s">
        <v>11063</v>
      </c>
      <c r="P2343" s="144">
        <v>2296</v>
      </c>
      <c r="Q2343" s="148">
        <v>12.75</v>
      </c>
      <c r="R2343" s="203">
        <v>1.2</v>
      </c>
      <c r="S2343" s="203">
        <v>13.95</v>
      </c>
      <c r="T2343" s="203"/>
      <c r="U2343" s="103"/>
      <c r="V2343" s="103"/>
      <c r="W2343" s="203"/>
      <c r="X2343" s="148"/>
      <c r="Y2343" s="148"/>
      <c r="Z2343" s="148"/>
      <c r="AA2343" s="148"/>
      <c r="AB2343" s="148"/>
      <c r="AC2343" s="148"/>
      <c r="AD2343" s="148"/>
      <c r="AH2343" s="147"/>
    </row>
    <row r="2344" spans="1:34" s="146" customFormat="1" x14ac:dyDescent="0.25">
      <c r="A2344" s="196"/>
      <c r="B2344" s="196"/>
      <c r="C2344" s="196" t="s">
        <v>11064</v>
      </c>
      <c r="D2344" s="196" t="s">
        <v>11065</v>
      </c>
      <c r="E2344" s="196"/>
      <c r="F2344" s="196">
        <v>1957</v>
      </c>
      <c r="G2344" s="196"/>
      <c r="H2344" s="196" t="s">
        <v>2734</v>
      </c>
      <c r="I2344" s="141" t="s">
        <v>1914</v>
      </c>
      <c r="J2344" s="196" t="s">
        <v>10914</v>
      </c>
      <c r="K2344" s="196" t="s">
        <v>1881</v>
      </c>
      <c r="L2344" s="240"/>
      <c r="M2344" s="196">
        <v>130</v>
      </c>
      <c r="N2344" s="196"/>
      <c r="O2344" s="196" t="s">
        <v>11066</v>
      </c>
      <c r="P2344" s="144">
        <v>1332</v>
      </c>
      <c r="Q2344" s="148">
        <v>4.79</v>
      </c>
      <c r="R2344" s="203">
        <v>1.2</v>
      </c>
      <c r="S2344" s="203">
        <v>5.99</v>
      </c>
      <c r="T2344" s="203"/>
      <c r="U2344" s="103"/>
      <c r="V2344" s="103"/>
      <c r="W2344" s="203"/>
      <c r="X2344" s="148"/>
      <c r="Y2344" s="148"/>
      <c r="Z2344" s="148"/>
      <c r="AA2344" s="148"/>
      <c r="AB2344" s="148"/>
      <c r="AC2344" s="148"/>
      <c r="AD2344" s="148"/>
      <c r="AH2344" s="147"/>
    </row>
    <row r="2345" spans="1:34" s="146" customFormat="1" x14ac:dyDescent="0.25">
      <c r="A2345" s="196"/>
      <c r="B2345" s="196" t="s">
        <v>11067</v>
      </c>
      <c r="C2345" s="196" t="s">
        <v>11068</v>
      </c>
      <c r="D2345" s="196" t="s">
        <v>5005</v>
      </c>
      <c r="E2345" s="196"/>
      <c r="F2345" s="196"/>
      <c r="G2345" s="196"/>
      <c r="H2345" s="196" t="s">
        <v>2734</v>
      </c>
      <c r="I2345" s="141" t="s">
        <v>1914</v>
      </c>
      <c r="J2345" s="196"/>
      <c r="K2345" s="196" t="s">
        <v>1881</v>
      </c>
      <c r="L2345" s="240"/>
      <c r="M2345" s="196">
        <v>482</v>
      </c>
      <c r="N2345" s="196"/>
      <c r="O2345" s="196" t="s">
        <v>11069</v>
      </c>
      <c r="P2345" s="144">
        <v>2016</v>
      </c>
      <c r="Q2345" s="148">
        <v>8.7000000000000011</v>
      </c>
      <c r="R2345" s="203">
        <v>1.2</v>
      </c>
      <c r="S2345" s="203">
        <v>9.9</v>
      </c>
      <c r="T2345" s="203"/>
      <c r="U2345" s="103"/>
      <c r="V2345" s="103"/>
      <c r="W2345" s="203"/>
      <c r="X2345" s="148"/>
      <c r="Y2345" s="148"/>
      <c r="Z2345" s="148"/>
      <c r="AA2345" s="148"/>
      <c r="AB2345" s="148"/>
      <c r="AC2345" s="148"/>
      <c r="AD2345" s="148"/>
      <c r="AH2345" s="147"/>
    </row>
    <row r="2346" spans="1:34" s="146" customFormat="1" x14ac:dyDescent="0.25">
      <c r="A2346" s="196"/>
      <c r="B2346" s="196"/>
      <c r="C2346" s="196" t="s">
        <v>11070</v>
      </c>
      <c r="D2346" s="196" t="s">
        <v>11071</v>
      </c>
      <c r="E2346" s="196" t="s">
        <v>1877</v>
      </c>
      <c r="F2346" s="196">
        <v>1964</v>
      </c>
      <c r="G2346" s="196"/>
      <c r="H2346" s="196" t="s">
        <v>2734</v>
      </c>
      <c r="I2346" s="141" t="s">
        <v>1879</v>
      </c>
      <c r="J2346" s="196" t="s">
        <v>10914</v>
      </c>
      <c r="K2346" s="196" t="s">
        <v>1881</v>
      </c>
      <c r="L2346" s="240"/>
      <c r="M2346" s="196" t="s">
        <v>11072</v>
      </c>
      <c r="N2346" s="196"/>
      <c r="O2346" s="196" t="s">
        <v>11073</v>
      </c>
      <c r="P2346" s="144">
        <v>288</v>
      </c>
      <c r="Q2346" s="148">
        <v>3</v>
      </c>
      <c r="R2346" s="203">
        <v>1.2</v>
      </c>
      <c r="S2346" s="203">
        <v>4.2</v>
      </c>
      <c r="T2346" s="203"/>
      <c r="U2346" s="103"/>
      <c r="V2346" s="103"/>
      <c r="W2346" s="203"/>
      <c r="X2346" s="148"/>
      <c r="Y2346" s="148"/>
      <c r="Z2346" s="148"/>
      <c r="AA2346" s="148"/>
      <c r="AB2346" s="148"/>
      <c r="AC2346" s="148"/>
      <c r="AD2346" s="148"/>
      <c r="AH2346" s="147"/>
    </row>
    <row r="2347" spans="1:34" s="146" customFormat="1" x14ac:dyDescent="0.25">
      <c r="A2347" s="196"/>
      <c r="B2347" s="196"/>
      <c r="C2347" s="196" t="s">
        <v>11074</v>
      </c>
      <c r="D2347" s="196" t="s">
        <v>11075</v>
      </c>
      <c r="E2347" s="196"/>
      <c r="F2347" s="196"/>
      <c r="G2347" s="196"/>
      <c r="H2347" s="196" t="s">
        <v>2734</v>
      </c>
      <c r="I2347" s="141" t="s">
        <v>6422</v>
      </c>
      <c r="J2347" s="196" t="s">
        <v>10914</v>
      </c>
      <c r="K2347" s="196" t="s">
        <v>1881</v>
      </c>
      <c r="L2347" s="240"/>
      <c r="M2347" s="196">
        <v>162</v>
      </c>
      <c r="N2347" s="196"/>
      <c r="O2347" s="196" t="s">
        <v>11076</v>
      </c>
      <c r="P2347" s="144">
        <v>663</v>
      </c>
      <c r="Q2347" s="148">
        <v>4.5999999999999996</v>
      </c>
      <c r="R2347" s="203">
        <v>1.2</v>
      </c>
      <c r="S2347" s="203">
        <v>5.8</v>
      </c>
      <c r="T2347" s="203"/>
      <c r="U2347" s="103"/>
      <c r="V2347" s="103"/>
      <c r="W2347" s="203"/>
      <c r="X2347" s="148"/>
      <c r="Y2347" s="148"/>
      <c r="Z2347" s="148"/>
      <c r="AA2347" s="148"/>
      <c r="AB2347" s="148"/>
      <c r="AC2347" s="148"/>
      <c r="AD2347" s="148"/>
      <c r="AH2347" s="147"/>
    </row>
    <row r="2348" spans="1:34" s="146" customFormat="1" x14ac:dyDescent="0.25">
      <c r="A2348" s="196">
        <v>481</v>
      </c>
      <c r="B2348" s="196"/>
      <c r="C2348" s="196" t="s">
        <v>11077</v>
      </c>
      <c r="D2348" s="196" t="s">
        <v>11078</v>
      </c>
      <c r="E2348" s="196"/>
      <c r="F2348" s="196">
        <v>2013</v>
      </c>
      <c r="G2348" s="196"/>
      <c r="H2348" s="196" t="s">
        <v>2217</v>
      </c>
      <c r="I2348" s="141" t="s">
        <v>1879</v>
      </c>
      <c r="J2348" s="196"/>
      <c r="K2348" s="196" t="s">
        <v>1881</v>
      </c>
      <c r="L2348" s="240">
        <v>9783956200311</v>
      </c>
      <c r="M2348" s="196">
        <v>224</v>
      </c>
      <c r="N2348" s="196"/>
      <c r="O2348" s="196" t="s">
        <v>11079</v>
      </c>
      <c r="P2348" s="144">
        <v>118</v>
      </c>
      <c r="Q2348" s="148">
        <v>3.01</v>
      </c>
      <c r="R2348" s="203">
        <v>1.2</v>
      </c>
      <c r="S2348" s="203">
        <v>4.21</v>
      </c>
      <c r="T2348" s="203"/>
      <c r="U2348" s="103"/>
      <c r="V2348" s="103"/>
      <c r="W2348" s="203"/>
      <c r="X2348" s="148"/>
      <c r="Y2348" s="148"/>
      <c r="Z2348" s="148"/>
      <c r="AA2348" s="148"/>
      <c r="AB2348" s="148"/>
      <c r="AC2348" s="148"/>
      <c r="AD2348" s="148"/>
      <c r="AH2348" s="147"/>
    </row>
    <row r="2349" spans="1:34" s="146" customFormat="1" x14ac:dyDescent="0.25">
      <c r="A2349" s="196">
        <v>2521</v>
      </c>
      <c r="B2349" s="196" t="s">
        <v>11080</v>
      </c>
      <c r="C2349" s="196" t="s">
        <v>11081</v>
      </c>
      <c r="D2349" s="196" t="s">
        <v>3077</v>
      </c>
      <c r="E2349" s="196"/>
      <c r="F2349" s="196">
        <v>2002</v>
      </c>
      <c r="G2349" s="196"/>
      <c r="H2349" s="196" t="s">
        <v>1878</v>
      </c>
      <c r="I2349" s="141" t="s">
        <v>1914</v>
      </c>
      <c r="J2349" s="196" t="s">
        <v>9092</v>
      </c>
      <c r="K2349" s="196" t="s">
        <v>1881</v>
      </c>
      <c r="L2349" s="240">
        <v>9783442356928</v>
      </c>
      <c r="M2349" s="196">
        <v>512</v>
      </c>
      <c r="N2349" s="196"/>
      <c r="O2349" s="196" t="s">
        <v>11082</v>
      </c>
      <c r="P2349" s="144">
        <v>340</v>
      </c>
      <c r="Q2349" s="148">
        <v>6.5699999999999994</v>
      </c>
      <c r="R2349" s="203">
        <v>1.2</v>
      </c>
      <c r="S2349" s="203">
        <v>7.77</v>
      </c>
      <c r="T2349" s="203"/>
      <c r="U2349" s="103"/>
      <c r="V2349" s="103"/>
      <c r="W2349" s="203"/>
      <c r="X2349" s="148"/>
      <c r="Y2349" s="148"/>
      <c r="Z2349" s="148"/>
      <c r="AA2349" s="148"/>
      <c r="AB2349" s="148"/>
      <c r="AC2349" s="148"/>
      <c r="AD2349" s="148"/>
      <c r="AH2349" s="147"/>
    </row>
    <row r="2350" spans="1:34" s="146" customFormat="1" x14ac:dyDescent="0.25">
      <c r="A2350" s="196">
        <v>2002</v>
      </c>
      <c r="B2350" s="196" t="s">
        <v>7469</v>
      </c>
      <c r="C2350" s="196" t="s">
        <v>11083</v>
      </c>
      <c r="D2350" s="196" t="s">
        <v>2257</v>
      </c>
      <c r="E2350" s="196"/>
      <c r="F2350" s="196">
        <v>1977</v>
      </c>
      <c r="G2350" s="196"/>
      <c r="H2350" s="196" t="s">
        <v>1878</v>
      </c>
      <c r="I2350" s="141" t="s">
        <v>1914</v>
      </c>
      <c r="J2350" s="196"/>
      <c r="K2350" s="196" t="s">
        <v>1881</v>
      </c>
      <c r="L2350" s="240" t="s">
        <v>11084</v>
      </c>
      <c r="M2350" s="196">
        <v>256</v>
      </c>
      <c r="N2350" s="196"/>
      <c r="O2350" s="196" t="s">
        <v>11085</v>
      </c>
      <c r="P2350" s="144">
        <v>275</v>
      </c>
      <c r="Q2350" s="148">
        <v>4.79</v>
      </c>
      <c r="R2350" s="203">
        <v>1.2</v>
      </c>
      <c r="S2350" s="203">
        <v>5.99</v>
      </c>
      <c r="T2350" s="203"/>
      <c r="U2350" s="103"/>
      <c r="V2350" s="103"/>
      <c r="W2350" s="203"/>
      <c r="X2350" s="148"/>
      <c r="Y2350" s="148"/>
      <c r="Z2350" s="148"/>
      <c r="AA2350" s="148"/>
      <c r="AB2350" s="148"/>
      <c r="AC2350" s="148"/>
      <c r="AD2350" s="148"/>
      <c r="AH2350" s="147"/>
    </row>
    <row r="2351" spans="1:34" s="146" customFormat="1" x14ac:dyDescent="0.25">
      <c r="A2351" s="196">
        <v>722</v>
      </c>
      <c r="B2351" s="196" t="s">
        <v>11086</v>
      </c>
      <c r="C2351" s="196" t="s">
        <v>11087</v>
      </c>
      <c r="D2351" s="196" t="s">
        <v>11088</v>
      </c>
      <c r="E2351" s="196" t="s">
        <v>1913</v>
      </c>
      <c r="F2351" s="196">
        <v>1985</v>
      </c>
      <c r="G2351" s="196"/>
      <c r="H2351" s="196" t="s">
        <v>2734</v>
      </c>
      <c r="I2351" s="141" t="s">
        <v>1914</v>
      </c>
      <c r="J2351" s="196"/>
      <c r="K2351" s="196" t="s">
        <v>1881</v>
      </c>
      <c r="L2351" s="240"/>
      <c r="M2351" s="196">
        <v>266</v>
      </c>
      <c r="N2351" s="196"/>
      <c r="O2351" s="196" t="s">
        <v>11089</v>
      </c>
      <c r="P2351" s="144">
        <v>406</v>
      </c>
      <c r="Q2351" s="148">
        <v>10.200000000000001</v>
      </c>
      <c r="R2351" s="203">
        <v>1.2</v>
      </c>
      <c r="S2351" s="203">
        <v>11.4</v>
      </c>
      <c r="T2351" s="203"/>
      <c r="U2351" s="103"/>
      <c r="V2351" s="103"/>
      <c r="W2351" s="203"/>
      <c r="X2351" s="148"/>
      <c r="Y2351" s="148"/>
      <c r="Z2351" s="148"/>
      <c r="AA2351" s="148"/>
      <c r="AB2351" s="148"/>
      <c r="AC2351" s="148"/>
      <c r="AD2351" s="148"/>
      <c r="AH2351" s="147"/>
    </row>
    <row r="2352" spans="1:34" s="146" customFormat="1" x14ac:dyDescent="0.25">
      <c r="A2352" s="196">
        <v>1327</v>
      </c>
      <c r="B2352" s="196" t="s">
        <v>11090</v>
      </c>
      <c r="C2352" s="196" t="s">
        <v>11091</v>
      </c>
      <c r="D2352" s="196" t="s">
        <v>2644</v>
      </c>
      <c r="E2352" s="196"/>
      <c r="F2352" s="196">
        <v>1997</v>
      </c>
      <c r="G2352" s="196"/>
      <c r="H2352" s="196" t="s">
        <v>2734</v>
      </c>
      <c r="I2352" s="141" t="s">
        <v>1879</v>
      </c>
      <c r="J2352" s="196"/>
      <c r="K2352" s="196" t="s">
        <v>1881</v>
      </c>
      <c r="L2352" s="240">
        <v>9783937793238</v>
      </c>
      <c r="M2352" s="196">
        <v>226</v>
      </c>
      <c r="N2352" s="196"/>
      <c r="O2352" s="196" t="s">
        <v>11092</v>
      </c>
      <c r="P2352" s="144">
        <v>319</v>
      </c>
      <c r="Q2352" s="148">
        <v>2.6799999999999997</v>
      </c>
      <c r="R2352" s="203">
        <v>1.2</v>
      </c>
      <c r="S2352" s="203">
        <v>3.88</v>
      </c>
      <c r="T2352" s="203"/>
      <c r="U2352" s="103"/>
      <c r="V2352" s="103"/>
      <c r="W2352" s="203"/>
      <c r="X2352" s="148"/>
      <c r="Y2352" s="148"/>
      <c r="Z2352" s="148"/>
      <c r="AA2352" s="148"/>
      <c r="AB2352" s="148"/>
      <c r="AC2352" s="148"/>
      <c r="AD2352" s="148"/>
      <c r="AH2352" s="147"/>
    </row>
    <row r="2353" spans="1:34" s="146" customFormat="1" x14ac:dyDescent="0.25">
      <c r="A2353" s="196">
        <v>765</v>
      </c>
      <c r="B2353" s="196" t="s">
        <v>11093</v>
      </c>
      <c r="C2353" s="196" t="s">
        <v>11094</v>
      </c>
      <c r="D2353" s="196" t="s">
        <v>1988</v>
      </c>
      <c r="E2353" s="196" t="s">
        <v>2175</v>
      </c>
      <c r="F2353" s="196">
        <v>2006</v>
      </c>
      <c r="G2353" s="196"/>
      <c r="H2353" s="196" t="s">
        <v>1878</v>
      </c>
      <c r="I2353" s="141" t="s">
        <v>7527</v>
      </c>
      <c r="J2353" s="196" t="s">
        <v>9495</v>
      </c>
      <c r="K2353" s="196" t="s">
        <v>1881</v>
      </c>
      <c r="L2353" s="240">
        <v>9783423244480</v>
      </c>
      <c r="M2353" s="196">
        <v>374</v>
      </c>
      <c r="N2353" s="196"/>
      <c r="O2353" s="196" t="s">
        <v>11095</v>
      </c>
      <c r="P2353" s="144">
        <v>473</v>
      </c>
      <c r="Q2353" s="148">
        <v>3.08</v>
      </c>
      <c r="R2353" s="203">
        <v>1.2</v>
      </c>
      <c r="S2353" s="203">
        <v>4.28</v>
      </c>
      <c r="T2353" s="203"/>
      <c r="U2353" s="103"/>
      <c r="V2353" s="103"/>
      <c r="W2353" s="203"/>
      <c r="X2353" s="148"/>
      <c r="Y2353" s="148"/>
      <c r="Z2353" s="148"/>
      <c r="AA2353" s="148"/>
      <c r="AB2353" s="148"/>
      <c r="AC2353" s="148"/>
      <c r="AD2353" s="148"/>
      <c r="AH2353" s="147"/>
    </row>
    <row r="2354" spans="1:34" s="146" customFormat="1" x14ac:dyDescent="0.25">
      <c r="A2354" s="196">
        <v>632</v>
      </c>
      <c r="B2354" s="196" t="s">
        <v>11096</v>
      </c>
      <c r="C2354" s="196" t="s">
        <v>11097</v>
      </c>
      <c r="D2354" s="196" t="s">
        <v>2309</v>
      </c>
      <c r="E2354" s="196"/>
      <c r="F2354" s="196">
        <v>2002</v>
      </c>
      <c r="G2354" s="196"/>
      <c r="H2354" s="196" t="s">
        <v>2734</v>
      </c>
      <c r="I2354" s="141" t="s">
        <v>1879</v>
      </c>
      <c r="J2354" s="196"/>
      <c r="K2354" s="196" t="s">
        <v>1881</v>
      </c>
      <c r="L2354" s="240">
        <v>3550084048</v>
      </c>
      <c r="M2354" s="196">
        <v>503</v>
      </c>
      <c r="N2354" s="196"/>
      <c r="O2354" s="196" t="s">
        <v>11098</v>
      </c>
      <c r="P2354" s="144">
        <v>766</v>
      </c>
      <c r="Q2354" s="148">
        <v>6.2</v>
      </c>
      <c r="R2354" s="203">
        <v>1.2</v>
      </c>
      <c r="S2354" s="203">
        <v>7.4</v>
      </c>
      <c r="T2354" s="203"/>
      <c r="U2354" s="103"/>
      <c r="V2354" s="103"/>
      <c r="W2354" s="203"/>
      <c r="X2354" s="148"/>
      <c r="Y2354" s="148"/>
      <c r="Z2354" s="148"/>
      <c r="AA2354" s="148"/>
      <c r="AB2354" s="148"/>
      <c r="AC2354" s="148"/>
      <c r="AD2354" s="148"/>
      <c r="AH2354" s="147"/>
    </row>
    <row r="2355" spans="1:34" s="146" customFormat="1" x14ac:dyDescent="0.25">
      <c r="A2355" s="196">
        <v>689</v>
      </c>
      <c r="B2355" s="196" t="s">
        <v>11099</v>
      </c>
      <c r="C2355" s="196" t="s">
        <v>11100</v>
      </c>
      <c r="D2355" s="196" t="s">
        <v>1876</v>
      </c>
      <c r="E2355" s="196" t="s">
        <v>1877</v>
      </c>
      <c r="F2355" s="196">
        <v>2006</v>
      </c>
      <c r="G2355" s="196"/>
      <c r="H2355" s="196" t="s">
        <v>1878</v>
      </c>
      <c r="I2355" s="141" t="s">
        <v>1879</v>
      </c>
      <c r="J2355" s="196"/>
      <c r="K2355" s="196" t="s">
        <v>1881</v>
      </c>
      <c r="L2355" s="240">
        <v>9783492266178</v>
      </c>
      <c r="M2355" s="196">
        <v>508</v>
      </c>
      <c r="N2355" s="196"/>
      <c r="O2355" s="196" t="s">
        <v>11101</v>
      </c>
      <c r="P2355" s="144">
        <v>559</v>
      </c>
      <c r="Q2355" s="148">
        <v>2.67</v>
      </c>
      <c r="R2355" s="203">
        <v>1.2</v>
      </c>
      <c r="S2355" s="203">
        <v>3.87</v>
      </c>
      <c r="T2355" s="203"/>
      <c r="U2355" s="103"/>
      <c r="V2355" s="103"/>
      <c r="W2355" s="203"/>
      <c r="X2355" s="148"/>
      <c r="Y2355" s="148"/>
      <c r="Z2355" s="148"/>
      <c r="AA2355" s="148"/>
      <c r="AB2355" s="148"/>
      <c r="AC2355" s="148"/>
      <c r="AD2355" s="148"/>
      <c r="AH2355" s="147"/>
    </row>
    <row r="2356" spans="1:34" s="146" customFormat="1" x14ac:dyDescent="0.25">
      <c r="A2356" s="196">
        <v>1396</v>
      </c>
      <c r="B2356" s="196" t="s">
        <v>11102</v>
      </c>
      <c r="C2356" s="196" t="s">
        <v>11103</v>
      </c>
      <c r="D2356" s="196" t="s">
        <v>2176</v>
      </c>
      <c r="E2356" s="196"/>
      <c r="F2356" s="196">
        <v>1997</v>
      </c>
      <c r="G2356" s="196"/>
      <c r="H2356" s="196" t="s">
        <v>2734</v>
      </c>
      <c r="I2356" s="141" t="s">
        <v>1929</v>
      </c>
      <c r="J2356" s="196"/>
      <c r="K2356" s="196" t="s">
        <v>1881</v>
      </c>
      <c r="L2356" s="240">
        <v>3100402138</v>
      </c>
      <c r="M2356" s="196">
        <v>525</v>
      </c>
      <c r="N2356" s="196"/>
      <c r="O2356" s="196" t="s">
        <v>11104</v>
      </c>
      <c r="P2356" s="144">
        <v>621</v>
      </c>
      <c r="Q2356" s="148">
        <v>2.2800000000000002</v>
      </c>
      <c r="R2356" s="203">
        <v>1.2</v>
      </c>
      <c r="S2356" s="203">
        <v>3.48</v>
      </c>
      <c r="T2356" s="203"/>
      <c r="U2356" s="103"/>
      <c r="V2356" s="103"/>
      <c r="W2356" s="203"/>
      <c r="X2356" s="148"/>
      <c r="Y2356" s="148"/>
      <c r="Z2356" s="148"/>
      <c r="AA2356" s="148"/>
      <c r="AB2356" s="148"/>
      <c r="AC2356" s="148"/>
      <c r="AD2356" s="148"/>
      <c r="AH2356" s="147"/>
    </row>
    <row r="2357" spans="1:34" s="146" customFormat="1" x14ac:dyDescent="0.25">
      <c r="A2357" s="196">
        <v>2553</v>
      </c>
      <c r="B2357" s="196" t="s">
        <v>11105</v>
      </c>
      <c r="C2357" s="196" t="s">
        <v>11106</v>
      </c>
      <c r="D2357" s="196" t="s">
        <v>2054</v>
      </c>
      <c r="E2357" s="196"/>
      <c r="F2357" s="196">
        <v>2007</v>
      </c>
      <c r="G2357" s="196"/>
      <c r="H2357" s="196" t="s">
        <v>1878</v>
      </c>
      <c r="I2357" s="141" t="s">
        <v>1914</v>
      </c>
      <c r="J2357" s="196"/>
      <c r="K2357" s="196" t="s">
        <v>1881</v>
      </c>
      <c r="L2357" s="240">
        <v>4026411117058</v>
      </c>
      <c r="M2357" s="196">
        <v>613</v>
      </c>
      <c r="N2357" s="196"/>
      <c r="O2357" s="196" t="s">
        <v>11107</v>
      </c>
      <c r="P2357" s="144">
        <v>453</v>
      </c>
      <c r="Q2357" s="148">
        <v>2.4000000000000004</v>
      </c>
      <c r="R2357" s="203">
        <v>1.2</v>
      </c>
      <c r="S2357" s="203">
        <v>3.6</v>
      </c>
      <c r="T2357" s="203"/>
      <c r="U2357" s="103"/>
      <c r="V2357" s="103"/>
      <c r="W2357" s="203"/>
      <c r="X2357" s="148"/>
      <c r="Y2357" s="148"/>
      <c r="Z2357" s="148"/>
      <c r="AA2357" s="148"/>
      <c r="AB2357" s="148"/>
      <c r="AC2357" s="148"/>
      <c r="AD2357" s="148"/>
      <c r="AH2357" s="147"/>
    </row>
    <row r="2358" spans="1:34" s="146" customFormat="1" x14ac:dyDescent="0.25">
      <c r="A2358" s="196">
        <v>796</v>
      </c>
      <c r="B2358" s="196" t="s">
        <v>9506</v>
      </c>
      <c r="C2358" s="196" t="s">
        <v>11108</v>
      </c>
      <c r="D2358" s="196" t="s">
        <v>1920</v>
      </c>
      <c r="E2358" s="196"/>
      <c r="F2358" s="196">
        <v>2007</v>
      </c>
      <c r="G2358" s="196"/>
      <c r="H2358" s="196" t="s">
        <v>1878</v>
      </c>
      <c r="I2358" s="141" t="s">
        <v>1879</v>
      </c>
      <c r="J2358" s="196" t="s">
        <v>9495</v>
      </c>
      <c r="K2358" s="196" t="s">
        <v>1881</v>
      </c>
      <c r="L2358" s="240">
        <v>9783404157136</v>
      </c>
      <c r="M2358" s="196">
        <v>813</v>
      </c>
      <c r="N2358" s="196"/>
      <c r="O2358" s="196" t="s">
        <v>11109</v>
      </c>
      <c r="P2358" s="144">
        <v>590</v>
      </c>
      <c r="Q2358" s="148">
        <v>2.83</v>
      </c>
      <c r="R2358" s="203">
        <v>1.2</v>
      </c>
      <c r="S2358" s="203">
        <v>4.03</v>
      </c>
      <c r="T2358" s="203"/>
      <c r="U2358" s="103"/>
      <c r="V2358" s="103"/>
      <c r="W2358" s="203"/>
      <c r="X2358" s="148"/>
      <c r="Y2358" s="148"/>
      <c r="Z2358" s="148"/>
      <c r="AA2358" s="148"/>
      <c r="AB2358" s="148"/>
      <c r="AC2358" s="148"/>
      <c r="AD2358" s="148"/>
      <c r="AH2358" s="147"/>
    </row>
    <row r="2359" spans="1:34" s="146" customFormat="1" x14ac:dyDescent="0.25">
      <c r="A2359" s="196">
        <v>1386</v>
      </c>
      <c r="B2359" s="196" t="s">
        <v>11110</v>
      </c>
      <c r="C2359" s="196" t="s">
        <v>11111</v>
      </c>
      <c r="D2359" s="196" t="s">
        <v>2209</v>
      </c>
      <c r="E2359" s="196" t="s">
        <v>1899</v>
      </c>
      <c r="F2359" s="196">
        <v>2001</v>
      </c>
      <c r="G2359" s="196"/>
      <c r="H2359" s="196" t="s">
        <v>2734</v>
      </c>
      <c r="I2359" s="141" t="s">
        <v>1879</v>
      </c>
      <c r="J2359" s="196"/>
      <c r="K2359" s="196" t="s">
        <v>1881</v>
      </c>
      <c r="L2359" s="240">
        <v>3453185994</v>
      </c>
      <c r="M2359" s="196">
        <v>591</v>
      </c>
      <c r="N2359" s="196"/>
      <c r="O2359" s="196" t="s">
        <v>11112</v>
      </c>
      <c r="P2359" s="144">
        <v>844</v>
      </c>
      <c r="Q2359" s="148">
        <v>2.6399999999999997</v>
      </c>
      <c r="R2359" s="203">
        <v>1.2</v>
      </c>
      <c r="S2359" s="203">
        <v>3.84</v>
      </c>
      <c r="T2359" s="203"/>
      <c r="U2359" s="103"/>
      <c r="V2359" s="103"/>
      <c r="W2359" s="203"/>
      <c r="X2359" s="148"/>
      <c r="Y2359" s="148"/>
      <c r="Z2359" s="148"/>
      <c r="AA2359" s="148"/>
      <c r="AB2359" s="148"/>
      <c r="AC2359" s="148"/>
      <c r="AD2359" s="148"/>
      <c r="AH2359" s="147"/>
    </row>
    <row r="2360" spans="1:34" s="146" customFormat="1" x14ac:dyDescent="0.25">
      <c r="A2360" s="196">
        <v>2553</v>
      </c>
      <c r="B2360" s="196" t="s">
        <v>11113</v>
      </c>
      <c r="C2360" s="196" t="s">
        <v>11114</v>
      </c>
      <c r="D2360" s="196" t="s">
        <v>11115</v>
      </c>
      <c r="E2360" s="196" t="s">
        <v>1913</v>
      </c>
      <c r="F2360" s="196">
        <v>2005</v>
      </c>
      <c r="G2360" s="196"/>
      <c r="H2360" s="196" t="s">
        <v>1878</v>
      </c>
      <c r="I2360" s="141" t="s">
        <v>1879</v>
      </c>
      <c r="J2360" s="196"/>
      <c r="K2360" s="196" t="s">
        <v>1881</v>
      </c>
      <c r="L2360" s="240">
        <v>9783746621357</v>
      </c>
      <c r="M2360" s="196">
        <v>443</v>
      </c>
      <c r="N2360" s="196"/>
      <c r="O2360" s="196" t="s">
        <v>11116</v>
      </c>
      <c r="P2360" s="144">
        <v>361</v>
      </c>
      <c r="Q2360" s="148">
        <v>4.58</v>
      </c>
      <c r="R2360" s="203">
        <v>1.2</v>
      </c>
      <c r="S2360" s="203">
        <v>5.78</v>
      </c>
      <c r="T2360" s="203"/>
      <c r="U2360" s="103"/>
      <c r="V2360" s="103"/>
      <c r="W2360" s="203"/>
      <c r="X2360" s="148"/>
      <c r="Y2360" s="148"/>
      <c r="Z2360" s="148"/>
      <c r="AA2360" s="148"/>
      <c r="AB2360" s="148"/>
      <c r="AC2360" s="148"/>
      <c r="AD2360" s="148"/>
      <c r="AH2360" s="147"/>
    </row>
    <row r="2361" spans="1:34" s="146" customFormat="1" x14ac:dyDescent="0.25">
      <c r="A2361" s="196">
        <v>796</v>
      </c>
      <c r="B2361" s="196" t="s">
        <v>2629</v>
      </c>
      <c r="C2361" s="196" t="s">
        <v>11117</v>
      </c>
      <c r="D2361" s="196" t="s">
        <v>1876</v>
      </c>
      <c r="E2361" s="196" t="s">
        <v>3053</v>
      </c>
      <c r="F2361" s="196">
        <v>2017</v>
      </c>
      <c r="G2361" s="196"/>
      <c r="H2361" s="196" t="s">
        <v>1878</v>
      </c>
      <c r="I2361" s="141" t="s">
        <v>7527</v>
      </c>
      <c r="J2361" s="196" t="s">
        <v>9196</v>
      </c>
      <c r="K2361" s="196" t="s">
        <v>1881</v>
      </c>
      <c r="L2361" s="240">
        <v>9783492235938</v>
      </c>
      <c r="M2361" s="196">
        <v>654</v>
      </c>
      <c r="N2361" s="196"/>
      <c r="O2361" s="196" t="s">
        <v>11118</v>
      </c>
      <c r="P2361" s="144">
        <v>463</v>
      </c>
      <c r="Q2361" s="148">
        <v>3.0199999999999996</v>
      </c>
      <c r="R2361" s="203">
        <v>1.2</v>
      </c>
      <c r="S2361" s="203">
        <v>4.22</v>
      </c>
      <c r="T2361" s="203"/>
      <c r="U2361" s="103"/>
      <c r="V2361" s="103"/>
      <c r="W2361" s="203"/>
      <c r="X2361" s="148"/>
      <c r="Y2361" s="148"/>
      <c r="Z2361" s="148"/>
      <c r="AA2361" s="148"/>
      <c r="AB2361" s="148"/>
      <c r="AC2361" s="148"/>
      <c r="AD2361" s="148"/>
      <c r="AH2361" s="147"/>
    </row>
    <row r="2362" spans="1:34" s="146" customFormat="1" x14ac:dyDescent="0.25">
      <c r="A2362" s="196">
        <v>701</v>
      </c>
      <c r="B2362" s="196" t="s">
        <v>11119</v>
      </c>
      <c r="C2362" s="196" t="s">
        <v>11120</v>
      </c>
      <c r="D2362" s="196" t="s">
        <v>1988</v>
      </c>
      <c r="E2362" s="196"/>
      <c r="F2362" s="196">
        <v>2006</v>
      </c>
      <c r="G2362" s="196"/>
      <c r="H2362" s="196" t="s">
        <v>1878</v>
      </c>
      <c r="I2362" s="141" t="s">
        <v>1879</v>
      </c>
      <c r="J2362" s="196"/>
      <c r="K2362" s="196" t="s">
        <v>1881</v>
      </c>
      <c r="L2362" s="240">
        <v>9783423134828</v>
      </c>
      <c r="M2362" s="196">
        <v>190</v>
      </c>
      <c r="N2362" s="196"/>
      <c r="O2362" s="196" t="s">
        <v>11121</v>
      </c>
      <c r="P2362" s="144">
        <v>167</v>
      </c>
      <c r="Q2362" s="148">
        <v>4.1899999999999995</v>
      </c>
      <c r="R2362" s="203">
        <v>1.2</v>
      </c>
      <c r="S2362" s="203">
        <v>5.39</v>
      </c>
      <c r="T2362" s="203"/>
      <c r="U2362" s="103"/>
      <c r="V2362" s="103"/>
      <c r="W2362" s="203"/>
      <c r="X2362" s="148"/>
      <c r="Y2362" s="148"/>
      <c r="Z2362" s="148"/>
      <c r="AA2362" s="148"/>
      <c r="AB2362" s="148"/>
      <c r="AC2362" s="148"/>
      <c r="AD2362" s="148"/>
      <c r="AH2362" s="147"/>
    </row>
    <row r="2363" spans="1:34" s="146" customFormat="1" x14ac:dyDescent="0.25">
      <c r="A2363" s="196">
        <v>1289</v>
      </c>
      <c r="B2363" s="196" t="s">
        <v>11122</v>
      </c>
      <c r="C2363" s="196" t="s">
        <v>11123</v>
      </c>
      <c r="D2363" s="196" t="s">
        <v>1912</v>
      </c>
      <c r="E2363" s="196" t="s">
        <v>6097</v>
      </c>
      <c r="F2363" s="196">
        <v>1997</v>
      </c>
      <c r="G2363" s="196"/>
      <c r="H2363" s="196" t="s">
        <v>2734</v>
      </c>
      <c r="I2363" s="141" t="s">
        <v>1929</v>
      </c>
      <c r="J2363" s="196"/>
      <c r="K2363" s="196" t="s">
        <v>1881</v>
      </c>
      <c r="L2363" s="240">
        <v>3442307376</v>
      </c>
      <c r="M2363" s="196">
        <v>316</v>
      </c>
      <c r="N2363" s="196"/>
      <c r="O2363" s="196" t="s">
        <v>11124</v>
      </c>
      <c r="P2363" s="144">
        <v>460</v>
      </c>
      <c r="Q2363" s="148">
        <v>4.3</v>
      </c>
      <c r="R2363" s="203">
        <v>1.2</v>
      </c>
      <c r="S2363" s="203">
        <v>5.5</v>
      </c>
      <c r="T2363" s="203"/>
      <c r="U2363" s="103"/>
      <c r="V2363" s="103"/>
      <c r="W2363" s="203"/>
      <c r="X2363" s="148"/>
      <c r="Y2363" s="148"/>
      <c r="Z2363" s="148"/>
      <c r="AA2363" s="148"/>
      <c r="AB2363" s="148"/>
      <c r="AC2363" s="148"/>
      <c r="AD2363" s="148"/>
      <c r="AH2363" s="147"/>
    </row>
    <row r="2364" spans="1:34" s="146" customFormat="1" x14ac:dyDescent="0.25">
      <c r="A2364" s="196">
        <v>1289</v>
      </c>
      <c r="B2364" s="196" t="s">
        <v>11122</v>
      </c>
      <c r="C2364" s="196" t="s">
        <v>11125</v>
      </c>
      <c r="D2364" s="196" t="s">
        <v>1912</v>
      </c>
      <c r="E2364" s="196" t="s">
        <v>2358</v>
      </c>
      <c r="F2364" s="196">
        <v>1998</v>
      </c>
      <c r="G2364" s="196"/>
      <c r="H2364" s="196" t="s">
        <v>2734</v>
      </c>
      <c r="I2364" s="141" t="s">
        <v>1929</v>
      </c>
      <c r="J2364" s="196"/>
      <c r="K2364" s="196" t="s">
        <v>1881</v>
      </c>
      <c r="L2364" s="240">
        <v>3442336120</v>
      </c>
      <c r="M2364" s="196">
        <v>380</v>
      </c>
      <c r="N2364" s="196"/>
      <c r="O2364" s="196" t="s">
        <v>11126</v>
      </c>
      <c r="P2364" s="144">
        <v>523</v>
      </c>
      <c r="Q2364" s="148">
        <v>5.29</v>
      </c>
      <c r="R2364" s="203">
        <v>1.2</v>
      </c>
      <c r="S2364" s="203">
        <v>6.49</v>
      </c>
      <c r="T2364" s="203"/>
      <c r="U2364" s="103"/>
      <c r="V2364" s="103"/>
      <c r="W2364" s="203"/>
      <c r="X2364" s="148"/>
      <c r="Y2364" s="148"/>
      <c r="Z2364" s="148"/>
      <c r="AA2364" s="148"/>
      <c r="AB2364" s="148"/>
      <c r="AC2364" s="148"/>
      <c r="AD2364" s="148"/>
      <c r="AH2364" s="147"/>
    </row>
    <row r="2365" spans="1:34" s="146" customFormat="1" x14ac:dyDescent="0.25">
      <c r="A2365" s="196">
        <v>1289</v>
      </c>
      <c r="B2365" s="196" t="s">
        <v>11122</v>
      </c>
      <c r="C2365" s="196" t="s">
        <v>11127</v>
      </c>
      <c r="D2365" s="196" t="s">
        <v>1912</v>
      </c>
      <c r="E2365" s="196" t="s">
        <v>2375</v>
      </c>
      <c r="F2365" s="196">
        <v>1998</v>
      </c>
      <c r="G2365" s="196"/>
      <c r="H2365" s="196" t="s">
        <v>2734</v>
      </c>
      <c r="I2365" s="141" t="s">
        <v>1929</v>
      </c>
      <c r="J2365" s="196"/>
      <c r="K2365" s="196" t="s">
        <v>1881</v>
      </c>
      <c r="L2365" s="240">
        <v>3442336279</v>
      </c>
      <c r="M2365" s="196">
        <v>473</v>
      </c>
      <c r="N2365" s="196"/>
      <c r="O2365" s="196" t="s">
        <v>11128</v>
      </c>
      <c r="P2365" s="144">
        <v>572</v>
      </c>
      <c r="Q2365" s="148">
        <v>3.8499999999999996</v>
      </c>
      <c r="R2365" s="203">
        <v>1.2</v>
      </c>
      <c r="S2365" s="203">
        <v>5.05</v>
      </c>
      <c r="T2365" s="203"/>
      <c r="U2365" s="103"/>
      <c r="V2365" s="103"/>
      <c r="W2365" s="203"/>
      <c r="X2365" s="148"/>
      <c r="Y2365" s="148"/>
      <c r="Z2365" s="148"/>
      <c r="AA2365" s="148"/>
      <c r="AB2365" s="148"/>
      <c r="AC2365" s="148"/>
      <c r="AD2365" s="148"/>
      <c r="AH2365" s="147"/>
    </row>
    <row r="2366" spans="1:34" s="146" customFormat="1" x14ac:dyDescent="0.25">
      <c r="A2366" s="196">
        <v>548</v>
      </c>
      <c r="B2366" s="196" t="s">
        <v>11129</v>
      </c>
      <c r="C2366" s="196" t="s">
        <v>11130</v>
      </c>
      <c r="D2366" s="196" t="s">
        <v>9974</v>
      </c>
      <c r="E2366" s="196"/>
      <c r="F2366" s="196">
        <v>2000</v>
      </c>
      <c r="G2366" s="196"/>
      <c r="H2366" s="196" t="s">
        <v>2734</v>
      </c>
      <c r="I2366" s="141" t="s">
        <v>1879</v>
      </c>
      <c r="J2366" s="196"/>
      <c r="K2366" s="196" t="s">
        <v>1881</v>
      </c>
      <c r="L2366" s="240"/>
      <c r="M2366" s="196">
        <v>254</v>
      </c>
      <c r="N2366" s="196"/>
      <c r="O2366" s="196" t="s">
        <v>11131</v>
      </c>
      <c r="P2366" s="144">
        <v>424</v>
      </c>
      <c r="Q2366" s="148">
        <v>6.54</v>
      </c>
      <c r="R2366" s="203">
        <v>1.2</v>
      </c>
      <c r="S2366" s="203">
        <v>7.74</v>
      </c>
      <c r="T2366" s="203"/>
      <c r="U2366" s="103"/>
      <c r="V2366" s="103"/>
      <c r="W2366" s="203"/>
      <c r="X2366" s="148"/>
      <c r="Y2366" s="148"/>
      <c r="Z2366" s="148"/>
      <c r="AA2366" s="148"/>
      <c r="AB2366" s="148"/>
      <c r="AC2366" s="148"/>
      <c r="AD2366" s="148"/>
      <c r="AH2366" s="147"/>
    </row>
    <row r="2367" spans="1:34" s="146" customFormat="1" x14ac:dyDescent="0.25">
      <c r="A2367" s="196">
        <v>2551</v>
      </c>
      <c r="B2367" s="196" t="s">
        <v>8218</v>
      </c>
      <c r="C2367" s="196" t="s">
        <v>8219</v>
      </c>
      <c r="D2367" s="196"/>
      <c r="E2367" s="196" t="s">
        <v>2375</v>
      </c>
      <c r="F2367" s="196">
        <v>2013</v>
      </c>
      <c r="G2367" s="196"/>
      <c r="H2367" s="196" t="s">
        <v>1878</v>
      </c>
      <c r="I2367" s="141" t="s">
        <v>1879</v>
      </c>
      <c r="J2367" s="196"/>
      <c r="K2367" s="196" t="s">
        <v>1881</v>
      </c>
      <c r="L2367" s="240">
        <v>9783499256707</v>
      </c>
      <c r="M2367" s="196"/>
      <c r="N2367" s="196"/>
      <c r="O2367" s="196" t="s">
        <v>11132</v>
      </c>
      <c r="P2367" s="144">
        <v>543</v>
      </c>
      <c r="Q2367" s="148">
        <v>2.7300000000000004</v>
      </c>
      <c r="R2367" s="203">
        <v>1.2</v>
      </c>
      <c r="S2367" s="203">
        <v>3.93</v>
      </c>
      <c r="T2367" s="203"/>
      <c r="U2367" s="103"/>
      <c r="V2367" s="103"/>
      <c r="W2367" s="203"/>
      <c r="X2367" s="148"/>
      <c r="Y2367" s="148"/>
      <c r="Z2367" s="148"/>
      <c r="AA2367" s="148"/>
      <c r="AB2367" s="148"/>
      <c r="AC2367" s="148"/>
      <c r="AD2367" s="148"/>
      <c r="AH2367" s="147"/>
    </row>
    <row r="2368" spans="1:34" s="146" customFormat="1" x14ac:dyDescent="0.25">
      <c r="A2368" s="196">
        <v>2851</v>
      </c>
      <c r="B2368" s="196" t="s">
        <v>11133</v>
      </c>
      <c r="C2368" s="196" t="s">
        <v>11134</v>
      </c>
      <c r="D2368" s="196" t="s">
        <v>2309</v>
      </c>
      <c r="E2368" s="196"/>
      <c r="F2368" s="196">
        <v>2013</v>
      </c>
      <c r="G2368" s="196"/>
      <c r="H2368" s="196" t="s">
        <v>2734</v>
      </c>
      <c r="I2368" s="141" t="s">
        <v>1929</v>
      </c>
      <c r="J2368" s="196"/>
      <c r="K2368" s="196" t="s">
        <v>1881</v>
      </c>
      <c r="L2368" s="240">
        <v>9783550080005</v>
      </c>
      <c r="M2368" s="196">
        <v>338</v>
      </c>
      <c r="N2368" s="196"/>
      <c r="O2368" s="196" t="s">
        <v>11135</v>
      </c>
      <c r="P2368" s="144">
        <v>554</v>
      </c>
      <c r="Q2368" s="148">
        <v>2.9799999999999995</v>
      </c>
      <c r="R2368" s="203">
        <v>1.2</v>
      </c>
      <c r="S2368" s="203">
        <v>4.18</v>
      </c>
      <c r="T2368" s="203"/>
      <c r="U2368" s="103"/>
      <c r="V2368" s="103"/>
      <c r="W2368" s="203"/>
      <c r="X2368" s="148"/>
      <c r="Y2368" s="148"/>
      <c r="Z2368" s="148"/>
      <c r="AA2368" s="148"/>
      <c r="AB2368" s="148"/>
      <c r="AC2368" s="148"/>
      <c r="AD2368" s="148"/>
      <c r="AH2368" s="147"/>
    </row>
    <row r="2369" spans="1:34" s="146" customFormat="1" x14ac:dyDescent="0.25">
      <c r="A2369" s="196">
        <v>692</v>
      </c>
      <c r="B2369" s="196" t="s">
        <v>11136</v>
      </c>
      <c r="C2369" s="196" t="s">
        <v>11137</v>
      </c>
      <c r="D2369" s="196" t="s">
        <v>2257</v>
      </c>
      <c r="E2369" s="196"/>
      <c r="F2369" s="196">
        <v>2006</v>
      </c>
      <c r="G2369" s="196"/>
      <c r="H2369" s="196" t="s">
        <v>1878</v>
      </c>
      <c r="I2369" s="141" t="s">
        <v>1879</v>
      </c>
      <c r="J2369" s="196"/>
      <c r="K2369" s="196" t="s">
        <v>1881</v>
      </c>
      <c r="L2369" s="240">
        <v>9783426632437</v>
      </c>
      <c r="M2369" s="196">
        <v>288</v>
      </c>
      <c r="N2369" s="196"/>
      <c r="O2369" s="196" t="s">
        <v>11138</v>
      </c>
      <c r="P2369" s="144">
        <v>259</v>
      </c>
      <c r="Q2369" s="148">
        <v>3.88</v>
      </c>
      <c r="R2369" s="203">
        <v>1.2</v>
      </c>
      <c r="S2369" s="203">
        <v>5.08</v>
      </c>
      <c r="T2369" s="203"/>
      <c r="U2369" s="103"/>
      <c r="V2369" s="103"/>
      <c r="W2369" s="203"/>
      <c r="X2369" s="148"/>
      <c r="Y2369" s="148"/>
      <c r="Z2369" s="148"/>
      <c r="AA2369" s="148"/>
      <c r="AB2369" s="148"/>
      <c r="AC2369" s="148"/>
      <c r="AD2369" s="148"/>
      <c r="AH2369" s="147"/>
    </row>
    <row r="2370" spans="1:34" s="146" customFormat="1" x14ac:dyDescent="0.25">
      <c r="A2370" s="196">
        <v>1327</v>
      </c>
      <c r="B2370" s="196" t="s">
        <v>11139</v>
      </c>
      <c r="C2370" s="196" t="s">
        <v>11140</v>
      </c>
      <c r="D2370" s="196" t="s">
        <v>2257</v>
      </c>
      <c r="E2370" s="196"/>
      <c r="F2370" s="196">
        <v>2019</v>
      </c>
      <c r="G2370" s="196"/>
      <c r="H2370" s="196" t="s">
        <v>1878</v>
      </c>
      <c r="I2370" s="141" t="s">
        <v>1879</v>
      </c>
      <c r="J2370" s="196"/>
      <c r="K2370" s="196" t="s">
        <v>1881</v>
      </c>
      <c r="L2370" s="240">
        <v>9783426523216</v>
      </c>
      <c r="M2370" s="196">
        <v>352</v>
      </c>
      <c r="N2370" s="196"/>
      <c r="O2370" s="196" t="s">
        <v>11141</v>
      </c>
      <c r="P2370" s="144">
        <v>280</v>
      </c>
      <c r="Q2370" s="148">
        <v>3.01</v>
      </c>
      <c r="R2370" s="203">
        <v>1.2</v>
      </c>
      <c r="S2370" s="203">
        <v>4.21</v>
      </c>
      <c r="T2370" s="203"/>
      <c r="U2370" s="103"/>
      <c r="V2370" s="103"/>
      <c r="W2370" s="203"/>
      <c r="X2370" s="148"/>
      <c r="Y2370" s="148"/>
      <c r="Z2370" s="148"/>
      <c r="AA2370" s="148"/>
      <c r="AB2370" s="148"/>
      <c r="AC2370" s="148"/>
      <c r="AD2370" s="148"/>
      <c r="AH2370" s="147"/>
    </row>
    <row r="2371" spans="1:34" s="146" customFormat="1" x14ac:dyDescent="0.25">
      <c r="A2371" s="196">
        <v>1809</v>
      </c>
      <c r="B2371" s="196" t="s">
        <v>11142</v>
      </c>
      <c r="C2371" s="196" t="s">
        <v>11143</v>
      </c>
      <c r="D2371" s="196" t="s">
        <v>2609</v>
      </c>
      <c r="E2371" s="196" t="s">
        <v>1899</v>
      </c>
      <c r="F2371" s="196">
        <v>2012</v>
      </c>
      <c r="G2371" s="196"/>
      <c r="H2371" s="196" t="s">
        <v>1878</v>
      </c>
      <c r="I2371" s="141" t="s">
        <v>1879</v>
      </c>
      <c r="J2371" s="196"/>
      <c r="K2371" s="196" t="s">
        <v>1881</v>
      </c>
      <c r="L2371" s="240">
        <v>9783596809035</v>
      </c>
      <c r="M2371" s="196">
        <v>288</v>
      </c>
      <c r="N2371" s="196"/>
      <c r="O2371" s="196" t="s">
        <v>11144</v>
      </c>
      <c r="P2371" s="144">
        <v>254</v>
      </c>
      <c r="Q2371" s="148">
        <v>2.3099999999999996</v>
      </c>
      <c r="R2371" s="203">
        <v>1.2</v>
      </c>
      <c r="S2371" s="203">
        <v>3.51</v>
      </c>
      <c r="T2371" s="203"/>
      <c r="U2371" s="103"/>
      <c r="V2371" s="103"/>
      <c r="W2371" s="203"/>
      <c r="X2371" s="148"/>
      <c r="Y2371" s="148"/>
      <c r="Z2371" s="148"/>
      <c r="AA2371" s="148"/>
      <c r="AB2371" s="148"/>
      <c r="AC2371" s="148"/>
      <c r="AD2371" s="148"/>
      <c r="AH2371" s="147"/>
    </row>
    <row r="2372" spans="1:34" s="146" customFormat="1" x14ac:dyDescent="0.25">
      <c r="A2372" s="196">
        <v>1327</v>
      </c>
      <c r="B2372" s="196" t="s">
        <v>11145</v>
      </c>
      <c r="C2372" s="196" t="s">
        <v>11146</v>
      </c>
      <c r="D2372" s="196" t="s">
        <v>11147</v>
      </c>
      <c r="E2372" s="196" t="s">
        <v>1877</v>
      </c>
      <c r="F2372" s="196">
        <v>1984</v>
      </c>
      <c r="G2372" s="196"/>
      <c r="H2372" s="196" t="s">
        <v>1878</v>
      </c>
      <c r="I2372" s="141" t="s">
        <v>1914</v>
      </c>
      <c r="J2372" s="196" t="s">
        <v>2420</v>
      </c>
      <c r="K2372" s="196" t="s">
        <v>1881</v>
      </c>
      <c r="L2372" s="240" t="s">
        <v>11148</v>
      </c>
      <c r="M2372" s="196">
        <v>288</v>
      </c>
      <c r="N2372" s="196"/>
      <c r="O2372" s="196" t="s">
        <v>11149</v>
      </c>
      <c r="P2372" s="144">
        <v>232</v>
      </c>
      <c r="Q2372" s="148">
        <v>3.4399999999999995</v>
      </c>
      <c r="R2372" s="203">
        <v>1.2</v>
      </c>
      <c r="S2372" s="203">
        <v>4.6399999999999997</v>
      </c>
      <c r="T2372" s="203"/>
      <c r="U2372" s="103"/>
      <c r="V2372" s="103"/>
      <c r="W2372" s="203"/>
      <c r="X2372" s="148"/>
      <c r="Y2372" s="148"/>
      <c r="Z2372" s="148"/>
      <c r="AA2372" s="148"/>
      <c r="AB2372" s="148"/>
      <c r="AC2372" s="148"/>
      <c r="AD2372" s="148"/>
      <c r="AH2372" s="147"/>
    </row>
    <row r="2373" spans="1:34" s="146" customFormat="1" x14ac:dyDescent="0.25">
      <c r="A2373" s="196">
        <v>1332</v>
      </c>
      <c r="B2373" s="196" t="s">
        <v>11150</v>
      </c>
      <c r="C2373" s="196" t="s">
        <v>11151</v>
      </c>
      <c r="D2373" s="196" t="s">
        <v>2257</v>
      </c>
      <c r="E2373" s="196"/>
      <c r="F2373" s="196">
        <v>2018</v>
      </c>
      <c r="G2373" s="196"/>
      <c r="H2373" s="196" t="s">
        <v>2734</v>
      </c>
      <c r="I2373" s="141" t="s">
        <v>1929</v>
      </c>
      <c r="J2373" s="196"/>
      <c r="K2373" s="196" t="s">
        <v>1881</v>
      </c>
      <c r="L2373" s="240">
        <v>9783426675694</v>
      </c>
      <c r="M2373" s="196">
        <v>98</v>
      </c>
      <c r="N2373" s="196"/>
      <c r="O2373" s="196" t="s">
        <v>11152</v>
      </c>
      <c r="P2373" s="144">
        <v>300</v>
      </c>
      <c r="Q2373" s="148">
        <v>6.79</v>
      </c>
      <c r="R2373" s="203">
        <v>1.2</v>
      </c>
      <c r="S2373" s="203">
        <v>7.99</v>
      </c>
      <c r="T2373" s="203"/>
      <c r="U2373" s="103"/>
      <c r="V2373" s="103"/>
      <c r="W2373" s="203"/>
      <c r="X2373" s="148"/>
      <c r="Y2373" s="148"/>
      <c r="Z2373" s="148"/>
      <c r="AA2373" s="148"/>
      <c r="AB2373" s="148"/>
      <c r="AC2373" s="148"/>
      <c r="AD2373" s="148"/>
      <c r="AH2373" s="147"/>
    </row>
    <row r="2374" spans="1:34" s="146" customFormat="1" x14ac:dyDescent="0.25">
      <c r="A2374" s="196">
        <v>689</v>
      </c>
      <c r="B2374" s="196" t="s">
        <v>4034</v>
      </c>
      <c r="C2374" s="196" t="s">
        <v>11153</v>
      </c>
      <c r="D2374" s="196" t="s">
        <v>2209</v>
      </c>
      <c r="E2374" s="196"/>
      <c r="F2374" s="196">
        <v>2009</v>
      </c>
      <c r="G2374" s="196"/>
      <c r="H2374" s="196" t="s">
        <v>1878</v>
      </c>
      <c r="I2374" s="141" t="s">
        <v>1914</v>
      </c>
      <c r="J2374" s="196"/>
      <c r="K2374" s="196" t="s">
        <v>1881</v>
      </c>
      <c r="L2374" s="240">
        <v>9783453533677</v>
      </c>
      <c r="M2374" s="196">
        <v>576</v>
      </c>
      <c r="N2374" s="196"/>
      <c r="O2374" s="196" t="s">
        <v>11154</v>
      </c>
      <c r="P2374" s="144">
        <v>472</v>
      </c>
      <c r="Q2374" s="148">
        <v>3.9799999999999995</v>
      </c>
      <c r="R2374" s="203">
        <v>1.2</v>
      </c>
      <c r="S2374" s="203">
        <v>5.18</v>
      </c>
      <c r="T2374" s="203"/>
      <c r="U2374" s="103"/>
      <c r="V2374" s="103"/>
      <c r="W2374" s="203"/>
      <c r="X2374" s="148"/>
      <c r="Y2374" s="148"/>
      <c r="Z2374" s="148"/>
      <c r="AA2374" s="148"/>
      <c r="AB2374" s="148"/>
      <c r="AC2374" s="148"/>
      <c r="AD2374" s="148"/>
      <c r="AH2374" s="147"/>
    </row>
    <row r="2375" spans="1:34" s="146" customFormat="1" x14ac:dyDescent="0.25">
      <c r="A2375" s="196">
        <v>765</v>
      </c>
      <c r="B2375" s="196" t="s">
        <v>11155</v>
      </c>
      <c r="C2375" s="196" t="s">
        <v>11156</v>
      </c>
      <c r="D2375" s="196" t="s">
        <v>11157</v>
      </c>
      <c r="E2375" s="196" t="s">
        <v>2175</v>
      </c>
      <c r="F2375" s="196">
        <v>2007</v>
      </c>
      <c r="G2375" s="196"/>
      <c r="H2375" s="196" t="s">
        <v>1878</v>
      </c>
      <c r="I2375" s="141" t="s">
        <v>1879</v>
      </c>
      <c r="J2375" s="196"/>
      <c r="K2375" s="196" t="s">
        <v>1881</v>
      </c>
      <c r="L2375" s="240">
        <v>9783896705907</v>
      </c>
      <c r="M2375" s="196">
        <v>320</v>
      </c>
      <c r="N2375" s="196"/>
      <c r="O2375" s="196" t="s">
        <v>11158</v>
      </c>
      <c r="P2375" s="144">
        <v>393</v>
      </c>
      <c r="Q2375" s="148">
        <v>23.25</v>
      </c>
      <c r="R2375" s="203">
        <v>1.2</v>
      </c>
      <c r="S2375" s="203">
        <v>24.45</v>
      </c>
      <c r="T2375" s="203"/>
      <c r="U2375" s="103"/>
      <c r="V2375" s="103"/>
      <c r="W2375" s="203"/>
      <c r="X2375" s="148"/>
      <c r="Y2375" s="148"/>
      <c r="Z2375" s="148"/>
      <c r="AA2375" s="148"/>
      <c r="AB2375" s="148"/>
      <c r="AC2375" s="148"/>
      <c r="AD2375" s="148"/>
      <c r="AH2375" s="147"/>
    </row>
    <row r="2376" spans="1:34" s="146" customFormat="1" x14ac:dyDescent="0.25">
      <c r="A2376" s="196">
        <v>689</v>
      </c>
      <c r="B2376" s="196" t="s">
        <v>11159</v>
      </c>
      <c r="C2376" s="196" t="s">
        <v>11160</v>
      </c>
      <c r="D2376" s="196" t="s">
        <v>3077</v>
      </c>
      <c r="E2376" s="196" t="s">
        <v>1913</v>
      </c>
      <c r="F2376" s="196">
        <v>2004</v>
      </c>
      <c r="G2376" s="196"/>
      <c r="H2376" s="196" t="s">
        <v>1878</v>
      </c>
      <c r="I2376" s="141" t="s">
        <v>1914</v>
      </c>
      <c r="J2376" s="196"/>
      <c r="K2376" s="196" t="s">
        <v>1881</v>
      </c>
      <c r="L2376" s="240">
        <v>9783442241354</v>
      </c>
      <c r="M2376" s="196">
        <v>608</v>
      </c>
      <c r="N2376" s="196"/>
      <c r="O2376" s="196" t="s">
        <v>11161</v>
      </c>
      <c r="P2376" s="144">
        <v>627</v>
      </c>
      <c r="Q2376" s="148">
        <v>4.67</v>
      </c>
      <c r="R2376" s="203">
        <v>1.2</v>
      </c>
      <c r="S2376" s="203">
        <v>5.87</v>
      </c>
      <c r="T2376" s="203"/>
      <c r="U2376" s="103"/>
      <c r="V2376" s="103"/>
      <c r="W2376" s="203"/>
      <c r="X2376" s="148"/>
      <c r="Y2376" s="148"/>
      <c r="Z2376" s="148"/>
      <c r="AA2376" s="148"/>
      <c r="AB2376" s="148"/>
      <c r="AC2376" s="148"/>
      <c r="AD2376" s="148"/>
      <c r="AH2376" s="147"/>
    </row>
    <row r="2377" spans="1:34" s="146" customFormat="1" x14ac:dyDescent="0.25">
      <c r="A2377" s="196">
        <v>692</v>
      </c>
      <c r="B2377" s="196" t="s">
        <v>11162</v>
      </c>
      <c r="C2377" s="196" t="s">
        <v>11163</v>
      </c>
      <c r="D2377" s="196" t="s">
        <v>2386</v>
      </c>
      <c r="E2377" s="196"/>
      <c r="F2377" s="196">
        <v>1994</v>
      </c>
      <c r="G2377" s="196"/>
      <c r="H2377" s="196" t="s">
        <v>2734</v>
      </c>
      <c r="I2377" s="141" t="s">
        <v>1879</v>
      </c>
      <c r="J2377" s="196" t="s">
        <v>9092</v>
      </c>
      <c r="K2377" s="196" t="s">
        <v>1881</v>
      </c>
      <c r="L2377" s="240" t="s">
        <v>11164</v>
      </c>
      <c r="M2377" s="196">
        <v>690</v>
      </c>
      <c r="N2377" s="196"/>
      <c r="O2377" s="196" t="s">
        <v>11165</v>
      </c>
      <c r="P2377" s="144">
        <v>905</v>
      </c>
      <c r="Q2377" s="148">
        <v>2.9799999999999995</v>
      </c>
      <c r="R2377" s="203">
        <v>1.2</v>
      </c>
      <c r="S2377" s="203">
        <v>4.18</v>
      </c>
      <c r="T2377" s="203"/>
      <c r="U2377" s="103"/>
      <c r="V2377" s="103"/>
      <c r="W2377" s="203"/>
      <c r="X2377" s="148"/>
      <c r="Y2377" s="148"/>
      <c r="Z2377" s="148"/>
      <c r="AA2377" s="148"/>
      <c r="AB2377" s="148"/>
      <c r="AC2377" s="148"/>
      <c r="AD2377" s="148"/>
      <c r="AH2377" s="147"/>
    </row>
    <row r="2378" spans="1:34" s="146" customFormat="1" x14ac:dyDescent="0.25">
      <c r="A2378" s="196">
        <v>2522</v>
      </c>
      <c r="B2378" s="196" t="s">
        <v>11166</v>
      </c>
      <c r="C2378" s="196" t="s">
        <v>11167</v>
      </c>
      <c r="D2378" s="196" t="s">
        <v>11168</v>
      </c>
      <c r="E2378" s="196" t="s">
        <v>1913</v>
      </c>
      <c r="F2378" s="196">
        <v>2007</v>
      </c>
      <c r="G2378" s="196"/>
      <c r="H2378" s="196" t="s">
        <v>2734</v>
      </c>
      <c r="I2378" s="141" t="s">
        <v>1879</v>
      </c>
      <c r="J2378" s="196" t="s">
        <v>9092</v>
      </c>
      <c r="K2378" s="196" t="s">
        <v>1881</v>
      </c>
      <c r="L2378" s="240">
        <v>9783463405193</v>
      </c>
      <c r="M2378" s="196">
        <v>722</v>
      </c>
      <c r="N2378" s="196"/>
      <c r="O2378" s="196" t="s">
        <v>11169</v>
      </c>
      <c r="P2378" s="144">
        <v>750</v>
      </c>
      <c r="Q2378" s="148">
        <v>2.8229999999999995</v>
      </c>
      <c r="R2378" s="203">
        <v>1.2</v>
      </c>
      <c r="S2378" s="203">
        <v>4.0229999999999997</v>
      </c>
      <c r="T2378" s="203"/>
      <c r="U2378" s="103"/>
      <c r="V2378" s="103"/>
      <c r="W2378" s="203"/>
      <c r="X2378" s="148"/>
      <c r="Y2378" s="148"/>
      <c r="Z2378" s="148"/>
      <c r="AA2378" s="148"/>
      <c r="AB2378" s="148"/>
      <c r="AC2378" s="148"/>
      <c r="AD2378" s="148"/>
      <c r="AH2378" s="147"/>
    </row>
    <row r="2379" spans="1:34" s="146" customFormat="1" x14ac:dyDescent="0.25">
      <c r="A2379" s="196">
        <v>1913</v>
      </c>
      <c r="B2379" s="196" t="s">
        <v>11170</v>
      </c>
      <c r="C2379" s="196" t="s">
        <v>11171</v>
      </c>
      <c r="D2379" s="196" t="s">
        <v>2209</v>
      </c>
      <c r="E2379" s="196" t="s">
        <v>1921</v>
      </c>
      <c r="F2379" s="196">
        <v>2004</v>
      </c>
      <c r="G2379" s="196"/>
      <c r="H2379" s="196" t="s">
        <v>1878</v>
      </c>
      <c r="I2379" s="141" t="s">
        <v>1914</v>
      </c>
      <c r="J2379" s="196" t="s">
        <v>11172</v>
      </c>
      <c r="K2379" s="196" t="s">
        <v>1881</v>
      </c>
      <c r="L2379" s="240">
        <v>9783453430013</v>
      </c>
      <c r="M2379" s="196">
        <v>384</v>
      </c>
      <c r="N2379" s="196"/>
      <c r="O2379" s="196" t="s">
        <v>11173</v>
      </c>
      <c r="P2379" s="144">
        <v>409</v>
      </c>
      <c r="Q2379" s="148">
        <v>2.66</v>
      </c>
      <c r="R2379" s="203">
        <v>1.2</v>
      </c>
      <c r="S2379" s="203">
        <v>3.86</v>
      </c>
      <c r="T2379" s="203"/>
      <c r="U2379" s="103"/>
      <c r="V2379" s="103"/>
      <c r="W2379" s="203"/>
      <c r="X2379" s="148"/>
      <c r="Y2379" s="148"/>
      <c r="Z2379" s="148"/>
      <c r="AA2379" s="148"/>
      <c r="AB2379" s="148"/>
      <c r="AC2379" s="148"/>
      <c r="AD2379" s="148"/>
      <c r="AH2379" s="147"/>
    </row>
    <row r="2380" spans="1:34" s="146" customFormat="1" x14ac:dyDescent="0.25">
      <c r="A2380" s="196">
        <v>1327</v>
      </c>
      <c r="B2380" s="196" t="s">
        <v>11174</v>
      </c>
      <c r="C2380" s="196" t="s">
        <v>11175</v>
      </c>
      <c r="D2380" s="196" t="s">
        <v>2054</v>
      </c>
      <c r="E2380" s="196"/>
      <c r="F2380" s="196">
        <v>2012</v>
      </c>
      <c r="G2380" s="196"/>
      <c r="H2380" s="196" t="s">
        <v>2734</v>
      </c>
      <c r="I2380" s="141" t="s">
        <v>1879</v>
      </c>
      <c r="J2380" s="196"/>
      <c r="K2380" s="196" t="s">
        <v>1881</v>
      </c>
      <c r="L2380" s="240">
        <v>4026411398136</v>
      </c>
      <c r="M2380" s="196">
        <v>274</v>
      </c>
      <c r="N2380" s="196"/>
      <c r="O2380" s="196" t="s">
        <v>11176</v>
      </c>
      <c r="P2380" s="144">
        <v>342</v>
      </c>
      <c r="Q2380" s="148">
        <v>4.71</v>
      </c>
      <c r="R2380" s="203">
        <v>1.2</v>
      </c>
      <c r="S2380" s="203">
        <v>5.91</v>
      </c>
      <c r="T2380" s="203"/>
      <c r="U2380" s="103"/>
      <c r="V2380" s="103"/>
      <c r="W2380" s="203"/>
      <c r="X2380" s="148"/>
      <c r="Y2380" s="148"/>
      <c r="Z2380" s="148"/>
      <c r="AA2380" s="148"/>
      <c r="AB2380" s="148"/>
      <c r="AC2380" s="148"/>
      <c r="AD2380" s="148"/>
      <c r="AH2380" s="147"/>
    </row>
    <row r="2381" spans="1:34" s="146" customFormat="1" x14ac:dyDescent="0.25">
      <c r="A2381" s="196">
        <v>968</v>
      </c>
      <c r="B2381" s="196" t="s">
        <v>11177</v>
      </c>
      <c r="C2381" s="196" t="s">
        <v>11178</v>
      </c>
      <c r="D2381" s="196" t="s">
        <v>11179</v>
      </c>
      <c r="E2381" s="196"/>
      <c r="F2381" s="196">
        <v>2000</v>
      </c>
      <c r="G2381" s="196"/>
      <c r="H2381" s="196" t="s">
        <v>1878</v>
      </c>
      <c r="I2381" s="141" t="s">
        <v>1879</v>
      </c>
      <c r="J2381" s="196"/>
      <c r="K2381" s="196" t="s">
        <v>1881</v>
      </c>
      <c r="L2381" s="240">
        <v>9780349113258</v>
      </c>
      <c r="M2381" s="196">
        <v>408</v>
      </c>
      <c r="N2381" s="196"/>
      <c r="O2381" s="196" t="s">
        <v>11180</v>
      </c>
      <c r="P2381" s="144">
        <v>227</v>
      </c>
      <c r="Q2381" s="148">
        <v>3.88</v>
      </c>
      <c r="R2381" s="203">
        <v>1.2</v>
      </c>
      <c r="S2381" s="203">
        <v>5.08</v>
      </c>
      <c r="T2381" s="203"/>
      <c r="U2381" s="103"/>
      <c r="V2381" s="103"/>
      <c r="W2381" s="203"/>
      <c r="X2381" s="148"/>
      <c r="Y2381" s="148"/>
      <c r="Z2381" s="148"/>
      <c r="AA2381" s="148"/>
      <c r="AB2381" s="148"/>
      <c r="AC2381" s="148"/>
      <c r="AD2381" s="148"/>
      <c r="AH2381" s="147"/>
    </row>
    <row r="2382" spans="1:34" s="146" customFormat="1" x14ac:dyDescent="0.25">
      <c r="A2382" s="196">
        <v>701</v>
      </c>
      <c r="B2382" s="196" t="s">
        <v>7779</v>
      </c>
      <c r="C2382" s="196" t="s">
        <v>11181</v>
      </c>
      <c r="D2382" s="196" t="s">
        <v>2054</v>
      </c>
      <c r="E2382" s="196" t="s">
        <v>2032</v>
      </c>
      <c r="F2382" s="196">
        <v>2000</v>
      </c>
      <c r="G2382" s="196"/>
      <c r="H2382" s="196" t="s">
        <v>2734</v>
      </c>
      <c r="I2382" s="141" t="s">
        <v>1879</v>
      </c>
      <c r="J2382" s="196" t="s">
        <v>11182</v>
      </c>
      <c r="K2382" s="196" t="s">
        <v>1881</v>
      </c>
      <c r="L2382" s="240" t="s">
        <v>11183</v>
      </c>
      <c r="M2382" s="196">
        <v>242</v>
      </c>
      <c r="N2382" s="196"/>
      <c r="O2382" s="196" t="s">
        <v>11184</v>
      </c>
      <c r="P2382" s="144">
        <v>362</v>
      </c>
      <c r="Q2382" s="148">
        <v>2.7800000000000002</v>
      </c>
      <c r="R2382" s="203">
        <v>1.2</v>
      </c>
      <c r="S2382" s="203">
        <v>3.98</v>
      </c>
      <c r="T2382" s="203"/>
      <c r="U2382" s="103"/>
      <c r="V2382" s="103"/>
      <c r="W2382" s="203"/>
      <c r="X2382" s="148"/>
      <c r="Y2382" s="148"/>
      <c r="Z2382" s="148"/>
      <c r="AA2382" s="148"/>
      <c r="AB2382" s="148"/>
      <c r="AC2382" s="148"/>
      <c r="AD2382" s="148"/>
      <c r="AH2382" s="147"/>
    </row>
    <row r="2383" spans="1:34" s="146" customFormat="1" x14ac:dyDescent="0.25">
      <c r="A2383" s="196">
        <v>1904</v>
      </c>
      <c r="B2383" s="196" t="s">
        <v>11185</v>
      </c>
      <c r="C2383" s="196" t="s">
        <v>11186</v>
      </c>
      <c r="D2383" s="196" t="s">
        <v>5005</v>
      </c>
      <c r="E2383" s="196"/>
      <c r="F2383" s="196">
        <v>1987</v>
      </c>
      <c r="G2383" s="196"/>
      <c r="H2383" s="196" t="s">
        <v>2734</v>
      </c>
      <c r="I2383" s="141" t="s">
        <v>1879</v>
      </c>
      <c r="J2383" s="196"/>
      <c r="K2383" s="196" t="s">
        <v>1881</v>
      </c>
      <c r="L2383" s="240"/>
      <c r="M2383" s="196">
        <v>482</v>
      </c>
      <c r="N2383" s="196"/>
      <c r="O2383" s="196" t="s">
        <v>11187</v>
      </c>
      <c r="P2383" s="144">
        <v>678</v>
      </c>
      <c r="Q2383" s="148">
        <v>2.1900000000000004</v>
      </c>
      <c r="R2383" s="203">
        <v>1.2</v>
      </c>
      <c r="S2383" s="203">
        <v>3.39</v>
      </c>
      <c r="T2383" s="203"/>
      <c r="U2383" s="103"/>
      <c r="V2383" s="103"/>
      <c r="W2383" s="203"/>
      <c r="X2383" s="148"/>
      <c r="Y2383" s="148"/>
      <c r="Z2383" s="148"/>
      <c r="AA2383" s="148"/>
      <c r="AB2383" s="148"/>
      <c r="AC2383" s="148"/>
      <c r="AD2383" s="148"/>
      <c r="AH2383" s="147"/>
    </row>
    <row r="2384" spans="1:34" s="146" customFormat="1" x14ac:dyDescent="0.25">
      <c r="A2384" s="196">
        <v>2551</v>
      </c>
      <c r="B2384" s="196" t="s">
        <v>8218</v>
      </c>
      <c r="C2384" s="196" t="s">
        <v>11188</v>
      </c>
      <c r="D2384" s="196" t="s">
        <v>1886</v>
      </c>
      <c r="E2384" s="196" t="s">
        <v>2175</v>
      </c>
      <c r="F2384" s="196">
        <v>2013</v>
      </c>
      <c r="G2384" s="196"/>
      <c r="H2384" s="196" t="s">
        <v>1878</v>
      </c>
      <c r="I2384" s="141" t="s">
        <v>1879</v>
      </c>
      <c r="J2384" s="196"/>
      <c r="K2384" s="196" t="s">
        <v>1881</v>
      </c>
      <c r="L2384" s="240">
        <v>9783499267017</v>
      </c>
      <c r="M2384" s="196">
        <v>624</v>
      </c>
      <c r="N2384" s="196"/>
      <c r="O2384" s="196" t="s">
        <v>11189</v>
      </c>
      <c r="P2384" s="144">
        <v>658</v>
      </c>
      <c r="Q2384" s="148">
        <v>2.74</v>
      </c>
      <c r="R2384" s="203">
        <v>1.2</v>
      </c>
      <c r="S2384" s="203">
        <v>3.94</v>
      </c>
      <c r="T2384" s="203"/>
      <c r="U2384" s="103"/>
      <c r="V2384" s="103"/>
      <c r="W2384" s="203"/>
      <c r="X2384" s="148"/>
      <c r="Y2384" s="148"/>
      <c r="Z2384" s="148"/>
      <c r="AA2384" s="148"/>
      <c r="AB2384" s="148"/>
      <c r="AC2384" s="148"/>
      <c r="AD2384" s="148"/>
      <c r="AH2384" s="147"/>
    </row>
    <row r="2385" spans="1:34" s="146" customFormat="1" x14ac:dyDescent="0.25">
      <c r="A2385" s="196">
        <v>1327</v>
      </c>
      <c r="B2385" s="196" t="s">
        <v>11190</v>
      </c>
      <c r="C2385" s="196" t="s">
        <v>11191</v>
      </c>
      <c r="D2385" s="196" t="s">
        <v>1912</v>
      </c>
      <c r="E2385" s="196"/>
      <c r="F2385" s="196">
        <v>2005</v>
      </c>
      <c r="G2385" s="196"/>
      <c r="H2385" s="196" t="s">
        <v>1878</v>
      </c>
      <c r="I2385" s="141" t="s">
        <v>1914</v>
      </c>
      <c r="J2385" s="196"/>
      <c r="K2385" s="196" t="s">
        <v>1881</v>
      </c>
      <c r="L2385" s="240">
        <v>9783442217151</v>
      </c>
      <c r="M2385" s="196">
        <v>480</v>
      </c>
      <c r="N2385" s="196"/>
      <c r="O2385" s="196" t="s">
        <v>11192</v>
      </c>
      <c r="P2385" s="144">
        <v>402</v>
      </c>
      <c r="Q2385" s="148">
        <v>2.8999999999999995</v>
      </c>
      <c r="R2385" s="203">
        <v>1.2</v>
      </c>
      <c r="S2385" s="203">
        <v>4.0999999999999996</v>
      </c>
      <c r="T2385" s="203"/>
      <c r="U2385" s="103"/>
      <c r="V2385" s="103"/>
      <c r="W2385" s="203"/>
      <c r="X2385" s="148"/>
      <c r="Y2385" s="148"/>
      <c r="Z2385" s="148"/>
      <c r="AA2385" s="148"/>
      <c r="AB2385" s="148"/>
      <c r="AC2385" s="148"/>
      <c r="AD2385" s="148"/>
      <c r="AH2385" s="147"/>
    </row>
    <row r="2386" spans="1:34" s="146" customFormat="1" x14ac:dyDescent="0.25">
      <c r="A2386" s="196">
        <v>1327</v>
      </c>
      <c r="B2386" s="196" t="s">
        <v>11193</v>
      </c>
      <c r="C2386" s="196" t="s">
        <v>11194</v>
      </c>
      <c r="D2386" s="196" t="s">
        <v>1912</v>
      </c>
      <c r="E2386" s="196" t="s">
        <v>1921</v>
      </c>
      <c r="F2386" s="196">
        <v>1996</v>
      </c>
      <c r="G2386" s="196"/>
      <c r="H2386" s="196" t="s">
        <v>1878</v>
      </c>
      <c r="I2386" s="141" t="s">
        <v>1879</v>
      </c>
      <c r="J2386" s="196" t="s">
        <v>11195</v>
      </c>
      <c r="K2386" s="196" t="s">
        <v>1881</v>
      </c>
      <c r="L2386" s="240">
        <v>9783442132096</v>
      </c>
      <c r="M2386" s="196">
        <v>224</v>
      </c>
      <c r="N2386" s="196"/>
      <c r="O2386" s="196" t="s">
        <v>11196</v>
      </c>
      <c r="P2386" s="144">
        <v>223</v>
      </c>
      <c r="Q2386" s="148">
        <v>3.88</v>
      </c>
      <c r="R2386" s="203">
        <v>1.2</v>
      </c>
      <c r="S2386" s="203">
        <v>5.08</v>
      </c>
      <c r="T2386" s="203"/>
      <c r="U2386" s="103"/>
      <c r="V2386" s="103"/>
      <c r="W2386" s="203"/>
      <c r="X2386" s="148"/>
      <c r="Y2386" s="148"/>
      <c r="Z2386" s="148"/>
      <c r="AA2386" s="148"/>
      <c r="AB2386" s="148"/>
      <c r="AC2386" s="148"/>
      <c r="AD2386" s="148"/>
      <c r="AH2386" s="147"/>
    </row>
    <row r="2387" spans="1:34" s="146" customFormat="1" x14ac:dyDescent="0.25">
      <c r="A2387" s="196">
        <v>1327</v>
      </c>
      <c r="B2387" s="196" t="s">
        <v>939</v>
      </c>
      <c r="C2387" s="196" t="s">
        <v>11197</v>
      </c>
      <c r="D2387" s="196" t="s">
        <v>2530</v>
      </c>
      <c r="E2387" s="196"/>
      <c r="F2387" s="196">
        <v>1989</v>
      </c>
      <c r="G2387" s="196"/>
      <c r="H2387" s="196" t="s">
        <v>2734</v>
      </c>
      <c r="I2387" s="141" t="s">
        <v>7527</v>
      </c>
      <c r="J2387" s="196" t="s">
        <v>11198</v>
      </c>
      <c r="K2387" s="196" t="s">
        <v>1881</v>
      </c>
      <c r="L2387" s="240" t="s">
        <v>11199</v>
      </c>
      <c r="M2387" s="196">
        <v>274</v>
      </c>
      <c r="N2387" s="196"/>
      <c r="O2387" s="196" t="s">
        <v>11200</v>
      </c>
      <c r="P2387" s="144">
        <v>414</v>
      </c>
      <c r="Q2387" s="148">
        <v>6.79</v>
      </c>
      <c r="R2387" s="203">
        <v>1.2</v>
      </c>
      <c r="S2387" s="203">
        <v>7.99</v>
      </c>
      <c r="T2387" s="203"/>
      <c r="U2387" s="103"/>
      <c r="V2387" s="103"/>
      <c r="W2387" s="203"/>
      <c r="X2387" s="148"/>
      <c r="Y2387" s="148"/>
      <c r="Z2387" s="148"/>
      <c r="AA2387" s="148"/>
      <c r="AB2387" s="148"/>
      <c r="AC2387" s="148"/>
      <c r="AD2387" s="148"/>
      <c r="AH2387" s="147"/>
    </row>
    <row r="2388" spans="1:34" s="146" customFormat="1" x14ac:dyDescent="0.25">
      <c r="A2388" s="196">
        <v>1396</v>
      </c>
      <c r="B2388" s="196" t="s">
        <v>4792</v>
      </c>
      <c r="C2388" s="196" t="s">
        <v>4793</v>
      </c>
      <c r="D2388" s="196" t="s">
        <v>2054</v>
      </c>
      <c r="E2388" s="196"/>
      <c r="F2388" s="196">
        <v>2002</v>
      </c>
      <c r="G2388" s="196"/>
      <c r="H2388" s="196" t="s">
        <v>2734</v>
      </c>
      <c r="I2388" s="141" t="s">
        <v>1879</v>
      </c>
      <c r="J2388" s="196"/>
      <c r="K2388" s="196" t="s">
        <v>1881</v>
      </c>
      <c r="L2388" s="240">
        <v>9783828970588</v>
      </c>
      <c r="M2388" s="196">
        <v>546</v>
      </c>
      <c r="N2388" s="196"/>
      <c r="O2388" s="196" t="s">
        <v>11201</v>
      </c>
      <c r="P2388" s="144">
        <v>616</v>
      </c>
      <c r="Q2388" s="148">
        <v>2.46</v>
      </c>
      <c r="R2388" s="203">
        <v>1.2</v>
      </c>
      <c r="S2388" s="203">
        <v>3.66</v>
      </c>
      <c r="T2388" s="203"/>
      <c r="U2388" s="103"/>
      <c r="V2388" s="103"/>
      <c r="W2388" s="203"/>
      <c r="X2388" s="148"/>
      <c r="Y2388" s="148"/>
      <c r="Z2388" s="148"/>
      <c r="AA2388" s="148"/>
      <c r="AB2388" s="148"/>
      <c r="AC2388" s="148"/>
      <c r="AD2388" s="148"/>
      <c r="AH2388" s="147"/>
    </row>
    <row r="2389" spans="1:34" s="146" customFormat="1" x14ac:dyDescent="0.25">
      <c r="A2389" s="196">
        <v>1386</v>
      </c>
      <c r="B2389" s="196" t="s">
        <v>11202</v>
      </c>
      <c r="C2389" s="196" t="s">
        <v>11203</v>
      </c>
      <c r="D2389" s="196" t="s">
        <v>2209</v>
      </c>
      <c r="E2389" s="196"/>
      <c r="F2389" s="196">
        <v>2010</v>
      </c>
      <c r="G2389" s="196"/>
      <c r="H2389" s="196" t="s">
        <v>1878</v>
      </c>
      <c r="I2389" s="141" t="s">
        <v>1914</v>
      </c>
      <c r="J2389" s="196"/>
      <c r="K2389" s="196" t="s">
        <v>1881</v>
      </c>
      <c r="L2389" s="240">
        <v>9783453645264</v>
      </c>
      <c r="M2389" s="196">
        <v>416</v>
      </c>
      <c r="N2389" s="196"/>
      <c r="O2389" s="196" t="s">
        <v>11204</v>
      </c>
      <c r="P2389" s="144">
        <v>361</v>
      </c>
      <c r="Q2389" s="148">
        <v>3.6899999999999995</v>
      </c>
      <c r="R2389" s="203">
        <v>1.2</v>
      </c>
      <c r="S2389" s="203">
        <v>4.8899999999999997</v>
      </c>
      <c r="T2389" s="203"/>
      <c r="U2389" s="103"/>
      <c r="V2389" s="103"/>
      <c r="W2389" s="203"/>
      <c r="X2389" s="148"/>
      <c r="Y2389" s="148"/>
      <c r="Z2389" s="148"/>
      <c r="AA2389" s="148"/>
      <c r="AB2389" s="148"/>
      <c r="AC2389" s="148"/>
      <c r="AD2389" s="148"/>
      <c r="AH2389" s="147"/>
    </row>
    <row r="2390" spans="1:34" s="146" customFormat="1" x14ac:dyDescent="0.25">
      <c r="A2390" s="196">
        <v>701</v>
      </c>
      <c r="B2390" s="196" t="s">
        <v>11205</v>
      </c>
      <c r="C2390" s="196" t="s">
        <v>11206</v>
      </c>
      <c r="D2390" s="196" t="s">
        <v>1988</v>
      </c>
      <c r="E2390" s="196" t="s">
        <v>11207</v>
      </c>
      <c r="F2390" s="196">
        <v>1998</v>
      </c>
      <c r="G2390" s="196"/>
      <c r="H2390" s="196" t="s">
        <v>1878</v>
      </c>
      <c r="I2390" s="141" t="s">
        <v>1879</v>
      </c>
      <c r="J2390" s="196"/>
      <c r="K2390" s="196" t="s">
        <v>1881</v>
      </c>
      <c r="L2390" s="240">
        <v>9783423105415</v>
      </c>
      <c r="M2390" s="196">
        <v>368</v>
      </c>
      <c r="N2390" s="196"/>
      <c r="O2390" s="196" t="s">
        <v>11208</v>
      </c>
      <c r="P2390" s="144">
        <v>271</v>
      </c>
      <c r="Q2390" s="148">
        <v>3.6899999999999995</v>
      </c>
      <c r="R2390" s="203">
        <v>1.2</v>
      </c>
      <c r="S2390" s="203">
        <v>4.8899999999999997</v>
      </c>
      <c r="T2390" s="203"/>
      <c r="U2390" s="103"/>
      <c r="V2390" s="103"/>
      <c r="W2390" s="203"/>
      <c r="X2390" s="148"/>
      <c r="Y2390" s="148"/>
      <c r="Z2390" s="148"/>
      <c r="AA2390" s="148"/>
      <c r="AB2390" s="148"/>
      <c r="AC2390" s="148"/>
      <c r="AD2390" s="148"/>
      <c r="AH2390" s="147"/>
    </row>
    <row r="2391" spans="1:34" s="146" customFormat="1" x14ac:dyDescent="0.25">
      <c r="A2391" s="196">
        <v>701</v>
      </c>
      <c r="B2391" s="196" t="s">
        <v>11209</v>
      </c>
      <c r="C2391" s="196" t="s">
        <v>11210</v>
      </c>
      <c r="D2391" s="196" t="s">
        <v>2300</v>
      </c>
      <c r="E2391" s="196"/>
      <c r="F2391" s="196">
        <v>2009</v>
      </c>
      <c r="G2391" s="196"/>
      <c r="H2391" s="196" t="s">
        <v>1878</v>
      </c>
      <c r="I2391" s="141" t="s">
        <v>1879</v>
      </c>
      <c r="J2391" s="196"/>
      <c r="K2391" s="196" t="s">
        <v>1881</v>
      </c>
      <c r="L2391" s="240">
        <v>9783499622458</v>
      </c>
      <c r="M2391" s="196">
        <v>192</v>
      </c>
      <c r="N2391" s="196"/>
      <c r="O2391" s="196" t="s">
        <v>11211</v>
      </c>
      <c r="P2391" s="144">
        <v>198</v>
      </c>
      <c r="Q2391" s="148">
        <v>2.91</v>
      </c>
      <c r="R2391" s="203">
        <v>1.2</v>
      </c>
      <c r="S2391" s="203">
        <v>4.1100000000000003</v>
      </c>
      <c r="T2391" s="203"/>
      <c r="U2391" s="103"/>
      <c r="V2391" s="103"/>
      <c r="W2391" s="203"/>
      <c r="X2391" s="148"/>
      <c r="Y2391" s="148"/>
      <c r="Z2391" s="148"/>
      <c r="AA2391" s="148"/>
      <c r="AB2391" s="148"/>
      <c r="AC2391" s="148"/>
      <c r="AD2391" s="148"/>
      <c r="AH2391" s="147"/>
    </row>
    <row r="2392" spans="1:34" s="146" customFormat="1" x14ac:dyDescent="0.25">
      <c r="A2392" s="196">
        <v>2952</v>
      </c>
      <c r="B2392" s="196" t="s">
        <v>11212</v>
      </c>
      <c r="C2392" s="196" t="s">
        <v>11213</v>
      </c>
      <c r="D2392" s="196" t="s">
        <v>1920</v>
      </c>
      <c r="E2392" s="196"/>
      <c r="F2392" s="196">
        <v>2011</v>
      </c>
      <c r="G2392" s="196"/>
      <c r="H2392" s="196" t="s">
        <v>1878</v>
      </c>
      <c r="I2392" s="141" t="s">
        <v>1914</v>
      </c>
      <c r="J2392" s="196"/>
      <c r="K2392" s="196" t="s">
        <v>1881</v>
      </c>
      <c r="L2392" s="240">
        <v>9783404167678</v>
      </c>
      <c r="M2392" s="196">
        <v>574</v>
      </c>
      <c r="N2392" s="196"/>
      <c r="O2392" s="196" t="s">
        <v>11214</v>
      </c>
      <c r="P2392" s="144">
        <v>473</v>
      </c>
      <c r="Q2392" s="148">
        <v>3.58</v>
      </c>
      <c r="R2392" s="203">
        <v>1.2</v>
      </c>
      <c r="S2392" s="203">
        <v>4.78</v>
      </c>
      <c r="T2392" s="203"/>
      <c r="U2392" s="103"/>
      <c r="V2392" s="103"/>
      <c r="W2392" s="203"/>
      <c r="X2392" s="148"/>
      <c r="Y2392" s="148"/>
      <c r="Z2392" s="148"/>
      <c r="AA2392" s="148"/>
      <c r="AB2392" s="148"/>
      <c r="AC2392" s="148"/>
      <c r="AD2392" s="148"/>
      <c r="AH2392" s="147"/>
    </row>
    <row r="2393" spans="1:34" s="146" customFormat="1" x14ac:dyDescent="0.25">
      <c r="A2393" s="196">
        <v>691</v>
      </c>
      <c r="B2393" s="196" t="s">
        <v>11215</v>
      </c>
      <c r="C2393" s="196" t="s">
        <v>11216</v>
      </c>
      <c r="D2393" s="196" t="s">
        <v>11217</v>
      </c>
      <c r="E2393" s="196"/>
      <c r="F2393" s="196">
        <v>1996</v>
      </c>
      <c r="G2393" s="196"/>
      <c r="H2393" s="196" t="s">
        <v>2734</v>
      </c>
      <c r="I2393" s="141" t="s">
        <v>1879</v>
      </c>
      <c r="J2393" s="196"/>
      <c r="K2393" s="196" t="s">
        <v>1881</v>
      </c>
      <c r="L2393" s="240">
        <v>9783790305517</v>
      </c>
      <c r="M2393" s="196">
        <v>242</v>
      </c>
      <c r="N2393" s="196"/>
      <c r="O2393" s="196" t="s">
        <v>11218</v>
      </c>
      <c r="P2393" s="144">
        <v>380</v>
      </c>
      <c r="Q2393" s="148">
        <v>3.79</v>
      </c>
      <c r="R2393" s="203">
        <v>1.2</v>
      </c>
      <c r="S2393" s="203">
        <v>4.99</v>
      </c>
      <c r="T2393" s="203"/>
      <c r="U2393" s="103"/>
      <c r="V2393" s="103"/>
      <c r="W2393" s="203"/>
      <c r="X2393" s="148"/>
      <c r="Y2393" s="148"/>
      <c r="Z2393" s="148"/>
      <c r="AA2393" s="148"/>
      <c r="AB2393" s="148"/>
      <c r="AC2393" s="148"/>
      <c r="AD2393" s="148"/>
      <c r="AH2393" s="147"/>
    </row>
    <row r="2394" spans="1:34" s="146" customFormat="1" x14ac:dyDescent="0.25">
      <c r="A2394" s="196">
        <v>1913</v>
      </c>
      <c r="B2394" s="196" t="s">
        <v>11219</v>
      </c>
      <c r="C2394" s="196" t="s">
        <v>11220</v>
      </c>
      <c r="D2394" s="196" t="s">
        <v>11221</v>
      </c>
      <c r="E2394" s="196"/>
      <c r="F2394" s="196">
        <v>2006</v>
      </c>
      <c r="G2394" s="196"/>
      <c r="H2394" s="196" t="s">
        <v>2734</v>
      </c>
      <c r="I2394" s="141" t="s">
        <v>1879</v>
      </c>
      <c r="J2394" s="196"/>
      <c r="K2394" s="196" t="s">
        <v>1881</v>
      </c>
      <c r="L2394" s="240">
        <v>9783312003778</v>
      </c>
      <c r="M2394" s="196">
        <v>322</v>
      </c>
      <c r="N2394" s="196"/>
      <c r="O2394" s="196" t="s">
        <v>11222</v>
      </c>
      <c r="P2394" s="144">
        <v>461</v>
      </c>
      <c r="Q2394" s="148">
        <v>3.0999999999999996</v>
      </c>
      <c r="R2394" s="203">
        <v>1.2</v>
      </c>
      <c r="S2394" s="203">
        <v>4.3</v>
      </c>
      <c r="T2394" s="203"/>
      <c r="U2394" s="103"/>
      <c r="V2394" s="103"/>
      <c r="W2394" s="203"/>
      <c r="X2394" s="148"/>
      <c r="Y2394" s="148"/>
      <c r="Z2394" s="148"/>
      <c r="AA2394" s="148"/>
      <c r="AB2394" s="148"/>
      <c r="AC2394" s="148"/>
      <c r="AD2394" s="148"/>
      <c r="AH2394" s="147"/>
    </row>
    <row r="2395" spans="1:34" s="146" customFormat="1" x14ac:dyDescent="0.25">
      <c r="A2395" s="196">
        <v>632</v>
      </c>
      <c r="B2395" s="196" t="s">
        <v>3832</v>
      </c>
      <c r="C2395" s="196" t="s">
        <v>9104</v>
      </c>
      <c r="D2395" s="196" t="s">
        <v>2386</v>
      </c>
      <c r="E2395" s="196"/>
      <c r="F2395" s="196">
        <v>2008</v>
      </c>
      <c r="G2395" s="196"/>
      <c r="H2395" s="196" t="s">
        <v>2734</v>
      </c>
      <c r="I2395" s="141" t="s">
        <v>1879</v>
      </c>
      <c r="J2395" s="196"/>
      <c r="K2395" s="196" t="s">
        <v>1881</v>
      </c>
      <c r="L2395" s="240">
        <v>9783785723166</v>
      </c>
      <c r="M2395" s="196">
        <v>1298</v>
      </c>
      <c r="N2395" s="196"/>
      <c r="O2395" s="196" t="s">
        <v>11223</v>
      </c>
      <c r="P2395" s="144">
        <v>1325</v>
      </c>
      <c r="Q2395" s="148">
        <v>3.0300000000000002</v>
      </c>
      <c r="R2395" s="203">
        <v>1.2</v>
      </c>
      <c r="S2395" s="203">
        <v>4.2300000000000004</v>
      </c>
      <c r="T2395" s="203"/>
      <c r="U2395" s="103"/>
      <c r="V2395" s="103"/>
      <c r="W2395" s="203"/>
      <c r="X2395" s="148"/>
      <c r="Y2395" s="148"/>
      <c r="Z2395" s="148"/>
      <c r="AA2395" s="148"/>
      <c r="AB2395" s="148"/>
      <c r="AC2395" s="148"/>
      <c r="AD2395" s="148"/>
      <c r="AH2395" s="147"/>
    </row>
    <row r="2396" spans="1:34" s="146" customFormat="1" x14ac:dyDescent="0.25">
      <c r="A2396" s="196">
        <v>689</v>
      </c>
      <c r="B2396" s="196" t="s">
        <v>11224</v>
      </c>
      <c r="C2396" s="196" t="s">
        <v>11225</v>
      </c>
      <c r="D2396" s="196" t="s">
        <v>11226</v>
      </c>
      <c r="E2396" s="196" t="s">
        <v>1913</v>
      </c>
      <c r="F2396" s="196">
        <v>2000</v>
      </c>
      <c r="G2396" s="196"/>
      <c r="H2396" s="196" t="s">
        <v>1878</v>
      </c>
      <c r="I2396" s="141" t="s">
        <v>1879</v>
      </c>
      <c r="J2396" s="196"/>
      <c r="K2396" s="196" t="s">
        <v>1881</v>
      </c>
      <c r="L2396" s="240">
        <v>9783894376888</v>
      </c>
      <c r="M2396" s="196">
        <v>260</v>
      </c>
      <c r="N2396" s="196"/>
      <c r="O2396" s="196" t="s">
        <v>11227</v>
      </c>
      <c r="P2396" s="144">
        <v>314</v>
      </c>
      <c r="Q2396" s="148">
        <v>2.4000000000000004</v>
      </c>
      <c r="R2396" s="203">
        <v>1.2</v>
      </c>
      <c r="S2396" s="203">
        <v>3.6</v>
      </c>
      <c r="T2396" s="203"/>
      <c r="U2396" s="103"/>
      <c r="V2396" s="103"/>
      <c r="W2396" s="203"/>
      <c r="X2396" s="148"/>
      <c r="Y2396" s="148"/>
      <c r="Z2396" s="148"/>
      <c r="AA2396" s="148"/>
      <c r="AB2396" s="148"/>
      <c r="AC2396" s="148"/>
      <c r="AD2396" s="148"/>
      <c r="AH2396" s="147"/>
    </row>
    <row r="2397" spans="1:34" s="146" customFormat="1" x14ac:dyDescent="0.25">
      <c r="A2397" s="196">
        <v>632</v>
      </c>
      <c r="B2397" s="196" t="s">
        <v>11228</v>
      </c>
      <c r="C2397" s="196" t="s">
        <v>11229</v>
      </c>
      <c r="D2397" s="196" t="s">
        <v>2257</v>
      </c>
      <c r="E2397" s="196"/>
      <c r="F2397" s="196">
        <v>2003</v>
      </c>
      <c r="G2397" s="196"/>
      <c r="H2397" s="196" t="s">
        <v>1878</v>
      </c>
      <c r="I2397" s="141" t="s">
        <v>1879</v>
      </c>
      <c r="J2397" s="196"/>
      <c r="K2397" s="196" t="s">
        <v>1881</v>
      </c>
      <c r="L2397" s="240">
        <v>9783426633151</v>
      </c>
      <c r="M2397" s="196">
        <v>496</v>
      </c>
      <c r="N2397" s="196"/>
      <c r="O2397" s="196" t="s">
        <v>11230</v>
      </c>
      <c r="P2397" s="144">
        <v>492</v>
      </c>
      <c r="Q2397" s="148">
        <v>3.9799999999999995</v>
      </c>
      <c r="R2397" s="203">
        <v>1.2</v>
      </c>
      <c r="S2397" s="203">
        <v>5.18</v>
      </c>
      <c r="T2397" s="203"/>
      <c r="U2397" s="103"/>
      <c r="V2397" s="103"/>
      <c r="W2397" s="203"/>
      <c r="X2397" s="148"/>
      <c r="Y2397" s="148"/>
      <c r="Z2397" s="148"/>
      <c r="AA2397" s="148"/>
      <c r="AB2397" s="148"/>
      <c r="AC2397" s="148"/>
      <c r="AD2397" s="148"/>
      <c r="AH2397" s="147"/>
    </row>
    <row r="2398" spans="1:34" s="146" customFormat="1" x14ac:dyDescent="0.25">
      <c r="A2398" s="196">
        <v>689</v>
      </c>
      <c r="B2398" s="196" t="s">
        <v>11231</v>
      </c>
      <c r="C2398" s="196" t="s">
        <v>11232</v>
      </c>
      <c r="D2398" s="196" t="s">
        <v>1912</v>
      </c>
      <c r="E2398" s="196"/>
      <c r="F2398" s="196">
        <v>1997</v>
      </c>
      <c r="G2398" s="196"/>
      <c r="H2398" s="196" t="s">
        <v>1878</v>
      </c>
      <c r="I2398" s="141" t="s">
        <v>1879</v>
      </c>
      <c r="J2398" s="196"/>
      <c r="K2398" s="196" t="s">
        <v>1881</v>
      </c>
      <c r="L2398" s="240">
        <v>9783442433513</v>
      </c>
      <c r="M2398" s="196">
        <v>672</v>
      </c>
      <c r="N2398" s="196"/>
      <c r="O2398" s="196" t="s">
        <v>11233</v>
      </c>
      <c r="P2398" s="144">
        <v>709</v>
      </c>
      <c r="Q2398" s="148">
        <v>5.58</v>
      </c>
      <c r="R2398" s="203">
        <v>1.2</v>
      </c>
      <c r="S2398" s="203">
        <v>6.78</v>
      </c>
      <c r="T2398" s="203"/>
      <c r="U2398" s="103"/>
      <c r="V2398" s="103"/>
      <c r="W2398" s="203"/>
      <c r="X2398" s="148"/>
      <c r="Y2398" s="148"/>
      <c r="Z2398" s="148"/>
      <c r="AA2398" s="148"/>
      <c r="AB2398" s="148"/>
      <c r="AC2398" s="148"/>
      <c r="AD2398" s="148"/>
      <c r="AH2398" s="147"/>
    </row>
    <row r="2399" spans="1:34" s="146" customFormat="1" x14ac:dyDescent="0.25">
      <c r="A2399" s="196">
        <v>631</v>
      </c>
      <c r="B2399" s="196" t="s">
        <v>11234</v>
      </c>
      <c r="C2399" s="196" t="s">
        <v>11235</v>
      </c>
      <c r="D2399" s="196" t="s">
        <v>1920</v>
      </c>
      <c r="E2399" s="196"/>
      <c r="F2399" s="196">
        <v>2014</v>
      </c>
      <c r="G2399" s="196"/>
      <c r="H2399" s="196" t="s">
        <v>1878</v>
      </c>
      <c r="I2399" s="141" t="s">
        <v>1879</v>
      </c>
      <c r="J2399" s="196"/>
      <c r="K2399" s="196" t="s">
        <v>1881</v>
      </c>
      <c r="L2399" s="240">
        <v>9783404170128</v>
      </c>
      <c r="M2399" s="196">
        <v>400</v>
      </c>
      <c r="N2399" s="196"/>
      <c r="O2399" s="196" t="s">
        <v>11236</v>
      </c>
      <c r="P2399" s="144">
        <v>393</v>
      </c>
      <c r="Q2399" s="148">
        <v>3.7800000000000002</v>
      </c>
      <c r="R2399" s="203">
        <v>1.2</v>
      </c>
      <c r="S2399" s="203">
        <v>4.9800000000000004</v>
      </c>
      <c r="T2399" s="203"/>
      <c r="U2399" s="103"/>
      <c r="V2399" s="103"/>
      <c r="W2399" s="203"/>
      <c r="X2399" s="148"/>
      <c r="Y2399" s="148"/>
      <c r="Z2399" s="148"/>
      <c r="AA2399" s="148"/>
      <c r="AB2399" s="148"/>
      <c r="AC2399" s="148"/>
      <c r="AD2399" s="148"/>
      <c r="AH2399" s="147"/>
    </row>
    <row r="2400" spans="1:34" s="146" customFormat="1" x14ac:dyDescent="0.25">
      <c r="A2400" s="196">
        <v>1327</v>
      </c>
      <c r="B2400" s="196" t="s">
        <v>11237</v>
      </c>
      <c r="C2400" s="196" t="s">
        <v>11238</v>
      </c>
      <c r="D2400" s="196" t="s">
        <v>2232</v>
      </c>
      <c r="E2400" s="196" t="s">
        <v>1913</v>
      </c>
      <c r="F2400" s="196">
        <v>2000</v>
      </c>
      <c r="G2400" s="196"/>
      <c r="H2400" s="196" t="s">
        <v>1878</v>
      </c>
      <c r="I2400" s="141" t="s">
        <v>1879</v>
      </c>
      <c r="J2400" s="196"/>
      <c r="K2400" s="196" t="s">
        <v>1881</v>
      </c>
      <c r="L2400" s="240">
        <v>9783442726684</v>
      </c>
      <c r="M2400" s="196">
        <v>768</v>
      </c>
      <c r="N2400" s="196"/>
      <c r="O2400" s="196" t="s">
        <v>11239</v>
      </c>
      <c r="P2400" s="144">
        <v>647</v>
      </c>
      <c r="Q2400" s="148">
        <v>3.55</v>
      </c>
      <c r="R2400" s="203">
        <v>1.2</v>
      </c>
      <c r="S2400" s="203">
        <v>4.75</v>
      </c>
      <c r="T2400" s="203"/>
      <c r="U2400" s="103"/>
      <c r="V2400" s="103"/>
      <c r="W2400" s="203"/>
      <c r="X2400" s="148"/>
      <c r="Y2400" s="148"/>
      <c r="Z2400" s="148"/>
      <c r="AA2400" s="148"/>
      <c r="AB2400" s="148"/>
      <c r="AC2400" s="148"/>
      <c r="AD2400" s="148"/>
      <c r="AH2400" s="147"/>
    </row>
    <row r="2401" spans="1:34" s="146" customFormat="1" x14ac:dyDescent="0.25">
      <c r="A2401" s="196">
        <v>765</v>
      </c>
      <c r="B2401" s="196" t="s">
        <v>11240</v>
      </c>
      <c r="C2401" s="196" t="s">
        <v>11241</v>
      </c>
      <c r="D2401" s="196" t="s">
        <v>2609</v>
      </c>
      <c r="E2401" s="196"/>
      <c r="F2401" s="196">
        <v>2010</v>
      </c>
      <c r="G2401" s="196"/>
      <c r="H2401" s="196" t="s">
        <v>1878</v>
      </c>
      <c r="I2401" s="141" t="s">
        <v>1879</v>
      </c>
      <c r="J2401" s="196"/>
      <c r="K2401" s="196" t="s">
        <v>1881</v>
      </c>
      <c r="L2401" s="240">
        <v>9783596185177</v>
      </c>
      <c r="M2401" s="196">
        <v>368</v>
      </c>
      <c r="N2401" s="196"/>
      <c r="O2401" s="196" t="s">
        <v>11242</v>
      </c>
      <c r="P2401" s="144">
        <v>288</v>
      </c>
      <c r="Q2401" s="148">
        <v>3.2199999999999998</v>
      </c>
      <c r="R2401" s="203">
        <v>1.2</v>
      </c>
      <c r="S2401" s="203">
        <v>4.42</v>
      </c>
      <c r="T2401" s="203"/>
      <c r="U2401" s="103"/>
      <c r="V2401" s="103"/>
      <c r="W2401" s="203"/>
      <c r="X2401" s="148"/>
      <c r="Y2401" s="148"/>
      <c r="Z2401" s="148"/>
      <c r="AA2401" s="148"/>
      <c r="AB2401" s="148"/>
      <c r="AC2401" s="148"/>
      <c r="AD2401" s="148"/>
      <c r="AH2401" s="147"/>
    </row>
    <row r="2402" spans="1:34" s="146" customFormat="1" x14ac:dyDescent="0.25">
      <c r="A2402" s="196">
        <v>632</v>
      </c>
      <c r="B2402" s="196" t="s">
        <v>11243</v>
      </c>
      <c r="C2402" s="196" t="s">
        <v>4603</v>
      </c>
      <c r="D2402" s="196" t="s">
        <v>2609</v>
      </c>
      <c r="E2402" s="196"/>
      <c r="F2402" s="196">
        <v>2009</v>
      </c>
      <c r="G2402" s="196"/>
      <c r="H2402" s="196" t="s">
        <v>1878</v>
      </c>
      <c r="I2402" s="141" t="s">
        <v>1914</v>
      </c>
      <c r="J2402" s="196"/>
      <c r="K2402" s="196" t="s">
        <v>1881</v>
      </c>
      <c r="L2402" s="240">
        <v>9783596175673</v>
      </c>
      <c r="M2402" s="196">
        <v>656</v>
      </c>
      <c r="N2402" s="196"/>
      <c r="O2402" s="196" t="s">
        <v>11244</v>
      </c>
      <c r="P2402" s="144">
        <v>561</v>
      </c>
      <c r="Q2402" s="148">
        <v>2.8599999999999994</v>
      </c>
      <c r="R2402" s="203">
        <v>1.2</v>
      </c>
      <c r="S2402" s="203">
        <v>4.0599999999999996</v>
      </c>
      <c r="T2402" s="203"/>
      <c r="U2402" s="103"/>
      <c r="V2402" s="103"/>
      <c r="W2402" s="203"/>
      <c r="X2402" s="148"/>
      <c r="Y2402" s="148"/>
      <c r="Z2402" s="148"/>
      <c r="AA2402" s="148"/>
      <c r="AB2402" s="148"/>
      <c r="AC2402" s="148"/>
      <c r="AD2402" s="148"/>
      <c r="AH2402" s="147"/>
    </row>
    <row r="2403" spans="1:34" s="146" customFormat="1" x14ac:dyDescent="0.25">
      <c r="A2403" s="196">
        <v>944</v>
      </c>
      <c r="B2403" s="196" t="s">
        <v>11245</v>
      </c>
      <c r="C2403" s="196" t="s">
        <v>11246</v>
      </c>
      <c r="D2403" s="196" t="s">
        <v>2054</v>
      </c>
      <c r="E2403" s="196"/>
      <c r="F2403" s="196">
        <v>2001</v>
      </c>
      <c r="G2403" s="196"/>
      <c r="H2403" s="196" t="s">
        <v>2734</v>
      </c>
      <c r="I2403" s="141" t="s">
        <v>1879</v>
      </c>
      <c r="J2403" s="196"/>
      <c r="K2403" s="196" t="s">
        <v>1881</v>
      </c>
      <c r="L2403" s="240">
        <v>9783828941571</v>
      </c>
      <c r="M2403" s="196">
        <v>274</v>
      </c>
      <c r="N2403" s="196"/>
      <c r="O2403" s="196" t="s">
        <v>11247</v>
      </c>
      <c r="P2403" s="144">
        <v>440</v>
      </c>
      <c r="Q2403" s="148">
        <v>2.8599999999999994</v>
      </c>
      <c r="R2403" s="203">
        <v>1.2</v>
      </c>
      <c r="S2403" s="203">
        <v>4.0599999999999996</v>
      </c>
      <c r="T2403" s="203"/>
      <c r="U2403" s="103"/>
      <c r="V2403" s="103"/>
      <c r="W2403" s="203"/>
      <c r="X2403" s="148"/>
      <c r="Y2403" s="148"/>
      <c r="Z2403" s="148"/>
      <c r="AA2403" s="148"/>
      <c r="AB2403" s="148"/>
      <c r="AC2403" s="148"/>
      <c r="AD2403" s="148"/>
      <c r="AH2403" s="147"/>
    </row>
    <row r="2404" spans="1:34" s="146" customFormat="1" x14ac:dyDescent="0.25">
      <c r="A2404" s="196">
        <v>1358</v>
      </c>
      <c r="B2404" s="196" t="s">
        <v>11248</v>
      </c>
      <c r="C2404" s="196" t="s">
        <v>11249</v>
      </c>
      <c r="D2404" s="196" t="s">
        <v>1912</v>
      </c>
      <c r="E2404" s="196" t="s">
        <v>1913</v>
      </c>
      <c r="F2404" s="196">
        <v>2016</v>
      </c>
      <c r="G2404" s="196"/>
      <c r="H2404" s="196" t="s">
        <v>1878</v>
      </c>
      <c r="I2404" s="141" t="s">
        <v>1879</v>
      </c>
      <c r="J2404" s="196"/>
      <c r="K2404" s="196" t="s">
        <v>1881</v>
      </c>
      <c r="L2404" s="240">
        <v>9783442483013</v>
      </c>
      <c r="M2404" s="196">
        <v>320</v>
      </c>
      <c r="N2404" s="196"/>
      <c r="O2404" s="196" t="s">
        <v>11250</v>
      </c>
      <c r="P2404" s="144">
        <v>263</v>
      </c>
      <c r="Q2404" s="148">
        <v>3.2800000000000002</v>
      </c>
      <c r="R2404" s="203">
        <v>1.2</v>
      </c>
      <c r="S2404" s="203">
        <v>4.4800000000000004</v>
      </c>
      <c r="T2404" s="203"/>
      <c r="U2404" s="103"/>
      <c r="V2404" s="103"/>
      <c r="W2404" s="203"/>
      <c r="X2404" s="148"/>
      <c r="Y2404" s="148"/>
      <c r="Z2404" s="148"/>
      <c r="AA2404" s="148"/>
      <c r="AB2404" s="148"/>
      <c r="AC2404" s="148"/>
      <c r="AD2404" s="148"/>
      <c r="AH2404" s="147"/>
    </row>
    <row r="2405" spans="1:34" s="146" customFormat="1" x14ac:dyDescent="0.25">
      <c r="A2405" s="196">
        <v>2522</v>
      </c>
      <c r="B2405" s="196" t="s">
        <v>11251</v>
      </c>
      <c r="C2405" s="196" t="s">
        <v>11252</v>
      </c>
      <c r="D2405" s="196" t="s">
        <v>1886</v>
      </c>
      <c r="E2405" s="196"/>
      <c r="F2405" s="196">
        <v>2001</v>
      </c>
      <c r="G2405" s="196"/>
      <c r="H2405" s="196" t="s">
        <v>1878</v>
      </c>
      <c r="I2405" s="141" t="s">
        <v>1914</v>
      </c>
      <c r="J2405" s="196"/>
      <c r="K2405" s="196" t="s">
        <v>1881</v>
      </c>
      <c r="L2405" s="240">
        <v>9783499231117</v>
      </c>
      <c r="M2405" s="196">
        <v>288</v>
      </c>
      <c r="N2405" s="196"/>
      <c r="O2405" s="196" t="s">
        <v>11253</v>
      </c>
      <c r="P2405" s="144">
        <v>265</v>
      </c>
      <c r="Q2405" s="148">
        <v>3.7800000000000002</v>
      </c>
      <c r="R2405" s="203">
        <v>1.2</v>
      </c>
      <c r="S2405" s="203">
        <v>4.9800000000000004</v>
      </c>
      <c r="T2405" s="203"/>
      <c r="U2405" s="103"/>
      <c r="V2405" s="103"/>
      <c r="W2405" s="203"/>
      <c r="X2405" s="148"/>
      <c r="Y2405" s="148"/>
      <c r="Z2405" s="148"/>
      <c r="AA2405" s="148"/>
      <c r="AB2405" s="148"/>
      <c r="AC2405" s="148"/>
      <c r="AD2405" s="148"/>
      <c r="AH2405" s="147"/>
    </row>
    <row r="2406" spans="1:34" s="146" customFormat="1" x14ac:dyDescent="0.25">
      <c r="A2406" s="196">
        <v>2522</v>
      </c>
      <c r="B2406" s="196" t="s">
        <v>11254</v>
      </c>
      <c r="C2406" s="196" t="s">
        <v>11255</v>
      </c>
      <c r="D2406" s="196" t="s">
        <v>1912</v>
      </c>
      <c r="E2406" s="196" t="s">
        <v>1877</v>
      </c>
      <c r="F2406" s="196">
        <v>2011</v>
      </c>
      <c r="G2406" s="196"/>
      <c r="H2406" s="196" t="s">
        <v>1878</v>
      </c>
      <c r="I2406" s="141" t="s">
        <v>1914</v>
      </c>
      <c r="J2406" s="196"/>
      <c r="K2406" s="196" t="s">
        <v>1881</v>
      </c>
      <c r="L2406" s="240">
        <v>9783442473380</v>
      </c>
      <c r="M2406" s="196">
        <v>416</v>
      </c>
      <c r="N2406" s="196"/>
      <c r="O2406" s="196" t="s">
        <v>11256</v>
      </c>
      <c r="P2406" s="144">
        <v>336</v>
      </c>
      <c r="Q2406" s="148">
        <v>4.79</v>
      </c>
      <c r="R2406" s="203">
        <v>1.2</v>
      </c>
      <c r="S2406" s="203">
        <v>5.99</v>
      </c>
      <c r="T2406" s="203"/>
      <c r="U2406" s="103"/>
      <c r="V2406" s="103"/>
      <c r="W2406" s="203"/>
      <c r="X2406" s="148"/>
      <c r="Y2406" s="148"/>
      <c r="Z2406" s="148"/>
      <c r="AA2406" s="148"/>
      <c r="AB2406" s="148"/>
      <c r="AC2406" s="148"/>
      <c r="AD2406" s="148"/>
      <c r="AH2406" s="147"/>
    </row>
    <row r="2407" spans="1:34" s="146" customFormat="1" x14ac:dyDescent="0.25">
      <c r="A2407" s="196">
        <v>1396</v>
      </c>
      <c r="B2407" s="196" t="s">
        <v>4071</v>
      </c>
      <c r="C2407" s="196" t="s">
        <v>11257</v>
      </c>
      <c r="D2407" s="196" t="s">
        <v>5005</v>
      </c>
      <c r="E2407" s="196"/>
      <c r="F2407" s="196">
        <v>2008</v>
      </c>
      <c r="G2407" s="196"/>
      <c r="H2407" s="196" t="s">
        <v>2734</v>
      </c>
      <c r="I2407" s="141" t="s">
        <v>1879</v>
      </c>
      <c r="J2407" s="196"/>
      <c r="K2407" s="196" t="s">
        <v>1881</v>
      </c>
      <c r="L2407" s="240"/>
      <c r="M2407" s="196">
        <v>674</v>
      </c>
      <c r="N2407" s="196"/>
      <c r="O2407" s="196" t="s">
        <v>11258</v>
      </c>
      <c r="P2407" s="144">
        <v>804</v>
      </c>
      <c r="Q2407" s="148">
        <v>3.88</v>
      </c>
      <c r="R2407" s="203">
        <v>1.2</v>
      </c>
      <c r="S2407" s="203">
        <v>5.08</v>
      </c>
      <c r="T2407" s="203"/>
      <c r="U2407" s="103"/>
      <c r="V2407" s="103"/>
      <c r="W2407" s="203"/>
      <c r="X2407" s="148"/>
      <c r="Y2407" s="148"/>
      <c r="Z2407" s="148"/>
      <c r="AA2407" s="148"/>
      <c r="AB2407" s="148"/>
      <c r="AC2407" s="148"/>
      <c r="AD2407" s="148"/>
      <c r="AH2407" s="147"/>
    </row>
    <row r="2408" spans="1:34" s="146" customFormat="1" x14ac:dyDescent="0.25">
      <c r="A2408" s="196">
        <v>643</v>
      </c>
      <c r="B2408" s="196" t="s">
        <v>11259</v>
      </c>
      <c r="C2408" s="196" t="s">
        <v>11260</v>
      </c>
      <c r="D2408" s="196" t="s">
        <v>5005</v>
      </c>
      <c r="E2408" s="196"/>
      <c r="F2408" s="196">
        <v>1993</v>
      </c>
      <c r="G2408" s="196"/>
      <c r="H2408" s="196" t="s">
        <v>2734</v>
      </c>
      <c r="I2408" s="141" t="s">
        <v>1879</v>
      </c>
      <c r="J2408" s="196"/>
      <c r="K2408" s="196" t="s">
        <v>1881</v>
      </c>
      <c r="L2408" s="240"/>
      <c r="M2408" s="196">
        <v>190</v>
      </c>
      <c r="N2408" s="196"/>
      <c r="O2408" s="196" t="s">
        <v>11261</v>
      </c>
      <c r="P2408" s="144">
        <v>301</v>
      </c>
      <c r="Q2408" s="148">
        <v>2.29</v>
      </c>
      <c r="R2408" s="203">
        <v>1.2</v>
      </c>
      <c r="S2408" s="203">
        <v>3.49</v>
      </c>
      <c r="T2408" s="203"/>
      <c r="U2408" s="103"/>
      <c r="V2408" s="103"/>
      <c r="W2408" s="203"/>
      <c r="X2408" s="148"/>
      <c r="Y2408" s="148"/>
      <c r="Z2408" s="148"/>
      <c r="AA2408" s="148"/>
      <c r="AB2408" s="148"/>
      <c r="AC2408" s="148"/>
      <c r="AD2408" s="148"/>
      <c r="AH2408" s="147"/>
    </row>
    <row r="2409" spans="1:34" s="146" customFormat="1" x14ac:dyDescent="0.25">
      <c r="A2409" s="196">
        <v>1327</v>
      </c>
      <c r="B2409" s="196" t="s">
        <v>11262</v>
      </c>
      <c r="C2409" s="196" t="s">
        <v>11263</v>
      </c>
      <c r="D2409" s="196" t="s">
        <v>11264</v>
      </c>
      <c r="E2409" s="196"/>
      <c r="F2409" s="196">
        <v>2002</v>
      </c>
      <c r="G2409" s="196"/>
      <c r="H2409" s="196" t="s">
        <v>1878</v>
      </c>
      <c r="I2409" s="141" t="s">
        <v>1879</v>
      </c>
      <c r="J2409" s="196" t="s">
        <v>9092</v>
      </c>
      <c r="K2409" s="196" t="s">
        <v>1881</v>
      </c>
      <c r="L2409" s="240">
        <v>9783894051570</v>
      </c>
      <c r="M2409" s="196">
        <v>480</v>
      </c>
      <c r="N2409" s="196"/>
      <c r="O2409" s="196" t="s">
        <v>11265</v>
      </c>
      <c r="P2409" s="144">
        <v>487</v>
      </c>
      <c r="Q2409" s="148">
        <v>4.5199999999999996</v>
      </c>
      <c r="R2409" s="203">
        <v>1.2</v>
      </c>
      <c r="S2409" s="203">
        <v>5.72</v>
      </c>
      <c r="T2409" s="203"/>
      <c r="U2409" s="103"/>
      <c r="V2409" s="103"/>
      <c r="W2409" s="203"/>
      <c r="X2409" s="148"/>
      <c r="Y2409" s="148"/>
      <c r="Z2409" s="148"/>
      <c r="AA2409" s="148"/>
      <c r="AB2409" s="148"/>
      <c r="AC2409" s="148"/>
      <c r="AD2409" s="148"/>
      <c r="AH2409" s="147"/>
    </row>
    <row r="2410" spans="1:34" s="146" customFormat="1" x14ac:dyDescent="0.25">
      <c r="A2410" s="196">
        <v>2522</v>
      </c>
      <c r="B2410" s="196" t="s">
        <v>11266</v>
      </c>
      <c r="C2410" s="196" t="s">
        <v>11267</v>
      </c>
      <c r="D2410" s="196" t="s">
        <v>2609</v>
      </c>
      <c r="E2410" s="196"/>
      <c r="F2410" s="196">
        <v>2009</v>
      </c>
      <c r="G2410" s="196"/>
      <c r="H2410" s="196" t="s">
        <v>1878</v>
      </c>
      <c r="I2410" s="141" t="s">
        <v>1879</v>
      </c>
      <c r="J2410" s="196"/>
      <c r="K2410" s="196" t="s">
        <v>1881</v>
      </c>
      <c r="L2410" s="240">
        <v>9783596172016</v>
      </c>
      <c r="M2410" s="196">
        <v>480</v>
      </c>
      <c r="N2410" s="196"/>
      <c r="O2410" s="196" t="s">
        <v>11268</v>
      </c>
      <c r="P2410" s="144">
        <v>469</v>
      </c>
      <c r="Q2410" s="148">
        <v>4.74</v>
      </c>
      <c r="R2410" s="203">
        <v>1.2</v>
      </c>
      <c r="S2410" s="203">
        <v>5.94</v>
      </c>
      <c r="T2410" s="203"/>
      <c r="U2410" s="103"/>
      <c r="V2410" s="103"/>
      <c r="W2410" s="203"/>
      <c r="X2410" s="148"/>
      <c r="Y2410" s="148"/>
      <c r="Z2410" s="148"/>
      <c r="AA2410" s="148"/>
      <c r="AB2410" s="148"/>
      <c r="AC2410" s="148"/>
      <c r="AD2410" s="148"/>
      <c r="AH2410" s="147"/>
    </row>
    <row r="2411" spans="1:34" s="146" customFormat="1" x14ac:dyDescent="0.25">
      <c r="A2411" s="196">
        <v>1327</v>
      </c>
      <c r="B2411" s="196" t="s">
        <v>7258</v>
      </c>
      <c r="C2411" s="196" t="s">
        <v>11269</v>
      </c>
      <c r="D2411" s="196" t="s">
        <v>2257</v>
      </c>
      <c r="E2411" s="196"/>
      <c r="F2411" s="196">
        <v>1995</v>
      </c>
      <c r="G2411" s="196"/>
      <c r="H2411" s="196" t="s">
        <v>1878</v>
      </c>
      <c r="I2411" s="141" t="s">
        <v>1914</v>
      </c>
      <c r="J2411" s="196"/>
      <c r="K2411" s="196" t="s">
        <v>1881</v>
      </c>
      <c r="L2411" s="240">
        <v>9783426630587</v>
      </c>
      <c r="M2411" s="196">
        <v>720</v>
      </c>
      <c r="N2411" s="196"/>
      <c r="O2411" s="196" t="s">
        <v>11270</v>
      </c>
      <c r="P2411" s="144">
        <v>434</v>
      </c>
      <c r="Q2411" s="148">
        <v>1.9600000000000002</v>
      </c>
      <c r="R2411" s="203">
        <v>1.2</v>
      </c>
      <c r="S2411" s="203">
        <v>3.16</v>
      </c>
      <c r="T2411" s="203"/>
      <c r="U2411" s="103"/>
      <c r="V2411" s="103"/>
      <c r="W2411" s="203"/>
      <c r="X2411" s="148"/>
      <c r="Y2411" s="148"/>
      <c r="Z2411" s="148"/>
      <c r="AA2411" s="148"/>
      <c r="AB2411" s="148"/>
      <c r="AC2411" s="148"/>
      <c r="AD2411" s="148"/>
      <c r="AH2411" s="147"/>
    </row>
    <row r="2412" spans="1:34" s="146" customFormat="1" x14ac:dyDescent="0.25">
      <c r="A2412" s="196">
        <v>1396</v>
      </c>
      <c r="B2412" s="196" t="s">
        <v>11271</v>
      </c>
      <c r="C2412" s="196" t="s">
        <v>11272</v>
      </c>
      <c r="D2412" s="196" t="s">
        <v>2054</v>
      </c>
      <c r="E2412" s="196"/>
      <c r="F2412" s="196">
        <v>1991</v>
      </c>
      <c r="G2412" s="196"/>
      <c r="H2412" s="196" t="s">
        <v>2734</v>
      </c>
      <c r="I2412" s="141" t="s">
        <v>1879</v>
      </c>
      <c r="J2412" s="196"/>
      <c r="K2412" s="196" t="s">
        <v>1881</v>
      </c>
      <c r="L2412" s="240">
        <v>4026411106267</v>
      </c>
      <c r="M2412" s="196">
        <v>314</v>
      </c>
      <c r="N2412" s="196"/>
      <c r="O2412" s="196" t="s">
        <v>11273</v>
      </c>
      <c r="P2412" s="144">
        <v>385</v>
      </c>
      <c r="Q2412" s="148">
        <v>3.79</v>
      </c>
      <c r="R2412" s="203">
        <v>1.2</v>
      </c>
      <c r="S2412" s="203">
        <v>4.99</v>
      </c>
      <c r="T2412" s="203"/>
      <c r="U2412" s="103"/>
      <c r="V2412" s="103"/>
      <c r="W2412" s="203"/>
      <c r="X2412" s="148"/>
      <c r="Y2412" s="148"/>
      <c r="Z2412" s="148"/>
      <c r="AA2412" s="148"/>
      <c r="AB2412" s="148"/>
      <c r="AC2412" s="148"/>
      <c r="AD2412" s="148"/>
      <c r="AH2412" s="147"/>
    </row>
    <row r="2413" spans="1:34" s="146" customFormat="1" x14ac:dyDescent="0.25">
      <c r="A2413" s="196">
        <v>692</v>
      </c>
      <c r="B2413" s="196" t="s">
        <v>11274</v>
      </c>
      <c r="C2413" s="196" t="s">
        <v>11275</v>
      </c>
      <c r="D2413" s="196" t="s">
        <v>11115</v>
      </c>
      <c r="E2413" s="196" t="s">
        <v>1877</v>
      </c>
      <c r="F2413" s="196">
        <v>2019</v>
      </c>
      <c r="G2413" s="196"/>
      <c r="H2413" s="196" t="s">
        <v>1878</v>
      </c>
      <c r="I2413" s="141" t="s">
        <v>1879</v>
      </c>
      <c r="J2413" s="196"/>
      <c r="K2413" s="196" t="s">
        <v>1881</v>
      </c>
      <c r="L2413" s="240">
        <v>9783746634456</v>
      </c>
      <c r="M2413" s="196">
        <v>315</v>
      </c>
      <c r="N2413" s="196"/>
      <c r="O2413" s="196" t="s">
        <v>11276</v>
      </c>
      <c r="P2413" s="144">
        <v>297</v>
      </c>
      <c r="Q2413" s="242">
        <f>S2413-R2413</f>
        <v>2.9399999999999995</v>
      </c>
      <c r="R2413" s="203">
        <v>1.2</v>
      </c>
      <c r="S2413" s="203">
        <v>4.1399999999999997</v>
      </c>
      <c r="T2413" s="203"/>
      <c r="U2413" s="103"/>
      <c r="V2413" s="103"/>
      <c r="W2413" s="203"/>
      <c r="X2413" s="148"/>
      <c r="Y2413" s="148"/>
      <c r="Z2413" s="148"/>
      <c r="AA2413" s="148"/>
      <c r="AB2413" s="148"/>
      <c r="AC2413" s="148"/>
      <c r="AD2413" s="148"/>
      <c r="AH2413" s="147"/>
    </row>
    <row r="2414" spans="1:34" s="146" customFormat="1" x14ac:dyDescent="0.25">
      <c r="A2414" s="196">
        <v>1231</v>
      </c>
      <c r="B2414" s="196" t="s">
        <v>11277</v>
      </c>
      <c r="C2414" s="196" t="s">
        <v>11278</v>
      </c>
      <c r="D2414" s="196" t="s">
        <v>10980</v>
      </c>
      <c r="E2414" s="196" t="s">
        <v>1913</v>
      </c>
      <c r="F2414" s="196">
        <v>1992</v>
      </c>
      <c r="G2414" s="196"/>
      <c r="H2414" s="196" t="s">
        <v>1878</v>
      </c>
      <c r="I2414" s="141" t="s">
        <v>1879</v>
      </c>
      <c r="J2414" s="196" t="s">
        <v>8473</v>
      </c>
      <c r="K2414" s="196" t="s">
        <v>1881</v>
      </c>
      <c r="L2414" s="240" t="s">
        <v>11279</v>
      </c>
      <c r="M2414" s="196">
        <v>332</v>
      </c>
      <c r="N2414" s="196"/>
      <c r="O2414" s="196" t="s">
        <v>11280</v>
      </c>
      <c r="P2414" s="144">
        <v>333</v>
      </c>
      <c r="Q2414" s="242">
        <f t="shared" ref="Q2414:Q2437" si="151">S2414-R2414</f>
        <v>2.6799999999999997</v>
      </c>
      <c r="R2414" s="203">
        <v>1.2</v>
      </c>
      <c r="S2414" s="203">
        <v>3.88</v>
      </c>
      <c r="T2414" s="203"/>
      <c r="U2414" s="103"/>
      <c r="V2414" s="103"/>
      <c r="W2414" s="203"/>
      <c r="X2414" s="148"/>
      <c r="Y2414" s="148"/>
      <c r="Z2414" s="148"/>
      <c r="AA2414" s="148"/>
      <c r="AB2414" s="148"/>
      <c r="AC2414" s="148"/>
      <c r="AD2414" s="148"/>
      <c r="AH2414" s="147"/>
    </row>
    <row r="2415" spans="1:34" s="146" customFormat="1" x14ac:dyDescent="0.25">
      <c r="A2415" s="196">
        <v>692</v>
      </c>
      <c r="B2415" s="196" t="s">
        <v>11281</v>
      </c>
      <c r="C2415" s="196" t="s">
        <v>11282</v>
      </c>
      <c r="D2415" s="196" t="s">
        <v>2309</v>
      </c>
      <c r="E2415" s="196" t="s">
        <v>1913</v>
      </c>
      <c r="F2415" s="196">
        <v>2019</v>
      </c>
      <c r="G2415" s="196"/>
      <c r="H2415" s="196" t="s">
        <v>1878</v>
      </c>
      <c r="I2415" s="141" t="s">
        <v>1879</v>
      </c>
      <c r="J2415" s="196"/>
      <c r="K2415" s="196" t="s">
        <v>1881</v>
      </c>
      <c r="L2415" s="240">
        <v>9783548289991</v>
      </c>
      <c r="M2415" s="196">
        <v>681</v>
      </c>
      <c r="N2415" s="196"/>
      <c r="O2415" s="196" t="s">
        <v>11283</v>
      </c>
      <c r="P2415" s="144">
        <v>456</v>
      </c>
      <c r="Q2415" s="242">
        <f t="shared" si="151"/>
        <v>3.87</v>
      </c>
      <c r="R2415" s="203">
        <v>1.2</v>
      </c>
      <c r="S2415" s="203">
        <v>5.07</v>
      </c>
      <c r="T2415" s="203"/>
      <c r="U2415" s="103"/>
      <c r="V2415" s="103"/>
      <c r="W2415" s="203"/>
      <c r="X2415" s="148"/>
      <c r="Y2415" s="148"/>
      <c r="Z2415" s="148"/>
      <c r="AA2415" s="148"/>
      <c r="AB2415" s="148"/>
      <c r="AC2415" s="148"/>
      <c r="AD2415" s="148"/>
      <c r="AH2415" s="147"/>
    </row>
    <row r="2416" spans="1:34" s="146" customFormat="1" x14ac:dyDescent="0.25">
      <c r="A2416" s="196">
        <v>796</v>
      </c>
      <c r="B2416" s="196" t="s">
        <v>11284</v>
      </c>
      <c r="C2416" s="196" t="s">
        <v>11285</v>
      </c>
      <c r="D2416" s="196" t="s">
        <v>2257</v>
      </c>
      <c r="E2416" s="196"/>
      <c r="F2416" s="196">
        <v>2016</v>
      </c>
      <c r="G2416" s="196"/>
      <c r="H2416" s="196" t="s">
        <v>1878</v>
      </c>
      <c r="I2416" s="141" t="s">
        <v>1879</v>
      </c>
      <c r="J2416" s="196"/>
      <c r="K2416" s="196" t="s">
        <v>1881</v>
      </c>
      <c r="L2416" s="240">
        <v>9783426517451</v>
      </c>
      <c r="M2416" s="196">
        <v>238</v>
      </c>
      <c r="N2416" s="196"/>
      <c r="O2416" s="196" t="s">
        <v>11286</v>
      </c>
      <c r="P2416" s="144">
        <v>229</v>
      </c>
      <c r="Q2416" s="242">
        <f t="shared" si="151"/>
        <v>3.7</v>
      </c>
      <c r="R2416" s="203">
        <v>1.2</v>
      </c>
      <c r="S2416" s="203">
        <v>4.9000000000000004</v>
      </c>
      <c r="T2416" s="203"/>
      <c r="U2416" s="103"/>
      <c r="V2416" s="103"/>
      <c r="W2416" s="203"/>
      <c r="X2416" s="148"/>
      <c r="Y2416" s="148"/>
      <c r="Z2416" s="148"/>
      <c r="AA2416" s="148"/>
      <c r="AB2416" s="148"/>
      <c r="AC2416" s="148"/>
      <c r="AD2416" s="148"/>
      <c r="AH2416" s="147"/>
    </row>
    <row r="2417" spans="1:34" s="146" customFormat="1" x14ac:dyDescent="0.25">
      <c r="A2417" s="196">
        <v>1386</v>
      </c>
      <c r="B2417" s="196" t="s">
        <v>11287</v>
      </c>
      <c r="C2417" s="196" t="s">
        <v>11305</v>
      </c>
      <c r="D2417" s="196" t="s">
        <v>9974</v>
      </c>
      <c r="E2417" s="196"/>
      <c r="F2417" s="196">
        <v>2000</v>
      </c>
      <c r="G2417" s="196"/>
      <c r="H2417" s="196" t="s">
        <v>1878</v>
      </c>
      <c r="I2417" s="141" t="s">
        <v>7527</v>
      </c>
      <c r="J2417" s="196"/>
      <c r="K2417" s="196" t="s">
        <v>1881</v>
      </c>
      <c r="L2417" s="240"/>
      <c r="M2417" s="196">
        <v>717</v>
      </c>
      <c r="N2417" s="196"/>
      <c r="O2417" s="196" t="s">
        <v>11288</v>
      </c>
      <c r="P2417" s="144">
        <v>516</v>
      </c>
      <c r="Q2417" s="242">
        <f t="shared" si="151"/>
        <v>2.9399999999999995</v>
      </c>
      <c r="R2417" s="203">
        <v>1.2</v>
      </c>
      <c r="S2417" s="203">
        <v>4.1399999999999997</v>
      </c>
      <c r="T2417" s="203"/>
      <c r="U2417" s="103"/>
      <c r="V2417" s="103"/>
      <c r="W2417" s="203"/>
      <c r="X2417" s="148"/>
      <c r="Y2417" s="148"/>
      <c r="Z2417" s="148"/>
      <c r="AA2417" s="148"/>
      <c r="AB2417" s="148"/>
      <c r="AC2417" s="148"/>
      <c r="AD2417" s="148"/>
      <c r="AH2417" s="147"/>
    </row>
    <row r="2418" spans="1:34" s="146" customFormat="1" x14ac:dyDescent="0.25">
      <c r="A2418" s="196">
        <v>16</v>
      </c>
      <c r="B2418" s="196" t="s">
        <v>11142</v>
      </c>
      <c r="C2418" s="196" t="s">
        <v>11289</v>
      </c>
      <c r="D2418" s="196" t="s">
        <v>2609</v>
      </c>
      <c r="E2418" s="196" t="s">
        <v>2518</v>
      </c>
      <c r="F2418" s="196">
        <v>2012</v>
      </c>
      <c r="G2418" s="196"/>
      <c r="H2418" s="196" t="s">
        <v>1878</v>
      </c>
      <c r="I2418" s="141" t="s">
        <v>1879</v>
      </c>
      <c r="J2418" s="196"/>
      <c r="K2418" s="196" t="s">
        <v>1881</v>
      </c>
      <c r="L2418" s="240">
        <v>9783596807871</v>
      </c>
      <c r="M2418" s="196">
        <v>205</v>
      </c>
      <c r="N2418" s="196"/>
      <c r="O2418" s="196" t="s">
        <v>11290</v>
      </c>
      <c r="P2418" s="144">
        <v>189</v>
      </c>
      <c r="Q2418" s="242">
        <f t="shared" si="151"/>
        <v>3.13</v>
      </c>
      <c r="R2418" s="203">
        <v>1.2</v>
      </c>
      <c r="S2418" s="203">
        <v>4.33</v>
      </c>
      <c r="T2418" s="203"/>
      <c r="U2418" s="103"/>
      <c r="V2418" s="103"/>
      <c r="W2418" s="203"/>
      <c r="X2418" s="148"/>
      <c r="Y2418" s="148"/>
      <c r="Z2418" s="148"/>
      <c r="AA2418" s="148"/>
      <c r="AB2418" s="148"/>
      <c r="AC2418" s="148"/>
      <c r="AD2418" s="148"/>
      <c r="AH2418" s="147"/>
    </row>
    <row r="2419" spans="1:34" s="146" customFormat="1" x14ac:dyDescent="0.25">
      <c r="A2419" s="196">
        <v>692</v>
      </c>
      <c r="B2419" s="196" t="s">
        <v>2361</v>
      </c>
      <c r="C2419" s="196" t="s">
        <v>11291</v>
      </c>
      <c r="D2419" s="196" t="s">
        <v>1920</v>
      </c>
      <c r="E2419" s="196"/>
      <c r="F2419" s="196">
        <v>2007</v>
      </c>
      <c r="G2419" s="196"/>
      <c r="H2419" s="196" t="s">
        <v>1878</v>
      </c>
      <c r="I2419" s="141" t="s">
        <v>7527</v>
      </c>
      <c r="J2419" s="196"/>
      <c r="K2419" s="196" t="s">
        <v>1881</v>
      </c>
      <c r="L2419" s="240">
        <v>9783404157570</v>
      </c>
      <c r="M2419" s="196">
        <v>301</v>
      </c>
      <c r="N2419" s="196"/>
      <c r="O2419" s="196" t="s">
        <v>11292</v>
      </c>
      <c r="P2419" s="144">
        <v>267</v>
      </c>
      <c r="Q2419" s="242">
        <f t="shared" si="151"/>
        <v>1.68</v>
      </c>
      <c r="R2419" s="203">
        <v>1.2</v>
      </c>
      <c r="S2419" s="203">
        <v>2.88</v>
      </c>
      <c r="T2419" s="203"/>
      <c r="U2419" s="103"/>
      <c r="V2419" s="103"/>
      <c r="W2419" s="203"/>
      <c r="X2419" s="148"/>
      <c r="Y2419" s="148"/>
      <c r="Z2419" s="148"/>
      <c r="AA2419" s="148"/>
      <c r="AB2419" s="148"/>
      <c r="AC2419" s="148"/>
      <c r="AD2419" s="148"/>
      <c r="AH2419" s="147"/>
    </row>
    <row r="2420" spans="1:34" s="146" customFormat="1" x14ac:dyDescent="0.25">
      <c r="A2420" s="196">
        <v>692</v>
      </c>
      <c r="B2420" s="196" t="s">
        <v>9813</v>
      </c>
      <c r="C2420" s="196" t="s">
        <v>11293</v>
      </c>
      <c r="D2420" s="196" t="s">
        <v>2054</v>
      </c>
      <c r="E2420" s="196"/>
      <c r="F2420" s="196">
        <v>2004</v>
      </c>
      <c r="G2420" s="196"/>
      <c r="H2420" s="196" t="s">
        <v>2734</v>
      </c>
      <c r="I2420" s="141" t="s">
        <v>7527</v>
      </c>
      <c r="J2420" s="196" t="s">
        <v>11294</v>
      </c>
      <c r="K2420" s="196" t="s">
        <v>1881</v>
      </c>
      <c r="L2420" s="240">
        <v>9783828969209</v>
      </c>
      <c r="M2420" s="196">
        <v>431</v>
      </c>
      <c r="N2420" s="196"/>
      <c r="O2420" s="196" t="s">
        <v>11295</v>
      </c>
      <c r="P2420" s="144">
        <v>625</v>
      </c>
      <c r="Q2420" s="242">
        <f t="shared" si="151"/>
        <v>3.12</v>
      </c>
      <c r="R2420" s="203">
        <v>1.2</v>
      </c>
      <c r="S2420" s="203">
        <v>4.32</v>
      </c>
      <c r="T2420" s="203"/>
      <c r="U2420" s="103"/>
      <c r="V2420" s="103"/>
      <c r="W2420" s="203"/>
      <c r="X2420" s="148"/>
      <c r="Y2420" s="148"/>
      <c r="Z2420" s="148"/>
      <c r="AA2420" s="148"/>
      <c r="AB2420" s="148"/>
      <c r="AC2420" s="148"/>
      <c r="AD2420" s="148"/>
      <c r="AH2420" s="147"/>
    </row>
    <row r="2421" spans="1:34" s="146" customFormat="1" x14ac:dyDescent="0.25">
      <c r="A2421" s="196">
        <v>1386</v>
      </c>
      <c r="B2421" s="196" t="s">
        <v>11296</v>
      </c>
      <c r="C2421" s="196" t="s">
        <v>11297</v>
      </c>
      <c r="D2421" s="196" t="s">
        <v>11298</v>
      </c>
      <c r="E2421" s="196"/>
      <c r="F2421" s="196">
        <v>2016</v>
      </c>
      <c r="G2421" s="196"/>
      <c r="H2421" s="196" t="s">
        <v>1878</v>
      </c>
      <c r="I2421" s="141" t="s">
        <v>1879</v>
      </c>
      <c r="J2421" s="196"/>
      <c r="K2421" s="196" t="s">
        <v>1881</v>
      </c>
      <c r="L2421" s="240">
        <v>9783947610020</v>
      </c>
      <c r="M2421" s="196">
        <v>335</v>
      </c>
      <c r="N2421" s="196"/>
      <c r="O2421" s="196" t="s">
        <v>11299</v>
      </c>
      <c r="P2421" s="144">
        <v>332</v>
      </c>
      <c r="Q2421" s="242">
        <f t="shared" si="151"/>
        <v>6.29</v>
      </c>
      <c r="R2421" s="203">
        <v>1.2</v>
      </c>
      <c r="S2421" s="203">
        <v>7.49</v>
      </c>
      <c r="T2421" s="203"/>
      <c r="U2421" s="103"/>
      <c r="V2421" s="103"/>
      <c r="W2421" s="203"/>
      <c r="X2421" s="148"/>
      <c r="Y2421" s="148"/>
      <c r="Z2421" s="148"/>
      <c r="AA2421" s="148"/>
      <c r="AB2421" s="148"/>
      <c r="AC2421" s="148"/>
      <c r="AD2421" s="148"/>
      <c r="AH2421" s="147"/>
    </row>
    <row r="2422" spans="1:34" s="146" customFormat="1" x14ac:dyDescent="0.25">
      <c r="A2422" s="196">
        <v>689</v>
      </c>
      <c r="B2422" s="196" t="s">
        <v>11300</v>
      </c>
      <c r="C2422" s="196" t="s">
        <v>11301</v>
      </c>
      <c r="D2422" s="196" t="s">
        <v>3077</v>
      </c>
      <c r="E2422" s="196" t="s">
        <v>1913</v>
      </c>
      <c r="F2422" s="196">
        <v>2007</v>
      </c>
      <c r="G2422" s="196"/>
      <c r="H2422" s="196" t="s">
        <v>1878</v>
      </c>
      <c r="I2422" s="141" t="s">
        <v>1914</v>
      </c>
      <c r="J2422" s="196"/>
      <c r="K2422" s="196" t="s">
        <v>1881</v>
      </c>
      <c r="L2422" s="240">
        <v>9783442244928</v>
      </c>
      <c r="M2422" s="196">
        <v>636</v>
      </c>
      <c r="N2422" s="196"/>
      <c r="O2422" s="196" t="s">
        <v>11302</v>
      </c>
      <c r="P2422" s="144">
        <v>501</v>
      </c>
      <c r="Q2422" s="242">
        <f t="shared" si="151"/>
        <v>3.13</v>
      </c>
      <c r="R2422" s="203">
        <v>1.2</v>
      </c>
      <c r="S2422" s="203">
        <v>4.33</v>
      </c>
      <c r="T2422" s="203"/>
      <c r="U2422" s="103"/>
      <c r="V2422" s="103"/>
      <c r="W2422" s="203"/>
      <c r="X2422" s="148"/>
      <c r="Y2422" s="148"/>
      <c r="Z2422" s="148"/>
      <c r="AA2422" s="148"/>
      <c r="AB2422" s="148"/>
      <c r="AC2422" s="148"/>
      <c r="AD2422" s="148"/>
      <c r="AH2422" s="147"/>
    </row>
    <row r="2423" spans="1:34" s="146" customFormat="1" x14ac:dyDescent="0.25">
      <c r="A2423" s="196">
        <v>689</v>
      </c>
      <c r="B2423" s="196" t="s">
        <v>11300</v>
      </c>
      <c r="C2423" s="196"/>
      <c r="D2423" s="196" t="s">
        <v>3077</v>
      </c>
      <c r="E2423" s="196" t="s">
        <v>1913</v>
      </c>
      <c r="F2423" s="196">
        <v>2008</v>
      </c>
      <c r="G2423" s="196"/>
      <c r="H2423" s="196" t="s">
        <v>11303</v>
      </c>
      <c r="I2423" s="141" t="s">
        <v>1914</v>
      </c>
      <c r="J2423" s="196"/>
      <c r="K2423" s="196" t="s">
        <v>1881</v>
      </c>
      <c r="L2423" s="240">
        <v>9783442265626</v>
      </c>
      <c r="M2423" s="196">
        <v>722</v>
      </c>
      <c r="N2423" s="196"/>
      <c r="O2423" s="196" t="s">
        <v>11304</v>
      </c>
      <c r="P2423" s="144">
        <v>428</v>
      </c>
      <c r="Q2423" s="242">
        <f t="shared" si="151"/>
        <v>5.13</v>
      </c>
      <c r="R2423" s="203">
        <v>1.2</v>
      </c>
      <c r="S2423" s="203">
        <v>6.33</v>
      </c>
      <c r="T2423" s="203"/>
      <c r="U2423" s="103"/>
      <c r="V2423" s="103"/>
      <c r="W2423" s="203"/>
      <c r="X2423" s="148"/>
      <c r="Y2423" s="148"/>
      <c r="Z2423" s="148"/>
      <c r="AA2423" s="148"/>
      <c r="AB2423" s="148"/>
      <c r="AC2423" s="148"/>
      <c r="AD2423" s="148"/>
      <c r="AH2423" s="147"/>
    </row>
    <row r="2424" spans="1:34" s="146" customFormat="1" x14ac:dyDescent="0.25">
      <c r="A2424" s="196">
        <v>763</v>
      </c>
      <c r="B2424" s="196" t="s">
        <v>11495</v>
      </c>
      <c r="C2424" s="196" t="s">
        <v>11496</v>
      </c>
      <c r="D2424" s="196" t="s">
        <v>7924</v>
      </c>
      <c r="E2424" s="196" t="s">
        <v>2175</v>
      </c>
      <c r="F2424" s="196">
        <v>2012</v>
      </c>
      <c r="G2424" s="196"/>
      <c r="H2424" s="196" t="s">
        <v>2734</v>
      </c>
      <c r="I2424" s="141" t="s">
        <v>1929</v>
      </c>
      <c r="J2424" s="196"/>
      <c r="K2424" s="196" t="s">
        <v>1881</v>
      </c>
      <c r="L2424" s="240">
        <v>9783466346868</v>
      </c>
      <c r="M2424" s="196">
        <v>159</v>
      </c>
      <c r="N2424" s="196"/>
      <c r="O2424" s="196" t="s">
        <v>11497</v>
      </c>
      <c r="P2424" s="144">
        <v>363</v>
      </c>
      <c r="Q2424" s="242">
        <f t="shared" si="151"/>
        <v>12.09</v>
      </c>
      <c r="R2424" s="203">
        <v>1.9</v>
      </c>
      <c r="S2424" s="203">
        <v>13.99</v>
      </c>
      <c r="T2424" s="203"/>
      <c r="U2424" s="103"/>
      <c r="V2424" s="103"/>
      <c r="W2424" s="203"/>
      <c r="X2424" s="148"/>
      <c r="Y2424" s="148"/>
      <c r="Z2424" s="148"/>
      <c r="AA2424" s="148"/>
      <c r="AB2424" s="148"/>
      <c r="AC2424" s="148"/>
      <c r="AD2424" s="148"/>
      <c r="AH2424" s="147"/>
    </row>
    <row r="2425" spans="1:34" x14ac:dyDescent="0.25">
      <c r="A2425" s="1">
        <v>689</v>
      </c>
      <c r="B2425" s="1" t="s">
        <v>11498</v>
      </c>
      <c r="C2425" s="1" t="s">
        <v>11499</v>
      </c>
      <c r="D2425" s="1" t="s">
        <v>9974</v>
      </c>
      <c r="F2425" s="1">
        <v>2002</v>
      </c>
      <c r="H2425" s="1" t="s">
        <v>2734</v>
      </c>
      <c r="I2425" s="16" t="s">
        <v>1879</v>
      </c>
      <c r="K2425" s="1" t="s">
        <v>1881</v>
      </c>
      <c r="L2425" s="239"/>
      <c r="M2425" s="1">
        <v>322</v>
      </c>
      <c r="O2425" s="1" t="s">
        <v>11500</v>
      </c>
      <c r="P2425" s="17">
        <v>473</v>
      </c>
      <c r="Q2425" s="242">
        <f t="shared" si="151"/>
        <v>4.26</v>
      </c>
      <c r="R2425" s="18">
        <v>1.9</v>
      </c>
      <c r="S2425" s="18">
        <v>6.16</v>
      </c>
    </row>
    <row r="2426" spans="1:34" x14ac:dyDescent="0.25">
      <c r="A2426" s="1">
        <v>1374</v>
      </c>
      <c r="B2426" s="1" t="s">
        <v>11501</v>
      </c>
      <c r="C2426" s="1" t="s">
        <v>11502</v>
      </c>
      <c r="D2426" s="1" t="s">
        <v>2926</v>
      </c>
      <c r="E2426" s="1" t="s">
        <v>1913</v>
      </c>
      <c r="F2426" s="1">
        <v>1999</v>
      </c>
      <c r="H2426" s="1" t="s">
        <v>2734</v>
      </c>
      <c r="I2426" s="16" t="s">
        <v>1879</v>
      </c>
      <c r="J2426" s="1" t="s">
        <v>9196</v>
      </c>
      <c r="K2426" s="1" t="s">
        <v>1881</v>
      </c>
      <c r="L2426" s="239">
        <v>9783502100188</v>
      </c>
      <c r="M2426" s="1">
        <v>180</v>
      </c>
      <c r="O2426" s="1" t="s">
        <v>11503</v>
      </c>
      <c r="P2426" s="17">
        <v>243</v>
      </c>
      <c r="Q2426" s="242">
        <f t="shared" si="151"/>
        <v>2.6999999999999997</v>
      </c>
      <c r="R2426" s="18">
        <v>1.9</v>
      </c>
      <c r="S2426" s="18">
        <v>4.5999999999999996</v>
      </c>
    </row>
    <row r="2427" spans="1:34" x14ac:dyDescent="0.25">
      <c r="A2427" s="1">
        <v>612</v>
      </c>
      <c r="B2427" s="1" t="s">
        <v>11504</v>
      </c>
      <c r="C2427" s="1" t="s">
        <v>11505</v>
      </c>
      <c r="D2427" s="1" t="s">
        <v>11506</v>
      </c>
      <c r="F2427" s="1">
        <v>2007</v>
      </c>
      <c r="H2427" s="1" t="s">
        <v>2734</v>
      </c>
      <c r="I2427" s="16" t="s">
        <v>1929</v>
      </c>
      <c r="K2427" s="1" t="s">
        <v>1881</v>
      </c>
      <c r="L2427" s="239">
        <v>9783877630150</v>
      </c>
      <c r="M2427" s="1">
        <v>573</v>
      </c>
      <c r="O2427" s="1" t="s">
        <v>11507</v>
      </c>
      <c r="P2427" s="17">
        <v>707</v>
      </c>
      <c r="Q2427" s="242">
        <f t="shared" si="151"/>
        <v>2.1999999999999997</v>
      </c>
      <c r="R2427" s="18">
        <v>1.9</v>
      </c>
      <c r="S2427" s="18">
        <v>4.0999999999999996</v>
      </c>
    </row>
    <row r="2428" spans="1:34" x14ac:dyDescent="0.25">
      <c r="A2428" s="1">
        <v>852</v>
      </c>
      <c r="B2428" s="1" t="s">
        <v>11508</v>
      </c>
      <c r="C2428" s="1" t="s">
        <v>11509</v>
      </c>
      <c r="D2428" s="1" t="s">
        <v>9893</v>
      </c>
      <c r="F2428" s="1">
        <v>2000</v>
      </c>
      <c r="H2428" s="1" t="s">
        <v>1878</v>
      </c>
      <c r="I2428" s="16" t="s">
        <v>1879</v>
      </c>
      <c r="K2428" s="1" t="s">
        <v>1881</v>
      </c>
      <c r="L2428" s="239">
        <v>9783499227776</v>
      </c>
      <c r="M2428" s="1">
        <v>175</v>
      </c>
      <c r="O2428" s="1" t="s">
        <v>11510</v>
      </c>
      <c r="P2428" s="17">
        <v>188</v>
      </c>
      <c r="Q2428" s="242">
        <f t="shared" si="151"/>
        <v>2.0300000000000002</v>
      </c>
      <c r="R2428" s="18">
        <v>1.9</v>
      </c>
      <c r="S2428" s="18">
        <v>3.93</v>
      </c>
    </row>
    <row r="2429" spans="1:34" x14ac:dyDescent="0.25">
      <c r="A2429" s="1">
        <v>1386</v>
      </c>
      <c r="B2429" s="1" t="s">
        <v>10161</v>
      </c>
      <c r="C2429" s="1" t="s">
        <v>10162</v>
      </c>
      <c r="D2429" s="1" t="s">
        <v>9119</v>
      </c>
      <c r="E2429" s="1" t="s">
        <v>7601</v>
      </c>
      <c r="F2429" s="1">
        <v>2010</v>
      </c>
      <c r="H2429" s="1" t="s">
        <v>1878</v>
      </c>
      <c r="I2429" s="16" t="s">
        <v>7527</v>
      </c>
      <c r="K2429" s="1" t="s">
        <v>1881</v>
      </c>
      <c r="L2429" s="239">
        <v>9783462041491</v>
      </c>
      <c r="M2429" s="1">
        <v>254</v>
      </c>
      <c r="O2429" s="1" t="s">
        <v>11511</v>
      </c>
      <c r="P2429" s="17">
        <v>216</v>
      </c>
      <c r="Q2429" s="242">
        <f t="shared" si="151"/>
        <v>2.2900000000000005</v>
      </c>
      <c r="R2429" s="18">
        <v>1.9</v>
      </c>
      <c r="S2429" s="18">
        <v>4.1900000000000004</v>
      </c>
    </row>
    <row r="2430" spans="1:34" x14ac:dyDescent="0.25">
      <c r="A2430" s="1">
        <v>943</v>
      </c>
      <c r="B2430" s="1" t="s">
        <v>11512</v>
      </c>
      <c r="C2430" s="1" t="s">
        <v>11513</v>
      </c>
      <c r="D2430" s="1" t="s">
        <v>11514</v>
      </c>
      <c r="H2430" s="1" t="s">
        <v>1878</v>
      </c>
      <c r="I2430" s="16" t="s">
        <v>1879</v>
      </c>
      <c r="K2430" s="1" t="s">
        <v>1881</v>
      </c>
      <c r="L2430" s="239">
        <v>9783774256989</v>
      </c>
      <c r="M2430" s="1">
        <v>256</v>
      </c>
      <c r="O2430" s="1" t="s">
        <v>11515</v>
      </c>
      <c r="P2430" s="17">
        <v>293</v>
      </c>
      <c r="Q2430" s="242">
        <f t="shared" si="151"/>
        <v>2.31</v>
      </c>
      <c r="R2430" s="18">
        <v>1.9</v>
      </c>
      <c r="S2430" s="18">
        <v>4.21</v>
      </c>
    </row>
    <row r="2431" spans="1:34" x14ac:dyDescent="0.25">
      <c r="A2431" s="1">
        <v>647</v>
      </c>
      <c r="B2431" s="1" t="s">
        <v>11516</v>
      </c>
      <c r="C2431" s="1" t="s">
        <v>11517</v>
      </c>
      <c r="D2431" s="1" t="s">
        <v>8582</v>
      </c>
      <c r="F2431" s="1">
        <v>2004</v>
      </c>
      <c r="H2431" s="1" t="s">
        <v>1878</v>
      </c>
      <c r="I2431" s="16" t="s">
        <v>1879</v>
      </c>
      <c r="K2431" s="1" t="s">
        <v>1881</v>
      </c>
      <c r="L2431" s="239">
        <v>9783821849171</v>
      </c>
      <c r="O2431" s="1" t="s">
        <v>11518</v>
      </c>
      <c r="P2431" s="17">
        <v>316</v>
      </c>
      <c r="Q2431" s="242">
        <f t="shared" si="151"/>
        <v>1.5</v>
      </c>
      <c r="R2431" s="18">
        <v>1.9</v>
      </c>
      <c r="S2431" s="18">
        <v>3.4</v>
      </c>
    </row>
    <row r="2432" spans="1:34" x14ac:dyDescent="0.25">
      <c r="A2432" s="1">
        <v>757</v>
      </c>
      <c r="B2432" s="1" t="s">
        <v>11519</v>
      </c>
      <c r="C2432" s="1" t="s">
        <v>11520</v>
      </c>
      <c r="D2432" s="1" t="s">
        <v>1912</v>
      </c>
      <c r="E2432" s="1" t="s">
        <v>1899</v>
      </c>
      <c r="F2432" s="1">
        <v>2004</v>
      </c>
      <c r="H2432" s="1" t="s">
        <v>1878</v>
      </c>
      <c r="I2432" s="16" t="s">
        <v>1929</v>
      </c>
      <c r="K2432" s="1" t="s">
        <v>1881</v>
      </c>
      <c r="L2432" s="239">
        <v>9783442166497</v>
      </c>
      <c r="M2432" s="1">
        <v>183</v>
      </c>
      <c r="O2432" s="1" t="s">
        <v>11521</v>
      </c>
      <c r="P2432" s="17">
        <v>188</v>
      </c>
      <c r="Q2432" s="242">
        <f t="shared" si="151"/>
        <v>1.9</v>
      </c>
      <c r="R2432" s="18">
        <v>1.9</v>
      </c>
      <c r="S2432" s="18">
        <v>3.8</v>
      </c>
    </row>
    <row r="2433" spans="1:33" x14ac:dyDescent="0.25">
      <c r="A2433" s="1">
        <v>692</v>
      </c>
      <c r="B2433" s="1" t="s">
        <v>4802</v>
      </c>
      <c r="C2433" s="1" t="s">
        <v>4803</v>
      </c>
      <c r="D2433" s="1" t="s">
        <v>1920</v>
      </c>
      <c r="F2433" s="1">
        <v>2005</v>
      </c>
      <c r="H2433" s="1" t="s">
        <v>1878</v>
      </c>
      <c r="I2433" s="16" t="s">
        <v>7527</v>
      </c>
      <c r="K2433" s="1" t="s">
        <v>1881</v>
      </c>
      <c r="L2433" s="239">
        <v>9783404152964</v>
      </c>
      <c r="M2433" s="1">
        <v>317</v>
      </c>
      <c r="O2433" s="1" t="s">
        <v>11522</v>
      </c>
      <c r="P2433" s="17">
        <v>316</v>
      </c>
      <c r="Q2433" s="242">
        <f t="shared" si="151"/>
        <v>1.4900000000000002</v>
      </c>
      <c r="R2433" s="18">
        <v>1.9</v>
      </c>
      <c r="S2433" s="18">
        <v>3.39</v>
      </c>
    </row>
    <row r="2434" spans="1:33" x14ac:dyDescent="0.25">
      <c r="A2434" s="1">
        <v>692</v>
      </c>
      <c r="B2434" s="1" t="s">
        <v>11523</v>
      </c>
      <c r="C2434" s="1" t="s">
        <v>11524</v>
      </c>
      <c r="D2434" s="1" t="s">
        <v>1912</v>
      </c>
      <c r="F2434" s="1">
        <v>2002</v>
      </c>
      <c r="H2434" s="1" t="s">
        <v>1878</v>
      </c>
      <c r="I2434" s="16" t="s">
        <v>7527</v>
      </c>
      <c r="K2434" s="1" t="s">
        <v>1881</v>
      </c>
      <c r="L2434" s="239">
        <v>9783442151813</v>
      </c>
      <c r="M2434" s="1">
        <v>543</v>
      </c>
      <c r="O2434" s="1" t="s">
        <v>11525</v>
      </c>
      <c r="P2434" s="17">
        <v>527</v>
      </c>
      <c r="Q2434" s="242">
        <f t="shared" si="151"/>
        <v>2.6199999999999997</v>
      </c>
      <c r="R2434" s="18">
        <v>1.9</v>
      </c>
      <c r="S2434" s="18">
        <v>4.5199999999999996</v>
      </c>
    </row>
    <row r="2435" spans="1:33" x14ac:dyDescent="0.25">
      <c r="A2435" s="1">
        <v>692</v>
      </c>
      <c r="B2435" s="1" t="s">
        <v>5017</v>
      </c>
      <c r="C2435" s="1" t="s">
        <v>11526</v>
      </c>
      <c r="D2435" s="1" t="s">
        <v>3077</v>
      </c>
      <c r="F2435" s="1">
        <v>2009</v>
      </c>
      <c r="H2435" s="1" t="s">
        <v>1878</v>
      </c>
      <c r="I2435" s="16" t="s">
        <v>7527</v>
      </c>
      <c r="K2435" s="1" t="s">
        <v>1881</v>
      </c>
      <c r="L2435" s="239">
        <v>9783442371860</v>
      </c>
      <c r="M2435" s="1">
        <v>431</v>
      </c>
      <c r="O2435" s="1" t="s">
        <v>11527</v>
      </c>
      <c r="P2435" s="17">
        <v>332</v>
      </c>
      <c r="Q2435" s="242">
        <f t="shared" si="151"/>
        <v>1.7800000000000002</v>
      </c>
      <c r="R2435" s="18">
        <v>1.9</v>
      </c>
      <c r="S2435" s="18">
        <v>3.68</v>
      </c>
    </row>
    <row r="2436" spans="1:33" x14ac:dyDescent="0.25">
      <c r="A2436" s="1">
        <v>701</v>
      </c>
      <c r="B2436" s="1" t="s">
        <v>11528</v>
      </c>
      <c r="C2436" s="1" t="s">
        <v>11529</v>
      </c>
      <c r="D2436" s="1" t="s">
        <v>2309</v>
      </c>
      <c r="E2436" s="1" t="s">
        <v>1899</v>
      </c>
      <c r="F2436" s="1">
        <v>2012</v>
      </c>
      <c r="H2436" s="1" t="s">
        <v>1878</v>
      </c>
      <c r="I2436" s="16" t="s">
        <v>7817</v>
      </c>
      <c r="K2436" s="1" t="s">
        <v>1881</v>
      </c>
      <c r="L2436" s="239">
        <v>9783550080050</v>
      </c>
      <c r="M2436" s="1">
        <v>332</v>
      </c>
      <c r="O2436" s="1" t="s">
        <v>11530</v>
      </c>
      <c r="P2436" s="17">
        <v>445</v>
      </c>
      <c r="Q2436" s="242">
        <f t="shared" si="151"/>
        <v>1.48</v>
      </c>
      <c r="R2436" s="18">
        <v>1.9</v>
      </c>
      <c r="S2436" s="18">
        <v>3.38</v>
      </c>
    </row>
    <row r="2437" spans="1:33" x14ac:dyDescent="0.25">
      <c r="A2437" s="1">
        <v>2518</v>
      </c>
      <c r="B2437" s="1" t="s">
        <v>11531</v>
      </c>
      <c r="C2437" s="1" t="s">
        <v>11532</v>
      </c>
      <c r="D2437" s="1" t="s">
        <v>11533</v>
      </c>
      <c r="F2437" s="1">
        <v>2011</v>
      </c>
      <c r="H2437" s="1" t="s">
        <v>1878</v>
      </c>
      <c r="I2437" s="16" t="s">
        <v>1914</v>
      </c>
      <c r="J2437" s="1" t="s">
        <v>9196</v>
      </c>
      <c r="K2437" s="1" t="s">
        <v>1881</v>
      </c>
      <c r="L2437" s="239"/>
      <c r="M2437" s="1">
        <v>271</v>
      </c>
      <c r="O2437" s="1" t="s">
        <v>11534</v>
      </c>
      <c r="P2437" s="17">
        <v>249</v>
      </c>
      <c r="Q2437" s="242">
        <f t="shared" si="151"/>
        <v>9.8000000000000007</v>
      </c>
      <c r="R2437" s="18">
        <v>2.2000000000000002</v>
      </c>
      <c r="S2437" s="18">
        <v>12</v>
      </c>
    </row>
    <row r="2438" spans="1:33" s="179" customFormat="1" x14ac:dyDescent="0.25">
      <c r="A2438" s="248">
        <v>973</v>
      </c>
      <c r="B2438" s="179" t="s">
        <v>11575</v>
      </c>
      <c r="C2438" s="179" t="s">
        <v>11576</v>
      </c>
      <c r="D2438" s="179" t="s">
        <v>11577</v>
      </c>
      <c r="F2438" s="179">
        <v>1996</v>
      </c>
      <c r="H2438" s="179" t="s">
        <v>2734</v>
      </c>
      <c r="I2438" s="249" t="s">
        <v>1929</v>
      </c>
      <c r="K2438" s="179" t="s">
        <v>2025</v>
      </c>
      <c r="L2438" s="250">
        <v>9780471287889</v>
      </c>
      <c r="M2438" s="179">
        <v>222</v>
      </c>
      <c r="O2438" s="179" t="s">
        <v>11578</v>
      </c>
      <c r="P2438" s="251">
        <v>478</v>
      </c>
      <c r="Q2438" s="245">
        <f>S2438-R2438</f>
        <v>35.799999999999997</v>
      </c>
      <c r="R2438" s="245">
        <v>2.2000000000000002</v>
      </c>
      <c r="S2438" s="252">
        <v>38</v>
      </c>
      <c r="T2438" s="252"/>
      <c r="U2438" s="253"/>
      <c r="V2438" s="253"/>
      <c r="W2438" s="252"/>
      <c r="AG2438" s="254"/>
    </row>
    <row r="2439" spans="1:33" s="197" customFormat="1" x14ac:dyDescent="0.25">
      <c r="A2439" s="41">
        <v>1386</v>
      </c>
      <c r="B2439" s="197" t="s">
        <v>11579</v>
      </c>
      <c r="C2439" s="197" t="s">
        <v>11580</v>
      </c>
      <c r="D2439" s="197" t="s">
        <v>2257</v>
      </c>
      <c r="F2439" s="197">
        <v>1994</v>
      </c>
      <c r="H2439" s="197" t="s">
        <v>1878</v>
      </c>
      <c r="I2439" s="255" t="s">
        <v>1879</v>
      </c>
      <c r="K2439" s="197" t="s">
        <v>1881</v>
      </c>
      <c r="L2439" s="256">
        <v>3426616874</v>
      </c>
      <c r="M2439" s="197">
        <v>430</v>
      </c>
      <c r="O2439" s="257" t="s">
        <v>11581</v>
      </c>
      <c r="P2439" s="222">
        <v>420</v>
      </c>
      <c r="Q2439" s="245">
        <f t="shared" ref="Q2439:Q2502" si="152">S2439-R2439</f>
        <v>1.1999999999999997</v>
      </c>
      <c r="R2439" s="245">
        <v>2.2000000000000002</v>
      </c>
      <c r="S2439" s="258">
        <v>3.4</v>
      </c>
      <c r="T2439" s="201"/>
      <c r="U2439" s="259"/>
      <c r="V2439" s="259"/>
      <c r="W2439" s="201"/>
      <c r="AG2439" s="260"/>
    </row>
    <row r="2440" spans="1:33" s="197" customFormat="1" x14ac:dyDescent="0.25">
      <c r="A2440" s="41">
        <v>1289</v>
      </c>
      <c r="B2440" s="197" t="s">
        <v>11582</v>
      </c>
      <c r="C2440" s="197" t="s">
        <v>11583</v>
      </c>
      <c r="D2440" s="197" t="s">
        <v>4693</v>
      </c>
      <c r="E2440" s="197" t="s">
        <v>1913</v>
      </c>
      <c r="F2440" s="197">
        <v>2008</v>
      </c>
      <c r="H2440" s="197" t="s">
        <v>2734</v>
      </c>
      <c r="I2440" s="255" t="s">
        <v>1879</v>
      </c>
      <c r="J2440" s="197" t="s">
        <v>9495</v>
      </c>
      <c r="K2440" s="197" t="s">
        <v>1881</v>
      </c>
      <c r="L2440" s="256">
        <v>9783833808036</v>
      </c>
      <c r="M2440" s="197">
        <v>384</v>
      </c>
      <c r="O2440" s="257" t="s">
        <v>11584</v>
      </c>
      <c r="P2440" s="222">
        <v>766</v>
      </c>
      <c r="Q2440" s="245">
        <f t="shared" si="152"/>
        <v>2.13</v>
      </c>
      <c r="R2440" s="245">
        <v>2.2000000000000002</v>
      </c>
      <c r="S2440" s="258">
        <v>4.33</v>
      </c>
      <c r="T2440" s="201"/>
      <c r="U2440" s="259"/>
      <c r="V2440" s="259"/>
      <c r="W2440" s="201"/>
      <c r="AG2440" s="260"/>
    </row>
    <row r="2441" spans="1:33" s="197" customFormat="1" x14ac:dyDescent="0.25">
      <c r="A2441" s="41">
        <v>106</v>
      </c>
      <c r="B2441" s="197" t="s">
        <v>11585</v>
      </c>
      <c r="C2441" s="197" t="s">
        <v>11586</v>
      </c>
      <c r="D2441" s="197" t="s">
        <v>8023</v>
      </c>
      <c r="E2441" s="197" t="s">
        <v>1913</v>
      </c>
      <c r="F2441" s="197">
        <v>2011</v>
      </c>
      <c r="H2441" s="197" t="s">
        <v>1878</v>
      </c>
      <c r="I2441" s="255" t="s">
        <v>7817</v>
      </c>
      <c r="K2441" s="197" t="s">
        <v>1881</v>
      </c>
      <c r="L2441" s="256">
        <v>9783458357339</v>
      </c>
      <c r="M2441" s="197">
        <v>186</v>
      </c>
      <c r="O2441" s="257" t="s">
        <v>11587</v>
      </c>
      <c r="P2441" s="222">
        <v>210</v>
      </c>
      <c r="Q2441" s="245">
        <f t="shared" si="152"/>
        <v>3.75</v>
      </c>
      <c r="R2441" s="245">
        <v>2.2000000000000002</v>
      </c>
      <c r="S2441" s="258">
        <v>5.95</v>
      </c>
      <c r="T2441" s="201"/>
      <c r="U2441" s="259"/>
      <c r="V2441" s="259"/>
      <c r="W2441" s="201"/>
      <c r="AG2441" s="260"/>
    </row>
    <row r="2442" spans="1:33" s="197" customFormat="1" x14ac:dyDescent="0.25">
      <c r="A2442" s="41">
        <v>1913</v>
      </c>
      <c r="B2442" s="197" t="s">
        <v>11588</v>
      </c>
      <c r="C2442" s="197" t="s">
        <v>11589</v>
      </c>
      <c r="D2442" s="197" t="s">
        <v>9893</v>
      </c>
      <c r="F2442" s="197">
        <v>2018</v>
      </c>
      <c r="H2442" s="197" t="s">
        <v>1878</v>
      </c>
      <c r="I2442" s="255" t="s">
        <v>7527</v>
      </c>
      <c r="K2442" s="197" t="s">
        <v>1881</v>
      </c>
      <c r="L2442" s="256">
        <v>9783499273155</v>
      </c>
      <c r="M2442" s="197">
        <v>411</v>
      </c>
      <c r="O2442" s="257" t="s">
        <v>11590</v>
      </c>
      <c r="P2442" s="222">
        <v>368</v>
      </c>
      <c r="Q2442" s="245">
        <f t="shared" si="152"/>
        <v>1.8999999999999995</v>
      </c>
      <c r="R2442" s="245">
        <v>2.2000000000000002</v>
      </c>
      <c r="S2442" s="258">
        <v>4.0999999999999996</v>
      </c>
      <c r="T2442" s="201"/>
      <c r="U2442" s="259"/>
      <c r="V2442" s="259"/>
      <c r="W2442" s="201"/>
      <c r="AG2442" s="260"/>
    </row>
    <row r="2443" spans="1:33" s="197" customFormat="1" x14ac:dyDescent="0.25">
      <c r="A2443" s="41">
        <v>1385</v>
      </c>
      <c r="B2443" s="197" t="s">
        <v>11591</v>
      </c>
      <c r="C2443" s="197" t="s">
        <v>11592</v>
      </c>
      <c r="D2443" s="197" t="s">
        <v>11031</v>
      </c>
      <c r="F2443" s="197">
        <v>2000</v>
      </c>
      <c r="H2443" s="197" t="s">
        <v>1878</v>
      </c>
      <c r="I2443" s="255" t="s">
        <v>7527</v>
      </c>
      <c r="K2443" s="197" t="s">
        <v>1881</v>
      </c>
      <c r="L2443" s="256">
        <v>9783893735570</v>
      </c>
      <c r="M2443" s="197">
        <v>224</v>
      </c>
      <c r="O2443" s="257" t="s">
        <v>11593</v>
      </c>
      <c r="P2443" s="222">
        <v>372</v>
      </c>
      <c r="Q2443" s="245">
        <f t="shared" si="152"/>
        <v>1.87</v>
      </c>
      <c r="R2443" s="245">
        <v>2.2000000000000002</v>
      </c>
      <c r="S2443" s="258">
        <v>4.07</v>
      </c>
      <c r="T2443" s="201"/>
      <c r="U2443" s="259"/>
      <c r="V2443" s="259"/>
      <c r="W2443" s="201"/>
      <c r="AG2443" s="260"/>
    </row>
    <row r="2444" spans="1:33" s="197" customFormat="1" x14ac:dyDescent="0.25">
      <c r="A2444" s="41">
        <v>1231</v>
      </c>
      <c r="B2444" s="197" t="s">
        <v>11594</v>
      </c>
      <c r="C2444" s="197" t="s">
        <v>11595</v>
      </c>
      <c r="D2444" s="197" t="s">
        <v>2209</v>
      </c>
      <c r="E2444" s="197" t="s">
        <v>1877</v>
      </c>
      <c r="F2444" s="197">
        <v>2016</v>
      </c>
      <c r="H2444" s="197" t="s">
        <v>1878</v>
      </c>
      <c r="I2444" s="255" t="s">
        <v>1879</v>
      </c>
      <c r="J2444" s="197" t="s">
        <v>9196</v>
      </c>
      <c r="K2444" s="197" t="s">
        <v>1881</v>
      </c>
      <c r="L2444" s="256">
        <v>9783453421585</v>
      </c>
      <c r="M2444" s="197">
        <v>271</v>
      </c>
      <c r="O2444" s="257" t="s">
        <v>11596</v>
      </c>
      <c r="P2444" s="222">
        <v>229</v>
      </c>
      <c r="Q2444" s="245">
        <f t="shared" si="152"/>
        <v>3.13</v>
      </c>
      <c r="R2444" s="245">
        <v>2.2000000000000002</v>
      </c>
      <c r="S2444" s="258">
        <v>5.33</v>
      </c>
      <c r="T2444" s="201"/>
      <c r="U2444" s="259"/>
      <c r="V2444" s="259"/>
      <c r="W2444" s="201"/>
      <c r="AG2444" s="260"/>
    </row>
    <row r="2445" spans="1:33" s="197" customFormat="1" x14ac:dyDescent="0.25">
      <c r="A2445" s="41">
        <v>632</v>
      </c>
      <c r="B2445" s="197" t="s">
        <v>11597</v>
      </c>
      <c r="C2445" s="197" t="s">
        <v>11598</v>
      </c>
      <c r="D2445" s="197" t="s">
        <v>2257</v>
      </c>
      <c r="E2445" s="197" t="s">
        <v>1913</v>
      </c>
      <c r="F2445" s="197">
        <v>2012</v>
      </c>
      <c r="H2445" s="197" t="s">
        <v>1878</v>
      </c>
      <c r="I2445" s="255" t="s">
        <v>7527</v>
      </c>
      <c r="K2445" s="197" t="s">
        <v>1881</v>
      </c>
      <c r="L2445" s="256">
        <v>9783426511329</v>
      </c>
      <c r="M2445" s="197">
        <v>635</v>
      </c>
      <c r="O2445" s="257" t="s">
        <v>11599</v>
      </c>
      <c r="P2445" s="222">
        <v>640</v>
      </c>
      <c r="Q2445" s="245">
        <f t="shared" si="152"/>
        <v>1.9900000000000002</v>
      </c>
      <c r="R2445" s="245">
        <v>2.2000000000000002</v>
      </c>
      <c r="S2445" s="258">
        <v>4.1900000000000004</v>
      </c>
      <c r="T2445" s="201"/>
      <c r="U2445" s="259"/>
      <c r="V2445" s="259"/>
      <c r="W2445" s="201"/>
      <c r="AG2445" s="260"/>
    </row>
    <row r="2446" spans="1:33" s="197" customFormat="1" x14ac:dyDescent="0.25">
      <c r="A2446" s="41">
        <v>1327</v>
      </c>
      <c r="B2446" s="197" t="s">
        <v>11600</v>
      </c>
      <c r="C2446" s="197" t="s">
        <v>11601</v>
      </c>
      <c r="D2446" s="197" t="s">
        <v>11602</v>
      </c>
      <c r="E2446" s="197" t="s">
        <v>1913</v>
      </c>
      <c r="F2446" s="197">
        <v>2001</v>
      </c>
      <c r="H2446" s="197" t="s">
        <v>1878</v>
      </c>
      <c r="I2446" s="255" t="s">
        <v>1929</v>
      </c>
      <c r="K2446" s="197" t="s">
        <v>1881</v>
      </c>
      <c r="L2446" s="256">
        <v>9783423620765</v>
      </c>
      <c r="M2446" s="197">
        <v>233</v>
      </c>
      <c r="O2446" s="257" t="s">
        <v>11603</v>
      </c>
      <c r="P2446" s="222">
        <v>236</v>
      </c>
      <c r="Q2446" s="245">
        <f t="shared" si="152"/>
        <v>2.0999999999999996</v>
      </c>
      <c r="R2446" s="245">
        <v>2.2000000000000002</v>
      </c>
      <c r="S2446" s="258">
        <v>4.3</v>
      </c>
      <c r="T2446" s="201"/>
      <c r="U2446" s="259"/>
      <c r="V2446" s="259"/>
      <c r="W2446" s="201"/>
      <c r="AG2446" s="260"/>
    </row>
    <row r="2447" spans="1:33" s="197" customFormat="1" x14ac:dyDescent="0.25">
      <c r="A2447" s="41">
        <v>1327</v>
      </c>
      <c r="B2447" s="197" t="s">
        <v>8209</v>
      </c>
      <c r="C2447" s="197" t="s">
        <v>11604</v>
      </c>
      <c r="D2447" s="197" t="s">
        <v>1988</v>
      </c>
      <c r="E2447" s="197" t="s">
        <v>1913</v>
      </c>
      <c r="F2447" s="197">
        <v>2017</v>
      </c>
      <c r="H2447" s="197" t="s">
        <v>2734</v>
      </c>
      <c r="I2447" s="255" t="s">
        <v>1929</v>
      </c>
      <c r="K2447" s="197" t="s">
        <v>1881</v>
      </c>
      <c r="L2447" s="256">
        <v>9783423216944</v>
      </c>
      <c r="M2447" s="197">
        <v>189</v>
      </c>
      <c r="O2447" s="257" t="s">
        <v>11605</v>
      </c>
      <c r="P2447" s="222">
        <v>192</v>
      </c>
      <c r="Q2447" s="245">
        <f t="shared" si="152"/>
        <v>5.54</v>
      </c>
      <c r="R2447" s="245">
        <v>2.2000000000000002</v>
      </c>
      <c r="S2447" s="258">
        <v>7.74</v>
      </c>
      <c r="T2447" s="201"/>
      <c r="U2447" s="259"/>
      <c r="V2447" s="259"/>
      <c r="W2447" s="201"/>
      <c r="AG2447" s="260"/>
    </row>
    <row r="2448" spans="1:33" s="197" customFormat="1" x14ac:dyDescent="0.25">
      <c r="A2448" s="41">
        <v>692</v>
      </c>
      <c r="B2448" s="197" t="s">
        <v>11606</v>
      </c>
      <c r="C2448" s="197" t="s">
        <v>11607</v>
      </c>
      <c r="D2448" s="197" t="s">
        <v>11608</v>
      </c>
      <c r="H2448" s="197" t="s">
        <v>1878</v>
      </c>
      <c r="I2448" s="255" t="s">
        <v>1929</v>
      </c>
      <c r="K2448" s="197" t="s">
        <v>1881</v>
      </c>
      <c r="L2448" s="256">
        <v>9783959100915</v>
      </c>
      <c r="M2448" s="197">
        <v>271</v>
      </c>
      <c r="O2448" s="257" t="s">
        <v>11609</v>
      </c>
      <c r="P2448" s="222">
        <v>254</v>
      </c>
      <c r="Q2448" s="245">
        <f t="shared" si="152"/>
        <v>3.0999999999999996</v>
      </c>
      <c r="R2448" s="245">
        <v>2.2000000000000002</v>
      </c>
      <c r="S2448" s="258">
        <v>5.3</v>
      </c>
      <c r="T2448" s="201"/>
      <c r="U2448" s="259"/>
      <c r="V2448" s="259"/>
      <c r="W2448" s="201"/>
      <c r="AG2448" s="260"/>
    </row>
    <row r="2449" spans="1:33" s="197" customFormat="1" x14ac:dyDescent="0.25">
      <c r="A2449" s="41">
        <v>2668</v>
      </c>
      <c r="B2449" s="197" t="s">
        <v>3369</v>
      </c>
      <c r="C2449" s="197" t="s">
        <v>11610</v>
      </c>
      <c r="D2449" s="197" t="s">
        <v>2209</v>
      </c>
      <c r="F2449" s="197">
        <v>2001</v>
      </c>
      <c r="H2449" s="197" t="s">
        <v>2295</v>
      </c>
      <c r="I2449" s="255" t="s">
        <v>1879</v>
      </c>
      <c r="K2449" s="197" t="s">
        <v>1881</v>
      </c>
      <c r="L2449" s="256">
        <v>3453196155</v>
      </c>
      <c r="M2449" s="197">
        <v>392</v>
      </c>
      <c r="O2449" s="257" t="s">
        <v>11611</v>
      </c>
      <c r="P2449" s="222">
        <v>618</v>
      </c>
      <c r="Q2449" s="245">
        <f t="shared" si="152"/>
        <v>1.6599999999999997</v>
      </c>
      <c r="R2449" s="245">
        <v>2.2000000000000002</v>
      </c>
      <c r="S2449" s="258">
        <v>3.86</v>
      </c>
      <c r="T2449" s="201"/>
      <c r="U2449" s="259"/>
      <c r="V2449" s="259"/>
      <c r="W2449" s="201"/>
      <c r="AG2449" s="260"/>
    </row>
    <row r="2450" spans="1:33" s="197" customFormat="1" x14ac:dyDescent="0.25">
      <c r="A2450" s="41">
        <v>14</v>
      </c>
      <c r="B2450" s="197" t="s">
        <v>8225</v>
      </c>
      <c r="C2450" s="197" t="s">
        <v>11612</v>
      </c>
      <c r="D2450" s="197" t="s">
        <v>11613</v>
      </c>
      <c r="E2450" s="197" t="s">
        <v>1877</v>
      </c>
      <c r="F2450" s="197">
        <v>2000</v>
      </c>
      <c r="H2450" s="197" t="s">
        <v>1878</v>
      </c>
      <c r="I2450" s="255" t="s">
        <v>1929</v>
      </c>
      <c r="K2450" s="197" t="s">
        <v>11614</v>
      </c>
      <c r="L2450" s="256">
        <v>389532001</v>
      </c>
      <c r="M2450" s="197">
        <v>143</v>
      </c>
      <c r="O2450" s="257" t="s">
        <v>11615</v>
      </c>
      <c r="P2450" s="222">
        <v>135</v>
      </c>
      <c r="Q2450" s="245">
        <f t="shared" si="152"/>
        <v>1.75</v>
      </c>
      <c r="R2450" s="245">
        <v>2.2000000000000002</v>
      </c>
      <c r="S2450" s="258">
        <v>3.95</v>
      </c>
      <c r="T2450" s="201"/>
      <c r="U2450" s="259"/>
      <c r="V2450" s="259"/>
      <c r="W2450" s="201"/>
      <c r="AG2450" s="260"/>
    </row>
    <row r="2451" spans="1:33" s="197" customFormat="1" x14ac:dyDescent="0.25">
      <c r="A2451" s="41">
        <v>548</v>
      </c>
      <c r="B2451" s="197" t="s">
        <v>11616</v>
      </c>
      <c r="C2451" s="197" t="s">
        <v>11617</v>
      </c>
      <c r="D2451" s="197" t="s">
        <v>1920</v>
      </c>
      <c r="F2451" s="197">
        <v>2001</v>
      </c>
      <c r="H2451" s="197" t="s">
        <v>1878</v>
      </c>
      <c r="I2451" s="255" t="s">
        <v>1879</v>
      </c>
      <c r="K2451" s="197" t="s">
        <v>1881</v>
      </c>
      <c r="L2451" s="256">
        <v>9783404615254</v>
      </c>
      <c r="M2451" s="197">
        <v>382</v>
      </c>
      <c r="O2451" s="257" t="s">
        <v>11618</v>
      </c>
      <c r="P2451" s="222">
        <v>338</v>
      </c>
      <c r="Q2451" s="245">
        <f t="shared" si="152"/>
        <v>1.5299999999999998</v>
      </c>
      <c r="R2451" s="245">
        <v>2.2000000000000002</v>
      </c>
      <c r="S2451" s="258">
        <v>3.73</v>
      </c>
      <c r="T2451" s="201"/>
      <c r="U2451" s="259"/>
      <c r="V2451" s="259"/>
      <c r="W2451" s="201"/>
      <c r="AG2451" s="260"/>
    </row>
    <row r="2452" spans="1:33" s="197" customFormat="1" x14ac:dyDescent="0.25">
      <c r="A2452" s="41">
        <v>701</v>
      </c>
      <c r="B2452" s="197" t="s">
        <v>11619</v>
      </c>
      <c r="C2452" s="197" t="s">
        <v>11620</v>
      </c>
      <c r="D2452" s="197" t="s">
        <v>2257</v>
      </c>
      <c r="E2452" s="197" t="s">
        <v>1913</v>
      </c>
      <c r="F2452" s="197">
        <v>2012</v>
      </c>
      <c r="H2452" s="197" t="s">
        <v>1878</v>
      </c>
      <c r="I2452" s="255" t="s">
        <v>1879</v>
      </c>
      <c r="K2452" s="197" t="s">
        <v>1881</v>
      </c>
      <c r="L2452" s="256">
        <v>9783426512562</v>
      </c>
      <c r="M2452" s="197">
        <v>318</v>
      </c>
      <c r="O2452" s="257" t="s">
        <v>11621</v>
      </c>
      <c r="P2452" s="222">
        <v>385</v>
      </c>
      <c r="Q2452" s="245">
        <f t="shared" si="152"/>
        <v>1.1999999999999997</v>
      </c>
      <c r="R2452" s="245">
        <v>2.2000000000000002</v>
      </c>
      <c r="S2452" s="258">
        <v>3.4</v>
      </c>
      <c r="T2452" s="201"/>
      <c r="U2452" s="259"/>
      <c r="V2452" s="259"/>
      <c r="W2452" s="201"/>
      <c r="AG2452" s="260"/>
    </row>
    <row r="2453" spans="1:33" s="197" customFormat="1" x14ac:dyDescent="0.25">
      <c r="A2453" s="41">
        <v>796</v>
      </c>
      <c r="B2453" s="197" t="s">
        <v>11622</v>
      </c>
      <c r="C2453" s="197" t="s">
        <v>11623</v>
      </c>
      <c r="D2453" s="197" t="s">
        <v>1920</v>
      </c>
      <c r="F2453" s="197">
        <v>2018</v>
      </c>
      <c r="H2453" s="197" t="s">
        <v>1878</v>
      </c>
      <c r="I2453" s="255" t="s">
        <v>1879</v>
      </c>
      <c r="K2453" s="197" t="s">
        <v>1881</v>
      </c>
      <c r="L2453" s="256">
        <v>9783404176311</v>
      </c>
      <c r="M2453" s="197">
        <v>334</v>
      </c>
      <c r="O2453" s="257" t="s">
        <v>11624</v>
      </c>
      <c r="P2453" s="222">
        <v>343</v>
      </c>
      <c r="Q2453" s="245">
        <f t="shared" si="152"/>
        <v>2.0300000000000002</v>
      </c>
      <c r="R2453" s="245">
        <v>2.2000000000000002</v>
      </c>
      <c r="S2453" s="258">
        <v>4.2300000000000004</v>
      </c>
      <c r="T2453" s="201"/>
      <c r="U2453" s="259"/>
      <c r="V2453" s="259"/>
      <c r="W2453" s="201"/>
      <c r="AG2453" s="260"/>
    </row>
    <row r="2454" spans="1:33" s="197" customFormat="1" x14ac:dyDescent="0.25">
      <c r="A2454" s="41">
        <v>757</v>
      </c>
      <c r="B2454" s="197" t="s">
        <v>11625</v>
      </c>
      <c r="C2454" s="197" t="s">
        <v>11626</v>
      </c>
      <c r="D2454" s="197" t="s">
        <v>2209</v>
      </c>
      <c r="E2454" s="197" t="s">
        <v>7601</v>
      </c>
      <c r="F2454" s="197">
        <v>2009</v>
      </c>
      <c r="H2454" s="197" t="s">
        <v>1878</v>
      </c>
      <c r="I2454" s="255" t="s">
        <v>7527</v>
      </c>
      <c r="K2454" s="197" t="s">
        <v>1881</v>
      </c>
      <c r="L2454" s="256">
        <v>9783453601123</v>
      </c>
      <c r="M2454" s="197">
        <v>255</v>
      </c>
      <c r="O2454" s="257" t="s">
        <v>11627</v>
      </c>
      <c r="P2454" s="222">
        <v>211</v>
      </c>
      <c r="Q2454" s="245">
        <f t="shared" si="152"/>
        <v>1.1799999999999997</v>
      </c>
      <c r="R2454" s="245">
        <v>2.2000000000000002</v>
      </c>
      <c r="S2454" s="258">
        <v>3.38</v>
      </c>
      <c r="T2454" s="201"/>
      <c r="U2454" s="259"/>
      <c r="V2454" s="259"/>
      <c r="W2454" s="201"/>
      <c r="AG2454" s="260"/>
    </row>
    <row r="2455" spans="1:33" s="197" customFormat="1" x14ac:dyDescent="0.25">
      <c r="A2455" s="41">
        <v>631</v>
      </c>
      <c r="B2455" s="197" t="s">
        <v>11628</v>
      </c>
      <c r="C2455" s="197" t="s">
        <v>11629</v>
      </c>
      <c r="D2455" s="197" t="s">
        <v>11630</v>
      </c>
      <c r="E2455" s="197" t="s">
        <v>1913</v>
      </c>
      <c r="F2455" s="197">
        <v>1998</v>
      </c>
      <c r="H2455" s="197" t="s">
        <v>2963</v>
      </c>
      <c r="I2455" s="255" t="s">
        <v>7527</v>
      </c>
      <c r="K2455" s="197" t="s">
        <v>1881</v>
      </c>
      <c r="L2455" s="256">
        <v>9783802526206</v>
      </c>
      <c r="M2455" s="197">
        <v>254</v>
      </c>
      <c r="O2455" s="257" t="s">
        <v>11631</v>
      </c>
      <c r="P2455" s="222">
        <v>308</v>
      </c>
      <c r="Q2455" s="245">
        <f t="shared" si="152"/>
        <v>2.29</v>
      </c>
      <c r="R2455" s="245">
        <v>2.2000000000000002</v>
      </c>
      <c r="S2455" s="258">
        <v>4.49</v>
      </c>
      <c r="T2455" s="201"/>
      <c r="U2455" s="259"/>
      <c r="V2455" s="259"/>
      <c r="W2455" s="201"/>
      <c r="AG2455" s="260"/>
    </row>
    <row r="2456" spans="1:33" s="197" customFormat="1" x14ac:dyDescent="0.25">
      <c r="A2456" s="41">
        <v>763</v>
      </c>
      <c r="B2456" s="197" t="s">
        <v>11632</v>
      </c>
      <c r="C2456" s="197" t="s">
        <v>11633</v>
      </c>
      <c r="D2456" s="197" t="s">
        <v>11514</v>
      </c>
      <c r="E2456" s="197" t="s">
        <v>2175</v>
      </c>
      <c r="F2456" s="197">
        <v>1999</v>
      </c>
      <c r="H2456" s="197" t="s">
        <v>1878</v>
      </c>
      <c r="I2456" s="255" t="s">
        <v>7527</v>
      </c>
      <c r="K2456" s="197" t="s">
        <v>1881</v>
      </c>
      <c r="L2456" s="256">
        <v>9783774233881</v>
      </c>
      <c r="M2456" s="197">
        <v>96</v>
      </c>
      <c r="O2456" s="257" t="s">
        <v>11634</v>
      </c>
      <c r="P2456" s="222">
        <v>248</v>
      </c>
      <c r="Q2456" s="245">
        <f t="shared" si="152"/>
        <v>1.0099999999999998</v>
      </c>
      <c r="R2456" s="245">
        <v>2.2000000000000002</v>
      </c>
      <c r="S2456" s="258">
        <v>3.21</v>
      </c>
      <c r="T2456" s="201"/>
      <c r="U2456" s="259"/>
      <c r="V2456" s="259"/>
      <c r="W2456" s="201"/>
      <c r="AG2456" s="260"/>
    </row>
    <row r="2457" spans="1:33" s="197" customFormat="1" x14ac:dyDescent="0.25">
      <c r="A2457" s="41">
        <v>689</v>
      </c>
      <c r="B2457" s="197" t="s">
        <v>7452</v>
      </c>
      <c r="C2457" s="197" t="s">
        <v>11635</v>
      </c>
      <c r="D2457" s="197" t="s">
        <v>9893</v>
      </c>
      <c r="F2457" s="197">
        <v>1999</v>
      </c>
      <c r="H2457" s="197" t="s">
        <v>1878</v>
      </c>
      <c r="I2457" s="255" t="s">
        <v>1914</v>
      </c>
      <c r="K2457" s="197" t="s">
        <v>1881</v>
      </c>
      <c r="L2457" s="256">
        <v>9783499224966</v>
      </c>
      <c r="M2457" s="197">
        <v>478</v>
      </c>
      <c r="O2457" s="257" t="s">
        <v>11636</v>
      </c>
      <c r="P2457" s="222">
        <v>436</v>
      </c>
      <c r="Q2457" s="245">
        <f t="shared" si="152"/>
        <v>1.67</v>
      </c>
      <c r="R2457" s="245">
        <v>2.2000000000000002</v>
      </c>
      <c r="S2457" s="258">
        <v>3.87</v>
      </c>
      <c r="T2457" s="201"/>
      <c r="U2457" s="259"/>
      <c r="V2457" s="259"/>
      <c r="W2457" s="201"/>
      <c r="AG2457" s="260"/>
    </row>
    <row r="2458" spans="1:33" x14ac:dyDescent="0.25">
      <c r="A2458" s="196">
        <v>1373</v>
      </c>
      <c r="B2458" s="196" t="s">
        <v>11535</v>
      </c>
      <c r="C2458" s="196" t="s">
        <v>11536</v>
      </c>
      <c r="D2458" s="196" t="s">
        <v>11537</v>
      </c>
      <c r="E2458" s="196" t="s">
        <v>1899</v>
      </c>
      <c r="F2458" s="196">
        <v>2016</v>
      </c>
      <c r="H2458" s="196" t="s">
        <v>1878</v>
      </c>
      <c r="I2458" s="16" t="s">
        <v>1879</v>
      </c>
      <c r="K2458" s="196" t="s">
        <v>11538</v>
      </c>
      <c r="L2458" s="16" t="s">
        <v>11539</v>
      </c>
      <c r="M2458" s="196">
        <v>144</v>
      </c>
      <c r="O2458" s="257" t="s">
        <v>11637</v>
      </c>
      <c r="P2458" s="17">
        <v>203</v>
      </c>
      <c r="Q2458" s="245">
        <f t="shared" si="152"/>
        <v>1.5099999999999998</v>
      </c>
      <c r="R2458" s="245">
        <v>2.2000000000000002</v>
      </c>
      <c r="S2458" s="18">
        <v>3.71</v>
      </c>
    </row>
    <row r="2459" spans="1:33" x14ac:dyDescent="0.25">
      <c r="A2459" s="196">
        <v>704</v>
      </c>
      <c r="B2459" s="196" t="s">
        <v>11540</v>
      </c>
      <c r="C2459" s="196" t="s">
        <v>11541</v>
      </c>
      <c r="D2459" s="196" t="s">
        <v>2054</v>
      </c>
      <c r="F2459" s="196">
        <v>2019</v>
      </c>
      <c r="H2459" s="196" t="s">
        <v>4297</v>
      </c>
      <c r="I2459" s="16" t="s">
        <v>1879</v>
      </c>
      <c r="K2459" s="196" t="s">
        <v>11538</v>
      </c>
      <c r="M2459" s="196">
        <v>658</v>
      </c>
      <c r="O2459" s="257" t="s">
        <v>11638</v>
      </c>
      <c r="P2459" s="17">
        <v>492</v>
      </c>
      <c r="Q2459" s="245">
        <f t="shared" si="152"/>
        <v>3.08</v>
      </c>
      <c r="R2459" s="245">
        <v>2.2000000000000002</v>
      </c>
      <c r="S2459" s="18">
        <v>5.28</v>
      </c>
    </row>
    <row r="2460" spans="1:33" x14ac:dyDescent="0.25">
      <c r="A2460" s="196">
        <v>724</v>
      </c>
      <c r="B2460" s="196" t="s">
        <v>11542</v>
      </c>
      <c r="C2460" s="196" t="s">
        <v>11543</v>
      </c>
      <c r="D2460" s="196" t="s">
        <v>11544</v>
      </c>
      <c r="F2460" s="196">
        <v>1993</v>
      </c>
      <c r="H2460" s="182" t="s">
        <v>2734</v>
      </c>
      <c r="I2460" s="16" t="s">
        <v>1879</v>
      </c>
      <c r="J2460" s="1" t="s">
        <v>11545</v>
      </c>
      <c r="K2460" s="196" t="s">
        <v>11538</v>
      </c>
      <c r="L2460" s="16" t="s">
        <v>11546</v>
      </c>
      <c r="M2460" s="196">
        <v>162</v>
      </c>
      <c r="O2460" s="257" t="s">
        <v>11639</v>
      </c>
      <c r="P2460" s="17">
        <v>356</v>
      </c>
      <c r="Q2460" s="245">
        <f t="shared" si="152"/>
        <v>0.96999999999999975</v>
      </c>
      <c r="R2460" s="245">
        <v>2.2000000000000002</v>
      </c>
      <c r="S2460" s="18">
        <f>0.97+2.2</f>
        <v>3.17</v>
      </c>
    </row>
    <row r="2461" spans="1:33" x14ac:dyDescent="0.25">
      <c r="A2461" s="196">
        <v>2522</v>
      </c>
      <c r="B2461" s="196" t="s">
        <v>7192</v>
      </c>
      <c r="C2461" s="196" t="s">
        <v>11547</v>
      </c>
      <c r="D2461" s="196" t="s">
        <v>2054</v>
      </c>
      <c r="F2461" s="196">
        <v>2007</v>
      </c>
      <c r="H2461" s="196" t="s">
        <v>2734</v>
      </c>
      <c r="I2461" s="16" t="s">
        <v>1879</v>
      </c>
      <c r="J2461" s="1" t="s">
        <v>11548</v>
      </c>
      <c r="K2461" s="196" t="s">
        <v>11538</v>
      </c>
      <c r="L2461" s="16" t="s">
        <v>11549</v>
      </c>
      <c r="M2461" s="196">
        <v>466</v>
      </c>
      <c r="O2461" s="257" t="s">
        <v>11640</v>
      </c>
      <c r="P2461" s="17">
        <v>421</v>
      </c>
      <c r="Q2461" s="245">
        <f t="shared" si="152"/>
        <v>2.79</v>
      </c>
      <c r="R2461" s="245">
        <v>2.2000000000000002</v>
      </c>
      <c r="S2461" s="18">
        <v>4.99</v>
      </c>
    </row>
    <row r="2462" spans="1:33" x14ac:dyDescent="0.25">
      <c r="A2462" s="196">
        <v>775</v>
      </c>
      <c r="B2462" s="196" t="s">
        <v>11550</v>
      </c>
      <c r="C2462" s="196" t="s">
        <v>11551</v>
      </c>
      <c r="D2462" s="196" t="s">
        <v>2644</v>
      </c>
      <c r="F2462" s="196">
        <v>2011</v>
      </c>
      <c r="H2462" s="196" t="s">
        <v>1878</v>
      </c>
      <c r="I2462" s="16" t="s">
        <v>1879</v>
      </c>
      <c r="K2462" s="196" t="s">
        <v>11538</v>
      </c>
      <c r="L2462" s="16" t="s">
        <v>11552</v>
      </c>
      <c r="M2462" s="196">
        <v>320</v>
      </c>
      <c r="O2462" s="257" t="s">
        <v>11641</v>
      </c>
      <c r="P2462" s="17">
        <v>291</v>
      </c>
      <c r="Q2462" s="245">
        <f t="shared" si="152"/>
        <v>1.88</v>
      </c>
      <c r="R2462" s="245">
        <v>2.2000000000000002</v>
      </c>
      <c r="S2462" s="18">
        <v>4.08</v>
      </c>
    </row>
    <row r="2463" spans="1:33" x14ac:dyDescent="0.25">
      <c r="A2463" s="196">
        <v>2518</v>
      </c>
      <c r="B2463" s="196" t="s">
        <v>5033</v>
      </c>
      <c r="C2463" s="196" t="s">
        <v>5034</v>
      </c>
      <c r="D2463" s="196" t="s">
        <v>1988</v>
      </c>
      <c r="E2463" s="196" t="s">
        <v>5035</v>
      </c>
      <c r="F2463" s="196">
        <v>2003</v>
      </c>
      <c r="H2463" s="196" t="s">
        <v>1878</v>
      </c>
      <c r="I2463" s="16" t="s">
        <v>1879</v>
      </c>
      <c r="K2463" s="196" t="s">
        <v>11538</v>
      </c>
      <c r="L2463" s="16" t="s">
        <v>5037</v>
      </c>
      <c r="M2463" s="196">
        <v>336</v>
      </c>
      <c r="O2463" s="257" t="s">
        <v>11642</v>
      </c>
      <c r="P2463" s="17">
        <v>242</v>
      </c>
      <c r="Q2463" s="245">
        <f t="shared" si="152"/>
        <v>2.6799999999999997</v>
      </c>
      <c r="R2463" s="245">
        <v>2.2000000000000002</v>
      </c>
      <c r="S2463" s="18">
        <v>4.88</v>
      </c>
    </row>
    <row r="2464" spans="1:33" x14ac:dyDescent="0.25">
      <c r="A2464" s="196">
        <v>2518</v>
      </c>
      <c r="B2464" s="196" t="s">
        <v>11553</v>
      </c>
      <c r="C2464" s="196" t="s">
        <v>11554</v>
      </c>
      <c r="D2464" s="196" t="s">
        <v>1988</v>
      </c>
      <c r="E2464" s="196" t="s">
        <v>1877</v>
      </c>
      <c r="F2464" s="196">
        <v>2012</v>
      </c>
      <c r="H2464" s="196" t="s">
        <v>1878</v>
      </c>
      <c r="I2464" s="16" t="s">
        <v>1879</v>
      </c>
      <c r="K2464" s="196" t="s">
        <v>11538</v>
      </c>
      <c r="L2464" s="16" t="s">
        <v>11555</v>
      </c>
      <c r="M2464" s="196">
        <v>288</v>
      </c>
      <c r="O2464" s="257" t="s">
        <v>11643</v>
      </c>
      <c r="P2464" s="17">
        <v>284</v>
      </c>
      <c r="Q2464" s="245">
        <f t="shared" si="152"/>
        <v>1.17</v>
      </c>
      <c r="R2464" s="245">
        <v>2.2000000000000002</v>
      </c>
      <c r="S2464" s="18">
        <v>3.37</v>
      </c>
    </row>
    <row r="2465" spans="1:34" x14ac:dyDescent="0.25">
      <c r="A2465" s="196">
        <v>775</v>
      </c>
      <c r="B2465" s="196" t="s">
        <v>11556</v>
      </c>
      <c r="C2465" s="196" t="s">
        <v>11557</v>
      </c>
      <c r="D2465" s="196" t="s">
        <v>2232</v>
      </c>
      <c r="E2465" s="196" t="s">
        <v>1913</v>
      </c>
      <c r="F2465" s="196">
        <v>2010</v>
      </c>
      <c r="H2465" s="196" t="s">
        <v>1878</v>
      </c>
      <c r="I2465" s="16" t="s">
        <v>1879</v>
      </c>
      <c r="K2465" s="196" t="s">
        <v>11538</v>
      </c>
      <c r="L2465" s="16" t="s">
        <v>11558</v>
      </c>
      <c r="M2465" s="196">
        <v>320</v>
      </c>
      <c r="O2465" s="257" t="s">
        <v>11644</v>
      </c>
      <c r="P2465" s="17">
        <v>300</v>
      </c>
      <c r="Q2465" s="245">
        <f t="shared" si="152"/>
        <v>1.9299999999999997</v>
      </c>
      <c r="R2465" s="245">
        <v>2.2000000000000002</v>
      </c>
      <c r="S2465" s="18">
        <v>4.13</v>
      </c>
    </row>
    <row r="2466" spans="1:34" x14ac:dyDescent="0.25">
      <c r="A2466" s="196">
        <v>2547</v>
      </c>
      <c r="B2466" s="196" t="s">
        <v>4071</v>
      </c>
      <c r="C2466" s="196" t="s">
        <v>11559</v>
      </c>
      <c r="D2466" s="196" t="s">
        <v>1912</v>
      </c>
      <c r="F2466" s="196">
        <v>1990</v>
      </c>
      <c r="H2466" s="196" t="s">
        <v>1878</v>
      </c>
      <c r="I2466" s="16" t="s">
        <v>1914</v>
      </c>
      <c r="K2466" s="196" t="s">
        <v>11538</v>
      </c>
      <c r="L2466" s="16" t="s">
        <v>11560</v>
      </c>
      <c r="M2466" s="196">
        <v>480</v>
      </c>
      <c r="O2466" s="257" t="s">
        <v>11645</v>
      </c>
      <c r="P2466" s="17">
        <v>328</v>
      </c>
      <c r="Q2466" s="245">
        <f t="shared" si="152"/>
        <v>1.19</v>
      </c>
      <c r="R2466" s="245">
        <v>2.2000000000000002</v>
      </c>
      <c r="S2466" s="18">
        <v>3.39</v>
      </c>
    </row>
    <row r="2467" spans="1:34" x14ac:dyDescent="0.25">
      <c r="A2467" s="196">
        <v>2663</v>
      </c>
      <c r="B2467" s="196" t="s">
        <v>11561</v>
      </c>
      <c r="C2467" s="196" t="s">
        <v>11562</v>
      </c>
      <c r="D2467" s="196" t="s">
        <v>2609</v>
      </c>
      <c r="F2467" s="196">
        <v>2004</v>
      </c>
      <c r="H2467" s="196" t="s">
        <v>1878</v>
      </c>
      <c r="I2467" s="16" t="s">
        <v>1879</v>
      </c>
      <c r="K2467" s="196" t="s">
        <v>11538</v>
      </c>
      <c r="L2467" s="16" t="s">
        <v>11563</v>
      </c>
      <c r="M2467" s="196">
        <v>576</v>
      </c>
      <c r="O2467" s="257" t="s">
        <v>11646</v>
      </c>
      <c r="P2467" s="17">
        <v>424</v>
      </c>
      <c r="Q2467" s="245">
        <f t="shared" si="152"/>
        <v>3.0999999999999996</v>
      </c>
      <c r="R2467" s="245">
        <v>2.2000000000000002</v>
      </c>
      <c r="S2467" s="18">
        <v>5.3</v>
      </c>
    </row>
    <row r="2468" spans="1:34" x14ac:dyDescent="0.25">
      <c r="A2468" s="196">
        <v>1327</v>
      </c>
      <c r="B2468" s="196" t="s">
        <v>5033</v>
      </c>
      <c r="C2468" s="196" t="s">
        <v>11564</v>
      </c>
      <c r="D2468" s="196" t="s">
        <v>1988</v>
      </c>
      <c r="F2468" s="196">
        <v>2009</v>
      </c>
      <c r="H2468" s="196" t="s">
        <v>1878</v>
      </c>
      <c r="I2468" s="16" t="s">
        <v>1879</v>
      </c>
      <c r="K2468" s="196" t="s">
        <v>11538</v>
      </c>
      <c r="L2468" s="16" t="s">
        <v>11565</v>
      </c>
      <c r="M2468" s="196">
        <v>368</v>
      </c>
      <c r="O2468" s="257" t="s">
        <v>11647</v>
      </c>
      <c r="P2468" s="17">
        <v>274</v>
      </c>
      <c r="Q2468" s="245">
        <f t="shared" si="152"/>
        <v>1.7799999999999998</v>
      </c>
      <c r="R2468" s="245">
        <v>2.2000000000000002</v>
      </c>
      <c r="S2468" s="18">
        <v>3.98</v>
      </c>
    </row>
    <row r="2469" spans="1:34" x14ac:dyDescent="0.25">
      <c r="A2469" s="196">
        <v>2526</v>
      </c>
      <c r="B2469" s="196" t="s">
        <v>11566</v>
      </c>
      <c r="C2469" s="196" t="s">
        <v>11567</v>
      </c>
      <c r="D2469" s="196" t="s">
        <v>5926</v>
      </c>
      <c r="F2469" s="196">
        <v>1998</v>
      </c>
      <c r="H2469" s="196" t="s">
        <v>1878</v>
      </c>
      <c r="I2469" s="16" t="s">
        <v>1914</v>
      </c>
      <c r="K2469" s="196" t="s">
        <v>11538</v>
      </c>
      <c r="L2469" s="16" t="s">
        <v>11568</v>
      </c>
      <c r="M2469" s="196">
        <v>352</v>
      </c>
      <c r="O2469" s="257" t="s">
        <v>11648</v>
      </c>
      <c r="P2469" s="17">
        <v>339</v>
      </c>
      <c r="Q2469" s="245">
        <f t="shared" si="152"/>
        <v>2.3899999999999997</v>
      </c>
      <c r="R2469" s="245">
        <v>2.2000000000000002</v>
      </c>
      <c r="S2469" s="18">
        <v>4.59</v>
      </c>
    </row>
    <row r="2470" spans="1:34" ht="39.6" x14ac:dyDescent="0.25">
      <c r="A2470" s="196">
        <v>631</v>
      </c>
      <c r="B2470" s="196" t="s">
        <v>10851</v>
      </c>
      <c r="C2470" s="196" t="s">
        <v>11569</v>
      </c>
      <c r="D2470" s="196" t="s">
        <v>1920</v>
      </c>
      <c r="F2470" s="196">
        <v>2012</v>
      </c>
      <c r="H2470" s="196" t="s">
        <v>1878</v>
      </c>
      <c r="I2470" s="16" t="s">
        <v>1879</v>
      </c>
      <c r="J2470" s="50" t="s">
        <v>11570</v>
      </c>
      <c r="K2470" s="196" t="s">
        <v>11538</v>
      </c>
      <c r="L2470" s="16" t="s">
        <v>11571</v>
      </c>
      <c r="M2470" s="196">
        <v>496</v>
      </c>
      <c r="O2470" s="257" t="s">
        <v>11649</v>
      </c>
      <c r="P2470" s="17">
        <v>475</v>
      </c>
      <c r="Q2470" s="245">
        <f t="shared" si="152"/>
        <v>2.0099999999999998</v>
      </c>
      <c r="R2470" s="245">
        <v>2.2000000000000002</v>
      </c>
      <c r="S2470" s="18">
        <v>4.21</v>
      </c>
    </row>
    <row r="2471" spans="1:34" s="146" customFormat="1" ht="26.4" x14ac:dyDescent="0.25">
      <c r="A2471" s="196">
        <v>1386</v>
      </c>
      <c r="B2471" s="196" t="s">
        <v>8636</v>
      </c>
      <c r="C2471" s="196" t="s">
        <v>8637</v>
      </c>
      <c r="D2471" s="196" t="s">
        <v>2209</v>
      </c>
      <c r="E2471" s="196"/>
      <c r="F2471" s="196">
        <v>2017</v>
      </c>
      <c r="G2471" s="196"/>
      <c r="H2471" s="196" t="s">
        <v>1878</v>
      </c>
      <c r="I2471" s="141" t="s">
        <v>1879</v>
      </c>
      <c r="J2471" s="52" t="s">
        <v>9196</v>
      </c>
      <c r="K2471" s="196" t="s">
        <v>1881</v>
      </c>
      <c r="L2471" s="240" t="s">
        <v>8638</v>
      </c>
      <c r="M2471" s="196">
        <v>560</v>
      </c>
      <c r="N2471" s="196"/>
      <c r="O2471" s="257" t="s">
        <v>11650</v>
      </c>
      <c r="P2471" s="144">
        <v>493</v>
      </c>
      <c r="Q2471" s="245">
        <f t="shared" si="152"/>
        <v>1.92</v>
      </c>
      <c r="R2471" s="245">
        <v>2.2000000000000002</v>
      </c>
      <c r="S2471" s="203">
        <v>4.12</v>
      </c>
      <c r="T2471" s="151">
        <v>0.13</v>
      </c>
      <c r="U2471" s="151" t="str">
        <f>IF(P2471&lt;501,"1,20","1,70")</f>
        <v>1,20</v>
      </c>
      <c r="V2471" s="151">
        <f>0.08+0.09+0.17</f>
        <v>0.33999999999999997</v>
      </c>
      <c r="W2471" s="151">
        <v>0.4</v>
      </c>
      <c r="X2471" s="152">
        <f>(T2471+U2471+V2471+W2471)/100*7</f>
        <v>0.1449</v>
      </c>
      <c r="Y2471" s="152">
        <f>S2471</f>
        <v>4.12</v>
      </c>
      <c r="Z2471" s="152">
        <f>T2471+U2471+V2471+W2471+X2471</f>
        <v>2.2148999999999996</v>
      </c>
      <c r="AA2471" s="153"/>
      <c r="AB2471" s="153"/>
      <c r="AC2471" s="153"/>
      <c r="AD2471" s="153"/>
      <c r="AH2471" s="147"/>
    </row>
    <row r="2472" spans="1:34" x14ac:dyDescent="0.25">
      <c r="A2472" s="196">
        <v>614</v>
      </c>
      <c r="B2472" s="196" t="s">
        <v>11572</v>
      </c>
      <c r="C2472" s="196" t="s">
        <v>11573</v>
      </c>
      <c r="D2472" s="196" t="s">
        <v>1920</v>
      </c>
      <c r="F2472" s="196">
        <v>2002</v>
      </c>
      <c r="H2472" s="196" t="s">
        <v>1878</v>
      </c>
      <c r="I2472" s="16" t="s">
        <v>1879</v>
      </c>
      <c r="K2472" s="196" t="s">
        <v>1881</v>
      </c>
      <c r="L2472" s="16" t="s">
        <v>11574</v>
      </c>
      <c r="M2472" s="196">
        <v>256</v>
      </c>
      <c r="O2472" s="257" t="s">
        <v>11651</v>
      </c>
      <c r="P2472" s="17">
        <v>252</v>
      </c>
      <c r="Q2472" s="245">
        <f t="shared" si="152"/>
        <v>1.9699999999999998</v>
      </c>
      <c r="R2472" s="245">
        <v>2.2000000000000002</v>
      </c>
      <c r="S2472" s="18">
        <v>4.17</v>
      </c>
    </row>
    <row r="2473" spans="1:34" s="146" customFormat="1" x14ac:dyDescent="0.25">
      <c r="A2473" s="196">
        <v>2551</v>
      </c>
      <c r="B2473" s="196" t="s">
        <v>5033</v>
      </c>
      <c r="C2473" s="196" t="s">
        <v>11671</v>
      </c>
      <c r="D2473" s="196" t="s">
        <v>1988</v>
      </c>
      <c r="E2473" s="196" t="s">
        <v>2032</v>
      </c>
      <c r="F2473" s="196">
        <v>2006</v>
      </c>
      <c r="G2473" s="196"/>
      <c r="H2473" s="196" t="s">
        <v>1878</v>
      </c>
      <c r="I2473" s="141" t="s">
        <v>1879</v>
      </c>
      <c r="J2473" s="52"/>
      <c r="K2473" s="196" t="s">
        <v>1881</v>
      </c>
      <c r="L2473" s="240">
        <v>9783423208314</v>
      </c>
      <c r="M2473" s="196">
        <v>528</v>
      </c>
      <c r="N2473" s="196"/>
      <c r="O2473" s="257" t="s">
        <v>11652</v>
      </c>
      <c r="P2473" s="144">
        <v>382</v>
      </c>
      <c r="Q2473" s="245">
        <f t="shared" si="152"/>
        <v>1.1799999999999997</v>
      </c>
      <c r="R2473" s="245">
        <v>2.2000000000000002</v>
      </c>
      <c r="S2473" s="203">
        <v>3.38</v>
      </c>
      <c r="T2473" s="151"/>
      <c r="U2473" s="151"/>
      <c r="V2473" s="151"/>
      <c r="W2473" s="151"/>
      <c r="X2473" s="152"/>
      <c r="Y2473" s="152"/>
      <c r="Z2473" s="152"/>
      <c r="AA2473" s="153"/>
      <c r="AB2473" s="153"/>
      <c r="AC2473" s="153"/>
      <c r="AD2473" s="153"/>
      <c r="AH2473" s="147"/>
    </row>
    <row r="2474" spans="1:34" x14ac:dyDescent="0.25">
      <c r="A2474" s="196">
        <v>2551</v>
      </c>
      <c r="B2474" s="196" t="s">
        <v>5033</v>
      </c>
      <c r="C2474" s="196" t="s">
        <v>11672</v>
      </c>
      <c r="D2474" s="196" t="s">
        <v>1988</v>
      </c>
      <c r="E2474" s="196" t="s">
        <v>2175</v>
      </c>
      <c r="F2474" s="196">
        <v>2003</v>
      </c>
      <c r="H2474" s="196" t="s">
        <v>1878</v>
      </c>
      <c r="I2474" s="16" t="s">
        <v>1879</v>
      </c>
      <c r="K2474" s="196" t="s">
        <v>1881</v>
      </c>
      <c r="L2474" s="16" t="s">
        <v>11673</v>
      </c>
      <c r="M2474" s="196">
        <v>384</v>
      </c>
      <c r="O2474" s="257" t="s">
        <v>11653</v>
      </c>
      <c r="P2474" s="17">
        <v>273</v>
      </c>
      <c r="Q2474" s="245">
        <f t="shared" si="152"/>
        <v>1.1999999999999997</v>
      </c>
      <c r="R2474" s="245">
        <v>2.2000000000000002</v>
      </c>
      <c r="S2474" s="18">
        <v>3.4</v>
      </c>
    </row>
    <row r="2475" spans="1:34" x14ac:dyDescent="0.25">
      <c r="A2475" s="196">
        <v>2551</v>
      </c>
      <c r="B2475" s="196" t="s">
        <v>11674</v>
      </c>
      <c r="C2475" s="196" t="s">
        <v>11675</v>
      </c>
      <c r="D2475" s="196" t="s">
        <v>9192</v>
      </c>
      <c r="E2475" s="196" t="s">
        <v>1913</v>
      </c>
      <c r="F2475" s="196">
        <v>2003</v>
      </c>
      <c r="H2475" s="196" t="s">
        <v>1878</v>
      </c>
      <c r="I2475" s="16" t="s">
        <v>1914</v>
      </c>
      <c r="K2475" s="196" t="s">
        <v>1881</v>
      </c>
      <c r="L2475" s="16" t="s">
        <v>11676</v>
      </c>
      <c r="M2475" s="196">
        <v>352</v>
      </c>
      <c r="O2475" s="257" t="s">
        <v>11654</v>
      </c>
      <c r="P2475" s="17">
        <v>342</v>
      </c>
      <c r="Q2475" s="245">
        <f t="shared" si="152"/>
        <v>1.7999999999999998</v>
      </c>
      <c r="R2475" s="245">
        <v>2.2000000000000002</v>
      </c>
      <c r="S2475" s="18">
        <v>4</v>
      </c>
    </row>
    <row r="2476" spans="1:34" x14ac:dyDescent="0.25">
      <c r="A2476" s="196">
        <v>632</v>
      </c>
      <c r="B2476" s="196" t="s">
        <v>11677</v>
      </c>
      <c r="C2476" s="196" t="s">
        <v>11678</v>
      </c>
      <c r="D2476" s="196" t="s">
        <v>2609</v>
      </c>
      <c r="E2476" s="196" t="s">
        <v>1899</v>
      </c>
      <c r="F2476" s="196">
        <v>2002</v>
      </c>
      <c r="H2476" s="196" t="s">
        <v>1878</v>
      </c>
      <c r="I2476" s="16" t="s">
        <v>1879</v>
      </c>
      <c r="K2476" s="196" t="s">
        <v>1881</v>
      </c>
      <c r="L2476" s="16" t="s">
        <v>11679</v>
      </c>
      <c r="M2476" s="196">
        <v>400</v>
      </c>
      <c r="O2476" s="257" t="s">
        <v>11655</v>
      </c>
      <c r="P2476" s="17">
        <v>345</v>
      </c>
      <c r="Q2476" s="245">
        <f t="shared" si="152"/>
        <v>1.1999999999999997</v>
      </c>
      <c r="R2476" s="245">
        <v>2.2000000000000002</v>
      </c>
      <c r="S2476" s="18">
        <v>3.4</v>
      </c>
    </row>
    <row r="2477" spans="1:34" x14ac:dyDescent="0.25">
      <c r="A2477" s="196">
        <v>2547</v>
      </c>
      <c r="B2477" s="196" t="s">
        <v>4071</v>
      </c>
      <c r="C2477" s="196" t="s">
        <v>11680</v>
      </c>
      <c r="D2477" s="196" t="s">
        <v>1912</v>
      </c>
      <c r="F2477" s="196">
        <v>1997</v>
      </c>
      <c r="H2477" s="196" t="s">
        <v>1878</v>
      </c>
      <c r="I2477" s="16" t="s">
        <v>1914</v>
      </c>
      <c r="K2477" s="196" t="s">
        <v>1881</v>
      </c>
      <c r="L2477" s="16" t="s">
        <v>11681</v>
      </c>
      <c r="M2477" s="196">
        <v>704</v>
      </c>
      <c r="O2477" s="257" t="s">
        <v>11656</v>
      </c>
      <c r="P2477" s="17">
        <v>462</v>
      </c>
      <c r="Q2477" s="245">
        <f t="shared" si="152"/>
        <v>1.1999999999999997</v>
      </c>
      <c r="R2477" s="245">
        <v>2.2000000000000002</v>
      </c>
      <c r="S2477" s="18">
        <v>3.4</v>
      </c>
    </row>
    <row r="2478" spans="1:34" x14ac:dyDescent="0.25">
      <c r="A2478" s="196">
        <v>1386</v>
      </c>
      <c r="B2478" s="196" t="s">
        <v>11682</v>
      </c>
      <c r="C2478" s="196" t="s">
        <v>11683</v>
      </c>
      <c r="D2478" s="196" t="s">
        <v>1920</v>
      </c>
      <c r="F2478" s="196">
        <v>1998</v>
      </c>
      <c r="H2478" s="196" t="s">
        <v>1878</v>
      </c>
      <c r="I2478" s="16" t="s">
        <v>1879</v>
      </c>
      <c r="K2478" s="196" t="s">
        <v>1881</v>
      </c>
      <c r="L2478" s="16" t="s">
        <v>11684</v>
      </c>
      <c r="M2478" s="196">
        <v>704</v>
      </c>
      <c r="O2478" s="257" t="s">
        <v>11657</v>
      </c>
      <c r="P2478" s="17">
        <v>592</v>
      </c>
      <c r="Q2478" s="245">
        <f t="shared" si="152"/>
        <v>1.88</v>
      </c>
      <c r="R2478" s="245">
        <v>2.2000000000000002</v>
      </c>
      <c r="S2478" s="18">
        <v>4.08</v>
      </c>
    </row>
    <row r="2479" spans="1:34" x14ac:dyDescent="0.25">
      <c r="A2479" s="196">
        <v>1315</v>
      </c>
      <c r="B2479" s="196" t="s">
        <v>6552</v>
      </c>
      <c r="C2479" s="196" t="s">
        <v>11685</v>
      </c>
      <c r="D2479" s="196" t="s">
        <v>3116</v>
      </c>
      <c r="E2479" s="196" t="s">
        <v>1913</v>
      </c>
      <c r="F2479" s="196">
        <v>2004</v>
      </c>
      <c r="H2479" s="196" t="s">
        <v>1878</v>
      </c>
      <c r="I2479" s="16" t="s">
        <v>1879</v>
      </c>
      <c r="K2479" s="196" t="s">
        <v>1881</v>
      </c>
      <c r="L2479" s="16" t="s">
        <v>11686</v>
      </c>
      <c r="M2479" s="196">
        <v>416</v>
      </c>
      <c r="O2479" s="257" t="s">
        <v>11658</v>
      </c>
      <c r="P2479" s="17">
        <v>407</v>
      </c>
      <c r="Q2479" s="245">
        <f t="shared" si="152"/>
        <v>2.9400000000000004</v>
      </c>
      <c r="R2479" s="245">
        <v>2.2000000000000002</v>
      </c>
      <c r="S2479" s="18">
        <f>2.94+2.2</f>
        <v>5.1400000000000006</v>
      </c>
    </row>
    <row r="2480" spans="1:34" x14ac:dyDescent="0.25">
      <c r="A2480" s="196">
        <v>1315</v>
      </c>
      <c r="B2480" s="196" t="s">
        <v>11687</v>
      </c>
      <c r="C2480" s="196" t="s">
        <v>11688</v>
      </c>
      <c r="D2480" s="196" t="s">
        <v>2517</v>
      </c>
      <c r="E2480" s="196" t="s">
        <v>1877</v>
      </c>
      <c r="F2480" s="196">
        <v>2002</v>
      </c>
      <c r="H2480" s="196" t="s">
        <v>1878</v>
      </c>
      <c r="I2480" s="16" t="s">
        <v>1879</v>
      </c>
      <c r="K2480" s="196" t="s">
        <v>1881</v>
      </c>
      <c r="L2480" s="16" t="s">
        <v>11689</v>
      </c>
      <c r="M2480" s="196">
        <v>304</v>
      </c>
      <c r="O2480" s="257" t="s">
        <v>11659</v>
      </c>
      <c r="P2480" s="17">
        <v>251</v>
      </c>
      <c r="Q2480" s="245">
        <f t="shared" si="152"/>
        <v>2.7800000000000002</v>
      </c>
      <c r="R2480" s="245">
        <v>2.2000000000000002</v>
      </c>
      <c r="S2480" s="18">
        <v>4.9800000000000004</v>
      </c>
    </row>
    <row r="2481" spans="1:19" x14ac:dyDescent="0.25">
      <c r="A2481" s="196">
        <v>632</v>
      </c>
      <c r="B2481" s="196" t="s">
        <v>9111</v>
      </c>
      <c r="C2481" s="196" t="s">
        <v>11690</v>
      </c>
      <c r="D2481" s="196" t="s">
        <v>1920</v>
      </c>
      <c r="F2481" s="196">
        <v>2000</v>
      </c>
      <c r="H2481" s="196" t="s">
        <v>1878</v>
      </c>
      <c r="I2481" s="16" t="s">
        <v>1914</v>
      </c>
      <c r="K2481" s="196" t="s">
        <v>1881</v>
      </c>
      <c r="L2481" s="16" t="s">
        <v>11691</v>
      </c>
      <c r="M2481" s="196">
        <v>880</v>
      </c>
      <c r="O2481" s="257" t="s">
        <v>11660</v>
      </c>
      <c r="P2481" s="17">
        <v>730</v>
      </c>
      <c r="Q2481" s="245">
        <f t="shared" si="152"/>
        <v>2.0099999999999998</v>
      </c>
      <c r="R2481" s="245">
        <v>2.2000000000000002</v>
      </c>
      <c r="S2481" s="18">
        <v>4.21</v>
      </c>
    </row>
    <row r="2482" spans="1:19" x14ac:dyDescent="0.25">
      <c r="A2482" s="196">
        <v>632</v>
      </c>
      <c r="B2482" s="196" t="s">
        <v>6108</v>
      </c>
      <c r="C2482" s="196" t="s">
        <v>11692</v>
      </c>
      <c r="D2482" s="196" t="s">
        <v>5005</v>
      </c>
      <c r="F2482" s="196">
        <v>2004</v>
      </c>
      <c r="H2482" s="196" t="s">
        <v>1878</v>
      </c>
      <c r="I2482" s="16" t="s">
        <v>1914</v>
      </c>
      <c r="J2482" s="1" t="s">
        <v>11693</v>
      </c>
      <c r="K2482" s="196" t="s">
        <v>1881</v>
      </c>
      <c r="M2482" s="196">
        <v>672</v>
      </c>
      <c r="O2482" s="257" t="s">
        <v>11661</v>
      </c>
      <c r="P2482" s="17">
        <v>488</v>
      </c>
      <c r="Q2482" s="245">
        <f t="shared" si="152"/>
        <v>1.3899999999999997</v>
      </c>
      <c r="R2482" s="245">
        <v>2.2000000000000002</v>
      </c>
      <c r="S2482" s="18">
        <v>3.59</v>
      </c>
    </row>
    <row r="2483" spans="1:19" x14ac:dyDescent="0.25">
      <c r="A2483" s="196">
        <v>692</v>
      </c>
      <c r="B2483" s="196" t="s">
        <v>3517</v>
      </c>
      <c r="C2483" s="196" t="s">
        <v>11694</v>
      </c>
      <c r="D2483" s="196" t="s">
        <v>2644</v>
      </c>
      <c r="F2483" s="196">
        <v>2007</v>
      </c>
      <c r="H2483" s="196" t="s">
        <v>1878</v>
      </c>
      <c r="I2483" s="16" t="s">
        <v>1879</v>
      </c>
      <c r="K2483" s="196" t="s">
        <v>1881</v>
      </c>
      <c r="L2483" s="16" t="s">
        <v>11695</v>
      </c>
      <c r="M2483" s="196">
        <v>336</v>
      </c>
      <c r="O2483" s="257" t="s">
        <v>11662</v>
      </c>
      <c r="P2483" s="17">
        <v>292</v>
      </c>
      <c r="Q2483" s="245">
        <f t="shared" si="152"/>
        <v>2.0099999999999998</v>
      </c>
      <c r="R2483" s="245">
        <v>2.2000000000000002</v>
      </c>
      <c r="S2483" s="18">
        <v>4.21</v>
      </c>
    </row>
    <row r="2484" spans="1:19" x14ac:dyDescent="0.25">
      <c r="A2484" s="196">
        <v>1386</v>
      </c>
      <c r="B2484" s="196" t="s">
        <v>3517</v>
      </c>
      <c r="C2484" s="196" t="s">
        <v>11696</v>
      </c>
      <c r="D2484" s="196" t="s">
        <v>2644</v>
      </c>
      <c r="F2484" s="196">
        <v>2004</v>
      </c>
      <c r="H2484" s="196" t="s">
        <v>1878</v>
      </c>
      <c r="I2484" s="16" t="s">
        <v>1879</v>
      </c>
      <c r="K2484" s="196" t="s">
        <v>1881</v>
      </c>
      <c r="L2484" s="16" t="s">
        <v>11697</v>
      </c>
      <c r="M2484" s="196">
        <v>256</v>
      </c>
      <c r="O2484" s="257" t="s">
        <v>11663</v>
      </c>
      <c r="P2484" s="17">
        <v>218</v>
      </c>
      <c r="Q2484" s="245">
        <f t="shared" si="152"/>
        <v>2.0300000000000002</v>
      </c>
      <c r="R2484" s="245">
        <v>2.2000000000000002</v>
      </c>
      <c r="S2484" s="18">
        <v>4.2300000000000004</v>
      </c>
    </row>
    <row r="2485" spans="1:19" x14ac:dyDescent="0.25">
      <c r="A2485" s="196">
        <v>1386</v>
      </c>
      <c r="B2485" s="196" t="s">
        <v>3517</v>
      </c>
      <c r="C2485" s="196" t="s">
        <v>10600</v>
      </c>
      <c r="D2485" s="196" t="s">
        <v>2644</v>
      </c>
      <c r="F2485" s="196">
        <v>1998</v>
      </c>
      <c r="H2485" s="196" t="s">
        <v>1878</v>
      </c>
      <c r="I2485" s="16" t="s">
        <v>1879</v>
      </c>
      <c r="K2485" s="196" t="s">
        <v>1881</v>
      </c>
      <c r="L2485" s="16" t="s">
        <v>10601</v>
      </c>
      <c r="M2485" s="196">
        <v>256</v>
      </c>
      <c r="O2485" s="257" t="s">
        <v>11664</v>
      </c>
      <c r="P2485" s="17">
        <v>215</v>
      </c>
      <c r="Q2485" s="245">
        <f t="shared" si="152"/>
        <v>1.6099999999999999</v>
      </c>
      <c r="R2485" s="245">
        <v>2.2000000000000002</v>
      </c>
      <c r="S2485" s="18">
        <v>3.81</v>
      </c>
    </row>
    <row r="2486" spans="1:19" x14ac:dyDescent="0.25">
      <c r="A2486" s="196">
        <v>1386</v>
      </c>
      <c r="B2486" s="196" t="s">
        <v>3517</v>
      </c>
      <c r="C2486" s="196" t="s">
        <v>3520</v>
      </c>
      <c r="D2486" s="196" t="s">
        <v>2644</v>
      </c>
      <c r="F2486" s="196">
        <v>2005</v>
      </c>
      <c r="H2486" s="196" t="s">
        <v>1878</v>
      </c>
      <c r="I2486" s="16" t="s">
        <v>1879</v>
      </c>
      <c r="K2486" s="196" t="s">
        <v>1881</v>
      </c>
      <c r="L2486" s="16" t="s">
        <v>3521</v>
      </c>
      <c r="M2486" s="196">
        <v>288</v>
      </c>
      <c r="O2486" s="257" t="s">
        <v>11665</v>
      </c>
      <c r="P2486" s="17">
        <v>246</v>
      </c>
      <c r="Q2486" s="245">
        <f t="shared" si="152"/>
        <v>1.8399999999999999</v>
      </c>
      <c r="R2486" s="245">
        <v>2.2000000000000002</v>
      </c>
      <c r="S2486" s="18">
        <v>4.04</v>
      </c>
    </row>
    <row r="2487" spans="1:19" x14ac:dyDescent="0.25">
      <c r="A2487" s="196">
        <v>1386</v>
      </c>
      <c r="B2487" s="196" t="s">
        <v>3517</v>
      </c>
      <c r="C2487" s="196" t="s">
        <v>3520</v>
      </c>
      <c r="D2487" s="196" t="s">
        <v>2644</v>
      </c>
      <c r="F2487" s="196">
        <v>2005</v>
      </c>
      <c r="H2487" s="196" t="s">
        <v>1878</v>
      </c>
      <c r="I2487" s="16" t="s">
        <v>1879</v>
      </c>
      <c r="K2487" s="196" t="s">
        <v>1881</v>
      </c>
      <c r="L2487" s="16" t="s">
        <v>3521</v>
      </c>
      <c r="M2487" s="196">
        <v>288</v>
      </c>
      <c r="O2487" s="257" t="s">
        <v>11666</v>
      </c>
      <c r="P2487" s="17">
        <v>246</v>
      </c>
      <c r="Q2487" s="245">
        <f t="shared" si="152"/>
        <v>1.8399999999999999</v>
      </c>
      <c r="R2487" s="245">
        <v>2.2000000000000002</v>
      </c>
      <c r="S2487" s="18">
        <v>4.04</v>
      </c>
    </row>
    <row r="2488" spans="1:19" x14ac:dyDescent="0.25">
      <c r="A2488" s="196">
        <v>2522</v>
      </c>
      <c r="B2488" s="196" t="s">
        <v>3517</v>
      </c>
      <c r="C2488" s="196" t="s">
        <v>4484</v>
      </c>
      <c r="D2488" s="196" t="s">
        <v>2644</v>
      </c>
      <c r="F2488" s="196">
        <v>1993</v>
      </c>
      <c r="H2488" s="196" t="s">
        <v>1878</v>
      </c>
      <c r="I2488" s="16" t="s">
        <v>1879</v>
      </c>
      <c r="J2488" s="1" t="s">
        <v>11698</v>
      </c>
      <c r="K2488" s="196" t="s">
        <v>1881</v>
      </c>
      <c r="L2488" s="16" t="s">
        <v>4485</v>
      </c>
      <c r="M2488" s="196">
        <v>270</v>
      </c>
      <c r="O2488" s="257" t="s">
        <v>11667</v>
      </c>
      <c r="P2488" s="17">
        <v>233</v>
      </c>
      <c r="Q2488" s="245">
        <f t="shared" si="152"/>
        <v>1.5899999999999999</v>
      </c>
      <c r="R2488" s="245">
        <v>2.2000000000000002</v>
      </c>
      <c r="S2488" s="18">
        <v>3.79</v>
      </c>
    </row>
    <row r="2489" spans="1:19" x14ac:dyDescent="0.25">
      <c r="A2489" s="196">
        <v>632</v>
      </c>
      <c r="B2489" s="196" t="s">
        <v>3517</v>
      </c>
      <c r="C2489" s="196" t="s">
        <v>11699</v>
      </c>
      <c r="D2489" s="196" t="s">
        <v>2644</v>
      </c>
      <c r="F2489" s="196">
        <v>1994</v>
      </c>
      <c r="H2489" s="196" t="s">
        <v>1878</v>
      </c>
      <c r="I2489" s="16" t="s">
        <v>1879</v>
      </c>
      <c r="J2489" s="1" t="s">
        <v>11698</v>
      </c>
      <c r="K2489" s="196" t="s">
        <v>1881</v>
      </c>
      <c r="L2489" s="16" t="s">
        <v>11700</v>
      </c>
      <c r="M2489" s="196">
        <v>288</v>
      </c>
      <c r="O2489" s="257" t="s">
        <v>11668</v>
      </c>
      <c r="P2489" s="17">
        <v>251</v>
      </c>
      <c r="Q2489" s="245">
        <f t="shared" si="152"/>
        <v>1.5899999999999999</v>
      </c>
      <c r="R2489" s="245">
        <v>2.2000000000000002</v>
      </c>
      <c r="S2489" s="18">
        <v>3.79</v>
      </c>
    </row>
    <row r="2490" spans="1:19" x14ac:dyDescent="0.25">
      <c r="A2490" s="196">
        <v>1326</v>
      </c>
      <c r="B2490" s="196" t="s">
        <v>6167</v>
      </c>
      <c r="C2490" s="196" t="s">
        <v>6168</v>
      </c>
      <c r="D2490" s="196" t="s">
        <v>2644</v>
      </c>
      <c r="F2490" s="196">
        <v>1994</v>
      </c>
      <c r="H2490" s="196" t="s">
        <v>1878</v>
      </c>
      <c r="I2490" s="16" t="s">
        <v>1879</v>
      </c>
      <c r="K2490" s="196" t="s">
        <v>1881</v>
      </c>
      <c r="L2490" s="16" t="s">
        <v>7659</v>
      </c>
      <c r="M2490" s="196">
        <v>132</v>
      </c>
      <c r="O2490" s="257" t="s">
        <v>11669</v>
      </c>
      <c r="P2490" s="17">
        <v>202</v>
      </c>
      <c r="Q2490" s="245">
        <f t="shared" si="152"/>
        <v>1.88</v>
      </c>
      <c r="R2490" s="245">
        <v>2.2000000000000002</v>
      </c>
      <c r="S2490" s="18">
        <v>4.08</v>
      </c>
    </row>
    <row r="2491" spans="1:19" x14ac:dyDescent="0.25">
      <c r="A2491" s="196">
        <v>631</v>
      </c>
      <c r="B2491" s="196" t="s">
        <v>11701</v>
      </c>
      <c r="C2491" s="196" t="s">
        <v>11702</v>
      </c>
      <c r="D2491" s="196" t="s">
        <v>1876</v>
      </c>
      <c r="F2491" s="196">
        <v>1994</v>
      </c>
      <c r="H2491" s="196" t="s">
        <v>1878</v>
      </c>
      <c r="I2491" s="16" t="s">
        <v>6422</v>
      </c>
      <c r="J2491" s="1" t="s">
        <v>9092</v>
      </c>
      <c r="K2491" s="196" t="s">
        <v>1881</v>
      </c>
      <c r="L2491" s="16" t="s">
        <v>11703</v>
      </c>
      <c r="M2491" s="196">
        <v>288</v>
      </c>
      <c r="O2491" s="257" t="s">
        <v>11670</v>
      </c>
      <c r="P2491" s="17">
        <v>239</v>
      </c>
      <c r="Q2491" s="245">
        <f t="shared" si="152"/>
        <v>3.29</v>
      </c>
      <c r="R2491" s="245">
        <v>2.2000000000000002</v>
      </c>
      <c r="S2491" s="18">
        <v>5.49</v>
      </c>
    </row>
    <row r="2492" spans="1:19" x14ac:dyDescent="0.25">
      <c r="A2492" s="196">
        <v>1386</v>
      </c>
      <c r="B2492" s="196" t="s">
        <v>11704</v>
      </c>
      <c r="C2492" s="196" t="s">
        <v>11705</v>
      </c>
      <c r="D2492" s="196" t="s">
        <v>1912</v>
      </c>
      <c r="E2492" s="196" t="s">
        <v>3731</v>
      </c>
      <c r="F2492" s="196">
        <v>2010</v>
      </c>
      <c r="H2492" s="196" t="s">
        <v>1878</v>
      </c>
      <c r="I2492" s="16" t="s">
        <v>1914</v>
      </c>
      <c r="K2492" s="196" t="s">
        <v>1881</v>
      </c>
      <c r="L2492" s="16" t="s">
        <v>11706</v>
      </c>
      <c r="M2492" s="196">
        <v>542</v>
      </c>
      <c r="O2492" s="257" t="s">
        <v>11709</v>
      </c>
      <c r="P2492" s="17">
        <v>476</v>
      </c>
      <c r="Q2492" s="245">
        <f t="shared" si="152"/>
        <v>2.0099999999999998</v>
      </c>
      <c r="R2492" s="245">
        <v>2.2000000000000002</v>
      </c>
      <c r="S2492" s="18">
        <v>4.21</v>
      </c>
    </row>
    <row r="2493" spans="1:19" x14ac:dyDescent="0.25">
      <c r="A2493" s="196">
        <v>2522</v>
      </c>
      <c r="B2493" s="196" t="s">
        <v>3369</v>
      </c>
      <c r="C2493" s="196" t="s">
        <v>11707</v>
      </c>
      <c r="D2493" s="196" t="s">
        <v>2209</v>
      </c>
      <c r="F2493" s="196">
        <v>2002</v>
      </c>
      <c r="H2493" s="196" t="s">
        <v>2734</v>
      </c>
      <c r="K2493" s="196" t="s">
        <v>1881</v>
      </c>
      <c r="L2493" s="16" t="s">
        <v>11708</v>
      </c>
      <c r="M2493" s="196">
        <v>370</v>
      </c>
      <c r="O2493" s="257" t="s">
        <v>11710</v>
      </c>
      <c r="P2493" s="17">
        <v>586</v>
      </c>
      <c r="Q2493" s="245">
        <f t="shared" si="152"/>
        <v>1.0499999999999998</v>
      </c>
      <c r="R2493" s="245">
        <v>2.2000000000000002</v>
      </c>
      <c r="S2493" s="18">
        <v>3.25</v>
      </c>
    </row>
    <row r="2494" spans="1:19" x14ac:dyDescent="0.25">
      <c r="A2494" s="196">
        <v>774</v>
      </c>
      <c r="B2494" s="196" t="s">
        <v>3233</v>
      </c>
      <c r="C2494" s="196" t="s">
        <v>3908</v>
      </c>
      <c r="D2494" s="196" t="s">
        <v>2257</v>
      </c>
      <c r="F2494" s="196">
        <v>2010</v>
      </c>
      <c r="H2494" s="196" t="s">
        <v>1878</v>
      </c>
      <c r="I2494" s="16" t="s">
        <v>1879</v>
      </c>
      <c r="J2494" s="1" t="s">
        <v>11720</v>
      </c>
      <c r="K2494" s="196" t="s">
        <v>1881</v>
      </c>
      <c r="L2494" s="16" t="s">
        <v>11721</v>
      </c>
      <c r="M2494" s="196">
        <v>624</v>
      </c>
      <c r="O2494" s="257" t="s">
        <v>11711</v>
      </c>
      <c r="P2494" s="17">
        <v>572</v>
      </c>
      <c r="Q2494" s="245">
        <f t="shared" si="152"/>
        <v>1.52</v>
      </c>
      <c r="R2494" s="245">
        <v>2.2000000000000002</v>
      </c>
      <c r="S2494" s="18">
        <v>3.72</v>
      </c>
    </row>
    <row r="2495" spans="1:19" x14ac:dyDescent="0.25">
      <c r="A2495" s="196">
        <v>655</v>
      </c>
      <c r="B2495" s="196" t="s">
        <v>4649</v>
      </c>
      <c r="C2495" s="196" t="s">
        <v>4650</v>
      </c>
      <c r="D2495" s="196" t="s">
        <v>10044</v>
      </c>
      <c r="E2495" s="196" t="s">
        <v>4697</v>
      </c>
      <c r="F2495" s="196">
        <v>2006</v>
      </c>
      <c r="H2495" s="196" t="s">
        <v>1878</v>
      </c>
      <c r="I2495" s="16" t="s">
        <v>1914</v>
      </c>
      <c r="K2495" s="196" t="s">
        <v>1881</v>
      </c>
      <c r="L2495" s="16" t="s">
        <v>4651</v>
      </c>
      <c r="M2495" s="196">
        <v>240</v>
      </c>
      <c r="O2495" s="257" t="s">
        <v>11712</v>
      </c>
      <c r="P2495" s="17">
        <v>185</v>
      </c>
      <c r="Q2495" s="245">
        <f t="shared" si="152"/>
        <v>1.9900000000000002</v>
      </c>
      <c r="R2495" s="245">
        <v>2.2000000000000002</v>
      </c>
      <c r="S2495" s="18">
        <v>4.1900000000000004</v>
      </c>
    </row>
    <row r="2496" spans="1:19" x14ac:dyDescent="0.25">
      <c r="A2496" s="196">
        <v>1386</v>
      </c>
      <c r="B2496" s="196" t="s">
        <v>11722</v>
      </c>
      <c r="C2496" s="196" t="s">
        <v>11723</v>
      </c>
      <c r="D2496" s="196" t="s">
        <v>2232</v>
      </c>
      <c r="E2496" s="196" t="s">
        <v>1913</v>
      </c>
      <c r="F2496" s="196">
        <v>2018</v>
      </c>
      <c r="H2496" s="196" t="s">
        <v>1878</v>
      </c>
      <c r="I2496" s="16" t="s">
        <v>1879</v>
      </c>
      <c r="K2496" s="196" t="s">
        <v>1881</v>
      </c>
      <c r="L2496" s="16" t="s">
        <v>11724</v>
      </c>
      <c r="M2496" s="196">
        <v>528</v>
      </c>
      <c r="O2496" s="257" t="s">
        <v>11713</v>
      </c>
      <c r="P2496" s="17">
        <v>472</v>
      </c>
      <c r="Q2496" s="245">
        <f t="shared" si="152"/>
        <v>5.0199999999999996</v>
      </c>
      <c r="R2496" s="245">
        <v>2.2000000000000002</v>
      </c>
      <c r="S2496" s="18">
        <v>7.22</v>
      </c>
    </row>
    <row r="2497" spans="1:19" x14ac:dyDescent="0.25">
      <c r="A2497" s="196">
        <v>2518</v>
      </c>
      <c r="B2497" s="196" t="s">
        <v>11725</v>
      </c>
      <c r="C2497" s="196" t="s">
        <v>11726</v>
      </c>
      <c r="D2497" s="196" t="s">
        <v>3077</v>
      </c>
      <c r="E2497" s="196" t="s">
        <v>1913</v>
      </c>
      <c r="F2497" s="196">
        <v>2016</v>
      </c>
      <c r="H2497" s="196" t="s">
        <v>1878</v>
      </c>
      <c r="I2497" s="16" t="s">
        <v>1879</v>
      </c>
      <c r="K2497" s="196" t="s">
        <v>1881</v>
      </c>
      <c r="L2497" s="16" t="s">
        <v>11727</v>
      </c>
      <c r="M2497" s="196">
        <v>432</v>
      </c>
      <c r="O2497" s="257" t="s">
        <v>11714</v>
      </c>
      <c r="P2497" s="17">
        <v>360</v>
      </c>
      <c r="Q2497" s="245">
        <f t="shared" si="152"/>
        <v>1.8899999999999997</v>
      </c>
      <c r="R2497" s="245">
        <v>2.2000000000000002</v>
      </c>
      <c r="S2497" s="18">
        <v>4.09</v>
      </c>
    </row>
    <row r="2498" spans="1:19" x14ac:dyDescent="0.25">
      <c r="A2498" s="196">
        <v>2547</v>
      </c>
      <c r="B2498" s="196" t="s">
        <v>3941</v>
      </c>
      <c r="C2498" s="196" t="s">
        <v>11728</v>
      </c>
      <c r="D2498" s="196" t="s">
        <v>1912</v>
      </c>
      <c r="E2498" s="196" t="s">
        <v>1913</v>
      </c>
      <c r="F2498" s="196">
        <v>2005</v>
      </c>
      <c r="H2498" s="196" t="s">
        <v>1878</v>
      </c>
      <c r="I2498" s="16" t="s">
        <v>1879</v>
      </c>
      <c r="K2498" s="196" t="s">
        <v>1881</v>
      </c>
      <c r="L2498" s="16" t="s">
        <v>11729</v>
      </c>
      <c r="M2498" s="196">
        <v>480</v>
      </c>
      <c r="O2498" s="257" t="s">
        <v>11715</v>
      </c>
      <c r="P2498" s="17">
        <v>373</v>
      </c>
      <c r="Q2498" s="245">
        <f t="shared" si="152"/>
        <v>1.1999999999999997</v>
      </c>
      <c r="R2498" s="245">
        <v>2.2000000000000002</v>
      </c>
      <c r="S2498" s="18">
        <v>3.4</v>
      </c>
    </row>
    <row r="2499" spans="1:19" x14ac:dyDescent="0.25">
      <c r="A2499" s="196">
        <v>632</v>
      </c>
      <c r="B2499" s="196" t="s">
        <v>11730</v>
      </c>
      <c r="C2499" s="196" t="s">
        <v>11731</v>
      </c>
      <c r="D2499" s="196" t="s">
        <v>2209</v>
      </c>
      <c r="F2499" s="196">
        <v>2004</v>
      </c>
      <c r="H2499" s="196" t="s">
        <v>1878</v>
      </c>
      <c r="I2499" s="16" t="s">
        <v>1879</v>
      </c>
      <c r="K2499" s="196" t="s">
        <v>1881</v>
      </c>
      <c r="L2499" s="16" t="s">
        <v>11732</v>
      </c>
      <c r="M2499" s="196">
        <v>480</v>
      </c>
      <c r="O2499" s="257" t="s">
        <v>11716</v>
      </c>
      <c r="P2499" s="17">
        <v>331</v>
      </c>
      <c r="Q2499" s="245">
        <f t="shared" si="152"/>
        <v>0.41999999999999993</v>
      </c>
      <c r="R2499" s="245">
        <v>2.2000000000000002</v>
      </c>
      <c r="S2499" s="18">
        <v>2.62</v>
      </c>
    </row>
    <row r="2500" spans="1:19" x14ac:dyDescent="0.25">
      <c r="A2500" s="196">
        <v>1396</v>
      </c>
      <c r="B2500" s="196" t="s">
        <v>11733</v>
      </c>
      <c r="C2500" s="196" t="s">
        <v>11734</v>
      </c>
      <c r="D2500" s="196" t="s">
        <v>10980</v>
      </c>
      <c r="E2500" s="196" t="s">
        <v>1877</v>
      </c>
      <c r="F2500" s="196">
        <v>2004</v>
      </c>
      <c r="H2500" s="196" t="s">
        <v>2734</v>
      </c>
      <c r="I2500" s="16" t="s">
        <v>1879</v>
      </c>
      <c r="K2500" s="196" t="s">
        <v>1881</v>
      </c>
      <c r="L2500" s="16" t="s">
        <v>11735</v>
      </c>
      <c r="M2500" s="196">
        <v>242</v>
      </c>
      <c r="O2500" s="257" t="s">
        <v>11717</v>
      </c>
      <c r="P2500" s="17">
        <v>410</v>
      </c>
      <c r="Q2500" s="245">
        <f t="shared" si="152"/>
        <v>1.8099999999999996</v>
      </c>
      <c r="R2500" s="245">
        <v>2.2000000000000002</v>
      </c>
      <c r="S2500" s="18">
        <v>4.01</v>
      </c>
    </row>
    <row r="2501" spans="1:19" x14ac:dyDescent="0.25">
      <c r="A2501" s="196">
        <v>1327</v>
      </c>
      <c r="B2501" s="196" t="s">
        <v>2510</v>
      </c>
      <c r="C2501" s="196" t="s">
        <v>2624</v>
      </c>
      <c r="D2501" s="196" t="s">
        <v>11736</v>
      </c>
      <c r="E2501" s="196" t="s">
        <v>11737</v>
      </c>
      <c r="F2501" s="196">
        <v>2009</v>
      </c>
      <c r="H2501" s="196" t="s">
        <v>1878</v>
      </c>
      <c r="I2501" s="16" t="s">
        <v>1879</v>
      </c>
      <c r="K2501" s="196" t="s">
        <v>1881</v>
      </c>
      <c r="L2501" s="16" t="s">
        <v>2626</v>
      </c>
      <c r="M2501" s="196">
        <v>418</v>
      </c>
      <c r="O2501" s="257" t="s">
        <v>11718</v>
      </c>
      <c r="P2501" s="17">
        <v>591</v>
      </c>
      <c r="Q2501" s="245">
        <f t="shared" si="152"/>
        <v>1.52</v>
      </c>
      <c r="R2501" s="245">
        <v>2.2000000000000002</v>
      </c>
      <c r="S2501" s="18">
        <v>3.72</v>
      </c>
    </row>
    <row r="2502" spans="1:19" x14ac:dyDescent="0.25">
      <c r="A2502" s="196">
        <v>1327</v>
      </c>
      <c r="B2502" s="196" t="s">
        <v>11738</v>
      </c>
      <c r="C2502" s="196" t="s">
        <v>11739</v>
      </c>
      <c r="D2502" s="196" t="s">
        <v>3629</v>
      </c>
      <c r="E2502" s="196" t="s">
        <v>2518</v>
      </c>
      <c r="F2502" s="196">
        <v>2014</v>
      </c>
      <c r="H2502" s="196" t="s">
        <v>1878</v>
      </c>
      <c r="I2502" s="16" t="s">
        <v>1879</v>
      </c>
      <c r="K2502" s="196" t="s">
        <v>1881</v>
      </c>
      <c r="L2502" s="16" t="s">
        <v>11740</v>
      </c>
      <c r="M2502" s="196">
        <v>336</v>
      </c>
      <c r="O2502" s="257" t="s">
        <v>11719</v>
      </c>
      <c r="P2502" s="17">
        <v>452</v>
      </c>
      <c r="Q2502" s="245">
        <f t="shared" si="152"/>
        <v>1.88</v>
      </c>
      <c r="R2502" s="245">
        <v>2.2000000000000002</v>
      </c>
      <c r="S2502" s="18">
        <v>4.08</v>
      </c>
    </row>
    <row r="2503" spans="1:19" x14ac:dyDescent="0.25">
      <c r="A2503" s="196">
        <v>2002</v>
      </c>
      <c r="B2503" s="196" t="s">
        <v>12831</v>
      </c>
      <c r="C2503" s="196" t="s">
        <v>12832</v>
      </c>
      <c r="D2503" s="196" t="s">
        <v>12833</v>
      </c>
      <c r="F2503" s="196">
        <v>2003</v>
      </c>
      <c r="H2503" s="196" t="s">
        <v>2734</v>
      </c>
      <c r="I2503" s="16" t="s">
        <v>1914</v>
      </c>
      <c r="K2503" s="196" t="s">
        <v>1881</v>
      </c>
      <c r="L2503" s="16" t="s">
        <v>12834</v>
      </c>
      <c r="M2503" s="196">
        <v>354</v>
      </c>
      <c r="O2503" s="257" t="s">
        <v>11741</v>
      </c>
      <c r="P2503" s="17">
        <v>487</v>
      </c>
      <c r="Q2503" s="245">
        <f t="shared" ref="Q2503:Q2566" si="153">S2503-R2503</f>
        <v>1.9500000000000002</v>
      </c>
      <c r="R2503" s="245">
        <v>2.2000000000000002</v>
      </c>
      <c r="S2503" s="18">
        <v>4.1500000000000004</v>
      </c>
    </row>
    <row r="2504" spans="1:19" x14ac:dyDescent="0.25">
      <c r="A2504" s="196">
        <v>2539</v>
      </c>
      <c r="B2504" s="196" t="s">
        <v>12835</v>
      </c>
      <c r="C2504" s="196" t="s">
        <v>12836</v>
      </c>
      <c r="D2504" s="196" t="s">
        <v>2257</v>
      </c>
      <c r="F2504" s="196">
        <v>1987</v>
      </c>
      <c r="H2504" s="196" t="s">
        <v>2734</v>
      </c>
      <c r="I2504" s="16" t="s">
        <v>1879</v>
      </c>
      <c r="K2504" s="196" t="s">
        <v>1881</v>
      </c>
      <c r="M2504" s="196">
        <v>532</v>
      </c>
      <c r="O2504" s="257" t="s">
        <v>11742</v>
      </c>
      <c r="P2504" s="17">
        <v>690</v>
      </c>
      <c r="Q2504" s="245">
        <f t="shared" si="153"/>
        <v>1.67</v>
      </c>
      <c r="R2504" s="245">
        <v>2.2000000000000002</v>
      </c>
      <c r="S2504" s="18">
        <v>3.87</v>
      </c>
    </row>
    <row r="2505" spans="1:19" x14ac:dyDescent="0.25">
      <c r="A2505" s="196">
        <v>481</v>
      </c>
      <c r="C2505" s="196" t="s">
        <v>12837</v>
      </c>
      <c r="D2505" s="196" t="s">
        <v>12838</v>
      </c>
      <c r="F2505" s="196">
        <v>2000</v>
      </c>
      <c r="H2505" s="196" t="s">
        <v>2734</v>
      </c>
      <c r="I2505" s="16" t="s">
        <v>1879</v>
      </c>
      <c r="K2505" s="196" t="s">
        <v>1881</v>
      </c>
      <c r="L2505" s="16" t="s">
        <v>12839</v>
      </c>
      <c r="M2505" s="196">
        <v>194</v>
      </c>
      <c r="O2505" s="257" t="s">
        <v>11743</v>
      </c>
      <c r="P2505" s="17">
        <v>463</v>
      </c>
      <c r="Q2505" s="245">
        <f t="shared" si="153"/>
        <v>2.9799999999999995</v>
      </c>
      <c r="R2505" s="245">
        <v>2.2000000000000002</v>
      </c>
      <c r="S2505" s="18">
        <v>5.18</v>
      </c>
    </row>
    <row r="2506" spans="1:19" x14ac:dyDescent="0.25">
      <c r="A2506" s="196">
        <v>1327</v>
      </c>
      <c r="B2506" s="196" t="s">
        <v>12840</v>
      </c>
      <c r="C2506" s="196" t="s">
        <v>12841</v>
      </c>
      <c r="D2506" s="196" t="s">
        <v>2901</v>
      </c>
      <c r="F2506" s="196">
        <v>1959</v>
      </c>
      <c r="H2506" s="196" t="s">
        <v>2734</v>
      </c>
      <c r="I2506" s="16" t="s">
        <v>1879</v>
      </c>
      <c r="J2506" s="1" t="s">
        <v>2505</v>
      </c>
      <c r="K2506" s="196" t="s">
        <v>1881</v>
      </c>
      <c r="M2506" s="196">
        <v>454</v>
      </c>
      <c r="O2506" s="257" t="s">
        <v>11744</v>
      </c>
      <c r="P2506" s="17">
        <v>567</v>
      </c>
      <c r="Q2506" s="245">
        <f t="shared" si="153"/>
        <v>2.5</v>
      </c>
      <c r="R2506" s="245">
        <v>2.2000000000000002</v>
      </c>
      <c r="S2506" s="18">
        <v>4.7</v>
      </c>
    </row>
    <row r="2507" spans="1:19" x14ac:dyDescent="0.25">
      <c r="A2507" s="196">
        <v>1352</v>
      </c>
      <c r="B2507" s="196" t="s">
        <v>12842</v>
      </c>
      <c r="C2507" s="196" t="s">
        <v>12843</v>
      </c>
      <c r="D2507" s="196" t="s">
        <v>5005</v>
      </c>
      <c r="F2507" s="196">
        <v>1956</v>
      </c>
      <c r="H2507" s="196" t="s">
        <v>2734</v>
      </c>
      <c r="I2507" s="16" t="s">
        <v>1914</v>
      </c>
      <c r="J2507" s="1" t="s">
        <v>12844</v>
      </c>
      <c r="K2507" s="196" t="s">
        <v>1881</v>
      </c>
      <c r="M2507" s="196">
        <v>514</v>
      </c>
      <c r="O2507" s="257" t="s">
        <v>11745</v>
      </c>
      <c r="P2507" s="17">
        <v>447</v>
      </c>
      <c r="Q2507" s="245">
        <f t="shared" si="153"/>
        <v>3.7</v>
      </c>
      <c r="R2507" s="245">
        <v>2.2000000000000002</v>
      </c>
      <c r="S2507" s="18">
        <v>5.9</v>
      </c>
    </row>
    <row r="2508" spans="1:19" x14ac:dyDescent="0.25">
      <c r="A2508" s="196">
        <v>1327</v>
      </c>
      <c r="B2508" s="196" t="s">
        <v>12845</v>
      </c>
      <c r="C2508" s="196" t="s">
        <v>12846</v>
      </c>
      <c r="D2508" s="196" t="s">
        <v>9307</v>
      </c>
      <c r="F2508" s="196">
        <v>1977</v>
      </c>
      <c r="H2508" s="196" t="s">
        <v>2734</v>
      </c>
      <c r="I2508" s="184" t="s">
        <v>1879</v>
      </c>
      <c r="J2508" s="182" t="s">
        <v>2505</v>
      </c>
      <c r="K2508" s="196" t="s">
        <v>1881</v>
      </c>
      <c r="M2508" s="196">
        <v>226</v>
      </c>
      <c r="O2508" s="257" t="s">
        <v>11746</v>
      </c>
      <c r="P2508" s="17">
        <v>262</v>
      </c>
      <c r="Q2508" s="245">
        <f t="shared" si="153"/>
        <v>0.29999999999999982</v>
      </c>
      <c r="R2508" s="245">
        <v>2.2000000000000002</v>
      </c>
      <c r="S2508" s="18">
        <v>2.5</v>
      </c>
    </row>
    <row r="2509" spans="1:19" x14ac:dyDescent="0.25">
      <c r="A2509" s="196">
        <v>1327</v>
      </c>
      <c r="B2509" s="196" t="s">
        <v>12847</v>
      </c>
      <c r="C2509" s="196" t="s">
        <v>12848</v>
      </c>
      <c r="D2509" s="196" t="s">
        <v>2835</v>
      </c>
      <c r="F2509" s="196">
        <v>1983</v>
      </c>
      <c r="H2509" s="196" t="s">
        <v>1878</v>
      </c>
      <c r="I2509" s="16" t="s">
        <v>1914</v>
      </c>
      <c r="J2509" s="196" t="s">
        <v>12849</v>
      </c>
      <c r="K2509" s="196" t="s">
        <v>1881</v>
      </c>
      <c r="L2509" s="16" t="s">
        <v>12850</v>
      </c>
      <c r="M2509" s="196">
        <v>304</v>
      </c>
      <c r="O2509" s="257" t="s">
        <v>11747</v>
      </c>
      <c r="P2509" s="17">
        <v>189</v>
      </c>
      <c r="Q2509" s="245">
        <f t="shared" si="153"/>
        <v>2.25</v>
      </c>
      <c r="R2509" s="245">
        <v>2.2000000000000002</v>
      </c>
      <c r="S2509" s="18">
        <v>4.45</v>
      </c>
    </row>
    <row r="2510" spans="1:19" x14ac:dyDescent="0.25">
      <c r="A2510" s="196">
        <v>2522</v>
      </c>
      <c r="B2510" s="196" t="s">
        <v>12851</v>
      </c>
      <c r="C2510" s="196" t="s">
        <v>12852</v>
      </c>
      <c r="D2510" s="196" t="s">
        <v>2232</v>
      </c>
      <c r="E2510" s="196" t="s">
        <v>1913</v>
      </c>
      <c r="F2510" s="196">
        <v>2016</v>
      </c>
      <c r="H2510" s="196" t="s">
        <v>1878</v>
      </c>
      <c r="I2510" s="16" t="s">
        <v>1879</v>
      </c>
      <c r="J2510" s="196" t="s">
        <v>12853</v>
      </c>
      <c r="K2510" s="196" t="s">
        <v>1881</v>
      </c>
      <c r="L2510" s="16" t="s">
        <v>12854</v>
      </c>
      <c r="M2510" s="196">
        <v>352</v>
      </c>
      <c r="O2510" s="257" t="s">
        <v>11748</v>
      </c>
      <c r="P2510" s="17">
        <v>327</v>
      </c>
      <c r="Q2510" s="245">
        <f t="shared" si="153"/>
        <v>2.2400000000000002</v>
      </c>
      <c r="R2510" s="245">
        <v>2.2000000000000002</v>
      </c>
      <c r="S2510" s="18">
        <v>4.4400000000000004</v>
      </c>
    </row>
    <row r="2511" spans="1:19" x14ac:dyDescent="0.25">
      <c r="A2511" s="196">
        <v>760</v>
      </c>
      <c r="B2511" s="196" t="s">
        <v>12856</v>
      </c>
      <c r="C2511" s="196" t="s">
        <v>12855</v>
      </c>
      <c r="D2511" s="196" t="s">
        <v>2054</v>
      </c>
      <c r="F2511" s="196">
        <v>1986</v>
      </c>
      <c r="H2511" s="196" t="s">
        <v>2734</v>
      </c>
      <c r="I2511" s="16" t="s">
        <v>1914</v>
      </c>
      <c r="K2511" s="196" t="s">
        <v>1881</v>
      </c>
      <c r="M2511" s="196">
        <v>766</v>
      </c>
      <c r="O2511" s="257" t="s">
        <v>11749</v>
      </c>
      <c r="P2511" s="17">
        <v>648</v>
      </c>
      <c r="Q2511" s="245">
        <f t="shared" si="153"/>
        <v>1.7999999999999998</v>
      </c>
      <c r="R2511" s="245">
        <v>2.2000000000000002</v>
      </c>
      <c r="S2511" s="18">
        <v>4</v>
      </c>
    </row>
    <row r="2512" spans="1:19" x14ac:dyDescent="0.25">
      <c r="A2512" s="196">
        <v>2952</v>
      </c>
      <c r="B2512" s="196" t="s">
        <v>12857</v>
      </c>
      <c r="C2512" s="196" t="s">
        <v>12858</v>
      </c>
      <c r="D2512" s="196" t="s">
        <v>2209</v>
      </c>
      <c r="F2512" s="196">
        <v>1983</v>
      </c>
      <c r="H2512" s="196" t="s">
        <v>1878</v>
      </c>
      <c r="I2512" s="16" t="s">
        <v>1914</v>
      </c>
      <c r="J2512" s="196" t="s">
        <v>11698</v>
      </c>
      <c r="K2512" s="196" t="s">
        <v>1881</v>
      </c>
      <c r="L2512" s="16" t="s">
        <v>12859</v>
      </c>
      <c r="M2512" s="196">
        <v>208</v>
      </c>
      <c r="O2512" s="257" t="s">
        <v>11750</v>
      </c>
      <c r="P2512" s="17">
        <v>143</v>
      </c>
      <c r="Q2512" s="245">
        <f t="shared" si="153"/>
        <v>3.79</v>
      </c>
      <c r="R2512" s="245">
        <v>2.2000000000000002</v>
      </c>
      <c r="S2512" s="18">
        <v>5.99</v>
      </c>
    </row>
    <row r="2513" spans="1:19" x14ac:dyDescent="0.25">
      <c r="A2513" s="196">
        <v>634</v>
      </c>
      <c r="B2513" s="196" t="s">
        <v>12860</v>
      </c>
      <c r="C2513" s="196" t="s">
        <v>12861</v>
      </c>
      <c r="D2513" s="196" t="s">
        <v>12862</v>
      </c>
      <c r="F2513" s="196">
        <v>1983</v>
      </c>
      <c r="H2513" s="196" t="s">
        <v>2734</v>
      </c>
      <c r="I2513" s="16" t="s">
        <v>1914</v>
      </c>
      <c r="K2513" s="196" t="s">
        <v>1881</v>
      </c>
      <c r="L2513" s="16" t="s">
        <v>12863</v>
      </c>
      <c r="M2513" s="196">
        <v>258</v>
      </c>
      <c r="O2513" s="257" t="s">
        <v>11751</v>
      </c>
      <c r="P2513" s="17">
        <v>432</v>
      </c>
      <c r="Q2513" s="245">
        <f t="shared" si="153"/>
        <v>1.67</v>
      </c>
      <c r="R2513" s="245">
        <v>2.2000000000000002</v>
      </c>
      <c r="S2513" s="18">
        <v>3.87</v>
      </c>
    </row>
    <row r="2514" spans="1:19" x14ac:dyDescent="0.25">
      <c r="A2514" s="196">
        <v>1939</v>
      </c>
      <c r="B2514" s="196" t="s">
        <v>12864</v>
      </c>
      <c r="C2514" s="196" t="s">
        <v>12865</v>
      </c>
      <c r="D2514" s="196" t="s">
        <v>9065</v>
      </c>
      <c r="E2514" s="196" t="s">
        <v>1899</v>
      </c>
      <c r="F2514" s="196">
        <v>1994</v>
      </c>
      <c r="H2514" s="196" t="s">
        <v>1878</v>
      </c>
      <c r="I2514" s="16" t="s">
        <v>1879</v>
      </c>
      <c r="K2514" s="196" t="s">
        <v>1881</v>
      </c>
      <c r="L2514" s="16" t="s">
        <v>12866</v>
      </c>
      <c r="M2514" s="196">
        <v>108</v>
      </c>
      <c r="O2514" s="257" t="s">
        <v>11752</v>
      </c>
      <c r="P2514" s="17">
        <v>126</v>
      </c>
      <c r="Q2514" s="245">
        <f t="shared" si="153"/>
        <v>1.1799999999999997</v>
      </c>
      <c r="R2514" s="245">
        <v>2.2000000000000002</v>
      </c>
      <c r="S2514" s="18">
        <v>3.38</v>
      </c>
    </row>
    <row r="2515" spans="1:19" x14ac:dyDescent="0.25">
      <c r="A2515" s="196">
        <v>947</v>
      </c>
      <c r="B2515" s="196" t="s">
        <v>12867</v>
      </c>
      <c r="C2515" s="196" t="s">
        <v>12868</v>
      </c>
      <c r="D2515" s="196" t="s">
        <v>2209</v>
      </c>
      <c r="E2515" s="196" t="s">
        <v>2518</v>
      </c>
      <c r="F2515" s="196">
        <v>1997</v>
      </c>
      <c r="H2515" s="196" t="s">
        <v>1878</v>
      </c>
      <c r="I2515" s="16" t="s">
        <v>1914</v>
      </c>
      <c r="K2515" s="196" t="s">
        <v>1881</v>
      </c>
      <c r="L2515" s="16" t="s">
        <v>12869</v>
      </c>
      <c r="M2515" s="196">
        <v>240</v>
      </c>
      <c r="O2515" s="257" t="s">
        <v>11753</v>
      </c>
      <c r="P2515" s="17">
        <v>190</v>
      </c>
      <c r="Q2515" s="245">
        <f t="shared" si="153"/>
        <v>1.1999999999999997</v>
      </c>
      <c r="R2515" s="245">
        <v>2.2000000000000002</v>
      </c>
      <c r="S2515" s="18">
        <v>3.4</v>
      </c>
    </row>
    <row r="2516" spans="1:19" x14ac:dyDescent="0.25">
      <c r="A2516" s="196">
        <v>2521</v>
      </c>
      <c r="B2516" s="196" t="s">
        <v>8772</v>
      </c>
      <c r="C2516" s="196" t="s">
        <v>12870</v>
      </c>
      <c r="D2516" s="196" t="s">
        <v>2209</v>
      </c>
      <c r="F2516" s="196">
        <v>1997</v>
      </c>
      <c r="H2516" s="196" t="s">
        <v>1878</v>
      </c>
      <c r="I2516" s="16" t="s">
        <v>1914</v>
      </c>
      <c r="K2516" s="196" t="s">
        <v>1881</v>
      </c>
      <c r="L2516" s="16" t="s">
        <v>12871</v>
      </c>
      <c r="M2516" s="196">
        <v>400</v>
      </c>
      <c r="O2516" s="257" t="s">
        <v>11754</v>
      </c>
      <c r="P2516" s="17">
        <v>313</v>
      </c>
      <c r="Q2516" s="245">
        <f t="shared" si="153"/>
        <v>0.75</v>
      </c>
      <c r="R2516" s="245">
        <v>2.2000000000000002</v>
      </c>
      <c r="S2516" s="18">
        <v>2.95</v>
      </c>
    </row>
    <row r="2517" spans="1:19" x14ac:dyDescent="0.25">
      <c r="A2517" s="196">
        <v>1875</v>
      </c>
      <c r="B2517" s="196" t="s">
        <v>12872</v>
      </c>
      <c r="C2517" s="196" t="s">
        <v>12873</v>
      </c>
      <c r="D2517" s="196" t="s">
        <v>12874</v>
      </c>
      <c r="F2517" s="196">
        <v>1981</v>
      </c>
      <c r="H2517" s="196" t="s">
        <v>2008</v>
      </c>
      <c r="I2517" s="16" t="s">
        <v>1879</v>
      </c>
      <c r="K2517" s="196" t="s">
        <v>1881</v>
      </c>
      <c r="L2517" s="16" t="s">
        <v>12875</v>
      </c>
      <c r="M2517" s="196">
        <v>108</v>
      </c>
      <c r="O2517" s="257" t="s">
        <v>11755</v>
      </c>
      <c r="P2517" s="17">
        <v>170</v>
      </c>
      <c r="Q2517" s="245">
        <f t="shared" si="153"/>
        <v>5.72</v>
      </c>
      <c r="R2517" s="245">
        <v>2.2000000000000002</v>
      </c>
      <c r="S2517" s="18">
        <v>7.92</v>
      </c>
    </row>
    <row r="2518" spans="1:19" x14ac:dyDescent="0.25">
      <c r="A2518" s="196">
        <v>853</v>
      </c>
      <c r="B2518" s="196" t="s">
        <v>12876</v>
      </c>
      <c r="C2518" s="196" t="s">
        <v>12877</v>
      </c>
      <c r="F2518" s="196">
        <v>1912</v>
      </c>
      <c r="H2518" s="196" t="s">
        <v>2008</v>
      </c>
      <c r="I2518" s="16" t="s">
        <v>1914</v>
      </c>
      <c r="J2518" s="1" t="s">
        <v>12878</v>
      </c>
      <c r="K2518" s="196" t="s">
        <v>1881</v>
      </c>
      <c r="M2518" s="196">
        <v>100</v>
      </c>
      <c r="O2518" s="257" t="s">
        <v>11756</v>
      </c>
      <c r="P2518" s="17">
        <v>188</v>
      </c>
      <c r="Q2518" s="245">
        <f t="shared" si="153"/>
        <v>22.7</v>
      </c>
      <c r="R2518" s="245">
        <v>2.2000000000000002</v>
      </c>
      <c r="S2518" s="18">
        <v>24.9</v>
      </c>
    </row>
    <row r="2519" spans="1:19" x14ac:dyDescent="0.25">
      <c r="A2519" s="196">
        <v>291</v>
      </c>
      <c r="B2519" s="196" t="s">
        <v>12881</v>
      </c>
      <c r="C2519" s="196" t="s">
        <v>12879</v>
      </c>
      <c r="D2519" s="196" t="s">
        <v>12880</v>
      </c>
      <c r="F2519" s="196">
        <v>1965</v>
      </c>
      <c r="H2519" s="196" t="s">
        <v>2314</v>
      </c>
      <c r="I2519" s="16" t="s">
        <v>1914</v>
      </c>
      <c r="K2519" s="196" t="s">
        <v>1881</v>
      </c>
      <c r="M2519" s="196">
        <v>176</v>
      </c>
      <c r="O2519" s="257" t="s">
        <v>11757</v>
      </c>
      <c r="P2519" s="17">
        <v>176</v>
      </c>
      <c r="Q2519" s="245">
        <f t="shared" si="153"/>
        <v>8.82</v>
      </c>
      <c r="R2519" s="245">
        <v>2.2000000000000002</v>
      </c>
      <c r="S2519" s="18">
        <v>11.02</v>
      </c>
    </row>
    <row r="2520" spans="1:19" x14ac:dyDescent="0.25">
      <c r="A2520" s="196">
        <v>704</v>
      </c>
      <c r="B2520" s="196" t="s">
        <v>12882</v>
      </c>
      <c r="C2520" s="196" t="s">
        <v>12883</v>
      </c>
      <c r="D2520" s="196" t="s">
        <v>4476</v>
      </c>
      <c r="F2520" s="196">
        <v>1987</v>
      </c>
      <c r="H2520" s="196" t="s">
        <v>2734</v>
      </c>
      <c r="I2520" s="16" t="s">
        <v>1879</v>
      </c>
      <c r="J2520" s="1" t="s">
        <v>12884</v>
      </c>
      <c r="K2520" s="196" t="s">
        <v>1881</v>
      </c>
      <c r="M2520" s="196">
        <v>114</v>
      </c>
      <c r="O2520" s="257" t="s">
        <v>11758</v>
      </c>
      <c r="P2520" s="17">
        <v>134</v>
      </c>
      <c r="Q2520" s="245">
        <f t="shared" si="153"/>
        <v>1.21</v>
      </c>
      <c r="R2520" s="245">
        <v>2.2000000000000002</v>
      </c>
      <c r="S2520" s="18">
        <v>3.41</v>
      </c>
    </row>
    <row r="2521" spans="1:19" x14ac:dyDescent="0.25">
      <c r="A2521" s="196">
        <v>447</v>
      </c>
      <c r="C2521" s="196" t="s">
        <v>12885</v>
      </c>
      <c r="D2521" s="196" t="s">
        <v>2402</v>
      </c>
      <c r="F2521" s="196">
        <v>1977</v>
      </c>
      <c r="H2521" s="196" t="s">
        <v>2008</v>
      </c>
      <c r="I2521" s="16" t="s">
        <v>1914</v>
      </c>
      <c r="K2521" s="196" t="s">
        <v>1881</v>
      </c>
      <c r="M2521" s="196">
        <v>96</v>
      </c>
      <c r="O2521" s="257" t="s">
        <v>11759</v>
      </c>
      <c r="P2521" s="17">
        <v>108</v>
      </c>
      <c r="Q2521" s="245">
        <f t="shared" si="153"/>
        <v>2.6099999999999994</v>
      </c>
      <c r="R2521" s="245">
        <v>2.2000000000000002</v>
      </c>
      <c r="S2521" s="18">
        <v>4.8099999999999996</v>
      </c>
    </row>
    <row r="2522" spans="1:19" x14ac:dyDescent="0.25">
      <c r="A2522" s="196">
        <v>1812</v>
      </c>
      <c r="C2522" s="196" t="s">
        <v>12886</v>
      </c>
      <c r="D2522" s="196" t="s">
        <v>12887</v>
      </c>
      <c r="F2522" s="196">
        <v>1983</v>
      </c>
      <c r="H2522" s="196" t="s">
        <v>2008</v>
      </c>
      <c r="I2522" s="16" t="s">
        <v>1914</v>
      </c>
      <c r="K2522" s="196" t="s">
        <v>1881</v>
      </c>
      <c r="L2522" s="16" t="s">
        <v>12888</v>
      </c>
      <c r="O2522" s="257" t="s">
        <v>11760</v>
      </c>
      <c r="P2522" s="17">
        <v>92</v>
      </c>
      <c r="Q2522" s="245">
        <f t="shared" si="153"/>
        <v>3.7299999999999995</v>
      </c>
      <c r="R2522" s="245">
        <v>2.2000000000000002</v>
      </c>
      <c r="S2522" s="18">
        <v>5.93</v>
      </c>
    </row>
    <row r="2523" spans="1:19" x14ac:dyDescent="0.25">
      <c r="A2523" s="196">
        <v>1315</v>
      </c>
      <c r="B2523" s="196" t="s">
        <v>12889</v>
      </c>
      <c r="C2523" s="196" t="s">
        <v>12890</v>
      </c>
      <c r="D2523" s="196" t="s">
        <v>12891</v>
      </c>
      <c r="E2523" s="196" t="s">
        <v>1913</v>
      </c>
      <c r="F2523" s="196">
        <v>1994</v>
      </c>
      <c r="H2523" s="196" t="s">
        <v>1878</v>
      </c>
      <c r="I2523" s="16" t="s">
        <v>1879</v>
      </c>
      <c r="K2523" s="196" t="s">
        <v>1881</v>
      </c>
      <c r="L2523" s="16" t="s">
        <v>12892</v>
      </c>
      <c r="M2523" s="196">
        <v>88</v>
      </c>
      <c r="O2523" s="257" t="s">
        <v>11761</v>
      </c>
      <c r="P2523" s="17">
        <v>112</v>
      </c>
      <c r="Q2523" s="245">
        <f t="shared" si="153"/>
        <v>2</v>
      </c>
      <c r="R2523" s="245">
        <v>2.2000000000000002</v>
      </c>
      <c r="S2523" s="18">
        <v>4.2</v>
      </c>
    </row>
    <row r="2524" spans="1:19" x14ac:dyDescent="0.25">
      <c r="A2524" s="196">
        <v>765</v>
      </c>
      <c r="B2524" s="196" t="s">
        <v>12893</v>
      </c>
      <c r="C2524" s="196" t="s">
        <v>12894</v>
      </c>
      <c r="D2524" s="196" t="s">
        <v>5005</v>
      </c>
      <c r="F2524" s="196">
        <v>2002</v>
      </c>
      <c r="H2524" s="196" t="s">
        <v>2734</v>
      </c>
      <c r="I2524" s="16" t="s">
        <v>1879</v>
      </c>
      <c r="K2524" s="196" t="s">
        <v>1881</v>
      </c>
      <c r="M2524" s="196">
        <v>158</v>
      </c>
      <c r="O2524" s="257" t="s">
        <v>11762</v>
      </c>
      <c r="P2524" s="17">
        <v>236</v>
      </c>
      <c r="Q2524" s="245">
        <f t="shared" si="153"/>
        <v>1.5699999999999998</v>
      </c>
      <c r="R2524" s="245">
        <v>2.2000000000000002</v>
      </c>
      <c r="S2524" s="18">
        <v>3.77</v>
      </c>
    </row>
    <row r="2525" spans="1:19" x14ac:dyDescent="0.25">
      <c r="A2525" s="196">
        <v>704</v>
      </c>
      <c r="B2525" s="196" t="s">
        <v>12895</v>
      </c>
      <c r="C2525" s="196" t="s">
        <v>12896</v>
      </c>
      <c r="D2525" s="196" t="s">
        <v>3629</v>
      </c>
      <c r="E2525" s="196" t="s">
        <v>2518</v>
      </c>
      <c r="F2525" s="196">
        <v>2014</v>
      </c>
      <c r="H2525" s="196" t="s">
        <v>2734</v>
      </c>
      <c r="I2525" s="184" t="s">
        <v>1879</v>
      </c>
      <c r="K2525" s="196" t="s">
        <v>1881</v>
      </c>
      <c r="L2525" s="16" t="s">
        <v>12897</v>
      </c>
      <c r="M2525" s="196">
        <v>194</v>
      </c>
      <c r="O2525" s="257" t="s">
        <v>11763</v>
      </c>
      <c r="P2525" s="17">
        <v>344</v>
      </c>
      <c r="Q2525" s="245">
        <f t="shared" si="153"/>
        <v>9.8099999999999987</v>
      </c>
      <c r="R2525" s="245">
        <v>2.2000000000000002</v>
      </c>
      <c r="S2525" s="18">
        <v>12.01</v>
      </c>
    </row>
    <row r="2526" spans="1:19" x14ac:dyDescent="0.25">
      <c r="A2526" s="196">
        <v>1348</v>
      </c>
      <c r="B2526" s="196" t="s">
        <v>12898</v>
      </c>
      <c r="C2526" s="196" t="s">
        <v>12899</v>
      </c>
      <c r="D2526" s="196" t="s">
        <v>12900</v>
      </c>
      <c r="E2526" s="196" t="s">
        <v>1913</v>
      </c>
      <c r="F2526" s="196">
        <v>2017</v>
      </c>
      <c r="H2526" s="196" t="s">
        <v>2734</v>
      </c>
      <c r="I2526" s="16" t="s">
        <v>1879</v>
      </c>
      <c r="K2526" s="196" t="s">
        <v>1881</v>
      </c>
      <c r="L2526" s="16" t="s">
        <v>12901</v>
      </c>
      <c r="M2526" s="196">
        <v>226</v>
      </c>
      <c r="O2526" s="257" t="s">
        <v>11764</v>
      </c>
      <c r="P2526" s="17">
        <v>419</v>
      </c>
      <c r="Q2526" s="245">
        <f t="shared" si="153"/>
        <v>0.29999999999999982</v>
      </c>
      <c r="R2526" s="245">
        <v>2.2000000000000002</v>
      </c>
      <c r="S2526" s="18">
        <v>2.5</v>
      </c>
    </row>
    <row r="2527" spans="1:19" x14ac:dyDescent="0.25">
      <c r="A2527" s="196">
        <v>1396</v>
      </c>
      <c r="B2527" s="196" t="s">
        <v>12902</v>
      </c>
      <c r="C2527" s="196" t="s">
        <v>12903</v>
      </c>
      <c r="D2527" s="196" t="s">
        <v>1979</v>
      </c>
      <c r="E2527" s="196" t="s">
        <v>1913</v>
      </c>
      <c r="F2527" s="196">
        <v>2002</v>
      </c>
      <c r="H2527" s="196" t="s">
        <v>2734</v>
      </c>
      <c r="I2527" s="184" t="s">
        <v>1879</v>
      </c>
      <c r="K2527" s="196" t="s">
        <v>1881</v>
      </c>
      <c r="L2527" s="16" t="s">
        <v>12904</v>
      </c>
      <c r="M2527" s="196">
        <v>218</v>
      </c>
      <c r="O2527" s="257" t="s">
        <v>11765</v>
      </c>
      <c r="P2527" s="17">
        <v>348</v>
      </c>
      <c r="Q2527" s="245">
        <f t="shared" si="153"/>
        <v>1.4</v>
      </c>
      <c r="R2527" s="245">
        <v>2.2000000000000002</v>
      </c>
      <c r="S2527" s="18">
        <v>3.6</v>
      </c>
    </row>
    <row r="2528" spans="1:19" x14ac:dyDescent="0.25">
      <c r="A2528" s="196">
        <v>643</v>
      </c>
      <c r="B2528" s="196" t="s">
        <v>12905</v>
      </c>
      <c r="C2528" s="196" t="s">
        <v>12906</v>
      </c>
      <c r="D2528" s="196" t="s">
        <v>1886</v>
      </c>
      <c r="E2528" s="196" t="s">
        <v>1899</v>
      </c>
      <c r="F2528" s="196">
        <v>2016</v>
      </c>
      <c r="H2528" s="196" t="s">
        <v>1878</v>
      </c>
      <c r="I2528" s="16" t="s">
        <v>1879</v>
      </c>
      <c r="K2528" s="196" t="s">
        <v>1881</v>
      </c>
      <c r="L2528" s="16" t="s">
        <v>12907</v>
      </c>
      <c r="M2528" s="196">
        <v>464</v>
      </c>
      <c r="O2528" s="257" t="s">
        <v>11766</v>
      </c>
      <c r="P2528" s="17">
        <v>352</v>
      </c>
      <c r="Q2528" s="245">
        <f t="shared" si="153"/>
        <v>2.0099999999999998</v>
      </c>
      <c r="R2528" s="245">
        <v>2.2000000000000002</v>
      </c>
      <c r="S2528" s="18">
        <v>4.21</v>
      </c>
    </row>
    <row r="2529" spans="1:34" x14ac:dyDescent="0.25">
      <c r="A2529" s="196">
        <v>2664</v>
      </c>
      <c r="B2529" s="196" t="s">
        <v>12908</v>
      </c>
      <c r="C2529" s="196" t="s">
        <v>12909</v>
      </c>
      <c r="D2529" s="196" t="s">
        <v>2257</v>
      </c>
      <c r="F2529" s="196">
        <v>2006</v>
      </c>
      <c r="H2529" s="196" t="s">
        <v>1878</v>
      </c>
      <c r="I2529" s="16" t="s">
        <v>1879</v>
      </c>
      <c r="K2529" s="196" t="s">
        <v>1881</v>
      </c>
      <c r="L2529" s="16" t="s">
        <v>12910</v>
      </c>
      <c r="M2529" s="196">
        <v>336</v>
      </c>
      <c r="O2529" s="257" t="s">
        <v>11767</v>
      </c>
      <c r="P2529" s="17">
        <v>330</v>
      </c>
      <c r="Q2529" s="245">
        <f t="shared" si="153"/>
        <v>2.13</v>
      </c>
      <c r="R2529" s="245">
        <v>2.2000000000000002</v>
      </c>
      <c r="S2529" s="18">
        <v>4.33</v>
      </c>
    </row>
    <row r="2530" spans="1:34" x14ac:dyDescent="0.25">
      <c r="A2530" s="196">
        <v>765</v>
      </c>
      <c r="B2530" s="196" t="s">
        <v>12911</v>
      </c>
      <c r="C2530" s="196" t="s">
        <v>12912</v>
      </c>
      <c r="D2530" s="196" t="s">
        <v>2309</v>
      </c>
      <c r="E2530" s="196" t="s">
        <v>2175</v>
      </c>
      <c r="F2530" s="196">
        <v>2008</v>
      </c>
      <c r="H2530" s="196" t="s">
        <v>2734</v>
      </c>
      <c r="I2530" s="16" t="s">
        <v>1929</v>
      </c>
      <c r="K2530" s="196" t="s">
        <v>1881</v>
      </c>
      <c r="L2530" s="16" t="s">
        <v>12913</v>
      </c>
      <c r="M2530" s="196">
        <v>274</v>
      </c>
      <c r="O2530" s="257" t="s">
        <v>11768</v>
      </c>
      <c r="P2530" s="17">
        <v>418</v>
      </c>
      <c r="Q2530" s="245">
        <f t="shared" si="153"/>
        <v>4.3</v>
      </c>
      <c r="R2530" s="245">
        <v>2.2000000000000002</v>
      </c>
      <c r="S2530" s="18">
        <v>6.5</v>
      </c>
    </row>
    <row r="2531" spans="1:34" x14ac:dyDescent="0.25">
      <c r="A2531" s="196">
        <v>2522</v>
      </c>
      <c r="B2531" s="196" t="s">
        <v>5879</v>
      </c>
      <c r="C2531" s="196" t="s">
        <v>12914</v>
      </c>
      <c r="D2531" s="196" t="s">
        <v>2640</v>
      </c>
      <c r="E2531" s="196" t="s">
        <v>2518</v>
      </c>
      <c r="F2531" s="196">
        <v>2018</v>
      </c>
      <c r="H2531" s="196" t="s">
        <v>1878</v>
      </c>
      <c r="I2531" s="16" t="s">
        <v>1914</v>
      </c>
      <c r="K2531" s="196" t="s">
        <v>1881</v>
      </c>
      <c r="L2531" s="16" t="s">
        <v>12915</v>
      </c>
      <c r="M2531" s="196">
        <v>640</v>
      </c>
      <c r="O2531" s="257" t="s">
        <v>11769</v>
      </c>
      <c r="P2531" s="17">
        <v>545</v>
      </c>
      <c r="Q2531" s="245">
        <f t="shared" si="153"/>
        <v>1.9299999999999997</v>
      </c>
      <c r="R2531" s="245">
        <v>2.2000000000000002</v>
      </c>
      <c r="S2531" s="18">
        <v>4.13</v>
      </c>
    </row>
    <row r="2532" spans="1:34" x14ac:dyDescent="0.25">
      <c r="A2532" s="196">
        <v>1008</v>
      </c>
      <c r="B2532" s="196" t="s">
        <v>12916</v>
      </c>
      <c r="C2532" s="196" t="s">
        <v>12917</v>
      </c>
      <c r="D2532" s="196" t="s">
        <v>2818</v>
      </c>
      <c r="E2532" s="196" t="s">
        <v>2175</v>
      </c>
      <c r="F2532" s="196">
        <v>1994</v>
      </c>
      <c r="H2532" s="196" t="s">
        <v>1878</v>
      </c>
      <c r="I2532" s="16" t="s">
        <v>1914</v>
      </c>
      <c r="K2532" s="196" t="s">
        <v>1881</v>
      </c>
      <c r="L2532" s="16" t="s">
        <v>12918</v>
      </c>
      <c r="M2532" s="196">
        <v>192</v>
      </c>
      <c r="O2532" s="257" t="s">
        <v>11770</v>
      </c>
      <c r="P2532" s="17">
        <v>223</v>
      </c>
      <c r="Q2532" s="245">
        <f t="shared" si="153"/>
        <v>2.2199999999999998</v>
      </c>
      <c r="R2532" s="245">
        <v>2.2000000000000002</v>
      </c>
      <c r="S2532" s="18">
        <v>4.42</v>
      </c>
    </row>
    <row r="2533" spans="1:34" x14ac:dyDescent="0.25">
      <c r="A2533" s="41">
        <v>796</v>
      </c>
      <c r="B2533" s="197" t="s">
        <v>5856</v>
      </c>
      <c r="C2533" s="197" t="s">
        <v>5857</v>
      </c>
      <c r="D2533" s="197" t="s">
        <v>2257</v>
      </c>
      <c r="E2533" s="197"/>
      <c r="F2533" s="197">
        <v>2006</v>
      </c>
      <c r="G2533" s="197"/>
      <c r="H2533" s="197" t="s">
        <v>2963</v>
      </c>
      <c r="I2533" s="255" t="s">
        <v>1879</v>
      </c>
      <c r="J2533" s="197" t="s">
        <v>9495</v>
      </c>
      <c r="K2533" s="197" t="s">
        <v>1881</v>
      </c>
      <c r="L2533" s="256">
        <v>9783426662175</v>
      </c>
      <c r="M2533" s="197">
        <v>332</v>
      </c>
      <c r="N2533" s="197"/>
      <c r="O2533" s="257" t="s">
        <v>11771</v>
      </c>
      <c r="P2533" s="222">
        <v>440</v>
      </c>
      <c r="Q2533" s="245">
        <f t="shared" si="153"/>
        <v>1.2799999999999998</v>
      </c>
      <c r="R2533" s="245">
        <v>2.2000000000000002</v>
      </c>
      <c r="S2533" s="18">
        <v>3.48</v>
      </c>
    </row>
    <row r="2534" spans="1:34" x14ac:dyDescent="0.25">
      <c r="A2534" s="41">
        <v>968</v>
      </c>
      <c r="B2534" s="197" t="s">
        <v>12919</v>
      </c>
      <c r="C2534" s="197" t="s">
        <v>12920</v>
      </c>
      <c r="D2534" s="197" t="s">
        <v>2640</v>
      </c>
      <c r="E2534" s="197"/>
      <c r="F2534" s="197">
        <v>2004</v>
      </c>
      <c r="G2534" s="197"/>
      <c r="H2534" s="197" t="s">
        <v>1878</v>
      </c>
      <c r="I2534" s="255" t="s">
        <v>1879</v>
      </c>
      <c r="J2534" s="197"/>
      <c r="K2534" s="197" t="s">
        <v>2025</v>
      </c>
      <c r="L2534" s="256">
        <v>9780007156948</v>
      </c>
      <c r="M2534" s="197">
        <v>481</v>
      </c>
      <c r="N2534" s="197"/>
      <c r="O2534" s="257" t="s">
        <v>11772</v>
      </c>
      <c r="P2534" s="222">
        <v>253</v>
      </c>
      <c r="Q2534" s="245">
        <f t="shared" si="153"/>
        <v>3.7800000000000002</v>
      </c>
      <c r="R2534" s="245">
        <v>2.2000000000000002</v>
      </c>
      <c r="S2534" s="18">
        <v>5.98</v>
      </c>
    </row>
    <row r="2535" spans="1:34" x14ac:dyDescent="0.25">
      <c r="A2535" s="41">
        <v>1968</v>
      </c>
      <c r="B2535" s="197" t="s">
        <v>12921</v>
      </c>
      <c r="C2535" s="197" t="s">
        <v>12922</v>
      </c>
      <c r="D2535" s="197" t="s">
        <v>12923</v>
      </c>
      <c r="E2535" s="197" t="s">
        <v>1899</v>
      </c>
      <c r="F2535" s="197">
        <v>1985</v>
      </c>
      <c r="G2535" s="197"/>
      <c r="H2535" s="197" t="s">
        <v>1878</v>
      </c>
      <c r="I2535" s="255" t="s">
        <v>1914</v>
      </c>
      <c r="J2535" s="197" t="s">
        <v>12924</v>
      </c>
      <c r="K2535" s="197" t="s">
        <v>1881</v>
      </c>
      <c r="L2535" s="256"/>
      <c r="M2535" s="197">
        <v>200</v>
      </c>
      <c r="N2535" s="197"/>
      <c r="O2535" s="257" t="s">
        <v>11773</v>
      </c>
      <c r="P2535" s="222">
        <v>180</v>
      </c>
      <c r="Q2535" s="245">
        <f t="shared" si="153"/>
        <v>2.79</v>
      </c>
      <c r="R2535" s="245">
        <v>2.2000000000000002</v>
      </c>
      <c r="S2535" s="18">
        <v>4.99</v>
      </c>
    </row>
    <row r="2536" spans="1:34" x14ac:dyDescent="0.25">
      <c r="A2536" s="41">
        <v>796</v>
      </c>
      <c r="B2536" s="197" t="s">
        <v>7372</v>
      </c>
      <c r="C2536" s="197" t="s">
        <v>12925</v>
      </c>
      <c r="D2536" s="197" t="s">
        <v>1920</v>
      </c>
      <c r="E2536" s="197" t="s">
        <v>1913</v>
      </c>
      <c r="F2536" s="197">
        <v>2005</v>
      </c>
      <c r="G2536" s="197"/>
      <c r="H2536" s="197" t="s">
        <v>1878</v>
      </c>
      <c r="I2536" s="255" t="s">
        <v>1879</v>
      </c>
      <c r="J2536" s="197" t="s">
        <v>9196</v>
      </c>
      <c r="K2536" s="197" t="s">
        <v>1881</v>
      </c>
      <c r="L2536" s="256">
        <v>9783404153640</v>
      </c>
      <c r="M2536" s="197">
        <v>395</v>
      </c>
      <c r="N2536" s="197"/>
      <c r="O2536" s="257" t="s">
        <v>11774</v>
      </c>
      <c r="P2536" s="222">
        <v>341</v>
      </c>
      <c r="Q2536" s="245">
        <f t="shared" si="153"/>
        <v>2.0099999999999998</v>
      </c>
      <c r="R2536" s="245">
        <v>2.2000000000000002</v>
      </c>
      <c r="S2536" s="18">
        <v>4.21</v>
      </c>
    </row>
    <row r="2537" spans="1:34" x14ac:dyDescent="0.25">
      <c r="A2537" s="41">
        <v>796</v>
      </c>
      <c r="B2537" s="197" t="s">
        <v>12926</v>
      </c>
      <c r="C2537" s="197" t="s">
        <v>12927</v>
      </c>
      <c r="D2537" s="197" t="s">
        <v>2257</v>
      </c>
      <c r="E2537" s="197"/>
      <c r="F2537" s="197">
        <v>2004</v>
      </c>
      <c r="G2537" s="197"/>
      <c r="H2537" s="197" t="s">
        <v>1878</v>
      </c>
      <c r="I2537" s="255" t="s">
        <v>1879</v>
      </c>
      <c r="J2537" s="197" t="s">
        <v>9196</v>
      </c>
      <c r="K2537" s="197" t="s">
        <v>1881</v>
      </c>
      <c r="L2537" s="256">
        <v>9783426623282</v>
      </c>
      <c r="M2537" s="197">
        <v>653</v>
      </c>
      <c r="N2537" s="197"/>
      <c r="O2537" s="257" t="s">
        <v>11775</v>
      </c>
      <c r="P2537" s="222">
        <v>424</v>
      </c>
      <c r="Q2537" s="245">
        <f t="shared" si="153"/>
        <v>0.69</v>
      </c>
      <c r="R2537" s="245">
        <v>2.2000000000000002</v>
      </c>
      <c r="S2537" s="18">
        <v>2.89</v>
      </c>
    </row>
    <row r="2538" spans="1:34" s="220" customFormat="1" x14ac:dyDescent="0.25">
      <c r="A2538" s="248">
        <v>767</v>
      </c>
      <c r="B2538" s="179" t="s">
        <v>12928</v>
      </c>
      <c r="C2538" s="179" t="s">
        <v>12929</v>
      </c>
      <c r="D2538" s="179" t="s">
        <v>2368</v>
      </c>
      <c r="E2538" s="179"/>
      <c r="F2538" s="179">
        <v>2011</v>
      </c>
      <c r="G2538" s="179"/>
      <c r="H2538" s="179" t="s">
        <v>2963</v>
      </c>
      <c r="I2538" s="249" t="s">
        <v>1879</v>
      </c>
      <c r="J2538" s="179" t="s">
        <v>12930</v>
      </c>
      <c r="K2538" s="179" t="s">
        <v>1881</v>
      </c>
      <c r="L2538" s="250">
        <v>9783785724439</v>
      </c>
      <c r="M2538" s="179">
        <v>454</v>
      </c>
      <c r="N2538" s="179"/>
      <c r="O2538" s="179" t="s">
        <v>11776</v>
      </c>
      <c r="P2538" s="251">
        <v>715</v>
      </c>
      <c r="Q2538" s="252">
        <f t="shared" si="153"/>
        <v>2.0199999999999996</v>
      </c>
      <c r="R2538" s="252">
        <v>2.2000000000000002</v>
      </c>
      <c r="S2538" s="202">
        <v>4.22</v>
      </c>
      <c r="T2538" s="202"/>
      <c r="U2538" s="261"/>
      <c r="V2538" s="261"/>
      <c r="W2538" s="202"/>
      <c r="X2538" s="179"/>
      <c r="Y2538" s="179"/>
      <c r="Z2538" s="179"/>
      <c r="AA2538" s="179"/>
      <c r="AB2538" s="179"/>
      <c r="AC2538" s="179"/>
      <c r="AD2538" s="179"/>
      <c r="AH2538" s="221"/>
    </row>
    <row r="2539" spans="1:34" x14ac:dyDescent="0.25">
      <c r="A2539" s="50">
        <v>1327</v>
      </c>
      <c r="B2539" s="1" t="s">
        <v>12931</v>
      </c>
      <c r="C2539" s="1" t="s">
        <v>12932</v>
      </c>
      <c r="D2539" s="1" t="s">
        <v>2221</v>
      </c>
      <c r="F2539" s="1">
        <v>1978</v>
      </c>
      <c r="H2539" s="197" t="s">
        <v>2963</v>
      </c>
      <c r="I2539" s="255" t="s">
        <v>1879</v>
      </c>
      <c r="K2539" s="1" t="s">
        <v>1881</v>
      </c>
      <c r="L2539" s="16" t="s">
        <v>12933</v>
      </c>
      <c r="M2539" s="1">
        <v>368</v>
      </c>
      <c r="O2539" s="257" t="s">
        <v>11777</v>
      </c>
      <c r="P2539" s="17">
        <v>711</v>
      </c>
      <c r="Q2539" s="245">
        <f t="shared" si="153"/>
        <v>3.8</v>
      </c>
      <c r="R2539" s="245">
        <v>2.2000000000000002</v>
      </c>
      <c r="S2539" s="18">
        <v>6</v>
      </c>
    </row>
    <row r="2540" spans="1:34" x14ac:dyDescent="0.25">
      <c r="A2540" s="142">
        <v>631</v>
      </c>
      <c r="B2540" s="196" t="s">
        <v>8765</v>
      </c>
      <c r="C2540" s="196" t="s">
        <v>12934</v>
      </c>
      <c r="D2540" s="196" t="s">
        <v>1912</v>
      </c>
      <c r="E2540" s="196" t="s">
        <v>2175</v>
      </c>
      <c r="F2540" s="196">
        <v>2012</v>
      </c>
      <c r="H2540" s="196" t="s">
        <v>1878</v>
      </c>
      <c r="I2540" s="16" t="s">
        <v>1914</v>
      </c>
      <c r="K2540" s="196" t="s">
        <v>1881</v>
      </c>
      <c r="L2540" s="16" t="s">
        <v>3474</v>
      </c>
      <c r="M2540" s="196">
        <v>608</v>
      </c>
      <c r="O2540" s="257" t="s">
        <v>11778</v>
      </c>
      <c r="P2540" s="17">
        <v>636</v>
      </c>
      <c r="Q2540" s="245">
        <f t="shared" si="153"/>
        <v>1.6599999999999997</v>
      </c>
      <c r="R2540" s="245">
        <v>2.2000000000000002</v>
      </c>
      <c r="S2540" s="18">
        <v>3.86</v>
      </c>
    </row>
    <row r="2541" spans="1:34" x14ac:dyDescent="0.25">
      <c r="A2541" s="142">
        <v>938</v>
      </c>
      <c r="B2541" s="196" t="s">
        <v>12935</v>
      </c>
      <c r="C2541" s="196" t="s">
        <v>12936</v>
      </c>
      <c r="D2541" s="196" t="s">
        <v>2054</v>
      </c>
      <c r="F2541" s="196">
        <v>2004</v>
      </c>
      <c r="H2541" s="197" t="s">
        <v>2963</v>
      </c>
      <c r="I2541" s="255" t="s">
        <v>1879</v>
      </c>
      <c r="K2541" s="196" t="s">
        <v>1881</v>
      </c>
      <c r="L2541" s="16" t="s">
        <v>12937</v>
      </c>
      <c r="M2541" s="196">
        <v>418</v>
      </c>
      <c r="O2541" s="257" t="s">
        <v>11779</v>
      </c>
      <c r="P2541" s="17">
        <v>604</v>
      </c>
      <c r="Q2541" s="245">
        <f t="shared" si="153"/>
        <v>5.0699999999999994</v>
      </c>
      <c r="R2541" s="245">
        <v>2.2000000000000002</v>
      </c>
      <c r="S2541" s="18">
        <v>7.27</v>
      </c>
    </row>
    <row r="2542" spans="1:34" x14ac:dyDescent="0.25">
      <c r="A2542" s="142">
        <v>1913</v>
      </c>
      <c r="B2542" s="196" t="s">
        <v>12938</v>
      </c>
      <c r="C2542" s="196" t="s">
        <v>12939</v>
      </c>
      <c r="D2542" s="196" t="s">
        <v>2386</v>
      </c>
      <c r="F2542" s="196">
        <v>1976</v>
      </c>
      <c r="H2542" s="197" t="s">
        <v>2963</v>
      </c>
      <c r="I2542" s="255" t="s">
        <v>1914</v>
      </c>
      <c r="K2542" s="196" t="s">
        <v>1881</v>
      </c>
      <c r="M2542" s="196">
        <v>384</v>
      </c>
      <c r="O2542" s="257" t="s">
        <v>11780</v>
      </c>
      <c r="P2542" s="17">
        <v>499</v>
      </c>
      <c r="Q2542" s="245">
        <f t="shared" si="153"/>
        <v>4.3</v>
      </c>
      <c r="R2542" s="245">
        <v>2.2000000000000002</v>
      </c>
      <c r="S2542" s="18">
        <v>6.5</v>
      </c>
    </row>
    <row r="2543" spans="1:34" x14ac:dyDescent="0.25">
      <c r="A2543" s="142">
        <v>1327</v>
      </c>
      <c r="B2543" s="196" t="s">
        <v>12940</v>
      </c>
      <c r="C2543" s="196" t="s">
        <v>12941</v>
      </c>
      <c r="D2543" s="196" t="s">
        <v>12942</v>
      </c>
      <c r="F2543" s="196">
        <v>1963</v>
      </c>
      <c r="H2543" s="197" t="s">
        <v>2963</v>
      </c>
      <c r="I2543" s="255" t="s">
        <v>1914</v>
      </c>
      <c r="J2543" s="182"/>
      <c r="K2543" s="196" t="s">
        <v>1881</v>
      </c>
      <c r="M2543" s="196">
        <v>302</v>
      </c>
      <c r="O2543" s="257" t="s">
        <v>11781</v>
      </c>
      <c r="P2543" s="17">
        <v>385</v>
      </c>
      <c r="Q2543" s="245">
        <f t="shared" si="153"/>
        <v>1.5</v>
      </c>
      <c r="R2543" s="245">
        <v>2.2000000000000002</v>
      </c>
      <c r="S2543" s="18">
        <v>3.7</v>
      </c>
    </row>
    <row r="2544" spans="1:34" x14ac:dyDescent="0.25">
      <c r="A2544" s="142">
        <v>796</v>
      </c>
      <c r="B2544" s="196" t="s">
        <v>12943</v>
      </c>
      <c r="C2544" s="196" t="s">
        <v>12944</v>
      </c>
      <c r="D2544" s="196" t="s">
        <v>2640</v>
      </c>
      <c r="F2544" s="196">
        <v>2016</v>
      </c>
      <c r="H2544" s="1" t="s">
        <v>1878</v>
      </c>
      <c r="I2544" s="16" t="s">
        <v>1879</v>
      </c>
      <c r="K2544" s="196" t="s">
        <v>1881</v>
      </c>
      <c r="L2544" s="16" t="s">
        <v>12945</v>
      </c>
      <c r="M2544" s="196">
        <v>304</v>
      </c>
      <c r="O2544" s="257" t="s">
        <v>11782</v>
      </c>
      <c r="P2544" s="17">
        <v>299</v>
      </c>
      <c r="Q2544" s="245">
        <f t="shared" si="153"/>
        <v>6.4799999999999995</v>
      </c>
      <c r="R2544" s="245">
        <v>2.2000000000000002</v>
      </c>
      <c r="S2544" s="18">
        <v>8.68</v>
      </c>
    </row>
    <row r="2545" spans="1:19" x14ac:dyDescent="0.25">
      <c r="A2545" s="142">
        <v>796</v>
      </c>
      <c r="B2545" s="196" t="s">
        <v>12946</v>
      </c>
      <c r="C2545" s="196" t="s">
        <v>12947</v>
      </c>
      <c r="D2545" s="196" t="s">
        <v>2424</v>
      </c>
      <c r="F2545" s="196">
        <v>2018</v>
      </c>
      <c r="H2545" s="196" t="s">
        <v>1878</v>
      </c>
      <c r="I2545" s="16" t="s">
        <v>1879</v>
      </c>
      <c r="K2545" s="196" t="s">
        <v>1881</v>
      </c>
      <c r="L2545" s="16" t="s">
        <v>12948</v>
      </c>
      <c r="M2545" s="196">
        <v>384</v>
      </c>
      <c r="O2545" s="257" t="s">
        <v>11783</v>
      </c>
      <c r="P2545" s="17">
        <v>323</v>
      </c>
      <c r="Q2545" s="245">
        <f t="shared" si="153"/>
        <v>1.9900000000000002</v>
      </c>
      <c r="R2545" s="245">
        <v>2.2000000000000002</v>
      </c>
      <c r="S2545" s="18">
        <v>4.1900000000000004</v>
      </c>
    </row>
    <row r="2546" spans="1:19" x14ac:dyDescent="0.25">
      <c r="A2546" s="142">
        <v>1962</v>
      </c>
      <c r="B2546" s="196" t="s">
        <v>12949</v>
      </c>
      <c r="C2546" s="196" t="s">
        <v>12950</v>
      </c>
      <c r="D2546" s="196" t="s">
        <v>2221</v>
      </c>
      <c r="F2546" s="196">
        <v>2013</v>
      </c>
      <c r="H2546" s="197" t="s">
        <v>2963</v>
      </c>
      <c r="I2546" s="255" t="s">
        <v>1879</v>
      </c>
      <c r="K2546" s="196" t="s">
        <v>1881</v>
      </c>
      <c r="L2546" s="16" t="s">
        <v>12951</v>
      </c>
      <c r="M2546" s="196">
        <v>226</v>
      </c>
      <c r="O2546" s="257" t="s">
        <v>11784</v>
      </c>
      <c r="P2546" s="17">
        <v>311</v>
      </c>
      <c r="Q2546" s="245">
        <f t="shared" si="153"/>
        <v>3.38</v>
      </c>
      <c r="R2546" s="245">
        <v>2.2000000000000002</v>
      </c>
      <c r="S2546" s="18">
        <v>5.58</v>
      </c>
    </row>
    <row r="2547" spans="1:19" x14ac:dyDescent="0.25">
      <c r="A2547" s="142">
        <v>2522</v>
      </c>
      <c r="B2547" s="196" t="s">
        <v>10431</v>
      </c>
      <c r="C2547" s="196" t="s">
        <v>12952</v>
      </c>
      <c r="D2547" s="196" t="s">
        <v>5005</v>
      </c>
      <c r="F2547" s="196">
        <v>2004</v>
      </c>
      <c r="H2547" s="197" t="s">
        <v>2963</v>
      </c>
      <c r="I2547" s="255" t="s">
        <v>1879</v>
      </c>
      <c r="J2547" s="182"/>
      <c r="K2547" s="196" t="s">
        <v>1881</v>
      </c>
      <c r="M2547" s="196">
        <v>482</v>
      </c>
      <c r="O2547" s="257" t="s">
        <v>11785</v>
      </c>
      <c r="P2547" s="17">
        <v>653</v>
      </c>
      <c r="Q2547" s="245">
        <f t="shared" si="153"/>
        <v>2.96</v>
      </c>
      <c r="R2547" s="245">
        <v>2.2000000000000002</v>
      </c>
      <c r="S2547" s="18">
        <v>5.16</v>
      </c>
    </row>
    <row r="2548" spans="1:19" x14ac:dyDescent="0.25">
      <c r="A2548" s="142">
        <v>606</v>
      </c>
      <c r="B2548" s="196" t="s">
        <v>12953</v>
      </c>
      <c r="C2548" s="196" t="s">
        <v>12954</v>
      </c>
      <c r="D2548" s="196" t="s">
        <v>12955</v>
      </c>
      <c r="H2548" s="197" t="s">
        <v>2963</v>
      </c>
      <c r="I2548" s="255" t="s">
        <v>1914</v>
      </c>
      <c r="J2548" s="1" t="s">
        <v>12956</v>
      </c>
      <c r="K2548" s="196" t="s">
        <v>1881</v>
      </c>
      <c r="M2548" s="196">
        <v>290</v>
      </c>
      <c r="O2548" s="257" t="s">
        <v>11786</v>
      </c>
      <c r="P2548" s="17">
        <v>487</v>
      </c>
      <c r="Q2548" s="245">
        <f t="shared" si="153"/>
        <v>3.3999999999999995</v>
      </c>
      <c r="R2548" s="245">
        <v>2.2000000000000002</v>
      </c>
      <c r="S2548" s="18">
        <v>5.6</v>
      </c>
    </row>
    <row r="2549" spans="1:19" x14ac:dyDescent="0.25">
      <c r="A2549" s="142">
        <v>722</v>
      </c>
      <c r="B2549" s="196" t="s">
        <v>12957</v>
      </c>
      <c r="C2549" s="196" t="s">
        <v>12958</v>
      </c>
      <c r="D2549" s="196" t="s">
        <v>5005</v>
      </c>
      <c r="F2549" s="196">
        <v>1956</v>
      </c>
      <c r="H2549" s="197" t="s">
        <v>2963</v>
      </c>
      <c r="I2549" s="255" t="s">
        <v>1879</v>
      </c>
      <c r="J2549" s="1" t="s">
        <v>12959</v>
      </c>
      <c r="K2549" s="196" t="s">
        <v>1881</v>
      </c>
      <c r="O2549" s="257" t="s">
        <v>11787</v>
      </c>
      <c r="P2549" s="17">
        <v>149</v>
      </c>
      <c r="Q2549" s="245">
        <f t="shared" si="153"/>
        <v>4.28</v>
      </c>
      <c r="R2549" s="245">
        <v>2.2000000000000002</v>
      </c>
      <c r="S2549" s="18">
        <v>6.48</v>
      </c>
    </row>
    <row r="2550" spans="1:19" x14ac:dyDescent="0.25">
      <c r="A2550" s="142">
        <v>1253</v>
      </c>
      <c r="B2550" s="196" t="s">
        <v>12960</v>
      </c>
      <c r="C2550" s="196" t="s">
        <v>12961</v>
      </c>
      <c r="D2550" s="196" t="s">
        <v>5902</v>
      </c>
      <c r="E2550" s="196" t="s">
        <v>12962</v>
      </c>
      <c r="F2550" s="196">
        <v>1977</v>
      </c>
      <c r="H2550" s="197" t="s">
        <v>2963</v>
      </c>
      <c r="I2550" s="255" t="s">
        <v>1879</v>
      </c>
      <c r="J2550" s="182" t="s">
        <v>12959</v>
      </c>
      <c r="K2550" s="196" t="s">
        <v>1881</v>
      </c>
      <c r="M2550" s="196">
        <v>514</v>
      </c>
      <c r="O2550" s="257" t="s">
        <v>11788</v>
      </c>
      <c r="P2550" s="17">
        <v>518</v>
      </c>
      <c r="Q2550" s="245">
        <f t="shared" si="153"/>
        <v>2</v>
      </c>
      <c r="R2550" s="245">
        <v>2.2000000000000002</v>
      </c>
      <c r="S2550" s="18">
        <v>4.2</v>
      </c>
    </row>
    <row r="2551" spans="1:19" x14ac:dyDescent="0.25">
      <c r="A2551" s="142">
        <v>1327</v>
      </c>
      <c r="B2551" s="196" t="s">
        <v>7806</v>
      </c>
      <c r="C2551" s="196" t="s">
        <v>12963</v>
      </c>
      <c r="D2551" s="196" t="s">
        <v>3077</v>
      </c>
      <c r="F2551" s="196">
        <v>1988</v>
      </c>
      <c r="H2551" s="197" t="s">
        <v>2963</v>
      </c>
      <c r="I2551" s="255" t="s">
        <v>1879</v>
      </c>
      <c r="J2551" s="196" t="s">
        <v>2505</v>
      </c>
      <c r="K2551" s="196" t="s">
        <v>1881</v>
      </c>
      <c r="M2551" s="196">
        <v>386</v>
      </c>
      <c r="O2551" s="257" t="s">
        <v>11789</v>
      </c>
      <c r="P2551" s="17">
        <v>470</v>
      </c>
      <c r="Q2551" s="245">
        <f t="shared" si="153"/>
        <v>1.96</v>
      </c>
      <c r="R2551" s="245">
        <v>2.2000000000000002</v>
      </c>
      <c r="S2551" s="18">
        <v>4.16</v>
      </c>
    </row>
    <row r="2552" spans="1:19" x14ac:dyDescent="0.25">
      <c r="A2552" s="142">
        <v>2002</v>
      </c>
      <c r="B2552" s="196" t="s">
        <v>12964</v>
      </c>
      <c r="C2552" s="196" t="s">
        <v>12965</v>
      </c>
      <c r="D2552" s="196" t="s">
        <v>9307</v>
      </c>
      <c r="F2552" s="196">
        <v>1960</v>
      </c>
      <c r="H2552" s="197" t="s">
        <v>2963</v>
      </c>
      <c r="I2552" s="255" t="s">
        <v>1879</v>
      </c>
      <c r="J2552" s="196" t="s">
        <v>2782</v>
      </c>
      <c r="K2552" s="196" t="s">
        <v>1881</v>
      </c>
      <c r="M2552" s="196">
        <v>242</v>
      </c>
      <c r="O2552" s="257" t="s">
        <v>11790</v>
      </c>
      <c r="P2552" s="17">
        <v>451</v>
      </c>
      <c r="Q2552" s="245">
        <f t="shared" si="153"/>
        <v>5</v>
      </c>
      <c r="R2552" s="245">
        <v>2.2000000000000002</v>
      </c>
      <c r="S2552" s="18">
        <v>7.2</v>
      </c>
    </row>
    <row r="2553" spans="1:19" x14ac:dyDescent="0.25">
      <c r="A2553" s="142">
        <v>1327</v>
      </c>
      <c r="B2553" s="196" t="s">
        <v>12966</v>
      </c>
      <c r="C2553" s="196" t="s">
        <v>12967</v>
      </c>
      <c r="D2553" s="196" t="s">
        <v>1876</v>
      </c>
      <c r="F2553" s="196">
        <v>1975</v>
      </c>
      <c r="H2553" s="197" t="s">
        <v>2963</v>
      </c>
      <c r="I2553" s="255" t="s">
        <v>1879</v>
      </c>
      <c r="J2553" s="196" t="s">
        <v>2505</v>
      </c>
      <c r="K2553" s="196" t="s">
        <v>1881</v>
      </c>
      <c r="M2553" s="196">
        <v>226</v>
      </c>
      <c r="O2553" s="257" t="s">
        <v>11791</v>
      </c>
      <c r="P2553" s="17">
        <v>313</v>
      </c>
      <c r="Q2553" s="245">
        <f t="shared" si="153"/>
        <v>1.1999999999999997</v>
      </c>
      <c r="R2553" s="245">
        <v>2.2000000000000002</v>
      </c>
      <c r="S2553" s="18">
        <v>3.4</v>
      </c>
    </row>
    <row r="2554" spans="1:19" x14ac:dyDescent="0.25">
      <c r="A2554" s="142">
        <v>1327</v>
      </c>
      <c r="B2554" s="196" t="s">
        <v>4827</v>
      </c>
      <c r="C2554" s="196" t="s">
        <v>4828</v>
      </c>
      <c r="D2554" s="196" t="s">
        <v>5005</v>
      </c>
      <c r="F2554" s="196">
        <v>1995</v>
      </c>
      <c r="H2554" s="197" t="s">
        <v>2963</v>
      </c>
      <c r="I2554" s="16" t="s">
        <v>1914</v>
      </c>
      <c r="J2554" s="196" t="s">
        <v>12968</v>
      </c>
      <c r="K2554" s="196" t="s">
        <v>1881</v>
      </c>
      <c r="M2554" s="196">
        <v>322</v>
      </c>
      <c r="O2554" s="257" t="s">
        <v>11792</v>
      </c>
      <c r="P2554" s="17">
        <v>452</v>
      </c>
      <c r="Q2554" s="245">
        <f t="shared" si="153"/>
        <v>2.7699999999999996</v>
      </c>
      <c r="R2554" s="245">
        <v>2.2000000000000002</v>
      </c>
      <c r="S2554" s="18">
        <v>4.97</v>
      </c>
    </row>
    <row r="2555" spans="1:19" x14ac:dyDescent="0.25">
      <c r="A2555" s="142">
        <v>1327</v>
      </c>
      <c r="B2555" s="196" t="s">
        <v>12969</v>
      </c>
      <c r="C2555" s="196" t="s">
        <v>12970</v>
      </c>
      <c r="D2555" s="196" t="s">
        <v>12971</v>
      </c>
      <c r="F2555" s="196">
        <v>1963</v>
      </c>
      <c r="H2555" s="197" t="s">
        <v>2963</v>
      </c>
      <c r="I2555" s="184" t="s">
        <v>1914</v>
      </c>
      <c r="J2555" s="196" t="s">
        <v>12972</v>
      </c>
      <c r="K2555" s="196" t="s">
        <v>1881</v>
      </c>
      <c r="M2555" s="196">
        <v>318</v>
      </c>
      <c r="O2555" s="257" t="s">
        <v>11793</v>
      </c>
      <c r="P2555" s="17">
        <v>392</v>
      </c>
      <c r="Q2555" s="245">
        <f t="shared" si="153"/>
        <v>3.6499999999999995</v>
      </c>
      <c r="R2555" s="245">
        <v>2.2000000000000002</v>
      </c>
      <c r="S2555" s="18">
        <v>5.85</v>
      </c>
    </row>
    <row r="2556" spans="1:19" x14ac:dyDescent="0.25">
      <c r="A2556" s="142">
        <v>2595</v>
      </c>
      <c r="B2556" s="196" t="s">
        <v>12973</v>
      </c>
      <c r="C2556" s="196" t="s">
        <v>12974</v>
      </c>
      <c r="D2556" s="196" t="s">
        <v>12975</v>
      </c>
      <c r="F2556" s="196">
        <v>1948</v>
      </c>
      <c r="H2556" s="197" t="s">
        <v>2963</v>
      </c>
      <c r="I2556" s="184" t="s">
        <v>1914</v>
      </c>
      <c r="J2556" s="196" t="s">
        <v>12976</v>
      </c>
      <c r="K2556" s="196" t="s">
        <v>1881</v>
      </c>
      <c r="M2556" s="196">
        <v>434</v>
      </c>
      <c r="O2556" s="257" t="s">
        <v>11794</v>
      </c>
      <c r="P2556" s="17">
        <v>493</v>
      </c>
      <c r="Q2556" s="245">
        <f t="shared" si="153"/>
        <v>14.900000000000002</v>
      </c>
      <c r="R2556" s="245">
        <v>2.2000000000000002</v>
      </c>
      <c r="S2556" s="18">
        <v>17.100000000000001</v>
      </c>
    </row>
    <row r="2557" spans="1:19" x14ac:dyDescent="0.25">
      <c r="A2557" s="142">
        <v>1327</v>
      </c>
      <c r="B2557" s="196" t="s">
        <v>7462</v>
      </c>
      <c r="C2557" s="196" t="s">
        <v>12977</v>
      </c>
      <c r="D2557" s="196" t="s">
        <v>2257</v>
      </c>
      <c r="F2557" s="196">
        <v>1979</v>
      </c>
      <c r="H2557" s="197" t="s">
        <v>2963</v>
      </c>
      <c r="I2557" s="16" t="s">
        <v>1879</v>
      </c>
      <c r="J2557" s="196" t="s">
        <v>12978</v>
      </c>
      <c r="K2557" s="196" t="s">
        <v>1881</v>
      </c>
      <c r="M2557" s="196">
        <v>690</v>
      </c>
      <c r="O2557" s="257" t="s">
        <v>11795</v>
      </c>
      <c r="P2557" s="17">
        <v>814</v>
      </c>
      <c r="Q2557" s="245">
        <f t="shared" si="153"/>
        <v>1.2399999999999998</v>
      </c>
      <c r="R2557" s="245">
        <v>2.2000000000000002</v>
      </c>
      <c r="S2557" s="18">
        <v>3.44</v>
      </c>
    </row>
    <row r="2558" spans="1:19" x14ac:dyDescent="0.25">
      <c r="A2558" s="142">
        <v>718</v>
      </c>
      <c r="B2558" s="196" t="s">
        <v>12979</v>
      </c>
      <c r="C2558" s="196" t="s">
        <v>12980</v>
      </c>
      <c r="D2558" s="196" t="s">
        <v>12981</v>
      </c>
      <c r="F2558" s="196">
        <v>1997</v>
      </c>
      <c r="H2558" s="197" t="s">
        <v>2963</v>
      </c>
      <c r="I2558" s="184" t="s">
        <v>1879</v>
      </c>
      <c r="K2558" s="196" t="s">
        <v>1881</v>
      </c>
      <c r="L2558" s="16" t="s">
        <v>12982</v>
      </c>
      <c r="M2558" s="196">
        <v>130</v>
      </c>
      <c r="O2558" s="257" t="s">
        <v>11796</v>
      </c>
      <c r="P2558" s="17">
        <v>498</v>
      </c>
      <c r="Q2558" s="245">
        <f t="shared" si="153"/>
        <v>4.5999999999999996</v>
      </c>
      <c r="R2558" s="245">
        <v>2.2000000000000002</v>
      </c>
      <c r="S2558" s="18">
        <v>6.8</v>
      </c>
    </row>
    <row r="2559" spans="1:19" x14ac:dyDescent="0.25">
      <c r="A2559" s="142">
        <v>2598</v>
      </c>
      <c r="B2559" s="196" t="s">
        <v>12983</v>
      </c>
      <c r="C2559" s="196" t="s">
        <v>12984</v>
      </c>
      <c r="D2559" s="196" t="s">
        <v>12985</v>
      </c>
      <c r="F2559" s="196">
        <v>2011</v>
      </c>
      <c r="H2559" s="197" t="s">
        <v>2963</v>
      </c>
      <c r="I2559" s="184" t="s">
        <v>1879</v>
      </c>
      <c r="K2559" s="196" t="s">
        <v>1881</v>
      </c>
      <c r="L2559" s="16" t="s">
        <v>12986</v>
      </c>
      <c r="M2559" s="196">
        <v>218</v>
      </c>
      <c r="O2559" s="257" t="s">
        <v>11797</v>
      </c>
      <c r="P2559" s="17">
        <v>861</v>
      </c>
      <c r="Q2559" s="245">
        <f t="shared" si="153"/>
        <v>8.2800000000000011</v>
      </c>
      <c r="R2559" s="245">
        <v>2.2000000000000002</v>
      </c>
      <c r="S2559" s="18">
        <v>10.48</v>
      </c>
    </row>
    <row r="2560" spans="1:19" x14ac:dyDescent="0.25">
      <c r="A2560" s="142">
        <v>2518</v>
      </c>
      <c r="B2560" s="196" t="s">
        <v>4519</v>
      </c>
      <c r="C2560" s="196" t="s">
        <v>12987</v>
      </c>
      <c r="D2560" s="196" t="s">
        <v>12988</v>
      </c>
      <c r="F2560" s="196">
        <v>2004</v>
      </c>
      <c r="H2560" s="1" t="s">
        <v>1878</v>
      </c>
      <c r="I2560" s="16" t="s">
        <v>1879</v>
      </c>
      <c r="K2560" s="196" t="s">
        <v>1881</v>
      </c>
      <c r="L2560" s="16" t="s">
        <v>12989</v>
      </c>
      <c r="M2560" s="196">
        <v>320</v>
      </c>
      <c r="O2560" s="257" t="s">
        <v>11798</v>
      </c>
      <c r="P2560" s="17">
        <v>296</v>
      </c>
      <c r="Q2560" s="245">
        <f t="shared" si="153"/>
        <v>1.1799999999999997</v>
      </c>
      <c r="R2560" s="245">
        <v>2.2000000000000002</v>
      </c>
      <c r="S2560" s="18">
        <v>3.38</v>
      </c>
    </row>
    <row r="2561" spans="1:19" x14ac:dyDescent="0.25">
      <c r="A2561" s="142">
        <v>1327</v>
      </c>
      <c r="B2561" s="196" t="s">
        <v>12990</v>
      </c>
      <c r="C2561" s="196" t="s">
        <v>12991</v>
      </c>
      <c r="D2561" s="196" t="s">
        <v>2609</v>
      </c>
      <c r="F2561" s="196">
        <v>2014</v>
      </c>
      <c r="H2561" s="196" t="s">
        <v>1878</v>
      </c>
      <c r="I2561" s="16" t="s">
        <v>1879</v>
      </c>
      <c r="K2561" s="196" t="s">
        <v>1881</v>
      </c>
      <c r="L2561" s="16" t="s">
        <v>12992</v>
      </c>
      <c r="M2561" s="196">
        <v>160</v>
      </c>
      <c r="O2561" s="257" t="s">
        <v>11799</v>
      </c>
      <c r="P2561" s="17">
        <v>144</v>
      </c>
      <c r="Q2561" s="245">
        <f t="shared" si="153"/>
        <v>2.29</v>
      </c>
      <c r="R2561" s="245">
        <v>2.2000000000000002</v>
      </c>
      <c r="S2561" s="18">
        <v>4.49</v>
      </c>
    </row>
    <row r="2562" spans="1:19" x14ac:dyDescent="0.25">
      <c r="A2562" s="142">
        <v>632</v>
      </c>
      <c r="B2562" s="196" t="s">
        <v>3233</v>
      </c>
      <c r="C2562" s="196" t="s">
        <v>3234</v>
      </c>
      <c r="D2562" s="196" t="s">
        <v>2257</v>
      </c>
      <c r="F2562" s="196">
        <v>2011</v>
      </c>
      <c r="H2562" s="196" t="s">
        <v>1878</v>
      </c>
      <c r="I2562" s="16" t="s">
        <v>1914</v>
      </c>
      <c r="K2562" s="196" t="s">
        <v>1881</v>
      </c>
      <c r="L2562" s="16" t="s">
        <v>3235</v>
      </c>
      <c r="M2562" s="196">
        <v>800</v>
      </c>
      <c r="O2562" s="257" t="s">
        <v>11800</v>
      </c>
      <c r="P2562" s="17">
        <v>588</v>
      </c>
      <c r="Q2562" s="245">
        <f t="shared" si="153"/>
        <v>1</v>
      </c>
      <c r="R2562" s="245">
        <v>2.2000000000000002</v>
      </c>
      <c r="S2562" s="18">
        <v>3.2</v>
      </c>
    </row>
    <row r="2563" spans="1:19" x14ac:dyDescent="0.25">
      <c r="A2563" s="142">
        <v>2518</v>
      </c>
      <c r="B2563" s="196" t="s">
        <v>12993</v>
      </c>
      <c r="C2563" s="196" t="s">
        <v>12994</v>
      </c>
      <c r="D2563" s="196" t="s">
        <v>12995</v>
      </c>
      <c r="E2563" s="196" t="s">
        <v>1913</v>
      </c>
      <c r="F2563" s="196">
        <v>2011</v>
      </c>
      <c r="H2563" s="196" t="s">
        <v>1878</v>
      </c>
      <c r="I2563" s="184" t="s">
        <v>1879</v>
      </c>
      <c r="K2563" s="196" t="s">
        <v>1881</v>
      </c>
      <c r="L2563" s="16" t="s">
        <v>12996</v>
      </c>
      <c r="M2563" s="196">
        <v>366</v>
      </c>
      <c r="O2563" s="257" t="s">
        <v>11801</v>
      </c>
      <c r="P2563" s="17">
        <v>406</v>
      </c>
      <c r="Q2563" s="245">
        <f t="shared" si="153"/>
        <v>2.8899999999999997</v>
      </c>
      <c r="R2563" s="245">
        <v>2.2000000000000002</v>
      </c>
      <c r="S2563" s="18">
        <v>5.09</v>
      </c>
    </row>
    <row r="2564" spans="1:19" x14ac:dyDescent="0.25">
      <c r="A2564" s="142">
        <v>704</v>
      </c>
      <c r="B2564" s="196" t="s">
        <v>12997</v>
      </c>
      <c r="C2564" s="196" t="s">
        <v>12998</v>
      </c>
      <c r="D2564" s="196" t="s">
        <v>1886</v>
      </c>
      <c r="F2564" s="196">
        <v>1996</v>
      </c>
      <c r="H2564" s="196" t="s">
        <v>1878</v>
      </c>
      <c r="I2564" s="16" t="s">
        <v>1914</v>
      </c>
      <c r="K2564" s="196" t="s">
        <v>1881</v>
      </c>
      <c r="L2564" s="16" t="s">
        <v>12999</v>
      </c>
      <c r="M2564" s="196">
        <v>128</v>
      </c>
      <c r="O2564" s="257" t="s">
        <v>11802</v>
      </c>
      <c r="P2564" s="17">
        <v>162</v>
      </c>
      <c r="Q2564" s="245">
        <f t="shared" si="153"/>
        <v>2.58</v>
      </c>
      <c r="R2564" s="245">
        <v>2.2000000000000002</v>
      </c>
      <c r="S2564" s="18">
        <v>4.78</v>
      </c>
    </row>
    <row r="2565" spans="1:19" x14ac:dyDescent="0.25">
      <c r="A2565" s="142">
        <v>2522</v>
      </c>
      <c r="B2565" s="196" t="s">
        <v>3862</v>
      </c>
      <c r="C2565" s="196" t="s">
        <v>3863</v>
      </c>
      <c r="D2565" s="196" t="s">
        <v>3864</v>
      </c>
      <c r="E2565" s="196" t="s">
        <v>1913</v>
      </c>
      <c r="F2565" s="196">
        <v>2018</v>
      </c>
      <c r="H2565" s="197" t="s">
        <v>2963</v>
      </c>
      <c r="I2565" s="184" t="s">
        <v>1879</v>
      </c>
      <c r="J2565" s="1" t="s">
        <v>13000</v>
      </c>
      <c r="K2565" s="196" t="s">
        <v>1881</v>
      </c>
      <c r="L2565" s="16" t="s">
        <v>3866</v>
      </c>
      <c r="M2565" s="196">
        <v>306</v>
      </c>
      <c r="O2565" s="257" t="s">
        <v>11803</v>
      </c>
      <c r="P2565" s="17">
        <v>363</v>
      </c>
      <c r="Q2565" s="245">
        <f t="shared" si="153"/>
        <v>4.3999999999999995</v>
      </c>
      <c r="R2565" s="245">
        <v>2.2000000000000002</v>
      </c>
      <c r="S2565" s="18">
        <v>6.6</v>
      </c>
    </row>
    <row r="2566" spans="1:19" x14ac:dyDescent="0.25">
      <c r="A2566" s="142">
        <v>2522</v>
      </c>
      <c r="B2566" s="196" t="s">
        <v>3369</v>
      </c>
      <c r="C2566" s="196" t="s">
        <v>13001</v>
      </c>
      <c r="D2566" s="196" t="s">
        <v>2209</v>
      </c>
      <c r="F2566" s="196">
        <v>2009</v>
      </c>
      <c r="H2566" s="1" t="s">
        <v>1878</v>
      </c>
      <c r="I2566" s="16" t="s">
        <v>1879</v>
      </c>
      <c r="K2566" s="196" t="s">
        <v>1881</v>
      </c>
      <c r="L2566" s="16" t="s">
        <v>13002</v>
      </c>
      <c r="M2566" s="196">
        <v>416</v>
      </c>
      <c r="O2566" s="257" t="s">
        <v>11804</v>
      </c>
      <c r="P2566" s="17">
        <v>342</v>
      </c>
      <c r="Q2566" s="245">
        <f t="shared" si="153"/>
        <v>2.6499999999999995</v>
      </c>
      <c r="R2566" s="245">
        <v>2.2000000000000002</v>
      </c>
      <c r="S2566" s="18">
        <v>4.8499999999999996</v>
      </c>
    </row>
    <row r="2567" spans="1:19" x14ac:dyDescent="0.25">
      <c r="A2567" s="142">
        <v>1327</v>
      </c>
      <c r="B2567" s="196" t="s">
        <v>12835</v>
      </c>
      <c r="C2567" s="196" t="s">
        <v>13003</v>
      </c>
      <c r="D2567" s="196" t="s">
        <v>2257</v>
      </c>
      <c r="F2567" s="196">
        <v>1985</v>
      </c>
      <c r="H2567" s="197" t="s">
        <v>2963</v>
      </c>
      <c r="I2567" s="184" t="s">
        <v>1879</v>
      </c>
      <c r="J2567" s="1" t="s">
        <v>13004</v>
      </c>
      <c r="K2567" s="196" t="s">
        <v>1881</v>
      </c>
      <c r="M2567" s="196">
        <v>626</v>
      </c>
      <c r="O2567" s="257" t="s">
        <v>11805</v>
      </c>
      <c r="P2567" s="17">
        <v>777</v>
      </c>
      <c r="Q2567" s="245">
        <f t="shared" ref="Q2567:Q2630" si="154">S2567-R2567</f>
        <v>1.9699999999999998</v>
      </c>
      <c r="R2567" s="245">
        <v>2.2000000000000002</v>
      </c>
      <c r="S2567" s="18">
        <v>4.17</v>
      </c>
    </row>
    <row r="2568" spans="1:19" x14ac:dyDescent="0.25">
      <c r="A2568" s="142">
        <v>2522</v>
      </c>
      <c r="B2568" s="196" t="s">
        <v>10419</v>
      </c>
      <c r="C2568" s="196" t="s">
        <v>13005</v>
      </c>
      <c r="D2568" s="196" t="s">
        <v>3077</v>
      </c>
      <c r="E2568" s="196" t="s">
        <v>2175</v>
      </c>
      <c r="F2568" s="196">
        <v>2006</v>
      </c>
      <c r="H2568" s="196" t="s">
        <v>1878</v>
      </c>
      <c r="I2568" s="16" t="s">
        <v>1879</v>
      </c>
      <c r="J2568" s="196" t="s">
        <v>13007</v>
      </c>
      <c r="K2568" s="196" t="s">
        <v>1881</v>
      </c>
      <c r="L2568" s="16" t="s">
        <v>13006</v>
      </c>
      <c r="M2568" s="196">
        <v>416</v>
      </c>
      <c r="O2568" s="257" t="s">
        <v>11806</v>
      </c>
      <c r="P2568" s="17">
        <v>322</v>
      </c>
      <c r="Q2568" s="245">
        <f t="shared" si="154"/>
        <v>2.88</v>
      </c>
      <c r="R2568" s="245">
        <v>2.2000000000000002</v>
      </c>
      <c r="S2568" s="18">
        <v>5.08</v>
      </c>
    </row>
    <row r="2569" spans="1:19" x14ac:dyDescent="0.25">
      <c r="A2569" s="142">
        <v>1386</v>
      </c>
      <c r="B2569" s="196" t="s">
        <v>13008</v>
      </c>
      <c r="C2569" s="196" t="s">
        <v>13009</v>
      </c>
      <c r="D2569" s="196" t="s">
        <v>2644</v>
      </c>
      <c r="F2569" s="196">
        <v>2000</v>
      </c>
      <c r="H2569" s="196" t="s">
        <v>1878</v>
      </c>
      <c r="I2569" s="16" t="s">
        <v>1879</v>
      </c>
      <c r="J2569" s="196" t="s">
        <v>11698</v>
      </c>
      <c r="K2569" s="196" t="s">
        <v>1881</v>
      </c>
      <c r="L2569" s="16" t="s">
        <v>13010</v>
      </c>
      <c r="M2569" s="196">
        <v>256</v>
      </c>
      <c r="O2569" s="257" t="s">
        <v>11807</v>
      </c>
      <c r="P2569" s="17">
        <v>220</v>
      </c>
      <c r="Q2569" s="245">
        <f t="shared" si="154"/>
        <v>1.6599999999999997</v>
      </c>
      <c r="R2569" s="245">
        <v>2.2000000000000002</v>
      </c>
      <c r="S2569" s="18">
        <v>3.86</v>
      </c>
    </row>
    <row r="2570" spans="1:19" x14ac:dyDescent="0.25">
      <c r="A2570" s="142">
        <v>1809</v>
      </c>
      <c r="B2570" s="196" t="s">
        <v>13011</v>
      </c>
      <c r="C2570" s="196" t="s">
        <v>13012</v>
      </c>
      <c r="D2570" s="196" t="s">
        <v>807</v>
      </c>
      <c r="F2570" s="196">
        <v>2014</v>
      </c>
      <c r="H2570" s="196" t="s">
        <v>1878</v>
      </c>
      <c r="I2570" s="16" t="s">
        <v>1879</v>
      </c>
      <c r="K2570" s="196" t="s">
        <v>1881</v>
      </c>
      <c r="L2570" s="16" t="s">
        <v>13013</v>
      </c>
      <c r="M2570" s="196">
        <v>288</v>
      </c>
      <c r="O2570" s="257" t="s">
        <v>11808</v>
      </c>
      <c r="P2570" s="17">
        <v>306</v>
      </c>
      <c r="Q2570" s="245">
        <f t="shared" si="154"/>
        <v>2.0300000000000002</v>
      </c>
      <c r="R2570" s="245">
        <v>2.2000000000000002</v>
      </c>
      <c r="S2570" s="18">
        <v>4.2300000000000004</v>
      </c>
    </row>
    <row r="2571" spans="1:19" x14ac:dyDescent="0.25">
      <c r="A2571" s="142">
        <v>297</v>
      </c>
      <c r="B2571" s="196" t="s">
        <v>13014</v>
      </c>
      <c r="C2571" s="196" t="s">
        <v>13015</v>
      </c>
      <c r="D2571" s="196" t="s">
        <v>1886</v>
      </c>
      <c r="F2571" s="196">
        <v>1997</v>
      </c>
      <c r="H2571" s="196" t="s">
        <v>1878</v>
      </c>
      <c r="I2571" s="16" t="s">
        <v>1879</v>
      </c>
      <c r="K2571" s="196" t="s">
        <v>1881</v>
      </c>
      <c r="L2571" s="16" t="s">
        <v>13016</v>
      </c>
      <c r="M2571" s="196">
        <v>128</v>
      </c>
      <c r="O2571" s="257" t="s">
        <v>11809</v>
      </c>
      <c r="P2571" s="17">
        <v>185</v>
      </c>
      <c r="Q2571" s="245">
        <f t="shared" si="154"/>
        <v>4.0999999999999996</v>
      </c>
      <c r="R2571" s="245">
        <v>2.2000000000000002</v>
      </c>
      <c r="S2571" s="18">
        <v>6.3</v>
      </c>
    </row>
    <row r="2572" spans="1:19" x14ac:dyDescent="0.25">
      <c r="A2572" s="142">
        <v>632</v>
      </c>
      <c r="B2572" s="196" t="s">
        <v>4593</v>
      </c>
      <c r="C2572" s="196" t="s">
        <v>13017</v>
      </c>
      <c r="D2572" s="196" t="s">
        <v>1920</v>
      </c>
      <c r="F2572" s="196">
        <v>2005</v>
      </c>
      <c r="H2572" s="196" t="s">
        <v>1878</v>
      </c>
      <c r="I2572" s="16" t="s">
        <v>1879</v>
      </c>
      <c r="K2572" s="196" t="s">
        <v>1881</v>
      </c>
      <c r="L2572" s="16" t="s">
        <v>13018</v>
      </c>
      <c r="M2572" s="196">
        <v>704</v>
      </c>
      <c r="O2572" s="257" t="s">
        <v>11810</v>
      </c>
      <c r="P2572" s="17">
        <v>583</v>
      </c>
      <c r="Q2572" s="245">
        <f t="shared" si="154"/>
        <v>1.9399999999999995</v>
      </c>
      <c r="R2572" s="245">
        <v>2.2000000000000002</v>
      </c>
      <c r="S2572" s="18">
        <v>4.1399999999999997</v>
      </c>
    </row>
    <row r="2573" spans="1:19" x14ac:dyDescent="0.25">
      <c r="A2573" s="142">
        <v>1395</v>
      </c>
      <c r="B2573" s="196" t="s">
        <v>13019</v>
      </c>
      <c r="C2573" s="196" t="s">
        <v>13020</v>
      </c>
      <c r="D2573" s="196" t="s">
        <v>1920</v>
      </c>
      <c r="F2573" s="196">
        <v>2013</v>
      </c>
      <c r="H2573" s="197" t="s">
        <v>2963</v>
      </c>
      <c r="I2573" s="184" t="s">
        <v>1879</v>
      </c>
      <c r="K2573" s="196" t="s">
        <v>1881</v>
      </c>
      <c r="M2573" s="196">
        <v>530</v>
      </c>
      <c r="O2573" s="257" t="s">
        <v>11811</v>
      </c>
      <c r="P2573" s="17">
        <v>473</v>
      </c>
      <c r="Q2573" s="245">
        <f t="shared" si="154"/>
        <v>2.0300000000000002</v>
      </c>
      <c r="R2573" s="245">
        <v>2.2000000000000002</v>
      </c>
      <c r="S2573" s="18">
        <v>4.2300000000000004</v>
      </c>
    </row>
    <row r="2574" spans="1:19" x14ac:dyDescent="0.25">
      <c r="A2574" s="142">
        <v>796</v>
      </c>
      <c r="B2574" s="196" t="s">
        <v>4479</v>
      </c>
      <c r="C2574" s="196" t="s">
        <v>13021</v>
      </c>
      <c r="D2574" s="196" t="s">
        <v>1912</v>
      </c>
      <c r="F2574" s="196">
        <v>2000</v>
      </c>
      <c r="H2574" s="1" t="s">
        <v>1878</v>
      </c>
      <c r="I2574" s="16" t="s">
        <v>1914</v>
      </c>
      <c r="K2574" s="196" t="s">
        <v>1881</v>
      </c>
      <c r="L2574" s="16" t="s">
        <v>13022</v>
      </c>
      <c r="M2574" s="196">
        <v>512</v>
      </c>
      <c r="O2574" s="257" t="s">
        <v>11812</v>
      </c>
      <c r="P2574" s="17">
        <v>339</v>
      </c>
      <c r="Q2574" s="245">
        <f t="shared" si="154"/>
        <v>1.0999999999999996</v>
      </c>
      <c r="R2574" s="245">
        <v>2.2000000000000002</v>
      </c>
      <c r="S2574" s="18">
        <v>3.3</v>
      </c>
    </row>
    <row r="2575" spans="1:19" x14ac:dyDescent="0.25">
      <c r="A2575" s="142">
        <v>691</v>
      </c>
      <c r="B2575" s="196" t="s">
        <v>13023</v>
      </c>
      <c r="C2575" s="196" t="s">
        <v>13024</v>
      </c>
      <c r="D2575" s="196" t="s">
        <v>9200</v>
      </c>
      <c r="F2575" s="196">
        <v>1993</v>
      </c>
      <c r="H2575" s="197" t="s">
        <v>2963</v>
      </c>
      <c r="I2575" s="184" t="s">
        <v>1879</v>
      </c>
      <c r="K2575" s="196" t="s">
        <v>1881</v>
      </c>
      <c r="L2575" s="16" t="s">
        <v>13025</v>
      </c>
      <c r="M2575" s="196">
        <v>66</v>
      </c>
      <c r="O2575" s="257" t="s">
        <v>11813</v>
      </c>
      <c r="P2575" s="17">
        <v>244</v>
      </c>
      <c r="Q2575" s="245">
        <f t="shared" si="154"/>
        <v>1.4</v>
      </c>
      <c r="R2575" s="245">
        <v>2.2000000000000002</v>
      </c>
      <c r="S2575" s="18">
        <v>3.6</v>
      </c>
    </row>
    <row r="2576" spans="1:19" x14ac:dyDescent="0.25">
      <c r="A2576" s="142">
        <v>1313</v>
      </c>
      <c r="B2576" s="196" t="s">
        <v>13026</v>
      </c>
      <c r="C2576" s="196" t="s">
        <v>13027</v>
      </c>
      <c r="D2576" s="196" t="s">
        <v>9200</v>
      </c>
      <c r="F2576" s="196">
        <v>1993</v>
      </c>
      <c r="H2576" s="197" t="s">
        <v>2963</v>
      </c>
      <c r="I2576" s="184" t="s">
        <v>1879</v>
      </c>
      <c r="K2576" s="196" t="s">
        <v>1881</v>
      </c>
      <c r="L2576" s="16" t="s">
        <v>13028</v>
      </c>
      <c r="M2576" s="196">
        <v>34</v>
      </c>
      <c r="O2576" s="257" t="s">
        <v>11814</v>
      </c>
      <c r="P2576" s="17">
        <v>177</v>
      </c>
      <c r="Q2576" s="245">
        <f t="shared" si="154"/>
        <v>9.8999999999999986</v>
      </c>
      <c r="R2576" s="245">
        <v>2.2000000000000002</v>
      </c>
      <c r="S2576" s="18">
        <v>12.1</v>
      </c>
    </row>
    <row r="2577" spans="1:19" x14ac:dyDescent="0.25">
      <c r="A2577" s="142">
        <v>691</v>
      </c>
      <c r="B2577" s="196" t="s">
        <v>13029</v>
      </c>
      <c r="C2577" s="196" t="s">
        <v>13030</v>
      </c>
      <c r="D2577" s="196" t="s">
        <v>13031</v>
      </c>
      <c r="E2577" s="196" t="s">
        <v>11207</v>
      </c>
      <c r="F2577" s="196">
        <v>2012</v>
      </c>
      <c r="H2577" s="196" t="s">
        <v>1878</v>
      </c>
      <c r="I2577" s="16" t="s">
        <v>1914</v>
      </c>
      <c r="J2577" s="196" t="s">
        <v>13032</v>
      </c>
      <c r="K2577" s="196" t="s">
        <v>1881</v>
      </c>
      <c r="L2577" s="16" t="s">
        <v>13033</v>
      </c>
      <c r="M2577" s="196">
        <v>96</v>
      </c>
      <c r="O2577" s="257" t="s">
        <v>11815</v>
      </c>
      <c r="P2577" s="17">
        <v>200</v>
      </c>
      <c r="Q2577" s="245">
        <f t="shared" si="154"/>
        <v>5.55</v>
      </c>
      <c r="R2577" s="245">
        <v>2.2000000000000002</v>
      </c>
      <c r="S2577" s="18">
        <v>7.75</v>
      </c>
    </row>
    <row r="2578" spans="1:19" x14ac:dyDescent="0.25">
      <c r="A2578" s="142">
        <v>691</v>
      </c>
      <c r="B2578" s="196" t="s">
        <v>13029</v>
      </c>
      <c r="C2578" s="196" t="s">
        <v>13034</v>
      </c>
      <c r="D2578" s="196" t="s">
        <v>13031</v>
      </c>
      <c r="E2578" s="196" t="s">
        <v>2157</v>
      </c>
      <c r="F2578" s="196">
        <v>2010</v>
      </c>
      <c r="H2578" s="196" t="s">
        <v>1878</v>
      </c>
      <c r="I2578" s="16" t="s">
        <v>1879</v>
      </c>
      <c r="K2578" s="196" t="s">
        <v>1881</v>
      </c>
      <c r="L2578" s="16" t="s">
        <v>13035</v>
      </c>
      <c r="M2578" s="196">
        <v>156</v>
      </c>
      <c r="O2578" s="257" t="s">
        <v>11816</v>
      </c>
      <c r="P2578" s="17">
        <v>326</v>
      </c>
      <c r="Q2578" s="245">
        <f t="shared" si="154"/>
        <v>3.5599999999999996</v>
      </c>
      <c r="R2578" s="245">
        <v>2.2000000000000002</v>
      </c>
      <c r="S2578" s="18">
        <v>5.76</v>
      </c>
    </row>
    <row r="2579" spans="1:19" x14ac:dyDescent="0.25">
      <c r="A2579" s="142">
        <v>691</v>
      </c>
      <c r="B2579" s="196" t="s">
        <v>952</v>
      </c>
      <c r="C2579" s="196" t="s">
        <v>13036</v>
      </c>
      <c r="D2579" s="196" t="s">
        <v>2644</v>
      </c>
      <c r="F2579" s="196">
        <v>1992</v>
      </c>
      <c r="H2579" s="197" t="s">
        <v>2963</v>
      </c>
      <c r="I2579" s="184" t="s">
        <v>1879</v>
      </c>
      <c r="K2579" s="196" t="s">
        <v>1881</v>
      </c>
      <c r="L2579" s="16" t="s">
        <v>13037</v>
      </c>
      <c r="M2579" s="196">
        <v>50</v>
      </c>
      <c r="O2579" s="257" t="s">
        <v>11817</v>
      </c>
      <c r="P2579" s="17">
        <v>254</v>
      </c>
      <c r="Q2579" s="245">
        <f t="shared" si="154"/>
        <v>1.77</v>
      </c>
      <c r="R2579" s="245">
        <v>2.2000000000000002</v>
      </c>
      <c r="S2579" s="18">
        <v>3.97</v>
      </c>
    </row>
    <row r="2580" spans="1:19" x14ac:dyDescent="0.25">
      <c r="A2580" s="142">
        <v>1395</v>
      </c>
      <c r="B2580" s="196" t="s">
        <v>8130</v>
      </c>
      <c r="C2580" s="196" t="s">
        <v>13038</v>
      </c>
      <c r="D2580" s="196" t="s">
        <v>2257</v>
      </c>
      <c r="F2580" s="196">
        <v>2008</v>
      </c>
      <c r="H2580" s="1" t="s">
        <v>1878</v>
      </c>
      <c r="I2580" s="16" t="s">
        <v>1879</v>
      </c>
      <c r="K2580" s="196" t="s">
        <v>1881</v>
      </c>
      <c r="L2580" s="16" t="s">
        <v>13039</v>
      </c>
      <c r="M2580" s="196">
        <v>480</v>
      </c>
      <c r="O2580" s="257" t="s">
        <v>11818</v>
      </c>
      <c r="P2580" s="17">
        <v>358</v>
      </c>
      <c r="Q2580" s="245">
        <f t="shared" si="154"/>
        <v>1.7399999999999998</v>
      </c>
      <c r="R2580" s="245">
        <v>2.2000000000000002</v>
      </c>
      <c r="S2580" s="18">
        <v>3.94</v>
      </c>
    </row>
    <row r="2581" spans="1:19" x14ac:dyDescent="0.25">
      <c r="A2581" s="142">
        <v>758</v>
      </c>
      <c r="B2581" s="196" t="s">
        <v>6291</v>
      </c>
      <c r="C2581" s="196" t="s">
        <v>6292</v>
      </c>
      <c r="D2581" s="196" t="s">
        <v>1912</v>
      </c>
      <c r="E2581" s="196" t="s">
        <v>1899</v>
      </c>
      <c r="F2581" s="196">
        <v>2005</v>
      </c>
      <c r="H2581" s="196" t="s">
        <v>1878</v>
      </c>
      <c r="I2581" s="16" t="s">
        <v>1879</v>
      </c>
      <c r="J2581" s="196" t="s">
        <v>13040</v>
      </c>
      <c r="K2581" s="196" t="s">
        <v>1881</v>
      </c>
      <c r="L2581" s="16" t="s">
        <v>6293</v>
      </c>
      <c r="M2581" s="196">
        <v>192</v>
      </c>
      <c r="O2581" s="257" t="s">
        <v>11819</v>
      </c>
      <c r="P2581" s="17">
        <v>191</v>
      </c>
      <c r="Q2581" s="245">
        <f t="shared" si="154"/>
        <v>2.2999999999999998</v>
      </c>
      <c r="R2581" s="245">
        <v>2.2000000000000002</v>
      </c>
      <c r="S2581" s="18">
        <v>4.5</v>
      </c>
    </row>
    <row r="2582" spans="1:19" x14ac:dyDescent="0.25">
      <c r="A2582" s="142">
        <v>758</v>
      </c>
      <c r="B2582" s="196" t="s">
        <v>13041</v>
      </c>
      <c r="C2582" s="196" t="s">
        <v>13042</v>
      </c>
      <c r="D2582" s="196" t="s">
        <v>2068</v>
      </c>
      <c r="F2582" s="196">
        <v>1998</v>
      </c>
      <c r="H2582" s="196" t="s">
        <v>1878</v>
      </c>
      <c r="I2582" s="16" t="s">
        <v>1914</v>
      </c>
      <c r="K2582" s="196" t="s">
        <v>1881</v>
      </c>
      <c r="L2582" s="16" t="s">
        <v>13043</v>
      </c>
      <c r="M2582" s="196">
        <v>136</v>
      </c>
      <c r="O2582" s="257" t="s">
        <v>11820</v>
      </c>
      <c r="P2582" s="17">
        <v>362</v>
      </c>
      <c r="Q2582" s="245">
        <f t="shared" si="154"/>
        <v>3.9799999999999995</v>
      </c>
      <c r="R2582" s="245">
        <v>2.2000000000000002</v>
      </c>
      <c r="S2582" s="18">
        <v>6.18</v>
      </c>
    </row>
    <row r="2583" spans="1:19" x14ac:dyDescent="0.25">
      <c r="A2583" s="142">
        <v>1395</v>
      </c>
      <c r="B2583" s="196" t="s">
        <v>13045</v>
      </c>
      <c r="C2583" s="196" t="s">
        <v>13044</v>
      </c>
      <c r="D2583" s="196"/>
      <c r="F2583" s="196">
        <v>1997</v>
      </c>
      <c r="H2583" s="196" t="s">
        <v>1878</v>
      </c>
      <c r="I2583" s="16" t="s">
        <v>1879</v>
      </c>
      <c r="K2583" s="196" t="s">
        <v>1881</v>
      </c>
      <c r="M2583" s="196">
        <v>160</v>
      </c>
      <c r="O2583" s="257" t="s">
        <v>11821</v>
      </c>
      <c r="P2583" s="17">
        <v>265</v>
      </c>
      <c r="Q2583" s="245">
        <f t="shared" si="154"/>
        <v>11.8</v>
      </c>
      <c r="R2583" s="245">
        <v>2.2000000000000002</v>
      </c>
      <c r="S2583" s="18">
        <v>14</v>
      </c>
    </row>
    <row r="2584" spans="1:19" x14ac:dyDescent="0.25">
      <c r="A2584" s="142">
        <v>1386</v>
      </c>
      <c r="B2584" s="196" t="s">
        <v>13046</v>
      </c>
      <c r="C2584" s="196" t="s">
        <v>13047</v>
      </c>
      <c r="D2584" s="196" t="s">
        <v>1886</v>
      </c>
      <c r="E2584" s="196" t="s">
        <v>1913</v>
      </c>
      <c r="F2584" s="196">
        <v>2000</v>
      </c>
      <c r="H2584" s="197" t="s">
        <v>2963</v>
      </c>
      <c r="I2584" s="184" t="s">
        <v>1879</v>
      </c>
      <c r="K2584" s="196" t="s">
        <v>1881</v>
      </c>
      <c r="L2584" s="16" t="s">
        <v>13048</v>
      </c>
      <c r="M2584" s="196">
        <v>402</v>
      </c>
      <c r="O2584" s="257" t="s">
        <v>11822</v>
      </c>
      <c r="P2584" s="17">
        <v>547</v>
      </c>
      <c r="Q2584" s="245">
        <f t="shared" si="154"/>
        <v>2.12</v>
      </c>
      <c r="R2584" s="245">
        <v>2.2000000000000002</v>
      </c>
      <c r="S2584" s="18">
        <v>4.32</v>
      </c>
    </row>
    <row r="2585" spans="1:19" x14ac:dyDescent="0.25">
      <c r="A2585" s="142">
        <v>1352</v>
      </c>
      <c r="B2585" s="196" t="s">
        <v>13049</v>
      </c>
      <c r="C2585" s="196" t="s">
        <v>13050</v>
      </c>
      <c r="D2585" s="196" t="s">
        <v>5005</v>
      </c>
      <c r="F2585" s="196">
        <v>1962</v>
      </c>
      <c r="H2585" s="197" t="s">
        <v>2963</v>
      </c>
      <c r="I2585" s="16" t="s">
        <v>1914</v>
      </c>
      <c r="J2585" s="1" t="s">
        <v>2505</v>
      </c>
      <c r="K2585" s="196" t="s">
        <v>1881</v>
      </c>
      <c r="M2585" s="196">
        <v>354</v>
      </c>
      <c r="O2585" s="257" t="s">
        <v>11823</v>
      </c>
      <c r="P2585" s="17">
        <v>398</v>
      </c>
      <c r="Q2585" s="245">
        <f t="shared" si="154"/>
        <v>1.4</v>
      </c>
      <c r="R2585" s="245">
        <v>2.2000000000000002</v>
      </c>
      <c r="S2585" s="18">
        <v>3.6</v>
      </c>
    </row>
    <row r="2586" spans="1:19" x14ac:dyDescent="0.25">
      <c r="A2586" s="142">
        <v>689</v>
      </c>
      <c r="B2586" s="196" t="s">
        <v>2870</v>
      </c>
      <c r="C2586" s="196" t="s">
        <v>13051</v>
      </c>
      <c r="D2586" s="196" t="s">
        <v>2054</v>
      </c>
      <c r="H2586" s="197" t="s">
        <v>2963</v>
      </c>
      <c r="I2586" s="184" t="s">
        <v>1879</v>
      </c>
      <c r="K2586" s="196" t="s">
        <v>1881</v>
      </c>
      <c r="M2586" s="196">
        <v>386</v>
      </c>
      <c r="O2586" s="257" t="s">
        <v>11824</v>
      </c>
      <c r="P2586" s="17">
        <v>439</v>
      </c>
      <c r="Q2586" s="245">
        <f t="shared" si="154"/>
        <v>1.65</v>
      </c>
      <c r="R2586" s="245">
        <v>2.2000000000000002</v>
      </c>
      <c r="S2586" s="18">
        <v>3.85</v>
      </c>
    </row>
    <row r="2587" spans="1:19" x14ac:dyDescent="0.25">
      <c r="A2587" s="142">
        <v>689</v>
      </c>
      <c r="B2587" s="196" t="s">
        <v>13052</v>
      </c>
      <c r="C2587" s="196" t="s">
        <v>13053</v>
      </c>
      <c r="D2587" s="196" t="s">
        <v>13054</v>
      </c>
      <c r="F2587" s="196">
        <v>1984</v>
      </c>
      <c r="H2587" s="1" t="s">
        <v>1878</v>
      </c>
      <c r="I2587" s="16" t="s">
        <v>1914</v>
      </c>
      <c r="J2587" s="1" t="s">
        <v>13007</v>
      </c>
      <c r="K2587" s="196" t="s">
        <v>1881</v>
      </c>
      <c r="L2587" s="16" t="s">
        <v>13055</v>
      </c>
      <c r="M2587" s="196">
        <v>432</v>
      </c>
      <c r="O2587" s="257" t="s">
        <v>11825</v>
      </c>
      <c r="P2587" s="17">
        <v>293</v>
      </c>
      <c r="Q2587" s="245">
        <f t="shared" si="154"/>
        <v>7.29</v>
      </c>
      <c r="R2587" s="245">
        <v>2.2000000000000002</v>
      </c>
      <c r="S2587" s="18">
        <v>9.49</v>
      </c>
    </row>
    <row r="2588" spans="1:19" x14ac:dyDescent="0.25">
      <c r="A2588" s="142">
        <v>692</v>
      </c>
      <c r="B2588" s="196" t="s">
        <v>13056</v>
      </c>
      <c r="C2588" s="196" t="s">
        <v>13057</v>
      </c>
      <c r="D2588" s="196" t="s">
        <v>2309</v>
      </c>
      <c r="H2588" s="197" t="s">
        <v>2963</v>
      </c>
      <c r="I2588" s="16" t="s">
        <v>1914</v>
      </c>
      <c r="J2588" s="1" t="s">
        <v>13058</v>
      </c>
      <c r="K2588" s="196" t="s">
        <v>1881</v>
      </c>
      <c r="M2588" s="196">
        <v>162</v>
      </c>
      <c r="O2588" s="257" t="s">
        <v>11826</v>
      </c>
      <c r="P2588" s="17">
        <v>240</v>
      </c>
      <c r="Q2588" s="245">
        <f t="shared" si="154"/>
        <v>1.1999999999999997</v>
      </c>
      <c r="R2588" s="245">
        <v>2.2000000000000002</v>
      </c>
      <c r="S2588" s="18">
        <v>3.4</v>
      </c>
    </row>
    <row r="2589" spans="1:19" x14ac:dyDescent="0.25">
      <c r="A2589" s="142">
        <v>632</v>
      </c>
      <c r="B2589" s="196" t="s">
        <v>7258</v>
      </c>
      <c r="C2589" s="196" t="s">
        <v>9069</v>
      </c>
      <c r="D2589" s="196" t="s">
        <v>2257</v>
      </c>
      <c r="F2589" s="196">
        <v>1990</v>
      </c>
      <c r="H2589" s="1" t="s">
        <v>1878</v>
      </c>
      <c r="I2589" s="16" t="s">
        <v>1914</v>
      </c>
      <c r="K2589" s="196" t="s">
        <v>1881</v>
      </c>
      <c r="L2589" s="16" t="s">
        <v>13059</v>
      </c>
      <c r="M2589" s="196">
        <v>640</v>
      </c>
      <c r="O2589" s="257" t="s">
        <v>11827</v>
      </c>
      <c r="P2589" s="17">
        <v>346</v>
      </c>
      <c r="Q2589" s="245">
        <f t="shared" si="154"/>
        <v>1.79</v>
      </c>
      <c r="R2589" s="245">
        <v>2.2000000000000002</v>
      </c>
      <c r="S2589" s="18">
        <v>3.99</v>
      </c>
    </row>
    <row r="2590" spans="1:19" x14ac:dyDescent="0.25">
      <c r="A2590" s="142">
        <v>1875</v>
      </c>
      <c r="B2590" s="196" t="s">
        <v>13060</v>
      </c>
      <c r="C2590" s="196" t="s">
        <v>13061</v>
      </c>
      <c r="D2590" s="196" t="s">
        <v>10999</v>
      </c>
      <c r="H2590" s="196" t="s">
        <v>1878</v>
      </c>
      <c r="I2590" s="16" t="s">
        <v>1879</v>
      </c>
      <c r="K2590" s="196" t="s">
        <v>1881</v>
      </c>
      <c r="L2590" s="16" t="s">
        <v>13062</v>
      </c>
      <c r="M2590" s="196">
        <v>160</v>
      </c>
      <c r="O2590" s="257" t="s">
        <v>11828</v>
      </c>
      <c r="P2590" s="17">
        <v>142</v>
      </c>
      <c r="Q2590" s="245">
        <f t="shared" si="154"/>
        <v>2.8</v>
      </c>
      <c r="R2590" s="245">
        <v>2.2000000000000002</v>
      </c>
      <c r="S2590" s="18">
        <v>5</v>
      </c>
    </row>
    <row r="2591" spans="1:19" x14ac:dyDescent="0.25">
      <c r="A2591" s="142">
        <v>46</v>
      </c>
      <c r="B2591" s="196" t="s">
        <v>13063</v>
      </c>
      <c r="C2591" s="196" t="s">
        <v>13064</v>
      </c>
      <c r="D2591" s="196" t="s">
        <v>1876</v>
      </c>
      <c r="E2591" s="196" t="s">
        <v>2922</v>
      </c>
      <c r="F2591" s="1">
        <v>2004</v>
      </c>
      <c r="H2591" s="196" t="s">
        <v>1878</v>
      </c>
      <c r="I2591" s="16" t="s">
        <v>1879</v>
      </c>
      <c r="K2591" s="196" t="s">
        <v>1881</v>
      </c>
      <c r="L2591" s="16" t="s">
        <v>13065</v>
      </c>
      <c r="M2591" s="196">
        <v>352</v>
      </c>
      <c r="O2591" s="257" t="s">
        <v>11829</v>
      </c>
      <c r="P2591" s="17">
        <v>322</v>
      </c>
      <c r="Q2591" s="245">
        <f t="shared" si="154"/>
        <v>2.75</v>
      </c>
      <c r="R2591" s="245">
        <v>2.2000000000000002</v>
      </c>
      <c r="S2591" s="18">
        <v>4.95</v>
      </c>
    </row>
    <row r="2592" spans="1:19" x14ac:dyDescent="0.25">
      <c r="A2592" s="142">
        <v>1327</v>
      </c>
      <c r="B2592" s="196" t="s">
        <v>3949</v>
      </c>
      <c r="C2592" s="196" t="s">
        <v>13066</v>
      </c>
      <c r="D2592" s="196" t="s">
        <v>2054</v>
      </c>
      <c r="F2592" s="196">
        <v>2004</v>
      </c>
      <c r="H2592" s="197" t="s">
        <v>2963</v>
      </c>
      <c r="I2592" s="184" t="s">
        <v>1879</v>
      </c>
      <c r="J2592" s="182"/>
      <c r="K2592" s="196" t="s">
        <v>1881</v>
      </c>
      <c r="L2592" s="16" t="s">
        <v>13067</v>
      </c>
      <c r="M2592" s="196">
        <v>546</v>
      </c>
      <c r="O2592" s="257" t="s">
        <v>11830</v>
      </c>
      <c r="P2592" s="17">
        <v>620</v>
      </c>
      <c r="Q2592" s="245">
        <f t="shared" si="154"/>
        <v>2.75</v>
      </c>
      <c r="R2592" s="245">
        <v>2.2000000000000002</v>
      </c>
      <c r="S2592" s="18">
        <v>4.95</v>
      </c>
    </row>
    <row r="2593" spans="1:34" s="220" customFormat="1" x14ac:dyDescent="0.25">
      <c r="A2593" s="214">
        <v>763</v>
      </c>
      <c r="B2593" s="214" t="s">
        <v>13068</v>
      </c>
      <c r="C2593" s="214" t="s">
        <v>13069</v>
      </c>
      <c r="D2593" s="214" t="s">
        <v>5005</v>
      </c>
      <c r="E2593" s="214"/>
      <c r="F2593" s="214">
        <v>1965</v>
      </c>
      <c r="G2593" s="214"/>
      <c r="H2593" s="197" t="s">
        <v>2963</v>
      </c>
      <c r="I2593" s="215" t="s">
        <v>6422</v>
      </c>
      <c r="J2593" s="214" t="s">
        <v>13073</v>
      </c>
      <c r="K2593" s="214" t="s">
        <v>1881</v>
      </c>
      <c r="L2593" s="215"/>
      <c r="M2593" s="214">
        <v>738</v>
      </c>
      <c r="N2593" s="214"/>
      <c r="O2593" s="179" t="s">
        <v>11831</v>
      </c>
      <c r="P2593" s="216">
        <v>1220</v>
      </c>
      <c r="Q2593" s="252">
        <f t="shared" si="154"/>
        <v>1.7999999999999998</v>
      </c>
      <c r="R2593" s="252">
        <v>2.2000000000000002</v>
      </c>
      <c r="S2593" s="202">
        <v>4</v>
      </c>
      <c r="T2593" s="202"/>
      <c r="U2593" s="261"/>
      <c r="V2593" s="261"/>
      <c r="W2593" s="202"/>
      <c r="X2593" s="179"/>
      <c r="Y2593" s="179"/>
      <c r="Z2593" s="179"/>
      <c r="AA2593" s="179"/>
      <c r="AB2593" s="179"/>
      <c r="AC2593" s="179"/>
      <c r="AD2593" s="179"/>
      <c r="AH2593" s="221"/>
    </row>
    <row r="2594" spans="1:34" x14ac:dyDescent="0.25">
      <c r="A2594" s="142">
        <v>5</v>
      </c>
      <c r="B2594" s="196" t="s">
        <v>13072</v>
      </c>
      <c r="C2594" s="196" t="s">
        <v>13070</v>
      </c>
      <c r="D2594" s="196" t="s">
        <v>13071</v>
      </c>
      <c r="F2594" s="196">
        <v>1960</v>
      </c>
      <c r="H2594" s="197" t="s">
        <v>2963</v>
      </c>
      <c r="I2594" s="16" t="s">
        <v>1914</v>
      </c>
      <c r="K2594" s="196" t="s">
        <v>1881</v>
      </c>
      <c r="M2594" s="196">
        <v>314</v>
      </c>
      <c r="O2594" s="257" t="s">
        <v>11832</v>
      </c>
      <c r="P2594" s="17">
        <v>400</v>
      </c>
      <c r="Q2594" s="245">
        <f t="shared" si="154"/>
        <v>0.89999999999999991</v>
      </c>
      <c r="R2594" s="245">
        <v>2.2000000000000002</v>
      </c>
      <c r="S2594" s="18">
        <v>3.1</v>
      </c>
    </row>
    <row r="2595" spans="1:34" x14ac:dyDescent="0.25">
      <c r="A2595" s="142">
        <v>1327</v>
      </c>
      <c r="B2595" s="196" t="s">
        <v>13074</v>
      </c>
      <c r="C2595" s="196" t="s">
        <v>13075</v>
      </c>
      <c r="D2595" s="196" t="s">
        <v>2609</v>
      </c>
      <c r="F2595" s="196">
        <v>1969</v>
      </c>
      <c r="H2595" s="1" t="s">
        <v>1878</v>
      </c>
      <c r="I2595" s="16" t="s">
        <v>1914</v>
      </c>
      <c r="K2595" s="196" t="s">
        <v>1881</v>
      </c>
      <c r="M2595" s="196">
        <v>158</v>
      </c>
      <c r="O2595" s="257" t="s">
        <v>11833</v>
      </c>
      <c r="P2595" s="17">
        <v>109</v>
      </c>
      <c r="Q2595" s="245">
        <f t="shared" si="154"/>
        <v>3.5599999999999996</v>
      </c>
      <c r="R2595" s="245">
        <v>2.2000000000000002</v>
      </c>
      <c r="S2595" s="18">
        <v>5.76</v>
      </c>
    </row>
    <row r="2596" spans="1:34" x14ac:dyDescent="0.25">
      <c r="A2596" s="142">
        <v>1849</v>
      </c>
      <c r="B2596" s="196" t="s">
        <v>13076</v>
      </c>
      <c r="C2596" s="196" t="s">
        <v>13077</v>
      </c>
      <c r="D2596" s="196" t="s">
        <v>13078</v>
      </c>
      <c r="E2596" s="196" t="s">
        <v>1877</v>
      </c>
      <c r="F2596" s="196">
        <v>1872</v>
      </c>
      <c r="H2596" s="197" t="s">
        <v>2963</v>
      </c>
      <c r="I2596" s="184" t="s">
        <v>1879</v>
      </c>
      <c r="K2596" s="196" t="s">
        <v>13079</v>
      </c>
      <c r="M2596" s="196">
        <v>182</v>
      </c>
      <c r="O2596" s="257" t="s">
        <v>11834</v>
      </c>
      <c r="P2596" s="17">
        <v>159</v>
      </c>
      <c r="Q2596" s="245">
        <f t="shared" si="154"/>
        <v>33.79</v>
      </c>
      <c r="R2596" s="245">
        <v>2.2000000000000002</v>
      </c>
      <c r="S2596" s="18">
        <v>35.99</v>
      </c>
    </row>
    <row r="2597" spans="1:34" x14ac:dyDescent="0.25">
      <c r="A2597" s="142">
        <v>1327</v>
      </c>
      <c r="B2597" s="196" t="s">
        <v>13080</v>
      </c>
      <c r="C2597" s="196" t="s">
        <v>13081</v>
      </c>
      <c r="D2597" s="196" t="s">
        <v>2901</v>
      </c>
      <c r="F2597" s="196">
        <v>1958</v>
      </c>
      <c r="H2597" s="197" t="s">
        <v>2963</v>
      </c>
      <c r="I2597" s="16" t="s">
        <v>1914</v>
      </c>
      <c r="J2597" s="1" t="s">
        <v>2505</v>
      </c>
      <c r="K2597" s="196" t="s">
        <v>11538</v>
      </c>
      <c r="M2597" s="196">
        <v>450</v>
      </c>
      <c r="O2597" s="257" t="s">
        <v>11835</v>
      </c>
      <c r="P2597" s="17">
        <v>573</v>
      </c>
      <c r="Q2597" s="245">
        <f t="shared" si="154"/>
        <v>3.8099999999999996</v>
      </c>
      <c r="R2597" s="245">
        <v>2.2000000000000002</v>
      </c>
      <c r="S2597" s="18">
        <v>6.01</v>
      </c>
    </row>
    <row r="2598" spans="1:34" x14ac:dyDescent="0.25">
      <c r="A2598" s="142">
        <v>1327</v>
      </c>
      <c r="B2598" s="196" t="s">
        <v>13082</v>
      </c>
      <c r="C2598" s="196" t="s">
        <v>13083</v>
      </c>
      <c r="D2598" s="196" t="s">
        <v>13084</v>
      </c>
      <c r="F2598" s="196">
        <v>1971</v>
      </c>
      <c r="H2598" s="197" t="s">
        <v>2963</v>
      </c>
      <c r="I2598" s="184" t="s">
        <v>1914</v>
      </c>
      <c r="J2598" s="1" t="s">
        <v>13085</v>
      </c>
      <c r="K2598" s="196" t="s">
        <v>1881</v>
      </c>
      <c r="M2598" s="196">
        <v>338</v>
      </c>
      <c r="O2598" s="257" t="s">
        <v>11836</v>
      </c>
      <c r="P2598" s="17">
        <v>449</v>
      </c>
      <c r="Q2598" s="245">
        <f t="shared" si="154"/>
        <v>5.05</v>
      </c>
      <c r="R2598" s="245">
        <v>2.2000000000000002</v>
      </c>
      <c r="S2598" s="18">
        <v>7.25</v>
      </c>
    </row>
    <row r="2599" spans="1:34" x14ac:dyDescent="0.25">
      <c r="A2599" s="142">
        <v>481</v>
      </c>
      <c r="B2599" s="196" t="s">
        <v>13086</v>
      </c>
      <c r="C2599" s="196" t="s">
        <v>13087</v>
      </c>
      <c r="D2599" s="196" t="s">
        <v>13088</v>
      </c>
      <c r="E2599" s="196" t="s">
        <v>1877</v>
      </c>
      <c r="F2599" s="196">
        <v>1983</v>
      </c>
      <c r="H2599" s="197" t="s">
        <v>2963</v>
      </c>
      <c r="I2599" s="184" t="s">
        <v>1914</v>
      </c>
      <c r="K2599" s="196" t="s">
        <v>1881</v>
      </c>
      <c r="M2599" s="196">
        <v>134</v>
      </c>
      <c r="O2599" s="257" t="s">
        <v>11837</v>
      </c>
      <c r="P2599" s="17">
        <v>465</v>
      </c>
      <c r="Q2599" s="245">
        <f t="shared" si="154"/>
        <v>2.3999999999999995</v>
      </c>
      <c r="R2599" s="245">
        <v>2.2000000000000002</v>
      </c>
      <c r="S2599" s="18">
        <v>4.5999999999999996</v>
      </c>
    </row>
    <row r="2600" spans="1:34" x14ac:dyDescent="0.25">
      <c r="A2600" s="142">
        <v>1875</v>
      </c>
      <c r="B2600" s="196" t="s">
        <v>13089</v>
      </c>
      <c r="C2600" s="196" t="s">
        <v>13090</v>
      </c>
      <c r="D2600" s="196" t="s">
        <v>3709</v>
      </c>
      <c r="F2600" s="196">
        <v>2005</v>
      </c>
      <c r="H2600" s="197" t="s">
        <v>2963</v>
      </c>
      <c r="I2600" s="16" t="s">
        <v>1879</v>
      </c>
      <c r="J2600" s="1" t="s">
        <v>13091</v>
      </c>
      <c r="K2600" s="196" t="s">
        <v>1881</v>
      </c>
      <c r="L2600" s="16" t="s">
        <v>13092</v>
      </c>
      <c r="O2600" s="257" t="s">
        <v>11838</v>
      </c>
      <c r="P2600" s="17">
        <v>226</v>
      </c>
      <c r="Q2600" s="245">
        <f t="shared" si="154"/>
        <v>0.7799999999999998</v>
      </c>
      <c r="R2600" s="245">
        <v>2.2000000000000002</v>
      </c>
      <c r="S2600" s="18">
        <v>2.98</v>
      </c>
    </row>
    <row r="2601" spans="1:34" x14ac:dyDescent="0.25">
      <c r="A2601" s="142">
        <v>1339</v>
      </c>
      <c r="B2601" s="196" t="s">
        <v>13093</v>
      </c>
      <c r="C2601" s="196" t="s">
        <v>13094</v>
      </c>
      <c r="F2601" s="196">
        <v>1981</v>
      </c>
      <c r="H2601" s="1" t="s">
        <v>1878</v>
      </c>
      <c r="I2601" s="16" t="s">
        <v>1914</v>
      </c>
      <c r="J2601" s="196" t="s">
        <v>13095</v>
      </c>
      <c r="K2601" s="196" t="s">
        <v>1881</v>
      </c>
      <c r="M2601" s="196">
        <v>96</v>
      </c>
      <c r="O2601" s="257" t="s">
        <v>11839</v>
      </c>
      <c r="P2601" s="17">
        <v>180</v>
      </c>
      <c r="Q2601" s="245">
        <f t="shared" si="154"/>
        <v>2.7</v>
      </c>
      <c r="R2601" s="245">
        <v>2.2000000000000002</v>
      </c>
      <c r="S2601" s="18">
        <v>4.9000000000000004</v>
      </c>
    </row>
    <row r="2602" spans="1:34" x14ac:dyDescent="0.25">
      <c r="A2602" s="142">
        <v>948</v>
      </c>
      <c r="B2602" s="196" t="s">
        <v>13096</v>
      </c>
      <c r="C2602" s="196" t="s">
        <v>13097</v>
      </c>
      <c r="D2602" s="196" t="s">
        <v>13098</v>
      </c>
      <c r="F2602" s="196">
        <v>1982</v>
      </c>
      <c r="H2602" s="197" t="s">
        <v>2963</v>
      </c>
      <c r="I2602" s="184" t="s">
        <v>1879</v>
      </c>
      <c r="K2602" s="196" t="s">
        <v>1881</v>
      </c>
      <c r="M2602" s="196">
        <v>258</v>
      </c>
      <c r="O2602" s="257" t="s">
        <v>11840</v>
      </c>
      <c r="P2602" s="17">
        <v>403</v>
      </c>
      <c r="Q2602" s="245">
        <f t="shared" si="154"/>
        <v>8.8000000000000007</v>
      </c>
      <c r="R2602" s="245">
        <v>2.2000000000000002</v>
      </c>
      <c r="S2602" s="18">
        <v>11</v>
      </c>
    </row>
    <row r="2603" spans="1:34" x14ac:dyDescent="0.25">
      <c r="A2603" s="142">
        <v>1327</v>
      </c>
      <c r="B2603" s="196" t="s">
        <v>13099</v>
      </c>
      <c r="C2603" s="196" t="s">
        <v>13100</v>
      </c>
      <c r="D2603" s="196" t="s">
        <v>10930</v>
      </c>
      <c r="E2603" s="196" t="s">
        <v>1877</v>
      </c>
      <c r="F2603" s="196">
        <v>1962</v>
      </c>
      <c r="H2603" s="197" t="s">
        <v>2963</v>
      </c>
      <c r="I2603" s="184" t="s">
        <v>1914</v>
      </c>
      <c r="K2603" s="196" t="s">
        <v>1881</v>
      </c>
      <c r="M2603" s="196">
        <v>514</v>
      </c>
      <c r="O2603" s="257" t="s">
        <v>11841</v>
      </c>
      <c r="P2603" s="17">
        <v>667</v>
      </c>
      <c r="Q2603" s="245">
        <f t="shared" si="154"/>
        <v>31.8</v>
      </c>
      <c r="R2603" s="245">
        <v>2.2000000000000002</v>
      </c>
      <c r="S2603" s="18">
        <v>34</v>
      </c>
    </row>
    <row r="2604" spans="1:34" x14ac:dyDescent="0.25">
      <c r="A2604" s="142">
        <v>760</v>
      </c>
      <c r="B2604" s="196" t="s">
        <v>13102</v>
      </c>
      <c r="C2604" s="196" t="s">
        <v>13101</v>
      </c>
      <c r="D2604" s="196" t="s">
        <v>5005</v>
      </c>
      <c r="H2604" s="197" t="s">
        <v>2963</v>
      </c>
      <c r="I2604" s="184" t="s">
        <v>1914</v>
      </c>
      <c r="K2604" s="196" t="s">
        <v>1881</v>
      </c>
      <c r="M2604" s="196">
        <v>330</v>
      </c>
      <c r="O2604" s="257" t="s">
        <v>11842</v>
      </c>
      <c r="P2604" s="17">
        <v>402</v>
      </c>
      <c r="Q2604" s="245">
        <f t="shared" si="154"/>
        <v>3.0999999999999996</v>
      </c>
      <c r="R2604" s="245">
        <v>2.2000000000000002</v>
      </c>
      <c r="S2604" s="18">
        <v>5.3</v>
      </c>
    </row>
    <row r="2605" spans="1:34" x14ac:dyDescent="0.25">
      <c r="A2605" s="142">
        <v>722</v>
      </c>
      <c r="B2605" s="196" t="s">
        <v>13103</v>
      </c>
      <c r="C2605" s="196" t="s">
        <v>13104</v>
      </c>
      <c r="D2605" s="196" t="s">
        <v>4693</v>
      </c>
      <c r="E2605" s="196" t="s">
        <v>1877</v>
      </c>
      <c r="F2605" s="196">
        <v>1990</v>
      </c>
      <c r="H2605" s="196" t="s">
        <v>1878</v>
      </c>
      <c r="I2605" s="16" t="s">
        <v>1914</v>
      </c>
      <c r="K2605" s="196" t="s">
        <v>1881</v>
      </c>
      <c r="L2605" s="16" t="s">
        <v>13105</v>
      </c>
      <c r="M2605" s="196">
        <v>64</v>
      </c>
      <c r="O2605" s="257" t="s">
        <v>11843</v>
      </c>
      <c r="P2605" s="17">
        <v>161</v>
      </c>
      <c r="Q2605" s="245">
        <f t="shared" si="154"/>
        <v>0.69999999999999973</v>
      </c>
      <c r="R2605" s="245">
        <v>2.2000000000000002</v>
      </c>
      <c r="S2605" s="18">
        <v>2.9</v>
      </c>
    </row>
    <row r="2606" spans="1:34" x14ac:dyDescent="0.25">
      <c r="A2606" s="142">
        <v>655</v>
      </c>
      <c r="B2606" s="196" t="s">
        <v>13106</v>
      </c>
      <c r="C2606" s="196" t="s">
        <v>13107</v>
      </c>
      <c r="D2606" s="196" t="s">
        <v>2609</v>
      </c>
      <c r="E2606" s="196" t="s">
        <v>4477</v>
      </c>
      <c r="F2606" s="196" t="s">
        <v>13108</v>
      </c>
      <c r="H2606" s="197" t="s">
        <v>2963</v>
      </c>
      <c r="I2606" s="184" t="s">
        <v>1914</v>
      </c>
      <c r="J2606" s="1" t="s">
        <v>12878</v>
      </c>
      <c r="K2606" s="196" t="s">
        <v>1881</v>
      </c>
      <c r="M2606" s="196">
        <v>470</v>
      </c>
      <c r="O2606" s="257" t="s">
        <v>11844</v>
      </c>
      <c r="P2606" s="17">
        <v>484</v>
      </c>
      <c r="Q2606" s="245">
        <f t="shared" si="154"/>
        <v>1.3699999999999997</v>
      </c>
      <c r="R2606" s="245">
        <v>2.2000000000000002</v>
      </c>
      <c r="S2606" s="18">
        <v>3.57</v>
      </c>
    </row>
    <row r="2607" spans="1:34" x14ac:dyDescent="0.25">
      <c r="A2607" s="142">
        <v>1875</v>
      </c>
      <c r="B2607" s="196" t="s">
        <v>13109</v>
      </c>
      <c r="C2607" s="196" t="s">
        <v>13110</v>
      </c>
      <c r="D2607" s="196" t="s">
        <v>13111</v>
      </c>
      <c r="E2607" s="196" t="s">
        <v>2175</v>
      </c>
      <c r="F2607" s="196">
        <v>2001</v>
      </c>
      <c r="H2607" s="197" t="s">
        <v>2963</v>
      </c>
      <c r="I2607" s="16" t="s">
        <v>1879</v>
      </c>
      <c r="K2607" s="196" t="s">
        <v>1881</v>
      </c>
      <c r="L2607" s="16" t="s">
        <v>13112</v>
      </c>
      <c r="M2607" s="196">
        <v>50</v>
      </c>
      <c r="O2607" s="257" t="s">
        <v>11845</v>
      </c>
      <c r="P2607" s="17">
        <v>172</v>
      </c>
      <c r="Q2607" s="245">
        <f t="shared" si="154"/>
        <v>1.7999999999999998</v>
      </c>
      <c r="R2607" s="245">
        <v>2.2000000000000002</v>
      </c>
      <c r="S2607" s="18">
        <v>4</v>
      </c>
    </row>
    <row r="2608" spans="1:34" x14ac:dyDescent="0.25">
      <c r="A2608" s="142">
        <v>2852</v>
      </c>
      <c r="B2608" s="196" t="s">
        <v>13113</v>
      </c>
      <c r="C2608" s="196" t="s">
        <v>13114</v>
      </c>
      <c r="D2608" s="196" t="s">
        <v>13115</v>
      </c>
      <c r="E2608" s="196" t="s">
        <v>2518</v>
      </c>
      <c r="F2608" s="196">
        <v>1964</v>
      </c>
      <c r="H2608" s="196" t="s">
        <v>2116</v>
      </c>
      <c r="I2608" s="16" t="s">
        <v>6422</v>
      </c>
      <c r="K2608" s="196" t="s">
        <v>1881</v>
      </c>
      <c r="M2608" s="196">
        <v>72</v>
      </c>
      <c r="O2608" s="257" t="s">
        <v>11846</v>
      </c>
      <c r="P2608" s="17">
        <v>96</v>
      </c>
      <c r="Q2608" s="245">
        <f t="shared" si="154"/>
        <v>4.3</v>
      </c>
      <c r="R2608" s="245">
        <v>2.2000000000000002</v>
      </c>
      <c r="S2608" s="18">
        <v>6.5</v>
      </c>
    </row>
    <row r="2609" spans="1:19" x14ac:dyDescent="0.25">
      <c r="A2609" s="142">
        <v>991</v>
      </c>
      <c r="B2609" s="196" t="s">
        <v>13118</v>
      </c>
      <c r="C2609" s="196" t="s">
        <v>13116</v>
      </c>
      <c r="D2609" s="196" t="s">
        <v>13117</v>
      </c>
      <c r="E2609" s="196" t="s">
        <v>2922</v>
      </c>
      <c r="F2609" s="196">
        <v>1996</v>
      </c>
      <c r="H2609" s="196" t="s">
        <v>1878</v>
      </c>
      <c r="I2609" s="16" t="s">
        <v>1879</v>
      </c>
      <c r="K2609" s="196" t="s">
        <v>1881</v>
      </c>
      <c r="L2609" s="16" t="s">
        <v>13119</v>
      </c>
      <c r="M2609" s="196">
        <v>82</v>
      </c>
      <c r="O2609" s="257" t="s">
        <v>11847</v>
      </c>
      <c r="P2609" s="17">
        <v>201</v>
      </c>
      <c r="Q2609" s="245">
        <f t="shared" si="154"/>
        <v>3.8</v>
      </c>
      <c r="R2609" s="245">
        <v>2.2000000000000002</v>
      </c>
      <c r="S2609" s="18">
        <v>6</v>
      </c>
    </row>
    <row r="2610" spans="1:19" x14ac:dyDescent="0.25">
      <c r="A2610" s="142">
        <v>2852</v>
      </c>
      <c r="B2610" s="196" t="s">
        <v>13120</v>
      </c>
      <c r="C2610" s="196" t="s">
        <v>13121</v>
      </c>
      <c r="D2610" s="196" t="s">
        <v>13122</v>
      </c>
      <c r="F2610" s="196">
        <v>1933</v>
      </c>
      <c r="H2610" s="197" t="s">
        <v>2963</v>
      </c>
      <c r="I2610" s="16" t="s">
        <v>1914</v>
      </c>
      <c r="K2610" s="196" t="s">
        <v>1881</v>
      </c>
      <c r="M2610" s="196">
        <v>150</v>
      </c>
      <c r="O2610" s="257" t="s">
        <v>11848</v>
      </c>
      <c r="P2610" s="17">
        <v>263</v>
      </c>
      <c r="Q2610" s="245">
        <f t="shared" si="154"/>
        <v>3.9799999999999995</v>
      </c>
      <c r="R2610" s="245">
        <v>2.2000000000000002</v>
      </c>
      <c r="S2610" s="18">
        <v>6.18</v>
      </c>
    </row>
    <row r="2611" spans="1:19" x14ac:dyDescent="0.25">
      <c r="A2611" s="142">
        <v>1030</v>
      </c>
      <c r="B2611" s="196" t="s">
        <v>13123</v>
      </c>
      <c r="C2611" s="196" t="s">
        <v>13124</v>
      </c>
      <c r="D2611" s="196" t="s">
        <v>13125</v>
      </c>
      <c r="F2611" s="196">
        <v>1994</v>
      </c>
      <c r="H2611" s="197" t="s">
        <v>2963</v>
      </c>
      <c r="I2611" s="16" t="s">
        <v>1879</v>
      </c>
      <c r="K2611" s="196" t="s">
        <v>1881</v>
      </c>
      <c r="L2611" s="16" t="s">
        <v>13126</v>
      </c>
      <c r="M2611" s="196">
        <v>98</v>
      </c>
      <c r="O2611" s="257" t="s">
        <v>11849</v>
      </c>
      <c r="P2611" s="17">
        <v>172</v>
      </c>
      <c r="Q2611" s="245">
        <f t="shared" si="154"/>
        <v>2.8999999999999995</v>
      </c>
      <c r="R2611" s="245">
        <v>2.2000000000000002</v>
      </c>
      <c r="S2611" s="18">
        <v>5.0999999999999996</v>
      </c>
    </row>
    <row r="2612" spans="1:19" x14ac:dyDescent="0.25">
      <c r="A2612" s="142">
        <v>1287</v>
      </c>
      <c r="B2612" s="196" t="s">
        <v>13127</v>
      </c>
      <c r="C2612" s="196" t="s">
        <v>13128</v>
      </c>
      <c r="D2612" s="196" t="s">
        <v>5005</v>
      </c>
      <c r="E2612" s="196" t="s">
        <v>13129</v>
      </c>
      <c r="F2612" s="196">
        <v>1966</v>
      </c>
      <c r="H2612" s="197" t="s">
        <v>2963</v>
      </c>
      <c r="I2612" s="16" t="s">
        <v>1879</v>
      </c>
      <c r="K2612" s="196" t="s">
        <v>1881</v>
      </c>
      <c r="M2612" s="196">
        <v>322</v>
      </c>
      <c r="N2612" s="1" t="s">
        <v>13133</v>
      </c>
      <c r="O2612" s="257" t="s">
        <v>11850</v>
      </c>
      <c r="P2612" s="17">
        <v>1482</v>
      </c>
      <c r="Q2612" s="245">
        <f t="shared" si="154"/>
        <v>6.79</v>
      </c>
      <c r="R2612" s="245">
        <v>2.2000000000000002</v>
      </c>
      <c r="S2612" s="18">
        <v>8.99</v>
      </c>
    </row>
    <row r="2613" spans="1:19" x14ac:dyDescent="0.25">
      <c r="A2613" s="142">
        <v>1253</v>
      </c>
      <c r="B2613" s="196" t="s">
        <v>13131</v>
      </c>
      <c r="C2613" s="196" t="s">
        <v>13130</v>
      </c>
      <c r="D2613" s="196" t="s">
        <v>5708</v>
      </c>
      <c r="F2613" s="196">
        <v>1995</v>
      </c>
      <c r="H2613" s="197" t="s">
        <v>2963</v>
      </c>
      <c r="I2613" s="184" t="s">
        <v>1879</v>
      </c>
      <c r="J2613" s="1" t="s">
        <v>2505</v>
      </c>
      <c r="K2613" s="196" t="s">
        <v>1881</v>
      </c>
      <c r="M2613" s="196">
        <v>242</v>
      </c>
      <c r="N2613" s="196" t="s">
        <v>13132</v>
      </c>
      <c r="O2613" s="257" t="s">
        <v>11851</v>
      </c>
      <c r="P2613" s="17">
        <v>1451</v>
      </c>
      <c r="Q2613" s="245">
        <f t="shared" si="154"/>
        <v>4.3999999999999995</v>
      </c>
      <c r="R2613" s="245">
        <v>2.2000000000000002</v>
      </c>
      <c r="S2613" s="18">
        <v>6.6</v>
      </c>
    </row>
    <row r="2614" spans="1:19" x14ac:dyDescent="0.25">
      <c r="A2614" s="142">
        <v>812</v>
      </c>
      <c r="B2614" s="196" t="s">
        <v>13134</v>
      </c>
      <c r="C2614" s="196" t="s">
        <v>13135</v>
      </c>
      <c r="D2614" s="196" t="s">
        <v>13136</v>
      </c>
      <c r="F2614" s="196">
        <v>2003</v>
      </c>
      <c r="H2614" s="197" t="s">
        <v>2963</v>
      </c>
      <c r="I2614" s="184" t="s">
        <v>1879</v>
      </c>
      <c r="K2614" s="196" t="s">
        <v>1881</v>
      </c>
      <c r="L2614" s="16" t="s">
        <v>13137</v>
      </c>
      <c r="M2614" s="196">
        <v>194</v>
      </c>
      <c r="N2614" s="196" t="s">
        <v>13138</v>
      </c>
      <c r="O2614" s="257" t="s">
        <v>11852</v>
      </c>
      <c r="P2614" s="17">
        <v>1456</v>
      </c>
      <c r="Q2614" s="245">
        <f t="shared" si="154"/>
        <v>25.5</v>
      </c>
      <c r="R2614" s="245">
        <v>2.2000000000000002</v>
      </c>
      <c r="S2614" s="18">
        <v>27.7</v>
      </c>
    </row>
    <row r="2615" spans="1:19" x14ac:dyDescent="0.25">
      <c r="A2615" s="142">
        <v>844</v>
      </c>
      <c r="C2615" s="196" t="s">
        <v>13139</v>
      </c>
      <c r="D2615" s="196" t="s">
        <v>5115</v>
      </c>
      <c r="F2615" s="196">
        <v>1993</v>
      </c>
      <c r="H2615" s="197" t="s">
        <v>2963</v>
      </c>
      <c r="I2615" s="184" t="s">
        <v>1879</v>
      </c>
      <c r="K2615" s="196" t="s">
        <v>1881</v>
      </c>
      <c r="L2615" s="16" t="s">
        <v>13140</v>
      </c>
      <c r="M2615" s="196">
        <v>130</v>
      </c>
      <c r="N2615" s="196" t="s">
        <v>13141</v>
      </c>
      <c r="O2615" s="257" t="s">
        <v>11853</v>
      </c>
      <c r="P2615" s="17">
        <v>625</v>
      </c>
      <c r="Q2615" s="245">
        <f t="shared" si="154"/>
        <v>1.6099999999999999</v>
      </c>
      <c r="R2615" s="245">
        <v>2.2000000000000002</v>
      </c>
      <c r="S2615" s="18">
        <v>3.81</v>
      </c>
    </row>
    <row r="2616" spans="1:19" x14ac:dyDescent="0.25">
      <c r="A2616" s="142">
        <v>844</v>
      </c>
      <c r="B2616" s="196" t="s">
        <v>13143</v>
      </c>
      <c r="C2616" s="196" t="s">
        <v>13142</v>
      </c>
      <c r="D2616" s="196" t="s">
        <v>2779</v>
      </c>
      <c r="E2616" s="196" t="s">
        <v>2014</v>
      </c>
      <c r="F2616" s="196">
        <v>2013</v>
      </c>
      <c r="H2616" s="197" t="s">
        <v>2963</v>
      </c>
      <c r="I2616" s="184" t="s">
        <v>1879</v>
      </c>
      <c r="J2616" s="1" t="s">
        <v>13144</v>
      </c>
      <c r="K2616" s="196" t="s">
        <v>1881</v>
      </c>
      <c r="L2616" s="16" t="s">
        <v>13145</v>
      </c>
      <c r="M2616" s="196">
        <v>28</v>
      </c>
      <c r="N2616" s="196" t="s">
        <v>13146</v>
      </c>
      <c r="O2616" s="257" t="s">
        <v>11854</v>
      </c>
      <c r="P2616" s="17">
        <v>294</v>
      </c>
      <c r="Q2616" s="245">
        <f t="shared" si="154"/>
        <v>1.2999999999999998</v>
      </c>
      <c r="R2616" s="245">
        <v>2.2000000000000002</v>
      </c>
      <c r="S2616" s="18">
        <v>3.5</v>
      </c>
    </row>
    <row r="2617" spans="1:19" x14ac:dyDescent="0.25">
      <c r="A2617" s="142">
        <v>1253</v>
      </c>
      <c r="C2617" s="196" t="s">
        <v>13147</v>
      </c>
      <c r="D2617" s="196" t="s">
        <v>5708</v>
      </c>
      <c r="E2617" s="1" t="s">
        <v>1913</v>
      </c>
      <c r="F2617" s="196">
        <v>1967</v>
      </c>
      <c r="H2617" s="197" t="s">
        <v>2963</v>
      </c>
      <c r="I2617" s="16" t="s">
        <v>1914</v>
      </c>
      <c r="K2617" s="196" t="s">
        <v>1881</v>
      </c>
      <c r="M2617" s="196">
        <v>298</v>
      </c>
      <c r="N2617" s="196" t="s">
        <v>13148</v>
      </c>
      <c r="O2617" s="257" t="s">
        <v>11855</v>
      </c>
      <c r="P2617" s="17">
        <v>1682</v>
      </c>
      <c r="Q2617" s="245">
        <f t="shared" si="154"/>
        <v>4.78</v>
      </c>
      <c r="R2617" s="245">
        <v>2.2000000000000002</v>
      </c>
      <c r="S2617" s="18">
        <v>6.98</v>
      </c>
    </row>
    <row r="2618" spans="1:19" x14ac:dyDescent="0.25">
      <c r="A2618" s="142">
        <v>1393</v>
      </c>
      <c r="B2618" s="196" t="s">
        <v>13150</v>
      </c>
      <c r="C2618" s="196" t="s">
        <v>13149</v>
      </c>
      <c r="F2618" s="196">
        <v>1996</v>
      </c>
      <c r="H2618" s="197" t="s">
        <v>2963</v>
      </c>
      <c r="I2618" s="184" t="s">
        <v>1879</v>
      </c>
      <c r="K2618" s="196" t="s">
        <v>1881</v>
      </c>
      <c r="L2618" s="16" t="s">
        <v>13151</v>
      </c>
      <c r="M2618" s="196">
        <v>20</v>
      </c>
      <c r="N2618" s="196" t="s">
        <v>13152</v>
      </c>
      <c r="O2618" s="257" t="s">
        <v>11856</v>
      </c>
      <c r="P2618" s="17">
        <v>282</v>
      </c>
      <c r="Q2618" s="245">
        <f t="shared" si="154"/>
        <v>4.2</v>
      </c>
      <c r="R2618" s="245">
        <v>2.2000000000000002</v>
      </c>
      <c r="S2618" s="18">
        <v>6.4</v>
      </c>
    </row>
    <row r="2619" spans="1:19" x14ac:dyDescent="0.25">
      <c r="A2619" s="142">
        <v>823</v>
      </c>
      <c r="B2619" s="196" t="s">
        <v>13154</v>
      </c>
      <c r="C2619" s="196" t="s">
        <v>13153</v>
      </c>
      <c r="D2619" s="196" t="s">
        <v>13155</v>
      </c>
      <c r="F2619" s="196">
        <v>1972</v>
      </c>
      <c r="H2619" s="197" t="s">
        <v>2963</v>
      </c>
      <c r="I2619" s="184" t="s">
        <v>1914</v>
      </c>
      <c r="K2619" s="196" t="s">
        <v>1881</v>
      </c>
      <c r="M2619" s="196">
        <v>314</v>
      </c>
      <c r="N2619" s="196" t="s">
        <v>13156</v>
      </c>
      <c r="O2619" s="257" t="s">
        <v>11857</v>
      </c>
      <c r="P2619" s="17">
        <v>1760</v>
      </c>
      <c r="Q2619" s="245">
        <f t="shared" si="154"/>
        <v>7.2</v>
      </c>
      <c r="R2619" s="245">
        <v>2.2000000000000002</v>
      </c>
      <c r="S2619" s="18">
        <v>9.4</v>
      </c>
    </row>
    <row r="2620" spans="1:19" x14ac:dyDescent="0.25">
      <c r="A2620" s="142">
        <v>1972</v>
      </c>
      <c r="B2620" s="196" t="s">
        <v>13158</v>
      </c>
      <c r="C2620" s="196" t="s">
        <v>13157</v>
      </c>
      <c r="D2620" s="196" t="s">
        <v>13159</v>
      </c>
      <c r="F2620" s="196">
        <v>2010</v>
      </c>
      <c r="H2620" s="197" t="s">
        <v>2963</v>
      </c>
      <c r="I2620" s="184" t="s">
        <v>1879</v>
      </c>
      <c r="K2620" s="196" t="s">
        <v>1881</v>
      </c>
      <c r="L2620" s="16" t="s">
        <v>13160</v>
      </c>
      <c r="M2620" s="196">
        <v>142</v>
      </c>
      <c r="N2620" s="196" t="s">
        <v>13161</v>
      </c>
      <c r="O2620" s="257" t="s">
        <v>11858</v>
      </c>
      <c r="P2620" s="17">
        <v>811</v>
      </c>
      <c r="Q2620" s="245">
        <f t="shared" si="154"/>
        <v>2.7</v>
      </c>
      <c r="R2620" s="245">
        <v>2.2000000000000002</v>
      </c>
      <c r="S2620" s="18">
        <v>4.9000000000000004</v>
      </c>
    </row>
    <row r="2621" spans="1:19" x14ac:dyDescent="0.25">
      <c r="A2621" s="142">
        <v>1374</v>
      </c>
      <c r="B2621" s="196" t="s">
        <v>13162</v>
      </c>
      <c r="C2621" s="196" t="s">
        <v>13163</v>
      </c>
      <c r="D2621" s="196" t="s">
        <v>12975</v>
      </c>
      <c r="F2621" s="196">
        <v>1956</v>
      </c>
      <c r="H2621" s="197" t="s">
        <v>2963</v>
      </c>
      <c r="I2621" s="184" t="s">
        <v>1914</v>
      </c>
      <c r="J2621" s="1" t="s">
        <v>12878</v>
      </c>
      <c r="K2621" s="196" t="s">
        <v>1881</v>
      </c>
      <c r="M2621" s="196">
        <v>334</v>
      </c>
      <c r="N2621" s="196" t="s">
        <v>13164</v>
      </c>
      <c r="O2621" s="257" t="s">
        <v>11859</v>
      </c>
      <c r="P2621" s="17">
        <v>900</v>
      </c>
      <c r="Q2621" s="245">
        <f t="shared" si="154"/>
        <v>3.5999999999999996</v>
      </c>
      <c r="R2621" s="245">
        <v>2.2000000000000002</v>
      </c>
      <c r="S2621" s="18">
        <v>5.8</v>
      </c>
    </row>
    <row r="2622" spans="1:19" x14ac:dyDescent="0.25">
      <c r="A2622" s="142">
        <v>1324</v>
      </c>
      <c r="C2622" s="196" t="s">
        <v>13165</v>
      </c>
      <c r="D2622" s="196" t="s">
        <v>2151</v>
      </c>
      <c r="H2622" s="197" t="s">
        <v>2963</v>
      </c>
      <c r="I2622" s="184" t="s">
        <v>1914</v>
      </c>
      <c r="K2622" s="196" t="s">
        <v>1881</v>
      </c>
      <c r="L2622" s="16" t="s">
        <v>13166</v>
      </c>
      <c r="M2622" s="196">
        <v>402</v>
      </c>
      <c r="O2622" s="257" t="s">
        <v>11860</v>
      </c>
      <c r="P2622" s="17">
        <v>584</v>
      </c>
      <c r="Q2622" s="245">
        <f t="shared" si="154"/>
        <v>1.6099999999999999</v>
      </c>
      <c r="R2622" s="245">
        <v>2.2000000000000002</v>
      </c>
      <c r="S2622" s="18">
        <v>3.81</v>
      </c>
    </row>
    <row r="2623" spans="1:19" x14ac:dyDescent="0.25">
      <c r="A2623" s="142">
        <v>1395</v>
      </c>
      <c r="B2623" s="196" t="s">
        <v>13167</v>
      </c>
      <c r="C2623" s="196" t="s">
        <v>13168</v>
      </c>
      <c r="D2623" s="196" t="s">
        <v>2257</v>
      </c>
      <c r="E2623" s="196" t="s">
        <v>1877</v>
      </c>
      <c r="F2623" s="196">
        <v>2001</v>
      </c>
      <c r="H2623" s="196" t="s">
        <v>1878</v>
      </c>
      <c r="I2623" s="16" t="s">
        <v>1914</v>
      </c>
      <c r="K2623" s="196" t="s">
        <v>1881</v>
      </c>
      <c r="L2623" s="16" t="s">
        <v>13169</v>
      </c>
      <c r="M2623" s="196">
        <v>512</v>
      </c>
      <c r="N2623" s="196" t="s">
        <v>13170</v>
      </c>
      <c r="O2623" s="257" t="s">
        <v>11861</v>
      </c>
      <c r="P2623" s="17">
        <v>278</v>
      </c>
      <c r="Q2623" s="245">
        <f t="shared" si="154"/>
        <v>1.19</v>
      </c>
      <c r="R2623" s="245">
        <v>2.2000000000000002</v>
      </c>
      <c r="S2623" s="18">
        <v>3.39</v>
      </c>
    </row>
    <row r="2624" spans="1:19" x14ac:dyDescent="0.25">
      <c r="A2624" s="142">
        <v>2550</v>
      </c>
      <c r="B2624" s="196" t="s">
        <v>10901</v>
      </c>
      <c r="C2624" s="196" t="s">
        <v>13171</v>
      </c>
      <c r="D2624" s="196" t="s">
        <v>8258</v>
      </c>
      <c r="F2624" s="196">
        <v>1978</v>
      </c>
      <c r="H2624" s="197" t="s">
        <v>2963</v>
      </c>
      <c r="I2624" s="16" t="s">
        <v>1879</v>
      </c>
      <c r="K2624" s="196" t="s">
        <v>1881</v>
      </c>
      <c r="M2624" s="196">
        <v>354</v>
      </c>
      <c r="N2624" s="196" t="s">
        <v>13172</v>
      </c>
      <c r="O2624" s="257" t="s">
        <v>11862</v>
      </c>
      <c r="P2624" s="17">
        <v>531</v>
      </c>
      <c r="Q2624" s="245">
        <f t="shared" si="154"/>
        <v>6.8</v>
      </c>
      <c r="R2624" s="245">
        <v>2.2000000000000002</v>
      </c>
      <c r="S2624" s="18">
        <v>9</v>
      </c>
    </row>
    <row r="2625" spans="1:19" x14ac:dyDescent="0.25">
      <c r="A2625" s="142">
        <v>1327</v>
      </c>
      <c r="B2625" s="196" t="s">
        <v>13173</v>
      </c>
      <c r="C2625" s="196" t="s">
        <v>13174</v>
      </c>
      <c r="D2625" s="196" t="s">
        <v>13175</v>
      </c>
      <c r="E2625" s="196" t="s">
        <v>1913</v>
      </c>
      <c r="F2625" s="196">
        <v>1974</v>
      </c>
      <c r="H2625" s="197" t="s">
        <v>2963</v>
      </c>
      <c r="I2625" s="16" t="s">
        <v>1879</v>
      </c>
      <c r="J2625" s="1" t="s">
        <v>13176</v>
      </c>
      <c r="K2625" s="196" t="s">
        <v>1881</v>
      </c>
      <c r="L2625" s="16" t="s">
        <v>13177</v>
      </c>
      <c r="M2625" s="196">
        <v>222</v>
      </c>
      <c r="N2625" s="196" t="s">
        <v>13178</v>
      </c>
      <c r="O2625" s="257" t="s">
        <v>11863</v>
      </c>
      <c r="P2625" s="17">
        <v>529</v>
      </c>
      <c r="Q2625" s="245">
        <f t="shared" si="154"/>
        <v>5.0999999999999996</v>
      </c>
      <c r="R2625" s="245">
        <v>2.2000000000000002</v>
      </c>
      <c r="S2625" s="18">
        <v>7.3</v>
      </c>
    </row>
    <row r="2626" spans="1:19" x14ac:dyDescent="0.25">
      <c r="A2626" s="142">
        <v>853</v>
      </c>
      <c r="B2626" s="196" t="s">
        <v>13180</v>
      </c>
      <c r="C2626" s="196" t="s">
        <v>13179</v>
      </c>
      <c r="D2626" s="196" t="s">
        <v>13181</v>
      </c>
      <c r="F2626" s="196">
        <v>2017</v>
      </c>
      <c r="H2626" s="197" t="s">
        <v>2963</v>
      </c>
      <c r="I2626" s="184" t="s">
        <v>1879</v>
      </c>
      <c r="K2626" s="196" t="s">
        <v>1881</v>
      </c>
      <c r="M2626" s="196">
        <v>28</v>
      </c>
      <c r="N2626" s="196" t="s">
        <v>13182</v>
      </c>
      <c r="O2626" s="257" t="s">
        <v>11864</v>
      </c>
      <c r="P2626" s="17">
        <v>88</v>
      </c>
      <c r="Q2626" s="245">
        <f t="shared" si="154"/>
        <v>1.7999999999999998</v>
      </c>
      <c r="R2626" s="245">
        <v>2.2000000000000002</v>
      </c>
      <c r="S2626" s="18">
        <v>4</v>
      </c>
    </row>
    <row r="2627" spans="1:19" x14ac:dyDescent="0.25">
      <c r="A2627" s="142">
        <v>2571</v>
      </c>
      <c r="B2627" s="196" t="s">
        <v>13183</v>
      </c>
      <c r="C2627" s="196" t="s">
        <v>13184</v>
      </c>
      <c r="D2627" s="196" t="s">
        <v>13084</v>
      </c>
      <c r="F2627" s="196">
        <v>1978</v>
      </c>
      <c r="H2627" s="197" t="s">
        <v>2963</v>
      </c>
      <c r="I2627" s="184" t="s">
        <v>1879</v>
      </c>
      <c r="J2627" s="1" t="s">
        <v>13185</v>
      </c>
      <c r="K2627" s="196" t="s">
        <v>1881</v>
      </c>
      <c r="L2627" s="16" t="s">
        <v>13186</v>
      </c>
      <c r="M2627" s="196">
        <v>202</v>
      </c>
      <c r="N2627" s="196" t="s">
        <v>13187</v>
      </c>
      <c r="O2627" s="257" t="s">
        <v>11865</v>
      </c>
      <c r="P2627" s="17">
        <v>277</v>
      </c>
      <c r="Q2627" s="245">
        <f t="shared" si="154"/>
        <v>3.0999999999999996</v>
      </c>
      <c r="R2627" s="245">
        <v>2.2000000000000002</v>
      </c>
      <c r="S2627" s="18">
        <v>5.3</v>
      </c>
    </row>
    <row r="2628" spans="1:19" x14ac:dyDescent="0.25">
      <c r="A2628" s="142">
        <v>796</v>
      </c>
      <c r="B2628" s="196" t="s">
        <v>2179</v>
      </c>
      <c r="C2628" s="196" t="s">
        <v>2180</v>
      </c>
      <c r="D2628" s="196" t="s">
        <v>10179</v>
      </c>
      <c r="F2628" s="196">
        <v>2001</v>
      </c>
      <c r="H2628" s="197" t="s">
        <v>2963</v>
      </c>
      <c r="I2628" s="184" t="s">
        <v>1879</v>
      </c>
      <c r="K2628" s="196" t="s">
        <v>1881</v>
      </c>
      <c r="M2628" s="196">
        <v>562</v>
      </c>
      <c r="N2628" s="196" t="s">
        <v>13178</v>
      </c>
      <c r="O2628" s="257" t="s">
        <v>11866</v>
      </c>
      <c r="P2628" s="17">
        <v>672</v>
      </c>
      <c r="Q2628" s="245">
        <f t="shared" si="154"/>
        <v>1.8499999999999996</v>
      </c>
      <c r="R2628" s="245">
        <v>2.2000000000000002</v>
      </c>
      <c r="S2628" s="18">
        <v>4.05</v>
      </c>
    </row>
    <row r="2629" spans="1:19" x14ac:dyDescent="0.25">
      <c r="A2629" s="142">
        <v>614</v>
      </c>
      <c r="B2629" s="196" t="s">
        <v>13188</v>
      </c>
      <c r="C2629" s="196" t="s">
        <v>13189</v>
      </c>
      <c r="D2629" s="196" t="s">
        <v>1876</v>
      </c>
      <c r="F2629" s="196">
        <v>1960</v>
      </c>
      <c r="H2629" s="197" t="s">
        <v>2963</v>
      </c>
      <c r="I2629" s="184" t="s">
        <v>1879</v>
      </c>
      <c r="J2629" s="1" t="s">
        <v>13190</v>
      </c>
      <c r="K2629" s="196" t="s">
        <v>1881</v>
      </c>
      <c r="M2629" s="196">
        <v>66</v>
      </c>
      <c r="N2629" s="196" t="s">
        <v>13187</v>
      </c>
      <c r="O2629" s="257" t="s">
        <v>11867</v>
      </c>
      <c r="P2629" s="17">
        <v>133</v>
      </c>
      <c r="Q2629" s="245">
        <f t="shared" si="154"/>
        <v>3.5</v>
      </c>
      <c r="R2629" s="245">
        <v>2.2000000000000002</v>
      </c>
      <c r="S2629" s="18">
        <v>5.7</v>
      </c>
    </row>
    <row r="2630" spans="1:19" x14ac:dyDescent="0.25">
      <c r="A2630" s="142">
        <v>578</v>
      </c>
      <c r="B2630" s="196" t="s">
        <v>13191</v>
      </c>
      <c r="C2630" s="196" t="s">
        <v>13192</v>
      </c>
      <c r="D2630" s="196" t="s">
        <v>2901</v>
      </c>
      <c r="F2630" s="196">
        <v>1954</v>
      </c>
      <c r="H2630" s="197" t="s">
        <v>2963</v>
      </c>
      <c r="I2630" s="16" t="s">
        <v>1879</v>
      </c>
      <c r="J2630" s="196" t="s">
        <v>13193</v>
      </c>
      <c r="K2630" s="196" t="s">
        <v>1881</v>
      </c>
      <c r="M2630" s="196">
        <v>230</v>
      </c>
      <c r="N2630" s="196" t="s">
        <v>13194</v>
      </c>
      <c r="O2630" s="257" t="s">
        <v>11868</v>
      </c>
      <c r="P2630" s="17">
        <v>344</v>
      </c>
      <c r="Q2630" s="245">
        <f t="shared" si="154"/>
        <v>4.3</v>
      </c>
      <c r="R2630" s="245">
        <v>2.2000000000000002</v>
      </c>
      <c r="S2630" s="18">
        <v>6.5</v>
      </c>
    </row>
    <row r="2631" spans="1:19" x14ac:dyDescent="0.25">
      <c r="A2631" s="142">
        <v>1285</v>
      </c>
      <c r="B2631" s="196" t="s">
        <v>13195</v>
      </c>
      <c r="C2631" s="196" t="s">
        <v>13196</v>
      </c>
      <c r="D2631" s="196" t="s">
        <v>13197</v>
      </c>
      <c r="F2631" s="196">
        <v>1964</v>
      </c>
      <c r="H2631" s="197" t="s">
        <v>2963</v>
      </c>
      <c r="I2631" s="184" t="s">
        <v>1879</v>
      </c>
      <c r="J2631" s="182" t="s">
        <v>13185</v>
      </c>
      <c r="K2631" s="196" t="s">
        <v>1881</v>
      </c>
      <c r="M2631" s="196">
        <v>426</v>
      </c>
      <c r="N2631" s="196" t="s">
        <v>13198</v>
      </c>
      <c r="O2631" s="257" t="s">
        <v>11869</v>
      </c>
      <c r="P2631" s="17">
        <v>583</v>
      </c>
      <c r="Q2631" s="245">
        <f t="shared" ref="Q2631:Q2694" si="155">S2631-R2631</f>
        <v>3</v>
      </c>
      <c r="R2631" s="245">
        <v>2.2000000000000002</v>
      </c>
      <c r="S2631" s="18">
        <v>5.2</v>
      </c>
    </row>
    <row r="2632" spans="1:19" x14ac:dyDescent="0.25">
      <c r="A2632" s="142">
        <v>1000</v>
      </c>
      <c r="C2632" s="196" t="s">
        <v>13199</v>
      </c>
      <c r="D2632" s="196" t="s">
        <v>13200</v>
      </c>
      <c r="H2632" s="1" t="s">
        <v>1878</v>
      </c>
      <c r="I2632" s="16" t="s">
        <v>1879</v>
      </c>
      <c r="K2632" s="196" t="s">
        <v>1881</v>
      </c>
      <c r="M2632" s="196">
        <v>96</v>
      </c>
      <c r="N2632" s="196" t="s">
        <v>13201</v>
      </c>
      <c r="O2632" s="257" t="s">
        <v>11870</v>
      </c>
      <c r="P2632" s="17">
        <v>264</v>
      </c>
      <c r="Q2632" s="245">
        <f t="shared" si="155"/>
        <v>1.6999999999999997</v>
      </c>
      <c r="R2632" s="245">
        <v>2.2000000000000002</v>
      </c>
      <c r="S2632" s="18">
        <v>3.9</v>
      </c>
    </row>
    <row r="2633" spans="1:19" x14ac:dyDescent="0.25">
      <c r="A2633" s="142">
        <v>2451</v>
      </c>
      <c r="B2633" s="196" t="s">
        <v>13202</v>
      </c>
      <c r="C2633" s="196" t="s">
        <v>13203</v>
      </c>
      <c r="D2633" s="196" t="s">
        <v>2257</v>
      </c>
      <c r="F2633" s="196">
        <v>1984</v>
      </c>
      <c r="H2633" s="197" t="s">
        <v>2963</v>
      </c>
      <c r="I2633" s="184" t="s">
        <v>1879</v>
      </c>
      <c r="K2633" s="196" t="s">
        <v>1881</v>
      </c>
      <c r="M2633" s="196">
        <v>782</v>
      </c>
      <c r="N2633" s="196" t="s">
        <v>13204</v>
      </c>
      <c r="O2633" s="257" t="s">
        <v>11871</v>
      </c>
      <c r="P2633" s="17">
        <v>880</v>
      </c>
      <c r="Q2633" s="245">
        <f t="shared" si="155"/>
        <v>2.5</v>
      </c>
      <c r="R2633" s="245">
        <v>2.2000000000000002</v>
      </c>
      <c r="S2633" s="18">
        <v>4.7</v>
      </c>
    </row>
    <row r="2634" spans="1:19" x14ac:dyDescent="0.25">
      <c r="A2634" s="142">
        <v>1352</v>
      </c>
      <c r="C2634" s="196" t="s">
        <v>13205</v>
      </c>
      <c r="D2634" s="196" t="s">
        <v>10044</v>
      </c>
      <c r="F2634" s="196">
        <v>1958</v>
      </c>
      <c r="H2634" s="197" t="s">
        <v>2963</v>
      </c>
      <c r="I2634" s="184" t="s">
        <v>1879</v>
      </c>
      <c r="K2634" s="196" t="s">
        <v>1881</v>
      </c>
      <c r="M2634" s="196">
        <v>512</v>
      </c>
      <c r="N2634" s="196" t="s">
        <v>13187</v>
      </c>
      <c r="O2634" s="257" t="s">
        <v>11872</v>
      </c>
      <c r="P2634" s="17">
        <v>420</v>
      </c>
      <c r="Q2634" s="245">
        <f t="shared" si="155"/>
        <v>3.29</v>
      </c>
      <c r="R2634" s="245">
        <v>2.2000000000000002</v>
      </c>
      <c r="S2634" s="18">
        <v>5.49</v>
      </c>
    </row>
    <row r="2635" spans="1:19" x14ac:dyDescent="0.25">
      <c r="A2635" s="142">
        <v>1327</v>
      </c>
      <c r="B2635" s="196" t="s">
        <v>13206</v>
      </c>
      <c r="C2635" s="196" t="s">
        <v>13207</v>
      </c>
      <c r="D2635" s="196" t="s">
        <v>13208</v>
      </c>
      <c r="E2635" s="196" t="s">
        <v>1913</v>
      </c>
      <c r="F2635" s="196">
        <v>1960</v>
      </c>
      <c r="H2635" s="197" t="s">
        <v>2963</v>
      </c>
      <c r="I2635" s="16" t="s">
        <v>1914</v>
      </c>
      <c r="K2635" s="196" t="s">
        <v>1881</v>
      </c>
      <c r="M2635" s="196">
        <v>354</v>
      </c>
      <c r="N2635" s="196" t="s">
        <v>13209</v>
      </c>
      <c r="O2635" s="257" t="s">
        <v>11873</v>
      </c>
      <c r="P2635" s="17">
        <v>407</v>
      </c>
      <c r="Q2635" s="245">
        <f t="shared" si="155"/>
        <v>2.8</v>
      </c>
      <c r="R2635" s="245">
        <v>2.2000000000000002</v>
      </c>
      <c r="S2635" s="18">
        <v>5</v>
      </c>
    </row>
    <row r="2636" spans="1:19" x14ac:dyDescent="0.25">
      <c r="A2636" s="142">
        <v>2725</v>
      </c>
      <c r="B2636" s="196" t="s">
        <v>13210</v>
      </c>
      <c r="C2636" s="196" t="s">
        <v>13211</v>
      </c>
      <c r="D2636" s="196" t="s">
        <v>13212</v>
      </c>
      <c r="F2636" s="196">
        <v>1992</v>
      </c>
      <c r="H2636" s="197" t="s">
        <v>2963</v>
      </c>
      <c r="I2636" s="184" t="s">
        <v>1879</v>
      </c>
      <c r="K2636" s="196" t="s">
        <v>1881</v>
      </c>
      <c r="M2636" s="196">
        <v>258</v>
      </c>
      <c r="N2636" s="196" t="s">
        <v>13204</v>
      </c>
      <c r="O2636" s="257" t="s">
        <v>11874</v>
      </c>
      <c r="P2636" s="17">
        <v>426</v>
      </c>
      <c r="Q2636" s="245">
        <f t="shared" si="155"/>
        <v>5.3999999999999995</v>
      </c>
      <c r="R2636" s="245">
        <v>2.2000000000000002</v>
      </c>
      <c r="S2636" s="18">
        <v>7.6</v>
      </c>
    </row>
    <row r="2637" spans="1:19" x14ac:dyDescent="0.25">
      <c r="A2637" s="142">
        <v>1352</v>
      </c>
      <c r="B2637" s="196" t="s">
        <v>13213</v>
      </c>
      <c r="C2637" s="196" t="s">
        <v>13214</v>
      </c>
      <c r="D2637" s="196" t="s">
        <v>5005</v>
      </c>
      <c r="F2637" s="196">
        <v>1958</v>
      </c>
      <c r="H2637" s="1" t="s">
        <v>2963</v>
      </c>
      <c r="I2637" s="16" t="s">
        <v>1914</v>
      </c>
      <c r="K2637" s="196" t="s">
        <v>1881</v>
      </c>
      <c r="M2637" s="196">
        <v>322</v>
      </c>
      <c r="N2637" s="196" t="s">
        <v>13209</v>
      </c>
      <c r="O2637" s="257" t="s">
        <v>11875</v>
      </c>
      <c r="P2637" s="17">
        <v>373</v>
      </c>
      <c r="Q2637" s="245">
        <f t="shared" si="155"/>
        <v>29.52</v>
      </c>
      <c r="R2637" s="245">
        <v>2.2000000000000002</v>
      </c>
      <c r="S2637" s="18">
        <v>31.72</v>
      </c>
    </row>
    <row r="2638" spans="1:19" x14ac:dyDescent="0.25">
      <c r="A2638" s="142">
        <v>1327</v>
      </c>
      <c r="B2638" s="196" t="s">
        <v>12835</v>
      </c>
      <c r="C2638" s="196" t="s">
        <v>13215</v>
      </c>
      <c r="D2638" s="196" t="s">
        <v>2257</v>
      </c>
      <c r="F2638" s="196">
        <v>1973</v>
      </c>
      <c r="H2638" s="197" t="s">
        <v>2963</v>
      </c>
      <c r="I2638" s="184" t="s">
        <v>1879</v>
      </c>
      <c r="J2638" s="1" t="s">
        <v>2505</v>
      </c>
      <c r="K2638" s="196" t="s">
        <v>1881</v>
      </c>
      <c r="M2638" s="196">
        <v>610</v>
      </c>
      <c r="N2638" s="196" t="s">
        <v>13178</v>
      </c>
      <c r="O2638" s="257" t="s">
        <v>11876</v>
      </c>
      <c r="P2638" s="17">
        <v>763</v>
      </c>
      <c r="Q2638" s="245">
        <f t="shared" si="155"/>
        <v>1.6099999999999999</v>
      </c>
      <c r="R2638" s="245">
        <v>2.2000000000000002</v>
      </c>
      <c r="S2638" s="18">
        <v>3.81</v>
      </c>
    </row>
    <row r="2639" spans="1:19" x14ac:dyDescent="0.25">
      <c r="A2639" s="142">
        <v>1813</v>
      </c>
      <c r="B2639" s="196" t="s">
        <v>13217</v>
      </c>
      <c r="C2639" s="196" t="s">
        <v>13216</v>
      </c>
      <c r="D2639" s="196" t="s">
        <v>3212</v>
      </c>
      <c r="F2639" s="196">
        <v>1993</v>
      </c>
      <c r="H2639" s="197" t="s">
        <v>2963</v>
      </c>
      <c r="I2639" s="184" t="s">
        <v>1879</v>
      </c>
      <c r="K2639" s="196" t="s">
        <v>1881</v>
      </c>
      <c r="L2639" s="16" t="s">
        <v>13218</v>
      </c>
      <c r="M2639" s="196">
        <v>154</v>
      </c>
      <c r="N2639" s="196" t="s">
        <v>13219</v>
      </c>
      <c r="O2639" s="257" t="s">
        <v>11877</v>
      </c>
      <c r="P2639" s="17">
        <v>229</v>
      </c>
      <c r="Q2639" s="245">
        <f t="shared" si="155"/>
        <v>3.2199999999999998</v>
      </c>
      <c r="R2639" s="245">
        <v>2.2000000000000002</v>
      </c>
      <c r="S2639" s="18">
        <v>5.42</v>
      </c>
    </row>
    <row r="2640" spans="1:19" x14ac:dyDescent="0.25">
      <c r="A2640" s="142">
        <v>2530</v>
      </c>
      <c r="B2640" s="196" t="s">
        <v>9382</v>
      </c>
      <c r="C2640" s="196" t="s">
        <v>13220</v>
      </c>
      <c r="D2640" s="196" t="s">
        <v>2054</v>
      </c>
      <c r="F2640" s="196">
        <v>1993</v>
      </c>
      <c r="H2640" s="197" t="s">
        <v>2963</v>
      </c>
      <c r="I2640" s="184" t="s">
        <v>1879</v>
      </c>
      <c r="J2640" s="182"/>
      <c r="K2640" s="196" t="s">
        <v>1881</v>
      </c>
      <c r="M2640" s="196">
        <v>290</v>
      </c>
      <c r="N2640" s="196" t="s">
        <v>13178</v>
      </c>
      <c r="O2640" s="257" t="s">
        <v>11878</v>
      </c>
      <c r="P2640" s="17">
        <v>493</v>
      </c>
      <c r="Q2640" s="245">
        <f t="shared" si="155"/>
        <v>2.4799999999999995</v>
      </c>
      <c r="R2640" s="245">
        <v>2.2000000000000002</v>
      </c>
      <c r="S2640" s="18">
        <v>4.68</v>
      </c>
    </row>
    <row r="2641" spans="1:37" x14ac:dyDescent="0.25">
      <c r="A2641" s="142">
        <v>944</v>
      </c>
      <c r="B2641" s="196" t="s">
        <v>13221</v>
      </c>
      <c r="C2641" s="196" t="s">
        <v>13222</v>
      </c>
      <c r="D2641" s="196" t="s">
        <v>4647</v>
      </c>
      <c r="F2641" s="196">
        <v>1994</v>
      </c>
      <c r="H2641" s="197" t="s">
        <v>2963</v>
      </c>
      <c r="I2641" s="184" t="s">
        <v>1879</v>
      </c>
      <c r="K2641" s="196" t="s">
        <v>1881</v>
      </c>
      <c r="L2641" s="16" t="s">
        <v>13223</v>
      </c>
      <c r="M2641" s="196">
        <v>210</v>
      </c>
      <c r="N2641" s="196" t="s">
        <v>13204</v>
      </c>
      <c r="O2641" s="257" t="s">
        <v>11879</v>
      </c>
      <c r="P2641" s="17">
        <v>381</v>
      </c>
      <c r="Q2641" s="245">
        <f t="shared" si="155"/>
        <v>2.3499999999999996</v>
      </c>
      <c r="R2641" s="245">
        <v>2.2000000000000002</v>
      </c>
      <c r="S2641" s="18">
        <v>4.55</v>
      </c>
    </row>
    <row r="2642" spans="1:37" x14ac:dyDescent="0.25">
      <c r="A2642" s="142">
        <v>852</v>
      </c>
      <c r="B2642" s="196" t="s">
        <v>13224</v>
      </c>
      <c r="C2642" s="196" t="s">
        <v>13225</v>
      </c>
      <c r="D2642" s="196" t="s">
        <v>1886</v>
      </c>
      <c r="E2642" s="196" t="s">
        <v>1913</v>
      </c>
      <c r="F2642" s="196">
        <v>2000</v>
      </c>
      <c r="H2642" s="197" t="s">
        <v>2963</v>
      </c>
      <c r="I2642" s="184" t="s">
        <v>1879</v>
      </c>
      <c r="J2642" s="182"/>
      <c r="K2642" s="196" t="s">
        <v>1881</v>
      </c>
      <c r="L2642" s="16" t="s">
        <v>13226</v>
      </c>
      <c r="M2642" s="196">
        <v>258</v>
      </c>
      <c r="N2642" s="196" t="s">
        <v>13227</v>
      </c>
      <c r="O2642" s="257" t="s">
        <v>11880</v>
      </c>
      <c r="P2642" s="17">
        <v>436</v>
      </c>
      <c r="Q2642" s="245">
        <f t="shared" si="155"/>
        <v>3.8</v>
      </c>
      <c r="R2642" s="245">
        <v>2.2000000000000002</v>
      </c>
      <c r="S2642" s="18">
        <v>6</v>
      </c>
    </row>
    <row r="2643" spans="1:37" x14ac:dyDescent="0.25">
      <c r="A2643" s="142">
        <v>1327</v>
      </c>
      <c r="B2643" s="196" t="s">
        <v>13228</v>
      </c>
      <c r="C2643" s="196" t="s">
        <v>13229</v>
      </c>
      <c r="D2643" s="196" t="s">
        <v>2257</v>
      </c>
      <c r="F2643" s="196">
        <v>2006</v>
      </c>
      <c r="H2643" s="1" t="s">
        <v>1878</v>
      </c>
      <c r="I2643" s="16" t="s">
        <v>1914</v>
      </c>
      <c r="J2643" s="54" t="s">
        <v>13231</v>
      </c>
      <c r="K2643" s="196" t="s">
        <v>1881</v>
      </c>
      <c r="L2643" s="16" t="s">
        <v>13230</v>
      </c>
      <c r="M2643" s="196">
        <v>848</v>
      </c>
      <c r="N2643" s="196" t="s">
        <v>13232</v>
      </c>
      <c r="O2643" s="257" t="s">
        <v>11881</v>
      </c>
      <c r="P2643" s="17">
        <v>497</v>
      </c>
      <c r="Q2643" s="245">
        <f t="shared" si="155"/>
        <v>4</v>
      </c>
      <c r="R2643" s="245">
        <v>2.2000000000000002</v>
      </c>
      <c r="S2643" s="18">
        <v>6.2</v>
      </c>
    </row>
    <row r="2644" spans="1:37" x14ac:dyDescent="0.25">
      <c r="A2644" s="142">
        <v>2522</v>
      </c>
      <c r="B2644" s="196" t="s">
        <v>13233</v>
      </c>
      <c r="C2644" s="196" t="s">
        <v>13234</v>
      </c>
      <c r="D2644" s="196" t="s">
        <v>2209</v>
      </c>
      <c r="F2644" s="196">
        <v>2010</v>
      </c>
      <c r="H2644" s="196" t="s">
        <v>1878</v>
      </c>
      <c r="I2644" s="16" t="s">
        <v>1879</v>
      </c>
      <c r="K2644" s="196" t="s">
        <v>1881</v>
      </c>
      <c r="L2644" s="16" t="s">
        <v>13235</v>
      </c>
      <c r="M2644" s="196">
        <v>448</v>
      </c>
      <c r="N2644" s="196" t="s">
        <v>13204</v>
      </c>
      <c r="O2644" s="257" t="s">
        <v>11882</v>
      </c>
      <c r="P2644" s="17">
        <v>531</v>
      </c>
      <c r="Q2644" s="245">
        <f t="shared" si="155"/>
        <v>3</v>
      </c>
      <c r="R2644" s="245">
        <v>2.2000000000000002</v>
      </c>
      <c r="S2644" s="18">
        <v>5.2</v>
      </c>
    </row>
    <row r="2645" spans="1:37" x14ac:dyDescent="0.25">
      <c r="A2645" s="142">
        <v>632</v>
      </c>
      <c r="B2645" s="196" t="s">
        <v>13236</v>
      </c>
      <c r="C2645" s="196" t="s">
        <v>13237</v>
      </c>
      <c r="F2645" s="196">
        <v>2019</v>
      </c>
      <c r="H2645" s="196" t="s">
        <v>1878</v>
      </c>
      <c r="I2645" s="184" t="s">
        <v>1879</v>
      </c>
      <c r="J2645" s="54" t="s">
        <v>13231</v>
      </c>
      <c r="K2645" s="196" t="s">
        <v>1881</v>
      </c>
      <c r="L2645" s="16" t="s">
        <v>13238</v>
      </c>
      <c r="M2645" s="196">
        <v>304</v>
      </c>
      <c r="N2645" s="196" t="s">
        <v>13239</v>
      </c>
      <c r="O2645" s="257" t="s">
        <v>11883</v>
      </c>
      <c r="P2645" s="17">
        <v>302</v>
      </c>
      <c r="Q2645" s="245">
        <f t="shared" si="155"/>
        <v>2.5</v>
      </c>
      <c r="R2645" s="245">
        <v>2.2000000000000002</v>
      </c>
      <c r="S2645" s="18">
        <v>4.7</v>
      </c>
    </row>
    <row r="2646" spans="1:37" x14ac:dyDescent="0.25">
      <c r="A2646" s="142">
        <v>1365</v>
      </c>
      <c r="B2646" s="196" t="s">
        <v>4695</v>
      </c>
      <c r="C2646" s="196" t="s">
        <v>13240</v>
      </c>
      <c r="D2646" s="196" t="s">
        <v>1886</v>
      </c>
      <c r="E2646" s="196" t="s">
        <v>1899</v>
      </c>
      <c r="F2646" s="196">
        <v>2006</v>
      </c>
      <c r="H2646" s="196" t="s">
        <v>1878</v>
      </c>
      <c r="I2646" s="184" t="s">
        <v>1879</v>
      </c>
      <c r="K2646" s="196" t="s">
        <v>1881</v>
      </c>
      <c r="L2646" s="16" t="s">
        <v>13241</v>
      </c>
      <c r="M2646" s="196">
        <v>352</v>
      </c>
      <c r="N2646" s="184" t="s">
        <v>13232</v>
      </c>
      <c r="O2646" s="257" t="s">
        <v>11884</v>
      </c>
      <c r="P2646" s="17">
        <v>346</v>
      </c>
      <c r="Q2646" s="245">
        <f t="shared" si="155"/>
        <v>2.8</v>
      </c>
      <c r="R2646" s="245">
        <v>2.2000000000000002</v>
      </c>
      <c r="S2646" s="18">
        <v>5</v>
      </c>
    </row>
    <row r="2647" spans="1:37" x14ac:dyDescent="0.25">
      <c r="A2647" s="142">
        <v>655</v>
      </c>
      <c r="B2647" s="196" t="s">
        <v>13242</v>
      </c>
      <c r="C2647" s="196" t="s">
        <v>13243</v>
      </c>
      <c r="D2647" s="196" t="s">
        <v>13244</v>
      </c>
      <c r="E2647" s="196" t="s">
        <v>1913</v>
      </c>
      <c r="F2647" s="196">
        <v>1997</v>
      </c>
      <c r="H2647" s="196" t="s">
        <v>1878</v>
      </c>
      <c r="I2647" s="184" t="s">
        <v>1879</v>
      </c>
      <c r="J2647" s="182"/>
      <c r="K2647" s="196" t="s">
        <v>1881</v>
      </c>
      <c r="L2647" s="16" t="s">
        <v>13245</v>
      </c>
      <c r="M2647" s="196">
        <v>224</v>
      </c>
      <c r="N2647" s="196" t="s">
        <v>13187</v>
      </c>
      <c r="O2647" s="257" t="s">
        <v>11885</v>
      </c>
      <c r="P2647" s="17">
        <v>216</v>
      </c>
      <c r="Q2647" s="245">
        <f t="shared" si="155"/>
        <v>1.29</v>
      </c>
      <c r="R2647" s="245">
        <v>2.2000000000000002</v>
      </c>
      <c r="S2647" s="18">
        <v>3.49</v>
      </c>
    </row>
    <row r="2648" spans="1:37" x14ac:dyDescent="0.25">
      <c r="A2648" s="142">
        <v>2546</v>
      </c>
      <c r="B2648" s="196" t="s">
        <v>13246</v>
      </c>
      <c r="C2648" s="196" t="s">
        <v>13247</v>
      </c>
      <c r="D2648" s="196" t="s">
        <v>2309</v>
      </c>
      <c r="E2648" s="196" t="s">
        <v>1913</v>
      </c>
      <c r="F2648" s="196">
        <v>2006</v>
      </c>
      <c r="H2648" s="196" t="s">
        <v>1878</v>
      </c>
      <c r="I2648" s="184" t="s">
        <v>1879</v>
      </c>
      <c r="J2648" s="182"/>
      <c r="K2648" s="196" t="s">
        <v>1881</v>
      </c>
      <c r="L2648" s="16" t="s">
        <v>13248</v>
      </c>
      <c r="M2648" s="196">
        <v>340</v>
      </c>
      <c r="N2648" s="196" t="s">
        <v>13249</v>
      </c>
      <c r="O2648" s="257" t="s">
        <v>11886</v>
      </c>
      <c r="P2648" s="17">
        <v>438</v>
      </c>
      <c r="Q2648" s="245">
        <f t="shared" si="155"/>
        <v>0.80999999999999961</v>
      </c>
      <c r="R2648" s="245">
        <v>2.2000000000000002</v>
      </c>
      <c r="S2648" s="18">
        <v>3.01</v>
      </c>
    </row>
    <row r="2649" spans="1:37" x14ac:dyDescent="0.25">
      <c r="A2649" s="142">
        <v>1396</v>
      </c>
      <c r="B2649" s="196" t="s">
        <v>13250</v>
      </c>
      <c r="C2649" s="196" t="s">
        <v>13251</v>
      </c>
      <c r="D2649" s="196" t="s">
        <v>2054</v>
      </c>
      <c r="F2649" s="196">
        <v>2009</v>
      </c>
      <c r="H2649" s="196" t="s">
        <v>1878</v>
      </c>
      <c r="I2649" s="184" t="s">
        <v>1879</v>
      </c>
      <c r="J2649" s="182"/>
      <c r="K2649" s="196" t="s">
        <v>1881</v>
      </c>
      <c r="L2649" s="16" t="s">
        <v>13252</v>
      </c>
      <c r="M2649" s="196">
        <v>368</v>
      </c>
      <c r="N2649" s="196" t="s">
        <v>13232</v>
      </c>
      <c r="O2649" s="257" t="s">
        <v>11887</v>
      </c>
      <c r="P2649" s="17">
        <v>275</v>
      </c>
      <c r="Q2649" s="245">
        <f t="shared" si="155"/>
        <v>0.80999999999999961</v>
      </c>
      <c r="R2649" s="245">
        <v>2.2000000000000002</v>
      </c>
      <c r="S2649" s="18">
        <v>3.01</v>
      </c>
    </row>
    <row r="2650" spans="1:37" x14ac:dyDescent="0.25">
      <c r="A2650" s="142">
        <v>632</v>
      </c>
      <c r="B2650" s="196" t="s">
        <v>13253</v>
      </c>
      <c r="C2650" s="196" t="s">
        <v>13254</v>
      </c>
      <c r="D2650" s="196" t="s">
        <v>2407</v>
      </c>
      <c r="F2650" s="196">
        <v>2019</v>
      </c>
      <c r="H2650" s="196" t="s">
        <v>1878</v>
      </c>
      <c r="I2650" s="184" t="s">
        <v>1879</v>
      </c>
      <c r="J2650" s="54" t="s">
        <v>13231</v>
      </c>
      <c r="K2650" s="196" t="s">
        <v>1881</v>
      </c>
      <c r="L2650" s="16" t="s">
        <v>13255</v>
      </c>
      <c r="M2650" s="196">
        <v>304</v>
      </c>
      <c r="N2650" s="196" t="s">
        <v>13232</v>
      </c>
      <c r="O2650" s="257" t="s">
        <v>11888</v>
      </c>
      <c r="P2650" s="17">
        <v>304</v>
      </c>
      <c r="Q2650" s="245">
        <f t="shared" si="155"/>
        <v>4.29</v>
      </c>
      <c r="R2650" s="245">
        <v>2.2000000000000002</v>
      </c>
      <c r="S2650" s="18">
        <v>6.49</v>
      </c>
    </row>
    <row r="2651" spans="1:37" s="146" customFormat="1" x14ac:dyDescent="0.25">
      <c r="A2651" s="142">
        <v>1939</v>
      </c>
      <c r="B2651" s="196" t="s">
        <v>13256</v>
      </c>
      <c r="C2651" s="196" t="s">
        <v>13257</v>
      </c>
      <c r="D2651" s="196" t="s">
        <v>2054</v>
      </c>
      <c r="E2651" s="196"/>
      <c r="F2651" s="196">
        <v>2017</v>
      </c>
      <c r="G2651" s="196"/>
      <c r="H2651" s="148" t="s">
        <v>2963</v>
      </c>
      <c r="I2651" s="141" t="s">
        <v>1879</v>
      </c>
      <c r="J2651" s="196"/>
      <c r="K2651" s="196" t="s">
        <v>1881</v>
      </c>
      <c r="L2651" s="141" t="s">
        <v>13258</v>
      </c>
      <c r="M2651" s="196">
        <v>498</v>
      </c>
      <c r="N2651" s="196" t="s">
        <v>13249</v>
      </c>
      <c r="O2651" s="148" t="s">
        <v>11889</v>
      </c>
      <c r="P2651" s="144">
        <v>564</v>
      </c>
      <c r="Q2651" s="245">
        <f t="shared" si="155"/>
        <v>7.79</v>
      </c>
      <c r="R2651" s="245">
        <v>2.2000000000000002</v>
      </c>
      <c r="S2651" s="203">
        <v>9.99</v>
      </c>
      <c r="T2651" s="203"/>
      <c r="U2651" s="103"/>
      <c r="V2651" s="103"/>
      <c r="W2651" s="203"/>
      <c r="X2651" s="148"/>
      <c r="Y2651" s="148"/>
      <c r="Z2651" s="148"/>
      <c r="AA2651" s="148"/>
      <c r="AB2651" s="148"/>
      <c r="AC2651" s="148"/>
      <c r="AD2651" s="148"/>
      <c r="AH2651" s="147"/>
    </row>
    <row r="2652" spans="1:37" s="220" customFormat="1" x14ac:dyDescent="0.25">
      <c r="A2652" s="248">
        <v>612</v>
      </c>
      <c r="B2652" s="179" t="s">
        <v>13351</v>
      </c>
      <c r="C2652" s="179" t="s">
        <v>13352</v>
      </c>
      <c r="D2652" s="179" t="s">
        <v>9065</v>
      </c>
      <c r="E2652" s="179"/>
      <c r="F2652" s="270">
        <v>1996</v>
      </c>
      <c r="G2652" s="270"/>
      <c r="H2652" s="179" t="s">
        <v>2963</v>
      </c>
      <c r="I2652" s="215">
        <v>2</v>
      </c>
      <c r="J2652" s="179"/>
      <c r="K2652" s="179" t="s">
        <v>1881</v>
      </c>
      <c r="L2652" s="215">
        <v>3791819631</v>
      </c>
      <c r="M2652" s="179">
        <v>376</v>
      </c>
      <c r="N2652" s="179"/>
      <c r="O2652" s="271" t="s">
        <v>11890</v>
      </c>
      <c r="P2652" s="179">
        <v>657</v>
      </c>
      <c r="Q2652" s="252">
        <f t="shared" si="155"/>
        <v>3.5</v>
      </c>
      <c r="R2652" s="252">
        <v>2.2000000000000002</v>
      </c>
      <c r="S2652" s="271">
        <v>5.7</v>
      </c>
      <c r="T2652" s="179"/>
      <c r="U2652" s="179"/>
      <c r="V2652" s="179"/>
      <c r="W2652" s="179"/>
      <c r="X2652" s="179"/>
      <c r="Y2652" s="179"/>
      <c r="Z2652" s="179"/>
      <c r="AA2652" s="179"/>
      <c r="AB2652" s="179"/>
      <c r="AC2652" s="179"/>
      <c r="AD2652" s="179"/>
      <c r="AE2652" s="179"/>
      <c r="AF2652" s="179"/>
      <c r="AG2652" s="179"/>
      <c r="AH2652" s="179"/>
      <c r="AI2652" s="179"/>
      <c r="AJ2652" s="179"/>
      <c r="AK2652" s="179"/>
    </row>
    <row r="2653" spans="1:37" x14ac:dyDescent="0.25">
      <c r="A2653" s="41">
        <v>767</v>
      </c>
      <c r="B2653" t="s">
        <v>13353</v>
      </c>
      <c r="C2653" t="s">
        <v>13354</v>
      </c>
      <c r="D2653" t="s">
        <v>2257</v>
      </c>
      <c r="E2653"/>
      <c r="F2653" s="269">
        <v>1996</v>
      </c>
      <c r="G2653" s="269"/>
      <c r="H2653" t="s">
        <v>1878</v>
      </c>
      <c r="I2653" s="184">
        <v>4</v>
      </c>
      <c r="J2653" t="s">
        <v>13355</v>
      </c>
      <c r="K2653" t="s">
        <v>1881</v>
      </c>
      <c r="L2653" s="239">
        <v>9783426620090</v>
      </c>
      <c r="M2653">
        <v>599</v>
      </c>
      <c r="N2653"/>
      <c r="O2653" s="267" t="s">
        <v>11891</v>
      </c>
      <c r="P2653">
        <v>512</v>
      </c>
      <c r="Q2653" s="245">
        <f t="shared" si="155"/>
        <v>2.5999999999999996</v>
      </c>
      <c r="R2653" s="245">
        <v>2.2000000000000002</v>
      </c>
      <c r="S2653" s="268">
        <v>4.8</v>
      </c>
      <c r="T2653"/>
      <c r="U2653"/>
      <c r="V2653"/>
      <c r="W2653"/>
      <c r="AD2653"/>
      <c r="AE2653"/>
      <c r="AF2653"/>
      <c r="AG2653"/>
      <c r="AH2653"/>
      <c r="AI2653"/>
      <c r="AJ2653"/>
      <c r="AK2653"/>
    </row>
    <row r="2654" spans="1:37" x14ac:dyDescent="0.25">
      <c r="A2654" s="41">
        <v>1327</v>
      </c>
      <c r="B2654" t="s">
        <v>13356</v>
      </c>
      <c r="C2654" t="s">
        <v>13357</v>
      </c>
      <c r="D2654" t="s">
        <v>1988</v>
      </c>
      <c r="E2654" t="s">
        <v>1913</v>
      </c>
      <c r="F2654" s="269">
        <v>2000</v>
      </c>
      <c r="G2654" s="269"/>
      <c r="H2654" t="s">
        <v>1878</v>
      </c>
      <c r="I2654" s="184">
        <v>3</v>
      </c>
      <c r="J2654" t="s">
        <v>9196</v>
      </c>
      <c r="K2654" t="s">
        <v>1881</v>
      </c>
      <c r="L2654" s="239">
        <v>9783423203340</v>
      </c>
      <c r="M2654">
        <v>159</v>
      </c>
      <c r="N2654"/>
      <c r="O2654" s="267" t="s">
        <v>11892</v>
      </c>
      <c r="P2654">
        <v>181</v>
      </c>
      <c r="Q2654" s="245">
        <f t="shared" si="155"/>
        <v>1.1999999999999997</v>
      </c>
      <c r="R2654" s="245">
        <v>2.2000000000000002</v>
      </c>
      <c r="S2654" s="268">
        <v>3.4</v>
      </c>
      <c r="T2654"/>
      <c r="U2654"/>
      <c r="V2654"/>
      <c r="W2654"/>
      <c r="AD2654"/>
      <c r="AE2654"/>
      <c r="AF2654"/>
      <c r="AG2654"/>
      <c r="AH2654"/>
      <c r="AI2654"/>
      <c r="AJ2654"/>
      <c r="AK2654"/>
    </row>
    <row r="2655" spans="1:37" x14ac:dyDescent="0.25">
      <c r="A2655" s="41">
        <v>591</v>
      </c>
      <c r="B2655" t="s">
        <v>13358</v>
      </c>
      <c r="C2655" t="s">
        <v>13359</v>
      </c>
      <c r="D2655" t="s">
        <v>13360</v>
      </c>
      <c r="E2655" t="s">
        <v>1877</v>
      </c>
      <c r="F2655" s="269">
        <v>1988</v>
      </c>
      <c r="G2655" s="269"/>
      <c r="H2655" t="s">
        <v>1878</v>
      </c>
      <c r="I2655" s="184" t="s">
        <v>6422</v>
      </c>
      <c r="J2655" t="s">
        <v>13361</v>
      </c>
      <c r="K2655" t="s">
        <v>1881</v>
      </c>
      <c r="L2655" s="239">
        <v>931689031</v>
      </c>
      <c r="M2655">
        <v>122</v>
      </c>
      <c r="N2655"/>
      <c r="O2655" s="267" t="s">
        <v>11893</v>
      </c>
      <c r="P2655">
        <v>175</v>
      </c>
      <c r="Q2655" s="245">
        <f t="shared" si="155"/>
        <v>17.8</v>
      </c>
      <c r="R2655" s="245">
        <v>2.2000000000000002</v>
      </c>
      <c r="S2655" s="268">
        <v>20</v>
      </c>
      <c r="T2655"/>
      <c r="U2655"/>
      <c r="V2655"/>
      <c r="W2655"/>
      <c r="AD2655"/>
      <c r="AE2655"/>
      <c r="AF2655"/>
      <c r="AG2655"/>
      <c r="AH2655"/>
      <c r="AI2655"/>
      <c r="AJ2655"/>
      <c r="AK2655"/>
    </row>
    <row r="2656" spans="1:37" x14ac:dyDescent="0.25">
      <c r="A2656" s="41">
        <v>1927</v>
      </c>
      <c r="B2656" t="s">
        <v>13362</v>
      </c>
      <c r="C2656" t="s">
        <v>13363</v>
      </c>
      <c r="D2656"/>
      <c r="E2656"/>
      <c r="F2656" s="269"/>
      <c r="G2656" s="269"/>
      <c r="H2656" t="s">
        <v>1878</v>
      </c>
      <c r="I2656" s="184">
        <v>4</v>
      </c>
      <c r="J2656"/>
      <c r="K2656" t="s">
        <v>1881</v>
      </c>
      <c r="L2656" s="239">
        <v>3596230683</v>
      </c>
      <c r="M2656">
        <v>262</v>
      </c>
      <c r="N2656"/>
      <c r="O2656" s="267" t="s">
        <v>11894</v>
      </c>
      <c r="P2656">
        <v>174</v>
      </c>
      <c r="Q2656" s="245">
        <f t="shared" si="155"/>
        <v>1.9799999999999995</v>
      </c>
      <c r="R2656" s="245">
        <v>2.2000000000000002</v>
      </c>
      <c r="S2656" s="268">
        <v>4.18</v>
      </c>
      <c r="T2656"/>
      <c r="U2656"/>
      <c r="V2656"/>
      <c r="W2656"/>
      <c r="AD2656"/>
      <c r="AE2656"/>
      <c r="AF2656"/>
      <c r="AG2656"/>
      <c r="AH2656"/>
      <c r="AI2656"/>
      <c r="AJ2656"/>
      <c r="AK2656"/>
    </row>
    <row r="2657" spans="1:37" x14ac:dyDescent="0.25">
      <c r="A2657" s="41">
        <v>2512</v>
      </c>
      <c r="B2657" t="s">
        <v>13364</v>
      </c>
      <c r="C2657" t="s">
        <v>13365</v>
      </c>
      <c r="D2657" t="s">
        <v>1912</v>
      </c>
      <c r="E2657"/>
      <c r="F2657" s="269">
        <v>2009</v>
      </c>
      <c r="G2657" s="269"/>
      <c r="H2657" t="s">
        <v>1878</v>
      </c>
      <c r="I2657" s="184">
        <v>2</v>
      </c>
      <c r="J2657"/>
      <c r="K2657" t="s">
        <v>1881</v>
      </c>
      <c r="L2657" s="239">
        <v>9783442470471</v>
      </c>
      <c r="M2657">
        <v>348</v>
      </c>
      <c r="N2657"/>
      <c r="O2657" s="267" t="s">
        <v>11895</v>
      </c>
      <c r="P2657">
        <v>290</v>
      </c>
      <c r="Q2657" s="245">
        <f t="shared" si="155"/>
        <v>2.04</v>
      </c>
      <c r="R2657" s="245">
        <v>2.2000000000000002</v>
      </c>
      <c r="S2657" s="268">
        <v>4.24</v>
      </c>
      <c r="T2657"/>
      <c r="U2657"/>
      <c r="V2657"/>
      <c r="W2657"/>
      <c r="AD2657"/>
      <c r="AE2657"/>
      <c r="AF2657"/>
      <c r="AG2657"/>
      <c r="AH2657"/>
      <c r="AI2657"/>
      <c r="AJ2657"/>
      <c r="AK2657"/>
    </row>
    <row r="2658" spans="1:37" x14ac:dyDescent="0.25">
      <c r="A2658" s="41">
        <v>799</v>
      </c>
      <c r="B2658" t="s">
        <v>13366</v>
      </c>
      <c r="C2658" t="s">
        <v>13367</v>
      </c>
      <c r="D2658" t="s">
        <v>5005</v>
      </c>
      <c r="E2658"/>
      <c r="F2658" s="269">
        <v>1978</v>
      </c>
      <c r="G2658" s="269"/>
      <c r="H2658" t="s">
        <v>2963</v>
      </c>
      <c r="I2658" s="184">
        <v>2</v>
      </c>
      <c r="J2658"/>
      <c r="K2658" t="s">
        <v>1881</v>
      </c>
      <c r="L2658" s="239"/>
      <c r="M2658">
        <v>323</v>
      </c>
      <c r="N2658"/>
      <c r="O2658" s="267" t="s">
        <v>11896</v>
      </c>
      <c r="P2658">
        <v>673</v>
      </c>
      <c r="Q2658" s="245">
        <f t="shared" si="155"/>
        <v>1.9799999999999995</v>
      </c>
      <c r="R2658" s="245">
        <v>2.2000000000000002</v>
      </c>
      <c r="S2658" s="268">
        <v>4.18</v>
      </c>
      <c r="T2658"/>
      <c r="U2658"/>
      <c r="V2658"/>
      <c r="W2658"/>
      <c r="AD2658"/>
      <c r="AE2658"/>
      <c r="AF2658"/>
      <c r="AG2658"/>
      <c r="AH2658"/>
      <c r="AI2658"/>
      <c r="AJ2658"/>
      <c r="AK2658"/>
    </row>
    <row r="2659" spans="1:37" x14ac:dyDescent="0.25">
      <c r="A2659" s="41">
        <v>647</v>
      </c>
      <c r="B2659" t="s">
        <v>13368</v>
      </c>
      <c r="C2659" t="s">
        <v>13369</v>
      </c>
      <c r="D2659"/>
      <c r="E2659"/>
      <c r="F2659" s="269">
        <v>1993</v>
      </c>
      <c r="G2659" s="269"/>
      <c r="H2659" t="s">
        <v>2963</v>
      </c>
      <c r="I2659" s="184" t="s">
        <v>1914</v>
      </c>
      <c r="J2659"/>
      <c r="K2659" t="s">
        <v>1881</v>
      </c>
      <c r="L2659" s="239">
        <v>9783823101192</v>
      </c>
      <c r="M2659">
        <v>96</v>
      </c>
      <c r="N2659"/>
      <c r="O2659" s="267" t="s">
        <v>11897</v>
      </c>
      <c r="P2659">
        <v>367</v>
      </c>
      <c r="Q2659" s="245">
        <f t="shared" si="155"/>
        <v>1.21</v>
      </c>
      <c r="R2659" s="245">
        <v>2.2000000000000002</v>
      </c>
      <c r="S2659" s="268">
        <v>3.41</v>
      </c>
      <c r="T2659"/>
      <c r="U2659"/>
      <c r="V2659"/>
      <c r="W2659"/>
      <c r="AD2659"/>
      <c r="AE2659"/>
      <c r="AF2659"/>
      <c r="AG2659"/>
      <c r="AH2659"/>
      <c r="AI2659"/>
      <c r="AJ2659"/>
      <c r="AK2659"/>
    </row>
    <row r="2660" spans="1:37" x14ac:dyDescent="0.25">
      <c r="A2660" s="41">
        <v>706</v>
      </c>
      <c r="B2660" t="s">
        <v>13370</v>
      </c>
      <c r="C2660" t="s">
        <v>13371</v>
      </c>
      <c r="D2660" t="s">
        <v>13372</v>
      </c>
      <c r="E2660"/>
      <c r="F2660" s="269">
        <v>1915</v>
      </c>
      <c r="G2660" s="269"/>
      <c r="H2660" t="s">
        <v>2963</v>
      </c>
      <c r="I2660" s="184">
        <v>4</v>
      </c>
      <c r="J2660" t="s">
        <v>13373</v>
      </c>
      <c r="K2660" t="s">
        <v>1881</v>
      </c>
      <c r="L2660" s="239"/>
      <c r="M2660">
        <v>206</v>
      </c>
      <c r="N2660"/>
      <c r="O2660" s="267" t="s">
        <v>11898</v>
      </c>
      <c r="P2660">
        <v>322</v>
      </c>
      <c r="Q2660" s="245">
        <f t="shared" si="155"/>
        <v>5.2</v>
      </c>
      <c r="R2660" s="245">
        <v>2.2000000000000002</v>
      </c>
      <c r="S2660" s="268">
        <v>7.4</v>
      </c>
      <c r="T2660"/>
      <c r="U2660"/>
      <c r="V2660"/>
      <c r="W2660"/>
      <c r="AD2660"/>
      <c r="AE2660"/>
      <c r="AF2660"/>
      <c r="AG2660"/>
      <c r="AH2660"/>
      <c r="AI2660"/>
      <c r="AJ2660"/>
      <c r="AK2660"/>
    </row>
    <row r="2661" spans="1:37" x14ac:dyDescent="0.25">
      <c r="A2661" s="41">
        <v>8</v>
      </c>
      <c r="B2661" t="s">
        <v>13374</v>
      </c>
      <c r="C2661" t="s">
        <v>13375</v>
      </c>
      <c r="D2661" t="s">
        <v>9961</v>
      </c>
      <c r="E2661"/>
      <c r="F2661" s="307"/>
      <c r="G2661" s="307"/>
      <c r="H2661" t="s">
        <v>2963</v>
      </c>
      <c r="I2661" s="184">
        <v>3</v>
      </c>
      <c r="J2661"/>
      <c r="K2661" t="s">
        <v>1881</v>
      </c>
      <c r="L2661" s="239"/>
      <c r="M2661">
        <v>250</v>
      </c>
      <c r="N2661"/>
      <c r="O2661" s="267" t="s">
        <v>11899</v>
      </c>
      <c r="P2661">
        <v>371</v>
      </c>
      <c r="Q2661" s="245">
        <f t="shared" si="155"/>
        <v>2</v>
      </c>
      <c r="R2661" s="245">
        <v>2.2000000000000002</v>
      </c>
      <c r="S2661" s="268">
        <v>4.2</v>
      </c>
      <c r="T2661"/>
      <c r="U2661"/>
      <c r="V2661"/>
      <c r="W2661"/>
      <c r="AD2661"/>
      <c r="AE2661"/>
      <c r="AF2661"/>
      <c r="AG2661"/>
      <c r="AH2661"/>
      <c r="AI2661"/>
      <c r="AJ2661"/>
      <c r="AK2661"/>
    </row>
    <row r="2662" spans="1:37" x14ac:dyDescent="0.25">
      <c r="A2662" s="1">
        <v>319</v>
      </c>
      <c r="B2662" s="1" t="s">
        <v>13259</v>
      </c>
      <c r="C2662" s="1" t="s">
        <v>13260</v>
      </c>
      <c r="D2662" s="1" t="s">
        <v>13261</v>
      </c>
      <c r="E2662" s="196" t="s">
        <v>1913</v>
      </c>
      <c r="F2662" s="1">
        <v>2015</v>
      </c>
      <c r="H2662" s="196" t="s">
        <v>1878</v>
      </c>
      <c r="I2662" s="184" t="s">
        <v>1879</v>
      </c>
      <c r="K2662" s="1" t="s">
        <v>1881</v>
      </c>
      <c r="L2662" s="16" t="s">
        <v>13262</v>
      </c>
      <c r="M2662" s="1">
        <v>240</v>
      </c>
      <c r="N2662" s="196" t="s">
        <v>13263</v>
      </c>
      <c r="O2662" s="257" t="s">
        <v>11900</v>
      </c>
      <c r="P2662" s="17">
        <v>177</v>
      </c>
      <c r="Q2662" s="245">
        <f t="shared" si="155"/>
        <v>4.24</v>
      </c>
      <c r="R2662" s="245">
        <v>2.2000000000000002</v>
      </c>
      <c r="S2662" s="18">
        <v>6.44</v>
      </c>
    </row>
    <row r="2663" spans="1:37" x14ac:dyDescent="0.25">
      <c r="A2663" s="1">
        <v>1385</v>
      </c>
      <c r="B2663" s="1" t="s">
        <v>13264</v>
      </c>
      <c r="C2663" s="1" t="s">
        <v>13265</v>
      </c>
      <c r="E2663" s="1" t="s">
        <v>1877</v>
      </c>
      <c r="F2663" s="1">
        <v>2000</v>
      </c>
      <c r="H2663" s="196" t="s">
        <v>1878</v>
      </c>
      <c r="I2663" s="184" t="s">
        <v>1879</v>
      </c>
      <c r="J2663" s="182"/>
      <c r="K2663" s="182" t="s">
        <v>1881</v>
      </c>
      <c r="L2663" s="16" t="s">
        <v>13266</v>
      </c>
      <c r="M2663" s="1">
        <v>144</v>
      </c>
      <c r="N2663" s="196" t="s">
        <v>13267</v>
      </c>
      <c r="O2663" s="257" t="s">
        <v>11901</v>
      </c>
      <c r="P2663" s="17">
        <v>268</v>
      </c>
      <c r="Q2663" s="245">
        <f t="shared" si="155"/>
        <v>0.69</v>
      </c>
      <c r="R2663" s="245">
        <v>2.2000000000000002</v>
      </c>
      <c r="S2663" s="18">
        <v>2.89</v>
      </c>
    </row>
    <row r="2664" spans="1:37" x14ac:dyDescent="0.25">
      <c r="A2664" s="1">
        <v>1395</v>
      </c>
      <c r="B2664" s="1" t="s">
        <v>4695</v>
      </c>
      <c r="C2664" s="1" t="s">
        <v>13268</v>
      </c>
      <c r="D2664" s="1" t="s">
        <v>2309</v>
      </c>
      <c r="E2664" s="196" t="s">
        <v>2412</v>
      </c>
      <c r="F2664" s="1">
        <v>2004</v>
      </c>
      <c r="H2664" s="196" t="s">
        <v>1878</v>
      </c>
      <c r="I2664" s="184" t="s">
        <v>1879</v>
      </c>
      <c r="K2664" s="1" t="s">
        <v>1881</v>
      </c>
      <c r="L2664" s="16" t="s">
        <v>7519</v>
      </c>
      <c r="M2664" s="1">
        <v>258</v>
      </c>
      <c r="N2664" s="196" t="s">
        <v>13170</v>
      </c>
      <c r="O2664" s="257" t="s">
        <v>11902</v>
      </c>
      <c r="P2664" s="17">
        <v>260</v>
      </c>
      <c r="Q2664" s="245">
        <f t="shared" si="155"/>
        <v>0.94</v>
      </c>
      <c r="R2664" s="245">
        <v>2.2000000000000002</v>
      </c>
      <c r="S2664" s="18">
        <v>3.14</v>
      </c>
    </row>
    <row r="2665" spans="1:37" x14ac:dyDescent="0.25">
      <c r="A2665" s="196">
        <v>1386</v>
      </c>
      <c r="B2665" s="196" t="s">
        <v>13269</v>
      </c>
      <c r="C2665" s="196" t="s">
        <v>13270</v>
      </c>
      <c r="D2665" s="1" t="s">
        <v>8697</v>
      </c>
      <c r="F2665" s="196">
        <v>1997</v>
      </c>
      <c r="H2665" s="196" t="s">
        <v>1878</v>
      </c>
      <c r="I2665" s="184" t="s">
        <v>1879</v>
      </c>
      <c r="J2665" s="182"/>
      <c r="K2665" s="182" t="s">
        <v>1881</v>
      </c>
      <c r="L2665" s="16" t="s">
        <v>13271</v>
      </c>
      <c r="M2665" s="196">
        <v>576</v>
      </c>
      <c r="N2665" s="196" t="s">
        <v>13239</v>
      </c>
      <c r="O2665" s="257" t="s">
        <v>11903</v>
      </c>
      <c r="P2665" s="17">
        <v>555</v>
      </c>
      <c r="Q2665" s="245">
        <f t="shared" si="155"/>
        <v>1.6999999999999997</v>
      </c>
      <c r="R2665" s="245">
        <v>2.2000000000000002</v>
      </c>
      <c r="S2665" s="18">
        <v>3.9</v>
      </c>
    </row>
    <row r="2666" spans="1:37" x14ac:dyDescent="0.25">
      <c r="A2666" s="196">
        <v>1276</v>
      </c>
      <c r="B2666" s="196" t="s">
        <v>13272</v>
      </c>
      <c r="C2666" s="196" t="s">
        <v>13273</v>
      </c>
      <c r="D2666" s="196" t="s">
        <v>2300</v>
      </c>
      <c r="E2666" s="196" t="s">
        <v>1913</v>
      </c>
      <c r="F2666" s="196">
        <v>1997</v>
      </c>
      <c r="H2666" s="197" t="s">
        <v>2963</v>
      </c>
      <c r="I2666" s="184" t="s">
        <v>1879</v>
      </c>
      <c r="J2666" s="182"/>
      <c r="K2666" s="196" t="s">
        <v>1881</v>
      </c>
      <c r="L2666" s="16" t="s">
        <v>13274</v>
      </c>
      <c r="M2666" s="196">
        <v>258</v>
      </c>
      <c r="N2666" s="196" t="s">
        <v>13275</v>
      </c>
      <c r="O2666" s="257" t="s">
        <v>11904</v>
      </c>
      <c r="P2666" s="17">
        <v>441</v>
      </c>
      <c r="Q2666" s="245">
        <f t="shared" si="155"/>
        <v>12.600000000000001</v>
      </c>
      <c r="R2666" s="245">
        <v>2.2000000000000002</v>
      </c>
      <c r="S2666" s="18">
        <v>14.8</v>
      </c>
    </row>
    <row r="2667" spans="1:37" x14ac:dyDescent="0.25">
      <c r="A2667" s="196">
        <v>1396</v>
      </c>
      <c r="B2667" s="196" t="s">
        <v>10233</v>
      </c>
      <c r="C2667" s="196" t="s">
        <v>13276</v>
      </c>
      <c r="D2667" s="196" t="s">
        <v>2209</v>
      </c>
      <c r="F2667" s="196">
        <v>2008</v>
      </c>
      <c r="H2667" s="196" t="s">
        <v>1878</v>
      </c>
      <c r="I2667" s="184" t="s">
        <v>1879</v>
      </c>
      <c r="J2667" s="182"/>
      <c r="K2667" s="182" t="s">
        <v>1881</v>
      </c>
      <c r="L2667" s="16" t="s">
        <v>13277</v>
      </c>
      <c r="M2667" s="196">
        <v>288</v>
      </c>
      <c r="N2667" s="196" t="s">
        <v>13187</v>
      </c>
      <c r="O2667" s="257" t="s">
        <v>11905</v>
      </c>
      <c r="P2667" s="17">
        <v>277</v>
      </c>
      <c r="Q2667" s="245">
        <f t="shared" si="155"/>
        <v>1.8599999999999994</v>
      </c>
      <c r="R2667" s="245">
        <v>2.2000000000000002</v>
      </c>
      <c r="S2667" s="18">
        <v>4.0599999999999996</v>
      </c>
    </row>
    <row r="2668" spans="1:37" x14ac:dyDescent="0.25">
      <c r="A2668" s="196">
        <v>689</v>
      </c>
      <c r="B2668" s="196" t="s">
        <v>13278</v>
      </c>
      <c r="C2668" s="196" t="s">
        <v>13279</v>
      </c>
      <c r="D2668" s="196" t="s">
        <v>13280</v>
      </c>
      <c r="F2668" s="196">
        <v>2003</v>
      </c>
      <c r="H2668" s="197" t="s">
        <v>2963</v>
      </c>
      <c r="I2668" s="184" t="s">
        <v>1879</v>
      </c>
      <c r="J2668" s="182"/>
      <c r="K2668" s="196" t="s">
        <v>1881</v>
      </c>
      <c r="M2668" s="196">
        <v>514</v>
      </c>
      <c r="N2668" s="196" t="s">
        <v>13281</v>
      </c>
      <c r="O2668" s="257" t="s">
        <v>11906</v>
      </c>
      <c r="P2668" s="17">
        <v>651</v>
      </c>
      <c r="Q2668" s="245">
        <f t="shared" si="155"/>
        <v>1.7399999999999998</v>
      </c>
      <c r="R2668" s="245">
        <v>2.2000000000000002</v>
      </c>
      <c r="S2668" s="18">
        <v>3.94</v>
      </c>
    </row>
    <row r="2669" spans="1:37" x14ac:dyDescent="0.25">
      <c r="A2669" s="196">
        <v>689</v>
      </c>
      <c r="B2669" s="196" t="s">
        <v>2870</v>
      </c>
      <c r="C2669" s="196" t="s">
        <v>13282</v>
      </c>
      <c r="D2669" s="196" t="s">
        <v>2054</v>
      </c>
      <c r="F2669" s="196">
        <v>1993</v>
      </c>
      <c r="H2669" s="197" t="s">
        <v>2963</v>
      </c>
      <c r="I2669" s="16" t="s">
        <v>1914</v>
      </c>
      <c r="K2669" s="196" t="s">
        <v>1881</v>
      </c>
      <c r="L2669" s="16" t="s">
        <v>13283</v>
      </c>
      <c r="M2669" s="196">
        <v>342</v>
      </c>
      <c r="N2669" s="196" t="s">
        <v>13209</v>
      </c>
      <c r="O2669" s="257" t="s">
        <v>11907</v>
      </c>
      <c r="P2669" s="17">
        <v>398</v>
      </c>
      <c r="Q2669" s="245">
        <f t="shared" si="155"/>
        <v>4.99</v>
      </c>
      <c r="R2669" s="245">
        <v>2.2000000000000002</v>
      </c>
      <c r="S2669" s="18">
        <v>7.19</v>
      </c>
    </row>
    <row r="2670" spans="1:37" x14ac:dyDescent="0.25">
      <c r="A2670" s="196">
        <v>689</v>
      </c>
      <c r="B2670" s="196" t="s">
        <v>2870</v>
      </c>
      <c r="C2670" s="196" t="s">
        <v>13284</v>
      </c>
      <c r="D2670" s="196" t="s">
        <v>2054</v>
      </c>
      <c r="F2670" s="196">
        <v>1984</v>
      </c>
      <c r="H2670" s="197" t="s">
        <v>2963</v>
      </c>
      <c r="I2670" s="184" t="s">
        <v>1879</v>
      </c>
      <c r="J2670" s="182"/>
      <c r="K2670" s="196" t="s">
        <v>1881</v>
      </c>
      <c r="L2670" s="16" t="s">
        <v>13285</v>
      </c>
      <c r="M2670" s="196">
        <v>402</v>
      </c>
      <c r="N2670" s="257" t="s">
        <v>13209</v>
      </c>
      <c r="O2670" s="257" t="s">
        <v>11908</v>
      </c>
      <c r="P2670" s="17">
        <v>450</v>
      </c>
      <c r="Q2670" s="245">
        <f t="shared" si="155"/>
        <v>4.99</v>
      </c>
      <c r="R2670" s="245">
        <v>2.2000000000000002</v>
      </c>
      <c r="S2670" s="18">
        <v>7.19</v>
      </c>
    </row>
    <row r="2671" spans="1:37" x14ac:dyDescent="0.25">
      <c r="A2671" s="196">
        <v>941</v>
      </c>
      <c r="B2671" s="196" t="s">
        <v>13286</v>
      </c>
      <c r="C2671" s="196" t="s">
        <v>13287</v>
      </c>
      <c r="D2671" s="196" t="s">
        <v>2054</v>
      </c>
      <c r="F2671" s="196">
        <v>2003</v>
      </c>
      <c r="H2671" s="197" t="s">
        <v>2963</v>
      </c>
      <c r="I2671" s="184" t="s">
        <v>1879</v>
      </c>
      <c r="K2671" s="196" t="s">
        <v>1881</v>
      </c>
      <c r="L2671" s="16" t="s">
        <v>13288</v>
      </c>
      <c r="M2671" s="196">
        <v>230</v>
      </c>
      <c r="N2671" s="196" t="s">
        <v>13178</v>
      </c>
      <c r="O2671" s="257" t="s">
        <v>11909</v>
      </c>
      <c r="P2671" s="17">
        <v>361</v>
      </c>
      <c r="Q2671" s="245">
        <f t="shared" si="155"/>
        <v>1.17</v>
      </c>
      <c r="R2671" s="245">
        <v>2.2000000000000002</v>
      </c>
      <c r="S2671" s="18">
        <v>3.37</v>
      </c>
    </row>
    <row r="2672" spans="1:37" x14ac:dyDescent="0.25">
      <c r="A2672" s="41">
        <v>1810</v>
      </c>
      <c r="B2672" t="s">
        <v>13376</v>
      </c>
      <c r="C2672" t="s">
        <v>13377</v>
      </c>
      <c r="D2672" t="s">
        <v>13378</v>
      </c>
      <c r="E2672" t="s">
        <v>2175</v>
      </c>
      <c r="F2672" s="269">
        <v>1962</v>
      </c>
      <c r="G2672" s="269"/>
      <c r="H2672" t="s">
        <v>2963</v>
      </c>
      <c r="I2672" s="184">
        <v>3</v>
      </c>
      <c r="J2672"/>
      <c r="K2672" t="s">
        <v>1881</v>
      </c>
      <c r="L2672" s="256"/>
      <c r="M2672">
        <v>520</v>
      </c>
      <c r="N2672"/>
      <c r="O2672" s="267" t="s">
        <v>11910</v>
      </c>
      <c r="P2672">
        <v>1105</v>
      </c>
      <c r="Q2672" s="245">
        <f t="shared" si="155"/>
        <v>11.86</v>
      </c>
      <c r="R2672" s="245">
        <v>2.2000000000000002</v>
      </c>
      <c r="S2672" s="18">
        <v>14.06</v>
      </c>
    </row>
    <row r="2673" spans="1:19" x14ac:dyDescent="0.25">
      <c r="A2673" s="41">
        <v>692</v>
      </c>
      <c r="B2673" t="s">
        <v>13379</v>
      </c>
      <c r="C2673" t="s">
        <v>13380</v>
      </c>
      <c r="D2673" t="s">
        <v>1988</v>
      </c>
      <c r="E2673"/>
      <c r="F2673" s="269">
        <v>2000</v>
      </c>
      <c r="G2673" s="269"/>
      <c r="H2673" t="s">
        <v>1878</v>
      </c>
      <c r="I2673" s="184">
        <v>3</v>
      </c>
      <c r="J2673"/>
      <c r="K2673" t="s">
        <v>1881</v>
      </c>
      <c r="L2673" s="256">
        <v>3423361972</v>
      </c>
      <c r="M2673">
        <v>278</v>
      </c>
      <c r="N2673"/>
      <c r="O2673" s="267" t="s">
        <v>11911</v>
      </c>
      <c r="P2673">
        <v>258</v>
      </c>
      <c r="Q2673" s="245">
        <f t="shared" si="155"/>
        <v>2.79</v>
      </c>
      <c r="R2673" s="245">
        <v>2.2000000000000002</v>
      </c>
      <c r="S2673" s="18">
        <v>4.99</v>
      </c>
    </row>
    <row r="2674" spans="1:19" x14ac:dyDescent="0.25">
      <c r="A2674" s="41">
        <v>1324</v>
      </c>
      <c r="B2674" t="s">
        <v>13381</v>
      </c>
      <c r="C2674" t="s">
        <v>13382</v>
      </c>
      <c r="D2674" t="s">
        <v>13383</v>
      </c>
      <c r="E2674"/>
      <c r="F2674" s="269">
        <v>2002</v>
      </c>
      <c r="G2674" s="269"/>
      <c r="H2674" t="s">
        <v>2963</v>
      </c>
      <c r="I2674" s="184">
        <v>2</v>
      </c>
      <c r="J2674"/>
      <c r="K2674" t="s">
        <v>1881</v>
      </c>
      <c r="L2674" s="256"/>
      <c r="M2674">
        <v>320</v>
      </c>
      <c r="N2674"/>
      <c r="O2674" s="267" t="s">
        <v>11912</v>
      </c>
      <c r="P2674">
        <v>665</v>
      </c>
      <c r="Q2674" s="245">
        <f t="shared" si="155"/>
        <v>6.9999999999999991</v>
      </c>
      <c r="R2674" s="245">
        <v>2.2000000000000002</v>
      </c>
      <c r="S2674" s="18">
        <v>9.1999999999999993</v>
      </c>
    </row>
    <row r="2675" spans="1:19" x14ac:dyDescent="0.25">
      <c r="A2675" s="41">
        <v>1382</v>
      </c>
      <c r="B2675" t="s">
        <v>13384</v>
      </c>
      <c r="C2675" t="s">
        <v>13385</v>
      </c>
      <c r="D2675" t="s">
        <v>13386</v>
      </c>
      <c r="E2675"/>
      <c r="F2675" s="269"/>
      <c r="G2675" s="269"/>
      <c r="H2675" t="s">
        <v>1878</v>
      </c>
      <c r="I2675" s="184">
        <v>2</v>
      </c>
      <c r="J2675"/>
      <c r="K2675" t="s">
        <v>1881</v>
      </c>
      <c r="L2675" s="256">
        <v>9783778736913</v>
      </c>
      <c r="M2675">
        <v>95</v>
      </c>
      <c r="N2675"/>
      <c r="O2675" s="267" t="s">
        <v>11913</v>
      </c>
      <c r="P2675">
        <v>284</v>
      </c>
      <c r="Q2675" s="245">
        <f t="shared" si="155"/>
        <v>1.8099999999999996</v>
      </c>
      <c r="R2675" s="245">
        <v>2.2000000000000002</v>
      </c>
      <c r="S2675" s="18">
        <v>4.01</v>
      </c>
    </row>
    <row r="2676" spans="1:19" x14ac:dyDescent="0.25">
      <c r="A2676" s="41">
        <v>14</v>
      </c>
      <c r="B2676" t="s">
        <v>13387</v>
      </c>
      <c r="C2676" t="s">
        <v>13388</v>
      </c>
      <c r="D2676" t="s">
        <v>13389</v>
      </c>
      <c r="E2676" t="s">
        <v>1877</v>
      </c>
      <c r="F2676" s="269">
        <v>1967</v>
      </c>
      <c r="G2676" s="269"/>
      <c r="H2676" t="s">
        <v>2963</v>
      </c>
      <c r="I2676" s="184">
        <v>2</v>
      </c>
      <c r="J2676"/>
      <c r="K2676" t="s">
        <v>1881</v>
      </c>
      <c r="L2676" s="256"/>
      <c r="M2676">
        <v>95</v>
      </c>
      <c r="N2676"/>
      <c r="O2676" s="267" t="s">
        <v>11914</v>
      </c>
      <c r="P2676">
        <v>124</v>
      </c>
      <c r="Q2676" s="245">
        <f t="shared" si="155"/>
        <v>5.3</v>
      </c>
      <c r="R2676" s="245">
        <v>2.2000000000000002</v>
      </c>
      <c r="S2676" s="18">
        <v>7.5</v>
      </c>
    </row>
    <row r="2677" spans="1:19" x14ac:dyDescent="0.25">
      <c r="A2677" s="41">
        <v>2201</v>
      </c>
      <c r="B2677" t="s">
        <v>13390</v>
      </c>
      <c r="C2677" t="s">
        <v>13391</v>
      </c>
      <c r="D2677" t="s">
        <v>13392</v>
      </c>
      <c r="E2677"/>
      <c r="F2677" s="269">
        <v>1982</v>
      </c>
      <c r="G2677" s="269"/>
      <c r="H2677" t="s">
        <v>2963</v>
      </c>
      <c r="I2677" s="184">
        <v>2</v>
      </c>
      <c r="J2677" t="s">
        <v>13393</v>
      </c>
      <c r="K2677" t="s">
        <v>1881</v>
      </c>
      <c r="L2677" s="256">
        <v>3726363475</v>
      </c>
      <c r="M2677">
        <v>359</v>
      </c>
      <c r="N2677"/>
      <c r="O2677" s="267" t="s">
        <v>11915</v>
      </c>
      <c r="P2677">
        <v>619</v>
      </c>
      <c r="Q2677" s="245">
        <f t="shared" si="155"/>
        <v>3.5999999999999996</v>
      </c>
      <c r="R2677" s="245">
        <v>2.2000000000000002</v>
      </c>
      <c r="S2677" s="18">
        <v>5.8</v>
      </c>
    </row>
    <row r="2678" spans="1:19" x14ac:dyDescent="0.25">
      <c r="A2678" s="41">
        <v>632</v>
      </c>
      <c r="B2678" t="s">
        <v>13394</v>
      </c>
      <c r="C2678" t="s">
        <v>13395</v>
      </c>
      <c r="D2678" t="s">
        <v>987</v>
      </c>
      <c r="E2678"/>
      <c r="F2678" s="269">
        <v>1954</v>
      </c>
      <c r="G2678" s="269"/>
      <c r="H2678" t="s">
        <v>2963</v>
      </c>
      <c r="I2678" s="184" t="s">
        <v>1914</v>
      </c>
      <c r="J2678"/>
      <c r="K2678" t="s">
        <v>1881</v>
      </c>
      <c r="L2678" s="256"/>
      <c r="M2678">
        <v>443</v>
      </c>
      <c r="N2678"/>
      <c r="O2678" s="267" t="s">
        <v>11916</v>
      </c>
      <c r="P2678">
        <v>441</v>
      </c>
      <c r="Q2678" s="245">
        <f t="shared" si="155"/>
        <v>2.7</v>
      </c>
      <c r="R2678" s="245">
        <v>2.2000000000000002</v>
      </c>
      <c r="S2678" s="18">
        <v>4.9000000000000004</v>
      </c>
    </row>
    <row r="2679" spans="1:19" x14ac:dyDescent="0.25">
      <c r="A2679" s="41">
        <v>706</v>
      </c>
      <c r="B2679" t="s">
        <v>13396</v>
      </c>
      <c r="C2679" t="s">
        <v>13397</v>
      </c>
      <c r="D2679" t="s">
        <v>987</v>
      </c>
      <c r="E2679"/>
      <c r="F2679" s="269">
        <v>1961</v>
      </c>
      <c r="G2679" s="269"/>
      <c r="H2679" t="s">
        <v>2963</v>
      </c>
      <c r="I2679" s="184">
        <v>3</v>
      </c>
      <c r="J2679"/>
      <c r="K2679" t="s">
        <v>1881</v>
      </c>
      <c r="L2679" s="256"/>
      <c r="M2679">
        <v>319</v>
      </c>
      <c r="N2679"/>
      <c r="O2679" s="267" t="s">
        <v>11917</v>
      </c>
      <c r="P2679">
        <v>373</v>
      </c>
      <c r="Q2679" s="245">
        <f t="shared" si="155"/>
        <v>6.3</v>
      </c>
      <c r="R2679" s="245">
        <v>2.2000000000000002</v>
      </c>
      <c r="S2679" s="18">
        <v>8.5</v>
      </c>
    </row>
    <row r="2680" spans="1:19" x14ac:dyDescent="0.25">
      <c r="A2680" s="41">
        <v>8</v>
      </c>
      <c r="B2680" t="s">
        <v>9044</v>
      </c>
      <c r="C2680" t="s">
        <v>13398</v>
      </c>
      <c r="D2680" t="s">
        <v>4930</v>
      </c>
      <c r="E2680"/>
      <c r="F2680" s="269"/>
      <c r="G2680" s="269"/>
      <c r="H2680" t="s">
        <v>2963</v>
      </c>
      <c r="I2680" s="184">
        <v>3</v>
      </c>
      <c r="J2680"/>
      <c r="K2680" t="s">
        <v>1881</v>
      </c>
      <c r="L2680" s="256"/>
      <c r="M2680">
        <v>316</v>
      </c>
      <c r="N2680"/>
      <c r="O2680" s="267" t="s">
        <v>11918</v>
      </c>
      <c r="P2680">
        <v>484</v>
      </c>
      <c r="Q2680" s="245">
        <f t="shared" si="155"/>
        <v>1.21</v>
      </c>
      <c r="R2680" s="245">
        <v>2.2000000000000002</v>
      </c>
      <c r="S2680" s="18">
        <v>3.41</v>
      </c>
    </row>
    <row r="2681" spans="1:19" x14ac:dyDescent="0.25">
      <c r="A2681" s="41">
        <v>796</v>
      </c>
      <c r="B2681" t="s">
        <v>13399</v>
      </c>
      <c r="C2681" t="s">
        <v>13400</v>
      </c>
      <c r="D2681" t="s">
        <v>8258</v>
      </c>
      <c r="E2681"/>
      <c r="F2681" s="269"/>
      <c r="G2681" s="269"/>
      <c r="H2681" t="s">
        <v>2963</v>
      </c>
      <c r="I2681" s="184" t="s">
        <v>1914</v>
      </c>
      <c r="J2681"/>
      <c r="K2681" t="s">
        <v>1881</v>
      </c>
      <c r="L2681" s="256"/>
      <c r="M2681">
        <v>160</v>
      </c>
      <c r="N2681"/>
      <c r="O2681" s="267" t="s">
        <v>11919</v>
      </c>
      <c r="P2681">
        <v>500</v>
      </c>
      <c r="Q2681" s="245">
        <f t="shared" si="155"/>
        <v>3.5999999999999996</v>
      </c>
      <c r="R2681" s="245">
        <v>2.2000000000000002</v>
      </c>
      <c r="S2681" s="18">
        <v>5.8</v>
      </c>
    </row>
    <row r="2682" spans="1:19" x14ac:dyDescent="0.25">
      <c r="A2682" s="1">
        <v>691</v>
      </c>
      <c r="C2682" s="1" t="s">
        <v>13289</v>
      </c>
      <c r="D2682" s="1" t="s">
        <v>2818</v>
      </c>
      <c r="F2682" s="1">
        <v>1996</v>
      </c>
      <c r="H2682" s="197" t="s">
        <v>2963</v>
      </c>
      <c r="I2682" s="184" t="s">
        <v>1879</v>
      </c>
      <c r="K2682" s="1" t="s">
        <v>11538</v>
      </c>
      <c r="L2682" s="239"/>
      <c r="M2682" s="1">
        <v>8</v>
      </c>
      <c r="N2682" s="1" t="s">
        <v>13290</v>
      </c>
      <c r="O2682" s="257" t="s">
        <v>11920</v>
      </c>
      <c r="P2682" s="17">
        <v>99</v>
      </c>
      <c r="Q2682" s="245">
        <f t="shared" si="155"/>
        <v>3</v>
      </c>
      <c r="R2682" s="245">
        <v>2.2000000000000002</v>
      </c>
      <c r="S2682" s="18">
        <v>5.2</v>
      </c>
    </row>
    <row r="2683" spans="1:19" x14ac:dyDescent="0.25">
      <c r="A2683" s="1">
        <v>1327</v>
      </c>
      <c r="B2683" s="1" t="s">
        <v>13291</v>
      </c>
      <c r="C2683" s="1" t="s">
        <v>13292</v>
      </c>
      <c r="D2683" s="1" t="s">
        <v>13293</v>
      </c>
      <c r="E2683" s="196" t="s">
        <v>1877</v>
      </c>
      <c r="F2683" s="1">
        <v>1979</v>
      </c>
      <c r="H2683" s="196" t="s">
        <v>1878</v>
      </c>
      <c r="I2683" s="16" t="s">
        <v>1914</v>
      </c>
      <c r="K2683" s="1" t="s">
        <v>1881</v>
      </c>
      <c r="L2683" s="239"/>
      <c r="M2683" s="1">
        <v>112</v>
      </c>
      <c r="N2683" s="1" t="s">
        <v>13294</v>
      </c>
      <c r="O2683" s="257" t="s">
        <v>11921</v>
      </c>
      <c r="P2683" s="17">
        <v>216</v>
      </c>
      <c r="Q2683" s="245">
        <f t="shared" si="155"/>
        <v>2.0099999999999998</v>
      </c>
      <c r="R2683" s="245">
        <v>2.2000000000000002</v>
      </c>
      <c r="S2683" s="18">
        <v>4.21</v>
      </c>
    </row>
    <row r="2684" spans="1:19" x14ac:dyDescent="0.25">
      <c r="A2684" s="1">
        <v>1355</v>
      </c>
      <c r="C2684" s="1" t="s">
        <v>13295</v>
      </c>
      <c r="D2684" s="1" t="s">
        <v>1912</v>
      </c>
      <c r="E2684" s="1" t="s">
        <v>1913</v>
      </c>
      <c r="F2684" s="1">
        <v>1993</v>
      </c>
      <c r="H2684" s="196" t="s">
        <v>1878</v>
      </c>
      <c r="I2684" s="184" t="s">
        <v>1914</v>
      </c>
      <c r="J2684" s="182"/>
      <c r="K2684" s="182" t="s">
        <v>1881</v>
      </c>
      <c r="L2684" s="16" t="s">
        <v>13296</v>
      </c>
      <c r="M2684" s="196"/>
      <c r="N2684" s="196" t="s">
        <v>13297</v>
      </c>
      <c r="O2684" s="257" t="s">
        <v>11922</v>
      </c>
      <c r="P2684" s="17">
        <v>159</v>
      </c>
      <c r="Q2684" s="245">
        <f t="shared" si="155"/>
        <v>1.52</v>
      </c>
      <c r="R2684" s="245">
        <v>2.2000000000000002</v>
      </c>
      <c r="S2684" s="18">
        <v>3.72</v>
      </c>
    </row>
    <row r="2685" spans="1:19" x14ac:dyDescent="0.25">
      <c r="A2685" s="196">
        <v>676</v>
      </c>
      <c r="B2685" s="1" t="s">
        <v>13298</v>
      </c>
      <c r="C2685" s="196" t="s">
        <v>13299</v>
      </c>
      <c r="D2685" s="196" t="s">
        <v>13300</v>
      </c>
      <c r="F2685" s="196">
        <v>1987</v>
      </c>
      <c r="H2685" s="196" t="s">
        <v>1878</v>
      </c>
      <c r="I2685" s="184" t="s">
        <v>1914</v>
      </c>
      <c r="J2685" s="182"/>
      <c r="K2685" s="182" t="s">
        <v>1881</v>
      </c>
      <c r="L2685" s="16" t="s">
        <v>13301</v>
      </c>
      <c r="M2685" s="1">
        <v>216</v>
      </c>
      <c r="N2685" s="196" t="s">
        <v>13172</v>
      </c>
      <c r="O2685" s="257" t="s">
        <v>11923</v>
      </c>
      <c r="P2685" s="17">
        <v>270</v>
      </c>
      <c r="Q2685" s="245">
        <f t="shared" si="155"/>
        <v>2.1499999999999995</v>
      </c>
      <c r="R2685" s="245">
        <v>2.2000000000000002</v>
      </c>
      <c r="S2685" s="18">
        <v>4.3499999999999996</v>
      </c>
    </row>
    <row r="2686" spans="1:19" x14ac:dyDescent="0.25">
      <c r="A2686" s="196">
        <v>2522</v>
      </c>
      <c r="B2686" s="1" t="s">
        <v>4071</v>
      </c>
      <c r="C2686" s="196" t="s">
        <v>10150</v>
      </c>
      <c r="D2686" s="196" t="s">
        <v>3077</v>
      </c>
      <c r="E2686" s="196" t="s">
        <v>2032</v>
      </c>
      <c r="F2686" s="196">
        <v>1995</v>
      </c>
      <c r="H2686" s="197" t="s">
        <v>2963</v>
      </c>
      <c r="I2686" s="184" t="s">
        <v>1879</v>
      </c>
      <c r="J2686" s="182"/>
      <c r="K2686" s="182" t="s">
        <v>11538</v>
      </c>
      <c r="L2686" s="16" t="s">
        <v>13302</v>
      </c>
      <c r="M2686" s="196">
        <v>770</v>
      </c>
      <c r="N2686" s="196" t="s">
        <v>13249</v>
      </c>
      <c r="O2686" s="257" t="s">
        <v>11924</v>
      </c>
      <c r="P2686" s="17">
        <v>719</v>
      </c>
      <c r="Q2686" s="245">
        <f t="shared" si="155"/>
        <v>1.79</v>
      </c>
      <c r="R2686" s="245">
        <v>2.2000000000000002</v>
      </c>
      <c r="S2686" s="18">
        <v>3.99</v>
      </c>
    </row>
    <row r="2687" spans="1:19" x14ac:dyDescent="0.25">
      <c r="A2687" s="196">
        <v>1201</v>
      </c>
      <c r="B2687" s="196" t="s">
        <v>13303</v>
      </c>
      <c r="C2687" s="196" t="s">
        <v>13304</v>
      </c>
      <c r="D2687" s="196" t="s">
        <v>13305</v>
      </c>
      <c r="F2687" s="196">
        <v>1956</v>
      </c>
      <c r="H2687" s="196" t="s">
        <v>1878</v>
      </c>
      <c r="I2687" s="184" t="s">
        <v>6422</v>
      </c>
      <c r="J2687" s="182"/>
      <c r="K2687" s="182" t="s">
        <v>1881</v>
      </c>
      <c r="M2687" s="196">
        <v>256</v>
      </c>
      <c r="N2687" s="196" t="s">
        <v>13219</v>
      </c>
      <c r="O2687" s="257" t="s">
        <v>11925</v>
      </c>
      <c r="P2687" s="17">
        <v>410</v>
      </c>
      <c r="Q2687" s="245">
        <f t="shared" si="155"/>
        <v>3.3999999999999995</v>
      </c>
      <c r="R2687" s="245">
        <v>2.2000000000000002</v>
      </c>
      <c r="S2687" s="18">
        <v>5.6</v>
      </c>
    </row>
    <row r="2688" spans="1:19" x14ac:dyDescent="0.25">
      <c r="A2688" s="196">
        <v>1875</v>
      </c>
      <c r="B2688" s="196" t="s">
        <v>13306</v>
      </c>
      <c r="C2688" s="196" t="s">
        <v>13307</v>
      </c>
      <c r="D2688" s="196" t="s">
        <v>13308</v>
      </c>
      <c r="F2688" s="196">
        <v>1986</v>
      </c>
      <c r="H2688" s="197" t="s">
        <v>2963</v>
      </c>
      <c r="I2688" s="16" t="s">
        <v>1914</v>
      </c>
      <c r="K2688" s="196" t="s">
        <v>1881</v>
      </c>
      <c r="L2688" s="16" t="s">
        <v>13309</v>
      </c>
      <c r="M2688" s="196">
        <v>74</v>
      </c>
      <c r="N2688" s="196" t="s">
        <v>13310</v>
      </c>
      <c r="O2688" s="257" t="s">
        <v>11926</v>
      </c>
      <c r="P2688" s="17">
        <v>165</v>
      </c>
      <c r="Q2688" s="245">
        <f t="shared" si="155"/>
        <v>2.0699999999999994</v>
      </c>
      <c r="R2688" s="245">
        <v>2.2000000000000002</v>
      </c>
      <c r="S2688" s="18">
        <v>4.2699999999999996</v>
      </c>
    </row>
    <row r="2689" spans="1:19" x14ac:dyDescent="0.25">
      <c r="A2689" s="196">
        <v>1352</v>
      </c>
      <c r="B2689" s="196" t="s">
        <v>13311</v>
      </c>
      <c r="C2689" s="196" t="s">
        <v>13312</v>
      </c>
      <c r="D2689" s="196" t="s">
        <v>10179</v>
      </c>
      <c r="F2689" s="196">
        <v>1957</v>
      </c>
      <c r="H2689" s="197" t="s">
        <v>2963</v>
      </c>
      <c r="I2689" s="184" t="s">
        <v>1914</v>
      </c>
      <c r="J2689" s="182"/>
      <c r="K2689" s="196" t="s">
        <v>1881</v>
      </c>
      <c r="M2689" s="196">
        <v>726</v>
      </c>
      <c r="N2689" s="196" t="s">
        <v>13313</v>
      </c>
      <c r="O2689" s="257" t="s">
        <v>11927</v>
      </c>
      <c r="P2689" s="17">
        <v>773</v>
      </c>
      <c r="Q2689" s="245">
        <f t="shared" si="155"/>
        <v>5</v>
      </c>
      <c r="R2689" s="245">
        <v>2.2000000000000002</v>
      </c>
      <c r="S2689" s="18">
        <v>7.2</v>
      </c>
    </row>
    <row r="2690" spans="1:19" x14ac:dyDescent="0.25">
      <c r="A2690" s="196">
        <v>1984</v>
      </c>
      <c r="B2690" s="196" t="s">
        <v>13314</v>
      </c>
      <c r="C2690" s="196" t="s">
        <v>13315</v>
      </c>
      <c r="D2690" s="196" t="s">
        <v>1979</v>
      </c>
      <c r="E2690" s="196" t="s">
        <v>2032</v>
      </c>
      <c r="F2690" s="196">
        <v>2004</v>
      </c>
      <c r="H2690" s="197" t="s">
        <v>2963</v>
      </c>
      <c r="I2690" s="16" t="s">
        <v>1879</v>
      </c>
      <c r="K2690" s="196" t="s">
        <v>1881</v>
      </c>
      <c r="L2690" s="16" t="s">
        <v>13316</v>
      </c>
      <c r="M2690" s="196">
        <v>44</v>
      </c>
      <c r="N2690" s="196" t="s">
        <v>13317</v>
      </c>
      <c r="O2690" s="257" t="s">
        <v>11928</v>
      </c>
      <c r="P2690" s="17">
        <v>270</v>
      </c>
      <c r="Q2690" s="245">
        <f t="shared" si="155"/>
        <v>1.8999999999999995</v>
      </c>
      <c r="R2690" s="245">
        <v>2.2000000000000002</v>
      </c>
      <c r="S2690" s="18">
        <v>4.0999999999999996</v>
      </c>
    </row>
    <row r="2691" spans="1:19" x14ac:dyDescent="0.25">
      <c r="A2691" s="196">
        <v>37</v>
      </c>
      <c r="B2691" s="196" t="s">
        <v>13318</v>
      </c>
      <c r="C2691" s="196" t="s">
        <v>13319</v>
      </c>
      <c r="D2691" s="196" t="s">
        <v>13320</v>
      </c>
      <c r="E2691" s="196" t="s">
        <v>1877</v>
      </c>
      <c r="F2691" s="196">
        <v>1964</v>
      </c>
      <c r="H2691" s="196" t="s">
        <v>1878</v>
      </c>
      <c r="I2691" s="16" t="s">
        <v>1879</v>
      </c>
      <c r="K2691" s="196" t="s">
        <v>1881</v>
      </c>
      <c r="M2691" s="196">
        <v>120</v>
      </c>
      <c r="N2691" s="196" t="s">
        <v>13172</v>
      </c>
      <c r="O2691" s="257" t="s">
        <v>11929</v>
      </c>
      <c r="P2691" s="17">
        <v>154</v>
      </c>
      <c r="Q2691" s="245">
        <f t="shared" si="155"/>
        <v>9.6000000000000014</v>
      </c>
      <c r="R2691" s="245">
        <v>2.2000000000000002</v>
      </c>
      <c r="S2691" s="18">
        <v>11.8</v>
      </c>
    </row>
    <row r="2692" spans="1:19" x14ac:dyDescent="0.25">
      <c r="A2692" s="196">
        <v>1352</v>
      </c>
      <c r="B2692" s="196" t="s">
        <v>13321</v>
      </c>
      <c r="C2692" s="196" t="s">
        <v>13322</v>
      </c>
      <c r="D2692" s="196" t="s">
        <v>5005</v>
      </c>
      <c r="H2692" s="197" t="s">
        <v>2963</v>
      </c>
      <c r="I2692" s="184" t="s">
        <v>1879</v>
      </c>
      <c r="J2692" s="1" t="s">
        <v>2505</v>
      </c>
      <c r="K2692" s="196" t="s">
        <v>1881</v>
      </c>
      <c r="M2692" s="196">
        <v>256</v>
      </c>
      <c r="N2692" s="196" t="s">
        <v>13187</v>
      </c>
      <c r="O2692" s="257" t="s">
        <v>11930</v>
      </c>
      <c r="P2692" s="17">
        <v>311</v>
      </c>
      <c r="Q2692" s="245">
        <f t="shared" si="155"/>
        <v>2.8899999999999997</v>
      </c>
      <c r="R2692" s="245">
        <v>2.2000000000000002</v>
      </c>
      <c r="S2692" s="18">
        <v>5.09</v>
      </c>
    </row>
    <row r="2693" spans="1:19" x14ac:dyDescent="0.25">
      <c r="A2693" s="196">
        <v>1289</v>
      </c>
      <c r="B2693" s="196" t="s">
        <v>13323</v>
      </c>
      <c r="C2693" s="196" t="s">
        <v>13324</v>
      </c>
      <c r="D2693" s="196" t="s">
        <v>13325</v>
      </c>
      <c r="E2693" s="196" t="s">
        <v>2032</v>
      </c>
      <c r="F2693" s="196">
        <v>1980</v>
      </c>
      <c r="H2693" s="196" t="s">
        <v>1878</v>
      </c>
      <c r="I2693" s="16" t="s">
        <v>1914</v>
      </c>
      <c r="K2693" s="196" t="s">
        <v>1881</v>
      </c>
      <c r="L2693" s="16" t="s">
        <v>13326</v>
      </c>
      <c r="M2693" s="196">
        <v>240</v>
      </c>
      <c r="N2693" s="196" t="s">
        <v>13194</v>
      </c>
      <c r="O2693" s="257" t="s">
        <v>11931</v>
      </c>
      <c r="P2693" s="17">
        <v>274</v>
      </c>
      <c r="Q2693" s="245">
        <f t="shared" si="155"/>
        <v>1.3900000000000001</v>
      </c>
      <c r="R2693" s="245">
        <v>2.2000000000000002</v>
      </c>
      <c r="S2693" s="18">
        <f>2.7+0.89</f>
        <v>3.5900000000000003</v>
      </c>
    </row>
    <row r="2694" spans="1:19" x14ac:dyDescent="0.25">
      <c r="A2694" s="196">
        <v>1327</v>
      </c>
      <c r="B2694" s="196" t="s">
        <v>13327</v>
      </c>
      <c r="C2694" s="196" t="s">
        <v>13328</v>
      </c>
      <c r="D2694" s="196" t="s">
        <v>1988</v>
      </c>
      <c r="E2694" s="196" t="s">
        <v>2032</v>
      </c>
      <c r="F2694" s="196">
        <v>1995</v>
      </c>
      <c r="H2694" s="196" t="s">
        <v>1878</v>
      </c>
      <c r="I2694" s="16" t="s">
        <v>1879</v>
      </c>
      <c r="K2694" s="196" t="s">
        <v>1881</v>
      </c>
      <c r="L2694" s="16" t="s">
        <v>13329</v>
      </c>
      <c r="M2694" s="196">
        <v>280</v>
      </c>
      <c r="N2694" s="196" t="s">
        <v>13330</v>
      </c>
      <c r="O2694" s="257" t="s">
        <v>11932</v>
      </c>
      <c r="P2694" s="17">
        <v>231</v>
      </c>
      <c r="Q2694" s="245">
        <f t="shared" si="155"/>
        <v>1.73</v>
      </c>
      <c r="R2694" s="245">
        <v>2.2000000000000002</v>
      </c>
      <c r="S2694" s="18">
        <v>3.93</v>
      </c>
    </row>
    <row r="2695" spans="1:19" x14ac:dyDescent="0.25">
      <c r="A2695" s="196">
        <v>2522</v>
      </c>
      <c r="B2695" s="196" t="s">
        <v>13331</v>
      </c>
      <c r="C2695" s="196" t="s">
        <v>13332</v>
      </c>
      <c r="D2695" s="196" t="s">
        <v>1920</v>
      </c>
      <c r="E2695" s="196" t="s">
        <v>9325</v>
      </c>
      <c r="F2695" s="196">
        <v>1992</v>
      </c>
      <c r="H2695" s="196" t="s">
        <v>1878</v>
      </c>
      <c r="I2695" s="16" t="s">
        <v>1914</v>
      </c>
      <c r="K2695" s="196" t="s">
        <v>1881</v>
      </c>
      <c r="L2695" s="16" t="s">
        <v>13333</v>
      </c>
      <c r="M2695" s="196">
        <v>432</v>
      </c>
      <c r="N2695" s="196" t="s">
        <v>13330</v>
      </c>
      <c r="O2695" s="257" t="s">
        <v>11933</v>
      </c>
      <c r="P2695" s="17">
        <v>225</v>
      </c>
      <c r="Q2695" s="245">
        <f t="shared" ref="Q2695:Q2758" si="156">S2695-R2695</f>
        <v>0.75</v>
      </c>
      <c r="R2695" s="245">
        <v>2.2000000000000002</v>
      </c>
      <c r="S2695" s="18">
        <v>2.95</v>
      </c>
    </row>
    <row r="2696" spans="1:19" x14ac:dyDescent="0.25">
      <c r="A2696" s="196">
        <v>692</v>
      </c>
      <c r="B2696" s="196" t="s">
        <v>13334</v>
      </c>
      <c r="C2696" s="196" t="s">
        <v>13335</v>
      </c>
      <c r="D2696" s="196" t="s">
        <v>1920</v>
      </c>
      <c r="F2696" s="196">
        <v>1995</v>
      </c>
      <c r="H2696" s="196" t="s">
        <v>1878</v>
      </c>
      <c r="I2696" s="184" t="s">
        <v>1914</v>
      </c>
      <c r="J2696" s="182"/>
      <c r="K2696" s="196" t="s">
        <v>1881</v>
      </c>
      <c r="L2696" s="16" t="s">
        <v>13336</v>
      </c>
      <c r="M2696" s="196">
        <v>528</v>
      </c>
      <c r="N2696" s="196" t="s">
        <v>13330</v>
      </c>
      <c r="O2696" s="257" t="s">
        <v>11934</v>
      </c>
      <c r="P2696" s="17">
        <v>268</v>
      </c>
      <c r="Q2696" s="245">
        <f t="shared" si="156"/>
        <v>3.6799999999999997</v>
      </c>
      <c r="R2696" s="245">
        <v>2.2000000000000002</v>
      </c>
      <c r="S2696" s="18">
        <f>3.99+1.89</f>
        <v>5.88</v>
      </c>
    </row>
    <row r="2697" spans="1:19" x14ac:dyDescent="0.25">
      <c r="A2697" s="196">
        <v>1395</v>
      </c>
      <c r="B2697" s="196" t="s">
        <v>13337</v>
      </c>
      <c r="C2697" s="196" t="s">
        <v>13338</v>
      </c>
      <c r="D2697" s="196" t="s">
        <v>2609</v>
      </c>
      <c r="E2697" s="196" t="s">
        <v>2032</v>
      </c>
      <c r="F2697" s="196">
        <v>2009</v>
      </c>
      <c r="H2697" s="196" t="s">
        <v>1878</v>
      </c>
      <c r="I2697" s="184" t="s">
        <v>1879</v>
      </c>
      <c r="J2697" s="182"/>
      <c r="K2697" s="196" t="s">
        <v>1881</v>
      </c>
      <c r="L2697" s="16" t="s">
        <v>13339</v>
      </c>
      <c r="M2697" s="196">
        <v>208</v>
      </c>
      <c r="N2697" s="196" t="s">
        <v>13232</v>
      </c>
      <c r="O2697" s="257" t="s">
        <v>11935</v>
      </c>
      <c r="P2697" s="17">
        <v>241</v>
      </c>
      <c r="Q2697" s="245">
        <f t="shared" si="156"/>
        <v>1.21</v>
      </c>
      <c r="R2697" s="245">
        <v>2.2000000000000002</v>
      </c>
      <c r="S2697" s="18">
        <v>3.41</v>
      </c>
    </row>
    <row r="2698" spans="1:19" x14ac:dyDescent="0.25">
      <c r="A2698" s="196">
        <v>1336</v>
      </c>
      <c r="B2698" s="196" t="s">
        <v>13340</v>
      </c>
      <c r="C2698" s="196" t="s">
        <v>13341</v>
      </c>
      <c r="D2698" s="196" t="s">
        <v>2609</v>
      </c>
      <c r="F2698" s="196">
        <v>1978</v>
      </c>
      <c r="H2698" s="197" t="s">
        <v>2963</v>
      </c>
      <c r="I2698" s="184" t="s">
        <v>1879</v>
      </c>
      <c r="K2698" s="196" t="s">
        <v>1881</v>
      </c>
      <c r="M2698" s="196">
        <v>466</v>
      </c>
      <c r="N2698" s="196" t="s">
        <v>13342</v>
      </c>
      <c r="O2698" s="257" t="s">
        <v>11936</v>
      </c>
      <c r="P2698" s="17">
        <v>522</v>
      </c>
      <c r="Q2698" s="245">
        <f t="shared" si="156"/>
        <v>4.5999999999999996</v>
      </c>
      <c r="R2698" s="245">
        <v>2.2000000000000002</v>
      </c>
      <c r="S2698" s="18">
        <v>6.8</v>
      </c>
    </row>
    <row r="2699" spans="1:19" x14ac:dyDescent="0.25">
      <c r="A2699" s="196">
        <v>2522</v>
      </c>
      <c r="B2699" s="196" t="s">
        <v>7806</v>
      </c>
      <c r="C2699" s="196" t="s">
        <v>13343</v>
      </c>
      <c r="D2699" s="196" t="s">
        <v>1912</v>
      </c>
      <c r="E2699" s="196" t="s">
        <v>2335</v>
      </c>
      <c r="F2699" s="196">
        <v>2004</v>
      </c>
      <c r="H2699" s="196" t="s">
        <v>1878</v>
      </c>
      <c r="I2699" s="184" t="s">
        <v>1879</v>
      </c>
      <c r="J2699" s="182"/>
      <c r="K2699" s="196" t="s">
        <v>1881</v>
      </c>
      <c r="L2699" s="16" t="s">
        <v>13344</v>
      </c>
      <c r="M2699" s="196">
        <v>194</v>
      </c>
      <c r="N2699" s="196" t="s">
        <v>13345</v>
      </c>
      <c r="O2699" s="257" t="s">
        <v>11937</v>
      </c>
      <c r="P2699" s="17">
        <v>430</v>
      </c>
      <c r="Q2699" s="245">
        <f t="shared" si="156"/>
        <v>0.94999999999999973</v>
      </c>
      <c r="R2699" s="245">
        <v>2.2000000000000002</v>
      </c>
      <c r="S2699" s="18">
        <v>3.15</v>
      </c>
    </row>
    <row r="2700" spans="1:19" x14ac:dyDescent="0.25">
      <c r="A2700" s="196">
        <v>692</v>
      </c>
      <c r="B2700" s="196" t="s">
        <v>4888</v>
      </c>
      <c r="C2700" s="196" t="s">
        <v>13346</v>
      </c>
      <c r="D2700" s="196" t="s">
        <v>1912</v>
      </c>
      <c r="E2700" s="196" t="s">
        <v>2335</v>
      </c>
      <c r="F2700" s="196">
        <v>2000</v>
      </c>
      <c r="H2700" s="196" t="s">
        <v>1878</v>
      </c>
      <c r="I2700" s="184" t="s">
        <v>1879</v>
      </c>
      <c r="J2700" s="182"/>
      <c r="K2700" s="196" t="s">
        <v>1881</v>
      </c>
      <c r="L2700" s="16" t="s">
        <v>13347</v>
      </c>
      <c r="M2700" s="196">
        <v>352</v>
      </c>
      <c r="N2700" s="196" t="s">
        <v>13330</v>
      </c>
      <c r="O2700" s="257" t="s">
        <v>11938</v>
      </c>
      <c r="P2700" s="17">
        <v>310</v>
      </c>
      <c r="Q2700" s="245">
        <f t="shared" si="156"/>
        <v>0.88999999999999968</v>
      </c>
      <c r="R2700" s="245">
        <v>2.2000000000000002</v>
      </c>
      <c r="S2700" s="18">
        <v>3.09</v>
      </c>
    </row>
    <row r="2701" spans="1:19" x14ac:dyDescent="0.25">
      <c r="A2701" s="196">
        <v>1396</v>
      </c>
      <c r="B2701" s="196" t="s">
        <v>13348</v>
      </c>
      <c r="C2701" s="196" t="s">
        <v>13349</v>
      </c>
      <c r="D2701" s="196" t="s">
        <v>9065</v>
      </c>
      <c r="E2701" s="196" t="s">
        <v>1913</v>
      </c>
      <c r="F2701" s="196">
        <v>1988</v>
      </c>
      <c r="H2701" s="197" t="s">
        <v>2963</v>
      </c>
      <c r="I2701" s="184" t="s">
        <v>1879</v>
      </c>
      <c r="J2701" s="182"/>
      <c r="K2701" s="196" t="s">
        <v>1881</v>
      </c>
      <c r="L2701" s="16" t="s">
        <v>13350</v>
      </c>
      <c r="M2701" s="196">
        <v>450</v>
      </c>
      <c r="N2701" s="196" t="s">
        <v>13187</v>
      </c>
      <c r="O2701" s="257" t="s">
        <v>11939</v>
      </c>
      <c r="P2701" s="17">
        <v>483</v>
      </c>
      <c r="Q2701" s="245">
        <f t="shared" si="156"/>
        <v>1.3399999999999999</v>
      </c>
      <c r="R2701" s="245">
        <v>2.2000000000000002</v>
      </c>
      <c r="S2701" s="18">
        <f>2.65+0.89</f>
        <v>3.54</v>
      </c>
    </row>
    <row r="2702" spans="1:19" x14ac:dyDescent="0.25">
      <c r="A2702" s="196">
        <v>796</v>
      </c>
      <c r="B2702" s="196" t="s">
        <v>13401</v>
      </c>
      <c r="C2702" s="196" t="s">
        <v>13402</v>
      </c>
      <c r="D2702" s="196" t="s">
        <v>2209</v>
      </c>
      <c r="F2702" s="196">
        <v>2008</v>
      </c>
      <c r="H2702" s="196" t="s">
        <v>1878</v>
      </c>
      <c r="I2702" s="184" t="s">
        <v>1879</v>
      </c>
      <c r="J2702" s="54" t="s">
        <v>3854</v>
      </c>
      <c r="K2702" s="196" t="s">
        <v>1881</v>
      </c>
      <c r="L2702" s="16" t="s">
        <v>13403</v>
      </c>
      <c r="M2702" s="196">
        <v>640</v>
      </c>
      <c r="N2702" s="196" t="s">
        <v>13187</v>
      </c>
      <c r="O2702" s="257" t="s">
        <v>11940</v>
      </c>
      <c r="P2702" s="17">
        <v>526</v>
      </c>
      <c r="Q2702" s="245">
        <f t="shared" si="156"/>
        <v>1.88</v>
      </c>
      <c r="R2702" s="245">
        <v>2.2000000000000002</v>
      </c>
      <c r="S2702" s="18">
        <v>4.08</v>
      </c>
    </row>
    <row r="2703" spans="1:19" x14ac:dyDescent="0.25">
      <c r="A2703" s="196">
        <v>2548</v>
      </c>
      <c r="B2703" s="196" t="s">
        <v>13404</v>
      </c>
      <c r="C2703" s="196" t="s">
        <v>13405</v>
      </c>
      <c r="D2703" s="196" t="s">
        <v>1920</v>
      </c>
      <c r="F2703" s="196">
        <v>2013</v>
      </c>
      <c r="H2703" s="196" t="s">
        <v>1878</v>
      </c>
      <c r="I2703" s="184" t="s">
        <v>1879</v>
      </c>
      <c r="J2703" s="54" t="s">
        <v>3854</v>
      </c>
      <c r="K2703" s="196" t="s">
        <v>1881</v>
      </c>
      <c r="L2703" s="16" t="s">
        <v>13406</v>
      </c>
      <c r="M2703" s="196">
        <v>448</v>
      </c>
      <c r="N2703" s="196" t="s">
        <v>13239</v>
      </c>
      <c r="O2703" s="257" t="s">
        <v>11941</v>
      </c>
      <c r="P2703" s="17">
        <v>424</v>
      </c>
      <c r="Q2703" s="245">
        <f t="shared" si="156"/>
        <v>3.88</v>
      </c>
      <c r="R2703" s="245">
        <v>2.2000000000000002</v>
      </c>
      <c r="S2703" s="18">
        <f>2.09+3.99</f>
        <v>6.08</v>
      </c>
    </row>
    <row r="2704" spans="1:19" x14ac:dyDescent="0.25">
      <c r="A2704" s="196">
        <v>1875</v>
      </c>
      <c r="B2704" s="196" t="s">
        <v>13409</v>
      </c>
      <c r="C2704" s="196" t="s">
        <v>13407</v>
      </c>
      <c r="D2704" s="196" t="s">
        <v>13408</v>
      </c>
      <c r="F2704" s="196">
        <v>1996</v>
      </c>
      <c r="H2704" s="197" t="s">
        <v>2963</v>
      </c>
      <c r="I2704" s="184" t="s">
        <v>1879</v>
      </c>
      <c r="J2704" s="182"/>
      <c r="K2704" s="196" t="s">
        <v>1881</v>
      </c>
      <c r="L2704" s="16" t="s">
        <v>13410</v>
      </c>
      <c r="M2704" s="196">
        <v>142</v>
      </c>
      <c r="N2704" s="196" t="s">
        <v>13411</v>
      </c>
      <c r="O2704" s="257" t="s">
        <v>11942</v>
      </c>
      <c r="P2704" s="17">
        <v>174</v>
      </c>
      <c r="Q2704" s="245">
        <f t="shared" si="156"/>
        <v>3.6099999999999994</v>
      </c>
      <c r="R2704" s="245">
        <v>2.2000000000000002</v>
      </c>
      <c r="S2704" s="18">
        <v>5.81</v>
      </c>
    </row>
    <row r="2705" spans="1:19" x14ac:dyDescent="0.25">
      <c r="A2705" s="196">
        <v>1809</v>
      </c>
      <c r="B2705" s="196" t="s">
        <v>13412</v>
      </c>
      <c r="C2705" s="196" t="s">
        <v>13413</v>
      </c>
      <c r="D2705" s="196" t="s">
        <v>2822</v>
      </c>
      <c r="F2705" s="196">
        <v>2006</v>
      </c>
      <c r="H2705" s="196" t="s">
        <v>1878</v>
      </c>
      <c r="I2705" s="184" t="s">
        <v>1879</v>
      </c>
      <c r="J2705" s="182"/>
      <c r="K2705" s="196" t="s">
        <v>1881</v>
      </c>
      <c r="L2705" s="16" t="s">
        <v>13414</v>
      </c>
      <c r="M2705" s="196">
        <v>176</v>
      </c>
      <c r="N2705" s="196" t="s">
        <v>13415</v>
      </c>
      <c r="O2705" s="257" t="s">
        <v>11943</v>
      </c>
      <c r="P2705" s="17">
        <v>267</v>
      </c>
      <c r="Q2705" s="245">
        <f t="shared" si="156"/>
        <v>2.0099999999999998</v>
      </c>
      <c r="R2705" s="245">
        <v>2.2000000000000002</v>
      </c>
      <c r="S2705" s="18">
        <v>4.21</v>
      </c>
    </row>
    <row r="2706" spans="1:19" x14ac:dyDescent="0.25">
      <c r="A2706" s="196">
        <v>692</v>
      </c>
      <c r="B2706" s="196" t="s">
        <v>13416</v>
      </c>
      <c r="C2706" s="196" t="s">
        <v>13417</v>
      </c>
      <c r="D2706" s="196" t="s">
        <v>3077</v>
      </c>
      <c r="E2706" s="196" t="s">
        <v>1921</v>
      </c>
      <c r="F2706" s="196">
        <v>2001</v>
      </c>
      <c r="H2706" s="196" t="s">
        <v>1878</v>
      </c>
      <c r="I2706" s="16" t="s">
        <v>1914</v>
      </c>
      <c r="K2706" s="196" t="s">
        <v>1881</v>
      </c>
      <c r="L2706" s="16" t="s">
        <v>13418</v>
      </c>
      <c r="M2706" s="196">
        <v>320</v>
      </c>
      <c r="N2706" s="196" t="s">
        <v>13170</v>
      </c>
      <c r="O2706" s="257" t="s">
        <v>11944</v>
      </c>
      <c r="P2706" s="17">
        <v>257</v>
      </c>
      <c r="Q2706" s="245">
        <f t="shared" si="156"/>
        <v>0.79</v>
      </c>
      <c r="R2706" s="245">
        <v>2.2000000000000002</v>
      </c>
      <c r="S2706" s="18">
        <v>2.99</v>
      </c>
    </row>
    <row r="2707" spans="1:19" x14ac:dyDescent="0.25">
      <c r="A2707" s="196">
        <v>2663</v>
      </c>
      <c r="B2707" s="196" t="s">
        <v>13419</v>
      </c>
      <c r="C2707" s="196" t="s">
        <v>13420</v>
      </c>
      <c r="D2707" s="196" t="s">
        <v>13421</v>
      </c>
      <c r="H2707" s="196" t="s">
        <v>1878</v>
      </c>
      <c r="I2707" s="16" t="s">
        <v>1929</v>
      </c>
      <c r="K2707" s="196" t="s">
        <v>1881</v>
      </c>
      <c r="L2707" s="16" t="s">
        <v>13422</v>
      </c>
      <c r="M2707" s="196">
        <v>320</v>
      </c>
      <c r="N2707" s="196" t="s">
        <v>13187</v>
      </c>
      <c r="O2707" s="257" t="s">
        <v>11945</v>
      </c>
      <c r="P2707" s="17">
        <v>320</v>
      </c>
      <c r="Q2707" s="245">
        <f t="shared" si="156"/>
        <v>4.79</v>
      </c>
      <c r="R2707" s="245">
        <v>2.2000000000000002</v>
      </c>
      <c r="S2707" s="18">
        <v>6.99</v>
      </c>
    </row>
    <row r="2708" spans="1:19" x14ac:dyDescent="0.25">
      <c r="A2708" s="196">
        <v>2663</v>
      </c>
      <c r="B2708" s="196" t="s">
        <v>13419</v>
      </c>
      <c r="C2708" s="196" t="s">
        <v>13420</v>
      </c>
      <c r="D2708" s="196" t="s">
        <v>13421</v>
      </c>
      <c r="E2708" s="182"/>
      <c r="F2708" s="196">
        <v>2015</v>
      </c>
      <c r="G2708" s="182"/>
      <c r="H2708" s="196" t="s">
        <v>1878</v>
      </c>
      <c r="I2708" s="184" t="s">
        <v>1929</v>
      </c>
      <c r="J2708" s="182"/>
      <c r="K2708" s="196" t="s">
        <v>1881</v>
      </c>
      <c r="L2708" s="16" t="s">
        <v>13423</v>
      </c>
      <c r="M2708" s="196">
        <v>256</v>
      </c>
      <c r="N2708" s="196" t="s">
        <v>13204</v>
      </c>
      <c r="O2708" s="257" t="s">
        <v>11946</v>
      </c>
      <c r="P2708" s="17">
        <v>408</v>
      </c>
      <c r="Q2708" s="245">
        <f t="shared" si="156"/>
        <v>4.79</v>
      </c>
      <c r="R2708" s="245">
        <v>2.2000000000000002</v>
      </c>
      <c r="S2708" s="18">
        <v>6.99</v>
      </c>
    </row>
    <row r="2709" spans="1:19" x14ac:dyDescent="0.25">
      <c r="A2709" s="196">
        <v>2663</v>
      </c>
      <c r="B2709" s="196" t="s">
        <v>13419</v>
      </c>
      <c r="C2709" s="196" t="s">
        <v>13424</v>
      </c>
      <c r="H2709" s="196" t="s">
        <v>1878</v>
      </c>
      <c r="I2709" s="16" t="s">
        <v>1879</v>
      </c>
      <c r="K2709" s="196" t="s">
        <v>1881</v>
      </c>
      <c r="L2709" s="16" t="s">
        <v>13425</v>
      </c>
      <c r="M2709" s="196">
        <v>314</v>
      </c>
      <c r="N2709" s="196" t="s">
        <v>13232</v>
      </c>
      <c r="O2709" s="257" t="s">
        <v>11947</v>
      </c>
      <c r="P2709" s="17">
        <v>320</v>
      </c>
      <c r="Q2709" s="245">
        <f t="shared" si="156"/>
        <v>4.79</v>
      </c>
      <c r="R2709" s="245">
        <v>2.2000000000000002</v>
      </c>
      <c r="S2709" s="18">
        <v>6.99</v>
      </c>
    </row>
    <row r="2710" spans="1:19" x14ac:dyDescent="0.25">
      <c r="A2710" s="196">
        <v>2547</v>
      </c>
      <c r="B2710" s="196" t="s">
        <v>5842</v>
      </c>
      <c r="C2710" s="196" t="s">
        <v>13426</v>
      </c>
      <c r="D2710" s="196" t="s">
        <v>1912</v>
      </c>
      <c r="E2710" s="196" t="s">
        <v>1913</v>
      </c>
      <c r="F2710" s="196">
        <v>2004</v>
      </c>
      <c r="H2710" s="196" t="s">
        <v>1878</v>
      </c>
      <c r="I2710" s="184" t="s">
        <v>1879</v>
      </c>
      <c r="J2710" s="182"/>
      <c r="K2710" s="196" t="s">
        <v>1881</v>
      </c>
      <c r="L2710" s="16" t="s">
        <v>13427</v>
      </c>
      <c r="M2710" s="196">
        <v>480</v>
      </c>
      <c r="N2710" s="196" t="s">
        <v>13170</v>
      </c>
      <c r="O2710" s="257" t="s">
        <v>11948</v>
      </c>
      <c r="P2710" s="17">
        <v>425</v>
      </c>
      <c r="Q2710" s="245">
        <f t="shared" si="156"/>
        <v>2.0099999999999998</v>
      </c>
      <c r="R2710" s="245">
        <v>2.2000000000000002</v>
      </c>
      <c r="S2710" s="18">
        <v>4.21</v>
      </c>
    </row>
    <row r="2711" spans="1:19" x14ac:dyDescent="0.25">
      <c r="A2711" s="196">
        <v>1875</v>
      </c>
      <c r="B2711" s="196" t="s">
        <v>13428</v>
      </c>
      <c r="C2711" s="196" t="s">
        <v>13429</v>
      </c>
      <c r="D2711" s="196" t="s">
        <v>2676</v>
      </c>
      <c r="F2711" s="196">
        <v>2002</v>
      </c>
      <c r="H2711" s="197" t="s">
        <v>2963</v>
      </c>
      <c r="I2711" s="184" t="s">
        <v>1879</v>
      </c>
      <c r="J2711" s="182"/>
      <c r="K2711" s="196" t="s">
        <v>1881</v>
      </c>
      <c r="L2711" s="16" t="s">
        <v>13430</v>
      </c>
      <c r="N2711" s="196" t="s">
        <v>13411</v>
      </c>
      <c r="O2711" s="257" t="s">
        <v>11949</v>
      </c>
      <c r="P2711" s="17">
        <v>177</v>
      </c>
      <c r="Q2711" s="245">
        <f t="shared" si="156"/>
        <v>1.9900000000000002</v>
      </c>
      <c r="R2711" s="245">
        <v>2.2000000000000002</v>
      </c>
      <c r="S2711" s="18">
        <v>4.1900000000000004</v>
      </c>
    </row>
    <row r="2712" spans="1:19" x14ac:dyDescent="0.25">
      <c r="A2712" s="196">
        <v>2548</v>
      </c>
      <c r="B2712" s="196" t="s">
        <v>3956</v>
      </c>
      <c r="C2712" s="196" t="s">
        <v>13431</v>
      </c>
      <c r="D2712" s="196" t="s">
        <v>2644</v>
      </c>
      <c r="F2712" s="196">
        <v>1999</v>
      </c>
      <c r="H2712" s="196" t="s">
        <v>1878</v>
      </c>
      <c r="I2712" s="184" t="s">
        <v>1879</v>
      </c>
      <c r="J2712" s="182"/>
      <c r="K2712" s="196" t="s">
        <v>1881</v>
      </c>
      <c r="L2712" s="16" t="s">
        <v>13432</v>
      </c>
      <c r="M2712" s="196">
        <v>304</v>
      </c>
      <c r="N2712" s="196" t="s">
        <v>13170</v>
      </c>
      <c r="O2712" s="257" t="s">
        <v>11950</v>
      </c>
      <c r="P2712" s="17">
        <v>262</v>
      </c>
      <c r="Q2712" s="245">
        <f t="shared" si="156"/>
        <v>1.7399999999999998</v>
      </c>
      <c r="R2712" s="245">
        <v>2.2000000000000002</v>
      </c>
      <c r="S2712" s="18">
        <v>3.94</v>
      </c>
    </row>
    <row r="2713" spans="1:19" x14ac:dyDescent="0.25">
      <c r="A2713" s="196">
        <v>632</v>
      </c>
      <c r="B2713" s="196" t="s">
        <v>5807</v>
      </c>
      <c r="C2713" s="196" t="s">
        <v>13433</v>
      </c>
      <c r="D2713" s="196" t="s">
        <v>2209</v>
      </c>
      <c r="E2713" s="196" t="s">
        <v>2922</v>
      </c>
      <c r="F2713" s="196">
        <v>1998</v>
      </c>
      <c r="H2713" s="196" t="s">
        <v>1878</v>
      </c>
      <c r="I2713" s="16" t="s">
        <v>1914</v>
      </c>
      <c r="K2713" s="196" t="s">
        <v>1881</v>
      </c>
      <c r="L2713" s="16" t="s">
        <v>13434</v>
      </c>
      <c r="M2713" s="196">
        <v>464</v>
      </c>
      <c r="N2713" s="196" t="s">
        <v>13239</v>
      </c>
      <c r="O2713" s="257" t="s">
        <v>11951</v>
      </c>
      <c r="P2713" s="17">
        <v>408</v>
      </c>
      <c r="Q2713" s="245">
        <f t="shared" si="156"/>
        <v>0.79</v>
      </c>
      <c r="R2713" s="245">
        <v>2.2000000000000002</v>
      </c>
      <c r="S2713" s="18">
        <v>2.99</v>
      </c>
    </row>
    <row r="2714" spans="1:19" x14ac:dyDescent="0.25">
      <c r="A2714" s="196">
        <v>1396</v>
      </c>
      <c r="B2714" s="196" t="s">
        <v>13435</v>
      </c>
      <c r="C2714" s="196" t="s">
        <v>13436</v>
      </c>
      <c r="D2714" s="196" t="s">
        <v>2609</v>
      </c>
      <c r="E2714" s="196" t="s">
        <v>1877</v>
      </c>
      <c r="F2714" s="196">
        <v>2011</v>
      </c>
      <c r="H2714" s="196" t="s">
        <v>1878</v>
      </c>
      <c r="I2714" s="184" t="s">
        <v>1914</v>
      </c>
      <c r="J2714" s="182"/>
      <c r="K2714" s="196" t="s">
        <v>1881</v>
      </c>
      <c r="L2714" s="16" t="s">
        <v>13437</v>
      </c>
      <c r="M2714" s="196">
        <v>400</v>
      </c>
      <c r="N2714" s="196" t="s">
        <v>13232</v>
      </c>
      <c r="O2714" s="257" t="s">
        <v>11952</v>
      </c>
      <c r="P2714" s="17">
        <v>319</v>
      </c>
      <c r="Q2714" s="245">
        <f t="shared" si="156"/>
        <v>4.05</v>
      </c>
      <c r="R2714" s="245">
        <v>2.2000000000000002</v>
      </c>
      <c r="S2714" s="18">
        <v>6.25</v>
      </c>
    </row>
    <row r="2715" spans="1:19" x14ac:dyDescent="0.25">
      <c r="A2715" s="196">
        <v>632</v>
      </c>
      <c r="B2715" s="196" t="s">
        <v>13438</v>
      </c>
      <c r="C2715" s="196" t="s">
        <v>13439</v>
      </c>
      <c r="F2715" s="196">
        <v>2003</v>
      </c>
      <c r="H2715" s="196" t="s">
        <v>1878</v>
      </c>
      <c r="I2715" s="16" t="s">
        <v>1914</v>
      </c>
      <c r="K2715" s="196" t="s">
        <v>1881</v>
      </c>
      <c r="L2715" s="16" t="s">
        <v>13440</v>
      </c>
      <c r="M2715" s="196">
        <v>416</v>
      </c>
      <c r="N2715" s="196" t="s">
        <v>13170</v>
      </c>
      <c r="O2715" s="257" t="s">
        <v>11953</v>
      </c>
      <c r="P2715" s="17">
        <v>372</v>
      </c>
      <c r="Q2715" s="245">
        <f t="shared" si="156"/>
        <v>1.7599999999999998</v>
      </c>
      <c r="R2715" s="245">
        <v>2.2000000000000002</v>
      </c>
      <c r="S2715" s="18">
        <v>3.96</v>
      </c>
    </row>
    <row r="2716" spans="1:19" x14ac:dyDescent="0.25">
      <c r="A2716" s="196">
        <v>1395</v>
      </c>
      <c r="B2716" s="196" t="s">
        <v>13441</v>
      </c>
      <c r="C2716" s="196" t="s">
        <v>13442</v>
      </c>
      <c r="D2716" s="196" t="s">
        <v>2394</v>
      </c>
      <c r="F2716" s="196">
        <v>1998</v>
      </c>
      <c r="H2716" s="196" t="s">
        <v>1878</v>
      </c>
      <c r="I2716" s="184" t="s">
        <v>1914</v>
      </c>
      <c r="J2716" s="182"/>
      <c r="K2716" s="196" t="s">
        <v>1881</v>
      </c>
      <c r="L2716" s="16" t="s">
        <v>13443</v>
      </c>
      <c r="M2716" s="196">
        <v>304</v>
      </c>
      <c r="N2716" s="196" t="s">
        <v>13415</v>
      </c>
      <c r="O2716" s="257" t="s">
        <v>11954</v>
      </c>
      <c r="P2716" s="17">
        <v>425</v>
      </c>
      <c r="Q2716" s="245">
        <f t="shared" si="156"/>
        <v>1.77</v>
      </c>
      <c r="R2716" s="245">
        <v>2.2000000000000002</v>
      </c>
      <c r="S2716" s="18">
        <v>3.97</v>
      </c>
    </row>
    <row r="2717" spans="1:19" x14ac:dyDescent="0.25">
      <c r="A2717" s="196">
        <v>796</v>
      </c>
      <c r="B2717" s="196" t="s">
        <v>13444</v>
      </c>
      <c r="C2717" s="196" t="s">
        <v>13445</v>
      </c>
      <c r="D2717" s="196" t="s">
        <v>5005</v>
      </c>
      <c r="F2717" s="196">
        <v>2007</v>
      </c>
      <c r="H2717" s="196" t="s">
        <v>1878</v>
      </c>
      <c r="I2717" s="16" t="s">
        <v>1879</v>
      </c>
      <c r="K2717" s="196" t="s">
        <v>1881</v>
      </c>
      <c r="M2717" s="196">
        <v>480</v>
      </c>
      <c r="N2717" s="196" t="s">
        <v>13297</v>
      </c>
      <c r="O2717" s="257" t="s">
        <v>11955</v>
      </c>
      <c r="P2717" s="17">
        <v>358</v>
      </c>
      <c r="Q2717" s="245">
        <f t="shared" si="156"/>
        <v>0.75</v>
      </c>
      <c r="R2717" s="245">
        <v>2.2000000000000002</v>
      </c>
      <c r="S2717" s="18">
        <v>2.95</v>
      </c>
    </row>
    <row r="2718" spans="1:19" x14ac:dyDescent="0.25">
      <c r="A2718" s="196">
        <v>2522</v>
      </c>
      <c r="B2718" s="196" t="s">
        <v>4115</v>
      </c>
      <c r="C2718" s="196" t="s">
        <v>13446</v>
      </c>
      <c r="D2718" s="196" t="s">
        <v>3077</v>
      </c>
      <c r="F2718" s="196">
        <v>2006</v>
      </c>
      <c r="H2718" s="196" t="s">
        <v>4297</v>
      </c>
      <c r="I2718" s="16" t="s">
        <v>1914</v>
      </c>
      <c r="K2718" s="196" t="s">
        <v>1881</v>
      </c>
      <c r="M2718" s="196">
        <v>546</v>
      </c>
      <c r="N2718" s="196" t="s">
        <v>13209</v>
      </c>
      <c r="O2718" s="257" t="s">
        <v>11956</v>
      </c>
      <c r="P2718" s="17">
        <v>467</v>
      </c>
      <c r="Q2718" s="245">
        <f t="shared" si="156"/>
        <v>1.8999999999999995</v>
      </c>
      <c r="R2718" s="245">
        <v>2.2000000000000002</v>
      </c>
      <c r="S2718" s="18">
        <v>4.0999999999999996</v>
      </c>
    </row>
    <row r="2719" spans="1:19" x14ac:dyDescent="0.25">
      <c r="A2719" s="196">
        <v>1239</v>
      </c>
      <c r="B2719" s="196" t="s">
        <v>13447</v>
      </c>
      <c r="C2719" s="196" t="s">
        <v>13448</v>
      </c>
      <c r="D2719" s="196" t="s">
        <v>3057</v>
      </c>
      <c r="E2719" s="196" t="s">
        <v>4472</v>
      </c>
      <c r="F2719" s="196">
        <v>1997</v>
      </c>
      <c r="H2719" s="197" t="s">
        <v>2963</v>
      </c>
      <c r="I2719" s="16" t="s">
        <v>1879</v>
      </c>
      <c r="K2719" s="196" t="s">
        <v>1881</v>
      </c>
      <c r="L2719" s="16" t="s">
        <v>13449</v>
      </c>
      <c r="M2719" s="196">
        <v>202</v>
      </c>
      <c r="N2719" s="196" t="s">
        <v>13450</v>
      </c>
      <c r="O2719" s="257" t="s">
        <v>11957</v>
      </c>
      <c r="P2719" s="17">
        <v>798</v>
      </c>
      <c r="Q2719" s="245">
        <f t="shared" si="156"/>
        <v>2.8999999999999995</v>
      </c>
      <c r="R2719" s="245">
        <v>2.2000000000000002</v>
      </c>
      <c r="S2719" s="18">
        <v>5.0999999999999996</v>
      </c>
    </row>
    <row r="2720" spans="1:19" x14ac:dyDescent="0.25">
      <c r="A2720" s="196">
        <v>763</v>
      </c>
      <c r="B2720" s="196" t="s">
        <v>13451</v>
      </c>
      <c r="C2720" s="196" t="s">
        <v>13452</v>
      </c>
      <c r="D2720" s="196" t="s">
        <v>13453</v>
      </c>
      <c r="F2720" s="196">
        <v>2001</v>
      </c>
      <c r="H2720" s="1" t="s">
        <v>1878</v>
      </c>
      <c r="I2720" s="16" t="s">
        <v>1879</v>
      </c>
      <c r="K2720" s="196" t="s">
        <v>1881</v>
      </c>
      <c r="L2720" s="16" t="s">
        <v>13454</v>
      </c>
      <c r="M2720" s="196">
        <v>144</v>
      </c>
      <c r="N2720" s="196" t="s">
        <v>13455</v>
      </c>
      <c r="O2720" s="257" t="s">
        <v>11958</v>
      </c>
      <c r="P2720" s="17">
        <v>311</v>
      </c>
      <c r="Q2720" s="245">
        <f t="shared" si="156"/>
        <v>2.0099999999999998</v>
      </c>
      <c r="R2720" s="245">
        <v>2.2000000000000002</v>
      </c>
      <c r="S2720" s="18">
        <v>4.21</v>
      </c>
    </row>
    <row r="2721" spans="1:19" x14ac:dyDescent="0.25">
      <c r="A2721" s="196">
        <v>692</v>
      </c>
      <c r="B2721" s="196" t="s">
        <v>13456</v>
      </c>
      <c r="C2721" s="196" t="s">
        <v>13457</v>
      </c>
      <c r="D2721" s="196" t="s">
        <v>2209</v>
      </c>
      <c r="F2721" s="196">
        <v>2010</v>
      </c>
      <c r="H2721" s="182" t="s">
        <v>1878</v>
      </c>
      <c r="I2721" s="184" t="s">
        <v>1879</v>
      </c>
      <c r="J2721" s="182"/>
      <c r="K2721" s="196" t="s">
        <v>1881</v>
      </c>
      <c r="L2721" s="16" t="s">
        <v>13458</v>
      </c>
      <c r="M2721" s="196">
        <v>432</v>
      </c>
      <c r="N2721" s="196" t="s">
        <v>13459</v>
      </c>
      <c r="O2721" s="257" t="s">
        <v>11959</v>
      </c>
      <c r="P2721" s="17">
        <v>352</v>
      </c>
      <c r="Q2721" s="245">
        <f t="shared" si="156"/>
        <v>1.5799999999999996</v>
      </c>
      <c r="R2721" s="245">
        <v>2.2000000000000002</v>
      </c>
      <c r="S2721" s="18">
        <v>3.78</v>
      </c>
    </row>
    <row r="2722" spans="1:19" x14ac:dyDescent="0.25">
      <c r="A2722" s="196">
        <v>692</v>
      </c>
      <c r="B2722" s="196" t="s">
        <v>13460</v>
      </c>
      <c r="C2722" s="196" t="s">
        <v>13461</v>
      </c>
      <c r="D2722" s="196" t="s">
        <v>3077</v>
      </c>
      <c r="E2722" s="196" t="s">
        <v>1913</v>
      </c>
      <c r="F2722" s="196">
        <v>2008</v>
      </c>
      <c r="H2722" s="196" t="s">
        <v>1878</v>
      </c>
      <c r="I2722" s="184" t="s">
        <v>1879</v>
      </c>
      <c r="J2722" s="54" t="s">
        <v>3854</v>
      </c>
      <c r="K2722" s="196" t="s">
        <v>1881</v>
      </c>
      <c r="L2722" s="16" t="s">
        <v>13462</v>
      </c>
      <c r="M2722" s="196">
        <v>320</v>
      </c>
      <c r="N2722" s="196" t="s">
        <v>13463</v>
      </c>
      <c r="O2722" s="257" t="s">
        <v>11960</v>
      </c>
      <c r="P2722" s="17">
        <v>256</v>
      </c>
      <c r="Q2722" s="245">
        <f t="shared" si="156"/>
        <v>0.80999999999999961</v>
      </c>
      <c r="R2722" s="245">
        <v>2.2000000000000002</v>
      </c>
      <c r="S2722" s="18">
        <v>3.01</v>
      </c>
    </row>
    <row r="2723" spans="1:19" x14ac:dyDescent="0.25">
      <c r="A2723" s="196">
        <v>2522</v>
      </c>
      <c r="B2723" s="196" t="s">
        <v>4115</v>
      </c>
      <c r="C2723" s="196" t="s">
        <v>13464</v>
      </c>
      <c r="D2723" s="196" t="s">
        <v>3077</v>
      </c>
      <c r="E2723" s="196" t="s">
        <v>1913</v>
      </c>
      <c r="F2723" s="196">
        <v>2009</v>
      </c>
      <c r="H2723" s="196" t="s">
        <v>1878</v>
      </c>
      <c r="I2723" s="16" t="s">
        <v>1914</v>
      </c>
      <c r="K2723" s="196" t="s">
        <v>1881</v>
      </c>
      <c r="L2723" s="16" t="s">
        <v>13465</v>
      </c>
      <c r="M2723" s="196">
        <v>480</v>
      </c>
      <c r="N2723" s="196" t="s">
        <v>13170</v>
      </c>
      <c r="O2723" s="257" t="s">
        <v>11961</v>
      </c>
      <c r="P2723" s="17">
        <v>368</v>
      </c>
      <c r="Q2723" s="245">
        <f t="shared" si="156"/>
        <v>2.4900000000000002</v>
      </c>
      <c r="R2723" s="245">
        <v>2.2000000000000002</v>
      </c>
      <c r="S2723" s="18">
        <v>4.6900000000000004</v>
      </c>
    </row>
    <row r="2724" spans="1:19" x14ac:dyDescent="0.25">
      <c r="A2724" s="196">
        <v>796</v>
      </c>
      <c r="B2724" s="196" t="s">
        <v>13466</v>
      </c>
      <c r="C2724" s="196" t="s">
        <v>13467</v>
      </c>
      <c r="D2724" s="196" t="s">
        <v>10749</v>
      </c>
      <c r="F2724" s="196">
        <v>2015</v>
      </c>
      <c r="H2724" s="196" t="s">
        <v>1878</v>
      </c>
      <c r="I2724" s="184" t="s">
        <v>1879</v>
      </c>
      <c r="J2724" s="54" t="s">
        <v>3854</v>
      </c>
      <c r="K2724" s="196" t="s">
        <v>1881</v>
      </c>
      <c r="L2724" s="16" t="s">
        <v>13468</v>
      </c>
      <c r="M2724" s="196">
        <v>384</v>
      </c>
      <c r="N2724" s="196" t="s">
        <v>13239</v>
      </c>
      <c r="O2724" s="257" t="s">
        <v>11962</v>
      </c>
      <c r="P2724" s="17">
        <v>336</v>
      </c>
      <c r="Q2724" s="245">
        <f t="shared" si="156"/>
        <v>4.4799999999999995</v>
      </c>
      <c r="R2724" s="245">
        <v>2.2000000000000002</v>
      </c>
      <c r="S2724" s="18">
        <v>6.68</v>
      </c>
    </row>
    <row r="2725" spans="1:19" x14ac:dyDescent="0.25">
      <c r="A2725" s="196">
        <v>632</v>
      </c>
      <c r="B2725" s="196" t="s">
        <v>13469</v>
      </c>
      <c r="C2725" s="196" t="s">
        <v>13470</v>
      </c>
      <c r="D2725" s="196" t="s">
        <v>1920</v>
      </c>
      <c r="F2725" s="196">
        <v>2014</v>
      </c>
      <c r="H2725" s="196" t="s">
        <v>1878</v>
      </c>
      <c r="I2725" s="184" t="s">
        <v>1914</v>
      </c>
      <c r="J2725" s="182"/>
      <c r="K2725" s="196" t="s">
        <v>1881</v>
      </c>
      <c r="L2725" s="16" t="s">
        <v>13471</v>
      </c>
      <c r="M2725" s="196">
        <v>528</v>
      </c>
      <c r="N2725" s="196" t="s">
        <v>13239</v>
      </c>
      <c r="O2725" s="257" t="s">
        <v>11963</v>
      </c>
      <c r="P2725" s="17">
        <v>468</v>
      </c>
      <c r="Q2725" s="245">
        <f t="shared" si="156"/>
        <v>2.3499999999999996</v>
      </c>
      <c r="R2725" s="245">
        <v>2.2000000000000002</v>
      </c>
      <c r="S2725" s="18">
        <v>4.55</v>
      </c>
    </row>
    <row r="2726" spans="1:19" x14ac:dyDescent="0.25">
      <c r="A2726" s="196">
        <v>735</v>
      </c>
      <c r="B2726" s="196" t="s">
        <v>7321</v>
      </c>
      <c r="C2726" s="196" t="s">
        <v>13472</v>
      </c>
      <c r="D2726" s="196" t="s">
        <v>7260</v>
      </c>
      <c r="F2726" s="196">
        <v>1981</v>
      </c>
      <c r="H2726" s="197" t="s">
        <v>2963</v>
      </c>
      <c r="I2726" s="184" t="s">
        <v>1914</v>
      </c>
      <c r="J2726" s="182"/>
      <c r="K2726" s="196" t="s">
        <v>1881</v>
      </c>
      <c r="L2726" s="16" t="s">
        <v>13473</v>
      </c>
      <c r="M2726" s="196">
        <v>476</v>
      </c>
      <c r="N2726" s="196" t="s">
        <v>13474</v>
      </c>
      <c r="O2726" s="257" t="s">
        <v>11964</v>
      </c>
      <c r="P2726" s="17">
        <v>607</v>
      </c>
      <c r="Q2726" s="245">
        <f t="shared" si="156"/>
        <v>1.77</v>
      </c>
      <c r="R2726" s="245">
        <v>2.2000000000000002</v>
      </c>
      <c r="S2726" s="18">
        <v>3.97</v>
      </c>
    </row>
    <row r="2727" spans="1:19" x14ac:dyDescent="0.25">
      <c r="A2727" s="196">
        <v>735</v>
      </c>
      <c r="B2727" s="196" t="s">
        <v>8774</v>
      </c>
      <c r="C2727" s="196" t="s">
        <v>13475</v>
      </c>
      <c r="D2727" s="196" t="s">
        <v>1876</v>
      </c>
      <c r="F2727" s="196">
        <v>1974</v>
      </c>
      <c r="H2727" s="197" t="s">
        <v>2963</v>
      </c>
      <c r="I2727" s="184" t="s">
        <v>1914</v>
      </c>
      <c r="J2727" s="182"/>
      <c r="K2727" s="196" t="s">
        <v>1881</v>
      </c>
      <c r="L2727" s="16" t="s">
        <v>13476</v>
      </c>
      <c r="M2727" s="196">
        <v>442</v>
      </c>
      <c r="N2727" s="196" t="s">
        <v>13204</v>
      </c>
      <c r="O2727" s="257" t="s">
        <v>11965</v>
      </c>
      <c r="P2727" s="17">
        <v>664</v>
      </c>
      <c r="Q2727" s="245">
        <f t="shared" si="156"/>
        <v>0.44999999999999973</v>
      </c>
      <c r="R2727" s="245">
        <v>2.2000000000000002</v>
      </c>
      <c r="S2727" s="18">
        <v>2.65</v>
      </c>
    </row>
    <row r="2728" spans="1:19" x14ac:dyDescent="0.25">
      <c r="A2728" s="196">
        <v>1327</v>
      </c>
      <c r="B2728" s="196" t="s">
        <v>13477</v>
      </c>
      <c r="C2728" s="196" t="s">
        <v>13478</v>
      </c>
      <c r="D2728" s="196" t="s">
        <v>9065</v>
      </c>
      <c r="E2728" s="196" t="s">
        <v>1913</v>
      </c>
      <c r="F2728" s="196">
        <v>1987</v>
      </c>
      <c r="H2728" s="197" t="s">
        <v>2963</v>
      </c>
      <c r="I2728" s="16" t="s">
        <v>1879</v>
      </c>
      <c r="K2728" s="196" t="s">
        <v>1881</v>
      </c>
      <c r="L2728" s="16" t="s">
        <v>13479</v>
      </c>
      <c r="M2728" s="196">
        <v>210</v>
      </c>
      <c r="N2728" s="196" t="s">
        <v>13342</v>
      </c>
      <c r="O2728" s="257" t="s">
        <v>11966</v>
      </c>
      <c r="P2728" s="17">
        <v>284</v>
      </c>
      <c r="Q2728" s="245">
        <f t="shared" si="156"/>
        <v>1.6099999999999999</v>
      </c>
      <c r="R2728" s="245">
        <v>2.2000000000000002</v>
      </c>
      <c r="S2728" s="18">
        <v>3.81</v>
      </c>
    </row>
    <row r="2729" spans="1:19" x14ac:dyDescent="0.25">
      <c r="A2729" s="196">
        <v>1289</v>
      </c>
      <c r="C2729" s="196" t="s">
        <v>13480</v>
      </c>
      <c r="D2729" s="196" t="s">
        <v>13481</v>
      </c>
      <c r="E2729" s="1" t="s">
        <v>1877</v>
      </c>
      <c r="F2729" s="196">
        <v>1991</v>
      </c>
      <c r="H2729" s="196" t="s">
        <v>1878</v>
      </c>
      <c r="I2729" s="16" t="s">
        <v>1879</v>
      </c>
      <c r="K2729" s="196" t="s">
        <v>1881</v>
      </c>
      <c r="M2729" s="196">
        <v>180</v>
      </c>
      <c r="N2729" s="196" t="s">
        <v>13172</v>
      </c>
      <c r="O2729" s="257" t="s">
        <v>11967</v>
      </c>
      <c r="P2729" s="17">
        <v>245</v>
      </c>
      <c r="Q2729" s="245">
        <f t="shared" si="156"/>
        <v>27.79</v>
      </c>
      <c r="R2729" s="245">
        <v>2.2000000000000002</v>
      </c>
      <c r="S2729" s="18">
        <v>29.99</v>
      </c>
    </row>
    <row r="2730" spans="1:19" x14ac:dyDescent="0.25">
      <c r="A2730" s="196">
        <v>2547</v>
      </c>
      <c r="B2730" s="196" t="s">
        <v>9403</v>
      </c>
      <c r="C2730" s="196" t="s">
        <v>13482</v>
      </c>
      <c r="D2730" s="196" t="s">
        <v>1912</v>
      </c>
      <c r="E2730" s="196" t="s">
        <v>9223</v>
      </c>
      <c r="F2730" s="196">
        <v>1990</v>
      </c>
      <c r="H2730" s="196" t="s">
        <v>1878</v>
      </c>
      <c r="I2730" s="16" t="s">
        <v>1914</v>
      </c>
      <c r="K2730" s="196" t="s">
        <v>1881</v>
      </c>
      <c r="L2730" s="16" t="s">
        <v>13483</v>
      </c>
      <c r="M2730" s="196">
        <v>176</v>
      </c>
      <c r="N2730" s="196" t="s">
        <v>13170</v>
      </c>
      <c r="O2730" s="257" t="s">
        <v>11968</v>
      </c>
      <c r="P2730" s="17">
        <v>108</v>
      </c>
      <c r="Q2730" s="245">
        <f t="shared" si="156"/>
        <v>1.27</v>
      </c>
      <c r="R2730" s="245">
        <v>2.2000000000000002</v>
      </c>
      <c r="S2730" s="18">
        <v>3.47</v>
      </c>
    </row>
    <row r="2731" spans="1:19" x14ac:dyDescent="0.25">
      <c r="A2731" s="196">
        <v>2847</v>
      </c>
      <c r="B2731" s="196" t="s">
        <v>13484</v>
      </c>
      <c r="C2731" s="196" t="s">
        <v>13485</v>
      </c>
      <c r="D2731" s="196" t="s">
        <v>4647</v>
      </c>
      <c r="F2731" s="196">
        <v>1978</v>
      </c>
      <c r="H2731" s="196" t="s">
        <v>1878</v>
      </c>
      <c r="I2731" s="184" t="s">
        <v>1914</v>
      </c>
      <c r="J2731" s="182"/>
      <c r="K2731" s="196" t="s">
        <v>1881</v>
      </c>
      <c r="L2731" s="16" t="s">
        <v>13486</v>
      </c>
      <c r="M2731" s="196">
        <v>200</v>
      </c>
      <c r="N2731" s="196" t="s">
        <v>13487</v>
      </c>
      <c r="O2731" s="257" t="s">
        <v>11969</v>
      </c>
      <c r="P2731" s="17">
        <v>297</v>
      </c>
      <c r="Q2731" s="245">
        <f t="shared" si="156"/>
        <v>7.29</v>
      </c>
      <c r="R2731" s="245">
        <v>2.2000000000000002</v>
      </c>
      <c r="S2731" s="18">
        <v>9.49</v>
      </c>
    </row>
    <row r="2732" spans="1:19" x14ac:dyDescent="0.25">
      <c r="A2732" s="196">
        <v>2663</v>
      </c>
      <c r="B2732" s="196" t="s">
        <v>13488</v>
      </c>
      <c r="C2732" s="196" t="s">
        <v>13489</v>
      </c>
      <c r="D2732" s="196" t="s">
        <v>2209</v>
      </c>
      <c r="E2732" s="196" t="s">
        <v>1899</v>
      </c>
      <c r="F2732" s="196">
        <v>1990</v>
      </c>
      <c r="H2732" s="196" t="s">
        <v>1878</v>
      </c>
      <c r="I2732" s="184" t="s">
        <v>1914</v>
      </c>
      <c r="J2732" s="182"/>
      <c r="K2732" s="196" t="s">
        <v>1881</v>
      </c>
      <c r="L2732" s="16" t="s">
        <v>13490</v>
      </c>
      <c r="M2732" s="196">
        <v>352</v>
      </c>
      <c r="N2732" s="196" t="s">
        <v>13170</v>
      </c>
      <c r="O2732" s="257" t="s">
        <v>11970</v>
      </c>
      <c r="P2732" s="17">
        <v>204</v>
      </c>
      <c r="Q2732" s="245">
        <f t="shared" si="156"/>
        <v>1.79</v>
      </c>
      <c r="R2732" s="245">
        <v>2.2000000000000002</v>
      </c>
      <c r="S2732" s="18">
        <v>3.99</v>
      </c>
    </row>
    <row r="2733" spans="1:19" x14ac:dyDescent="0.25">
      <c r="A2733" s="196">
        <v>1395</v>
      </c>
      <c r="B2733" s="196" t="s">
        <v>13491</v>
      </c>
      <c r="C2733" s="196" t="s">
        <v>13492</v>
      </c>
      <c r="D2733" s="196" t="s">
        <v>2209</v>
      </c>
      <c r="E2733" s="196" t="s">
        <v>1877</v>
      </c>
      <c r="F2733" s="196">
        <v>1987</v>
      </c>
      <c r="H2733" s="196" t="s">
        <v>1878</v>
      </c>
      <c r="I2733" s="184" t="s">
        <v>1914</v>
      </c>
      <c r="J2733" s="182"/>
      <c r="K2733" s="196" t="s">
        <v>1881</v>
      </c>
      <c r="L2733" s="16" t="s">
        <v>13493</v>
      </c>
      <c r="M2733" s="196">
        <v>128</v>
      </c>
      <c r="N2733" s="196" t="s">
        <v>13170</v>
      </c>
      <c r="O2733" s="257" t="s">
        <v>11971</v>
      </c>
      <c r="P2733" s="17">
        <v>115</v>
      </c>
      <c r="Q2733" s="245">
        <f t="shared" si="156"/>
        <v>0.79</v>
      </c>
      <c r="R2733" s="245">
        <v>2.2000000000000002</v>
      </c>
      <c r="S2733" s="18">
        <v>2.99</v>
      </c>
    </row>
    <row r="2734" spans="1:19" x14ac:dyDescent="0.25">
      <c r="A2734" s="196">
        <v>2571</v>
      </c>
      <c r="B2734" s="196" t="s">
        <v>13494</v>
      </c>
      <c r="C2734" s="196" t="s">
        <v>13495</v>
      </c>
      <c r="D2734" s="196" t="s">
        <v>10971</v>
      </c>
      <c r="F2734" s="196">
        <v>2009</v>
      </c>
      <c r="H2734" s="197" t="s">
        <v>2963</v>
      </c>
      <c r="I2734" s="184" t="s">
        <v>1914</v>
      </c>
      <c r="J2734" s="182"/>
      <c r="K2734" s="196" t="s">
        <v>1881</v>
      </c>
      <c r="L2734" s="16" t="s">
        <v>13496</v>
      </c>
      <c r="M2734" s="196">
        <v>298</v>
      </c>
      <c r="N2734" s="196" t="s">
        <v>13487</v>
      </c>
      <c r="O2734" s="257" t="s">
        <v>11972</v>
      </c>
      <c r="P2734" s="17">
        <v>343</v>
      </c>
      <c r="Q2734" s="245">
        <f t="shared" si="156"/>
        <v>2.88</v>
      </c>
      <c r="R2734" s="245">
        <v>2.2000000000000002</v>
      </c>
      <c r="S2734" s="18">
        <v>5.08</v>
      </c>
    </row>
    <row r="2735" spans="1:19" x14ac:dyDescent="0.25">
      <c r="A2735" s="196">
        <v>2571</v>
      </c>
      <c r="B2735" s="196" t="s">
        <v>13497</v>
      </c>
      <c r="C2735" s="196" t="s">
        <v>7807</v>
      </c>
      <c r="D2735" s="196" t="s">
        <v>10971</v>
      </c>
      <c r="F2735" s="196">
        <v>2009</v>
      </c>
      <c r="H2735" s="197" t="s">
        <v>2963</v>
      </c>
      <c r="I2735" s="16" t="s">
        <v>1879</v>
      </c>
      <c r="K2735" s="196" t="s">
        <v>1881</v>
      </c>
      <c r="L2735" s="16" t="s">
        <v>13496</v>
      </c>
      <c r="M2735" s="196">
        <v>298</v>
      </c>
      <c r="N2735" s="196" t="s">
        <v>13487</v>
      </c>
      <c r="O2735" s="257" t="s">
        <v>11973</v>
      </c>
      <c r="P2735" s="17">
        <v>348</v>
      </c>
      <c r="Q2735" s="245">
        <f t="shared" si="156"/>
        <v>2</v>
      </c>
      <c r="R2735" s="245">
        <v>2.2000000000000002</v>
      </c>
      <c r="S2735" s="18">
        <v>4.2</v>
      </c>
    </row>
    <row r="2736" spans="1:19" x14ac:dyDescent="0.25">
      <c r="A2736" s="196">
        <v>2571</v>
      </c>
      <c r="B2736" s="196" t="s">
        <v>13499</v>
      </c>
      <c r="C2736" s="196" t="s">
        <v>13498</v>
      </c>
      <c r="D2736" s="196" t="s">
        <v>1912</v>
      </c>
      <c r="E2736" s="196" t="s">
        <v>7601</v>
      </c>
      <c r="F2736" s="196">
        <v>1984</v>
      </c>
      <c r="H2736" s="196" t="s">
        <v>1878</v>
      </c>
      <c r="I2736" s="184" t="s">
        <v>1914</v>
      </c>
      <c r="J2736" s="182"/>
      <c r="K2736" s="196" t="s">
        <v>1881</v>
      </c>
      <c r="L2736" s="16" t="s">
        <v>13500</v>
      </c>
      <c r="M2736" s="196">
        <v>192</v>
      </c>
      <c r="N2736" s="196" t="s">
        <v>13170</v>
      </c>
      <c r="O2736" s="257" t="s">
        <v>11974</v>
      </c>
      <c r="P2736" s="17">
        <v>115</v>
      </c>
      <c r="Q2736" s="245">
        <f t="shared" si="156"/>
        <v>2.8499999999999996</v>
      </c>
      <c r="R2736" s="245">
        <v>2.2000000000000002</v>
      </c>
      <c r="S2736" s="18">
        <v>5.05</v>
      </c>
    </row>
    <row r="2737" spans="1:19" x14ac:dyDescent="0.25">
      <c r="A2737" s="196">
        <v>1396</v>
      </c>
      <c r="B2737" s="196" t="s">
        <v>13501</v>
      </c>
      <c r="C2737" s="196" t="s">
        <v>13502</v>
      </c>
      <c r="D2737" s="196" t="s">
        <v>4930</v>
      </c>
      <c r="H2737" s="196" t="s">
        <v>2963</v>
      </c>
      <c r="I2737" s="16" t="s">
        <v>1914</v>
      </c>
      <c r="J2737" s="1" t="s">
        <v>13503</v>
      </c>
      <c r="K2737" s="196" t="s">
        <v>1881</v>
      </c>
      <c r="M2737" s="196">
        <v>514</v>
      </c>
      <c r="N2737" s="196" t="s">
        <v>13204</v>
      </c>
      <c r="O2737" s="257" t="s">
        <v>11975</v>
      </c>
      <c r="P2737" s="17">
        <v>642</v>
      </c>
      <c r="Q2737" s="245">
        <f t="shared" si="156"/>
        <v>2.5999999999999996</v>
      </c>
      <c r="R2737" s="245">
        <v>2.2000000000000002</v>
      </c>
      <c r="S2737" s="18">
        <v>4.8</v>
      </c>
    </row>
    <row r="2738" spans="1:19" x14ac:dyDescent="0.25">
      <c r="A2738" s="196">
        <v>1315</v>
      </c>
      <c r="B2738" s="196" t="s">
        <v>13504</v>
      </c>
      <c r="C2738" s="196" t="s">
        <v>13505</v>
      </c>
      <c r="D2738" s="196" t="s">
        <v>1886</v>
      </c>
      <c r="F2738" s="196">
        <v>1998</v>
      </c>
      <c r="H2738" s="196" t="s">
        <v>1878</v>
      </c>
      <c r="I2738" s="184" t="s">
        <v>1914</v>
      </c>
      <c r="J2738" s="182"/>
      <c r="K2738" s="196" t="s">
        <v>1881</v>
      </c>
      <c r="L2738" s="16" t="s">
        <v>13506</v>
      </c>
      <c r="M2738" s="196">
        <v>160</v>
      </c>
      <c r="N2738" s="196" t="s">
        <v>13232</v>
      </c>
      <c r="O2738" s="257" t="s">
        <v>11976</v>
      </c>
      <c r="P2738" s="17">
        <v>129</v>
      </c>
      <c r="Q2738" s="245">
        <f t="shared" si="156"/>
        <v>2.9799999999999995</v>
      </c>
      <c r="R2738" s="245">
        <v>2.2000000000000002</v>
      </c>
      <c r="S2738" s="18">
        <f>1.19+3.99</f>
        <v>5.18</v>
      </c>
    </row>
    <row r="2739" spans="1:19" x14ac:dyDescent="0.25">
      <c r="A2739" s="196">
        <v>2010</v>
      </c>
      <c r="B2739" s="196" t="s">
        <v>13507</v>
      </c>
      <c r="C2739" s="196" t="s">
        <v>13508</v>
      </c>
      <c r="D2739" s="196" t="s">
        <v>13509</v>
      </c>
      <c r="E2739" s="196"/>
      <c r="F2739" s="196">
        <v>2011</v>
      </c>
      <c r="H2739" s="196" t="s">
        <v>1878</v>
      </c>
      <c r="I2739" s="184" t="s">
        <v>1914</v>
      </c>
      <c r="J2739" s="182" t="s">
        <v>13510</v>
      </c>
      <c r="K2739" s="196" t="s">
        <v>2025</v>
      </c>
      <c r="L2739" s="16" t="s">
        <v>13511</v>
      </c>
      <c r="M2739" s="196">
        <v>128</v>
      </c>
      <c r="N2739" s="196" t="s">
        <v>13194</v>
      </c>
      <c r="O2739" s="257" t="s">
        <v>11977</v>
      </c>
      <c r="P2739" s="17">
        <v>142</v>
      </c>
      <c r="Q2739" s="245">
        <f t="shared" si="156"/>
        <v>1.77</v>
      </c>
      <c r="R2739" s="245">
        <v>2.2000000000000002</v>
      </c>
      <c r="S2739" s="18">
        <v>3.97</v>
      </c>
    </row>
    <row r="2740" spans="1:19" x14ac:dyDescent="0.25">
      <c r="A2740" s="196">
        <v>1315</v>
      </c>
      <c r="B2740" s="196" t="s">
        <v>13512</v>
      </c>
      <c r="C2740" s="196" t="s">
        <v>13513</v>
      </c>
      <c r="D2740" s="196" t="s">
        <v>1886</v>
      </c>
      <c r="F2740" s="196">
        <v>1999</v>
      </c>
      <c r="H2740" s="196" t="s">
        <v>1878</v>
      </c>
      <c r="I2740" s="184" t="s">
        <v>1914</v>
      </c>
      <c r="K2740" s="196" t="s">
        <v>1881</v>
      </c>
      <c r="L2740" s="16" t="s">
        <v>13514</v>
      </c>
      <c r="M2740" s="196">
        <v>112</v>
      </c>
      <c r="N2740" s="196" t="s">
        <v>13232</v>
      </c>
      <c r="O2740" s="257" t="s">
        <v>11978</v>
      </c>
      <c r="P2740" s="17">
        <v>91</v>
      </c>
      <c r="Q2740" s="245">
        <f t="shared" si="156"/>
        <v>1.77</v>
      </c>
      <c r="R2740" s="245">
        <v>2.2000000000000002</v>
      </c>
      <c r="S2740" s="18">
        <v>3.97</v>
      </c>
    </row>
    <row r="2741" spans="1:19" x14ac:dyDescent="0.25">
      <c r="A2741" s="196">
        <v>1352</v>
      </c>
      <c r="B2741" s="196" t="s">
        <v>13515</v>
      </c>
      <c r="C2741" s="196" t="s">
        <v>13516</v>
      </c>
      <c r="D2741" s="196" t="s">
        <v>5005</v>
      </c>
      <c r="F2741" s="196">
        <v>1961</v>
      </c>
      <c r="H2741" s="196" t="s">
        <v>2963</v>
      </c>
      <c r="I2741" s="16" t="s">
        <v>1879</v>
      </c>
      <c r="K2741" s="196" t="s">
        <v>1881</v>
      </c>
      <c r="M2741" s="196">
        <v>386</v>
      </c>
      <c r="N2741" s="196" t="s">
        <v>13198</v>
      </c>
      <c r="O2741" s="257" t="s">
        <v>11979</v>
      </c>
      <c r="P2741" s="17">
        <v>470</v>
      </c>
      <c r="Q2741" s="245">
        <f t="shared" si="156"/>
        <v>2.1900000000000004</v>
      </c>
      <c r="R2741" s="245">
        <v>2.2000000000000002</v>
      </c>
      <c r="S2741" s="18">
        <f>2.6+1.79</f>
        <v>4.3900000000000006</v>
      </c>
    </row>
    <row r="2742" spans="1:19" x14ac:dyDescent="0.25">
      <c r="A2742" s="196">
        <v>670</v>
      </c>
      <c r="B2742" s="196" t="s">
        <v>13519</v>
      </c>
      <c r="C2742" s="196" t="s">
        <v>13517</v>
      </c>
      <c r="D2742" s="196" t="s">
        <v>13518</v>
      </c>
      <c r="H2742" s="196" t="s">
        <v>2963</v>
      </c>
      <c r="I2742" s="16" t="s">
        <v>6422</v>
      </c>
      <c r="K2742" s="196" t="s">
        <v>1881</v>
      </c>
      <c r="M2742" s="196">
        <v>194</v>
      </c>
      <c r="N2742" s="196" t="s">
        <v>13520</v>
      </c>
      <c r="O2742" s="257" t="s">
        <v>11980</v>
      </c>
      <c r="P2742" s="17">
        <v>425</v>
      </c>
      <c r="Q2742" s="245">
        <f t="shared" si="156"/>
        <v>1.2599999999999998</v>
      </c>
      <c r="R2742" s="245">
        <v>2.2000000000000002</v>
      </c>
      <c r="S2742" s="18">
        <f>0.91+2.55</f>
        <v>3.46</v>
      </c>
    </row>
    <row r="2743" spans="1:19" ht="27.75" customHeight="1" x14ac:dyDescent="0.25">
      <c r="A2743" s="196">
        <v>769</v>
      </c>
      <c r="C2743" s="196" t="s">
        <v>13521</v>
      </c>
      <c r="D2743" s="196" t="s">
        <v>13522</v>
      </c>
      <c r="F2743" s="196">
        <v>1996</v>
      </c>
      <c r="H2743" s="196" t="s">
        <v>13523</v>
      </c>
      <c r="I2743" s="16" t="s">
        <v>1879</v>
      </c>
      <c r="K2743" s="50" t="s">
        <v>13524</v>
      </c>
      <c r="L2743" s="16" t="s">
        <v>13525</v>
      </c>
      <c r="M2743" s="196">
        <v>660</v>
      </c>
      <c r="N2743" s="196" t="s">
        <v>13275</v>
      </c>
      <c r="O2743" s="257" t="s">
        <v>11981</v>
      </c>
      <c r="P2743" s="17">
        <v>833</v>
      </c>
      <c r="Q2743" s="245">
        <f t="shared" si="156"/>
        <v>1.3399999999999999</v>
      </c>
      <c r="R2743" s="245">
        <v>2.2000000000000002</v>
      </c>
      <c r="S2743" s="18">
        <f>2.65+0.89</f>
        <v>3.54</v>
      </c>
    </row>
    <row r="2744" spans="1:19" x14ac:dyDescent="0.25">
      <c r="A2744" s="196">
        <v>2571</v>
      </c>
      <c r="B2744" s="196" t="s">
        <v>13526</v>
      </c>
      <c r="C2744" s="196" t="s">
        <v>13527</v>
      </c>
      <c r="D2744" s="196" t="s">
        <v>2609</v>
      </c>
      <c r="H2744" s="196" t="s">
        <v>2963</v>
      </c>
      <c r="I2744" s="16" t="s">
        <v>1914</v>
      </c>
      <c r="K2744" s="196" t="s">
        <v>1881</v>
      </c>
      <c r="M2744" s="196">
        <v>450</v>
      </c>
      <c r="N2744" s="196" t="s">
        <v>13204</v>
      </c>
      <c r="O2744" s="257" t="s">
        <v>11982</v>
      </c>
      <c r="P2744" s="17">
        <v>558</v>
      </c>
      <c r="Q2744" s="245">
        <f t="shared" si="156"/>
        <v>2</v>
      </c>
      <c r="R2744" s="245">
        <v>2.2000000000000002</v>
      </c>
      <c r="S2744" s="18">
        <v>4.2</v>
      </c>
    </row>
    <row r="2745" spans="1:19" x14ac:dyDescent="0.25">
      <c r="A2745" s="196">
        <v>1327</v>
      </c>
      <c r="B2745" s="196" t="s">
        <v>13528</v>
      </c>
      <c r="C2745" s="196" t="s">
        <v>13529</v>
      </c>
      <c r="D2745" s="196" t="s">
        <v>2419</v>
      </c>
      <c r="F2745" s="196">
        <v>1970</v>
      </c>
      <c r="H2745" s="196" t="s">
        <v>2963</v>
      </c>
      <c r="I2745" s="184" t="s">
        <v>1914</v>
      </c>
      <c r="J2745" s="182"/>
      <c r="K2745" s="196" t="s">
        <v>1881</v>
      </c>
      <c r="M2745" s="196">
        <v>290</v>
      </c>
      <c r="N2745" s="196" t="s">
        <v>13198</v>
      </c>
      <c r="O2745" s="257" t="s">
        <v>11983</v>
      </c>
      <c r="P2745" s="17">
        <v>387</v>
      </c>
      <c r="Q2745" s="245">
        <f t="shared" si="156"/>
        <v>3.7</v>
      </c>
      <c r="R2745" s="245">
        <v>2.2000000000000002</v>
      </c>
      <c r="S2745" s="18">
        <v>5.9</v>
      </c>
    </row>
    <row r="2746" spans="1:19" ht="26.4" x14ac:dyDescent="0.25">
      <c r="A2746" s="196">
        <v>707</v>
      </c>
      <c r="B2746" s="196" t="s">
        <v>13530</v>
      </c>
      <c r="C2746" s="196" t="s">
        <v>13531</v>
      </c>
      <c r="D2746" s="196" t="s">
        <v>5884</v>
      </c>
      <c r="E2746" s="196"/>
      <c r="H2746" s="196" t="s">
        <v>1878</v>
      </c>
      <c r="I2746" s="16" t="s">
        <v>1879</v>
      </c>
      <c r="K2746" s="50" t="s">
        <v>13524</v>
      </c>
      <c r="L2746" s="16" t="s">
        <v>13532</v>
      </c>
      <c r="M2746" s="196">
        <v>238</v>
      </c>
      <c r="N2746" s="196" t="s">
        <v>13533</v>
      </c>
      <c r="O2746" s="257" t="s">
        <v>11984</v>
      </c>
      <c r="P2746" s="17">
        <v>151</v>
      </c>
      <c r="Q2746" s="245">
        <f t="shared" si="156"/>
        <v>1.8999999999999995</v>
      </c>
      <c r="R2746" s="245">
        <v>2.2000000000000002</v>
      </c>
      <c r="S2746" s="18">
        <v>4.0999999999999996</v>
      </c>
    </row>
    <row r="2747" spans="1:19" x14ac:dyDescent="0.25">
      <c r="A2747" s="196">
        <v>1386</v>
      </c>
      <c r="B2747" s="196" t="s">
        <v>13534</v>
      </c>
      <c r="C2747" s="196" t="s">
        <v>13535</v>
      </c>
      <c r="D2747" s="196" t="s">
        <v>5005</v>
      </c>
      <c r="F2747" s="1">
        <v>1998</v>
      </c>
      <c r="H2747" s="196" t="s">
        <v>2963</v>
      </c>
      <c r="I2747" s="16" t="s">
        <v>1879</v>
      </c>
      <c r="K2747" s="196" t="s">
        <v>1881</v>
      </c>
      <c r="M2747" s="196">
        <v>418</v>
      </c>
      <c r="N2747" s="196" t="s">
        <v>13178</v>
      </c>
      <c r="O2747" s="257" t="s">
        <v>11985</v>
      </c>
      <c r="P2747" s="17">
        <v>649</v>
      </c>
      <c r="Q2747" s="245">
        <f t="shared" si="156"/>
        <v>1.4899999999999998</v>
      </c>
      <c r="R2747" s="245">
        <v>2.2000000000000002</v>
      </c>
      <c r="S2747" s="18">
        <v>3.69</v>
      </c>
    </row>
    <row r="2748" spans="1:19" x14ac:dyDescent="0.25">
      <c r="A2748" s="196">
        <v>1327</v>
      </c>
      <c r="B2748" s="196" t="s">
        <v>13491</v>
      </c>
      <c r="C2748" s="196" t="s">
        <v>13536</v>
      </c>
      <c r="D2748" s="196" t="s">
        <v>9307</v>
      </c>
      <c r="H2748" s="196" t="s">
        <v>2963</v>
      </c>
      <c r="I2748" s="184" t="s">
        <v>1879</v>
      </c>
      <c r="J2748" s="1" t="s">
        <v>2505</v>
      </c>
      <c r="K2748" s="196" t="s">
        <v>1881</v>
      </c>
      <c r="M2748" s="196">
        <v>514</v>
      </c>
      <c r="N2748" s="196" t="s">
        <v>13178</v>
      </c>
      <c r="O2748" s="257" t="s">
        <v>11986</v>
      </c>
      <c r="P2748" s="17">
        <v>657</v>
      </c>
      <c r="Q2748" s="245">
        <f t="shared" si="156"/>
        <v>1.3399999999999999</v>
      </c>
      <c r="R2748" s="245">
        <v>2.2000000000000002</v>
      </c>
      <c r="S2748" s="18">
        <v>3.54</v>
      </c>
    </row>
    <row r="2749" spans="1:19" x14ac:dyDescent="0.25">
      <c r="A2749" s="196">
        <v>1289</v>
      </c>
      <c r="B2749" s="196" t="s">
        <v>13537</v>
      </c>
      <c r="C2749" s="196" t="s">
        <v>13538</v>
      </c>
      <c r="D2749" s="196" t="s">
        <v>13539</v>
      </c>
      <c r="F2749" s="1">
        <v>1954</v>
      </c>
      <c r="H2749" s="196" t="s">
        <v>13523</v>
      </c>
      <c r="I2749" s="16" t="s">
        <v>1879</v>
      </c>
      <c r="K2749" s="196" t="s">
        <v>1881</v>
      </c>
      <c r="M2749" s="196">
        <v>130</v>
      </c>
      <c r="N2749" s="196" t="s">
        <v>13187</v>
      </c>
      <c r="O2749" s="257" t="s">
        <v>11987</v>
      </c>
      <c r="P2749" s="17">
        <v>172</v>
      </c>
      <c r="Q2749" s="245">
        <f t="shared" si="156"/>
        <v>3.7</v>
      </c>
      <c r="R2749" s="245">
        <v>2.2000000000000002</v>
      </c>
      <c r="S2749" s="18">
        <v>5.9</v>
      </c>
    </row>
    <row r="2750" spans="1:19" x14ac:dyDescent="0.25">
      <c r="A2750" s="196">
        <v>1327</v>
      </c>
      <c r="B2750" s="196" t="s">
        <v>13540</v>
      </c>
      <c r="C2750" s="196" t="s">
        <v>13541</v>
      </c>
      <c r="D2750" s="196" t="s">
        <v>1988</v>
      </c>
      <c r="F2750" s="196">
        <v>1978</v>
      </c>
      <c r="H2750" s="196" t="s">
        <v>1878</v>
      </c>
      <c r="I2750" s="16" t="s">
        <v>1879</v>
      </c>
      <c r="K2750" s="196" t="s">
        <v>1881</v>
      </c>
      <c r="L2750" s="16" t="s">
        <v>13542</v>
      </c>
      <c r="M2750" s="196">
        <v>240</v>
      </c>
      <c r="N2750" s="196" t="s">
        <v>13330</v>
      </c>
      <c r="O2750" s="257" t="s">
        <v>11988</v>
      </c>
      <c r="P2750" s="17">
        <v>153</v>
      </c>
      <c r="Q2750" s="245">
        <f t="shared" si="156"/>
        <v>1.7599999999999998</v>
      </c>
      <c r="R2750" s="245">
        <v>2.2000000000000002</v>
      </c>
      <c r="S2750" s="18">
        <v>3.96</v>
      </c>
    </row>
    <row r="2751" spans="1:19" x14ac:dyDescent="0.25">
      <c r="A2751" s="196">
        <v>629</v>
      </c>
      <c r="C2751" s="196" t="s">
        <v>13543</v>
      </c>
      <c r="D2751" s="196" t="s">
        <v>8518</v>
      </c>
      <c r="F2751" s="196">
        <v>1982</v>
      </c>
      <c r="H2751" s="196" t="s">
        <v>2963</v>
      </c>
      <c r="I2751" s="184" t="s">
        <v>1879</v>
      </c>
      <c r="K2751" s="196" t="s">
        <v>1881</v>
      </c>
      <c r="M2751" s="196" t="s">
        <v>13544</v>
      </c>
      <c r="N2751" s="196" t="s">
        <v>13209</v>
      </c>
      <c r="O2751" s="257" t="s">
        <v>11989</v>
      </c>
      <c r="P2751" s="17">
        <v>2909</v>
      </c>
      <c r="Q2751" s="245">
        <f t="shared" si="156"/>
        <v>8.2899999999999991</v>
      </c>
      <c r="R2751" s="245">
        <v>2.2000000000000002</v>
      </c>
      <c r="S2751" s="18">
        <f>5.99+4.5</f>
        <v>10.49</v>
      </c>
    </row>
    <row r="2752" spans="1:19" x14ac:dyDescent="0.25">
      <c r="A2752" s="196">
        <v>735</v>
      </c>
      <c r="B2752" s="196" t="s">
        <v>13545</v>
      </c>
      <c r="C2752" s="196" t="s">
        <v>13546</v>
      </c>
      <c r="D2752" s="196" t="s">
        <v>13547</v>
      </c>
      <c r="H2752" s="196" t="s">
        <v>2963</v>
      </c>
      <c r="I2752" s="16" t="s">
        <v>1879</v>
      </c>
      <c r="J2752" s="1" t="s">
        <v>2505</v>
      </c>
      <c r="K2752" s="196" t="s">
        <v>1881</v>
      </c>
      <c r="M2752" s="196">
        <v>242</v>
      </c>
      <c r="N2752" s="196" t="s">
        <v>13548</v>
      </c>
      <c r="O2752" s="257" t="s">
        <v>11990</v>
      </c>
      <c r="P2752" s="17">
        <v>405</v>
      </c>
      <c r="Q2752" s="245">
        <f t="shared" si="156"/>
        <v>3.8</v>
      </c>
      <c r="R2752" s="245">
        <v>2.2000000000000002</v>
      </c>
      <c r="S2752" s="18">
        <v>6</v>
      </c>
    </row>
    <row r="2753" spans="1:38" x14ac:dyDescent="0.25">
      <c r="A2753" s="196">
        <v>1327</v>
      </c>
      <c r="B2753" s="196" t="s">
        <v>13549</v>
      </c>
      <c r="C2753" s="196" t="s">
        <v>13550</v>
      </c>
      <c r="D2753" s="196" t="s">
        <v>13551</v>
      </c>
      <c r="F2753" s="196">
        <v>1960</v>
      </c>
      <c r="H2753" s="196" t="s">
        <v>2963</v>
      </c>
      <c r="I2753" s="16" t="s">
        <v>1879</v>
      </c>
      <c r="K2753" s="196" t="s">
        <v>1881</v>
      </c>
      <c r="M2753" s="196">
        <v>266</v>
      </c>
      <c r="N2753" s="196" t="s">
        <v>13330</v>
      </c>
      <c r="O2753" s="257" t="s">
        <v>11991</v>
      </c>
      <c r="P2753" s="17">
        <v>257</v>
      </c>
      <c r="Q2753" s="245">
        <f t="shared" si="156"/>
        <v>2.79</v>
      </c>
      <c r="R2753" s="245">
        <v>2.2000000000000002</v>
      </c>
      <c r="S2753" s="18">
        <v>4.99</v>
      </c>
    </row>
    <row r="2754" spans="1:38" x14ac:dyDescent="0.25">
      <c r="A2754" s="196">
        <v>1360</v>
      </c>
      <c r="B2754" s="196" t="s">
        <v>13552</v>
      </c>
      <c r="C2754" s="196" t="s">
        <v>13553</v>
      </c>
      <c r="D2754" s="196" t="s">
        <v>5115</v>
      </c>
      <c r="F2754" s="196">
        <v>1980</v>
      </c>
      <c r="H2754" s="196" t="s">
        <v>13523</v>
      </c>
      <c r="I2754" s="16" t="s">
        <v>1879</v>
      </c>
      <c r="K2754" s="196" t="s">
        <v>1881</v>
      </c>
      <c r="M2754" s="196">
        <v>402</v>
      </c>
      <c r="N2754" s="196" t="s">
        <v>13313</v>
      </c>
      <c r="O2754" s="257" t="s">
        <v>11992</v>
      </c>
      <c r="P2754" s="17">
        <v>507</v>
      </c>
      <c r="Q2754" s="245">
        <f t="shared" si="156"/>
        <v>2.38</v>
      </c>
      <c r="R2754" s="245">
        <v>2.2000000000000002</v>
      </c>
      <c r="S2754" s="18">
        <f>2.1+2.48</f>
        <v>4.58</v>
      </c>
    </row>
    <row r="2755" spans="1:38" x14ac:dyDescent="0.25">
      <c r="A2755" s="196">
        <v>1812</v>
      </c>
      <c r="B2755" s="196" t="s">
        <v>13554</v>
      </c>
      <c r="C2755" s="196" t="s">
        <v>13555</v>
      </c>
      <c r="D2755" s="196" t="s">
        <v>3077</v>
      </c>
      <c r="F2755" s="196">
        <v>1958</v>
      </c>
      <c r="H2755" s="196" t="s">
        <v>2963</v>
      </c>
      <c r="I2755" s="184" t="s">
        <v>1879</v>
      </c>
      <c r="K2755" s="196" t="s">
        <v>1881</v>
      </c>
      <c r="M2755" s="196">
        <v>82</v>
      </c>
      <c r="N2755" s="196" t="s">
        <v>13556</v>
      </c>
      <c r="O2755" s="257" t="s">
        <v>11993</v>
      </c>
      <c r="P2755" s="17">
        <v>165</v>
      </c>
      <c r="Q2755" s="245">
        <f t="shared" si="156"/>
        <v>1.5999999999999996</v>
      </c>
      <c r="R2755" s="245">
        <v>2.2000000000000002</v>
      </c>
      <c r="S2755" s="18">
        <v>3.8</v>
      </c>
    </row>
    <row r="2756" spans="1:38" x14ac:dyDescent="0.25">
      <c r="A2756" s="196">
        <v>703</v>
      </c>
      <c r="B2756" s="196" t="s">
        <v>13557</v>
      </c>
      <c r="C2756" s="196" t="s">
        <v>13558</v>
      </c>
      <c r="D2756" s="196" t="s">
        <v>7611</v>
      </c>
      <c r="F2756" s="196">
        <v>2006</v>
      </c>
      <c r="H2756" s="196" t="s">
        <v>13523</v>
      </c>
      <c r="I2756" s="16" t="s">
        <v>1879</v>
      </c>
      <c r="K2756" s="196" t="s">
        <v>1881</v>
      </c>
      <c r="M2756" s="196">
        <v>34</v>
      </c>
      <c r="N2756" s="196" t="s">
        <v>13559</v>
      </c>
      <c r="O2756" s="257" t="s">
        <v>11994</v>
      </c>
      <c r="P2756" s="17">
        <v>160</v>
      </c>
      <c r="Q2756" s="245">
        <f t="shared" si="156"/>
        <v>3.8899999999999997</v>
      </c>
      <c r="R2756" s="245">
        <v>2.2000000000000002</v>
      </c>
      <c r="S2756" s="18">
        <v>6.09</v>
      </c>
    </row>
    <row r="2757" spans="1:38" x14ac:dyDescent="0.25">
      <c r="A2757" s="196">
        <v>119</v>
      </c>
      <c r="B2757" s="196" t="s">
        <v>13562</v>
      </c>
      <c r="C2757" s="196" t="s">
        <v>13560</v>
      </c>
      <c r="D2757" s="196" t="s">
        <v>13561</v>
      </c>
      <c r="F2757" s="196">
        <v>1998</v>
      </c>
      <c r="H2757" s="196" t="s">
        <v>13523</v>
      </c>
      <c r="I2757" s="184" t="s">
        <v>1879</v>
      </c>
      <c r="J2757" s="182"/>
      <c r="K2757" s="196" t="s">
        <v>1881</v>
      </c>
      <c r="L2757" s="16" t="s">
        <v>13563</v>
      </c>
      <c r="M2757" s="196">
        <v>74</v>
      </c>
      <c r="N2757" s="196" t="s">
        <v>13463</v>
      </c>
      <c r="O2757" s="257" t="s">
        <v>11995</v>
      </c>
      <c r="P2757" s="17">
        <v>154</v>
      </c>
      <c r="Q2757" s="245">
        <f t="shared" si="156"/>
        <v>2.9799999999999995</v>
      </c>
      <c r="R2757" s="245">
        <v>2.2000000000000002</v>
      </c>
      <c r="S2757" s="18">
        <f>1.19+3.99</f>
        <v>5.18</v>
      </c>
    </row>
    <row r="2758" spans="1:38" x14ac:dyDescent="0.25">
      <c r="A2758" s="196">
        <v>1221</v>
      </c>
      <c r="B2758" s="196" t="s">
        <v>13564</v>
      </c>
      <c r="C2758" s="196" t="s">
        <v>13565</v>
      </c>
      <c r="D2758" s="196" t="s">
        <v>1920</v>
      </c>
      <c r="F2758" s="196">
        <v>1977</v>
      </c>
      <c r="H2758" s="196" t="s">
        <v>1878</v>
      </c>
      <c r="I2758" s="16" t="s">
        <v>1914</v>
      </c>
      <c r="K2758" s="196" t="s">
        <v>1881</v>
      </c>
      <c r="M2758" s="196">
        <v>336</v>
      </c>
      <c r="N2758" s="196" t="s">
        <v>13566</v>
      </c>
      <c r="O2758" s="257" t="s">
        <v>11996</v>
      </c>
      <c r="P2758" s="17">
        <v>182</v>
      </c>
      <c r="Q2758" s="245">
        <f t="shared" si="156"/>
        <v>2.1399999999999997</v>
      </c>
      <c r="R2758" s="245">
        <v>2.2000000000000002</v>
      </c>
      <c r="S2758" s="18">
        <v>4.34</v>
      </c>
    </row>
    <row r="2759" spans="1:38" x14ac:dyDescent="0.25">
      <c r="A2759" s="196">
        <v>1927</v>
      </c>
      <c r="B2759" s="196" t="s">
        <v>13567</v>
      </c>
      <c r="C2759" s="196" t="s">
        <v>13568</v>
      </c>
      <c r="D2759" s="196" t="s">
        <v>13569</v>
      </c>
      <c r="F2759" s="196">
        <v>1999</v>
      </c>
      <c r="H2759" s="196" t="s">
        <v>13523</v>
      </c>
      <c r="I2759" s="184" t="s">
        <v>1879</v>
      </c>
      <c r="J2759" s="182"/>
      <c r="K2759" s="196" t="s">
        <v>1881</v>
      </c>
      <c r="L2759" s="16" t="s">
        <v>13570</v>
      </c>
      <c r="M2759" s="196">
        <v>128</v>
      </c>
      <c r="N2759" s="196" t="s">
        <v>13459</v>
      </c>
      <c r="O2759" s="257" t="s">
        <v>11997</v>
      </c>
      <c r="P2759" s="17">
        <v>150</v>
      </c>
      <c r="Q2759" s="245">
        <f t="shared" ref="Q2759:Q2761" si="157">S2759-R2759</f>
        <v>2.1499999999999995</v>
      </c>
      <c r="R2759" s="245">
        <v>2.2000000000000002</v>
      </c>
      <c r="S2759" s="18">
        <v>4.3499999999999996</v>
      </c>
    </row>
    <row r="2760" spans="1:38" x14ac:dyDescent="0.25">
      <c r="A2760" s="196">
        <v>1327</v>
      </c>
      <c r="B2760" s="196" t="s">
        <v>13571</v>
      </c>
      <c r="C2760" s="196" t="s">
        <v>13572</v>
      </c>
      <c r="D2760" s="196" t="s">
        <v>13573</v>
      </c>
      <c r="H2760" s="196" t="s">
        <v>2963</v>
      </c>
      <c r="I2760" s="184" t="s">
        <v>1879</v>
      </c>
      <c r="K2760" s="196" t="s">
        <v>1881</v>
      </c>
      <c r="L2760" s="16" t="s">
        <v>13574</v>
      </c>
      <c r="M2760" s="196">
        <v>226</v>
      </c>
      <c r="N2760" s="196" t="s">
        <v>13267</v>
      </c>
      <c r="O2760" s="257" t="s">
        <v>11998</v>
      </c>
      <c r="P2760" s="17">
        <v>472</v>
      </c>
      <c r="Q2760" s="245">
        <f t="shared" si="157"/>
        <v>1.3900000000000001</v>
      </c>
      <c r="R2760" s="245">
        <v>2.2000000000000002</v>
      </c>
      <c r="S2760" s="18">
        <f>2.7+0.89</f>
        <v>3.5900000000000003</v>
      </c>
    </row>
    <row r="2761" spans="1:38" s="220" customFormat="1" x14ac:dyDescent="0.25">
      <c r="A2761" s="214">
        <v>687</v>
      </c>
      <c r="B2761" s="214" t="s">
        <v>13576</v>
      </c>
      <c r="C2761" s="214" t="s">
        <v>13575</v>
      </c>
      <c r="D2761" s="214" t="s">
        <v>3057</v>
      </c>
      <c r="E2761" s="214"/>
      <c r="F2761" s="214">
        <v>1958</v>
      </c>
      <c r="G2761" s="214"/>
      <c r="H2761" s="214" t="s">
        <v>4297</v>
      </c>
      <c r="I2761" s="215" t="s">
        <v>1879</v>
      </c>
      <c r="J2761" s="214" t="s">
        <v>2505</v>
      </c>
      <c r="K2761" s="214" t="s">
        <v>1881</v>
      </c>
      <c r="L2761" s="215"/>
      <c r="M2761" s="214">
        <v>290</v>
      </c>
      <c r="N2761" s="214" t="s">
        <v>13577</v>
      </c>
      <c r="O2761" s="179" t="s">
        <v>11999</v>
      </c>
      <c r="P2761" s="216">
        <v>447</v>
      </c>
      <c r="Q2761" s="252">
        <f t="shared" si="157"/>
        <v>1.2999999999999998</v>
      </c>
      <c r="R2761" s="252">
        <v>2.2000000000000002</v>
      </c>
      <c r="S2761" s="202">
        <v>3.5</v>
      </c>
      <c r="T2761" s="202"/>
      <c r="U2761" s="261"/>
      <c r="V2761" s="261"/>
      <c r="W2761" s="202"/>
      <c r="X2761" s="179"/>
      <c r="Y2761" s="179"/>
      <c r="Z2761" s="179"/>
      <c r="AA2761" s="179"/>
      <c r="AB2761" s="179"/>
      <c r="AC2761" s="179"/>
      <c r="AD2761" s="179"/>
      <c r="AH2761" s="221"/>
    </row>
    <row r="2762" spans="1:38" x14ac:dyDescent="0.25">
      <c r="A2762" s="182">
        <v>1327</v>
      </c>
      <c r="B2762" s="182" t="s">
        <v>13291</v>
      </c>
      <c r="C2762" s="182" t="s">
        <v>13578</v>
      </c>
      <c r="D2762" s="182" t="s">
        <v>10044</v>
      </c>
      <c r="E2762" s="182"/>
      <c r="F2762" s="182">
        <v>1994</v>
      </c>
      <c r="G2762" s="182"/>
      <c r="H2762" s="182" t="s">
        <v>1878</v>
      </c>
      <c r="I2762" s="184" t="s">
        <v>1879</v>
      </c>
      <c r="J2762" s="182"/>
      <c r="K2762" s="182" t="s">
        <v>1881</v>
      </c>
      <c r="L2762" s="184" t="s">
        <v>13579</v>
      </c>
      <c r="M2762" s="182">
        <v>404</v>
      </c>
      <c r="N2762" s="182"/>
      <c r="O2762" s="257" t="s">
        <v>12000</v>
      </c>
      <c r="P2762" s="17">
        <v>339</v>
      </c>
      <c r="Q2762" s="245">
        <f>S2762-R2762</f>
        <v>1</v>
      </c>
      <c r="R2762" s="245">
        <v>2.2000000000000002</v>
      </c>
      <c r="S2762" s="18">
        <v>3.2</v>
      </c>
    </row>
    <row r="2763" spans="1:38" x14ac:dyDescent="0.25">
      <c r="A2763" s="182">
        <v>763</v>
      </c>
      <c r="B2763" s="182" t="s">
        <v>13580</v>
      </c>
      <c r="C2763" s="182" t="s">
        <v>13581</v>
      </c>
      <c r="D2763" s="182" t="s">
        <v>2609</v>
      </c>
      <c r="E2763" s="182"/>
      <c r="F2763" s="182">
        <v>2007</v>
      </c>
      <c r="G2763" s="182"/>
      <c r="H2763" s="182" t="s">
        <v>1878</v>
      </c>
      <c r="I2763" s="184" t="s">
        <v>1879</v>
      </c>
      <c r="J2763" s="182"/>
      <c r="K2763" s="182" t="s">
        <v>1881</v>
      </c>
      <c r="L2763" s="184" t="s">
        <v>13582</v>
      </c>
      <c r="M2763" s="182">
        <v>240</v>
      </c>
      <c r="N2763" s="182"/>
      <c r="O2763" s="257" t="s">
        <v>12001</v>
      </c>
      <c r="P2763" s="17">
        <v>216</v>
      </c>
      <c r="Q2763" s="245">
        <f t="shared" ref="Q2763:Q2826" si="158">S2763-R2763</f>
        <v>6.7499999999999991</v>
      </c>
      <c r="R2763" s="245">
        <v>2.2000000000000002</v>
      </c>
      <c r="S2763" s="199">
        <v>8.9499999999999993</v>
      </c>
      <c r="T2763" s="199"/>
      <c r="W2763" s="199"/>
      <c r="X2763" s="275"/>
      <c r="Y2763" s="275"/>
      <c r="Z2763" s="275"/>
      <c r="AA2763" s="275"/>
      <c r="AB2763" s="275"/>
      <c r="AC2763" s="275"/>
      <c r="AD2763" s="275"/>
      <c r="AE2763" s="198"/>
      <c r="AF2763" s="198"/>
      <c r="AG2763" s="198"/>
      <c r="AI2763" s="198"/>
      <c r="AJ2763" s="198"/>
      <c r="AK2763" s="198"/>
      <c r="AL2763" s="198"/>
    </row>
    <row r="2764" spans="1:38" x14ac:dyDescent="0.25">
      <c r="A2764" s="182">
        <v>2522</v>
      </c>
      <c r="B2764" s="182" t="s">
        <v>13583</v>
      </c>
      <c r="C2764" s="182" t="s">
        <v>13584</v>
      </c>
      <c r="D2764" s="182" t="s">
        <v>2257</v>
      </c>
      <c r="E2764" s="182" t="s">
        <v>1913</v>
      </c>
      <c r="F2764" s="182">
        <v>2011</v>
      </c>
      <c r="G2764" s="182"/>
      <c r="H2764" s="182" t="s">
        <v>1878</v>
      </c>
      <c r="I2764" s="184" t="s">
        <v>1879</v>
      </c>
      <c r="J2764" s="182"/>
      <c r="K2764" s="182" t="s">
        <v>1881</v>
      </c>
      <c r="L2764" s="184" t="s">
        <v>13585</v>
      </c>
      <c r="M2764" s="182">
        <v>530</v>
      </c>
      <c r="N2764" s="182"/>
      <c r="O2764" s="257" t="s">
        <v>12002</v>
      </c>
      <c r="P2764" s="17">
        <v>646</v>
      </c>
      <c r="Q2764" s="245">
        <f t="shared" si="158"/>
        <v>1.63</v>
      </c>
      <c r="R2764" s="245">
        <v>2.2000000000000002</v>
      </c>
      <c r="S2764" s="199">
        <v>3.83</v>
      </c>
      <c r="T2764" s="199"/>
      <c r="W2764" s="199"/>
      <c r="X2764" s="275"/>
      <c r="Y2764" s="275"/>
      <c r="Z2764" s="275"/>
      <c r="AA2764" s="275"/>
      <c r="AB2764" s="275"/>
      <c r="AC2764" s="275"/>
      <c r="AD2764" s="275"/>
      <c r="AE2764" s="198"/>
      <c r="AF2764" s="198"/>
      <c r="AG2764" s="198"/>
      <c r="AI2764" s="198"/>
      <c r="AJ2764" s="198"/>
      <c r="AK2764" s="198"/>
      <c r="AL2764" s="198"/>
    </row>
    <row r="2765" spans="1:38" x14ac:dyDescent="0.25">
      <c r="A2765" s="182">
        <v>632</v>
      </c>
      <c r="B2765" s="182" t="s">
        <v>13586</v>
      </c>
      <c r="C2765" s="182" t="s">
        <v>13587</v>
      </c>
      <c r="D2765" s="182" t="s">
        <v>13588</v>
      </c>
      <c r="E2765" s="182"/>
      <c r="F2765" s="182">
        <v>2006</v>
      </c>
      <c r="G2765" s="182"/>
      <c r="H2765" s="182" t="s">
        <v>1878</v>
      </c>
      <c r="I2765" s="184" t="s">
        <v>1879</v>
      </c>
      <c r="J2765" s="182"/>
      <c r="K2765" s="182" t="s">
        <v>1881</v>
      </c>
      <c r="L2765" s="184" t="s">
        <v>13589</v>
      </c>
      <c r="M2765" s="182">
        <v>240</v>
      </c>
      <c r="N2765" s="182"/>
      <c r="O2765" s="257" t="s">
        <v>12003</v>
      </c>
      <c r="P2765" s="17">
        <v>388</v>
      </c>
      <c r="Q2765" s="245">
        <f t="shared" si="158"/>
        <v>1.7199999999999998</v>
      </c>
      <c r="R2765" s="245">
        <v>2.2000000000000002</v>
      </c>
      <c r="S2765" s="199">
        <v>3.92</v>
      </c>
      <c r="T2765" s="199"/>
      <c r="W2765" s="199"/>
      <c r="X2765" s="275"/>
      <c r="Y2765" s="275"/>
      <c r="Z2765" s="275"/>
      <c r="AA2765" s="275"/>
      <c r="AB2765" s="275"/>
      <c r="AC2765" s="275"/>
      <c r="AD2765" s="275"/>
      <c r="AE2765" s="198"/>
      <c r="AF2765" s="198"/>
      <c r="AG2765" s="198"/>
      <c r="AI2765" s="198"/>
      <c r="AJ2765" s="198"/>
      <c r="AK2765" s="198"/>
      <c r="AL2765" s="198"/>
    </row>
    <row r="2766" spans="1:38" x14ac:dyDescent="0.25">
      <c r="A2766" s="182">
        <v>1386</v>
      </c>
      <c r="B2766" s="182" t="s">
        <v>8747</v>
      </c>
      <c r="C2766" s="182" t="s">
        <v>10166</v>
      </c>
      <c r="D2766" s="182" t="s">
        <v>2257</v>
      </c>
      <c r="E2766" s="182"/>
      <c r="F2766" s="182">
        <v>2007</v>
      </c>
      <c r="G2766" s="182"/>
      <c r="H2766" s="182" t="s">
        <v>2963</v>
      </c>
      <c r="I2766" s="184" t="s">
        <v>1879</v>
      </c>
      <c r="J2766" s="182"/>
      <c r="K2766" s="182" t="s">
        <v>1881</v>
      </c>
      <c r="L2766" s="184" t="s">
        <v>13590</v>
      </c>
      <c r="M2766" s="182">
        <v>402</v>
      </c>
      <c r="N2766" s="182"/>
      <c r="O2766" s="257" t="s">
        <v>12004</v>
      </c>
      <c r="P2766" s="17">
        <v>666</v>
      </c>
      <c r="Q2766" s="245">
        <f t="shared" si="158"/>
        <v>0.69</v>
      </c>
      <c r="R2766" s="245">
        <v>2.2000000000000002</v>
      </c>
      <c r="S2766" s="199">
        <v>2.89</v>
      </c>
      <c r="T2766" s="199"/>
      <c r="W2766" s="199"/>
      <c r="X2766" s="275"/>
      <c r="Y2766" s="275"/>
      <c r="Z2766" s="275"/>
      <c r="AA2766" s="275"/>
      <c r="AB2766" s="275"/>
      <c r="AC2766" s="275"/>
      <c r="AD2766" s="275"/>
      <c r="AE2766" s="198"/>
      <c r="AF2766" s="198"/>
      <c r="AG2766" s="198"/>
      <c r="AI2766" s="198"/>
      <c r="AJ2766" s="198"/>
      <c r="AK2766" s="198"/>
      <c r="AL2766" s="198"/>
    </row>
    <row r="2767" spans="1:38" x14ac:dyDescent="0.25">
      <c r="A2767" s="182">
        <v>1395</v>
      </c>
      <c r="B2767" s="182" t="s">
        <v>13591</v>
      </c>
      <c r="C2767" s="182" t="s">
        <v>13592</v>
      </c>
      <c r="D2767" s="182" t="s">
        <v>2926</v>
      </c>
      <c r="E2767" s="182"/>
      <c r="F2767" s="182">
        <v>2004</v>
      </c>
      <c r="G2767" s="182"/>
      <c r="H2767" s="182" t="s">
        <v>1878</v>
      </c>
      <c r="I2767" s="184" t="s">
        <v>1879</v>
      </c>
      <c r="J2767" s="182"/>
      <c r="K2767" s="182" t="s">
        <v>1881</v>
      </c>
      <c r="L2767" s="184" t="s">
        <v>13593</v>
      </c>
      <c r="M2767" s="182">
        <v>320</v>
      </c>
      <c r="N2767" s="182"/>
      <c r="O2767" s="257" t="s">
        <v>12005</v>
      </c>
      <c r="P2767" s="17">
        <v>288</v>
      </c>
      <c r="Q2767" s="245">
        <f t="shared" si="158"/>
        <v>2.88</v>
      </c>
      <c r="R2767" s="245">
        <v>2.2000000000000002</v>
      </c>
      <c r="S2767" s="199">
        <v>5.08</v>
      </c>
      <c r="T2767" s="199"/>
      <c r="W2767" s="199"/>
      <c r="X2767" s="275"/>
      <c r="Y2767" s="275"/>
      <c r="Z2767" s="275"/>
      <c r="AA2767" s="275"/>
      <c r="AB2767" s="275"/>
      <c r="AC2767" s="275"/>
      <c r="AD2767" s="275"/>
      <c r="AE2767" s="198"/>
      <c r="AF2767" s="198"/>
      <c r="AG2767" s="198"/>
      <c r="AI2767" s="198"/>
      <c r="AJ2767" s="198"/>
      <c r="AK2767" s="198"/>
      <c r="AL2767" s="198"/>
    </row>
    <row r="2768" spans="1:38" x14ac:dyDescent="0.25">
      <c r="A2768" s="182">
        <v>1395</v>
      </c>
      <c r="B2768" s="182" t="s">
        <v>13594</v>
      </c>
      <c r="C2768" s="182" t="s">
        <v>13595</v>
      </c>
      <c r="D2768" s="182" t="s">
        <v>1876</v>
      </c>
      <c r="E2768" s="182" t="s">
        <v>2157</v>
      </c>
      <c r="F2768" s="182">
        <v>2011</v>
      </c>
      <c r="G2768" s="182"/>
      <c r="H2768" s="182" t="s">
        <v>1878</v>
      </c>
      <c r="I2768" s="184" t="s">
        <v>1879</v>
      </c>
      <c r="J2768" s="182"/>
      <c r="K2768" s="182" t="s">
        <v>1881</v>
      </c>
      <c r="L2768" s="184" t="s">
        <v>13596</v>
      </c>
      <c r="M2768" s="182">
        <v>208</v>
      </c>
      <c r="N2768" s="182"/>
      <c r="O2768" s="257" t="s">
        <v>12006</v>
      </c>
      <c r="P2768" s="17">
        <v>230</v>
      </c>
      <c r="Q2768" s="245">
        <f t="shared" si="158"/>
        <v>1.6599999999999997</v>
      </c>
      <c r="R2768" s="245">
        <v>2.2000000000000002</v>
      </c>
      <c r="S2768" s="199">
        <v>3.86</v>
      </c>
      <c r="T2768" s="199"/>
      <c r="W2768" s="199"/>
      <c r="X2768" s="275"/>
      <c r="Y2768" s="275"/>
      <c r="Z2768" s="275"/>
      <c r="AA2768" s="275"/>
      <c r="AB2768" s="275"/>
      <c r="AC2768" s="275"/>
      <c r="AD2768" s="275"/>
      <c r="AE2768" s="198"/>
      <c r="AF2768" s="198"/>
      <c r="AG2768" s="198"/>
      <c r="AI2768" s="198"/>
      <c r="AJ2768" s="198"/>
      <c r="AK2768" s="198"/>
      <c r="AL2768" s="198"/>
    </row>
    <row r="2769" spans="1:38" x14ac:dyDescent="0.25">
      <c r="A2769" s="182">
        <v>692</v>
      </c>
      <c r="B2769" s="182" t="s">
        <v>13597</v>
      </c>
      <c r="C2769" s="182" t="s">
        <v>13598</v>
      </c>
      <c r="D2769" s="182" t="s">
        <v>2054</v>
      </c>
      <c r="E2769" s="182"/>
      <c r="F2769" s="182">
        <v>1995</v>
      </c>
      <c r="G2769" s="182"/>
      <c r="H2769" s="182" t="s">
        <v>2963</v>
      </c>
      <c r="I2769" s="184" t="s">
        <v>1929</v>
      </c>
      <c r="J2769" s="182"/>
      <c r="K2769" s="182" t="s">
        <v>1881</v>
      </c>
      <c r="L2769" s="184" t="s">
        <v>13599</v>
      </c>
      <c r="M2769" s="182">
        <v>400</v>
      </c>
      <c r="N2769" s="182"/>
      <c r="O2769" s="257" t="s">
        <v>12007</v>
      </c>
      <c r="P2769" s="17">
        <v>458</v>
      </c>
      <c r="Q2769" s="245">
        <f t="shared" si="158"/>
        <v>4.75</v>
      </c>
      <c r="R2769" s="245">
        <v>2.2000000000000002</v>
      </c>
      <c r="S2769" s="199">
        <v>6.95</v>
      </c>
      <c r="T2769" s="199"/>
      <c r="W2769" s="199"/>
      <c r="X2769" s="275"/>
      <c r="Y2769" s="275"/>
      <c r="Z2769" s="275"/>
      <c r="AA2769" s="275"/>
      <c r="AB2769" s="275"/>
      <c r="AC2769" s="275"/>
      <c r="AD2769" s="275"/>
      <c r="AE2769" s="198"/>
      <c r="AF2769" s="198"/>
      <c r="AG2769" s="198"/>
      <c r="AI2769" s="198"/>
      <c r="AJ2769" s="198"/>
      <c r="AK2769" s="198"/>
      <c r="AL2769" s="198"/>
    </row>
    <row r="2770" spans="1:38" x14ac:dyDescent="0.25">
      <c r="A2770" s="182">
        <v>1720</v>
      </c>
      <c r="B2770" s="182" t="s">
        <v>10298</v>
      </c>
      <c r="C2770" s="182" t="s">
        <v>13600</v>
      </c>
      <c r="D2770" s="182" t="s">
        <v>2209</v>
      </c>
      <c r="E2770" s="182"/>
      <c r="F2770" s="182">
        <v>1992</v>
      </c>
      <c r="G2770" s="182"/>
      <c r="H2770" s="182" t="s">
        <v>1878</v>
      </c>
      <c r="I2770" s="184" t="s">
        <v>1914</v>
      </c>
      <c r="J2770" s="182"/>
      <c r="K2770" s="182" t="s">
        <v>1881</v>
      </c>
      <c r="L2770" s="184" t="s">
        <v>13601</v>
      </c>
      <c r="M2770" s="182">
        <v>272</v>
      </c>
      <c r="N2770" s="182"/>
      <c r="O2770" s="257" t="s">
        <v>12008</v>
      </c>
      <c r="P2770" s="17">
        <v>188</v>
      </c>
      <c r="Q2770" s="245">
        <f t="shared" si="158"/>
        <v>2.17</v>
      </c>
      <c r="R2770" s="245">
        <v>2.2000000000000002</v>
      </c>
      <c r="S2770" s="199">
        <v>4.37</v>
      </c>
      <c r="T2770" s="199"/>
      <c r="W2770" s="199"/>
      <c r="X2770" s="275"/>
      <c r="Y2770" s="275"/>
      <c r="Z2770" s="275"/>
      <c r="AA2770" s="275"/>
      <c r="AB2770" s="275"/>
      <c r="AC2770" s="275"/>
      <c r="AD2770" s="275"/>
      <c r="AE2770" s="198"/>
      <c r="AF2770" s="198"/>
      <c r="AG2770" s="198"/>
      <c r="AI2770" s="198"/>
      <c r="AJ2770" s="198"/>
      <c r="AK2770" s="198"/>
      <c r="AL2770" s="198"/>
    </row>
    <row r="2771" spans="1:38" x14ac:dyDescent="0.25">
      <c r="A2771" s="182">
        <v>632</v>
      </c>
      <c r="B2771" s="182" t="s">
        <v>1904</v>
      </c>
      <c r="C2771" s="182" t="s">
        <v>1905</v>
      </c>
      <c r="D2771" s="182" t="s">
        <v>5005</v>
      </c>
      <c r="E2771" s="182"/>
      <c r="F2771" s="182">
        <v>2000</v>
      </c>
      <c r="G2771" s="182"/>
      <c r="H2771" s="182" t="s">
        <v>1878</v>
      </c>
      <c r="I2771" s="184" t="s">
        <v>1914</v>
      </c>
      <c r="J2771" s="182"/>
      <c r="K2771" s="182" t="s">
        <v>1881</v>
      </c>
      <c r="L2771" s="184"/>
      <c r="M2771" s="182">
        <v>544</v>
      </c>
      <c r="N2771" s="182"/>
      <c r="O2771" s="257" t="s">
        <v>12009</v>
      </c>
      <c r="P2771" s="17">
        <v>401</v>
      </c>
      <c r="Q2771" s="245">
        <f t="shared" si="158"/>
        <v>0.88999999999999968</v>
      </c>
      <c r="R2771" s="245">
        <v>2.2000000000000002</v>
      </c>
      <c r="S2771" s="199">
        <v>3.09</v>
      </c>
      <c r="T2771" s="199"/>
      <c r="W2771" s="199"/>
      <c r="X2771" s="275"/>
      <c r="Y2771" s="275"/>
      <c r="Z2771" s="275"/>
      <c r="AA2771" s="275"/>
      <c r="AB2771" s="275"/>
      <c r="AC2771" s="275"/>
      <c r="AD2771" s="275"/>
      <c r="AE2771" s="198"/>
      <c r="AF2771" s="198"/>
      <c r="AG2771" s="198"/>
      <c r="AI2771" s="198"/>
      <c r="AJ2771" s="198"/>
      <c r="AK2771" s="198"/>
      <c r="AL2771" s="198"/>
    </row>
    <row r="2772" spans="1:38" x14ac:dyDescent="0.25">
      <c r="A2772" s="182">
        <v>2518</v>
      </c>
      <c r="B2772" s="182" t="s">
        <v>13602</v>
      </c>
      <c r="C2772" s="182" t="s">
        <v>13603</v>
      </c>
      <c r="D2772" s="182" t="s">
        <v>8325</v>
      </c>
      <c r="E2772" s="182"/>
      <c r="F2772" s="182">
        <v>2017</v>
      </c>
      <c r="G2772" s="182"/>
      <c r="H2772" s="182" t="s">
        <v>2963</v>
      </c>
      <c r="I2772" s="184" t="s">
        <v>1879</v>
      </c>
      <c r="J2772" s="182"/>
      <c r="K2772" s="182" t="s">
        <v>1881</v>
      </c>
      <c r="L2772" s="184" t="s">
        <v>13604</v>
      </c>
      <c r="M2772" s="182">
        <v>258</v>
      </c>
      <c r="N2772" s="182"/>
      <c r="O2772" s="257" t="s">
        <v>12010</v>
      </c>
      <c r="P2772" s="17">
        <v>411</v>
      </c>
      <c r="Q2772" s="245">
        <f t="shared" si="158"/>
        <v>9.4899999999999984</v>
      </c>
      <c r="R2772" s="245">
        <v>2.2000000000000002</v>
      </c>
      <c r="S2772" s="199">
        <v>11.69</v>
      </c>
      <c r="T2772" s="199"/>
      <c r="W2772" s="199"/>
      <c r="X2772" s="275"/>
      <c r="Y2772" s="275"/>
      <c r="Z2772" s="275"/>
      <c r="AA2772" s="275"/>
      <c r="AB2772" s="275"/>
      <c r="AC2772" s="275"/>
      <c r="AD2772" s="275"/>
      <c r="AE2772" s="198"/>
      <c r="AF2772" s="198"/>
      <c r="AG2772" s="198"/>
      <c r="AI2772" s="198"/>
      <c r="AJ2772" s="198"/>
      <c r="AK2772" s="198"/>
      <c r="AL2772" s="198"/>
    </row>
    <row r="2773" spans="1:38" x14ac:dyDescent="0.25">
      <c r="A2773" s="182">
        <v>1395</v>
      </c>
      <c r="B2773" s="182" t="s">
        <v>13605</v>
      </c>
      <c r="C2773" s="182" t="s">
        <v>13606</v>
      </c>
      <c r="D2773" s="182" t="s">
        <v>13607</v>
      </c>
      <c r="E2773" s="182" t="s">
        <v>1899</v>
      </c>
      <c r="F2773" s="182">
        <v>2008</v>
      </c>
      <c r="G2773" s="182"/>
      <c r="H2773" s="182" t="s">
        <v>2963</v>
      </c>
      <c r="I2773" s="184" t="s">
        <v>1879</v>
      </c>
      <c r="J2773" s="182"/>
      <c r="K2773" s="182" t="s">
        <v>1881</v>
      </c>
      <c r="L2773" s="184" t="s">
        <v>13608</v>
      </c>
      <c r="M2773" s="182">
        <v>394</v>
      </c>
      <c r="N2773" s="182"/>
      <c r="O2773" s="257" t="s">
        <v>12011</v>
      </c>
      <c r="P2773" s="17">
        <v>574</v>
      </c>
      <c r="Q2773" s="245">
        <f t="shared" si="158"/>
        <v>2</v>
      </c>
      <c r="R2773" s="245">
        <v>2.2000000000000002</v>
      </c>
      <c r="S2773" s="199">
        <v>4.2</v>
      </c>
      <c r="T2773" s="199"/>
      <c r="W2773" s="199"/>
      <c r="X2773" s="275"/>
      <c r="Y2773" s="275"/>
      <c r="Z2773" s="275"/>
      <c r="AA2773" s="275"/>
      <c r="AB2773" s="275"/>
      <c r="AC2773" s="275"/>
      <c r="AD2773" s="275"/>
      <c r="AE2773" s="198"/>
      <c r="AF2773" s="198"/>
      <c r="AG2773" s="198"/>
      <c r="AI2773" s="198"/>
      <c r="AJ2773" s="198"/>
      <c r="AK2773" s="198"/>
      <c r="AL2773" s="198"/>
    </row>
    <row r="2774" spans="1:38" x14ac:dyDescent="0.25">
      <c r="A2774" s="182">
        <v>692</v>
      </c>
      <c r="B2774" s="182" t="s">
        <v>13609</v>
      </c>
      <c r="C2774" s="182" t="s">
        <v>13610</v>
      </c>
      <c r="D2774" s="182" t="s">
        <v>2232</v>
      </c>
      <c r="E2774" s="182" t="s">
        <v>5035</v>
      </c>
      <c r="F2774" s="182">
        <v>2012</v>
      </c>
      <c r="G2774" s="182"/>
      <c r="H2774" s="182" t="s">
        <v>1878</v>
      </c>
      <c r="I2774" s="184" t="s">
        <v>1879</v>
      </c>
      <c r="J2774" s="182"/>
      <c r="K2774" s="182" t="s">
        <v>1881</v>
      </c>
      <c r="L2774" s="184" t="s">
        <v>13611</v>
      </c>
      <c r="M2774" s="182">
        <v>608</v>
      </c>
      <c r="N2774" s="182"/>
      <c r="O2774" s="257" t="s">
        <v>12012</v>
      </c>
      <c r="P2774" s="17">
        <v>486</v>
      </c>
      <c r="Q2774" s="245">
        <f t="shared" si="158"/>
        <v>1.6599999999999997</v>
      </c>
      <c r="R2774" s="245">
        <v>2.2000000000000002</v>
      </c>
      <c r="S2774" s="199">
        <v>3.86</v>
      </c>
      <c r="T2774" s="199"/>
      <c r="W2774" s="199"/>
      <c r="X2774" s="275"/>
      <c r="Y2774" s="275"/>
      <c r="Z2774" s="275"/>
      <c r="AA2774" s="275"/>
      <c r="AB2774" s="275"/>
      <c r="AC2774" s="275"/>
      <c r="AD2774" s="275"/>
      <c r="AE2774" s="198"/>
      <c r="AF2774" s="198"/>
      <c r="AG2774" s="198"/>
      <c r="AI2774" s="198"/>
      <c r="AJ2774" s="198"/>
      <c r="AK2774" s="198"/>
      <c r="AL2774" s="198"/>
    </row>
    <row r="2775" spans="1:38" x14ac:dyDescent="0.25">
      <c r="A2775" s="182">
        <v>2547</v>
      </c>
      <c r="B2775" s="182" t="s">
        <v>13612</v>
      </c>
      <c r="C2775" s="182" t="s">
        <v>13613</v>
      </c>
      <c r="D2775" s="182" t="s">
        <v>2609</v>
      </c>
      <c r="E2775" s="182"/>
      <c r="F2775" s="182">
        <v>2009</v>
      </c>
      <c r="G2775" s="182"/>
      <c r="H2775" s="182" t="s">
        <v>1878</v>
      </c>
      <c r="I2775" s="184" t="s">
        <v>1879</v>
      </c>
      <c r="J2775" s="182"/>
      <c r="K2775" s="182" t="s">
        <v>1881</v>
      </c>
      <c r="L2775" s="184" t="s">
        <v>13614</v>
      </c>
      <c r="M2775" s="182">
        <v>432</v>
      </c>
      <c r="N2775" s="182"/>
      <c r="O2775" s="257" t="s">
        <v>12013</v>
      </c>
      <c r="P2775" s="17">
        <v>372</v>
      </c>
      <c r="Q2775" s="245">
        <f t="shared" si="158"/>
        <v>1.4899999999999998</v>
      </c>
      <c r="R2775" s="245">
        <v>2.2000000000000002</v>
      </c>
      <c r="S2775" s="199">
        <v>3.69</v>
      </c>
      <c r="T2775" s="199"/>
      <c r="W2775" s="199"/>
      <c r="X2775" s="275"/>
      <c r="Y2775" s="275"/>
      <c r="Z2775" s="275"/>
      <c r="AA2775" s="275"/>
      <c r="AB2775" s="275"/>
      <c r="AC2775" s="275"/>
      <c r="AD2775" s="275"/>
      <c r="AE2775" s="198"/>
      <c r="AF2775" s="198"/>
      <c r="AG2775" s="198"/>
      <c r="AI2775" s="198"/>
      <c r="AJ2775" s="198"/>
      <c r="AK2775" s="198"/>
      <c r="AL2775" s="198"/>
    </row>
    <row r="2776" spans="1:38" x14ac:dyDescent="0.25">
      <c r="A2776" s="182">
        <v>1395</v>
      </c>
      <c r="B2776" s="182" t="s">
        <v>11540</v>
      </c>
      <c r="C2776" s="182" t="s">
        <v>13615</v>
      </c>
      <c r="D2776" s="182" t="s">
        <v>13616</v>
      </c>
      <c r="E2776" s="182" t="s">
        <v>2032</v>
      </c>
      <c r="F2776" s="182">
        <v>2012</v>
      </c>
      <c r="G2776" s="182"/>
      <c r="H2776" s="182" t="s">
        <v>1878</v>
      </c>
      <c r="I2776" s="184" t="s">
        <v>1879</v>
      </c>
      <c r="J2776" s="182"/>
      <c r="K2776" s="182" t="s">
        <v>1881</v>
      </c>
      <c r="L2776" s="184" t="s">
        <v>13617</v>
      </c>
      <c r="M2776" s="182">
        <v>304</v>
      </c>
      <c r="N2776" s="182"/>
      <c r="O2776" s="257" t="s">
        <v>12014</v>
      </c>
      <c r="P2776" s="17">
        <v>395</v>
      </c>
      <c r="Q2776" s="245">
        <f t="shared" si="158"/>
        <v>2.1399999999999997</v>
      </c>
      <c r="R2776" s="245">
        <v>2.2000000000000002</v>
      </c>
      <c r="S2776" s="199">
        <v>4.34</v>
      </c>
      <c r="T2776" s="199"/>
      <c r="W2776" s="199"/>
      <c r="X2776" s="275"/>
      <c r="Y2776" s="275"/>
      <c r="Z2776" s="275"/>
      <c r="AA2776" s="275"/>
      <c r="AB2776" s="275"/>
      <c r="AC2776" s="275"/>
      <c r="AD2776" s="275"/>
      <c r="AE2776" s="198"/>
      <c r="AF2776" s="198"/>
      <c r="AG2776" s="198"/>
      <c r="AI2776" s="198"/>
      <c r="AJ2776" s="198"/>
      <c r="AK2776" s="198"/>
      <c r="AL2776" s="198"/>
    </row>
    <row r="2777" spans="1:38" x14ac:dyDescent="0.25">
      <c r="A2777" s="182">
        <v>2522</v>
      </c>
      <c r="B2777" s="182" t="s">
        <v>5879</v>
      </c>
      <c r="C2777" s="182" t="s">
        <v>13618</v>
      </c>
      <c r="D2777" s="182" t="s">
        <v>1886</v>
      </c>
      <c r="E2777" s="182"/>
      <c r="F2777" s="182">
        <v>2007</v>
      </c>
      <c r="G2777" s="182"/>
      <c r="H2777" s="182" t="s">
        <v>1878</v>
      </c>
      <c r="I2777" s="184" t="s">
        <v>1879</v>
      </c>
      <c r="J2777" s="182"/>
      <c r="K2777" s="182" t="s">
        <v>1881</v>
      </c>
      <c r="L2777" s="184" t="s">
        <v>13619</v>
      </c>
      <c r="M2777" s="182">
        <v>480</v>
      </c>
      <c r="N2777" s="182"/>
      <c r="O2777" s="257" t="s">
        <v>12015</v>
      </c>
      <c r="P2777" s="17">
        <v>335</v>
      </c>
      <c r="Q2777" s="245">
        <f t="shared" si="158"/>
        <v>1.44</v>
      </c>
      <c r="R2777" s="245">
        <v>2.2000000000000002</v>
      </c>
      <c r="S2777" s="199">
        <v>3.64</v>
      </c>
      <c r="T2777" s="199"/>
      <c r="W2777" s="199"/>
      <c r="X2777" s="275"/>
      <c r="Y2777" s="275"/>
      <c r="Z2777" s="275"/>
      <c r="AA2777" s="275"/>
      <c r="AB2777" s="275"/>
      <c r="AC2777" s="275"/>
      <c r="AD2777" s="275"/>
      <c r="AE2777" s="198"/>
      <c r="AF2777" s="198"/>
      <c r="AG2777" s="198"/>
      <c r="AI2777" s="198"/>
      <c r="AJ2777" s="198"/>
      <c r="AK2777" s="198"/>
      <c r="AL2777" s="198"/>
    </row>
    <row r="2778" spans="1:38" x14ac:dyDescent="0.25">
      <c r="A2778" s="182">
        <v>792</v>
      </c>
      <c r="B2778" s="182" t="s">
        <v>13620</v>
      </c>
      <c r="C2778" s="182" t="s">
        <v>13621</v>
      </c>
      <c r="D2778" s="182" t="s">
        <v>3629</v>
      </c>
      <c r="E2778" s="182" t="s">
        <v>1913</v>
      </c>
      <c r="F2778" s="182">
        <v>2009</v>
      </c>
      <c r="G2778" s="182"/>
      <c r="H2778" s="182" t="s">
        <v>1878</v>
      </c>
      <c r="I2778" s="184" t="s">
        <v>1879</v>
      </c>
      <c r="J2778" s="182"/>
      <c r="K2778" s="182" t="s">
        <v>1881</v>
      </c>
      <c r="L2778" s="184" t="s">
        <v>13622</v>
      </c>
      <c r="M2778" s="182">
        <v>160</v>
      </c>
      <c r="N2778" s="182"/>
      <c r="O2778" s="257" t="s">
        <v>12016</v>
      </c>
      <c r="P2778" s="17">
        <v>234</v>
      </c>
      <c r="Q2778" s="245">
        <f t="shared" si="158"/>
        <v>2.3099999999999996</v>
      </c>
      <c r="R2778" s="245">
        <v>2.2000000000000002</v>
      </c>
      <c r="S2778" s="199">
        <v>4.51</v>
      </c>
      <c r="T2778" s="199"/>
      <c r="W2778" s="199"/>
      <c r="X2778" s="275"/>
      <c r="Y2778" s="275"/>
      <c r="Z2778" s="275"/>
      <c r="AA2778" s="275"/>
      <c r="AB2778" s="275"/>
      <c r="AC2778" s="275"/>
      <c r="AD2778" s="275"/>
      <c r="AE2778" s="198"/>
      <c r="AF2778" s="198"/>
      <c r="AG2778" s="198"/>
      <c r="AI2778" s="198"/>
      <c r="AJ2778" s="198"/>
      <c r="AK2778" s="198"/>
      <c r="AL2778" s="198"/>
    </row>
    <row r="2779" spans="1:38" x14ac:dyDescent="0.25">
      <c r="A2779" s="182">
        <v>2518</v>
      </c>
      <c r="B2779" s="182" t="s">
        <v>9567</v>
      </c>
      <c r="C2779" s="182" t="s">
        <v>13623</v>
      </c>
      <c r="D2779" s="182" t="s">
        <v>1912</v>
      </c>
      <c r="E2779" s="182"/>
      <c r="F2779" s="182">
        <v>1999</v>
      </c>
      <c r="G2779" s="182"/>
      <c r="H2779" s="182" t="s">
        <v>1878</v>
      </c>
      <c r="I2779" s="184" t="s">
        <v>1879</v>
      </c>
      <c r="J2779" s="182"/>
      <c r="K2779" s="182" t="s">
        <v>1881</v>
      </c>
      <c r="L2779" s="184" t="s">
        <v>13624</v>
      </c>
      <c r="M2779" s="182">
        <v>224</v>
      </c>
      <c r="N2779" s="182"/>
      <c r="O2779" s="257" t="s">
        <v>12017</v>
      </c>
      <c r="P2779" s="17">
        <v>289</v>
      </c>
      <c r="Q2779" s="245">
        <f t="shared" si="158"/>
        <v>1.6599999999999997</v>
      </c>
      <c r="R2779" s="245">
        <v>2.2000000000000002</v>
      </c>
      <c r="S2779" s="199">
        <v>3.86</v>
      </c>
      <c r="T2779" s="199"/>
      <c r="W2779" s="199"/>
      <c r="X2779" s="275"/>
      <c r="Y2779" s="275"/>
      <c r="Z2779" s="275"/>
      <c r="AA2779" s="275"/>
      <c r="AB2779" s="275"/>
      <c r="AC2779" s="275"/>
      <c r="AD2779" s="275"/>
      <c r="AE2779" s="198"/>
      <c r="AF2779" s="198"/>
      <c r="AG2779" s="198"/>
      <c r="AI2779" s="198"/>
      <c r="AJ2779" s="198"/>
      <c r="AK2779" s="198"/>
      <c r="AL2779" s="198"/>
    </row>
    <row r="2780" spans="1:38" x14ac:dyDescent="0.25">
      <c r="A2780" s="182">
        <v>601</v>
      </c>
      <c r="B2780" s="182" t="s">
        <v>6216</v>
      </c>
      <c r="C2780" s="182" t="s">
        <v>13625</v>
      </c>
      <c r="D2780" s="182"/>
      <c r="E2780" s="182" t="s">
        <v>2937</v>
      </c>
      <c r="F2780" s="182">
        <v>2010</v>
      </c>
      <c r="G2780" s="182"/>
      <c r="H2780" s="182" t="s">
        <v>1878</v>
      </c>
      <c r="I2780" s="184" t="s">
        <v>1929</v>
      </c>
      <c r="J2780" s="182"/>
      <c r="K2780" s="182" t="s">
        <v>1881</v>
      </c>
      <c r="L2780" s="184" t="s">
        <v>13626</v>
      </c>
      <c r="M2780" s="182">
        <v>128</v>
      </c>
      <c r="N2780" s="182"/>
      <c r="O2780" s="257" t="s">
        <v>12018</v>
      </c>
      <c r="P2780" s="17">
        <v>201</v>
      </c>
      <c r="Q2780" s="245">
        <f t="shared" si="158"/>
        <v>2.0099999999999998</v>
      </c>
      <c r="R2780" s="245">
        <v>2.2000000000000002</v>
      </c>
      <c r="S2780" s="199">
        <v>4.21</v>
      </c>
      <c r="T2780" s="199"/>
      <c r="W2780" s="199"/>
      <c r="X2780" s="275"/>
      <c r="Y2780" s="275"/>
      <c r="Z2780" s="275"/>
      <c r="AA2780" s="275"/>
      <c r="AB2780" s="275"/>
      <c r="AC2780" s="275"/>
      <c r="AD2780" s="275"/>
      <c r="AE2780" s="198"/>
      <c r="AF2780" s="198"/>
      <c r="AG2780" s="198"/>
      <c r="AI2780" s="198"/>
      <c r="AJ2780" s="198"/>
      <c r="AK2780" s="198"/>
      <c r="AL2780" s="198"/>
    </row>
    <row r="2781" spans="1:38" x14ac:dyDescent="0.25">
      <c r="A2781" s="182">
        <v>765</v>
      </c>
      <c r="B2781" s="182" t="s">
        <v>13627</v>
      </c>
      <c r="C2781" s="182" t="s">
        <v>13628</v>
      </c>
      <c r="D2781" s="182"/>
      <c r="E2781" s="182" t="s">
        <v>1913</v>
      </c>
      <c r="F2781" s="182">
        <v>2010</v>
      </c>
      <c r="G2781" s="182"/>
      <c r="H2781" s="182" t="s">
        <v>1878</v>
      </c>
      <c r="I2781" s="184" t="s">
        <v>1879</v>
      </c>
      <c r="J2781" s="182"/>
      <c r="K2781" s="182" t="s">
        <v>1881</v>
      </c>
      <c r="L2781" s="184" t="s">
        <v>13629</v>
      </c>
      <c r="M2781" s="182">
        <v>214</v>
      </c>
      <c r="N2781" s="182"/>
      <c r="O2781" s="257" t="s">
        <v>12019</v>
      </c>
      <c r="P2781" s="17">
        <v>314</v>
      </c>
      <c r="Q2781" s="245">
        <f t="shared" si="158"/>
        <v>5.08</v>
      </c>
      <c r="R2781" s="245">
        <v>2.2000000000000002</v>
      </c>
      <c r="S2781" s="199">
        <f>3.29+3.99</f>
        <v>7.28</v>
      </c>
      <c r="T2781" s="199"/>
      <c r="W2781" s="199"/>
      <c r="X2781" s="275"/>
      <c r="Y2781" s="275"/>
      <c r="Z2781" s="275"/>
      <c r="AA2781" s="275"/>
      <c r="AB2781" s="275"/>
      <c r="AC2781" s="275"/>
      <c r="AD2781" s="275"/>
      <c r="AE2781" s="198"/>
      <c r="AF2781" s="198"/>
      <c r="AG2781" s="198"/>
      <c r="AI2781" s="198"/>
      <c r="AJ2781" s="198"/>
      <c r="AK2781" s="198"/>
      <c r="AL2781" s="198"/>
    </row>
    <row r="2782" spans="1:38" x14ac:dyDescent="0.25">
      <c r="A2782" s="182">
        <v>796</v>
      </c>
      <c r="B2782" s="182" t="s">
        <v>8613</v>
      </c>
      <c r="C2782" s="182" t="s">
        <v>13630</v>
      </c>
      <c r="D2782" s="182" t="s">
        <v>8258</v>
      </c>
      <c r="E2782" s="182"/>
      <c r="F2782" s="182">
        <v>1978</v>
      </c>
      <c r="G2782" s="182"/>
      <c r="H2782" s="182" t="s">
        <v>2963</v>
      </c>
      <c r="I2782" s="184" t="s">
        <v>1914</v>
      </c>
      <c r="J2782" s="182"/>
      <c r="K2782" s="182" t="s">
        <v>11538</v>
      </c>
      <c r="L2782" s="184" t="s">
        <v>13631</v>
      </c>
      <c r="M2782" s="182">
        <v>194</v>
      </c>
      <c r="N2782" s="182"/>
      <c r="O2782" s="257" t="s">
        <v>12020</v>
      </c>
      <c r="P2782" s="17">
        <v>417</v>
      </c>
      <c r="Q2782" s="245">
        <f t="shared" si="158"/>
        <v>1.7799999999999998</v>
      </c>
      <c r="R2782" s="245">
        <v>2.2000000000000002</v>
      </c>
      <c r="S2782" s="199">
        <v>3.98</v>
      </c>
      <c r="T2782" s="199"/>
      <c r="W2782" s="199"/>
      <c r="X2782" s="275"/>
      <c r="Y2782" s="275"/>
      <c r="Z2782" s="275"/>
      <c r="AA2782" s="275"/>
      <c r="AB2782" s="275"/>
      <c r="AC2782" s="275"/>
      <c r="AD2782" s="275"/>
      <c r="AE2782" s="198"/>
      <c r="AF2782" s="198"/>
      <c r="AG2782" s="198"/>
      <c r="AI2782" s="198"/>
      <c r="AJ2782" s="198"/>
      <c r="AK2782" s="198"/>
      <c r="AL2782" s="198"/>
    </row>
    <row r="2783" spans="1:38" x14ac:dyDescent="0.25">
      <c r="A2783" s="182">
        <v>1008</v>
      </c>
      <c r="B2783" s="182" t="s">
        <v>13632</v>
      </c>
      <c r="C2783" s="182" t="s">
        <v>13633</v>
      </c>
      <c r="D2783" s="182" t="s">
        <v>13634</v>
      </c>
      <c r="E2783" s="182"/>
      <c r="F2783" s="182">
        <v>2002</v>
      </c>
      <c r="G2783" s="182"/>
      <c r="H2783" s="182" t="s">
        <v>1878</v>
      </c>
      <c r="I2783" s="184" t="s">
        <v>1879</v>
      </c>
      <c r="J2783" s="182"/>
      <c r="K2783" s="182" t="s">
        <v>1881</v>
      </c>
      <c r="L2783" s="184" t="s">
        <v>13635</v>
      </c>
      <c r="M2783" s="182">
        <v>64</v>
      </c>
      <c r="N2783" s="182"/>
      <c r="O2783" s="257" t="s">
        <v>12021</v>
      </c>
      <c r="P2783" s="17">
        <v>84</v>
      </c>
      <c r="Q2783" s="245">
        <f t="shared" si="158"/>
        <v>1.44</v>
      </c>
      <c r="R2783" s="245">
        <v>2.2000000000000002</v>
      </c>
      <c r="S2783" s="199">
        <f>2.79+0.85</f>
        <v>3.64</v>
      </c>
      <c r="T2783" s="199"/>
      <c r="W2783" s="199"/>
      <c r="X2783" s="275"/>
      <c r="Y2783" s="275"/>
      <c r="Z2783" s="275"/>
      <c r="AA2783" s="275"/>
      <c r="AB2783" s="275"/>
      <c r="AC2783" s="275"/>
      <c r="AD2783" s="275"/>
      <c r="AE2783" s="198"/>
      <c r="AF2783" s="198"/>
      <c r="AG2783" s="198"/>
      <c r="AI2783" s="198"/>
      <c r="AJ2783" s="198"/>
      <c r="AK2783" s="198"/>
      <c r="AL2783" s="198"/>
    </row>
    <row r="2784" spans="1:38" x14ac:dyDescent="0.25">
      <c r="A2784" s="182">
        <v>2522</v>
      </c>
      <c r="B2784" s="182" t="s">
        <v>13636</v>
      </c>
      <c r="C2784" s="182" t="s">
        <v>13637</v>
      </c>
      <c r="D2784" s="182" t="s">
        <v>1920</v>
      </c>
      <c r="E2784" s="182"/>
      <c r="F2784" s="182">
        <v>1998</v>
      </c>
      <c r="G2784" s="182"/>
      <c r="H2784" s="182" t="s">
        <v>1878</v>
      </c>
      <c r="I2784" s="184" t="s">
        <v>1914</v>
      </c>
      <c r="J2784" s="182"/>
      <c r="K2784" s="182" t="s">
        <v>1881</v>
      </c>
      <c r="L2784" s="184" t="s">
        <v>13638</v>
      </c>
      <c r="M2784" s="182">
        <v>416</v>
      </c>
      <c r="N2784" s="182"/>
      <c r="O2784" s="257" t="s">
        <v>12022</v>
      </c>
      <c r="P2784" s="17">
        <v>374</v>
      </c>
      <c r="Q2784" s="245">
        <f t="shared" si="158"/>
        <v>1.65</v>
      </c>
      <c r="R2784" s="245">
        <v>2.2000000000000002</v>
      </c>
      <c r="S2784" s="199">
        <v>3.85</v>
      </c>
      <c r="T2784" s="199"/>
      <c r="W2784" s="199"/>
      <c r="X2784" s="275"/>
      <c r="Y2784" s="275"/>
      <c r="Z2784" s="275"/>
      <c r="AA2784" s="275"/>
      <c r="AB2784" s="275"/>
      <c r="AC2784" s="275"/>
      <c r="AD2784" s="275"/>
      <c r="AE2784" s="198"/>
      <c r="AF2784" s="198"/>
      <c r="AG2784" s="198"/>
      <c r="AI2784" s="198"/>
      <c r="AJ2784" s="198"/>
      <c r="AK2784" s="198"/>
      <c r="AL2784" s="198"/>
    </row>
    <row r="2785" spans="1:38" x14ac:dyDescent="0.25">
      <c r="A2785" s="182">
        <v>2681</v>
      </c>
      <c r="B2785" s="182" t="s">
        <v>13639</v>
      </c>
      <c r="C2785" s="182" t="s">
        <v>13640</v>
      </c>
      <c r="D2785" s="182"/>
      <c r="E2785" s="182"/>
      <c r="F2785" s="182">
        <v>1991</v>
      </c>
      <c r="G2785" s="182"/>
      <c r="H2785" s="182" t="s">
        <v>2963</v>
      </c>
      <c r="I2785" s="184" t="s">
        <v>1879</v>
      </c>
      <c r="J2785" s="182"/>
      <c r="K2785" s="182" t="s">
        <v>1881</v>
      </c>
      <c r="L2785" s="184" t="s">
        <v>13641</v>
      </c>
      <c r="M2785" s="182">
        <v>98</v>
      </c>
      <c r="N2785" s="182"/>
      <c r="O2785" s="257" t="s">
        <v>12023</v>
      </c>
      <c r="P2785" s="17">
        <v>201</v>
      </c>
      <c r="Q2785" s="245">
        <f t="shared" si="158"/>
        <v>1</v>
      </c>
      <c r="R2785" s="245">
        <v>2.2000000000000002</v>
      </c>
      <c r="S2785" s="199">
        <v>3.2</v>
      </c>
      <c r="T2785" s="199"/>
      <c r="W2785" s="199"/>
      <c r="X2785" s="275"/>
      <c r="Y2785" s="275"/>
      <c r="Z2785" s="275"/>
      <c r="AA2785" s="275"/>
      <c r="AB2785" s="275"/>
      <c r="AC2785" s="275"/>
      <c r="AD2785" s="275"/>
      <c r="AE2785" s="198"/>
      <c r="AF2785" s="198"/>
      <c r="AG2785" s="198"/>
      <c r="AI2785" s="198"/>
      <c r="AJ2785" s="198"/>
      <c r="AK2785" s="198"/>
      <c r="AL2785" s="198"/>
    </row>
    <row r="2786" spans="1:38" x14ac:dyDescent="0.25">
      <c r="A2786" s="182">
        <v>1875</v>
      </c>
      <c r="B2786" s="182" t="s">
        <v>13109</v>
      </c>
      <c r="C2786" s="182" t="s">
        <v>13642</v>
      </c>
      <c r="D2786" s="182" t="s">
        <v>13111</v>
      </c>
      <c r="E2786" s="182" t="s">
        <v>2375</v>
      </c>
      <c r="F2786" s="182">
        <v>1996</v>
      </c>
      <c r="G2786" s="182"/>
      <c r="H2786" s="182" t="s">
        <v>2963</v>
      </c>
      <c r="I2786" s="184" t="s">
        <v>1879</v>
      </c>
      <c r="J2786" s="182"/>
      <c r="K2786" s="182" t="s">
        <v>1881</v>
      </c>
      <c r="L2786" s="184" t="s">
        <v>13643</v>
      </c>
      <c r="M2786" s="182">
        <v>50</v>
      </c>
      <c r="N2786" s="182"/>
      <c r="O2786" s="257" t="s">
        <v>12024</v>
      </c>
      <c r="P2786" s="17">
        <v>170</v>
      </c>
      <c r="Q2786" s="245">
        <f t="shared" si="158"/>
        <v>2.0499999999999998</v>
      </c>
      <c r="R2786" s="245">
        <v>2.2000000000000002</v>
      </c>
      <c r="S2786" s="199">
        <f>1.75+2.5</f>
        <v>4.25</v>
      </c>
      <c r="T2786" s="199"/>
      <c r="W2786" s="199"/>
      <c r="X2786" s="275"/>
      <c r="Y2786" s="275"/>
      <c r="Z2786" s="275"/>
      <c r="AA2786" s="275"/>
      <c r="AB2786" s="275"/>
      <c r="AC2786" s="275"/>
      <c r="AD2786" s="275"/>
      <c r="AE2786" s="198"/>
      <c r="AF2786" s="198"/>
      <c r="AG2786" s="198"/>
      <c r="AI2786" s="198"/>
      <c r="AJ2786" s="198"/>
      <c r="AK2786" s="198"/>
      <c r="AL2786" s="198"/>
    </row>
    <row r="2787" spans="1:38" x14ac:dyDescent="0.25">
      <c r="A2787" s="182">
        <v>1875</v>
      </c>
      <c r="B2787" s="182" t="s">
        <v>13644</v>
      </c>
      <c r="C2787" s="182" t="s">
        <v>13645</v>
      </c>
      <c r="D2787" s="182" t="s">
        <v>13646</v>
      </c>
      <c r="E2787" s="182"/>
      <c r="F2787" s="182">
        <v>1994</v>
      </c>
      <c r="G2787" s="182"/>
      <c r="H2787" s="182" t="s">
        <v>2963</v>
      </c>
      <c r="I2787" s="184" t="s">
        <v>1879</v>
      </c>
      <c r="J2787" s="182"/>
      <c r="K2787" s="182" t="s">
        <v>1881</v>
      </c>
      <c r="L2787" s="184" t="s">
        <v>13647</v>
      </c>
      <c r="M2787" s="182">
        <v>50</v>
      </c>
      <c r="N2787" s="182"/>
      <c r="O2787" s="257" t="s">
        <v>12025</v>
      </c>
      <c r="P2787" s="17">
        <v>285</v>
      </c>
      <c r="Q2787" s="245">
        <f t="shared" si="158"/>
        <v>1.54</v>
      </c>
      <c r="R2787" s="245">
        <v>2.2000000000000002</v>
      </c>
      <c r="S2787" s="199">
        <f>1.29+2.45</f>
        <v>3.74</v>
      </c>
      <c r="T2787" s="199"/>
      <c r="W2787" s="199"/>
      <c r="X2787" s="275"/>
      <c r="Y2787" s="275"/>
      <c r="Z2787" s="275"/>
      <c r="AA2787" s="275"/>
      <c r="AB2787" s="275"/>
      <c r="AC2787" s="275"/>
      <c r="AD2787" s="275"/>
      <c r="AE2787" s="198"/>
      <c r="AF2787" s="198"/>
      <c r="AG2787" s="198"/>
      <c r="AI2787" s="198"/>
      <c r="AJ2787" s="198"/>
      <c r="AK2787" s="198"/>
      <c r="AL2787" s="198"/>
    </row>
    <row r="2788" spans="1:38" x14ac:dyDescent="0.25">
      <c r="A2788" s="182">
        <v>1320</v>
      </c>
      <c r="B2788" s="182" t="s">
        <v>13648</v>
      </c>
      <c r="C2788" s="182" t="s">
        <v>13649</v>
      </c>
      <c r="D2788" s="182" t="s">
        <v>9380</v>
      </c>
      <c r="E2788" s="182" t="s">
        <v>1877</v>
      </c>
      <c r="F2788" s="182">
        <v>1984</v>
      </c>
      <c r="G2788" s="182"/>
      <c r="H2788" s="182" t="s">
        <v>1878</v>
      </c>
      <c r="I2788" s="184" t="s">
        <v>1879</v>
      </c>
      <c r="J2788" s="182"/>
      <c r="K2788" s="182" t="s">
        <v>1881</v>
      </c>
      <c r="L2788" s="184" t="s">
        <v>13650</v>
      </c>
      <c r="M2788" s="182">
        <v>80</v>
      </c>
      <c r="N2788" s="182"/>
      <c r="O2788" s="257" t="s">
        <v>12026</v>
      </c>
      <c r="P2788" s="17">
        <v>124</v>
      </c>
      <c r="Q2788" s="245">
        <f t="shared" si="158"/>
        <v>3.8</v>
      </c>
      <c r="R2788" s="245">
        <v>2.2000000000000002</v>
      </c>
      <c r="S2788" s="199">
        <f>3.9+2.1</f>
        <v>6</v>
      </c>
      <c r="T2788" s="199"/>
      <c r="W2788" s="199"/>
      <c r="X2788" s="275"/>
      <c r="Y2788" s="275"/>
      <c r="Z2788" s="275"/>
      <c r="AA2788" s="275"/>
      <c r="AB2788" s="275"/>
      <c r="AC2788" s="275"/>
      <c r="AD2788" s="275"/>
      <c r="AE2788" s="198"/>
      <c r="AF2788" s="198"/>
      <c r="AG2788" s="198"/>
      <c r="AI2788" s="198"/>
      <c r="AJ2788" s="198"/>
      <c r="AK2788" s="198"/>
      <c r="AL2788" s="198"/>
    </row>
    <row r="2789" spans="1:38" x14ac:dyDescent="0.25">
      <c r="A2789" s="182">
        <v>647</v>
      </c>
      <c r="B2789" s="182" t="s">
        <v>13651</v>
      </c>
      <c r="C2789" s="182" t="s">
        <v>13652</v>
      </c>
      <c r="D2789" s="182"/>
      <c r="E2789" s="182" t="s">
        <v>2358</v>
      </c>
      <c r="F2789" s="182">
        <v>2006</v>
      </c>
      <c r="G2789" s="182"/>
      <c r="H2789" s="182" t="s">
        <v>1878</v>
      </c>
      <c r="I2789" s="184" t="s">
        <v>1879</v>
      </c>
      <c r="J2789" s="182"/>
      <c r="K2789" s="182" t="s">
        <v>1881</v>
      </c>
      <c r="L2789" s="184" t="s">
        <v>13653</v>
      </c>
      <c r="M2789" s="182">
        <v>136</v>
      </c>
      <c r="N2789" s="182"/>
      <c r="O2789" s="257" t="s">
        <v>12027</v>
      </c>
      <c r="P2789" s="17">
        <v>193</v>
      </c>
      <c r="Q2789" s="245">
        <f t="shared" si="158"/>
        <v>7.0100000000000007</v>
      </c>
      <c r="R2789" s="245">
        <v>2.2000000000000002</v>
      </c>
      <c r="S2789" s="199">
        <v>9.2100000000000009</v>
      </c>
      <c r="T2789" s="199"/>
      <c r="W2789" s="199"/>
      <c r="X2789" s="275"/>
      <c r="Y2789" s="275"/>
      <c r="Z2789" s="275"/>
      <c r="AA2789" s="275"/>
      <c r="AB2789" s="275"/>
      <c r="AC2789" s="275"/>
      <c r="AD2789" s="275"/>
      <c r="AE2789" s="198"/>
      <c r="AF2789" s="198"/>
      <c r="AG2789" s="198"/>
      <c r="AI2789" s="198"/>
      <c r="AJ2789" s="198"/>
      <c r="AK2789" s="198"/>
      <c r="AL2789" s="198"/>
    </row>
    <row r="2790" spans="1:38" x14ac:dyDescent="0.25">
      <c r="A2790" s="182">
        <v>796</v>
      </c>
      <c r="B2790" s="182" t="s">
        <v>13654</v>
      </c>
      <c r="C2790" s="182" t="s">
        <v>13655</v>
      </c>
      <c r="D2790" s="182" t="s">
        <v>2209</v>
      </c>
      <c r="E2790" s="182" t="s">
        <v>2032</v>
      </c>
      <c r="F2790" s="182">
        <v>2018</v>
      </c>
      <c r="G2790" s="182"/>
      <c r="H2790" s="182" t="s">
        <v>1878</v>
      </c>
      <c r="I2790" s="184" t="s">
        <v>1879</v>
      </c>
      <c r="J2790" s="182"/>
      <c r="K2790" s="182" t="s">
        <v>1881</v>
      </c>
      <c r="L2790" s="184" t="s">
        <v>13656</v>
      </c>
      <c r="M2790" s="182">
        <v>544</v>
      </c>
      <c r="N2790" s="182"/>
      <c r="O2790" s="257" t="s">
        <v>12028</v>
      </c>
      <c r="P2790" s="17">
        <v>449</v>
      </c>
      <c r="Q2790" s="245">
        <f t="shared" si="158"/>
        <v>2.0300000000000002</v>
      </c>
      <c r="R2790" s="245">
        <v>2.2000000000000002</v>
      </c>
      <c r="S2790" s="199">
        <v>4.2300000000000004</v>
      </c>
      <c r="T2790" s="199"/>
      <c r="W2790" s="199"/>
      <c r="X2790" s="275"/>
      <c r="Y2790" s="275"/>
      <c r="Z2790" s="275"/>
      <c r="AA2790" s="275"/>
      <c r="AB2790" s="275"/>
      <c r="AC2790" s="275"/>
      <c r="AD2790" s="275"/>
      <c r="AE2790" s="198"/>
      <c r="AF2790" s="198"/>
      <c r="AG2790" s="198"/>
      <c r="AI2790" s="198"/>
      <c r="AJ2790" s="198"/>
      <c r="AK2790" s="198"/>
      <c r="AL2790" s="198"/>
    </row>
    <row r="2791" spans="1:38" x14ac:dyDescent="0.25">
      <c r="A2791" s="182">
        <v>937</v>
      </c>
      <c r="B2791" s="182" t="s">
        <v>13657</v>
      </c>
      <c r="C2791" s="182" t="s">
        <v>13658</v>
      </c>
      <c r="D2791" s="182" t="s">
        <v>2068</v>
      </c>
      <c r="E2791" s="182"/>
      <c r="F2791" s="182"/>
      <c r="G2791" s="182"/>
      <c r="H2791" s="182" t="s">
        <v>2963</v>
      </c>
      <c r="I2791" s="184" t="s">
        <v>1879</v>
      </c>
      <c r="J2791" s="182"/>
      <c r="K2791" s="182" t="s">
        <v>1881</v>
      </c>
      <c r="L2791" s="184" t="s">
        <v>13659</v>
      </c>
      <c r="M2791" s="182">
        <v>84</v>
      </c>
      <c r="N2791" s="182"/>
      <c r="O2791" s="257" t="s">
        <v>12029</v>
      </c>
      <c r="P2791" s="17">
        <v>192</v>
      </c>
      <c r="Q2791" s="245">
        <f t="shared" si="158"/>
        <v>1.0999999999999996</v>
      </c>
      <c r="R2791" s="245">
        <v>2.2000000000000002</v>
      </c>
      <c r="S2791" s="199">
        <v>3.3</v>
      </c>
      <c r="T2791" s="199"/>
      <c r="W2791" s="199"/>
      <c r="X2791" s="275"/>
      <c r="Y2791" s="275"/>
      <c r="Z2791" s="275"/>
      <c r="AA2791" s="275"/>
      <c r="AB2791" s="275"/>
      <c r="AC2791" s="275"/>
      <c r="AD2791" s="275"/>
      <c r="AE2791" s="198"/>
      <c r="AF2791" s="198"/>
      <c r="AG2791" s="198"/>
      <c r="AI2791" s="198"/>
      <c r="AJ2791" s="198"/>
      <c r="AK2791" s="198"/>
      <c r="AL2791" s="198"/>
    </row>
    <row r="2792" spans="1:38" x14ac:dyDescent="0.25">
      <c r="A2792" s="182">
        <v>937</v>
      </c>
      <c r="B2792" s="182" t="s">
        <v>13657</v>
      </c>
      <c r="C2792" s="182" t="s">
        <v>13660</v>
      </c>
      <c r="D2792" s="182" t="s">
        <v>2050</v>
      </c>
      <c r="E2792" s="182"/>
      <c r="F2792" s="182"/>
      <c r="G2792" s="182"/>
      <c r="H2792" s="182" t="s">
        <v>2963</v>
      </c>
      <c r="I2792" s="184" t="s">
        <v>1879</v>
      </c>
      <c r="J2792" s="182"/>
      <c r="K2792" s="182" t="s">
        <v>1881</v>
      </c>
      <c r="L2792" s="184" t="s">
        <v>13661</v>
      </c>
      <c r="M2792" s="182">
        <v>86</v>
      </c>
      <c r="N2792" s="182"/>
      <c r="O2792" s="257" t="s">
        <v>12030</v>
      </c>
      <c r="P2792" s="17">
        <v>186</v>
      </c>
      <c r="Q2792" s="245">
        <f t="shared" si="158"/>
        <v>1.0999999999999996</v>
      </c>
      <c r="R2792" s="245">
        <v>2.2000000000000002</v>
      </c>
      <c r="S2792" s="199">
        <v>3.3</v>
      </c>
      <c r="T2792" s="199"/>
      <c r="W2792" s="199"/>
      <c r="X2792" s="275"/>
      <c r="Y2792" s="275"/>
      <c r="Z2792" s="275"/>
      <c r="AA2792" s="275"/>
      <c r="AB2792" s="275"/>
      <c r="AC2792" s="275"/>
      <c r="AD2792" s="275"/>
      <c r="AE2792" s="198"/>
      <c r="AF2792" s="198"/>
      <c r="AG2792" s="198"/>
      <c r="AI2792" s="198"/>
      <c r="AJ2792" s="198"/>
      <c r="AK2792" s="198"/>
      <c r="AL2792" s="198"/>
    </row>
    <row r="2793" spans="1:38" x14ac:dyDescent="0.25">
      <c r="A2793" s="182">
        <v>937</v>
      </c>
      <c r="B2793" s="182" t="s">
        <v>13657</v>
      </c>
      <c r="C2793" s="182" t="s">
        <v>13662</v>
      </c>
      <c r="D2793" s="182" t="s">
        <v>2050</v>
      </c>
      <c r="E2793" s="182"/>
      <c r="F2793" s="182"/>
      <c r="G2793" s="182"/>
      <c r="H2793" s="182" t="s">
        <v>2963</v>
      </c>
      <c r="I2793" s="184" t="s">
        <v>1879</v>
      </c>
      <c r="J2793" s="182"/>
      <c r="K2793" s="182" t="s">
        <v>1881</v>
      </c>
      <c r="L2793" s="184" t="s">
        <v>13663</v>
      </c>
      <c r="M2793" s="182">
        <v>86</v>
      </c>
      <c r="N2793" s="182"/>
      <c r="O2793" s="257" t="s">
        <v>12031</v>
      </c>
      <c r="P2793" s="17">
        <v>187</v>
      </c>
      <c r="Q2793" s="245">
        <f t="shared" si="158"/>
        <v>2.84</v>
      </c>
      <c r="R2793" s="245">
        <v>2.2000000000000002</v>
      </c>
      <c r="S2793" s="199">
        <f>2.24+2.8</f>
        <v>5.04</v>
      </c>
      <c r="T2793" s="199"/>
      <c r="W2793" s="199"/>
      <c r="X2793" s="275"/>
      <c r="Y2793" s="275"/>
      <c r="Z2793" s="275"/>
      <c r="AA2793" s="275"/>
      <c r="AB2793" s="275"/>
      <c r="AC2793" s="275"/>
      <c r="AD2793" s="275"/>
      <c r="AE2793" s="198"/>
      <c r="AF2793" s="198"/>
      <c r="AG2793" s="198"/>
      <c r="AI2793" s="198"/>
      <c r="AJ2793" s="198"/>
      <c r="AK2793" s="198"/>
      <c r="AL2793" s="198"/>
    </row>
    <row r="2794" spans="1:38" x14ac:dyDescent="0.25">
      <c r="A2794" s="182">
        <v>937</v>
      </c>
      <c r="B2794" s="182" t="s">
        <v>13657</v>
      </c>
      <c r="C2794" s="182" t="s">
        <v>13664</v>
      </c>
      <c r="D2794" s="182" t="s">
        <v>2050</v>
      </c>
      <c r="E2794" s="182"/>
      <c r="F2794" s="182"/>
      <c r="G2794" s="182"/>
      <c r="H2794" s="182" t="s">
        <v>2963</v>
      </c>
      <c r="I2794" s="184" t="s">
        <v>1879</v>
      </c>
      <c r="J2794" s="182"/>
      <c r="K2794" s="182" t="s">
        <v>1881</v>
      </c>
      <c r="L2794" s="184" t="s">
        <v>13665</v>
      </c>
      <c r="M2794" s="182">
        <v>86</v>
      </c>
      <c r="N2794" s="182"/>
      <c r="O2794" s="257" t="s">
        <v>12032</v>
      </c>
      <c r="P2794" s="17">
        <v>187</v>
      </c>
      <c r="Q2794" s="245">
        <f t="shared" si="158"/>
        <v>1.2999999999999998</v>
      </c>
      <c r="R2794" s="245">
        <v>2.2000000000000002</v>
      </c>
      <c r="S2794" s="199">
        <v>3.5</v>
      </c>
      <c r="T2794" s="199"/>
      <c r="W2794" s="199"/>
      <c r="X2794" s="275"/>
      <c r="Y2794" s="275"/>
      <c r="Z2794" s="275"/>
      <c r="AA2794" s="275"/>
      <c r="AB2794" s="275"/>
      <c r="AC2794" s="275"/>
      <c r="AD2794" s="275"/>
      <c r="AE2794" s="198"/>
      <c r="AF2794" s="198"/>
      <c r="AG2794" s="198"/>
      <c r="AI2794" s="198"/>
      <c r="AJ2794" s="198"/>
      <c r="AK2794" s="198"/>
      <c r="AL2794" s="198"/>
    </row>
    <row r="2795" spans="1:38" x14ac:dyDescent="0.25">
      <c r="A2795" s="182">
        <v>1327</v>
      </c>
      <c r="B2795" s="182" t="s">
        <v>13666</v>
      </c>
      <c r="C2795" s="182" t="s">
        <v>13667</v>
      </c>
      <c r="D2795" s="182" t="s">
        <v>2609</v>
      </c>
      <c r="E2795" s="182"/>
      <c r="F2795" s="182">
        <v>2007</v>
      </c>
      <c r="G2795" s="182"/>
      <c r="H2795" s="182" t="s">
        <v>1878</v>
      </c>
      <c r="I2795" s="184" t="s">
        <v>6422</v>
      </c>
      <c r="J2795" s="182" t="s">
        <v>13503</v>
      </c>
      <c r="K2795" s="182" t="s">
        <v>1881</v>
      </c>
      <c r="L2795" s="184" t="s">
        <v>13668</v>
      </c>
      <c r="M2795" s="182">
        <v>288</v>
      </c>
      <c r="N2795" s="182"/>
      <c r="O2795" s="257" t="s">
        <v>12033</v>
      </c>
      <c r="P2795" s="17">
        <v>286</v>
      </c>
      <c r="Q2795" s="245">
        <f t="shared" si="158"/>
        <v>6.3</v>
      </c>
      <c r="R2795" s="245">
        <v>2.2000000000000002</v>
      </c>
      <c r="S2795" s="199">
        <v>8.5</v>
      </c>
      <c r="T2795" s="199"/>
      <c r="W2795" s="199"/>
      <c r="X2795" s="275"/>
      <c r="Y2795" s="275"/>
      <c r="Z2795" s="275"/>
      <c r="AA2795" s="275"/>
      <c r="AB2795" s="275"/>
      <c r="AC2795" s="275"/>
      <c r="AD2795" s="275"/>
      <c r="AE2795" s="198"/>
      <c r="AF2795" s="198"/>
      <c r="AG2795" s="198"/>
      <c r="AI2795" s="198"/>
      <c r="AJ2795" s="198"/>
      <c r="AK2795" s="198"/>
      <c r="AL2795" s="198"/>
    </row>
    <row r="2796" spans="1:38" x14ac:dyDescent="0.25">
      <c r="A2796" s="182">
        <v>765</v>
      </c>
      <c r="B2796" s="182" t="s">
        <v>13669</v>
      </c>
      <c r="C2796" s="182" t="s">
        <v>13670</v>
      </c>
      <c r="D2796" s="182" t="s">
        <v>1912</v>
      </c>
      <c r="E2796" s="182"/>
      <c r="F2796" s="182">
        <v>2005</v>
      </c>
      <c r="G2796" s="182"/>
      <c r="H2796" s="182" t="s">
        <v>1878</v>
      </c>
      <c r="I2796" s="184" t="s">
        <v>1914</v>
      </c>
      <c r="J2796" s="182"/>
      <c r="K2796" s="182" t="s">
        <v>1881</v>
      </c>
      <c r="L2796" s="184"/>
      <c r="M2796" s="182">
        <v>384</v>
      </c>
      <c r="N2796" s="182"/>
      <c r="O2796" s="257" t="s">
        <v>12034</v>
      </c>
      <c r="P2796" s="17">
        <v>367</v>
      </c>
      <c r="Q2796" s="245">
        <f t="shared" si="158"/>
        <v>4.7299999999999995</v>
      </c>
      <c r="R2796" s="245">
        <v>2.2000000000000002</v>
      </c>
      <c r="S2796" s="199">
        <v>6.93</v>
      </c>
      <c r="T2796" s="199"/>
      <c r="W2796" s="199"/>
      <c r="X2796" s="275"/>
      <c r="Y2796" s="275"/>
      <c r="Z2796" s="275"/>
      <c r="AA2796" s="275"/>
      <c r="AB2796" s="275"/>
      <c r="AC2796" s="275"/>
      <c r="AD2796" s="275"/>
      <c r="AE2796" s="198"/>
      <c r="AF2796" s="198"/>
      <c r="AG2796" s="198"/>
      <c r="AI2796" s="198"/>
      <c r="AJ2796" s="198"/>
      <c r="AK2796" s="198"/>
      <c r="AL2796" s="198"/>
    </row>
    <row r="2797" spans="1:38" x14ac:dyDescent="0.25">
      <c r="A2797" s="182">
        <v>796</v>
      </c>
      <c r="B2797" s="182" t="s">
        <v>10264</v>
      </c>
      <c r="C2797" s="182" t="s">
        <v>13671</v>
      </c>
      <c r="D2797" s="182" t="s">
        <v>3077</v>
      </c>
      <c r="E2797" s="182" t="s">
        <v>1913</v>
      </c>
      <c r="F2797" s="182">
        <v>2016</v>
      </c>
      <c r="G2797" s="182"/>
      <c r="H2797" s="182" t="s">
        <v>1878</v>
      </c>
      <c r="I2797" s="184" t="s">
        <v>1879</v>
      </c>
      <c r="J2797" s="182"/>
      <c r="K2797" s="182" t="s">
        <v>1881</v>
      </c>
      <c r="L2797" s="184" t="s">
        <v>13672</v>
      </c>
      <c r="M2797" s="182">
        <v>416</v>
      </c>
      <c r="N2797" s="182"/>
      <c r="O2797" s="257" t="s">
        <v>12035</v>
      </c>
      <c r="P2797" s="17">
        <v>369</v>
      </c>
      <c r="Q2797" s="245">
        <f t="shared" si="158"/>
        <v>3.5199999999999996</v>
      </c>
      <c r="R2797" s="245">
        <v>2.2000000000000002</v>
      </c>
      <c r="S2797" s="199">
        <v>5.72</v>
      </c>
      <c r="T2797" s="199"/>
      <c r="W2797" s="199"/>
      <c r="X2797" s="275"/>
      <c r="Y2797" s="275"/>
      <c r="Z2797" s="275"/>
      <c r="AA2797" s="275"/>
      <c r="AB2797" s="275"/>
      <c r="AC2797" s="275"/>
      <c r="AD2797" s="275"/>
      <c r="AE2797" s="198"/>
      <c r="AF2797" s="198"/>
      <c r="AG2797" s="198"/>
      <c r="AI2797" s="198"/>
      <c r="AJ2797" s="198"/>
      <c r="AK2797" s="198"/>
      <c r="AL2797" s="198"/>
    </row>
    <row r="2798" spans="1:38" x14ac:dyDescent="0.25">
      <c r="A2798" s="182">
        <v>704</v>
      </c>
      <c r="B2798" s="182" t="s">
        <v>13673</v>
      </c>
      <c r="C2798" s="182" t="s">
        <v>13674</v>
      </c>
      <c r="D2798" s="182" t="s">
        <v>13675</v>
      </c>
      <c r="E2798" s="182" t="s">
        <v>1877</v>
      </c>
      <c r="F2798" s="182">
        <v>2011</v>
      </c>
      <c r="G2798" s="182"/>
      <c r="H2798" s="182" t="s">
        <v>2963</v>
      </c>
      <c r="I2798" s="184" t="s">
        <v>1879</v>
      </c>
      <c r="J2798" s="182"/>
      <c r="K2798" s="182" t="s">
        <v>1881</v>
      </c>
      <c r="L2798" s="184" t="s">
        <v>13676</v>
      </c>
      <c r="M2798" s="182">
        <v>288</v>
      </c>
      <c r="N2798" s="182"/>
      <c r="O2798" s="257" t="s">
        <v>12036</v>
      </c>
      <c r="P2798" s="17">
        <v>381</v>
      </c>
      <c r="Q2798" s="245">
        <f t="shared" si="158"/>
        <v>2.0300000000000002</v>
      </c>
      <c r="R2798" s="245">
        <v>2.2000000000000002</v>
      </c>
      <c r="S2798" s="199">
        <v>4.2300000000000004</v>
      </c>
      <c r="T2798" s="199"/>
      <c r="W2798" s="199"/>
      <c r="X2798" s="275"/>
      <c r="Y2798" s="275"/>
      <c r="Z2798" s="275"/>
      <c r="AA2798" s="275"/>
      <c r="AB2798" s="275"/>
      <c r="AC2798" s="275"/>
      <c r="AD2798" s="275"/>
      <c r="AE2798" s="198"/>
      <c r="AF2798" s="198"/>
      <c r="AG2798" s="198"/>
      <c r="AI2798" s="198"/>
      <c r="AJ2798" s="198"/>
      <c r="AK2798" s="198"/>
      <c r="AL2798" s="198"/>
    </row>
    <row r="2799" spans="1:38" x14ac:dyDescent="0.25">
      <c r="A2799" s="182">
        <v>1395</v>
      </c>
      <c r="B2799" s="182" t="s">
        <v>13677</v>
      </c>
      <c r="C2799" s="182" t="s">
        <v>13678</v>
      </c>
      <c r="D2799" s="182" t="s">
        <v>1912</v>
      </c>
      <c r="E2799" s="182" t="s">
        <v>1913</v>
      </c>
      <c r="F2799" s="182">
        <v>2013</v>
      </c>
      <c r="G2799" s="182"/>
      <c r="H2799" s="182" t="s">
        <v>1878</v>
      </c>
      <c r="I2799" s="184" t="s">
        <v>1879</v>
      </c>
      <c r="J2799" s="182"/>
      <c r="K2799" s="182" t="s">
        <v>1881</v>
      </c>
      <c r="L2799" s="184" t="s">
        <v>13679</v>
      </c>
      <c r="M2799" s="182">
        <v>288</v>
      </c>
      <c r="N2799" s="182"/>
      <c r="O2799" s="257" t="s">
        <v>12037</v>
      </c>
      <c r="P2799" s="17">
        <v>274</v>
      </c>
      <c r="Q2799" s="245">
        <f t="shared" si="158"/>
        <v>1.04</v>
      </c>
      <c r="R2799" s="245">
        <v>2.2000000000000002</v>
      </c>
      <c r="S2799" s="199">
        <v>3.24</v>
      </c>
      <c r="T2799" s="199"/>
      <c r="W2799" s="199"/>
      <c r="X2799" s="275"/>
      <c r="Y2799" s="275"/>
      <c r="Z2799" s="275"/>
      <c r="AA2799" s="275"/>
      <c r="AB2799" s="275"/>
      <c r="AC2799" s="275"/>
      <c r="AD2799" s="275"/>
      <c r="AE2799" s="198"/>
      <c r="AF2799" s="198"/>
      <c r="AG2799" s="198"/>
      <c r="AI2799" s="198"/>
      <c r="AJ2799" s="198"/>
      <c r="AK2799" s="198"/>
      <c r="AL2799" s="198"/>
    </row>
    <row r="2800" spans="1:38" x14ac:dyDescent="0.25">
      <c r="A2800" s="182">
        <v>775</v>
      </c>
      <c r="B2800" s="182" t="s">
        <v>13680</v>
      </c>
      <c r="C2800" s="182" t="s">
        <v>13681</v>
      </c>
      <c r="D2800" s="182" t="s">
        <v>2232</v>
      </c>
      <c r="E2800" s="182" t="s">
        <v>1877</v>
      </c>
      <c r="F2800" s="182">
        <v>2016</v>
      </c>
      <c r="G2800" s="182"/>
      <c r="H2800" s="182" t="s">
        <v>1878</v>
      </c>
      <c r="I2800" s="184" t="s">
        <v>1879</v>
      </c>
      <c r="J2800" s="182"/>
      <c r="K2800" s="182" t="s">
        <v>1881</v>
      </c>
      <c r="L2800" s="184" t="s">
        <v>13682</v>
      </c>
      <c r="M2800" s="182">
        <v>528</v>
      </c>
      <c r="N2800" s="182"/>
      <c r="O2800" s="257" t="s">
        <v>12038</v>
      </c>
      <c r="P2800" s="17">
        <v>427</v>
      </c>
      <c r="Q2800" s="245">
        <f t="shared" si="158"/>
        <v>3.09</v>
      </c>
      <c r="R2800" s="245">
        <v>2.2000000000000002</v>
      </c>
      <c r="S2800" s="199">
        <v>5.29</v>
      </c>
      <c r="T2800" s="199"/>
      <c r="W2800" s="199"/>
      <c r="X2800" s="275"/>
      <c r="Y2800" s="275"/>
      <c r="Z2800" s="275"/>
      <c r="AA2800" s="275"/>
      <c r="AB2800" s="275"/>
      <c r="AC2800" s="275"/>
      <c r="AD2800" s="275"/>
      <c r="AE2800" s="198"/>
      <c r="AF2800" s="198"/>
      <c r="AG2800" s="198"/>
      <c r="AI2800" s="198"/>
      <c r="AJ2800" s="198"/>
      <c r="AK2800" s="198"/>
      <c r="AL2800" s="198"/>
    </row>
    <row r="2801" spans="1:38" x14ac:dyDescent="0.25">
      <c r="A2801" s="182">
        <v>692</v>
      </c>
      <c r="B2801" s="182" t="s">
        <v>2242</v>
      </c>
      <c r="C2801" s="182" t="s">
        <v>13683</v>
      </c>
      <c r="D2801" s="182" t="s">
        <v>2036</v>
      </c>
      <c r="E2801" s="182"/>
      <c r="F2801" s="182">
        <v>1998</v>
      </c>
      <c r="G2801" s="182"/>
      <c r="H2801" s="182" t="s">
        <v>2963</v>
      </c>
      <c r="I2801" s="184" t="s">
        <v>1879</v>
      </c>
      <c r="J2801" s="182"/>
      <c r="K2801" s="182" t="s">
        <v>1881</v>
      </c>
      <c r="L2801" s="184" t="s">
        <v>13684</v>
      </c>
      <c r="M2801" s="182">
        <v>386</v>
      </c>
      <c r="N2801" s="182"/>
      <c r="O2801" s="257" t="s">
        <v>12039</v>
      </c>
      <c r="P2801" s="17">
        <v>403</v>
      </c>
      <c r="Q2801" s="245">
        <f t="shared" si="158"/>
        <v>0.41999999999999993</v>
      </c>
      <c r="R2801" s="245">
        <v>2.2000000000000002</v>
      </c>
      <c r="S2801" s="199">
        <v>2.62</v>
      </c>
      <c r="T2801" s="199"/>
      <c r="W2801" s="199"/>
      <c r="X2801" s="275"/>
      <c r="Y2801" s="275"/>
      <c r="Z2801" s="275"/>
      <c r="AA2801" s="275"/>
      <c r="AB2801" s="275"/>
      <c r="AC2801" s="275"/>
      <c r="AD2801" s="275"/>
      <c r="AE2801" s="198"/>
      <c r="AF2801" s="198"/>
      <c r="AG2801" s="198"/>
      <c r="AI2801" s="198"/>
      <c r="AJ2801" s="198"/>
      <c r="AK2801" s="198"/>
      <c r="AL2801" s="198"/>
    </row>
    <row r="2802" spans="1:38" x14ac:dyDescent="0.25">
      <c r="A2802" s="196">
        <v>1315</v>
      </c>
      <c r="B2802" s="196" t="s">
        <v>13685</v>
      </c>
      <c r="C2802" s="196" t="s">
        <v>13686</v>
      </c>
      <c r="D2802" s="196" t="s">
        <v>2156</v>
      </c>
      <c r="E2802" s="196" t="s">
        <v>2375</v>
      </c>
      <c r="F2802" s="196">
        <v>2003</v>
      </c>
      <c r="G2802" s="182"/>
      <c r="H2802" s="196" t="s">
        <v>1878</v>
      </c>
      <c r="I2802" s="184" t="s">
        <v>1914</v>
      </c>
      <c r="J2802" s="182"/>
      <c r="K2802" s="196" t="s">
        <v>1881</v>
      </c>
      <c r="L2802" s="184" t="s">
        <v>13687</v>
      </c>
      <c r="M2802" s="196">
        <v>160</v>
      </c>
      <c r="N2802" s="182"/>
      <c r="O2802" s="257" t="s">
        <v>12040</v>
      </c>
      <c r="P2802" s="17">
        <v>166</v>
      </c>
      <c r="Q2802" s="245">
        <f t="shared" si="158"/>
        <v>1.1599999999999997</v>
      </c>
      <c r="R2802" s="245">
        <v>2.2000000000000002</v>
      </c>
      <c r="S2802" s="199">
        <f>2.36+1</f>
        <v>3.36</v>
      </c>
      <c r="T2802" s="199"/>
      <c r="W2802" s="199"/>
      <c r="X2802" s="275"/>
      <c r="Y2802" s="275"/>
      <c r="Z2802" s="275"/>
      <c r="AA2802" s="275"/>
      <c r="AB2802" s="275"/>
      <c r="AC2802" s="275"/>
      <c r="AD2802" s="275"/>
      <c r="AE2802" s="198"/>
      <c r="AF2802" s="198"/>
      <c r="AG2802" s="198"/>
      <c r="AI2802" s="198"/>
      <c r="AJ2802" s="198"/>
      <c r="AK2802" s="198"/>
      <c r="AL2802" s="198"/>
    </row>
    <row r="2803" spans="1:38" x14ac:dyDescent="0.25">
      <c r="A2803" s="196">
        <v>704</v>
      </c>
      <c r="B2803" s="196" t="s">
        <v>10991</v>
      </c>
      <c r="C2803" s="196" t="s">
        <v>10992</v>
      </c>
      <c r="D2803" s="196" t="s">
        <v>6456</v>
      </c>
      <c r="E2803" s="196" t="s">
        <v>8240</v>
      </c>
      <c r="F2803" s="196">
        <v>2014</v>
      </c>
      <c r="G2803" s="182"/>
      <c r="H2803" s="196" t="s">
        <v>1878</v>
      </c>
      <c r="I2803" s="184" t="s">
        <v>1914</v>
      </c>
      <c r="J2803" s="182"/>
      <c r="K2803" s="196" t="s">
        <v>1881</v>
      </c>
      <c r="L2803" s="184" t="s">
        <v>13688</v>
      </c>
      <c r="M2803" s="196">
        <v>224</v>
      </c>
      <c r="N2803" s="182"/>
      <c r="O2803" s="257" t="s">
        <v>12041</v>
      </c>
      <c r="P2803" s="17">
        <v>237</v>
      </c>
      <c r="Q2803" s="245">
        <f t="shared" si="158"/>
        <v>1.9100000000000001</v>
      </c>
      <c r="R2803" s="245">
        <v>2.2000000000000002</v>
      </c>
      <c r="S2803" s="199">
        <v>4.1100000000000003</v>
      </c>
      <c r="T2803" s="199"/>
      <c r="W2803" s="199"/>
      <c r="X2803" s="275"/>
      <c r="Y2803" s="275"/>
      <c r="Z2803" s="275"/>
      <c r="AA2803" s="275"/>
      <c r="AB2803" s="275"/>
      <c r="AC2803" s="275"/>
      <c r="AD2803" s="275"/>
      <c r="AE2803" s="198"/>
      <c r="AF2803" s="198"/>
      <c r="AG2803" s="198"/>
      <c r="AI2803" s="198"/>
      <c r="AJ2803" s="198"/>
      <c r="AK2803" s="198"/>
      <c r="AL2803" s="198"/>
    </row>
    <row r="2804" spans="1:38" x14ac:dyDescent="0.25">
      <c r="A2804" s="196">
        <v>796</v>
      </c>
      <c r="B2804" s="196" t="s">
        <v>11594</v>
      </c>
      <c r="C2804" s="196" t="s">
        <v>13689</v>
      </c>
      <c r="D2804" s="196" t="s">
        <v>2209</v>
      </c>
      <c r="E2804" s="196" t="s">
        <v>2032</v>
      </c>
      <c r="F2804" s="196">
        <v>2016</v>
      </c>
      <c r="G2804" s="182"/>
      <c r="H2804" s="196" t="s">
        <v>1878</v>
      </c>
      <c r="I2804" s="184" t="s">
        <v>1879</v>
      </c>
      <c r="J2804" s="182"/>
      <c r="K2804" s="196" t="s">
        <v>1881</v>
      </c>
      <c r="L2804" s="184" t="s">
        <v>13690</v>
      </c>
      <c r="M2804" s="196">
        <v>288</v>
      </c>
      <c r="N2804" s="182"/>
      <c r="O2804" s="257" t="s">
        <v>12042</v>
      </c>
      <c r="P2804" s="17">
        <v>235</v>
      </c>
      <c r="Q2804" s="245">
        <f t="shared" si="158"/>
        <v>2.1499999999999995</v>
      </c>
      <c r="R2804" s="245">
        <v>2.2000000000000002</v>
      </c>
      <c r="S2804" s="199">
        <v>4.3499999999999996</v>
      </c>
      <c r="T2804" s="199"/>
      <c r="W2804" s="199"/>
      <c r="X2804" s="275"/>
      <c r="Y2804" s="275"/>
      <c r="Z2804" s="275"/>
      <c r="AA2804" s="275"/>
      <c r="AB2804" s="275"/>
      <c r="AC2804" s="275"/>
      <c r="AD2804" s="275"/>
      <c r="AE2804" s="198"/>
      <c r="AF2804" s="198"/>
      <c r="AG2804" s="198"/>
      <c r="AI2804" s="198"/>
      <c r="AJ2804" s="198"/>
      <c r="AK2804" s="198"/>
      <c r="AL2804" s="198"/>
    </row>
    <row r="2805" spans="1:38" x14ac:dyDescent="0.25">
      <c r="A2805" s="196">
        <v>692</v>
      </c>
      <c r="B2805" s="196" t="s">
        <v>13691</v>
      </c>
      <c r="C2805" s="196" t="s">
        <v>13692</v>
      </c>
      <c r="D2805" s="196" t="s">
        <v>2309</v>
      </c>
      <c r="E2805" s="196" t="s">
        <v>1913</v>
      </c>
      <c r="F2805" s="196">
        <v>2019</v>
      </c>
      <c r="G2805" s="182"/>
      <c r="H2805" s="196" t="s">
        <v>1878</v>
      </c>
      <c r="I2805" s="184" t="s">
        <v>1879</v>
      </c>
      <c r="J2805" s="182"/>
      <c r="K2805" s="196" t="s">
        <v>1881</v>
      </c>
      <c r="L2805" s="184" t="s">
        <v>13693</v>
      </c>
      <c r="M2805" s="196">
        <v>272</v>
      </c>
      <c r="N2805" s="182"/>
      <c r="O2805" s="257" t="s">
        <v>12043</v>
      </c>
      <c r="P2805" s="17">
        <v>260</v>
      </c>
      <c r="Q2805" s="245">
        <f t="shared" si="158"/>
        <v>2.0199999999999996</v>
      </c>
      <c r="R2805" s="245">
        <v>2.2000000000000002</v>
      </c>
      <c r="S2805" s="199">
        <v>4.22</v>
      </c>
      <c r="T2805" s="199"/>
      <c r="W2805" s="199"/>
      <c r="X2805" s="275"/>
      <c r="Y2805" s="275"/>
      <c r="Z2805" s="275"/>
      <c r="AA2805" s="275"/>
      <c r="AB2805" s="275"/>
      <c r="AC2805" s="275"/>
      <c r="AD2805" s="275"/>
      <c r="AE2805" s="198"/>
      <c r="AF2805" s="198"/>
      <c r="AG2805" s="198"/>
      <c r="AI2805" s="198"/>
      <c r="AJ2805" s="198"/>
      <c r="AK2805" s="198"/>
      <c r="AL2805" s="198"/>
    </row>
    <row r="2806" spans="1:38" x14ac:dyDescent="0.25">
      <c r="A2806" s="196">
        <v>2952</v>
      </c>
      <c r="B2806" s="196" t="s">
        <v>13694</v>
      </c>
      <c r="C2806" s="196" t="s">
        <v>13695</v>
      </c>
      <c r="D2806" s="196" t="s">
        <v>2424</v>
      </c>
      <c r="E2806" s="182"/>
      <c r="F2806" s="196">
        <v>2016</v>
      </c>
      <c r="G2806" s="182"/>
      <c r="H2806" s="196" t="s">
        <v>1878</v>
      </c>
      <c r="I2806" s="184" t="s">
        <v>1879</v>
      </c>
      <c r="J2806" s="182"/>
      <c r="K2806" s="196" t="s">
        <v>1881</v>
      </c>
      <c r="L2806" s="184" t="s">
        <v>13696</v>
      </c>
      <c r="M2806" s="196">
        <v>496</v>
      </c>
      <c r="N2806" s="182"/>
      <c r="O2806" s="257" t="s">
        <v>12044</v>
      </c>
      <c r="P2806" s="17">
        <v>408</v>
      </c>
      <c r="Q2806" s="245">
        <f t="shared" si="158"/>
        <v>2.8599999999999994</v>
      </c>
      <c r="R2806" s="245">
        <v>2.2000000000000002</v>
      </c>
      <c r="S2806" s="199">
        <v>5.0599999999999996</v>
      </c>
      <c r="T2806" s="199"/>
      <c r="W2806" s="199"/>
      <c r="X2806" s="275"/>
      <c r="Y2806" s="275"/>
      <c r="Z2806" s="275"/>
      <c r="AA2806" s="275"/>
      <c r="AB2806" s="275"/>
      <c r="AC2806" s="275"/>
      <c r="AD2806" s="275"/>
      <c r="AE2806" s="198"/>
      <c r="AF2806" s="198"/>
      <c r="AG2806" s="198"/>
      <c r="AI2806" s="198"/>
      <c r="AJ2806" s="198"/>
      <c r="AK2806" s="198"/>
      <c r="AL2806" s="198"/>
    </row>
    <row r="2807" spans="1:38" x14ac:dyDescent="0.25">
      <c r="A2807" s="196">
        <v>1327</v>
      </c>
      <c r="B2807" s="196" t="s">
        <v>13697</v>
      </c>
      <c r="C2807" s="196" t="s">
        <v>13698</v>
      </c>
      <c r="D2807" s="196"/>
      <c r="E2807" s="196" t="s">
        <v>2032</v>
      </c>
      <c r="F2807" s="196">
        <v>2015</v>
      </c>
      <c r="G2807" s="182"/>
      <c r="H2807" s="196" t="s">
        <v>1878</v>
      </c>
      <c r="I2807" s="184" t="s">
        <v>1879</v>
      </c>
      <c r="J2807" s="182"/>
      <c r="K2807" s="196" t="s">
        <v>1881</v>
      </c>
      <c r="L2807" s="184" t="s">
        <v>13699</v>
      </c>
      <c r="M2807" s="196">
        <v>124</v>
      </c>
      <c r="N2807" s="182"/>
      <c r="O2807" s="257" t="s">
        <v>12045</v>
      </c>
      <c r="P2807" s="17">
        <v>163</v>
      </c>
      <c r="Q2807" s="245">
        <f t="shared" si="158"/>
        <v>4.59</v>
      </c>
      <c r="R2807" s="245">
        <v>2.2000000000000002</v>
      </c>
      <c r="S2807" s="199">
        <v>6.79</v>
      </c>
      <c r="T2807" s="199"/>
      <c r="W2807" s="199"/>
      <c r="X2807" s="275"/>
      <c r="Y2807" s="275"/>
      <c r="Z2807" s="275"/>
      <c r="AA2807" s="275"/>
      <c r="AB2807" s="275"/>
      <c r="AC2807" s="275"/>
      <c r="AD2807" s="275"/>
      <c r="AE2807" s="198"/>
      <c r="AF2807" s="198"/>
      <c r="AG2807" s="198"/>
      <c r="AI2807" s="198"/>
      <c r="AJ2807" s="198"/>
      <c r="AK2807" s="198"/>
      <c r="AL2807" s="198"/>
    </row>
    <row r="2808" spans="1:38" x14ac:dyDescent="0.25">
      <c r="A2808" s="196">
        <v>2518</v>
      </c>
      <c r="B2808" s="196" t="s">
        <v>13700</v>
      </c>
      <c r="C2808" s="196" t="s">
        <v>13701</v>
      </c>
      <c r="D2808" s="196" t="s">
        <v>1920</v>
      </c>
      <c r="E2808" s="196" t="s">
        <v>1913</v>
      </c>
      <c r="F2808" s="196">
        <v>2015</v>
      </c>
      <c r="G2808" s="182"/>
      <c r="H2808" s="196" t="s">
        <v>1878</v>
      </c>
      <c r="I2808" s="184" t="s">
        <v>1879</v>
      </c>
      <c r="J2808" s="182"/>
      <c r="K2808" s="196" t="s">
        <v>1881</v>
      </c>
      <c r="L2808" s="184" t="s">
        <v>13702</v>
      </c>
      <c r="M2808" s="196">
        <v>512</v>
      </c>
      <c r="N2808" s="182"/>
      <c r="O2808" s="257" t="s">
        <v>12046</v>
      </c>
      <c r="P2808" s="17">
        <v>446</v>
      </c>
      <c r="Q2808" s="245">
        <f t="shared" si="158"/>
        <v>5.05</v>
      </c>
      <c r="R2808" s="245">
        <v>2.2000000000000002</v>
      </c>
      <c r="S2808" s="199">
        <v>7.25</v>
      </c>
      <c r="T2808" s="199"/>
      <c r="W2808" s="199"/>
      <c r="X2808" s="275"/>
      <c r="Y2808" s="275"/>
      <c r="Z2808" s="275"/>
      <c r="AA2808" s="275"/>
      <c r="AB2808" s="275"/>
      <c r="AC2808" s="275"/>
      <c r="AD2808" s="275"/>
      <c r="AE2808" s="198"/>
      <c r="AF2808" s="198"/>
      <c r="AG2808" s="198"/>
      <c r="AI2808" s="198"/>
      <c r="AJ2808" s="198"/>
      <c r="AK2808" s="198"/>
      <c r="AL2808" s="198"/>
    </row>
    <row r="2809" spans="1:38" x14ac:dyDescent="0.25">
      <c r="A2809" s="196">
        <v>1327</v>
      </c>
      <c r="B2809" s="196" t="s">
        <v>13703</v>
      </c>
      <c r="C2809" s="196" t="s">
        <v>13704</v>
      </c>
      <c r="D2809" s="196" t="s">
        <v>2609</v>
      </c>
      <c r="E2809" s="182"/>
      <c r="F2809" s="196">
        <v>2003</v>
      </c>
      <c r="G2809" s="182"/>
      <c r="H2809" s="196" t="s">
        <v>1878</v>
      </c>
      <c r="I2809" s="184" t="s">
        <v>1914</v>
      </c>
      <c r="J2809" s="182"/>
      <c r="K2809" s="196" t="s">
        <v>1881</v>
      </c>
      <c r="L2809" s="184" t="s">
        <v>13705</v>
      </c>
      <c r="M2809" s="196">
        <v>384</v>
      </c>
      <c r="N2809" s="182"/>
      <c r="O2809" s="257" t="s">
        <v>12047</v>
      </c>
      <c r="P2809" s="17">
        <v>335</v>
      </c>
      <c r="Q2809" s="245">
        <f t="shared" si="158"/>
        <v>1.29</v>
      </c>
      <c r="R2809" s="245">
        <v>2.2000000000000002</v>
      </c>
      <c r="S2809" s="199">
        <v>3.49</v>
      </c>
      <c r="T2809" s="199"/>
      <c r="W2809" s="199"/>
      <c r="X2809" s="275"/>
      <c r="Y2809" s="275"/>
      <c r="Z2809" s="275"/>
      <c r="AA2809" s="275"/>
      <c r="AB2809" s="275"/>
      <c r="AC2809" s="275"/>
      <c r="AD2809" s="275"/>
      <c r="AE2809" s="198"/>
      <c r="AF2809" s="198"/>
      <c r="AG2809" s="198"/>
      <c r="AI2809" s="198"/>
      <c r="AJ2809" s="198"/>
      <c r="AK2809" s="198"/>
      <c r="AL2809" s="198"/>
    </row>
    <row r="2810" spans="1:38" x14ac:dyDescent="0.25">
      <c r="A2810" s="196">
        <v>1327</v>
      </c>
      <c r="B2810" s="196" t="s">
        <v>3262</v>
      </c>
      <c r="C2810" s="196" t="s">
        <v>3263</v>
      </c>
      <c r="D2810" s="196" t="s">
        <v>2609</v>
      </c>
      <c r="E2810" s="196" t="s">
        <v>1877</v>
      </c>
      <c r="F2810" s="196">
        <v>2006</v>
      </c>
      <c r="G2810" s="182"/>
      <c r="H2810" s="196" t="s">
        <v>1878</v>
      </c>
      <c r="I2810" s="184" t="s">
        <v>1879</v>
      </c>
      <c r="J2810" s="182"/>
      <c r="K2810" s="196" t="s">
        <v>1881</v>
      </c>
      <c r="L2810" s="184" t="s">
        <v>3264</v>
      </c>
      <c r="M2810" s="196">
        <v>560</v>
      </c>
      <c r="N2810" s="182"/>
      <c r="O2810" s="257" t="s">
        <v>12048</v>
      </c>
      <c r="P2810" s="17">
        <v>426</v>
      </c>
      <c r="Q2810" s="245">
        <f t="shared" si="158"/>
        <v>2.8</v>
      </c>
      <c r="R2810" s="245">
        <v>2.2000000000000002</v>
      </c>
      <c r="S2810" s="199">
        <v>5</v>
      </c>
      <c r="T2810" s="199"/>
      <c r="W2810" s="199"/>
      <c r="X2810" s="275"/>
      <c r="Y2810" s="275"/>
      <c r="Z2810" s="275"/>
      <c r="AA2810" s="275"/>
      <c r="AB2810" s="275"/>
      <c r="AC2810" s="275"/>
      <c r="AD2810" s="275"/>
      <c r="AE2810" s="198"/>
      <c r="AF2810" s="198"/>
      <c r="AG2810" s="198"/>
      <c r="AI2810" s="198"/>
      <c r="AJ2810" s="198"/>
      <c r="AK2810" s="198"/>
      <c r="AL2810" s="198"/>
    </row>
    <row r="2811" spans="1:38" x14ac:dyDescent="0.25">
      <c r="A2811" s="196">
        <v>2518</v>
      </c>
      <c r="B2811" s="196" t="s">
        <v>3301</v>
      </c>
      <c r="C2811" s="196" t="s">
        <v>13706</v>
      </c>
      <c r="D2811" s="196" t="s">
        <v>9192</v>
      </c>
      <c r="E2811" s="196" t="s">
        <v>1877</v>
      </c>
      <c r="F2811" s="196">
        <v>2009</v>
      </c>
      <c r="G2811" s="182"/>
      <c r="H2811" s="196" t="s">
        <v>1878</v>
      </c>
      <c r="I2811" s="184" t="s">
        <v>1879</v>
      </c>
      <c r="J2811" s="182"/>
      <c r="K2811" s="196" t="s">
        <v>1881</v>
      </c>
      <c r="L2811" s="184" t="s">
        <v>13707</v>
      </c>
      <c r="M2811" s="196">
        <v>384</v>
      </c>
      <c r="N2811" s="182"/>
      <c r="O2811" s="257" t="s">
        <v>12049</v>
      </c>
      <c r="P2811" s="17">
        <v>330</v>
      </c>
      <c r="Q2811" s="245">
        <f t="shared" si="158"/>
        <v>1.1399999999999997</v>
      </c>
      <c r="R2811" s="245">
        <v>2.2000000000000002</v>
      </c>
      <c r="S2811" s="199">
        <v>3.34</v>
      </c>
      <c r="T2811" s="199"/>
      <c r="W2811" s="199"/>
      <c r="X2811" s="275"/>
      <c r="Y2811" s="275"/>
      <c r="Z2811" s="275"/>
      <c r="AA2811" s="275"/>
      <c r="AB2811" s="275"/>
      <c r="AC2811" s="275"/>
      <c r="AD2811" s="275"/>
      <c r="AE2811" s="198"/>
      <c r="AF2811" s="198"/>
      <c r="AG2811" s="198"/>
      <c r="AI2811" s="198"/>
      <c r="AJ2811" s="198"/>
      <c r="AK2811" s="198"/>
      <c r="AL2811" s="198"/>
    </row>
    <row r="2812" spans="1:38" x14ac:dyDescent="0.25">
      <c r="A2812" s="196">
        <v>1913</v>
      </c>
      <c r="B2812" s="196" t="s">
        <v>13708</v>
      </c>
      <c r="C2812" s="196" t="s">
        <v>13709</v>
      </c>
      <c r="D2812" s="196" t="s">
        <v>2209</v>
      </c>
      <c r="F2812" s="196">
        <v>2008</v>
      </c>
      <c r="H2812" s="196" t="s">
        <v>1878</v>
      </c>
      <c r="I2812" s="16" t="s">
        <v>1914</v>
      </c>
      <c r="J2812" s="54" t="s">
        <v>3854</v>
      </c>
      <c r="K2812" s="196" t="s">
        <v>1881</v>
      </c>
      <c r="L2812" s="16" t="s">
        <v>13710</v>
      </c>
      <c r="M2812" s="196">
        <v>512</v>
      </c>
      <c r="O2812" s="257" t="s">
        <v>12050</v>
      </c>
      <c r="P2812" s="17">
        <v>362</v>
      </c>
      <c r="Q2812" s="245">
        <f t="shared" si="158"/>
        <v>0.54</v>
      </c>
      <c r="R2812" s="245">
        <v>2.2000000000000002</v>
      </c>
      <c r="S2812" s="18">
        <v>2.74</v>
      </c>
    </row>
    <row r="2813" spans="1:38" x14ac:dyDescent="0.25">
      <c r="A2813" s="196">
        <v>796</v>
      </c>
      <c r="B2813" s="196" t="s">
        <v>13711</v>
      </c>
      <c r="C2813" s="196" t="s">
        <v>13712</v>
      </c>
      <c r="D2813" s="196" t="s">
        <v>2609</v>
      </c>
      <c r="F2813" s="196">
        <v>2015</v>
      </c>
      <c r="H2813" s="196" t="s">
        <v>1878</v>
      </c>
      <c r="I2813" s="184" t="s">
        <v>1914</v>
      </c>
      <c r="J2813" s="54" t="s">
        <v>3854</v>
      </c>
      <c r="K2813" s="196" t="s">
        <v>1881</v>
      </c>
      <c r="L2813" s="16" t="s">
        <v>13713</v>
      </c>
      <c r="M2813" s="196">
        <v>528</v>
      </c>
      <c r="O2813" s="257" t="s">
        <v>12051</v>
      </c>
      <c r="P2813" s="17">
        <v>467</v>
      </c>
      <c r="Q2813" s="245">
        <f t="shared" si="158"/>
        <v>0.94999999999999973</v>
      </c>
      <c r="R2813" s="245">
        <v>2.2000000000000002</v>
      </c>
      <c r="S2813" s="18">
        <v>3.15</v>
      </c>
    </row>
    <row r="2814" spans="1:38" x14ac:dyDescent="0.25">
      <c r="A2814" s="196">
        <v>632</v>
      </c>
      <c r="B2814" s="196" t="s">
        <v>3832</v>
      </c>
      <c r="C2814" s="196" t="s">
        <v>7832</v>
      </c>
      <c r="D2814" s="196" t="s">
        <v>1920</v>
      </c>
      <c r="E2814" s="196" t="s">
        <v>1913</v>
      </c>
      <c r="F2814" s="196">
        <v>2004</v>
      </c>
      <c r="H2814" s="196" t="s">
        <v>1878</v>
      </c>
      <c r="I2814" s="16" t="s">
        <v>1914</v>
      </c>
      <c r="K2814" s="196" t="s">
        <v>1881</v>
      </c>
      <c r="L2814" s="16" t="s">
        <v>13714</v>
      </c>
      <c r="M2814" s="196">
        <v>576</v>
      </c>
      <c r="O2814" s="257" t="s">
        <v>12052</v>
      </c>
      <c r="P2814" s="17">
        <v>482</v>
      </c>
      <c r="Q2814" s="245">
        <f t="shared" si="158"/>
        <v>1.1999999999999997</v>
      </c>
      <c r="R2814" s="245">
        <v>2.2000000000000002</v>
      </c>
      <c r="S2814" s="18">
        <v>3.4</v>
      </c>
    </row>
    <row r="2815" spans="1:38" x14ac:dyDescent="0.25">
      <c r="A2815" s="196">
        <v>632</v>
      </c>
      <c r="B2815" s="196" t="s">
        <v>4109</v>
      </c>
      <c r="C2815" s="196" t="s">
        <v>13715</v>
      </c>
      <c r="D2815" s="196" t="s">
        <v>2609</v>
      </c>
      <c r="E2815" s="196" t="s">
        <v>1877</v>
      </c>
      <c r="F2815" s="196">
        <v>2001</v>
      </c>
      <c r="H2815" s="196" t="s">
        <v>1878</v>
      </c>
      <c r="I2815" s="16" t="s">
        <v>1914</v>
      </c>
      <c r="K2815" s="196" t="s">
        <v>1881</v>
      </c>
      <c r="L2815" s="16" t="s">
        <v>4112</v>
      </c>
      <c r="M2815" s="196">
        <v>576</v>
      </c>
      <c r="O2815" s="257" t="s">
        <v>12053</v>
      </c>
      <c r="P2815" s="17">
        <v>498</v>
      </c>
      <c r="Q2815" s="245">
        <f t="shared" si="158"/>
        <v>2.0099999999999998</v>
      </c>
      <c r="R2815" s="245">
        <v>2.2000000000000002</v>
      </c>
      <c r="S2815" s="18">
        <v>4.21</v>
      </c>
    </row>
    <row r="2816" spans="1:38" x14ac:dyDescent="0.25">
      <c r="A2816" s="196">
        <v>692</v>
      </c>
      <c r="B2816" s="196" t="s">
        <v>13716</v>
      </c>
      <c r="C2816" s="196" t="s">
        <v>13717</v>
      </c>
      <c r="D2816" s="196" t="s">
        <v>2209</v>
      </c>
      <c r="F2816" s="196">
        <v>2016</v>
      </c>
      <c r="H2816" s="196" t="s">
        <v>1878</v>
      </c>
      <c r="I2816" s="184" t="s">
        <v>1914</v>
      </c>
      <c r="J2816" s="182"/>
      <c r="K2816" s="196" t="s">
        <v>1881</v>
      </c>
      <c r="L2816" s="16" t="s">
        <v>13718</v>
      </c>
      <c r="M2816" s="196">
        <v>464</v>
      </c>
      <c r="O2816" s="257" t="s">
        <v>12054</v>
      </c>
      <c r="P2816" s="17">
        <v>415</v>
      </c>
      <c r="Q2816" s="245">
        <f t="shared" si="158"/>
        <v>1.8999999999999995</v>
      </c>
      <c r="R2816" s="245">
        <v>2.2000000000000002</v>
      </c>
      <c r="S2816" s="18">
        <v>4.0999999999999996</v>
      </c>
    </row>
    <row r="2817" spans="1:19" x14ac:dyDescent="0.25">
      <c r="A2817" s="196">
        <v>2522</v>
      </c>
      <c r="B2817" s="196" t="s">
        <v>13719</v>
      </c>
      <c r="C2817" s="196" t="s">
        <v>13720</v>
      </c>
      <c r="D2817" s="196" t="s">
        <v>2609</v>
      </c>
      <c r="E2817" s="196" t="s">
        <v>2922</v>
      </c>
      <c r="F2817" s="196">
        <v>2014</v>
      </c>
      <c r="H2817" s="196" t="s">
        <v>1878</v>
      </c>
      <c r="I2817" s="16" t="s">
        <v>1879</v>
      </c>
      <c r="K2817" s="196" t="s">
        <v>1881</v>
      </c>
      <c r="L2817" s="16" t="s">
        <v>13721</v>
      </c>
      <c r="M2817" s="196">
        <v>592</v>
      </c>
      <c r="O2817" s="257" t="s">
        <v>12055</v>
      </c>
      <c r="P2817" s="17">
        <v>520</v>
      </c>
      <c r="Q2817" s="245">
        <f t="shared" si="158"/>
        <v>2.0099999999999998</v>
      </c>
      <c r="R2817" s="245">
        <v>2.2000000000000002</v>
      </c>
      <c r="S2817" s="18">
        <v>4.21</v>
      </c>
    </row>
    <row r="2818" spans="1:19" x14ac:dyDescent="0.25">
      <c r="A2818" s="196">
        <v>2518</v>
      </c>
      <c r="B2818" s="196" t="s">
        <v>13722</v>
      </c>
      <c r="C2818" s="196" t="s">
        <v>13723</v>
      </c>
      <c r="D2818" s="196" t="s">
        <v>6393</v>
      </c>
      <c r="F2818" s="196">
        <v>2011</v>
      </c>
      <c r="H2818" s="196" t="s">
        <v>1878</v>
      </c>
      <c r="I2818" s="184" t="s">
        <v>1879</v>
      </c>
      <c r="J2818" s="182"/>
      <c r="K2818" s="196" t="s">
        <v>1881</v>
      </c>
      <c r="L2818" s="16" t="s">
        <v>13724</v>
      </c>
      <c r="M2818" s="196">
        <v>272</v>
      </c>
      <c r="O2818" s="257" t="s">
        <v>12056</v>
      </c>
      <c r="P2818" s="17">
        <v>327</v>
      </c>
      <c r="Q2818" s="245">
        <f t="shared" si="158"/>
        <v>1.9100000000000001</v>
      </c>
      <c r="R2818" s="245">
        <v>2.2000000000000002</v>
      </c>
      <c r="S2818" s="18">
        <v>4.1100000000000003</v>
      </c>
    </row>
    <row r="2819" spans="1:19" x14ac:dyDescent="0.25">
      <c r="A2819" s="196">
        <v>796</v>
      </c>
      <c r="B2819" s="196" t="s">
        <v>10233</v>
      </c>
      <c r="C2819" s="196" t="s">
        <v>13725</v>
      </c>
      <c r="D2819" s="196" t="s">
        <v>2609</v>
      </c>
      <c r="E2819" s="196" t="s">
        <v>1899</v>
      </c>
      <c r="F2819" s="196">
        <v>2003</v>
      </c>
      <c r="H2819" s="196" t="s">
        <v>1878</v>
      </c>
      <c r="I2819" s="184" t="s">
        <v>1879</v>
      </c>
      <c r="J2819" s="182"/>
      <c r="K2819" s="196" t="s">
        <v>1881</v>
      </c>
      <c r="L2819" s="16" t="s">
        <v>13726</v>
      </c>
      <c r="M2819" s="196">
        <v>320</v>
      </c>
      <c r="O2819" s="257" t="s">
        <v>12057</v>
      </c>
      <c r="P2819" s="17">
        <v>284</v>
      </c>
      <c r="Q2819" s="245">
        <f t="shared" si="158"/>
        <v>0.87999999999999989</v>
      </c>
      <c r="R2819" s="245">
        <v>2.2000000000000002</v>
      </c>
      <c r="S2819" s="18">
        <v>3.08</v>
      </c>
    </row>
    <row r="2820" spans="1:19" x14ac:dyDescent="0.25">
      <c r="A2820" s="196">
        <v>2522</v>
      </c>
      <c r="B2820" s="196" t="s">
        <v>9082</v>
      </c>
      <c r="C2820" s="196" t="s">
        <v>13727</v>
      </c>
      <c r="D2820" s="196" t="s">
        <v>1886</v>
      </c>
      <c r="E2820" s="196" t="s">
        <v>3053</v>
      </c>
      <c r="F2820" s="196">
        <v>2009</v>
      </c>
      <c r="H2820" s="196" t="s">
        <v>1878</v>
      </c>
      <c r="I2820" s="184" t="s">
        <v>1879</v>
      </c>
      <c r="J2820" s="182"/>
      <c r="K2820" s="196" t="s">
        <v>1881</v>
      </c>
      <c r="L2820" s="16" t="s">
        <v>13728</v>
      </c>
      <c r="M2820" s="196">
        <v>400</v>
      </c>
      <c r="O2820" s="257" t="s">
        <v>12058</v>
      </c>
      <c r="P2820" s="17">
        <v>358</v>
      </c>
      <c r="Q2820" s="245">
        <f t="shared" si="158"/>
        <v>1.83</v>
      </c>
      <c r="R2820" s="245">
        <v>2.2000000000000002</v>
      </c>
      <c r="S2820" s="18">
        <v>4.03</v>
      </c>
    </row>
    <row r="2821" spans="1:19" x14ac:dyDescent="0.25">
      <c r="A2821" s="196">
        <v>2522</v>
      </c>
      <c r="B2821" s="196" t="s">
        <v>9180</v>
      </c>
      <c r="C2821" s="196" t="s">
        <v>13729</v>
      </c>
      <c r="D2821" s="196" t="s">
        <v>1912</v>
      </c>
      <c r="F2821" s="196">
        <v>1997</v>
      </c>
      <c r="H2821" s="196" t="s">
        <v>1878</v>
      </c>
      <c r="I2821" s="184" t="s">
        <v>1914</v>
      </c>
      <c r="J2821" s="54" t="s">
        <v>3854</v>
      </c>
      <c r="K2821" s="196" t="s">
        <v>1881</v>
      </c>
      <c r="L2821" s="16" t="s">
        <v>13730</v>
      </c>
      <c r="M2821" s="196">
        <v>512</v>
      </c>
      <c r="O2821" s="257" t="s">
        <v>12059</v>
      </c>
      <c r="P2821" s="17">
        <v>352</v>
      </c>
      <c r="Q2821" s="245">
        <f t="shared" si="158"/>
        <v>2.7800000000000002</v>
      </c>
      <c r="R2821" s="245">
        <v>2.2000000000000002</v>
      </c>
      <c r="S2821" s="18">
        <v>4.9800000000000004</v>
      </c>
    </row>
    <row r="2822" spans="1:19" x14ac:dyDescent="0.25">
      <c r="A2822" s="196">
        <v>2522</v>
      </c>
      <c r="B2822" s="196" t="s">
        <v>13731</v>
      </c>
      <c r="C2822" s="196" t="s">
        <v>13732</v>
      </c>
      <c r="D2822" s="196" t="s">
        <v>1920</v>
      </c>
      <c r="F2822" s="196">
        <v>2013</v>
      </c>
      <c r="H2822" s="196" t="s">
        <v>1878</v>
      </c>
      <c r="I2822" s="184" t="s">
        <v>1879</v>
      </c>
      <c r="J2822" s="182"/>
      <c r="K2822" s="196" t="s">
        <v>1881</v>
      </c>
      <c r="L2822" s="16" t="s">
        <v>13733</v>
      </c>
      <c r="M2822" s="196">
        <v>400</v>
      </c>
      <c r="O2822" s="257" t="s">
        <v>12060</v>
      </c>
      <c r="P2822" s="17">
        <v>405</v>
      </c>
      <c r="Q2822" s="245">
        <f t="shared" si="158"/>
        <v>2.0199999999999996</v>
      </c>
      <c r="R2822" s="245">
        <v>2.2000000000000002</v>
      </c>
      <c r="S2822" s="18">
        <v>4.22</v>
      </c>
    </row>
    <row r="2823" spans="1:19" x14ac:dyDescent="0.25">
      <c r="A2823" s="196">
        <v>2522</v>
      </c>
      <c r="B2823" s="196" t="s">
        <v>2191</v>
      </c>
      <c r="C2823" s="196" t="s">
        <v>2334</v>
      </c>
      <c r="D2823" s="196" t="s">
        <v>1912</v>
      </c>
      <c r="E2823" s="196" t="s">
        <v>1899</v>
      </c>
      <c r="F2823" s="196">
        <v>2011</v>
      </c>
      <c r="H2823" s="196" t="s">
        <v>1878</v>
      </c>
      <c r="I2823" s="184" t="s">
        <v>1879</v>
      </c>
      <c r="J2823" s="54" t="s">
        <v>3854</v>
      </c>
      <c r="K2823" s="196" t="s">
        <v>1881</v>
      </c>
      <c r="L2823" s="16" t="s">
        <v>13734</v>
      </c>
      <c r="M2823" s="196">
        <v>432</v>
      </c>
      <c r="O2823" s="257" t="s">
        <v>12061</v>
      </c>
      <c r="P2823" s="17">
        <v>353</v>
      </c>
      <c r="Q2823" s="245">
        <f t="shared" si="158"/>
        <v>1.4</v>
      </c>
      <c r="R2823" s="245">
        <v>2.2000000000000002</v>
      </c>
      <c r="S2823" s="18">
        <v>3.6</v>
      </c>
    </row>
    <row r="2824" spans="1:19" x14ac:dyDescent="0.25">
      <c r="A2824" s="196">
        <v>852</v>
      </c>
      <c r="B2824" s="196" t="s">
        <v>13735</v>
      </c>
      <c r="C2824" s="196" t="s">
        <v>13736</v>
      </c>
      <c r="D2824" s="196" t="s">
        <v>1920</v>
      </c>
      <c r="F2824" s="196">
        <v>2005</v>
      </c>
      <c r="H2824" s="196" t="s">
        <v>1878</v>
      </c>
      <c r="I2824" s="184" t="s">
        <v>1879</v>
      </c>
      <c r="K2824" s="196" t="s">
        <v>1881</v>
      </c>
      <c r="L2824" s="16" t="s">
        <v>13737</v>
      </c>
      <c r="M2824" s="196">
        <v>208</v>
      </c>
      <c r="O2824" s="257" t="s">
        <v>12062</v>
      </c>
      <c r="P2824" s="17">
        <v>235</v>
      </c>
      <c r="Q2824" s="245">
        <f t="shared" si="158"/>
        <v>1.7399999999999998</v>
      </c>
      <c r="R2824" s="245">
        <v>2.2000000000000002</v>
      </c>
      <c r="S2824" s="18">
        <v>3.94</v>
      </c>
    </row>
    <row r="2825" spans="1:19" x14ac:dyDescent="0.25">
      <c r="A2825" s="196">
        <v>796</v>
      </c>
      <c r="B2825" s="196" t="s">
        <v>13738</v>
      </c>
      <c r="C2825" s="196" t="s">
        <v>13739</v>
      </c>
      <c r="D2825" s="196" t="s">
        <v>3077</v>
      </c>
      <c r="E2825" s="196" t="s">
        <v>1913</v>
      </c>
      <c r="F2825" s="196">
        <v>2010</v>
      </c>
      <c r="H2825" s="196" t="s">
        <v>1878</v>
      </c>
      <c r="I2825" s="184" t="s">
        <v>1879</v>
      </c>
      <c r="J2825" s="182"/>
      <c r="K2825" s="196" t="s">
        <v>1881</v>
      </c>
      <c r="L2825" s="16" t="s">
        <v>13740</v>
      </c>
      <c r="M2825" s="196">
        <v>512</v>
      </c>
      <c r="O2825" s="257" t="s">
        <v>12063</v>
      </c>
      <c r="P2825" s="17">
        <v>400</v>
      </c>
      <c r="Q2825" s="245">
        <f t="shared" si="158"/>
        <v>1.6599999999999997</v>
      </c>
      <c r="R2825" s="245">
        <v>2.2000000000000002</v>
      </c>
      <c r="S2825" s="18">
        <v>3.86</v>
      </c>
    </row>
    <row r="2826" spans="1:19" x14ac:dyDescent="0.25">
      <c r="A2826" s="196">
        <v>1374</v>
      </c>
      <c r="B2826" s="196" t="s">
        <v>13741</v>
      </c>
      <c r="C2826" s="196" t="s">
        <v>13742</v>
      </c>
      <c r="D2826" s="196" t="s">
        <v>1912</v>
      </c>
      <c r="E2826" s="196" t="s">
        <v>1913</v>
      </c>
      <c r="F2826" s="196">
        <v>2012</v>
      </c>
      <c r="H2826" s="196" t="s">
        <v>1878</v>
      </c>
      <c r="I2826" s="184" t="s">
        <v>1879</v>
      </c>
      <c r="J2826" s="54" t="s">
        <v>3854</v>
      </c>
      <c r="K2826" s="196" t="s">
        <v>1881</v>
      </c>
      <c r="L2826" s="16" t="s">
        <v>13743</v>
      </c>
      <c r="M2826" s="196">
        <v>192</v>
      </c>
      <c r="O2826" s="257" t="s">
        <v>12064</v>
      </c>
      <c r="P2826" s="17">
        <v>164</v>
      </c>
      <c r="Q2826" s="245">
        <f t="shared" si="158"/>
        <v>2.41</v>
      </c>
      <c r="R2826" s="245">
        <v>2.2000000000000002</v>
      </c>
      <c r="S2826" s="18">
        <v>4.6100000000000003</v>
      </c>
    </row>
    <row r="2827" spans="1:19" x14ac:dyDescent="0.25">
      <c r="A2827" s="196">
        <v>852</v>
      </c>
      <c r="B2827" s="196" t="s">
        <v>4807</v>
      </c>
      <c r="C2827" s="196" t="s">
        <v>3084</v>
      </c>
      <c r="D2827" s="196" t="s">
        <v>2309</v>
      </c>
      <c r="E2827" s="196" t="s">
        <v>8240</v>
      </c>
      <c r="F2827" s="196">
        <v>2005</v>
      </c>
      <c r="H2827" s="196" t="s">
        <v>1878</v>
      </c>
      <c r="I2827" s="184" t="s">
        <v>1914</v>
      </c>
      <c r="K2827" s="196" t="s">
        <v>1881</v>
      </c>
      <c r="L2827" s="16" t="s">
        <v>4808</v>
      </c>
      <c r="M2827" s="196">
        <v>284</v>
      </c>
      <c r="O2827" s="257" t="s">
        <v>12065</v>
      </c>
      <c r="P2827" s="17">
        <v>245</v>
      </c>
      <c r="Q2827" s="245">
        <f t="shared" ref="Q2827:Q2867" si="159">S2827-R2827</f>
        <v>1.1999999999999997</v>
      </c>
      <c r="R2827" s="245">
        <v>2.2000000000000002</v>
      </c>
      <c r="S2827" s="18">
        <v>3.4</v>
      </c>
    </row>
    <row r="2828" spans="1:19" x14ac:dyDescent="0.25">
      <c r="A2828" s="196">
        <v>1327</v>
      </c>
      <c r="B2828" s="196" t="s">
        <v>13744</v>
      </c>
      <c r="C2828" s="196" t="s">
        <v>13745</v>
      </c>
      <c r="D2828" s="196" t="s">
        <v>2300</v>
      </c>
      <c r="E2828" s="196" t="s">
        <v>4697</v>
      </c>
      <c r="F2828" s="196">
        <v>2008</v>
      </c>
      <c r="H2828" s="196" t="s">
        <v>1878</v>
      </c>
      <c r="I2828" s="184" t="s">
        <v>1879</v>
      </c>
      <c r="J2828" s="196" t="s">
        <v>9495</v>
      </c>
      <c r="K2828" s="196" t="s">
        <v>1881</v>
      </c>
      <c r="L2828" s="16" t="s">
        <v>13746</v>
      </c>
      <c r="M2828" s="196">
        <v>720</v>
      </c>
      <c r="O2828" s="257" t="s">
        <v>12066</v>
      </c>
      <c r="P2828" s="17">
        <v>432</v>
      </c>
      <c r="Q2828" s="245">
        <f t="shared" si="159"/>
        <v>1.83</v>
      </c>
      <c r="R2828" s="245">
        <v>2.2000000000000002</v>
      </c>
      <c r="S2828" s="18">
        <v>4.03</v>
      </c>
    </row>
    <row r="2829" spans="1:19" x14ac:dyDescent="0.25">
      <c r="A2829" s="196">
        <v>2943</v>
      </c>
      <c r="B2829" s="196" t="s">
        <v>13747</v>
      </c>
      <c r="C2829" s="196" t="s">
        <v>13748</v>
      </c>
      <c r="D2829" s="196" t="s">
        <v>13749</v>
      </c>
      <c r="E2829" s="196" t="s">
        <v>1913</v>
      </c>
      <c r="F2829" s="196">
        <v>2009</v>
      </c>
      <c r="H2829" s="196" t="s">
        <v>1878</v>
      </c>
      <c r="I2829" s="184" t="s">
        <v>1879</v>
      </c>
      <c r="K2829" s="196" t="s">
        <v>1881</v>
      </c>
      <c r="L2829" s="16" t="s">
        <v>13750</v>
      </c>
      <c r="M2829" s="196">
        <v>82</v>
      </c>
      <c r="O2829" s="257" t="s">
        <v>12067</v>
      </c>
      <c r="P2829" s="17">
        <v>93</v>
      </c>
      <c r="Q2829" s="245">
        <f t="shared" si="159"/>
        <v>2.5199999999999996</v>
      </c>
      <c r="R2829" s="245">
        <v>2.2000000000000002</v>
      </c>
      <c r="S2829" s="18">
        <v>4.72</v>
      </c>
    </row>
    <row r="2830" spans="1:19" x14ac:dyDescent="0.25">
      <c r="A2830" s="196">
        <v>1327</v>
      </c>
      <c r="B2830" s="196" t="s">
        <v>3143</v>
      </c>
      <c r="C2830" s="196" t="s">
        <v>13751</v>
      </c>
      <c r="D2830" s="196" t="s">
        <v>2609</v>
      </c>
      <c r="F2830" s="196">
        <v>2011</v>
      </c>
      <c r="H2830" s="196" t="s">
        <v>1878</v>
      </c>
      <c r="I2830" s="184" t="s">
        <v>1879</v>
      </c>
      <c r="J2830" s="182"/>
      <c r="K2830" s="196" t="s">
        <v>1881</v>
      </c>
      <c r="L2830" s="16" t="s">
        <v>13752</v>
      </c>
      <c r="M2830" s="196">
        <v>384</v>
      </c>
      <c r="O2830" s="257" t="s">
        <v>12068</v>
      </c>
      <c r="P2830" s="17">
        <v>337</v>
      </c>
      <c r="Q2830" s="245">
        <f t="shared" si="159"/>
        <v>2</v>
      </c>
      <c r="R2830" s="245">
        <v>2.2000000000000002</v>
      </c>
      <c r="S2830" s="18">
        <v>4.2</v>
      </c>
    </row>
    <row r="2831" spans="1:19" x14ac:dyDescent="0.25">
      <c r="A2831" s="196">
        <v>1386</v>
      </c>
      <c r="B2831" s="196" t="s">
        <v>2456</v>
      </c>
      <c r="C2831" s="196" t="s">
        <v>8483</v>
      </c>
      <c r="D2831" s="196" t="s">
        <v>1912</v>
      </c>
      <c r="F2831" s="196">
        <v>1999</v>
      </c>
      <c r="H2831" s="196" t="s">
        <v>1878</v>
      </c>
      <c r="I2831" s="184" t="s">
        <v>1879</v>
      </c>
      <c r="J2831" s="182"/>
      <c r="K2831" s="196" t="s">
        <v>1881</v>
      </c>
      <c r="L2831" s="16" t="s">
        <v>10534</v>
      </c>
      <c r="M2831" s="196">
        <v>608</v>
      </c>
      <c r="O2831" s="257" t="s">
        <v>12069</v>
      </c>
      <c r="P2831" s="17">
        <v>395</v>
      </c>
      <c r="Q2831" s="245">
        <f t="shared" si="159"/>
        <v>1.19</v>
      </c>
      <c r="R2831" s="245">
        <v>2.2000000000000002</v>
      </c>
      <c r="S2831" s="18">
        <v>3.39</v>
      </c>
    </row>
    <row r="2832" spans="1:19" x14ac:dyDescent="0.25">
      <c r="A2832" s="281">
        <v>796</v>
      </c>
      <c r="B2832" s="282" t="s">
        <v>13893</v>
      </c>
      <c r="C2832" s="282" t="s">
        <v>13894</v>
      </c>
      <c r="D2832" s="282" t="s">
        <v>9032</v>
      </c>
      <c r="E2832" s="282" t="s">
        <v>1913</v>
      </c>
      <c r="F2832" s="282">
        <v>2008</v>
      </c>
      <c r="G2832" s="278"/>
      <c r="H2832" s="282" t="s">
        <v>1878</v>
      </c>
      <c r="I2832" s="279" t="s">
        <v>1914</v>
      </c>
      <c r="J2832" s="278"/>
      <c r="K2832" s="282" t="s">
        <v>1881</v>
      </c>
      <c r="L2832" s="279" t="s">
        <v>13895</v>
      </c>
      <c r="M2832" s="282">
        <v>462</v>
      </c>
      <c r="N2832" s="278"/>
      <c r="O2832" s="282" t="s">
        <v>12070</v>
      </c>
      <c r="P2832" s="280">
        <v>322</v>
      </c>
      <c r="Q2832" s="245">
        <f t="shared" si="159"/>
        <v>-2.2000000000000002</v>
      </c>
      <c r="R2832" s="245">
        <v>2.2000000000000002</v>
      </c>
    </row>
    <row r="2833" spans="1:34" x14ac:dyDescent="0.25">
      <c r="A2833" s="281">
        <v>1315</v>
      </c>
      <c r="B2833" s="282" t="s">
        <v>13896</v>
      </c>
      <c r="C2833" s="282" t="s">
        <v>13897</v>
      </c>
      <c r="D2833" s="282" t="s">
        <v>13898</v>
      </c>
      <c r="E2833" s="282" t="s">
        <v>1913</v>
      </c>
      <c r="F2833" s="282">
        <v>2003</v>
      </c>
      <c r="G2833" s="278"/>
      <c r="H2833" s="282" t="s">
        <v>2963</v>
      </c>
      <c r="I2833" s="279" t="s">
        <v>1914</v>
      </c>
      <c r="J2833" s="278"/>
      <c r="K2833" s="282" t="s">
        <v>1881</v>
      </c>
      <c r="L2833" s="279" t="s">
        <v>13899</v>
      </c>
      <c r="M2833" s="282">
        <v>215</v>
      </c>
      <c r="N2833" s="278"/>
      <c r="O2833" s="282" t="s">
        <v>12071</v>
      </c>
      <c r="P2833" s="280">
        <v>467</v>
      </c>
      <c r="Q2833" s="245">
        <f t="shared" si="159"/>
        <v>-2.2000000000000002</v>
      </c>
      <c r="R2833" s="245">
        <v>2.2000000000000002</v>
      </c>
    </row>
    <row r="2834" spans="1:34" x14ac:dyDescent="0.25">
      <c r="A2834" s="281">
        <v>1386</v>
      </c>
      <c r="B2834" s="282" t="s">
        <v>4074</v>
      </c>
      <c r="C2834" s="282" t="s">
        <v>13900</v>
      </c>
      <c r="D2834" s="282" t="s">
        <v>2232</v>
      </c>
      <c r="E2834" s="282" t="s">
        <v>1913</v>
      </c>
      <c r="F2834" s="282">
        <v>2007</v>
      </c>
      <c r="G2834" s="278"/>
      <c r="H2834" s="282" t="s">
        <v>1878</v>
      </c>
      <c r="I2834" s="279" t="s">
        <v>1879</v>
      </c>
      <c r="J2834" s="278"/>
      <c r="K2834" s="282" t="s">
        <v>1881</v>
      </c>
      <c r="L2834" s="279" t="s">
        <v>13901</v>
      </c>
      <c r="M2834" s="282">
        <v>427</v>
      </c>
      <c r="N2834" s="278"/>
      <c r="O2834" s="282" t="s">
        <v>12072</v>
      </c>
      <c r="P2834" s="280">
        <v>348</v>
      </c>
      <c r="Q2834" s="245">
        <f t="shared" si="159"/>
        <v>-2.2000000000000002</v>
      </c>
      <c r="R2834" s="245">
        <v>2.2000000000000002</v>
      </c>
    </row>
    <row r="2835" spans="1:34" x14ac:dyDescent="0.25">
      <c r="A2835" s="281">
        <v>1004</v>
      </c>
      <c r="B2835" s="282" t="s">
        <v>13902</v>
      </c>
      <c r="C2835" s="282" t="s">
        <v>13903</v>
      </c>
      <c r="D2835" s="282" t="s">
        <v>2644</v>
      </c>
      <c r="E2835" s="278"/>
      <c r="F2835" s="282">
        <v>2003</v>
      </c>
      <c r="G2835" s="278"/>
      <c r="H2835" s="282" t="s">
        <v>1878</v>
      </c>
      <c r="I2835" s="279" t="s">
        <v>1879</v>
      </c>
      <c r="J2835" s="278"/>
      <c r="K2835" s="282" t="s">
        <v>1881</v>
      </c>
      <c r="L2835" s="279" t="s">
        <v>13904</v>
      </c>
      <c r="M2835" s="282">
        <v>173</v>
      </c>
      <c r="N2835" s="278"/>
      <c r="O2835" s="282" t="s">
        <v>12073</v>
      </c>
      <c r="P2835" s="280">
        <v>154</v>
      </c>
      <c r="Q2835" s="245">
        <f t="shared" si="159"/>
        <v>-2.2000000000000002</v>
      </c>
      <c r="R2835" s="245">
        <v>2.2000000000000002</v>
      </c>
    </row>
    <row r="2836" spans="1:34" x14ac:dyDescent="0.25">
      <c r="A2836" s="281">
        <v>763</v>
      </c>
      <c r="B2836" s="282" t="s">
        <v>7603</v>
      </c>
      <c r="C2836" s="282" t="s">
        <v>13905</v>
      </c>
      <c r="D2836" s="282" t="s">
        <v>5926</v>
      </c>
      <c r="E2836" s="282" t="s">
        <v>2032</v>
      </c>
      <c r="F2836" s="282">
        <v>2002</v>
      </c>
      <c r="G2836" s="278"/>
      <c r="H2836" s="282" t="s">
        <v>1878</v>
      </c>
      <c r="I2836" s="279" t="s">
        <v>1879</v>
      </c>
      <c r="J2836" s="278"/>
      <c r="K2836" s="282" t="s">
        <v>1881</v>
      </c>
      <c r="L2836" s="279" t="s">
        <v>13906</v>
      </c>
      <c r="M2836" s="282">
        <v>191</v>
      </c>
      <c r="N2836" s="278"/>
      <c r="O2836" s="282" t="s">
        <v>12074</v>
      </c>
      <c r="P2836" s="280">
        <v>191</v>
      </c>
      <c r="Q2836" s="245">
        <f t="shared" si="159"/>
        <v>-2.2000000000000002</v>
      </c>
      <c r="R2836" s="245">
        <v>2.2000000000000002</v>
      </c>
    </row>
    <row r="2837" spans="1:34" x14ac:dyDescent="0.25">
      <c r="A2837" s="281">
        <v>2691</v>
      </c>
      <c r="B2837" s="282" t="s">
        <v>13907</v>
      </c>
      <c r="C2837" s="278"/>
      <c r="D2837" s="282" t="s">
        <v>13908</v>
      </c>
      <c r="E2837" s="282" t="s">
        <v>1899</v>
      </c>
      <c r="F2837" s="282">
        <v>2017</v>
      </c>
      <c r="G2837" s="278"/>
      <c r="H2837" s="282" t="s">
        <v>2963</v>
      </c>
      <c r="I2837" s="279" t="s">
        <v>1879</v>
      </c>
      <c r="J2837" s="278"/>
      <c r="K2837" s="282" t="s">
        <v>1881</v>
      </c>
      <c r="L2837" s="279" t="s">
        <v>13909</v>
      </c>
      <c r="M2837" s="282">
        <v>92</v>
      </c>
      <c r="N2837" s="278"/>
      <c r="O2837" s="282" t="s">
        <v>12075</v>
      </c>
      <c r="P2837" s="280">
        <v>227</v>
      </c>
      <c r="Q2837" s="245">
        <f t="shared" si="159"/>
        <v>-2.2000000000000002</v>
      </c>
      <c r="R2837" s="245">
        <v>2.2000000000000002</v>
      </c>
    </row>
    <row r="2838" spans="1:34" x14ac:dyDescent="0.25">
      <c r="A2838" s="281">
        <v>803</v>
      </c>
      <c r="B2838" s="282" t="s">
        <v>13910</v>
      </c>
      <c r="C2838" s="282" t="s">
        <v>13911</v>
      </c>
      <c r="D2838" s="282" t="s">
        <v>13912</v>
      </c>
      <c r="E2838" s="278"/>
      <c r="F2838" s="282">
        <v>2002</v>
      </c>
      <c r="G2838" s="278"/>
      <c r="H2838" s="282" t="s">
        <v>1878</v>
      </c>
      <c r="I2838" s="279" t="s">
        <v>1914</v>
      </c>
      <c r="J2838" s="278"/>
      <c r="K2838" s="282" t="s">
        <v>1881</v>
      </c>
      <c r="L2838" s="279" t="s">
        <v>13913</v>
      </c>
      <c r="M2838" s="282">
        <v>432</v>
      </c>
      <c r="N2838" s="278"/>
      <c r="O2838" s="282" t="s">
        <v>12076</v>
      </c>
      <c r="P2838" s="280">
        <v>594</v>
      </c>
      <c r="Q2838" s="245">
        <f t="shared" si="159"/>
        <v>-2.2000000000000002</v>
      </c>
      <c r="R2838" s="245">
        <v>2.2000000000000002</v>
      </c>
    </row>
    <row r="2839" spans="1:34" x14ac:dyDescent="0.25">
      <c r="A2839" s="281">
        <v>792</v>
      </c>
      <c r="B2839" s="282" t="s">
        <v>13914</v>
      </c>
      <c r="C2839" s="282" t="s">
        <v>13915</v>
      </c>
      <c r="D2839" s="282" t="s">
        <v>5926</v>
      </c>
      <c r="E2839" s="282" t="s">
        <v>1877</v>
      </c>
      <c r="F2839" s="282">
        <v>2007</v>
      </c>
      <c r="G2839" s="278"/>
      <c r="H2839" s="282" t="s">
        <v>1878</v>
      </c>
      <c r="I2839" s="279" t="s">
        <v>1879</v>
      </c>
      <c r="J2839" s="278"/>
      <c r="K2839" s="282" t="s">
        <v>1881</v>
      </c>
      <c r="L2839" s="279" t="s">
        <v>13916</v>
      </c>
      <c r="M2839" s="282">
        <v>154</v>
      </c>
      <c r="N2839" s="278"/>
      <c r="O2839" s="282" t="s">
        <v>12077</v>
      </c>
      <c r="P2839" s="280">
        <v>141</v>
      </c>
      <c r="Q2839" s="245">
        <f t="shared" si="159"/>
        <v>-2.2000000000000002</v>
      </c>
      <c r="R2839" s="245">
        <v>2.2000000000000002</v>
      </c>
    </row>
    <row r="2840" spans="1:34" x14ac:dyDescent="0.25">
      <c r="A2840" s="281">
        <v>658</v>
      </c>
      <c r="B2840" s="282" t="s">
        <v>13917</v>
      </c>
      <c r="C2840" s="282" t="s">
        <v>13918</v>
      </c>
      <c r="D2840" s="282" t="s">
        <v>3864</v>
      </c>
      <c r="E2840" s="282" t="s">
        <v>1899</v>
      </c>
      <c r="F2840" s="282">
        <v>2006</v>
      </c>
      <c r="G2840" s="278"/>
      <c r="H2840" s="282" t="s">
        <v>1878</v>
      </c>
      <c r="I2840" s="279" t="s">
        <v>1879</v>
      </c>
      <c r="J2840" s="278"/>
      <c r="K2840" s="282" t="s">
        <v>1881</v>
      </c>
      <c r="L2840" s="279" t="s">
        <v>13919</v>
      </c>
      <c r="M2840" s="282">
        <v>240</v>
      </c>
      <c r="N2840" s="278"/>
      <c r="O2840" s="282" t="s">
        <v>12078</v>
      </c>
      <c r="P2840" s="280">
        <v>309</v>
      </c>
      <c r="Q2840" s="245">
        <f t="shared" si="159"/>
        <v>-2.2000000000000002</v>
      </c>
      <c r="R2840" s="245">
        <v>2.2000000000000002</v>
      </c>
    </row>
    <row r="2841" spans="1:34" x14ac:dyDescent="0.25">
      <c r="A2841" s="281">
        <v>796</v>
      </c>
      <c r="B2841" s="282" t="s">
        <v>13920</v>
      </c>
      <c r="C2841" s="282" t="s">
        <v>13921</v>
      </c>
      <c r="D2841" s="282" t="s">
        <v>13922</v>
      </c>
      <c r="E2841" s="278"/>
      <c r="F2841" s="282">
        <v>2018</v>
      </c>
      <c r="G2841" s="278"/>
      <c r="H2841" s="282" t="s">
        <v>1878</v>
      </c>
      <c r="I2841" s="279" t="s">
        <v>1929</v>
      </c>
      <c r="J2841" s="278"/>
      <c r="K2841" s="282" t="s">
        <v>1881</v>
      </c>
      <c r="L2841" s="279" t="s">
        <v>13923</v>
      </c>
      <c r="M2841" s="282">
        <v>234</v>
      </c>
      <c r="N2841" s="278"/>
      <c r="O2841" s="282" t="s">
        <v>12079</v>
      </c>
      <c r="P2841" s="280">
        <v>288</v>
      </c>
      <c r="Q2841" s="245">
        <f t="shared" si="159"/>
        <v>-2.2000000000000002</v>
      </c>
      <c r="R2841" s="245">
        <v>2.2000000000000002</v>
      </c>
    </row>
    <row r="2842" spans="1:34" s="287" customFormat="1" x14ac:dyDescent="0.25">
      <c r="A2842" s="248">
        <v>1374</v>
      </c>
      <c r="B2842" s="284" t="s">
        <v>13831</v>
      </c>
      <c r="C2842" s="284" t="s">
        <v>13832</v>
      </c>
      <c r="D2842" s="284" t="s">
        <v>13392</v>
      </c>
      <c r="E2842" s="289"/>
      <c r="F2842" s="284">
        <v>1977</v>
      </c>
      <c r="G2842" s="289"/>
      <c r="H2842" s="284" t="s">
        <v>2963</v>
      </c>
      <c r="I2842" s="285" t="s">
        <v>1914</v>
      </c>
      <c r="J2842" s="289"/>
      <c r="K2842" s="284" t="s">
        <v>1881</v>
      </c>
      <c r="L2842" s="285" t="s">
        <v>13833</v>
      </c>
      <c r="M2842" s="284">
        <v>350</v>
      </c>
      <c r="N2842" s="289"/>
      <c r="O2842" s="284" t="s">
        <v>12080</v>
      </c>
      <c r="P2842" s="286">
        <v>486</v>
      </c>
      <c r="Q2842" s="292">
        <f t="shared" si="159"/>
        <v>1.9899999999999993</v>
      </c>
      <c r="R2842" s="292">
        <v>2.2000000000000002</v>
      </c>
      <c r="S2842" s="283">
        <f>1.79+2.4</f>
        <v>4.1899999999999995</v>
      </c>
      <c r="T2842" s="283"/>
      <c r="U2842" s="291"/>
      <c r="V2842" s="291"/>
      <c r="W2842" s="283"/>
      <c r="X2842" s="289"/>
      <c r="Y2842" s="289"/>
      <c r="Z2842" s="289"/>
      <c r="AA2842" s="289"/>
      <c r="AB2842" s="289"/>
      <c r="AC2842" s="289"/>
      <c r="AD2842" s="289"/>
      <c r="AH2842" s="288"/>
    </row>
    <row r="2843" spans="1:34" s="287" customFormat="1" x14ac:dyDescent="0.25">
      <c r="A2843" s="248">
        <v>581</v>
      </c>
      <c r="B2843" s="284" t="s">
        <v>13834</v>
      </c>
      <c r="C2843" s="284" t="s">
        <v>13835</v>
      </c>
      <c r="D2843" s="284" t="s">
        <v>2309</v>
      </c>
      <c r="E2843" s="289"/>
      <c r="F2843" s="284">
        <v>1965</v>
      </c>
      <c r="G2843" s="289"/>
      <c r="H2843" s="284" t="s">
        <v>2963</v>
      </c>
      <c r="I2843" s="285" t="s">
        <v>1914</v>
      </c>
      <c r="J2843" s="289"/>
      <c r="K2843" s="284" t="s">
        <v>1881</v>
      </c>
      <c r="L2843" s="289"/>
      <c r="M2843" s="284">
        <v>271</v>
      </c>
      <c r="N2843" s="289"/>
      <c r="O2843" s="284" t="s">
        <v>12081</v>
      </c>
      <c r="P2843" s="286">
        <v>619</v>
      </c>
      <c r="Q2843" s="292">
        <f t="shared" si="159"/>
        <v>2.4900000000000002</v>
      </c>
      <c r="R2843" s="292">
        <v>2.2000000000000002</v>
      </c>
      <c r="S2843" s="283">
        <v>4.6900000000000004</v>
      </c>
      <c r="T2843" s="283"/>
      <c r="U2843" s="291"/>
      <c r="V2843" s="291"/>
      <c r="W2843" s="283"/>
      <c r="X2843" s="289"/>
      <c r="Y2843" s="289"/>
      <c r="Z2843" s="289"/>
      <c r="AA2843" s="289"/>
      <c r="AB2843" s="289"/>
      <c r="AC2843" s="289"/>
      <c r="AD2843" s="289"/>
      <c r="AH2843" s="288"/>
    </row>
    <row r="2844" spans="1:34" s="287" customFormat="1" x14ac:dyDescent="0.25">
      <c r="A2844" s="248">
        <v>706</v>
      </c>
      <c r="B2844" s="284" t="s">
        <v>13836</v>
      </c>
      <c r="C2844" s="284" t="s">
        <v>13837</v>
      </c>
      <c r="D2844" s="289"/>
      <c r="E2844" s="289"/>
      <c r="F2844" s="284">
        <v>1952</v>
      </c>
      <c r="G2844" s="289"/>
      <c r="H2844" s="284" t="s">
        <v>2963</v>
      </c>
      <c r="I2844" s="285" t="s">
        <v>1914</v>
      </c>
      <c r="J2844" s="289"/>
      <c r="K2844" s="284" t="s">
        <v>1881</v>
      </c>
      <c r="L2844" s="289"/>
      <c r="M2844" s="284">
        <v>195</v>
      </c>
      <c r="N2844" s="289"/>
      <c r="O2844" s="284" t="s">
        <v>12082</v>
      </c>
      <c r="P2844" s="286">
        <v>327</v>
      </c>
      <c r="Q2844" s="292">
        <f t="shared" si="159"/>
        <v>4.2</v>
      </c>
      <c r="R2844" s="292">
        <v>2.2000000000000002</v>
      </c>
      <c r="S2844" s="283">
        <v>6.4</v>
      </c>
      <c r="T2844" s="283"/>
      <c r="U2844" s="291"/>
      <c r="V2844" s="291"/>
      <c r="W2844" s="283"/>
      <c r="X2844" s="289"/>
      <c r="Y2844" s="289"/>
      <c r="Z2844" s="289"/>
      <c r="AA2844" s="289"/>
      <c r="AB2844" s="289"/>
      <c r="AC2844" s="289"/>
      <c r="AD2844" s="289"/>
      <c r="AH2844" s="288"/>
    </row>
    <row r="2845" spans="1:34" s="287" customFormat="1" x14ac:dyDescent="0.25">
      <c r="A2845" s="248">
        <v>1374</v>
      </c>
      <c r="B2845" s="284" t="s">
        <v>13838</v>
      </c>
      <c r="C2845" s="284" t="s">
        <v>13839</v>
      </c>
      <c r="D2845" s="284" t="s">
        <v>13840</v>
      </c>
      <c r="E2845" s="289"/>
      <c r="F2845" s="289"/>
      <c r="G2845" s="284" t="s">
        <v>13841</v>
      </c>
      <c r="H2845" s="284" t="s">
        <v>2963</v>
      </c>
      <c r="I2845" s="285" t="s">
        <v>1914</v>
      </c>
      <c r="J2845" s="289"/>
      <c r="K2845" s="284" t="s">
        <v>1881</v>
      </c>
      <c r="L2845" s="289"/>
      <c r="M2845" s="284">
        <v>102</v>
      </c>
      <c r="N2845" s="289"/>
      <c r="O2845" s="284" t="s">
        <v>12083</v>
      </c>
      <c r="P2845" s="286">
        <v>167</v>
      </c>
      <c r="Q2845" s="292">
        <f t="shared" si="159"/>
        <v>4.3</v>
      </c>
      <c r="R2845" s="292">
        <v>2.2000000000000002</v>
      </c>
      <c r="S2845" s="283">
        <v>6.5</v>
      </c>
      <c r="T2845" s="283"/>
      <c r="U2845" s="291"/>
      <c r="V2845" s="291"/>
      <c r="W2845" s="283"/>
      <c r="X2845" s="289"/>
      <c r="Y2845" s="289"/>
      <c r="Z2845" s="289"/>
      <c r="AA2845" s="289"/>
      <c r="AB2845" s="289"/>
      <c r="AC2845" s="289"/>
      <c r="AD2845" s="289"/>
      <c r="AH2845" s="288"/>
    </row>
    <row r="2846" spans="1:34" s="287" customFormat="1" x14ac:dyDescent="0.25">
      <c r="A2846" s="248">
        <v>651</v>
      </c>
      <c r="B2846" s="284" t="s">
        <v>13842</v>
      </c>
      <c r="C2846" s="289"/>
      <c r="D2846" s="284" t="s">
        <v>13843</v>
      </c>
      <c r="E2846" s="284" t="s">
        <v>13844</v>
      </c>
      <c r="F2846" s="284">
        <v>1992</v>
      </c>
      <c r="G2846" s="284" t="s">
        <v>13845</v>
      </c>
      <c r="H2846" s="284" t="s">
        <v>2963</v>
      </c>
      <c r="I2846" s="285" t="s">
        <v>1879</v>
      </c>
      <c r="J2846" s="289"/>
      <c r="K2846" s="284" t="s">
        <v>1881</v>
      </c>
      <c r="L2846" s="285" t="s">
        <v>13846</v>
      </c>
      <c r="M2846" s="284">
        <v>63</v>
      </c>
      <c r="N2846" s="289"/>
      <c r="O2846" s="284" t="s">
        <v>12084</v>
      </c>
      <c r="P2846" s="286">
        <v>280</v>
      </c>
      <c r="Q2846" s="292">
        <f t="shared" si="159"/>
        <v>0.41999999999999993</v>
      </c>
      <c r="R2846" s="292">
        <v>2.2000000000000002</v>
      </c>
      <c r="S2846" s="283">
        <v>2.62</v>
      </c>
      <c r="T2846" s="283"/>
      <c r="U2846" s="291"/>
      <c r="V2846" s="291"/>
      <c r="W2846" s="283"/>
      <c r="X2846" s="289"/>
      <c r="Y2846" s="289"/>
      <c r="Z2846" s="289"/>
      <c r="AA2846" s="289"/>
      <c r="AB2846" s="289"/>
      <c r="AC2846" s="289"/>
      <c r="AD2846" s="289"/>
      <c r="AH2846" s="288"/>
    </row>
    <row r="2847" spans="1:34" s="287" customFormat="1" x14ac:dyDescent="0.25">
      <c r="A2847" s="248">
        <v>1327</v>
      </c>
      <c r="B2847" s="284" t="s">
        <v>13847</v>
      </c>
      <c r="C2847" s="284" t="s">
        <v>13848</v>
      </c>
      <c r="D2847" s="284" t="s">
        <v>13547</v>
      </c>
      <c r="E2847" s="289"/>
      <c r="F2847" s="289"/>
      <c r="G2847" s="289"/>
      <c r="H2847" s="284" t="s">
        <v>2963</v>
      </c>
      <c r="I2847" s="285" t="s">
        <v>1914</v>
      </c>
      <c r="J2847" s="289"/>
      <c r="K2847" s="284" t="s">
        <v>1881</v>
      </c>
      <c r="L2847" s="289"/>
      <c r="M2847" s="284">
        <v>543</v>
      </c>
      <c r="N2847" s="289"/>
      <c r="O2847" s="284" t="s">
        <v>12085</v>
      </c>
      <c r="P2847" s="286">
        <v>582</v>
      </c>
      <c r="Q2847" s="292">
        <f t="shared" si="159"/>
        <v>4.1900000000000004</v>
      </c>
      <c r="R2847" s="292">
        <v>2.2000000000000002</v>
      </c>
      <c r="S2847" s="283">
        <f>3.89+2.5</f>
        <v>6.3900000000000006</v>
      </c>
      <c r="T2847" s="283"/>
      <c r="U2847" s="291"/>
      <c r="V2847" s="291"/>
      <c r="W2847" s="283"/>
      <c r="X2847" s="289"/>
      <c r="Y2847" s="289"/>
      <c r="Z2847" s="289"/>
      <c r="AA2847" s="289"/>
      <c r="AB2847" s="289"/>
      <c r="AC2847" s="289"/>
      <c r="AD2847" s="289"/>
      <c r="AH2847" s="288"/>
    </row>
    <row r="2848" spans="1:34" s="287" customFormat="1" x14ac:dyDescent="0.25">
      <c r="A2848" s="248">
        <v>632</v>
      </c>
      <c r="B2848" s="284" t="s">
        <v>13849</v>
      </c>
      <c r="C2848" s="284" t="s">
        <v>13850</v>
      </c>
      <c r="D2848" s="284" t="s">
        <v>987</v>
      </c>
      <c r="E2848" s="289"/>
      <c r="F2848" s="289"/>
      <c r="G2848" s="289"/>
      <c r="H2848" s="284" t="s">
        <v>2963</v>
      </c>
      <c r="I2848" s="285" t="s">
        <v>1914</v>
      </c>
      <c r="J2848" s="289"/>
      <c r="K2848" s="284" t="s">
        <v>1881</v>
      </c>
      <c r="L2848" s="289"/>
      <c r="M2848" s="284">
        <v>699</v>
      </c>
      <c r="N2848" s="289"/>
      <c r="O2848" s="284" t="s">
        <v>12086</v>
      </c>
      <c r="P2848" s="286">
        <v>568</v>
      </c>
      <c r="Q2848" s="292">
        <f t="shared" si="159"/>
        <v>11.8</v>
      </c>
      <c r="R2848" s="292">
        <v>2.2000000000000002</v>
      </c>
      <c r="S2848" s="283">
        <v>14</v>
      </c>
      <c r="T2848" s="283"/>
      <c r="U2848" s="291"/>
      <c r="V2848" s="291"/>
      <c r="W2848" s="283"/>
      <c r="X2848" s="289"/>
      <c r="Y2848" s="289"/>
      <c r="Z2848" s="289"/>
      <c r="AA2848" s="289"/>
      <c r="AB2848" s="289"/>
      <c r="AC2848" s="289"/>
      <c r="AD2848" s="289"/>
      <c r="AH2848" s="288"/>
    </row>
    <row r="2849" spans="1:34" s="287" customFormat="1" x14ac:dyDescent="0.25">
      <c r="A2849" s="248">
        <v>591</v>
      </c>
      <c r="B2849" s="284" t="s">
        <v>13851</v>
      </c>
      <c r="C2849" s="284" t="s">
        <v>13852</v>
      </c>
      <c r="D2849" s="284" t="s">
        <v>13853</v>
      </c>
      <c r="E2849" s="289"/>
      <c r="F2849" s="284">
        <v>1979</v>
      </c>
      <c r="G2849" s="284" t="s">
        <v>13854</v>
      </c>
      <c r="H2849" s="284" t="s">
        <v>2963</v>
      </c>
      <c r="I2849" s="285" t="s">
        <v>1914</v>
      </c>
      <c r="J2849" s="289"/>
      <c r="K2849" s="284" t="s">
        <v>1881</v>
      </c>
      <c r="L2849" s="289"/>
      <c r="M2849" s="284">
        <v>344</v>
      </c>
      <c r="N2849" s="289"/>
      <c r="O2849" s="284" t="s">
        <v>12087</v>
      </c>
      <c r="P2849" s="286">
        <v>994</v>
      </c>
      <c r="Q2849" s="292">
        <f t="shared" si="159"/>
        <v>15.100000000000001</v>
      </c>
      <c r="R2849" s="292">
        <v>2.2000000000000002</v>
      </c>
      <c r="S2849" s="283">
        <f>12.8+4.5</f>
        <v>17.3</v>
      </c>
      <c r="T2849" s="283"/>
      <c r="U2849" s="291"/>
      <c r="V2849" s="291"/>
      <c r="W2849" s="283"/>
      <c r="X2849" s="289"/>
      <c r="Y2849" s="289"/>
      <c r="Z2849" s="289"/>
      <c r="AA2849" s="289"/>
      <c r="AB2849" s="289"/>
      <c r="AC2849" s="289"/>
      <c r="AD2849" s="289"/>
      <c r="AH2849" s="288"/>
    </row>
    <row r="2850" spans="1:34" s="287" customFormat="1" x14ac:dyDescent="0.25">
      <c r="A2850" s="248">
        <v>8</v>
      </c>
      <c r="B2850" s="284" t="s">
        <v>13855</v>
      </c>
      <c r="C2850" s="284" t="s">
        <v>13856</v>
      </c>
      <c r="D2850" s="284" t="s">
        <v>13857</v>
      </c>
      <c r="E2850" s="284" t="s">
        <v>2175</v>
      </c>
      <c r="F2850" s="284">
        <v>1976</v>
      </c>
      <c r="G2850" s="289"/>
      <c r="H2850" s="289"/>
      <c r="I2850" s="289"/>
      <c r="J2850" s="284" t="s">
        <v>13858</v>
      </c>
      <c r="K2850" s="284" t="s">
        <v>1881</v>
      </c>
      <c r="L2850" s="285" t="s">
        <v>13859</v>
      </c>
      <c r="M2850" s="284">
        <v>218</v>
      </c>
      <c r="N2850" s="289"/>
      <c r="O2850" s="284" t="s">
        <v>12088</v>
      </c>
      <c r="P2850" s="286">
        <v>427</v>
      </c>
      <c r="Q2850" s="292">
        <f t="shared" si="159"/>
        <v>1.65</v>
      </c>
      <c r="R2850" s="292">
        <v>2.2000000000000002</v>
      </c>
      <c r="S2850" s="283">
        <v>3.85</v>
      </c>
      <c r="T2850" s="283"/>
      <c r="U2850" s="291"/>
      <c r="V2850" s="291"/>
      <c r="W2850" s="283"/>
      <c r="X2850" s="289"/>
      <c r="Y2850" s="289"/>
      <c r="Z2850" s="289"/>
      <c r="AA2850" s="289"/>
      <c r="AB2850" s="289"/>
      <c r="AC2850" s="289"/>
      <c r="AD2850" s="289"/>
      <c r="AH2850" s="288"/>
    </row>
    <row r="2851" spans="1:34" s="287" customFormat="1" x14ac:dyDescent="0.25">
      <c r="A2851" s="248">
        <v>581</v>
      </c>
      <c r="B2851" s="284" t="s">
        <v>2899</v>
      </c>
      <c r="C2851" s="284" t="s">
        <v>13860</v>
      </c>
      <c r="D2851" s="284" t="s">
        <v>2901</v>
      </c>
      <c r="E2851" s="289"/>
      <c r="F2851" s="289"/>
      <c r="G2851" s="284" t="s">
        <v>13841</v>
      </c>
      <c r="H2851" s="284" t="s">
        <v>2963</v>
      </c>
      <c r="I2851" s="285" t="s">
        <v>1879</v>
      </c>
      <c r="J2851" s="289"/>
      <c r="K2851" s="284" t="s">
        <v>1881</v>
      </c>
      <c r="L2851" s="289"/>
      <c r="M2851" s="284">
        <v>277</v>
      </c>
      <c r="N2851" s="289"/>
      <c r="O2851" s="284" t="s">
        <v>12089</v>
      </c>
      <c r="P2851" s="286">
        <v>472</v>
      </c>
      <c r="Q2851" s="292">
        <f t="shared" si="159"/>
        <v>5.7</v>
      </c>
      <c r="R2851" s="292">
        <v>2.2000000000000002</v>
      </c>
      <c r="S2851" s="283">
        <v>7.9</v>
      </c>
      <c r="T2851" s="283"/>
      <c r="U2851" s="291"/>
      <c r="V2851" s="291"/>
      <c r="W2851" s="283"/>
      <c r="X2851" s="289"/>
      <c r="Y2851" s="289"/>
      <c r="Z2851" s="289"/>
      <c r="AA2851" s="289"/>
      <c r="AB2851" s="289"/>
      <c r="AC2851" s="289"/>
      <c r="AD2851" s="289"/>
      <c r="AH2851" s="288"/>
    </row>
    <row r="2852" spans="1:34" s="287" customFormat="1" x14ac:dyDescent="0.25">
      <c r="A2852" s="248">
        <v>8</v>
      </c>
      <c r="B2852" s="284" t="s">
        <v>11704</v>
      </c>
      <c r="C2852" s="284" t="s">
        <v>13861</v>
      </c>
      <c r="D2852" s="284" t="s">
        <v>10121</v>
      </c>
      <c r="E2852" s="289"/>
      <c r="F2852" s="284">
        <v>2014</v>
      </c>
      <c r="G2852" s="289"/>
      <c r="H2852" s="284" t="s">
        <v>2963</v>
      </c>
      <c r="I2852" s="285" t="s">
        <v>1879</v>
      </c>
      <c r="J2852" s="284" t="s">
        <v>2505</v>
      </c>
      <c r="K2852" s="284" t="s">
        <v>1881</v>
      </c>
      <c r="L2852" s="289"/>
      <c r="M2852" s="284">
        <v>575</v>
      </c>
      <c r="N2852" s="289"/>
      <c r="O2852" s="284" t="s">
        <v>12090</v>
      </c>
      <c r="P2852" s="286">
        <v>597</v>
      </c>
      <c r="Q2852" s="292">
        <f t="shared" si="159"/>
        <v>3.0999999999999996</v>
      </c>
      <c r="R2852" s="292">
        <v>2.2000000000000002</v>
      </c>
      <c r="S2852" s="283">
        <v>5.3</v>
      </c>
      <c r="T2852" s="283"/>
      <c r="U2852" s="291"/>
      <c r="V2852" s="291"/>
      <c r="W2852" s="283"/>
      <c r="X2852" s="289"/>
      <c r="Y2852" s="289"/>
      <c r="Z2852" s="289"/>
      <c r="AA2852" s="289"/>
      <c r="AB2852" s="289"/>
      <c r="AC2852" s="289"/>
      <c r="AD2852" s="289"/>
      <c r="AH2852" s="288"/>
    </row>
    <row r="2853" spans="1:34" s="287" customFormat="1" x14ac:dyDescent="0.25">
      <c r="A2853" s="290">
        <v>8</v>
      </c>
      <c r="B2853" s="284" t="s">
        <v>13862</v>
      </c>
      <c r="C2853" s="284" t="s">
        <v>13863</v>
      </c>
      <c r="D2853" s="284" t="s">
        <v>987</v>
      </c>
      <c r="E2853" s="289"/>
      <c r="F2853" s="284">
        <v>1978</v>
      </c>
      <c r="G2853" s="284" t="s">
        <v>13845</v>
      </c>
      <c r="H2853" s="284" t="s">
        <v>2963</v>
      </c>
      <c r="I2853" s="285" t="s">
        <v>1879</v>
      </c>
      <c r="J2853" s="289"/>
      <c r="K2853" s="284" t="s">
        <v>1881</v>
      </c>
      <c r="L2853" s="289"/>
      <c r="M2853" s="284">
        <v>542</v>
      </c>
      <c r="N2853" s="289"/>
      <c r="O2853" s="284" t="s">
        <v>12091</v>
      </c>
      <c r="P2853" s="286">
        <v>540</v>
      </c>
      <c r="Q2853" s="292">
        <f t="shared" si="159"/>
        <v>1.8899999999999997</v>
      </c>
      <c r="R2853" s="292">
        <v>2.2000000000000002</v>
      </c>
      <c r="S2853" s="283">
        <v>4.09</v>
      </c>
      <c r="T2853" s="283"/>
      <c r="U2853" s="291"/>
      <c r="V2853" s="291"/>
      <c r="W2853" s="283"/>
      <c r="X2853" s="289"/>
      <c r="Y2853" s="289"/>
      <c r="Z2853" s="289"/>
      <c r="AA2853" s="289"/>
      <c r="AB2853" s="289"/>
      <c r="AC2853" s="289"/>
      <c r="AD2853" s="289"/>
      <c r="AH2853" s="288"/>
    </row>
    <row r="2854" spans="1:34" s="287" customFormat="1" x14ac:dyDescent="0.25">
      <c r="A2854" s="248">
        <v>1904</v>
      </c>
      <c r="B2854" s="284" t="s">
        <v>7541</v>
      </c>
      <c r="C2854" s="284" t="s">
        <v>13864</v>
      </c>
      <c r="D2854" s="284" t="s">
        <v>13865</v>
      </c>
      <c r="E2854" s="289"/>
      <c r="F2854" s="284">
        <v>1992</v>
      </c>
      <c r="G2854" s="289"/>
      <c r="H2854" s="284" t="s">
        <v>2963</v>
      </c>
      <c r="I2854" s="289"/>
      <c r="J2854" s="284" t="s">
        <v>13866</v>
      </c>
      <c r="K2854" s="284" t="s">
        <v>1881</v>
      </c>
      <c r="L2854" s="289"/>
      <c r="M2854" s="284">
        <v>574</v>
      </c>
      <c r="N2854" s="289"/>
      <c r="O2854" s="284" t="s">
        <v>12092</v>
      </c>
      <c r="P2854" s="286">
        <v>681</v>
      </c>
      <c r="Q2854" s="292">
        <f t="shared" si="159"/>
        <v>0.87999999999999989</v>
      </c>
      <c r="R2854" s="292">
        <v>2.2000000000000002</v>
      </c>
      <c r="S2854" s="283">
        <v>3.08</v>
      </c>
      <c r="T2854" s="283"/>
      <c r="U2854" s="291"/>
      <c r="V2854" s="291"/>
      <c r="W2854" s="283"/>
      <c r="X2854" s="289"/>
      <c r="Y2854" s="289"/>
      <c r="Z2854" s="289"/>
      <c r="AA2854" s="289"/>
      <c r="AB2854" s="289"/>
      <c r="AC2854" s="289"/>
      <c r="AD2854" s="289"/>
      <c r="AH2854" s="288"/>
    </row>
    <row r="2855" spans="1:34" s="287" customFormat="1" x14ac:dyDescent="0.25">
      <c r="A2855" s="248">
        <v>1913</v>
      </c>
      <c r="B2855" s="284" t="s">
        <v>7541</v>
      </c>
      <c r="C2855" s="284" t="s">
        <v>13867</v>
      </c>
      <c r="D2855" s="284" t="s">
        <v>5005</v>
      </c>
      <c r="E2855" s="289"/>
      <c r="F2855" s="284">
        <v>1996</v>
      </c>
      <c r="G2855" s="289"/>
      <c r="H2855" s="284" t="s">
        <v>2963</v>
      </c>
      <c r="I2855" s="285" t="s">
        <v>1879</v>
      </c>
      <c r="J2855" s="284" t="s">
        <v>13866</v>
      </c>
      <c r="K2855" s="284" t="s">
        <v>1881</v>
      </c>
      <c r="L2855" s="289"/>
      <c r="M2855" s="284">
        <v>575</v>
      </c>
      <c r="N2855" s="289"/>
      <c r="O2855" s="284" t="s">
        <v>12093</v>
      </c>
      <c r="P2855" s="286">
        <v>764</v>
      </c>
      <c r="Q2855" s="292">
        <f t="shared" si="159"/>
        <v>1.3199999999999998</v>
      </c>
      <c r="R2855" s="292">
        <v>2.2000000000000002</v>
      </c>
      <c r="S2855" s="283">
        <v>3.52</v>
      </c>
      <c r="T2855" s="283"/>
      <c r="U2855" s="291"/>
      <c r="V2855" s="291"/>
      <c r="W2855" s="283"/>
      <c r="X2855" s="289"/>
      <c r="Y2855" s="289"/>
      <c r="Z2855" s="289"/>
      <c r="AA2855" s="289"/>
      <c r="AB2855" s="289"/>
      <c r="AC2855" s="289"/>
      <c r="AD2855" s="289"/>
      <c r="AH2855" s="288"/>
    </row>
    <row r="2856" spans="1:34" s="287" customFormat="1" x14ac:dyDescent="0.25">
      <c r="A2856" s="290">
        <v>8</v>
      </c>
      <c r="B2856" s="284" t="s">
        <v>13868</v>
      </c>
      <c r="C2856" s="284" t="s">
        <v>13869</v>
      </c>
      <c r="D2856" s="284" t="s">
        <v>5005</v>
      </c>
      <c r="E2856" s="289"/>
      <c r="F2856" s="284">
        <v>1980</v>
      </c>
      <c r="G2856" s="289"/>
      <c r="H2856" s="284" t="s">
        <v>2963</v>
      </c>
      <c r="I2856" s="285" t="s">
        <v>1879</v>
      </c>
      <c r="J2856" s="289"/>
      <c r="K2856" s="284" t="s">
        <v>1881</v>
      </c>
      <c r="L2856" s="289"/>
      <c r="M2856" s="284">
        <v>798</v>
      </c>
      <c r="N2856" s="289"/>
      <c r="O2856" s="284" t="s">
        <v>12094</v>
      </c>
      <c r="P2856" s="286">
        <v>808</v>
      </c>
      <c r="Q2856" s="292">
        <f t="shared" si="159"/>
        <v>4</v>
      </c>
      <c r="R2856" s="292">
        <v>2.2000000000000002</v>
      </c>
      <c r="S2856" s="283">
        <v>6.2</v>
      </c>
      <c r="T2856" s="283"/>
      <c r="U2856" s="291"/>
      <c r="V2856" s="291"/>
      <c r="W2856" s="283"/>
      <c r="X2856" s="289"/>
      <c r="Y2856" s="289"/>
      <c r="Z2856" s="289"/>
      <c r="AA2856" s="289"/>
      <c r="AB2856" s="289"/>
      <c r="AC2856" s="289"/>
      <c r="AD2856" s="289"/>
      <c r="AH2856" s="288"/>
    </row>
    <row r="2857" spans="1:34" s="287" customFormat="1" x14ac:dyDescent="0.25">
      <c r="A2857" s="248">
        <v>2022</v>
      </c>
      <c r="B2857" s="284" t="s">
        <v>12938</v>
      </c>
      <c r="C2857" s="284" t="s">
        <v>12939</v>
      </c>
      <c r="D2857" s="284" t="s">
        <v>13870</v>
      </c>
      <c r="E2857" s="289"/>
      <c r="F2857" s="284">
        <v>1976</v>
      </c>
      <c r="G2857" s="289"/>
      <c r="H2857" s="284" t="s">
        <v>2963</v>
      </c>
      <c r="I2857" s="285" t="s">
        <v>1879</v>
      </c>
      <c r="J2857" s="289"/>
      <c r="K2857" s="284" t="s">
        <v>1881</v>
      </c>
      <c r="L2857" s="289"/>
      <c r="M2857" s="284">
        <v>381</v>
      </c>
      <c r="N2857" s="289"/>
      <c r="O2857" s="284" t="s">
        <v>12095</v>
      </c>
      <c r="P2857" s="286">
        <v>484</v>
      </c>
      <c r="Q2857" s="292">
        <f t="shared" si="159"/>
        <v>2.09</v>
      </c>
      <c r="R2857" s="292">
        <v>2.2000000000000002</v>
      </c>
      <c r="S2857" s="283">
        <v>4.29</v>
      </c>
      <c r="T2857" s="283"/>
      <c r="U2857" s="291"/>
      <c r="V2857" s="291"/>
      <c r="W2857" s="283"/>
      <c r="X2857" s="289"/>
      <c r="Y2857" s="289"/>
      <c r="Z2857" s="289"/>
      <c r="AA2857" s="289"/>
      <c r="AB2857" s="289"/>
      <c r="AC2857" s="289"/>
      <c r="AD2857" s="289"/>
      <c r="AH2857" s="288"/>
    </row>
    <row r="2858" spans="1:34" s="287" customFormat="1" x14ac:dyDescent="0.25">
      <c r="A2858" s="290">
        <v>795</v>
      </c>
      <c r="B2858" s="284" t="s">
        <v>13056</v>
      </c>
      <c r="C2858" s="284" t="s">
        <v>13057</v>
      </c>
      <c r="D2858" s="284" t="s">
        <v>2309</v>
      </c>
      <c r="E2858" s="289"/>
      <c r="F2858" s="289"/>
      <c r="G2858" s="289"/>
      <c r="H2858" s="284" t="s">
        <v>2963</v>
      </c>
      <c r="I2858" s="285" t="s">
        <v>7527</v>
      </c>
      <c r="J2858" s="289"/>
      <c r="K2858" s="284" t="s">
        <v>1881</v>
      </c>
      <c r="L2858" s="289"/>
      <c r="M2858" s="284">
        <v>159</v>
      </c>
      <c r="N2858" s="289"/>
      <c r="O2858" s="284" t="s">
        <v>12096</v>
      </c>
      <c r="P2858" s="286">
        <v>223</v>
      </c>
      <c r="Q2858" s="292">
        <f t="shared" si="159"/>
        <v>1.1999999999999997</v>
      </c>
      <c r="R2858" s="292">
        <v>2.2000000000000002</v>
      </c>
      <c r="S2858" s="283">
        <v>3.4</v>
      </c>
      <c r="T2858" s="283"/>
      <c r="U2858" s="291"/>
      <c r="V2858" s="291"/>
      <c r="W2858" s="283"/>
      <c r="X2858" s="289"/>
      <c r="Y2858" s="289"/>
      <c r="Z2858" s="289"/>
      <c r="AA2858" s="289"/>
      <c r="AB2858" s="289"/>
      <c r="AC2858" s="289"/>
      <c r="AD2858" s="289"/>
      <c r="AH2858" s="288"/>
    </row>
    <row r="2859" spans="1:34" s="287" customFormat="1" x14ac:dyDescent="0.25">
      <c r="A2859" s="290">
        <v>795</v>
      </c>
      <c r="B2859" s="284" t="s">
        <v>13871</v>
      </c>
      <c r="C2859" s="284" t="s">
        <v>13872</v>
      </c>
      <c r="D2859" s="284" t="s">
        <v>987</v>
      </c>
      <c r="E2859" s="289"/>
      <c r="F2859" s="289"/>
      <c r="G2859" s="289"/>
      <c r="H2859" s="284" t="s">
        <v>2963</v>
      </c>
      <c r="I2859" s="285" t="s">
        <v>8132</v>
      </c>
      <c r="J2859" s="289"/>
      <c r="K2859" s="284" t="s">
        <v>1881</v>
      </c>
      <c r="L2859" s="289"/>
      <c r="M2859" s="284">
        <v>747</v>
      </c>
      <c r="N2859" s="289"/>
      <c r="O2859" s="284" t="s">
        <v>12097</v>
      </c>
      <c r="P2859" s="286">
        <v>792</v>
      </c>
      <c r="Q2859" s="292">
        <f t="shared" si="159"/>
        <v>2.6799999999999997</v>
      </c>
      <c r="R2859" s="292">
        <v>2.2000000000000002</v>
      </c>
      <c r="S2859" s="283">
        <v>4.88</v>
      </c>
      <c r="T2859" s="283"/>
      <c r="U2859" s="291"/>
      <c r="V2859" s="291"/>
      <c r="W2859" s="283"/>
      <c r="X2859" s="289"/>
      <c r="Y2859" s="289"/>
      <c r="Z2859" s="289"/>
      <c r="AA2859" s="289"/>
      <c r="AB2859" s="289"/>
      <c r="AC2859" s="289"/>
      <c r="AD2859" s="289"/>
      <c r="AH2859" s="288"/>
    </row>
    <row r="2860" spans="1:34" s="287" customFormat="1" x14ac:dyDescent="0.25">
      <c r="A2860" s="248">
        <v>796</v>
      </c>
      <c r="B2860" s="284" t="s">
        <v>8613</v>
      </c>
      <c r="C2860" s="284" t="s">
        <v>13873</v>
      </c>
      <c r="D2860" s="284" t="s">
        <v>13865</v>
      </c>
      <c r="E2860" s="289"/>
      <c r="F2860" s="284">
        <v>1974</v>
      </c>
      <c r="G2860" s="289"/>
      <c r="H2860" s="284" t="s">
        <v>2963</v>
      </c>
      <c r="I2860" s="285" t="s">
        <v>7527</v>
      </c>
      <c r="J2860" s="289"/>
      <c r="K2860" s="284" t="s">
        <v>1881</v>
      </c>
      <c r="L2860" s="289"/>
      <c r="M2860" s="284">
        <v>476</v>
      </c>
      <c r="N2860" s="289"/>
      <c r="O2860" s="284" t="s">
        <v>12098</v>
      </c>
      <c r="P2860" s="286">
        <v>451</v>
      </c>
      <c r="Q2860" s="292">
        <f t="shared" si="159"/>
        <v>2.6499999999999995</v>
      </c>
      <c r="R2860" s="292">
        <v>2.2000000000000002</v>
      </c>
      <c r="S2860" s="283">
        <v>4.8499999999999996</v>
      </c>
      <c r="T2860" s="283"/>
      <c r="U2860" s="291"/>
      <c r="V2860" s="291"/>
      <c r="W2860" s="283"/>
      <c r="X2860" s="289"/>
      <c r="Y2860" s="289"/>
      <c r="Z2860" s="289"/>
      <c r="AA2860" s="289"/>
      <c r="AB2860" s="289"/>
      <c r="AC2860" s="289"/>
      <c r="AD2860" s="289"/>
      <c r="AH2860" s="288"/>
    </row>
    <row r="2861" spans="1:34" s="287" customFormat="1" x14ac:dyDescent="0.25">
      <c r="A2861" s="248">
        <v>1396</v>
      </c>
      <c r="B2861" s="284" t="s">
        <v>13874</v>
      </c>
      <c r="C2861" s="284" t="s">
        <v>13875</v>
      </c>
      <c r="D2861" s="284" t="s">
        <v>2901</v>
      </c>
      <c r="E2861" s="289"/>
      <c r="F2861" s="284">
        <v>1953</v>
      </c>
      <c r="G2861" s="289"/>
      <c r="H2861" s="284" t="s">
        <v>2963</v>
      </c>
      <c r="I2861" s="285" t="s">
        <v>7527</v>
      </c>
      <c r="J2861" s="289"/>
      <c r="K2861" s="284" t="s">
        <v>1881</v>
      </c>
      <c r="L2861" s="289"/>
      <c r="M2861" s="284">
        <v>403</v>
      </c>
      <c r="N2861" s="289"/>
      <c r="O2861" s="284" t="s">
        <v>12099</v>
      </c>
      <c r="P2861" s="286">
        <v>596</v>
      </c>
      <c r="Q2861" s="292">
        <f t="shared" si="159"/>
        <v>4.6500000000000004</v>
      </c>
      <c r="R2861" s="292">
        <v>2.2000000000000002</v>
      </c>
      <c r="S2861" s="283">
        <f>4.9+1.95</f>
        <v>6.8500000000000005</v>
      </c>
      <c r="T2861" s="283"/>
      <c r="U2861" s="291"/>
      <c r="V2861" s="291"/>
      <c r="W2861" s="283"/>
      <c r="X2861" s="289"/>
      <c r="Y2861" s="289"/>
      <c r="Z2861" s="289"/>
      <c r="AA2861" s="289"/>
      <c r="AB2861" s="289"/>
      <c r="AC2861" s="289"/>
      <c r="AD2861" s="289"/>
      <c r="AH2861" s="288"/>
    </row>
    <row r="2862" spans="1:34" s="287" customFormat="1" x14ac:dyDescent="0.25">
      <c r="A2862" s="290">
        <v>8</v>
      </c>
      <c r="B2862" s="284" t="s">
        <v>13876</v>
      </c>
      <c r="C2862" s="284" t="s">
        <v>13877</v>
      </c>
      <c r="D2862" s="284" t="s">
        <v>987</v>
      </c>
      <c r="E2862" s="289"/>
      <c r="F2862" s="289"/>
      <c r="G2862" s="289"/>
      <c r="H2862" s="284" t="s">
        <v>2963</v>
      </c>
      <c r="I2862" s="285" t="s">
        <v>1879</v>
      </c>
      <c r="J2862" s="289"/>
      <c r="K2862" s="284" t="s">
        <v>1881</v>
      </c>
      <c r="L2862" s="289"/>
      <c r="M2862" s="284">
        <v>285</v>
      </c>
      <c r="N2862" s="289"/>
      <c r="O2862" s="284" t="s">
        <v>12100</v>
      </c>
      <c r="P2862" s="286">
        <v>349</v>
      </c>
      <c r="Q2862" s="292">
        <f t="shared" si="159"/>
        <v>2.9299999999999997</v>
      </c>
      <c r="R2862" s="292">
        <v>2.2000000000000002</v>
      </c>
      <c r="S2862" s="283">
        <v>5.13</v>
      </c>
      <c r="T2862" s="283"/>
      <c r="U2862" s="291"/>
      <c r="V2862" s="291"/>
      <c r="W2862" s="283"/>
      <c r="X2862" s="289"/>
      <c r="Y2862" s="289"/>
      <c r="Z2862" s="289"/>
      <c r="AA2862" s="289"/>
      <c r="AB2862" s="289"/>
      <c r="AC2862" s="289"/>
      <c r="AD2862" s="289"/>
      <c r="AH2862" s="288"/>
    </row>
    <row r="2863" spans="1:34" s="287" customFormat="1" x14ac:dyDescent="0.25">
      <c r="A2863" s="248">
        <v>763</v>
      </c>
      <c r="B2863" s="284" t="s">
        <v>13878</v>
      </c>
      <c r="C2863" s="284" t="s">
        <v>13879</v>
      </c>
      <c r="D2863" s="284" t="s">
        <v>13880</v>
      </c>
      <c r="E2863" s="284" t="s">
        <v>1877</v>
      </c>
      <c r="F2863" s="284">
        <v>1978</v>
      </c>
      <c r="G2863" s="289"/>
      <c r="H2863" s="284" t="s">
        <v>1878</v>
      </c>
      <c r="I2863" s="285" t="s">
        <v>1879</v>
      </c>
      <c r="J2863" s="289"/>
      <c r="K2863" s="284" t="s">
        <v>1881</v>
      </c>
      <c r="L2863" s="285" t="s">
        <v>13881</v>
      </c>
      <c r="M2863" s="284">
        <v>251</v>
      </c>
      <c r="N2863" s="289"/>
      <c r="O2863" s="284" t="s">
        <v>12101</v>
      </c>
      <c r="P2863" s="286">
        <v>325</v>
      </c>
      <c r="Q2863" s="292">
        <f t="shared" si="159"/>
        <v>4.8999999999999995</v>
      </c>
      <c r="R2863" s="292">
        <v>2.2000000000000002</v>
      </c>
      <c r="S2863" s="283">
        <v>7.1</v>
      </c>
      <c r="T2863" s="283"/>
      <c r="U2863" s="291"/>
      <c r="V2863" s="291"/>
      <c r="W2863" s="283"/>
      <c r="X2863" s="289"/>
      <c r="Y2863" s="289"/>
      <c r="Z2863" s="289"/>
      <c r="AA2863" s="289"/>
      <c r="AB2863" s="289"/>
      <c r="AC2863" s="289"/>
      <c r="AD2863" s="289"/>
      <c r="AH2863" s="288"/>
    </row>
    <row r="2864" spans="1:34" s="287" customFormat="1" x14ac:dyDescent="0.25">
      <c r="A2864" s="248">
        <v>941</v>
      </c>
      <c r="B2864" s="284" t="s">
        <v>7779</v>
      </c>
      <c r="C2864" s="284" t="s">
        <v>13882</v>
      </c>
      <c r="D2864" s="284" t="s">
        <v>13883</v>
      </c>
      <c r="E2864" s="284" t="s">
        <v>1913</v>
      </c>
      <c r="F2864" s="284">
        <v>1999</v>
      </c>
      <c r="G2864" s="289"/>
      <c r="H2864" s="284" t="s">
        <v>2963</v>
      </c>
      <c r="I2864" s="285" t="s">
        <v>1879</v>
      </c>
      <c r="J2864" s="289"/>
      <c r="K2864" s="284" t="s">
        <v>1881</v>
      </c>
      <c r="L2864" s="285" t="s">
        <v>13884</v>
      </c>
      <c r="M2864" s="284">
        <v>326</v>
      </c>
      <c r="N2864" s="289"/>
      <c r="O2864" s="284" t="s">
        <v>12102</v>
      </c>
      <c r="P2864" s="286">
        <v>466</v>
      </c>
      <c r="Q2864" s="292">
        <f t="shared" si="159"/>
        <v>3.38</v>
      </c>
      <c r="R2864" s="292">
        <v>2.2000000000000002</v>
      </c>
      <c r="S2864" s="283">
        <f>1.59+3.99</f>
        <v>5.58</v>
      </c>
      <c r="T2864" s="283"/>
      <c r="U2864" s="291"/>
      <c r="V2864" s="291"/>
      <c r="W2864" s="283"/>
      <c r="X2864" s="289"/>
      <c r="Y2864" s="289"/>
      <c r="Z2864" s="289"/>
      <c r="AA2864" s="289"/>
      <c r="AB2864" s="289"/>
      <c r="AC2864" s="289"/>
      <c r="AD2864" s="289"/>
      <c r="AH2864" s="288"/>
    </row>
    <row r="2865" spans="1:34" s="287" customFormat="1" x14ac:dyDescent="0.25">
      <c r="A2865" s="248">
        <v>947</v>
      </c>
      <c r="B2865" s="284" t="s">
        <v>13885</v>
      </c>
      <c r="C2865" s="284" t="s">
        <v>13886</v>
      </c>
      <c r="D2865" s="284" t="s">
        <v>2151</v>
      </c>
      <c r="E2865" s="289"/>
      <c r="F2865" s="289"/>
      <c r="G2865" s="289"/>
      <c r="H2865" s="284" t="s">
        <v>2963</v>
      </c>
      <c r="I2865" s="285" t="s">
        <v>7527</v>
      </c>
      <c r="J2865" s="289"/>
      <c r="K2865" s="284" t="s">
        <v>1881</v>
      </c>
      <c r="L2865" s="285" t="s">
        <v>13887</v>
      </c>
      <c r="M2865" s="284">
        <v>365</v>
      </c>
      <c r="N2865" s="289"/>
      <c r="O2865" s="284" t="s">
        <v>12103</v>
      </c>
      <c r="P2865" s="286">
        <v>583</v>
      </c>
      <c r="Q2865" s="292">
        <f t="shared" si="159"/>
        <v>2.54</v>
      </c>
      <c r="R2865" s="292">
        <v>2.2000000000000002</v>
      </c>
      <c r="S2865" s="283">
        <f>2.29+2.45</f>
        <v>4.74</v>
      </c>
      <c r="T2865" s="283"/>
      <c r="U2865" s="291"/>
      <c r="V2865" s="291"/>
      <c r="W2865" s="283"/>
      <c r="X2865" s="289"/>
      <c r="Y2865" s="289"/>
      <c r="Z2865" s="289"/>
      <c r="AA2865" s="289"/>
      <c r="AB2865" s="289"/>
      <c r="AC2865" s="289"/>
      <c r="AD2865" s="289"/>
      <c r="AH2865" s="288"/>
    </row>
    <row r="2866" spans="1:34" s="287" customFormat="1" x14ac:dyDescent="0.25">
      <c r="A2866" s="248">
        <v>1913</v>
      </c>
      <c r="B2866" s="284" t="s">
        <v>13888</v>
      </c>
      <c r="C2866" s="284" t="s">
        <v>13889</v>
      </c>
      <c r="D2866" s="284" t="s">
        <v>13883</v>
      </c>
      <c r="E2866" s="289"/>
      <c r="F2866" s="284">
        <v>2007</v>
      </c>
      <c r="G2866" s="289"/>
      <c r="H2866" s="284" t="s">
        <v>2963</v>
      </c>
      <c r="I2866" s="285" t="s">
        <v>1879</v>
      </c>
      <c r="J2866" s="289"/>
      <c r="K2866" s="284" t="s">
        <v>1881</v>
      </c>
      <c r="L2866" s="285" t="s">
        <v>13890</v>
      </c>
      <c r="M2866" s="284">
        <v>764</v>
      </c>
      <c r="N2866" s="289"/>
      <c r="O2866" s="284" t="s">
        <v>12104</v>
      </c>
      <c r="P2866" s="286">
        <v>651</v>
      </c>
      <c r="Q2866" s="292">
        <f t="shared" si="159"/>
        <v>7.4099999999999993</v>
      </c>
      <c r="R2866" s="292">
        <v>2.2000000000000002</v>
      </c>
      <c r="S2866" s="283">
        <v>9.61</v>
      </c>
      <c r="T2866" s="283"/>
      <c r="U2866" s="291"/>
      <c r="V2866" s="291"/>
      <c r="W2866" s="283"/>
      <c r="X2866" s="289"/>
      <c r="Y2866" s="289"/>
      <c r="Z2866" s="289"/>
      <c r="AA2866" s="289"/>
      <c r="AB2866" s="289"/>
      <c r="AC2866" s="289"/>
      <c r="AD2866" s="289"/>
      <c r="AH2866" s="288"/>
    </row>
    <row r="2867" spans="1:34" s="287" customFormat="1" x14ac:dyDescent="0.25">
      <c r="A2867" s="248">
        <v>634</v>
      </c>
      <c r="B2867" s="284" t="s">
        <v>2607</v>
      </c>
      <c r="C2867" s="284" t="s">
        <v>13891</v>
      </c>
      <c r="D2867" s="284" t="s">
        <v>2609</v>
      </c>
      <c r="E2867" s="289"/>
      <c r="F2867" s="284">
        <v>1985</v>
      </c>
      <c r="G2867" s="289"/>
      <c r="H2867" s="284" t="s">
        <v>2963</v>
      </c>
      <c r="I2867" s="285" t="s">
        <v>1914</v>
      </c>
      <c r="J2867" s="289"/>
      <c r="K2867" s="284" t="s">
        <v>1881</v>
      </c>
      <c r="L2867" s="285" t="s">
        <v>13892</v>
      </c>
      <c r="M2867" s="284">
        <v>177</v>
      </c>
      <c r="N2867" s="289"/>
      <c r="O2867" s="284" t="s">
        <v>12105</v>
      </c>
      <c r="P2867" s="286">
        <v>263</v>
      </c>
      <c r="Q2867" s="292">
        <f t="shared" si="159"/>
        <v>5.3</v>
      </c>
      <c r="R2867" s="292">
        <v>2.2000000000000002</v>
      </c>
      <c r="S2867" s="283">
        <v>7.5</v>
      </c>
      <c r="T2867" s="283"/>
      <c r="U2867" s="291"/>
      <c r="V2867" s="291"/>
      <c r="W2867" s="283"/>
      <c r="X2867" s="289"/>
      <c r="Y2867" s="289"/>
      <c r="Z2867" s="289"/>
      <c r="AA2867" s="289"/>
      <c r="AB2867" s="289"/>
      <c r="AC2867" s="289"/>
      <c r="AD2867" s="289"/>
      <c r="AH2867" s="288"/>
    </row>
    <row r="2868" spans="1:34" x14ac:dyDescent="0.25">
      <c r="A2868" s="298">
        <v>1927</v>
      </c>
      <c r="B2868" s="298" t="s">
        <v>14137</v>
      </c>
      <c r="C2868" s="298" t="s">
        <v>14138</v>
      </c>
      <c r="D2868" s="298" t="s">
        <v>3629</v>
      </c>
      <c r="E2868" s="298"/>
      <c r="F2868" s="298">
        <v>1998</v>
      </c>
      <c r="G2868" s="298"/>
      <c r="H2868" s="298" t="s">
        <v>1878</v>
      </c>
      <c r="I2868" s="299" t="s">
        <v>1914</v>
      </c>
      <c r="J2868" s="298"/>
      <c r="K2868" s="298" t="s">
        <v>1881</v>
      </c>
      <c r="L2868" s="299" t="s">
        <v>14139</v>
      </c>
      <c r="M2868" s="298">
        <v>275</v>
      </c>
      <c r="N2868" s="298"/>
      <c r="O2868" s="300" t="s">
        <v>12106</v>
      </c>
      <c r="P2868" s="301">
        <v>188</v>
      </c>
      <c r="Q2868" s="302">
        <f>S2868-R2868</f>
        <v>2.7</v>
      </c>
      <c r="R2868" s="245">
        <v>2.2000000000000002</v>
      </c>
      <c r="S2868" s="18">
        <v>4.9000000000000004</v>
      </c>
    </row>
    <row r="2869" spans="1:34" x14ac:dyDescent="0.25">
      <c r="A2869" s="298">
        <v>735</v>
      </c>
      <c r="B2869" s="298" t="s">
        <v>14140</v>
      </c>
      <c r="C2869" s="298" t="s">
        <v>14141</v>
      </c>
      <c r="D2869" s="298" t="s">
        <v>14142</v>
      </c>
      <c r="E2869" s="298"/>
      <c r="F2869" s="298"/>
      <c r="G2869" s="298"/>
      <c r="H2869" s="298" t="s">
        <v>2963</v>
      </c>
      <c r="I2869" s="299" t="s">
        <v>7527</v>
      </c>
      <c r="J2869" s="298"/>
      <c r="K2869" s="298" t="s">
        <v>1881</v>
      </c>
      <c r="L2869" s="299"/>
      <c r="M2869" s="298">
        <v>302</v>
      </c>
      <c r="N2869" s="298"/>
      <c r="O2869" s="300" t="s">
        <v>12107</v>
      </c>
      <c r="P2869" s="301">
        <v>432</v>
      </c>
      <c r="Q2869" s="302">
        <f t="shared" ref="Q2869:Q2891" si="160">S2869-R2869</f>
        <v>2.5199999999999996</v>
      </c>
      <c r="R2869" s="245">
        <v>2.2000000000000002</v>
      </c>
      <c r="S2869" s="199">
        <v>4.72</v>
      </c>
    </row>
    <row r="2870" spans="1:34" x14ac:dyDescent="0.25">
      <c r="A2870" s="298">
        <v>676</v>
      </c>
      <c r="B2870" s="298" t="s">
        <v>14143</v>
      </c>
      <c r="C2870" s="298" t="s">
        <v>14144</v>
      </c>
      <c r="D2870" s="298" t="s">
        <v>9032</v>
      </c>
      <c r="E2870" s="298"/>
      <c r="F2870" s="298">
        <v>1983</v>
      </c>
      <c r="G2870" s="298"/>
      <c r="H2870" s="298" t="s">
        <v>1878</v>
      </c>
      <c r="I2870" s="299" t="s">
        <v>1914</v>
      </c>
      <c r="J2870" s="298"/>
      <c r="K2870" s="298" t="s">
        <v>1881</v>
      </c>
      <c r="L2870" s="299" t="s">
        <v>14145</v>
      </c>
      <c r="M2870" s="298">
        <v>236</v>
      </c>
      <c r="N2870" s="298"/>
      <c r="O2870" s="300" t="s">
        <v>12108</v>
      </c>
      <c r="P2870" s="301">
        <v>145</v>
      </c>
      <c r="Q2870" s="302">
        <f t="shared" si="160"/>
        <v>1.5099999999999998</v>
      </c>
      <c r="R2870" s="245">
        <v>2.2000000000000002</v>
      </c>
      <c r="S2870" s="199">
        <v>3.71</v>
      </c>
    </row>
    <row r="2871" spans="1:34" x14ac:dyDescent="0.25">
      <c r="A2871" s="298">
        <v>8</v>
      </c>
      <c r="B2871" s="298" t="s">
        <v>14146</v>
      </c>
      <c r="C2871" s="298" t="s">
        <v>14147</v>
      </c>
      <c r="D2871" s="298" t="s">
        <v>4930</v>
      </c>
      <c r="E2871" s="298"/>
      <c r="F2871" s="298">
        <v>1978</v>
      </c>
      <c r="G2871" s="298"/>
      <c r="H2871" s="298" t="s">
        <v>2963</v>
      </c>
      <c r="I2871" s="299" t="s">
        <v>1879</v>
      </c>
      <c r="J2871" s="298"/>
      <c r="K2871" s="298" t="s">
        <v>1881</v>
      </c>
      <c r="L2871" s="299"/>
      <c r="M2871" s="298">
        <v>319</v>
      </c>
      <c r="N2871" s="298"/>
      <c r="O2871" s="300" t="s">
        <v>12109</v>
      </c>
      <c r="P2871" s="301">
        <v>482</v>
      </c>
      <c r="Q2871" s="302">
        <f t="shared" si="160"/>
        <v>1.4299999999999997</v>
      </c>
      <c r="R2871" s="245">
        <v>2.2000000000000002</v>
      </c>
      <c r="S2871" s="199">
        <v>3.63</v>
      </c>
    </row>
    <row r="2872" spans="1:34" x14ac:dyDescent="0.25">
      <c r="A2872" s="298">
        <v>8</v>
      </c>
      <c r="B2872" s="298" t="s">
        <v>14148</v>
      </c>
      <c r="C2872" s="298" t="s">
        <v>14149</v>
      </c>
      <c r="D2872" s="298" t="s">
        <v>2609</v>
      </c>
      <c r="E2872" s="298"/>
      <c r="F2872" s="298">
        <v>1982</v>
      </c>
      <c r="G2872" s="298"/>
      <c r="H2872" s="298" t="s">
        <v>1878</v>
      </c>
      <c r="I2872" s="299" t="s">
        <v>6422</v>
      </c>
      <c r="J2872" s="298"/>
      <c r="K2872" s="298" t="s">
        <v>1881</v>
      </c>
      <c r="L2872" s="299" t="s">
        <v>14150</v>
      </c>
      <c r="M2872" s="298">
        <v>222</v>
      </c>
      <c r="N2872" s="298"/>
      <c r="O2872" s="300" t="s">
        <v>12110</v>
      </c>
      <c r="P2872" s="301">
        <v>114</v>
      </c>
      <c r="Q2872" s="302">
        <f t="shared" si="160"/>
        <v>3.3899999999999997</v>
      </c>
      <c r="R2872" s="245">
        <v>2.2000000000000002</v>
      </c>
      <c r="S2872" s="199">
        <v>5.59</v>
      </c>
    </row>
    <row r="2873" spans="1:34" x14ac:dyDescent="0.25">
      <c r="A2873" s="298">
        <v>674</v>
      </c>
      <c r="B2873" s="298" t="s">
        <v>14151</v>
      </c>
      <c r="C2873" s="298" t="s">
        <v>14152</v>
      </c>
      <c r="D2873" s="298" t="s">
        <v>2609</v>
      </c>
      <c r="E2873" s="298"/>
      <c r="F2873" s="298">
        <v>1978</v>
      </c>
      <c r="G2873" s="298"/>
      <c r="H2873" s="298" t="s">
        <v>1878</v>
      </c>
      <c r="I2873" s="299" t="s">
        <v>1914</v>
      </c>
      <c r="J2873" s="298" t="s">
        <v>9495</v>
      </c>
      <c r="K2873" s="298" t="s">
        <v>1881</v>
      </c>
      <c r="L2873" s="299" t="s">
        <v>14153</v>
      </c>
      <c r="M2873" s="298">
        <v>242</v>
      </c>
      <c r="N2873" s="298"/>
      <c r="O2873" s="300" t="s">
        <v>12111</v>
      </c>
      <c r="P2873" s="301">
        <v>200</v>
      </c>
      <c r="Q2873" s="302">
        <f t="shared" si="160"/>
        <v>1.4899999999999998</v>
      </c>
      <c r="R2873" s="245">
        <v>2.2000000000000002</v>
      </c>
      <c r="S2873" s="199">
        <v>3.69</v>
      </c>
    </row>
    <row r="2874" spans="1:34" x14ac:dyDescent="0.25">
      <c r="A2874" s="298">
        <v>887</v>
      </c>
      <c r="B2874" s="298"/>
      <c r="C2874" s="298" t="s">
        <v>14154</v>
      </c>
      <c r="D2874" s="298" t="s">
        <v>14155</v>
      </c>
      <c r="E2874" s="298"/>
      <c r="F2874" s="298">
        <v>1927</v>
      </c>
      <c r="G2874" s="298"/>
      <c r="H2874" s="298" t="s">
        <v>2963</v>
      </c>
      <c r="I2874" s="299" t="s">
        <v>1879</v>
      </c>
      <c r="J2874" s="298"/>
      <c r="K2874" s="298" t="s">
        <v>1881</v>
      </c>
      <c r="L2874" s="299"/>
      <c r="M2874" s="298">
        <v>230</v>
      </c>
      <c r="N2874" s="298"/>
      <c r="O2874" s="300" t="s">
        <v>12112</v>
      </c>
      <c r="P2874" s="301">
        <v>401</v>
      </c>
      <c r="Q2874" s="302">
        <f t="shared" si="160"/>
        <v>12.7</v>
      </c>
      <c r="R2874" s="245">
        <v>2.2000000000000002</v>
      </c>
      <c r="S2874" s="199">
        <v>14.9</v>
      </c>
    </row>
    <row r="2875" spans="1:34" x14ac:dyDescent="0.25">
      <c r="A2875" s="298">
        <v>8</v>
      </c>
      <c r="B2875" s="298" t="s">
        <v>14156</v>
      </c>
      <c r="C2875" s="298" t="s">
        <v>14157</v>
      </c>
      <c r="D2875" s="298" t="s">
        <v>2209</v>
      </c>
      <c r="E2875" s="298"/>
      <c r="F2875" s="298">
        <v>1982</v>
      </c>
      <c r="G2875" s="298"/>
      <c r="H2875" s="298" t="s">
        <v>1878</v>
      </c>
      <c r="I2875" s="299" t="s">
        <v>6422</v>
      </c>
      <c r="J2875" s="298"/>
      <c r="K2875" s="298" t="s">
        <v>1881</v>
      </c>
      <c r="L2875" s="299" t="s">
        <v>14158</v>
      </c>
      <c r="M2875" s="298">
        <v>363</v>
      </c>
      <c r="N2875" s="298"/>
      <c r="O2875" s="300" t="s">
        <v>12113</v>
      </c>
      <c r="P2875" s="301">
        <v>241</v>
      </c>
      <c r="Q2875" s="302">
        <f t="shared" si="160"/>
        <v>3.3899999999999997</v>
      </c>
      <c r="R2875" s="245">
        <v>2.2000000000000002</v>
      </c>
      <c r="S2875" s="199">
        <v>5.59</v>
      </c>
    </row>
    <row r="2876" spans="1:34" x14ac:dyDescent="0.25">
      <c r="A2876" s="298">
        <v>8</v>
      </c>
      <c r="B2876" s="298" t="s">
        <v>14159</v>
      </c>
      <c r="C2876" s="298" t="s">
        <v>14160</v>
      </c>
      <c r="D2876" s="298" t="s">
        <v>4850</v>
      </c>
      <c r="E2876" s="298"/>
      <c r="F2876" s="298">
        <v>1983</v>
      </c>
      <c r="G2876" s="298"/>
      <c r="H2876" s="298" t="s">
        <v>2963</v>
      </c>
      <c r="I2876" s="299" t="s">
        <v>1879</v>
      </c>
      <c r="J2876" s="298"/>
      <c r="K2876" s="298" t="s">
        <v>1881</v>
      </c>
      <c r="L2876" s="299" t="s">
        <v>14161</v>
      </c>
      <c r="M2876" s="298">
        <v>486</v>
      </c>
      <c r="N2876" s="298"/>
      <c r="O2876" s="300" t="s">
        <v>12114</v>
      </c>
      <c r="P2876" s="301">
        <v>514</v>
      </c>
      <c r="Q2876" s="302">
        <f t="shared" si="160"/>
        <v>1.2799999999999998</v>
      </c>
      <c r="R2876" s="245">
        <v>2.2000000000000002</v>
      </c>
      <c r="S2876" s="199">
        <v>3.48</v>
      </c>
    </row>
    <row r="2877" spans="1:34" x14ac:dyDescent="0.25">
      <c r="A2877" s="298">
        <v>8</v>
      </c>
      <c r="B2877" s="298" t="s">
        <v>13874</v>
      </c>
      <c r="C2877" s="298" t="s">
        <v>14162</v>
      </c>
      <c r="D2877" s="298" t="s">
        <v>2901</v>
      </c>
      <c r="E2877" s="298"/>
      <c r="F2877" s="298"/>
      <c r="G2877" s="298"/>
      <c r="H2877" s="298" t="s">
        <v>2963</v>
      </c>
      <c r="I2877" s="299" t="s">
        <v>1879</v>
      </c>
      <c r="J2877" s="298"/>
      <c r="K2877" s="298" t="s">
        <v>1881</v>
      </c>
      <c r="L2877" s="299"/>
      <c r="M2877" s="298">
        <v>555</v>
      </c>
      <c r="N2877" s="298"/>
      <c r="O2877" s="300" t="s">
        <v>12115</v>
      </c>
      <c r="P2877" s="301">
        <v>604</v>
      </c>
      <c r="Q2877" s="302">
        <f t="shared" si="160"/>
        <v>2.7</v>
      </c>
      <c r="R2877" s="245">
        <v>2.2000000000000002</v>
      </c>
      <c r="S2877" s="199">
        <v>4.9000000000000004</v>
      </c>
    </row>
    <row r="2878" spans="1:34" x14ac:dyDescent="0.25">
      <c r="A2878" s="298">
        <v>1310</v>
      </c>
      <c r="B2878" s="298" t="s">
        <v>2853</v>
      </c>
      <c r="C2878" s="298" t="s">
        <v>14163</v>
      </c>
      <c r="D2878" s="298" t="s">
        <v>14164</v>
      </c>
      <c r="E2878" s="298"/>
      <c r="F2878" s="298">
        <v>1949</v>
      </c>
      <c r="G2878" s="298" t="s">
        <v>14165</v>
      </c>
      <c r="H2878" s="298" t="s">
        <v>2963</v>
      </c>
      <c r="I2878" s="299" t="s">
        <v>1914</v>
      </c>
      <c r="J2878" s="298"/>
      <c r="K2878" s="298" t="s">
        <v>1881</v>
      </c>
      <c r="L2878" s="299"/>
      <c r="M2878" s="298">
        <v>223</v>
      </c>
      <c r="N2878" s="298"/>
      <c r="O2878" s="300" t="s">
        <v>12116</v>
      </c>
      <c r="P2878" s="301">
        <v>300</v>
      </c>
      <c r="Q2878" s="302">
        <f t="shared" si="160"/>
        <v>3.29</v>
      </c>
      <c r="R2878" s="245">
        <v>2.2000000000000002</v>
      </c>
      <c r="S2878" s="199">
        <v>5.49</v>
      </c>
    </row>
    <row r="2879" spans="1:34" x14ac:dyDescent="0.25">
      <c r="A2879" s="298">
        <v>2514</v>
      </c>
      <c r="B2879" s="298" t="s">
        <v>14166</v>
      </c>
      <c r="C2879" s="298" t="s">
        <v>14167</v>
      </c>
      <c r="D2879" s="298" t="s">
        <v>14168</v>
      </c>
      <c r="E2879" s="298"/>
      <c r="F2879" s="298">
        <v>2012</v>
      </c>
      <c r="G2879" s="298"/>
      <c r="H2879" s="298" t="s">
        <v>2963</v>
      </c>
      <c r="I2879" s="299" t="s">
        <v>1879</v>
      </c>
      <c r="J2879" s="298"/>
      <c r="K2879" s="298" t="s">
        <v>1881</v>
      </c>
      <c r="L2879" s="299" t="s">
        <v>14169</v>
      </c>
      <c r="M2879" s="298">
        <v>149</v>
      </c>
      <c r="N2879" s="298"/>
      <c r="O2879" s="300" t="s">
        <v>12117</v>
      </c>
      <c r="P2879" s="301">
        <v>214</v>
      </c>
      <c r="Q2879" s="302">
        <f t="shared" si="160"/>
        <v>3.74</v>
      </c>
      <c r="R2879" s="245">
        <v>2.2000000000000002</v>
      </c>
      <c r="S2879" s="199">
        <v>5.94</v>
      </c>
    </row>
    <row r="2880" spans="1:34" x14ac:dyDescent="0.25">
      <c r="A2880" s="298">
        <v>1218</v>
      </c>
      <c r="B2880" s="298" t="s">
        <v>14170</v>
      </c>
      <c r="C2880" s="298" t="s">
        <v>14171</v>
      </c>
      <c r="D2880" s="298" t="s">
        <v>14172</v>
      </c>
      <c r="E2880" s="298" t="s">
        <v>2175</v>
      </c>
      <c r="F2880" s="298">
        <v>1983</v>
      </c>
      <c r="G2880" s="298"/>
      <c r="H2880" s="298" t="s">
        <v>1878</v>
      </c>
      <c r="I2880" s="299" t="s">
        <v>1879</v>
      </c>
      <c r="J2880" s="298"/>
      <c r="K2880" s="298" t="s">
        <v>1881</v>
      </c>
      <c r="L2880" s="299" t="s">
        <v>14173</v>
      </c>
      <c r="M2880" s="298">
        <v>192</v>
      </c>
      <c r="N2880" s="298"/>
      <c r="O2880" s="300" t="s">
        <v>12118</v>
      </c>
      <c r="P2880" s="301">
        <v>277</v>
      </c>
      <c r="Q2880" s="302">
        <f t="shared" si="160"/>
        <v>1.69</v>
      </c>
      <c r="R2880" s="245">
        <v>2.2000000000000002</v>
      </c>
      <c r="S2880" s="199">
        <v>3.89</v>
      </c>
    </row>
    <row r="2881" spans="1:37" x14ac:dyDescent="0.25">
      <c r="A2881" s="298">
        <v>926</v>
      </c>
      <c r="B2881" s="298" t="s">
        <v>10908</v>
      </c>
      <c r="C2881" s="298" t="s">
        <v>14174</v>
      </c>
      <c r="D2881" s="298" t="s">
        <v>3030</v>
      </c>
      <c r="E2881" s="298" t="s">
        <v>14175</v>
      </c>
      <c r="F2881" s="298">
        <v>1983</v>
      </c>
      <c r="G2881" s="298"/>
      <c r="H2881" s="298" t="s">
        <v>2963</v>
      </c>
      <c r="I2881" s="299" t="s">
        <v>1879</v>
      </c>
      <c r="J2881" s="298"/>
      <c r="K2881" s="298" t="s">
        <v>1881</v>
      </c>
      <c r="L2881" s="299" t="s">
        <v>14176</v>
      </c>
      <c r="M2881" s="298">
        <v>204</v>
      </c>
      <c r="N2881" s="298"/>
      <c r="O2881" s="300" t="s">
        <v>12119</v>
      </c>
      <c r="P2881" s="301">
        <v>454</v>
      </c>
      <c r="Q2881" s="302">
        <f t="shared" si="160"/>
        <v>5.55</v>
      </c>
      <c r="R2881" s="245">
        <v>2.2000000000000002</v>
      </c>
      <c r="S2881" s="199">
        <f>4.95+2.8</f>
        <v>7.75</v>
      </c>
    </row>
    <row r="2882" spans="1:37" x14ac:dyDescent="0.25">
      <c r="A2882" s="298">
        <v>1913</v>
      </c>
      <c r="B2882" s="298" t="s">
        <v>14177</v>
      </c>
      <c r="C2882" s="298" t="s">
        <v>14178</v>
      </c>
      <c r="D2882" s="298" t="s">
        <v>2257</v>
      </c>
      <c r="E2882" s="298" t="s">
        <v>1913</v>
      </c>
      <c r="F2882" s="298">
        <v>1997</v>
      </c>
      <c r="G2882" s="298"/>
      <c r="H2882" s="298" t="s">
        <v>1878</v>
      </c>
      <c r="I2882" s="299"/>
      <c r="J2882" s="298" t="s">
        <v>9744</v>
      </c>
      <c r="K2882" s="298" t="s">
        <v>1881</v>
      </c>
      <c r="L2882" s="299" t="s">
        <v>14179</v>
      </c>
      <c r="M2882" s="298">
        <v>704</v>
      </c>
      <c r="N2882" s="298"/>
      <c r="O2882" s="300" t="s">
        <v>12120</v>
      </c>
      <c r="P2882" s="301">
        <v>449</v>
      </c>
      <c r="Q2882" s="302">
        <f t="shared" si="160"/>
        <v>3.9799999999999995</v>
      </c>
      <c r="R2882" s="245">
        <v>2.2000000000000002</v>
      </c>
      <c r="S2882" s="199">
        <v>6.18</v>
      </c>
    </row>
    <row r="2883" spans="1:37" x14ac:dyDescent="0.25">
      <c r="A2883" s="298">
        <v>1849</v>
      </c>
      <c r="B2883" s="298" t="s">
        <v>14180</v>
      </c>
      <c r="C2883" s="298" t="s">
        <v>14181</v>
      </c>
      <c r="D2883" s="298"/>
      <c r="E2883" s="298"/>
      <c r="F2883" s="298">
        <v>1889</v>
      </c>
      <c r="G2883" s="298" t="s">
        <v>1097</v>
      </c>
      <c r="H2883" s="298" t="s">
        <v>2963</v>
      </c>
      <c r="I2883" s="299" t="s">
        <v>1914</v>
      </c>
      <c r="J2883" s="298"/>
      <c r="K2883" s="298" t="s">
        <v>14182</v>
      </c>
      <c r="L2883" s="299"/>
      <c r="M2883" s="298">
        <v>540</v>
      </c>
      <c r="N2883" s="298"/>
      <c r="O2883" s="300" t="s">
        <v>12121</v>
      </c>
      <c r="P2883" s="301">
        <v>568</v>
      </c>
      <c r="Q2883" s="302">
        <f t="shared" si="160"/>
        <v>30.7</v>
      </c>
      <c r="R2883" s="245">
        <v>2.2000000000000002</v>
      </c>
      <c r="S2883" s="199">
        <v>32.9</v>
      </c>
    </row>
    <row r="2884" spans="1:37" x14ac:dyDescent="0.25">
      <c r="A2884" s="298">
        <v>692</v>
      </c>
      <c r="B2884" s="298" t="s">
        <v>2935</v>
      </c>
      <c r="C2884" s="298" t="s">
        <v>14183</v>
      </c>
      <c r="D2884" s="298" t="s">
        <v>2309</v>
      </c>
      <c r="E2884" s="298"/>
      <c r="F2884" s="298">
        <v>2003</v>
      </c>
      <c r="G2884" s="298"/>
      <c r="H2884" s="298" t="s">
        <v>1878</v>
      </c>
      <c r="I2884" s="299" t="s">
        <v>1914</v>
      </c>
      <c r="J2884" s="298" t="s">
        <v>9196</v>
      </c>
      <c r="K2884" s="298" t="s">
        <v>1881</v>
      </c>
      <c r="L2884" s="299" t="s">
        <v>14184</v>
      </c>
      <c r="M2884" s="298">
        <v>220</v>
      </c>
      <c r="N2884" s="298"/>
      <c r="O2884" s="300" t="s">
        <v>12122</v>
      </c>
      <c r="P2884" s="301">
        <v>219</v>
      </c>
      <c r="Q2884" s="302">
        <f t="shared" si="160"/>
        <v>2.33</v>
      </c>
      <c r="R2884" s="245">
        <v>2.2000000000000002</v>
      </c>
      <c r="S2884" s="199">
        <v>4.53</v>
      </c>
    </row>
    <row r="2885" spans="1:37" x14ac:dyDescent="0.25">
      <c r="A2885" s="298">
        <v>1327</v>
      </c>
      <c r="B2885" s="298" t="s">
        <v>14185</v>
      </c>
      <c r="C2885" s="298" t="s">
        <v>14186</v>
      </c>
      <c r="D2885" s="298" t="s">
        <v>14187</v>
      </c>
      <c r="E2885" s="298" t="s">
        <v>1877</v>
      </c>
      <c r="F2885" s="298">
        <v>1972</v>
      </c>
      <c r="G2885" s="298"/>
      <c r="H2885" s="298" t="s">
        <v>1878</v>
      </c>
      <c r="I2885" s="299" t="s">
        <v>1914</v>
      </c>
      <c r="J2885" s="298" t="s">
        <v>14188</v>
      </c>
      <c r="K2885" s="298" t="s">
        <v>1881</v>
      </c>
      <c r="L2885" s="299"/>
      <c r="M2885" s="298">
        <v>210</v>
      </c>
      <c r="N2885" s="298"/>
      <c r="O2885" s="300" t="s">
        <v>12123</v>
      </c>
      <c r="P2885" s="301">
        <v>157</v>
      </c>
      <c r="Q2885" s="302">
        <f t="shared" si="160"/>
        <v>3.3999999999999995</v>
      </c>
      <c r="R2885" s="245">
        <v>2.2000000000000002</v>
      </c>
      <c r="S2885" s="199">
        <v>5.6</v>
      </c>
    </row>
    <row r="2886" spans="1:37" x14ac:dyDescent="0.25">
      <c r="A2886" s="298">
        <v>1008</v>
      </c>
      <c r="B2886" s="298" t="s">
        <v>14189</v>
      </c>
      <c r="C2886" s="298" t="s">
        <v>14190</v>
      </c>
      <c r="D2886" s="298" t="s">
        <v>9032</v>
      </c>
      <c r="E2886" s="298"/>
      <c r="F2886" s="298">
        <v>1974</v>
      </c>
      <c r="G2886" s="298"/>
      <c r="H2886" s="298" t="s">
        <v>1878</v>
      </c>
      <c r="I2886" s="299" t="s">
        <v>1914</v>
      </c>
      <c r="J2886" s="298"/>
      <c r="K2886" s="298" t="s">
        <v>1881</v>
      </c>
      <c r="L2886" s="299" t="s">
        <v>14191</v>
      </c>
      <c r="M2886" s="298">
        <v>253</v>
      </c>
      <c r="N2886" s="298"/>
      <c r="O2886" s="300" t="s">
        <v>12124</v>
      </c>
      <c r="P2886" s="301">
        <v>146</v>
      </c>
      <c r="Q2886" s="302">
        <f t="shared" si="160"/>
        <v>1.5799999999999996</v>
      </c>
      <c r="R2886" s="245">
        <v>2.2000000000000002</v>
      </c>
      <c r="S2886" s="199">
        <v>3.78</v>
      </c>
    </row>
    <row r="2887" spans="1:37" x14ac:dyDescent="0.25">
      <c r="A2887" s="298">
        <v>1849</v>
      </c>
      <c r="B2887" s="298" t="s">
        <v>14192</v>
      </c>
      <c r="C2887" s="298" t="s">
        <v>14193</v>
      </c>
      <c r="D2887" s="298" t="s">
        <v>14194</v>
      </c>
      <c r="E2887" s="298"/>
      <c r="F2887" s="298"/>
      <c r="G2887" s="298" t="s">
        <v>14195</v>
      </c>
      <c r="H2887" s="298" t="s">
        <v>2963</v>
      </c>
      <c r="I2887" s="299" t="s">
        <v>1914</v>
      </c>
      <c r="J2887" s="298"/>
      <c r="K2887" s="298" t="s">
        <v>14182</v>
      </c>
      <c r="L2887" s="299"/>
      <c r="M2887" s="298">
        <v>377</v>
      </c>
      <c r="N2887" s="298"/>
      <c r="O2887" s="300" t="s">
        <v>12125</v>
      </c>
      <c r="P2887" s="301">
        <v>263</v>
      </c>
      <c r="Q2887" s="302">
        <f t="shared" si="160"/>
        <v>20.8</v>
      </c>
      <c r="R2887" s="245">
        <v>2.2000000000000002</v>
      </c>
      <c r="S2887" s="199">
        <v>23</v>
      </c>
    </row>
    <row r="2888" spans="1:37" x14ac:dyDescent="0.25">
      <c r="A2888" s="298">
        <v>16</v>
      </c>
      <c r="B2888" s="298" t="s">
        <v>14196</v>
      </c>
      <c r="C2888" s="298" t="s">
        <v>14197</v>
      </c>
      <c r="D2888" s="298" t="s">
        <v>2609</v>
      </c>
      <c r="E2888" s="298"/>
      <c r="F2888" s="298">
        <v>1980</v>
      </c>
      <c r="G2888" s="298" t="s">
        <v>13841</v>
      </c>
      <c r="H2888" s="298" t="s">
        <v>1878</v>
      </c>
      <c r="I2888" s="299" t="s">
        <v>1914</v>
      </c>
      <c r="J2888" s="298"/>
      <c r="K2888" s="298" t="s">
        <v>1881</v>
      </c>
      <c r="L2888" s="299" t="s">
        <v>14198</v>
      </c>
      <c r="M2888" s="298">
        <v>133</v>
      </c>
      <c r="N2888" s="298"/>
      <c r="O2888" s="300" t="s">
        <v>12126</v>
      </c>
      <c r="P2888" s="301">
        <v>78</v>
      </c>
      <c r="Q2888" s="302">
        <f t="shared" si="160"/>
        <v>2.74</v>
      </c>
      <c r="R2888" s="245">
        <v>2.2000000000000002</v>
      </c>
      <c r="S2888" s="199">
        <f>2.45+2.49</f>
        <v>4.9400000000000004</v>
      </c>
    </row>
    <row r="2889" spans="1:37" x14ac:dyDescent="0.25">
      <c r="A2889" s="298">
        <v>718</v>
      </c>
      <c r="B2889" s="298" t="s">
        <v>14199</v>
      </c>
      <c r="C2889" s="298" t="s">
        <v>14200</v>
      </c>
      <c r="D2889" s="298" t="s">
        <v>14201</v>
      </c>
      <c r="E2889" s="298"/>
      <c r="F2889" s="298">
        <v>2004</v>
      </c>
      <c r="G2889" s="298" t="s">
        <v>13841</v>
      </c>
      <c r="H2889" s="298" t="s">
        <v>1878</v>
      </c>
      <c r="I2889" s="299" t="s">
        <v>1879</v>
      </c>
      <c r="J2889" s="298"/>
      <c r="K2889" s="298" t="s">
        <v>1881</v>
      </c>
      <c r="L2889" s="299" t="s">
        <v>14202</v>
      </c>
      <c r="M2889" s="298">
        <v>209</v>
      </c>
      <c r="N2889" s="298"/>
      <c r="O2889" s="300" t="s">
        <v>12127</v>
      </c>
      <c r="P2889" s="301">
        <v>300</v>
      </c>
      <c r="Q2889" s="302">
        <f t="shared" si="160"/>
        <v>2.59</v>
      </c>
      <c r="R2889" s="245">
        <v>2.2000000000000002</v>
      </c>
      <c r="S2889" s="199">
        <v>4.79</v>
      </c>
    </row>
    <row r="2890" spans="1:37" x14ac:dyDescent="0.25">
      <c r="A2890" s="298">
        <v>1004</v>
      </c>
      <c r="B2890" s="298" t="s">
        <v>14203</v>
      </c>
      <c r="C2890" s="298" t="s">
        <v>14204</v>
      </c>
      <c r="D2890" s="298" t="s">
        <v>14205</v>
      </c>
      <c r="E2890" s="298"/>
      <c r="F2890" s="298">
        <v>1982</v>
      </c>
      <c r="G2890" s="298"/>
      <c r="H2890" s="298" t="s">
        <v>1878</v>
      </c>
      <c r="I2890" s="299" t="s">
        <v>1914</v>
      </c>
      <c r="J2890" s="298"/>
      <c r="K2890" s="298" t="s">
        <v>1881</v>
      </c>
      <c r="L2890" s="299" t="s">
        <v>14206</v>
      </c>
      <c r="M2890" s="298">
        <v>255</v>
      </c>
      <c r="N2890" s="298"/>
      <c r="O2890" s="300" t="s">
        <v>12128</v>
      </c>
      <c r="P2890" s="301">
        <v>331</v>
      </c>
      <c r="Q2890" s="302">
        <f t="shared" si="160"/>
        <v>4.5</v>
      </c>
      <c r="R2890" s="245">
        <v>2.2000000000000002</v>
      </c>
      <c r="S2890" s="199">
        <v>6.7</v>
      </c>
    </row>
    <row r="2891" spans="1:37" x14ac:dyDescent="0.25">
      <c r="A2891" s="298">
        <v>692</v>
      </c>
      <c r="B2891" s="298" t="s">
        <v>14207</v>
      </c>
      <c r="C2891" s="298" t="s">
        <v>14208</v>
      </c>
      <c r="D2891" s="298" t="s">
        <v>1912</v>
      </c>
      <c r="E2891" s="298" t="s">
        <v>1913</v>
      </c>
      <c r="F2891" s="298">
        <v>1995</v>
      </c>
      <c r="G2891" s="298" t="s">
        <v>13845</v>
      </c>
      <c r="H2891" s="298" t="s">
        <v>1878</v>
      </c>
      <c r="I2891" s="299" t="s">
        <v>1914</v>
      </c>
      <c r="J2891" s="298"/>
      <c r="K2891" s="298" t="s">
        <v>1881</v>
      </c>
      <c r="L2891" s="299" t="s">
        <v>14209</v>
      </c>
      <c r="M2891" s="298">
        <v>252</v>
      </c>
      <c r="N2891" s="298"/>
      <c r="O2891" s="300" t="s">
        <v>12129</v>
      </c>
      <c r="P2891" s="301">
        <v>226</v>
      </c>
      <c r="Q2891" s="302">
        <f t="shared" si="160"/>
        <v>1.8899999999999997</v>
      </c>
      <c r="R2891" s="245">
        <v>2.2000000000000002</v>
      </c>
      <c r="S2891" s="199">
        <v>4.09</v>
      </c>
    </row>
    <row r="2892" spans="1:37" x14ac:dyDescent="0.25">
      <c r="A2892" s="298">
        <v>765</v>
      </c>
      <c r="B2892" s="298" t="s">
        <v>14236</v>
      </c>
      <c r="C2892" s="298" t="s">
        <v>14237</v>
      </c>
      <c r="D2892" s="298" t="s">
        <v>1920</v>
      </c>
      <c r="E2892" s="298" t="s">
        <v>2175</v>
      </c>
      <c r="F2892" s="298">
        <v>1999</v>
      </c>
      <c r="G2892" s="298"/>
      <c r="H2892" s="298" t="s">
        <v>1878</v>
      </c>
      <c r="I2892" s="299" t="s">
        <v>1879</v>
      </c>
      <c r="J2892" s="298"/>
      <c r="K2892" s="298" t="s">
        <v>1881</v>
      </c>
      <c r="L2892" s="299" t="s">
        <v>14238</v>
      </c>
      <c r="M2892" s="298">
        <v>253</v>
      </c>
      <c r="N2892" s="298"/>
      <c r="O2892" s="300" t="s">
        <v>12130</v>
      </c>
      <c r="P2892" s="301">
        <v>175</v>
      </c>
      <c r="Q2892" s="302">
        <f>S2892-R2892</f>
        <v>1.77</v>
      </c>
      <c r="R2892" s="245">
        <v>2.2000000000000002</v>
      </c>
      <c r="S2892" s="199">
        <v>3.97</v>
      </c>
      <c r="T2892" s="199"/>
      <c r="W2892" s="199"/>
      <c r="X2892" s="297"/>
      <c r="Y2892" s="297"/>
      <c r="Z2892" s="297"/>
      <c r="AA2892" s="297"/>
      <c r="AB2892" s="297"/>
      <c r="AC2892" s="297"/>
      <c r="AD2892" s="297"/>
      <c r="AE2892" s="198"/>
      <c r="AF2892" s="198"/>
      <c r="AG2892" s="198"/>
      <c r="AI2892" s="198"/>
      <c r="AJ2892" s="198"/>
      <c r="AK2892" s="198"/>
    </row>
    <row r="2893" spans="1:37" x14ac:dyDescent="0.25">
      <c r="A2893" s="298">
        <v>692</v>
      </c>
      <c r="B2893" s="298" t="s">
        <v>14239</v>
      </c>
      <c r="C2893" s="298" t="s">
        <v>14240</v>
      </c>
      <c r="D2893" s="298" t="s">
        <v>2609</v>
      </c>
      <c r="E2893" s="298"/>
      <c r="F2893" s="298">
        <v>1990</v>
      </c>
      <c r="G2893" s="298"/>
      <c r="H2893" s="298" t="s">
        <v>1878</v>
      </c>
      <c r="I2893" s="299" t="s">
        <v>7527</v>
      </c>
      <c r="J2893" s="298"/>
      <c r="K2893" s="298" t="s">
        <v>1881</v>
      </c>
      <c r="L2893" s="299" t="s">
        <v>14241</v>
      </c>
      <c r="M2893" s="298">
        <v>234</v>
      </c>
      <c r="N2893" s="298"/>
      <c r="O2893" s="300" t="s">
        <v>12131</v>
      </c>
      <c r="P2893" s="301">
        <v>169</v>
      </c>
      <c r="Q2893" s="302">
        <f t="shared" ref="Q2893:Q2920" si="161">S2893-R2893</f>
        <v>1.9799999999999995</v>
      </c>
      <c r="R2893" s="245">
        <v>2.2000000000000002</v>
      </c>
      <c r="S2893" s="199">
        <v>4.18</v>
      </c>
      <c r="T2893" s="199"/>
      <c r="W2893" s="199"/>
      <c r="X2893" s="297"/>
      <c r="Y2893" s="297"/>
      <c r="Z2893" s="297"/>
      <c r="AA2893" s="297"/>
      <c r="AB2893" s="297"/>
      <c r="AC2893" s="297"/>
      <c r="AD2893" s="297"/>
      <c r="AE2893" s="198"/>
      <c r="AF2893" s="198"/>
      <c r="AG2893" s="198"/>
      <c r="AI2893" s="198"/>
      <c r="AJ2893" s="198"/>
      <c r="AK2893" s="198"/>
    </row>
    <row r="2894" spans="1:37" x14ac:dyDescent="0.25">
      <c r="A2894" s="298">
        <v>765</v>
      </c>
      <c r="B2894" s="298" t="s">
        <v>14242</v>
      </c>
      <c r="C2894" s="298" t="s">
        <v>14243</v>
      </c>
      <c r="D2894" s="298" t="s">
        <v>14244</v>
      </c>
      <c r="E2894" s="298" t="s">
        <v>1913</v>
      </c>
      <c r="F2894" s="298">
        <v>1975</v>
      </c>
      <c r="G2894" s="298"/>
      <c r="H2894" s="298" t="s">
        <v>2963</v>
      </c>
      <c r="I2894" s="299" t="s">
        <v>1879</v>
      </c>
      <c r="J2894" s="298"/>
      <c r="K2894" s="298" t="s">
        <v>1881</v>
      </c>
      <c r="L2894" s="299" t="s">
        <v>14245</v>
      </c>
      <c r="M2894" s="298">
        <v>232</v>
      </c>
      <c r="N2894" s="298"/>
      <c r="O2894" s="300" t="s">
        <v>12132</v>
      </c>
      <c r="P2894" s="301">
        <v>249</v>
      </c>
      <c r="Q2894" s="302">
        <f t="shared" si="161"/>
        <v>2.29</v>
      </c>
      <c r="R2894" s="245">
        <v>2.2000000000000002</v>
      </c>
      <c r="S2894" s="199">
        <v>4.49</v>
      </c>
      <c r="T2894" s="199"/>
      <c r="W2894" s="199"/>
      <c r="X2894" s="297"/>
      <c r="Y2894" s="297"/>
      <c r="Z2894" s="297"/>
      <c r="AA2894" s="297"/>
      <c r="AB2894" s="297"/>
      <c r="AC2894" s="297"/>
      <c r="AD2894" s="297"/>
      <c r="AE2894" s="198"/>
      <c r="AF2894" s="198"/>
      <c r="AG2894" s="198"/>
      <c r="AI2894" s="198"/>
      <c r="AJ2894" s="198"/>
      <c r="AK2894" s="198"/>
    </row>
    <row r="2895" spans="1:37" x14ac:dyDescent="0.25">
      <c r="A2895" s="298">
        <v>852</v>
      </c>
      <c r="B2895" s="298" t="s">
        <v>14246</v>
      </c>
      <c r="C2895" s="298" t="s">
        <v>14247</v>
      </c>
      <c r="D2895" s="298" t="s">
        <v>10121</v>
      </c>
      <c r="E2895" s="298"/>
      <c r="F2895" s="298">
        <v>2001</v>
      </c>
      <c r="G2895" s="298"/>
      <c r="H2895" s="298" t="s">
        <v>2963</v>
      </c>
      <c r="I2895" s="299" t="s">
        <v>1879</v>
      </c>
      <c r="J2895" s="298"/>
      <c r="K2895" s="298" t="s">
        <v>1881</v>
      </c>
      <c r="L2895" s="299"/>
      <c r="M2895" s="298">
        <v>342</v>
      </c>
      <c r="N2895" s="298"/>
      <c r="O2895" s="300" t="s">
        <v>12133</v>
      </c>
      <c r="P2895" s="301">
        <v>554</v>
      </c>
      <c r="Q2895" s="302">
        <f t="shared" si="161"/>
        <v>3.0999999999999996</v>
      </c>
      <c r="R2895" s="245">
        <v>2.2000000000000002</v>
      </c>
      <c r="S2895" s="199">
        <v>5.3</v>
      </c>
      <c r="T2895" s="199"/>
      <c r="W2895" s="199"/>
      <c r="X2895" s="297"/>
      <c r="Y2895" s="297"/>
      <c r="Z2895" s="297"/>
      <c r="AA2895" s="297"/>
      <c r="AB2895" s="297"/>
      <c r="AC2895" s="297"/>
      <c r="AD2895" s="297"/>
      <c r="AE2895" s="198"/>
      <c r="AF2895" s="198"/>
      <c r="AG2895" s="198"/>
      <c r="AI2895" s="198"/>
      <c r="AJ2895" s="198"/>
      <c r="AK2895" s="198"/>
    </row>
    <row r="2896" spans="1:37" x14ac:dyDescent="0.25">
      <c r="A2896" s="298">
        <v>964</v>
      </c>
      <c r="B2896" s="298" t="s">
        <v>14248</v>
      </c>
      <c r="C2896" s="298" t="s">
        <v>14249</v>
      </c>
      <c r="D2896" s="298" t="s">
        <v>14250</v>
      </c>
      <c r="E2896" s="298"/>
      <c r="F2896" s="298">
        <v>1979</v>
      </c>
      <c r="G2896" s="298"/>
      <c r="H2896" s="298" t="s">
        <v>2963</v>
      </c>
      <c r="I2896" s="299" t="s">
        <v>1914</v>
      </c>
      <c r="J2896" s="298" t="s">
        <v>14251</v>
      </c>
      <c r="K2896" s="298" t="s">
        <v>1881</v>
      </c>
      <c r="L2896" s="299" t="s">
        <v>14252</v>
      </c>
      <c r="M2896" s="298">
        <v>323</v>
      </c>
      <c r="N2896" s="298"/>
      <c r="O2896" s="300" t="s">
        <v>12134</v>
      </c>
      <c r="P2896" s="301">
        <v>754</v>
      </c>
      <c r="Q2896" s="302">
        <f t="shared" si="161"/>
        <v>2.12</v>
      </c>
      <c r="R2896" s="245">
        <v>2.2000000000000002</v>
      </c>
      <c r="S2896" s="199">
        <v>4.32</v>
      </c>
      <c r="T2896" s="199"/>
      <c r="W2896" s="199"/>
      <c r="X2896" s="297"/>
      <c r="Y2896" s="297"/>
      <c r="Z2896" s="297"/>
      <c r="AA2896" s="297"/>
      <c r="AB2896" s="297"/>
      <c r="AC2896" s="297"/>
      <c r="AD2896" s="297"/>
      <c r="AE2896" s="198"/>
      <c r="AF2896" s="198"/>
      <c r="AG2896" s="198"/>
      <c r="AI2896" s="198"/>
      <c r="AJ2896" s="198"/>
      <c r="AK2896" s="198"/>
    </row>
    <row r="2897" spans="1:37" x14ac:dyDescent="0.25">
      <c r="A2897" s="298">
        <v>2547</v>
      </c>
      <c r="B2897" s="298" t="s">
        <v>9503</v>
      </c>
      <c r="C2897" s="298" t="s">
        <v>14253</v>
      </c>
      <c r="D2897" s="298" t="s">
        <v>1920</v>
      </c>
      <c r="E2897" s="298" t="s">
        <v>2157</v>
      </c>
      <c r="F2897" s="298">
        <v>2005</v>
      </c>
      <c r="G2897" s="298"/>
      <c r="H2897" s="298" t="s">
        <v>1878</v>
      </c>
      <c r="I2897" s="299" t="s">
        <v>7527</v>
      </c>
      <c r="J2897" s="298"/>
      <c r="K2897" s="298" t="s">
        <v>1881</v>
      </c>
      <c r="L2897" s="299" t="s">
        <v>14254</v>
      </c>
      <c r="M2897" s="298">
        <v>398</v>
      </c>
      <c r="N2897" s="298"/>
      <c r="O2897" s="300" t="s">
        <v>12135</v>
      </c>
      <c r="P2897" s="301">
        <v>348</v>
      </c>
      <c r="Q2897" s="302">
        <f t="shared" si="161"/>
        <v>1.8899999999999997</v>
      </c>
      <c r="R2897" s="245">
        <v>2.2000000000000002</v>
      </c>
      <c r="S2897" s="199">
        <v>4.09</v>
      </c>
      <c r="T2897" s="199"/>
      <c r="W2897" s="199"/>
      <c r="X2897" s="297"/>
      <c r="Y2897" s="297"/>
      <c r="Z2897" s="297"/>
      <c r="AA2897" s="297"/>
      <c r="AB2897" s="297"/>
      <c r="AC2897" s="297"/>
      <c r="AD2897" s="297"/>
      <c r="AE2897" s="198"/>
      <c r="AF2897" s="198"/>
      <c r="AG2897" s="198"/>
      <c r="AI2897" s="198"/>
      <c r="AJ2897" s="198"/>
      <c r="AK2897" s="198"/>
    </row>
    <row r="2898" spans="1:37" x14ac:dyDescent="0.25">
      <c r="A2898" s="298">
        <v>8</v>
      </c>
      <c r="B2898" s="298" t="s">
        <v>14255</v>
      </c>
      <c r="C2898" s="298" t="s">
        <v>14256</v>
      </c>
      <c r="D2898" s="298" t="s">
        <v>2644</v>
      </c>
      <c r="E2898" s="298"/>
      <c r="F2898" s="298"/>
      <c r="G2898" s="298"/>
      <c r="H2898" s="298" t="s">
        <v>1878</v>
      </c>
      <c r="I2898" s="299" t="s">
        <v>1914</v>
      </c>
      <c r="J2898" s="298"/>
      <c r="K2898" s="298" t="s">
        <v>1881</v>
      </c>
      <c r="L2898" s="299" t="s">
        <v>14257</v>
      </c>
      <c r="M2898" s="298">
        <v>705</v>
      </c>
      <c r="N2898" s="298"/>
      <c r="O2898" s="300" t="s">
        <v>12136</v>
      </c>
      <c r="P2898" s="301">
        <v>457</v>
      </c>
      <c r="Q2898" s="302">
        <f t="shared" si="161"/>
        <v>3.17</v>
      </c>
      <c r="R2898" s="245">
        <v>2.2000000000000002</v>
      </c>
      <c r="S2898" s="199">
        <v>5.37</v>
      </c>
      <c r="T2898" s="199"/>
      <c r="W2898" s="199"/>
      <c r="X2898" s="297"/>
      <c r="Y2898" s="297"/>
      <c r="Z2898" s="297"/>
      <c r="AA2898" s="297"/>
      <c r="AB2898" s="297"/>
      <c r="AC2898" s="297"/>
      <c r="AD2898" s="297"/>
      <c r="AE2898" s="198"/>
      <c r="AF2898" s="198"/>
      <c r="AG2898" s="198"/>
      <c r="AI2898" s="198"/>
      <c r="AJ2898" s="198"/>
      <c r="AK2898" s="198"/>
    </row>
    <row r="2899" spans="1:37" x14ac:dyDescent="0.25">
      <c r="A2899" s="298">
        <v>796</v>
      </c>
      <c r="B2899" s="298" t="s">
        <v>7334</v>
      </c>
      <c r="C2899" s="298" t="s">
        <v>14258</v>
      </c>
      <c r="D2899" s="298" t="s">
        <v>9032</v>
      </c>
      <c r="E2899" s="298"/>
      <c r="F2899" s="298">
        <v>1995</v>
      </c>
      <c r="G2899" s="298"/>
      <c r="H2899" s="298" t="s">
        <v>1878</v>
      </c>
      <c r="I2899" s="299" t="s">
        <v>7527</v>
      </c>
      <c r="J2899" s="298"/>
      <c r="K2899" s="298" t="s">
        <v>1881</v>
      </c>
      <c r="L2899" s="299" t="s">
        <v>14259</v>
      </c>
      <c r="M2899" s="298">
        <v>703</v>
      </c>
      <c r="N2899" s="298"/>
      <c r="O2899" s="300" t="s">
        <v>12137</v>
      </c>
      <c r="P2899" s="301">
        <v>403</v>
      </c>
      <c r="Q2899" s="302">
        <f t="shared" si="161"/>
        <v>1.1999999999999997</v>
      </c>
      <c r="R2899" s="245">
        <v>2.2000000000000002</v>
      </c>
      <c r="S2899" s="199">
        <v>3.4</v>
      </c>
      <c r="T2899" s="199"/>
      <c r="W2899" s="199"/>
      <c r="X2899" s="297"/>
      <c r="Y2899" s="297"/>
      <c r="Z2899" s="297"/>
      <c r="AA2899" s="297"/>
      <c r="AB2899" s="297"/>
      <c r="AC2899" s="297"/>
      <c r="AD2899" s="297"/>
      <c r="AE2899" s="198"/>
      <c r="AF2899" s="198"/>
      <c r="AG2899" s="198"/>
      <c r="AI2899" s="198"/>
      <c r="AJ2899" s="198"/>
      <c r="AK2899" s="198"/>
    </row>
    <row r="2900" spans="1:37" x14ac:dyDescent="0.25">
      <c r="A2900" s="298">
        <v>1719</v>
      </c>
      <c r="B2900" s="298" t="s">
        <v>14260</v>
      </c>
      <c r="C2900" s="298" t="s">
        <v>14261</v>
      </c>
      <c r="D2900" s="298" t="s">
        <v>14262</v>
      </c>
      <c r="E2900" s="298" t="s">
        <v>1913</v>
      </c>
      <c r="F2900" s="298">
        <v>2006</v>
      </c>
      <c r="G2900" s="298"/>
      <c r="H2900" s="298" t="s">
        <v>2963</v>
      </c>
      <c r="I2900" s="299" t="s">
        <v>1879</v>
      </c>
      <c r="J2900" s="298"/>
      <c r="K2900" s="298" t="s">
        <v>1881</v>
      </c>
      <c r="L2900" s="299" t="s">
        <v>14263</v>
      </c>
      <c r="M2900" s="298">
        <v>317</v>
      </c>
      <c r="N2900" s="298"/>
      <c r="O2900" s="300" t="s">
        <v>12138</v>
      </c>
      <c r="P2900" s="301">
        <v>338</v>
      </c>
      <c r="Q2900" s="302">
        <f t="shared" si="161"/>
        <v>1.2999999999999998</v>
      </c>
      <c r="R2900" s="245">
        <v>2.2000000000000002</v>
      </c>
      <c r="S2900" s="199">
        <v>3.5</v>
      </c>
      <c r="T2900" s="199"/>
      <c r="W2900" s="199"/>
      <c r="X2900" s="297"/>
      <c r="Y2900" s="297"/>
      <c r="Z2900" s="297"/>
      <c r="AA2900" s="297"/>
      <c r="AB2900" s="297"/>
      <c r="AC2900" s="297"/>
      <c r="AD2900" s="297"/>
      <c r="AE2900" s="198"/>
      <c r="AF2900" s="198"/>
      <c r="AG2900" s="198"/>
      <c r="AI2900" s="198"/>
      <c r="AJ2900" s="198"/>
      <c r="AK2900" s="198"/>
    </row>
    <row r="2901" spans="1:37" x14ac:dyDescent="0.25">
      <c r="A2901" s="298">
        <v>832</v>
      </c>
      <c r="B2901" s="298" t="s">
        <v>14264</v>
      </c>
      <c r="C2901" s="298" t="s">
        <v>14265</v>
      </c>
      <c r="D2901" s="298" t="s">
        <v>2309</v>
      </c>
      <c r="E2901" s="298"/>
      <c r="F2901" s="298">
        <v>1971</v>
      </c>
      <c r="G2901" s="298"/>
      <c r="H2901" s="298" t="s">
        <v>1878</v>
      </c>
      <c r="I2901" s="299" t="s">
        <v>1914</v>
      </c>
      <c r="J2901" s="298"/>
      <c r="K2901" s="298" t="s">
        <v>1881</v>
      </c>
      <c r="L2901" s="299" t="s">
        <v>14266</v>
      </c>
      <c r="M2901" s="298">
        <v>383</v>
      </c>
      <c r="N2901" s="298"/>
      <c r="O2901" s="300" t="s">
        <v>12139</v>
      </c>
      <c r="P2901" s="301">
        <v>294</v>
      </c>
      <c r="Q2901" s="302">
        <f t="shared" si="161"/>
        <v>1.73</v>
      </c>
      <c r="R2901" s="245">
        <v>2.2000000000000002</v>
      </c>
      <c r="S2901" s="199">
        <v>3.93</v>
      </c>
      <c r="T2901" s="199"/>
      <c r="W2901" s="199"/>
      <c r="X2901" s="297"/>
      <c r="Y2901" s="297"/>
      <c r="Z2901" s="297"/>
      <c r="AA2901" s="297"/>
      <c r="AB2901" s="297"/>
      <c r="AC2901" s="297"/>
      <c r="AD2901" s="297"/>
      <c r="AE2901" s="198"/>
      <c r="AF2901" s="198"/>
      <c r="AG2901" s="198"/>
      <c r="AI2901" s="198"/>
      <c r="AJ2901" s="198"/>
      <c r="AK2901" s="198"/>
    </row>
    <row r="2902" spans="1:37" x14ac:dyDescent="0.25">
      <c r="A2902" s="298">
        <v>1327</v>
      </c>
      <c r="B2902" s="298" t="s">
        <v>14267</v>
      </c>
      <c r="C2902" s="298" t="s">
        <v>14268</v>
      </c>
      <c r="D2902" s="298" t="s">
        <v>5005</v>
      </c>
      <c r="E2902" s="298"/>
      <c r="F2902" s="298"/>
      <c r="G2902" s="298"/>
      <c r="H2902" s="298" t="s">
        <v>2963</v>
      </c>
      <c r="I2902" s="299" t="s">
        <v>1879</v>
      </c>
      <c r="J2902" s="298"/>
      <c r="K2902" s="298" t="s">
        <v>1881</v>
      </c>
      <c r="L2902" s="299"/>
      <c r="M2902" s="298">
        <v>382</v>
      </c>
      <c r="N2902" s="298"/>
      <c r="O2902" s="300" t="s">
        <v>12140</v>
      </c>
      <c r="P2902" s="301">
        <v>585</v>
      </c>
      <c r="Q2902" s="302">
        <f t="shared" si="161"/>
        <v>3.6099999999999994</v>
      </c>
      <c r="R2902" s="245">
        <v>2.2000000000000002</v>
      </c>
      <c r="S2902" s="199">
        <v>5.81</v>
      </c>
      <c r="T2902" s="199"/>
      <c r="W2902" s="199"/>
      <c r="X2902" s="297"/>
      <c r="Y2902" s="297"/>
      <c r="Z2902" s="297"/>
      <c r="AA2902" s="297"/>
      <c r="AB2902" s="297"/>
      <c r="AC2902" s="297"/>
      <c r="AD2902" s="297"/>
      <c r="AE2902" s="198"/>
      <c r="AF2902" s="198"/>
      <c r="AG2902" s="198"/>
      <c r="AI2902" s="198"/>
      <c r="AJ2902" s="198"/>
      <c r="AK2902" s="198"/>
    </row>
    <row r="2903" spans="1:37" x14ac:dyDescent="0.25">
      <c r="A2903" s="298">
        <v>1386</v>
      </c>
      <c r="B2903" s="298" t="s">
        <v>11682</v>
      </c>
      <c r="C2903" s="298" t="s">
        <v>14269</v>
      </c>
      <c r="D2903" s="298" t="s">
        <v>1920</v>
      </c>
      <c r="E2903" s="298"/>
      <c r="F2903" s="298">
        <v>2001</v>
      </c>
      <c r="G2903" s="298"/>
      <c r="H2903" s="298" t="s">
        <v>1878</v>
      </c>
      <c r="I2903" s="299" t="s">
        <v>1914</v>
      </c>
      <c r="J2903" s="298"/>
      <c r="K2903" s="298" t="s">
        <v>1881</v>
      </c>
      <c r="L2903" s="299" t="s">
        <v>14270</v>
      </c>
      <c r="M2903" s="298">
        <v>603</v>
      </c>
      <c r="N2903" s="298"/>
      <c r="O2903" s="300" t="s">
        <v>12141</v>
      </c>
      <c r="P2903" s="301">
        <v>510</v>
      </c>
      <c r="Q2903" s="302">
        <f t="shared" si="161"/>
        <v>1.7999999999999998</v>
      </c>
      <c r="R2903" s="245">
        <v>2.2000000000000002</v>
      </c>
      <c r="S2903" s="199">
        <v>4</v>
      </c>
      <c r="T2903" s="199"/>
      <c r="W2903" s="199"/>
      <c r="X2903" s="297"/>
      <c r="Y2903" s="297"/>
      <c r="Z2903" s="297"/>
      <c r="AA2903" s="297"/>
      <c r="AB2903" s="297"/>
      <c r="AC2903" s="297"/>
      <c r="AD2903" s="297"/>
      <c r="AE2903" s="198"/>
      <c r="AF2903" s="198"/>
      <c r="AG2903" s="198"/>
      <c r="AI2903" s="198"/>
      <c r="AJ2903" s="198"/>
      <c r="AK2903" s="198"/>
    </row>
    <row r="2904" spans="1:37" x14ac:dyDescent="0.25">
      <c r="A2904" s="298">
        <v>2514</v>
      </c>
      <c r="B2904" s="298" t="s">
        <v>7912</v>
      </c>
      <c r="C2904" s="298" t="s">
        <v>14271</v>
      </c>
      <c r="D2904" s="298" t="s">
        <v>1979</v>
      </c>
      <c r="E2904" s="298"/>
      <c r="F2904" s="298">
        <v>2003</v>
      </c>
      <c r="G2904" s="298"/>
      <c r="H2904" s="298" t="s">
        <v>2963</v>
      </c>
      <c r="I2904" s="299" t="s">
        <v>1879</v>
      </c>
      <c r="J2904" s="298"/>
      <c r="K2904" s="298" t="s">
        <v>1881</v>
      </c>
      <c r="L2904" s="299" t="s">
        <v>14272</v>
      </c>
      <c r="M2904" s="298">
        <v>142</v>
      </c>
      <c r="N2904" s="298"/>
      <c r="O2904" s="300" t="s">
        <v>12142</v>
      </c>
      <c r="P2904" s="301">
        <v>247</v>
      </c>
      <c r="Q2904" s="302">
        <f t="shared" si="161"/>
        <v>1.4</v>
      </c>
      <c r="R2904" s="245">
        <v>2.2000000000000002</v>
      </c>
      <c r="S2904" s="199">
        <v>3.6</v>
      </c>
      <c r="T2904" s="199"/>
      <c r="W2904" s="199"/>
      <c r="X2904" s="297"/>
      <c r="Y2904" s="297"/>
      <c r="Z2904" s="297"/>
      <c r="AA2904" s="297"/>
      <c r="AB2904" s="297"/>
      <c r="AC2904" s="297"/>
      <c r="AD2904" s="297"/>
      <c r="AE2904" s="198"/>
      <c r="AF2904" s="198"/>
      <c r="AG2904" s="198"/>
      <c r="AI2904" s="198"/>
      <c r="AJ2904" s="198"/>
      <c r="AK2904" s="198"/>
    </row>
    <row r="2905" spans="1:37" x14ac:dyDescent="0.25">
      <c r="A2905" s="298">
        <v>2548</v>
      </c>
      <c r="B2905" s="298" t="s">
        <v>3956</v>
      </c>
      <c r="C2905" s="298" t="s">
        <v>14273</v>
      </c>
      <c r="D2905" s="298" t="s">
        <v>2644</v>
      </c>
      <c r="E2905" s="298"/>
      <c r="F2905" s="298">
        <v>1997</v>
      </c>
      <c r="G2905" s="298"/>
      <c r="H2905" s="298" t="s">
        <v>1878</v>
      </c>
      <c r="I2905" s="299" t="s">
        <v>1879</v>
      </c>
      <c r="J2905" s="298"/>
      <c r="K2905" s="298" t="s">
        <v>1881</v>
      </c>
      <c r="L2905" s="299" t="s">
        <v>14274</v>
      </c>
      <c r="M2905" s="298">
        <v>370</v>
      </c>
      <c r="N2905" s="298"/>
      <c r="O2905" s="300" t="s">
        <v>12143</v>
      </c>
      <c r="P2905" s="301">
        <v>283</v>
      </c>
      <c r="Q2905" s="302">
        <f t="shared" si="161"/>
        <v>1.63</v>
      </c>
      <c r="R2905" s="245">
        <v>2.2000000000000002</v>
      </c>
      <c r="S2905" s="199">
        <v>3.83</v>
      </c>
      <c r="T2905" s="199"/>
      <c r="W2905" s="199"/>
      <c r="X2905" s="297"/>
      <c r="Y2905" s="297"/>
      <c r="Z2905" s="297"/>
      <c r="AA2905" s="297"/>
      <c r="AB2905" s="297"/>
      <c r="AC2905" s="297"/>
      <c r="AD2905" s="297"/>
      <c r="AE2905" s="198"/>
      <c r="AF2905" s="198"/>
      <c r="AG2905" s="198"/>
      <c r="AI2905" s="198"/>
      <c r="AJ2905" s="198"/>
      <c r="AK2905" s="198"/>
    </row>
    <row r="2906" spans="1:37" x14ac:dyDescent="0.25">
      <c r="A2906" s="298">
        <v>1218</v>
      </c>
      <c r="B2906" s="298" t="s">
        <v>14275</v>
      </c>
      <c r="C2906" s="298" t="s">
        <v>14276</v>
      </c>
      <c r="D2906" s="298" t="s">
        <v>14277</v>
      </c>
      <c r="E2906" s="298"/>
      <c r="F2906" s="298">
        <v>1981</v>
      </c>
      <c r="G2906" s="298"/>
      <c r="H2906" s="298" t="s">
        <v>1878</v>
      </c>
      <c r="I2906" s="299" t="s">
        <v>8132</v>
      </c>
      <c r="J2906" s="298"/>
      <c r="K2906" s="298" t="s">
        <v>1881</v>
      </c>
      <c r="L2906" s="299" t="s">
        <v>14278</v>
      </c>
      <c r="M2906" s="298">
        <v>242</v>
      </c>
      <c r="N2906" s="298"/>
      <c r="O2906" s="300" t="s">
        <v>12144</v>
      </c>
      <c r="P2906" s="301">
        <v>228</v>
      </c>
      <c r="Q2906" s="302">
        <f t="shared" si="161"/>
        <v>3.74</v>
      </c>
      <c r="R2906" s="245">
        <v>2.2000000000000002</v>
      </c>
      <c r="S2906" s="199">
        <f>3.45+2.49</f>
        <v>5.94</v>
      </c>
      <c r="T2906" s="199"/>
      <c r="W2906" s="199"/>
      <c r="X2906" s="297"/>
      <c r="Y2906" s="297"/>
      <c r="Z2906" s="297"/>
      <c r="AA2906" s="297"/>
      <c r="AB2906" s="297"/>
      <c r="AC2906" s="297"/>
      <c r="AD2906" s="297"/>
      <c r="AE2906" s="198"/>
      <c r="AF2906" s="198"/>
      <c r="AG2906" s="198"/>
      <c r="AI2906" s="198"/>
      <c r="AJ2906" s="198"/>
      <c r="AK2906" s="198"/>
    </row>
    <row r="2907" spans="1:37" ht="12.6" customHeight="1" x14ac:dyDescent="0.25">
      <c r="A2907" s="298">
        <v>1719</v>
      </c>
      <c r="B2907" s="298" t="s">
        <v>5006</v>
      </c>
      <c r="C2907" s="298" t="s">
        <v>14279</v>
      </c>
      <c r="D2907" s="298"/>
      <c r="E2907" s="298"/>
      <c r="F2907" s="298">
        <v>2000</v>
      </c>
      <c r="G2907" s="298"/>
      <c r="H2907" s="298" t="s">
        <v>2963</v>
      </c>
      <c r="I2907" s="299" t="s">
        <v>7527</v>
      </c>
      <c r="J2907" s="298" t="s">
        <v>14280</v>
      </c>
      <c r="K2907" s="298" t="s">
        <v>1881</v>
      </c>
      <c r="L2907" s="299" t="s">
        <v>14281</v>
      </c>
      <c r="M2907" s="298">
        <v>319</v>
      </c>
      <c r="N2907" s="298"/>
      <c r="O2907" s="300" t="s">
        <v>12145</v>
      </c>
      <c r="P2907" s="301">
        <v>501</v>
      </c>
      <c r="Q2907" s="302">
        <f t="shared" si="161"/>
        <v>0.69</v>
      </c>
      <c r="R2907" s="245">
        <v>2.2000000000000002</v>
      </c>
      <c r="S2907" s="199">
        <v>2.89</v>
      </c>
      <c r="T2907" s="199"/>
      <c r="W2907" s="199"/>
      <c r="X2907" s="297"/>
      <c r="Y2907" s="297"/>
      <c r="Z2907" s="297"/>
      <c r="AA2907" s="297"/>
      <c r="AB2907" s="297"/>
      <c r="AC2907" s="297"/>
      <c r="AD2907" s="297"/>
      <c r="AE2907" s="198"/>
      <c r="AF2907" s="198"/>
      <c r="AG2907" s="198"/>
      <c r="AI2907" s="198"/>
      <c r="AJ2907" s="198"/>
      <c r="AK2907" s="198"/>
    </row>
    <row r="2908" spans="1:37" x14ac:dyDescent="0.25">
      <c r="A2908" s="298">
        <v>2972</v>
      </c>
      <c r="B2908" s="298" t="s">
        <v>14285</v>
      </c>
      <c r="C2908" s="298" t="s">
        <v>14286</v>
      </c>
      <c r="D2908" s="298" t="s">
        <v>14287</v>
      </c>
      <c r="E2908" s="298"/>
      <c r="F2908" s="298">
        <v>2003</v>
      </c>
      <c r="G2908" s="298"/>
      <c r="H2908" s="298" t="s">
        <v>2963</v>
      </c>
      <c r="I2908" s="299" t="s">
        <v>1879</v>
      </c>
      <c r="J2908" s="298"/>
      <c r="K2908" s="298" t="s">
        <v>1881</v>
      </c>
      <c r="L2908" s="299" t="s">
        <v>14288</v>
      </c>
      <c r="M2908" s="298">
        <v>61</v>
      </c>
      <c r="N2908" s="298"/>
      <c r="O2908" s="300" t="s">
        <v>12147</v>
      </c>
      <c r="P2908" s="301">
        <v>204</v>
      </c>
      <c r="Q2908" s="302">
        <f t="shared" si="161"/>
        <v>0.69</v>
      </c>
      <c r="R2908" s="245">
        <v>2.2000000000000002</v>
      </c>
      <c r="S2908" s="199">
        <v>2.89</v>
      </c>
      <c r="T2908" s="199"/>
      <c r="W2908" s="199"/>
      <c r="X2908" s="297"/>
      <c r="Y2908" s="297"/>
      <c r="Z2908" s="297"/>
      <c r="AA2908" s="297"/>
      <c r="AB2908" s="297"/>
      <c r="AC2908" s="297"/>
      <c r="AD2908" s="297"/>
      <c r="AE2908" s="198"/>
      <c r="AF2908" s="198"/>
      <c r="AG2908" s="198"/>
      <c r="AI2908" s="198"/>
      <c r="AJ2908" s="198"/>
      <c r="AK2908" s="198"/>
    </row>
    <row r="2909" spans="1:37" x14ac:dyDescent="0.25">
      <c r="A2909" s="298">
        <v>926</v>
      </c>
      <c r="B2909" s="298" t="s">
        <v>14289</v>
      </c>
      <c r="C2909" s="298" t="s">
        <v>14290</v>
      </c>
      <c r="D2909" s="298" t="s">
        <v>9084</v>
      </c>
      <c r="E2909" s="298" t="s">
        <v>1913</v>
      </c>
      <c r="F2909" s="298">
        <v>2001</v>
      </c>
      <c r="G2909" s="298"/>
      <c r="H2909" s="298" t="s">
        <v>2963</v>
      </c>
      <c r="I2909" s="299" t="s">
        <v>1879</v>
      </c>
      <c r="J2909" s="298"/>
      <c r="K2909" s="298" t="s">
        <v>1881</v>
      </c>
      <c r="L2909" s="299" t="s">
        <v>14291</v>
      </c>
      <c r="M2909" s="298">
        <v>187</v>
      </c>
      <c r="N2909" s="298"/>
      <c r="O2909" s="300" t="s">
        <v>12148</v>
      </c>
      <c r="P2909" s="301">
        <v>281</v>
      </c>
      <c r="Q2909" s="302">
        <f t="shared" si="161"/>
        <v>1.29</v>
      </c>
      <c r="R2909" s="245">
        <v>2.2000000000000002</v>
      </c>
      <c r="S2909" s="199">
        <v>3.49</v>
      </c>
      <c r="T2909" s="199"/>
      <c r="W2909" s="199"/>
      <c r="X2909" s="297"/>
      <c r="Y2909" s="297"/>
      <c r="Z2909" s="297"/>
      <c r="AA2909" s="297"/>
      <c r="AB2909" s="297"/>
      <c r="AC2909" s="297"/>
      <c r="AD2909" s="297"/>
      <c r="AE2909" s="198"/>
      <c r="AF2909" s="198"/>
      <c r="AG2909" s="198"/>
      <c r="AI2909" s="198"/>
      <c r="AJ2909" s="198"/>
      <c r="AK2909" s="198"/>
    </row>
    <row r="2910" spans="1:37" x14ac:dyDescent="0.25">
      <c r="A2910" s="298">
        <v>692</v>
      </c>
      <c r="B2910" s="298" t="s">
        <v>4888</v>
      </c>
      <c r="C2910" s="298" t="s">
        <v>13346</v>
      </c>
      <c r="D2910" s="298" t="s">
        <v>1912</v>
      </c>
      <c r="E2910" s="298"/>
      <c r="F2910" s="298">
        <v>2000</v>
      </c>
      <c r="G2910" s="298"/>
      <c r="H2910" s="298" t="s">
        <v>1878</v>
      </c>
      <c r="I2910" s="299" t="s">
        <v>1879</v>
      </c>
      <c r="J2910" s="298"/>
      <c r="K2910" s="298" t="s">
        <v>1881</v>
      </c>
      <c r="L2910" s="299" t="s">
        <v>13347</v>
      </c>
      <c r="M2910" s="298">
        <v>343</v>
      </c>
      <c r="N2910" s="298"/>
      <c r="O2910" s="300" t="s">
        <v>12149</v>
      </c>
      <c r="P2910" s="301">
        <v>305</v>
      </c>
      <c r="Q2910" s="302">
        <f t="shared" si="161"/>
        <v>0.88999999999999968</v>
      </c>
      <c r="R2910" s="245">
        <v>2.2000000000000002</v>
      </c>
      <c r="S2910" s="199">
        <v>3.09</v>
      </c>
      <c r="T2910" s="199"/>
      <c r="W2910" s="199"/>
      <c r="X2910" s="297"/>
      <c r="Y2910" s="297"/>
      <c r="Z2910" s="297"/>
      <c r="AA2910" s="297"/>
      <c r="AB2910" s="297"/>
      <c r="AC2910" s="297"/>
      <c r="AD2910" s="297"/>
      <c r="AE2910" s="198"/>
      <c r="AF2910" s="198"/>
      <c r="AG2910" s="198"/>
      <c r="AI2910" s="198"/>
      <c r="AJ2910" s="198"/>
      <c r="AK2910" s="198"/>
    </row>
    <row r="2911" spans="1:37" x14ac:dyDescent="0.25">
      <c r="A2911" s="298">
        <v>689</v>
      </c>
      <c r="B2911" s="298" t="s">
        <v>14292</v>
      </c>
      <c r="C2911" s="298" t="s">
        <v>14293</v>
      </c>
      <c r="D2911" s="298" t="s">
        <v>14294</v>
      </c>
      <c r="E2911" s="298"/>
      <c r="F2911" s="298">
        <v>1996</v>
      </c>
      <c r="G2911" s="298"/>
      <c r="H2911" s="298" t="s">
        <v>1878</v>
      </c>
      <c r="I2911" s="299" t="s">
        <v>1914</v>
      </c>
      <c r="J2911" s="298" t="s">
        <v>9196</v>
      </c>
      <c r="K2911" s="298" t="s">
        <v>1881</v>
      </c>
      <c r="L2911" s="299" t="s">
        <v>14295</v>
      </c>
      <c r="M2911" s="298">
        <v>120</v>
      </c>
      <c r="N2911" s="298"/>
      <c r="O2911" s="300" t="s">
        <v>12150</v>
      </c>
      <c r="P2911" s="301">
        <v>156</v>
      </c>
      <c r="Q2911" s="302">
        <f t="shared" si="161"/>
        <v>2.9799999999999995</v>
      </c>
      <c r="R2911" s="245">
        <v>2.2000000000000002</v>
      </c>
      <c r="S2911" s="199">
        <v>5.18</v>
      </c>
      <c r="T2911" s="199"/>
      <c r="W2911" s="199"/>
      <c r="X2911" s="297"/>
      <c r="Y2911" s="297"/>
      <c r="Z2911" s="297"/>
      <c r="AA2911" s="297"/>
      <c r="AB2911" s="297"/>
      <c r="AC2911" s="297"/>
      <c r="AD2911" s="297"/>
      <c r="AE2911" s="198"/>
      <c r="AF2911" s="198"/>
      <c r="AG2911" s="198"/>
      <c r="AI2911" s="198"/>
      <c r="AJ2911" s="198"/>
      <c r="AK2911" s="198"/>
    </row>
    <row r="2912" spans="1:37" x14ac:dyDescent="0.25">
      <c r="A2912" s="298">
        <v>2847</v>
      </c>
      <c r="B2912" s="298" t="s">
        <v>14296</v>
      </c>
      <c r="C2912" s="298" t="s">
        <v>14297</v>
      </c>
      <c r="D2912" s="298" t="s">
        <v>14297</v>
      </c>
      <c r="E2912" s="298" t="s">
        <v>1899</v>
      </c>
      <c r="F2912" s="298">
        <v>1989</v>
      </c>
      <c r="G2912" s="298"/>
      <c r="H2912" s="298" t="s">
        <v>2963</v>
      </c>
      <c r="I2912" s="299" t="s">
        <v>1879</v>
      </c>
      <c r="J2912" s="298" t="s">
        <v>9495</v>
      </c>
      <c r="K2912" s="298" t="s">
        <v>1881</v>
      </c>
      <c r="L2912" s="299" t="s">
        <v>14298</v>
      </c>
      <c r="M2912" s="298">
        <v>96</v>
      </c>
      <c r="N2912" s="298"/>
      <c r="O2912" s="300" t="s">
        <v>12151</v>
      </c>
      <c r="P2912" s="301">
        <v>168</v>
      </c>
      <c r="Q2912" s="302">
        <f t="shared" si="161"/>
        <v>1.1999999999999997</v>
      </c>
      <c r="R2912" s="245">
        <v>2.2000000000000002</v>
      </c>
      <c r="S2912" s="199">
        <v>3.4</v>
      </c>
      <c r="T2912" s="199"/>
      <c r="W2912" s="199"/>
      <c r="X2912" s="297"/>
      <c r="Y2912" s="297"/>
      <c r="Z2912" s="297"/>
      <c r="AA2912" s="297"/>
      <c r="AB2912" s="297"/>
      <c r="AC2912" s="297"/>
      <c r="AD2912" s="297"/>
      <c r="AE2912" s="198"/>
      <c r="AF2912" s="198"/>
      <c r="AG2912" s="198"/>
      <c r="AI2912" s="198"/>
      <c r="AJ2912" s="198"/>
      <c r="AK2912" s="198"/>
    </row>
    <row r="2913" spans="1:37" x14ac:dyDescent="0.25">
      <c r="A2913" s="298">
        <v>2894</v>
      </c>
      <c r="B2913" s="298" t="s">
        <v>14299</v>
      </c>
      <c r="C2913" s="298" t="s">
        <v>14300</v>
      </c>
      <c r="D2913" s="298" t="s">
        <v>2054</v>
      </c>
      <c r="E2913" s="298" t="s">
        <v>1913</v>
      </c>
      <c r="F2913" s="298">
        <v>1999</v>
      </c>
      <c r="G2913" s="298"/>
      <c r="H2913" s="298" t="s">
        <v>2963</v>
      </c>
      <c r="I2913" s="299" t="s">
        <v>1879</v>
      </c>
      <c r="J2913" s="298"/>
      <c r="K2913" s="298" t="s">
        <v>1881</v>
      </c>
      <c r="L2913" s="299" t="s">
        <v>14301</v>
      </c>
      <c r="M2913" s="298">
        <v>128</v>
      </c>
      <c r="N2913" s="298"/>
      <c r="O2913" s="300" t="s">
        <v>12152</v>
      </c>
      <c r="P2913" s="301">
        <v>648</v>
      </c>
      <c r="Q2913" s="302">
        <f t="shared" si="161"/>
        <v>21.8</v>
      </c>
      <c r="R2913" s="245">
        <v>2.2000000000000002</v>
      </c>
      <c r="S2913" s="199">
        <v>24</v>
      </c>
      <c r="T2913" s="199"/>
      <c r="W2913" s="199"/>
      <c r="X2913" s="297"/>
      <c r="Y2913" s="297"/>
      <c r="Z2913" s="297"/>
      <c r="AA2913" s="297"/>
      <c r="AB2913" s="297"/>
      <c r="AC2913" s="297"/>
      <c r="AD2913" s="297"/>
      <c r="AE2913" s="198"/>
      <c r="AF2913" s="198"/>
      <c r="AG2913" s="198"/>
      <c r="AI2913" s="198"/>
      <c r="AJ2913" s="198"/>
      <c r="AK2913" s="198"/>
    </row>
    <row r="2914" spans="1:37" x14ac:dyDescent="0.25">
      <c r="A2914" s="298">
        <v>2672</v>
      </c>
      <c r="B2914" s="298" t="s">
        <v>14302</v>
      </c>
      <c r="C2914" s="298" t="s">
        <v>14303</v>
      </c>
      <c r="D2914" s="298" t="s">
        <v>2068</v>
      </c>
      <c r="E2914" s="298"/>
      <c r="F2914" s="298">
        <v>1998</v>
      </c>
      <c r="G2914" s="298"/>
      <c r="H2914" s="298" t="s">
        <v>1878</v>
      </c>
      <c r="I2914" s="299" t="s">
        <v>1879</v>
      </c>
      <c r="J2914" s="298"/>
      <c r="K2914" s="298" t="s">
        <v>1881</v>
      </c>
      <c r="L2914" s="299" t="s">
        <v>14304</v>
      </c>
      <c r="M2914" s="298">
        <v>95</v>
      </c>
      <c r="N2914" s="298"/>
      <c r="O2914" s="300" t="s">
        <v>12153</v>
      </c>
      <c r="P2914" s="301">
        <v>265</v>
      </c>
      <c r="Q2914" s="302">
        <f t="shared" si="161"/>
        <v>3.38</v>
      </c>
      <c r="R2914" s="245">
        <v>2.2000000000000002</v>
      </c>
      <c r="S2914" s="199">
        <v>5.58</v>
      </c>
      <c r="T2914" s="199"/>
      <c r="W2914" s="199"/>
      <c r="X2914" s="297"/>
      <c r="Y2914" s="297"/>
      <c r="Z2914" s="297"/>
      <c r="AA2914" s="297"/>
      <c r="AB2914" s="297"/>
      <c r="AC2914" s="297"/>
      <c r="AD2914" s="297"/>
      <c r="AE2914" s="198"/>
      <c r="AF2914" s="198"/>
      <c r="AG2914" s="198"/>
      <c r="AI2914" s="198"/>
      <c r="AJ2914" s="198"/>
      <c r="AK2914" s="198"/>
    </row>
    <row r="2915" spans="1:37" x14ac:dyDescent="0.25">
      <c r="A2915" s="298">
        <v>1021</v>
      </c>
      <c r="B2915" s="298" t="s">
        <v>14305</v>
      </c>
      <c r="C2915" s="298" t="s">
        <v>14306</v>
      </c>
      <c r="D2915" s="298" t="s">
        <v>14307</v>
      </c>
      <c r="E2915" s="298"/>
      <c r="F2915" s="298">
        <v>1997</v>
      </c>
      <c r="G2915" s="298"/>
      <c r="H2915" s="298" t="s">
        <v>2963</v>
      </c>
      <c r="I2915" s="299" t="s">
        <v>1879</v>
      </c>
      <c r="J2915" s="298"/>
      <c r="K2915" s="298" t="s">
        <v>1881</v>
      </c>
      <c r="L2915" s="299" t="s">
        <v>14308</v>
      </c>
      <c r="M2915" s="298">
        <v>288</v>
      </c>
      <c r="N2915" s="298"/>
      <c r="O2915" s="300" t="s">
        <v>12154</v>
      </c>
      <c r="P2915" s="301">
        <v>1012</v>
      </c>
      <c r="Q2915" s="302">
        <f t="shared" si="161"/>
        <v>5.2299999999999995</v>
      </c>
      <c r="R2915" s="245">
        <v>2.2000000000000002</v>
      </c>
      <c r="S2915" s="199">
        <v>7.43</v>
      </c>
      <c r="T2915" s="199"/>
      <c r="W2915" s="199"/>
      <c r="X2915" s="297"/>
      <c r="Y2915" s="297"/>
      <c r="Z2915" s="297"/>
      <c r="AA2915" s="297"/>
      <c r="AB2915" s="297"/>
      <c r="AC2915" s="297"/>
      <c r="AD2915" s="297"/>
      <c r="AE2915" s="198"/>
      <c r="AF2915" s="198"/>
      <c r="AG2915" s="198"/>
      <c r="AI2915" s="198"/>
      <c r="AJ2915" s="198"/>
      <c r="AK2915" s="198"/>
    </row>
    <row r="2916" spans="1:37" x14ac:dyDescent="0.25">
      <c r="A2916" s="298">
        <v>8</v>
      </c>
      <c r="B2916" s="298" t="s">
        <v>14309</v>
      </c>
      <c r="C2916" s="298" t="s">
        <v>14310</v>
      </c>
      <c r="D2916" s="298" t="s">
        <v>987</v>
      </c>
      <c r="E2916" s="298"/>
      <c r="F2916" s="298">
        <v>1959</v>
      </c>
      <c r="G2916" s="298"/>
      <c r="H2916" s="298" t="s">
        <v>2963</v>
      </c>
      <c r="I2916" s="299" t="s">
        <v>1879</v>
      </c>
      <c r="J2916" s="298"/>
      <c r="K2916" s="298" t="s">
        <v>1881</v>
      </c>
      <c r="L2916" s="299"/>
      <c r="M2916" s="298">
        <v>383</v>
      </c>
      <c r="N2916" s="298"/>
      <c r="O2916" s="300" t="s">
        <v>12155</v>
      </c>
      <c r="P2916" s="301">
        <v>366</v>
      </c>
      <c r="Q2916" s="302">
        <f t="shared" si="161"/>
        <v>2.88</v>
      </c>
      <c r="R2916" s="245">
        <v>2.2000000000000002</v>
      </c>
      <c r="S2916" s="199">
        <v>5.08</v>
      </c>
      <c r="T2916" s="199"/>
      <c r="W2916" s="199"/>
      <c r="X2916" s="297"/>
      <c r="Y2916" s="297"/>
      <c r="Z2916" s="297"/>
      <c r="AA2916" s="297"/>
      <c r="AB2916" s="297"/>
      <c r="AC2916" s="297"/>
      <c r="AD2916" s="297"/>
      <c r="AE2916" s="198"/>
      <c r="AF2916" s="198"/>
      <c r="AG2916" s="198"/>
      <c r="AI2916" s="198"/>
      <c r="AJ2916" s="198"/>
      <c r="AK2916" s="198"/>
    </row>
    <row r="2917" spans="1:37" s="98" customFormat="1" x14ac:dyDescent="0.25">
      <c r="A2917" s="293">
        <v>1972</v>
      </c>
      <c r="B2917" s="293" t="s">
        <v>14522</v>
      </c>
      <c r="C2917" s="293" t="s">
        <v>14523</v>
      </c>
      <c r="D2917" s="293" t="s">
        <v>14524</v>
      </c>
      <c r="E2917" s="293"/>
      <c r="F2917" s="293">
        <v>1966</v>
      </c>
      <c r="G2917" s="293"/>
      <c r="H2917" s="293" t="s">
        <v>2963</v>
      </c>
      <c r="I2917" s="294" t="s">
        <v>1879</v>
      </c>
      <c r="J2917" s="293"/>
      <c r="K2917" s="293" t="s">
        <v>1881</v>
      </c>
      <c r="L2917" s="294"/>
      <c r="M2917" s="293">
        <v>128</v>
      </c>
      <c r="N2917" s="293"/>
      <c r="O2917" s="296" t="s">
        <v>12156</v>
      </c>
      <c r="P2917" s="295">
        <v>358</v>
      </c>
      <c r="Q2917" s="302">
        <f t="shared" si="161"/>
        <v>4.3999999999999995</v>
      </c>
      <c r="R2917" s="308">
        <v>2.2000000000000002</v>
      </c>
      <c r="S2917" s="93">
        <v>6.6</v>
      </c>
      <c r="T2917" s="93"/>
      <c r="U2917" s="309"/>
      <c r="V2917" s="309"/>
      <c r="W2917" s="93"/>
      <c r="X2917" s="296"/>
      <c r="Y2917" s="296"/>
      <c r="Z2917" s="296"/>
      <c r="AA2917" s="296"/>
      <c r="AB2917" s="296"/>
      <c r="AC2917" s="296"/>
      <c r="AD2917" s="296"/>
      <c r="AH2917" s="99"/>
    </row>
    <row r="2918" spans="1:37" s="98" customFormat="1" x14ac:dyDescent="0.25">
      <c r="A2918" s="293">
        <v>1310</v>
      </c>
      <c r="B2918" s="293" t="s">
        <v>14525</v>
      </c>
      <c r="C2918" s="293" t="s">
        <v>14526</v>
      </c>
      <c r="D2918" s="293" t="s">
        <v>2901</v>
      </c>
      <c r="E2918" s="293"/>
      <c r="F2918" s="293">
        <v>1957</v>
      </c>
      <c r="G2918" s="293"/>
      <c r="H2918" s="293" t="s">
        <v>2963</v>
      </c>
      <c r="I2918" s="294" t="s">
        <v>1879</v>
      </c>
      <c r="J2918" s="293" t="s">
        <v>14527</v>
      </c>
      <c r="K2918" s="293" t="s">
        <v>1881</v>
      </c>
      <c r="L2918" s="294"/>
      <c r="M2918" s="293">
        <v>518</v>
      </c>
      <c r="N2918" s="293"/>
      <c r="O2918" s="296" t="s">
        <v>12157</v>
      </c>
      <c r="P2918" s="295">
        <v>618</v>
      </c>
      <c r="Q2918" s="302">
        <f t="shared" si="161"/>
        <v>7.7499999999999991</v>
      </c>
      <c r="R2918" s="308">
        <v>2.2000000000000002</v>
      </c>
      <c r="S2918" s="93">
        <v>9.9499999999999993</v>
      </c>
      <c r="T2918" s="93"/>
      <c r="U2918" s="309"/>
      <c r="V2918" s="309"/>
      <c r="W2918" s="93"/>
      <c r="X2918" s="296"/>
      <c r="Y2918" s="296"/>
      <c r="Z2918" s="296"/>
      <c r="AA2918" s="296"/>
      <c r="AB2918" s="296"/>
      <c r="AC2918" s="296"/>
      <c r="AD2918" s="296"/>
      <c r="AH2918" s="99"/>
    </row>
    <row r="2919" spans="1:37" s="98" customFormat="1" x14ac:dyDescent="0.25">
      <c r="A2919" s="293">
        <v>229</v>
      </c>
      <c r="B2919" s="293" t="s">
        <v>14528</v>
      </c>
      <c r="C2919" s="293" t="s">
        <v>14529</v>
      </c>
      <c r="D2919" s="293" t="s">
        <v>14530</v>
      </c>
      <c r="E2919" s="293" t="s">
        <v>2922</v>
      </c>
      <c r="F2919" s="293">
        <v>1995</v>
      </c>
      <c r="G2919" s="293"/>
      <c r="H2919" s="293" t="s">
        <v>1878</v>
      </c>
      <c r="I2919" s="294" t="s">
        <v>1879</v>
      </c>
      <c r="J2919" s="293"/>
      <c r="K2919" s="293" t="s">
        <v>1881</v>
      </c>
      <c r="L2919" s="294"/>
      <c r="M2919" s="293">
        <v>242</v>
      </c>
      <c r="N2919" s="293"/>
      <c r="O2919" s="296" t="s">
        <v>12158</v>
      </c>
      <c r="P2919" s="295">
        <v>292</v>
      </c>
      <c r="Q2919" s="302">
        <f t="shared" si="161"/>
        <v>1.5799999999999996</v>
      </c>
      <c r="R2919" s="308">
        <v>2.2000000000000002</v>
      </c>
      <c r="S2919" s="93">
        <v>3.78</v>
      </c>
      <c r="T2919" s="93"/>
      <c r="U2919" s="309"/>
      <c r="V2919" s="309"/>
      <c r="W2919" s="93"/>
      <c r="X2919" s="296"/>
      <c r="Y2919" s="296"/>
      <c r="Z2919" s="296"/>
      <c r="AA2919" s="296"/>
      <c r="AB2919" s="296"/>
      <c r="AC2919" s="296"/>
      <c r="AD2919" s="296"/>
      <c r="AH2919" s="99"/>
    </row>
    <row r="2920" spans="1:37" s="98" customFormat="1" x14ac:dyDescent="0.25">
      <c r="A2920" s="293">
        <v>8</v>
      </c>
      <c r="B2920" s="293" t="s">
        <v>14531</v>
      </c>
      <c r="C2920" s="293" t="s">
        <v>14532</v>
      </c>
      <c r="D2920" s="293" t="s">
        <v>14524</v>
      </c>
      <c r="E2920" s="293" t="s">
        <v>2375</v>
      </c>
      <c r="F2920" s="293">
        <v>2001</v>
      </c>
      <c r="G2920" s="293"/>
      <c r="H2920" s="293" t="s">
        <v>1878</v>
      </c>
      <c r="I2920" s="294" t="s">
        <v>1914</v>
      </c>
      <c r="J2920" s="293"/>
      <c r="K2920" s="293" t="s">
        <v>1881</v>
      </c>
      <c r="L2920" s="294"/>
      <c r="M2920" s="293">
        <v>346</v>
      </c>
      <c r="N2920" s="293"/>
      <c r="O2920" s="296" t="s">
        <v>12159</v>
      </c>
      <c r="P2920" s="295">
        <v>291</v>
      </c>
      <c r="Q2920" s="302">
        <f t="shared" si="161"/>
        <v>1.8599999999999994</v>
      </c>
      <c r="R2920" s="308">
        <v>2.2000000000000002</v>
      </c>
      <c r="S2920" s="93">
        <v>4.0599999999999996</v>
      </c>
      <c r="T2920" s="93"/>
      <c r="U2920" s="309"/>
      <c r="V2920" s="309"/>
      <c r="W2920" s="93"/>
      <c r="X2920" s="296"/>
      <c r="Y2920" s="296"/>
      <c r="Z2920" s="296"/>
      <c r="AA2920" s="296"/>
      <c r="AB2920" s="296"/>
      <c r="AC2920" s="296"/>
      <c r="AD2920" s="296"/>
      <c r="AH2920" s="99"/>
    </row>
    <row r="2921" spans="1:37" x14ac:dyDescent="0.25">
      <c r="A2921" s="277">
        <v>690</v>
      </c>
      <c r="B2921" s="293" t="s">
        <v>13924</v>
      </c>
      <c r="C2921" s="293" t="s">
        <v>13925</v>
      </c>
      <c r="D2921" s="293" t="s">
        <v>2822</v>
      </c>
      <c r="E2921" s="296"/>
      <c r="F2921" s="296"/>
      <c r="G2921" s="296"/>
      <c r="H2921" s="293" t="s">
        <v>1878</v>
      </c>
      <c r="I2921" s="294" t="s">
        <v>7817</v>
      </c>
      <c r="J2921" s="296"/>
      <c r="K2921" s="293" t="s">
        <v>1881</v>
      </c>
      <c r="L2921" s="294" t="s">
        <v>13926</v>
      </c>
      <c r="M2921" s="293">
        <v>223</v>
      </c>
      <c r="N2921" s="296"/>
      <c r="O2921" s="293" t="s">
        <v>12160</v>
      </c>
      <c r="P2921" s="295">
        <v>183</v>
      </c>
      <c r="Q2921" s="245">
        <f t="shared" ref="Q2917:Q2953" si="162">S2921-R2921</f>
        <v>-2.2000000000000002</v>
      </c>
      <c r="R2921" s="245">
        <v>2.2000000000000002</v>
      </c>
    </row>
    <row r="2922" spans="1:37" x14ac:dyDescent="0.25">
      <c r="A2922" s="277">
        <v>689</v>
      </c>
      <c r="B2922" s="293" t="s">
        <v>13927</v>
      </c>
      <c r="C2922" s="293" t="s">
        <v>13928</v>
      </c>
      <c r="D2922" s="293" t="s">
        <v>3077</v>
      </c>
      <c r="E2922" s="296"/>
      <c r="F2922" s="293">
        <v>2002</v>
      </c>
      <c r="G2922" s="296"/>
      <c r="H2922" s="293" t="s">
        <v>1878</v>
      </c>
      <c r="I2922" s="294" t="s">
        <v>7817</v>
      </c>
      <c r="J2922" s="296"/>
      <c r="K2922" s="293" t="s">
        <v>1881</v>
      </c>
      <c r="L2922" s="294" t="s">
        <v>13929</v>
      </c>
      <c r="M2922" s="293">
        <v>606</v>
      </c>
      <c r="N2922" s="296"/>
      <c r="O2922" s="293" t="s">
        <v>12161</v>
      </c>
      <c r="P2922" s="295">
        <v>343</v>
      </c>
      <c r="Q2922" s="245">
        <f t="shared" si="162"/>
        <v>-2.2000000000000002</v>
      </c>
      <c r="R2922" s="245">
        <v>2.2000000000000002</v>
      </c>
    </row>
    <row r="2923" spans="1:37" x14ac:dyDescent="0.25">
      <c r="A2923" s="277">
        <v>1913</v>
      </c>
      <c r="B2923" s="293" t="s">
        <v>13930</v>
      </c>
      <c r="C2923" s="293" t="s">
        <v>13931</v>
      </c>
      <c r="D2923" s="293" t="s">
        <v>2300</v>
      </c>
      <c r="E2923" s="293" t="s">
        <v>1913</v>
      </c>
      <c r="F2923" s="293">
        <v>2017</v>
      </c>
      <c r="G2923" s="296"/>
      <c r="H2923" s="293" t="s">
        <v>2963</v>
      </c>
      <c r="I2923" s="294" t="s">
        <v>1929</v>
      </c>
      <c r="J2923" s="296"/>
      <c r="K2923" s="293" t="s">
        <v>1881</v>
      </c>
      <c r="L2923" s="294" t="s">
        <v>13932</v>
      </c>
      <c r="M2923" s="293">
        <v>333</v>
      </c>
      <c r="N2923" s="296"/>
      <c r="O2923" s="293" t="s">
        <v>12162</v>
      </c>
      <c r="P2923" s="295">
        <v>424</v>
      </c>
      <c r="Q2923" s="245">
        <f t="shared" si="162"/>
        <v>-2.2000000000000002</v>
      </c>
      <c r="R2923" s="245">
        <v>2.2000000000000002</v>
      </c>
    </row>
    <row r="2924" spans="1:37" x14ac:dyDescent="0.25">
      <c r="A2924" s="277">
        <v>2553</v>
      </c>
      <c r="B2924" s="293" t="s">
        <v>13933</v>
      </c>
      <c r="C2924" s="293" t="s">
        <v>13934</v>
      </c>
      <c r="D2924" s="293" t="s">
        <v>2926</v>
      </c>
      <c r="E2924" s="296"/>
      <c r="F2924" s="293">
        <v>2016</v>
      </c>
      <c r="G2924" s="296"/>
      <c r="H2924" s="293" t="s">
        <v>1878</v>
      </c>
      <c r="I2924" s="294" t="s">
        <v>1929</v>
      </c>
      <c r="J2924" s="296"/>
      <c r="K2924" s="293" t="s">
        <v>1881</v>
      </c>
      <c r="L2924" s="294" t="s">
        <v>13935</v>
      </c>
      <c r="M2924" s="293">
        <v>652</v>
      </c>
      <c r="N2924" s="296"/>
      <c r="O2924" s="293" t="s">
        <v>12163</v>
      </c>
      <c r="P2924" s="295">
        <v>629</v>
      </c>
      <c r="Q2924" s="245">
        <f t="shared" si="162"/>
        <v>-2.2000000000000002</v>
      </c>
      <c r="R2924" s="245">
        <v>2.2000000000000002</v>
      </c>
    </row>
    <row r="2925" spans="1:37" x14ac:dyDescent="0.25">
      <c r="A2925" s="277">
        <v>796</v>
      </c>
      <c r="B2925" s="293" t="s">
        <v>13936</v>
      </c>
      <c r="C2925" s="293" t="s">
        <v>13937</v>
      </c>
      <c r="D2925" s="293" t="s">
        <v>1912</v>
      </c>
      <c r="E2925" s="293" t="s">
        <v>4339</v>
      </c>
      <c r="F2925" s="293">
        <v>2008</v>
      </c>
      <c r="G2925" s="296"/>
      <c r="H2925" s="293" t="s">
        <v>1878</v>
      </c>
      <c r="I2925" s="294" t="s">
        <v>7817</v>
      </c>
      <c r="J2925" s="296"/>
      <c r="K2925" s="293" t="s">
        <v>1881</v>
      </c>
      <c r="L2925" s="294" t="s">
        <v>13938</v>
      </c>
      <c r="M2925" s="293">
        <v>222</v>
      </c>
      <c r="N2925" s="296"/>
      <c r="O2925" s="293" t="s">
        <v>12164</v>
      </c>
      <c r="P2925" s="295">
        <v>189</v>
      </c>
      <c r="Q2925" s="245">
        <f t="shared" si="162"/>
        <v>-2.2000000000000002</v>
      </c>
      <c r="R2925" s="245">
        <v>2.2000000000000002</v>
      </c>
    </row>
    <row r="2926" spans="1:37" x14ac:dyDescent="0.25">
      <c r="A2926" s="276">
        <v>796</v>
      </c>
      <c r="B2926" s="293" t="s">
        <v>13936</v>
      </c>
      <c r="C2926" s="293" t="s">
        <v>13939</v>
      </c>
      <c r="D2926" s="293" t="s">
        <v>1912</v>
      </c>
      <c r="E2926" s="293" t="s">
        <v>1877</v>
      </c>
      <c r="F2926" s="293">
        <v>2011</v>
      </c>
      <c r="G2926" s="296"/>
      <c r="H2926" s="293" t="s">
        <v>1878</v>
      </c>
      <c r="I2926" s="294" t="s">
        <v>7817</v>
      </c>
      <c r="J2926" s="296"/>
      <c r="K2926" s="293" t="s">
        <v>1881</v>
      </c>
      <c r="L2926" s="294" t="s">
        <v>13940</v>
      </c>
      <c r="M2926" s="293">
        <v>219</v>
      </c>
      <c r="N2926" s="296"/>
      <c r="O2926" s="293" t="s">
        <v>12165</v>
      </c>
      <c r="P2926" s="295">
        <v>219</v>
      </c>
      <c r="Q2926" s="245">
        <f t="shared" si="162"/>
        <v>-2.2000000000000002</v>
      </c>
      <c r="R2926" s="245">
        <v>2.2000000000000002</v>
      </c>
    </row>
    <row r="2927" spans="1:37" x14ac:dyDescent="0.25">
      <c r="A2927" s="277">
        <v>852</v>
      </c>
      <c r="B2927" s="293" t="s">
        <v>13941</v>
      </c>
      <c r="C2927" s="293" t="s">
        <v>13942</v>
      </c>
      <c r="D2927" s="293" t="s">
        <v>9690</v>
      </c>
      <c r="E2927" s="293" t="s">
        <v>2032</v>
      </c>
      <c r="F2927" s="293">
        <v>2012</v>
      </c>
      <c r="G2927" s="296"/>
      <c r="H2927" s="293" t="s">
        <v>2963</v>
      </c>
      <c r="I2927" s="294" t="s">
        <v>1929</v>
      </c>
      <c r="J2927" s="296"/>
      <c r="K2927" s="293" t="s">
        <v>1881</v>
      </c>
      <c r="L2927" s="294" t="s">
        <v>13943</v>
      </c>
      <c r="M2927" s="293">
        <v>318</v>
      </c>
      <c r="N2927" s="296"/>
      <c r="O2927" s="293" t="s">
        <v>12166</v>
      </c>
      <c r="P2927" s="295">
        <v>550</v>
      </c>
      <c r="Q2927" s="245">
        <f t="shared" si="162"/>
        <v>-2.2000000000000002</v>
      </c>
      <c r="R2927" s="245">
        <v>2.2000000000000002</v>
      </c>
    </row>
    <row r="2928" spans="1:37" x14ac:dyDescent="0.25">
      <c r="A2928" s="277">
        <v>1386</v>
      </c>
      <c r="B2928" s="293" t="s">
        <v>13944</v>
      </c>
      <c r="C2928" s="293" t="s">
        <v>13945</v>
      </c>
      <c r="D2928" s="293" t="s">
        <v>3077</v>
      </c>
      <c r="E2928" s="293" t="s">
        <v>1913</v>
      </c>
      <c r="F2928" s="293">
        <v>2014</v>
      </c>
      <c r="G2928" s="296"/>
      <c r="H2928" s="293" t="s">
        <v>1878</v>
      </c>
      <c r="I2928" s="294" t="s">
        <v>1879</v>
      </c>
      <c r="J2928" s="296"/>
      <c r="K2928" s="293" t="s">
        <v>1881</v>
      </c>
      <c r="L2928" s="294" t="s">
        <v>13946</v>
      </c>
      <c r="M2928" s="293">
        <v>542</v>
      </c>
      <c r="N2928" s="296"/>
      <c r="O2928" s="293" t="s">
        <v>12167</v>
      </c>
      <c r="P2928" s="295">
        <v>443</v>
      </c>
      <c r="Q2928" s="245">
        <f t="shared" si="162"/>
        <v>-2.2000000000000002</v>
      </c>
      <c r="R2928" s="245">
        <v>2.2000000000000002</v>
      </c>
    </row>
    <row r="2929" spans="1:18" x14ac:dyDescent="0.25">
      <c r="A2929" s="277">
        <v>1719</v>
      </c>
      <c r="B2929" s="293" t="s">
        <v>10322</v>
      </c>
      <c r="C2929" s="293" t="s">
        <v>13947</v>
      </c>
      <c r="D2929" s="293" t="s">
        <v>1912</v>
      </c>
      <c r="E2929" s="296"/>
      <c r="F2929" s="293">
        <v>2000</v>
      </c>
      <c r="G2929" s="296"/>
      <c r="H2929" s="293" t="s">
        <v>1878</v>
      </c>
      <c r="I2929" s="294" t="s">
        <v>1914</v>
      </c>
      <c r="J2929" s="296"/>
      <c r="K2929" s="293" t="s">
        <v>1881</v>
      </c>
      <c r="L2929" s="294" t="s">
        <v>13948</v>
      </c>
      <c r="M2929" s="293">
        <v>351</v>
      </c>
      <c r="N2929" s="296"/>
      <c r="O2929" s="293" t="s">
        <v>12168</v>
      </c>
      <c r="P2929" s="295">
        <v>310</v>
      </c>
      <c r="Q2929" s="245">
        <f t="shared" si="162"/>
        <v>-2.2000000000000002</v>
      </c>
      <c r="R2929" s="245">
        <v>2.2000000000000002</v>
      </c>
    </row>
    <row r="2930" spans="1:18" x14ac:dyDescent="0.25">
      <c r="A2930" s="277">
        <v>1913</v>
      </c>
      <c r="B2930" s="293" t="s">
        <v>13949</v>
      </c>
      <c r="C2930" s="293" t="s">
        <v>13950</v>
      </c>
      <c r="D2930" s="293" t="s">
        <v>5005</v>
      </c>
      <c r="E2930" s="296"/>
      <c r="F2930" s="296"/>
      <c r="G2930" s="296"/>
      <c r="H2930" s="293" t="s">
        <v>2963</v>
      </c>
      <c r="I2930" s="294" t="s">
        <v>1879</v>
      </c>
      <c r="J2930" s="296"/>
      <c r="K2930" s="293" t="s">
        <v>1881</v>
      </c>
      <c r="L2930" s="296"/>
      <c r="M2930" s="293">
        <v>510</v>
      </c>
      <c r="N2930" s="296"/>
      <c r="O2930" s="293" t="s">
        <v>12169</v>
      </c>
      <c r="P2930" s="295">
        <v>800</v>
      </c>
      <c r="Q2930" s="245">
        <f t="shared" si="162"/>
        <v>-2.2000000000000002</v>
      </c>
      <c r="R2930" s="245">
        <v>2.2000000000000002</v>
      </c>
    </row>
    <row r="2931" spans="1:18" x14ac:dyDescent="0.25">
      <c r="A2931" s="277">
        <v>796</v>
      </c>
      <c r="B2931" s="293" t="s">
        <v>13951</v>
      </c>
      <c r="C2931" s="293" t="s">
        <v>13952</v>
      </c>
      <c r="D2931" s="293" t="s">
        <v>2209</v>
      </c>
      <c r="E2931" s="293" t="s">
        <v>1913</v>
      </c>
      <c r="F2931" s="293">
        <v>2012</v>
      </c>
      <c r="G2931" s="296"/>
      <c r="H2931" s="293" t="s">
        <v>1878</v>
      </c>
      <c r="I2931" s="294" t="s">
        <v>1914</v>
      </c>
      <c r="J2931" s="296"/>
      <c r="K2931" s="293" t="s">
        <v>1881</v>
      </c>
      <c r="L2931" s="294" t="s">
        <v>13953</v>
      </c>
      <c r="M2931" s="293">
        <v>446</v>
      </c>
      <c r="N2931" s="296"/>
      <c r="O2931" s="293" t="s">
        <v>12170</v>
      </c>
      <c r="P2931" s="295">
        <v>371</v>
      </c>
      <c r="Q2931" s="245">
        <f t="shared" si="162"/>
        <v>-2.2000000000000002</v>
      </c>
      <c r="R2931" s="245">
        <v>2.2000000000000002</v>
      </c>
    </row>
    <row r="2932" spans="1:18" x14ac:dyDescent="0.25">
      <c r="A2932" s="276">
        <v>796</v>
      </c>
      <c r="B2932" s="293" t="s">
        <v>13954</v>
      </c>
      <c r="C2932" s="293" t="s">
        <v>13955</v>
      </c>
      <c r="D2932" s="293" t="s">
        <v>2424</v>
      </c>
      <c r="E2932" s="293" t="s">
        <v>1899</v>
      </c>
      <c r="F2932" s="293">
        <v>1999</v>
      </c>
      <c r="G2932" s="296"/>
      <c r="H2932" s="293" t="s">
        <v>1878</v>
      </c>
      <c r="I2932" s="294" t="s">
        <v>1879</v>
      </c>
      <c r="J2932" s="296"/>
      <c r="K2932" s="293" t="s">
        <v>1881</v>
      </c>
      <c r="L2932" s="294" t="s">
        <v>13956</v>
      </c>
      <c r="M2932" s="293">
        <v>560</v>
      </c>
      <c r="N2932" s="296"/>
      <c r="O2932" s="293" t="s">
        <v>12171</v>
      </c>
      <c r="P2932" s="295">
        <v>515</v>
      </c>
      <c r="Q2932" s="245">
        <f t="shared" si="162"/>
        <v>-2.2000000000000002</v>
      </c>
      <c r="R2932" s="245">
        <v>2.2000000000000002</v>
      </c>
    </row>
    <row r="2933" spans="1:18" x14ac:dyDescent="0.25">
      <c r="A2933" s="277">
        <v>701</v>
      </c>
      <c r="B2933" s="293" t="s">
        <v>3347</v>
      </c>
      <c r="C2933" s="293" t="s">
        <v>13957</v>
      </c>
      <c r="D2933" s="293" t="s">
        <v>11168</v>
      </c>
      <c r="E2933" s="293" t="s">
        <v>1913</v>
      </c>
      <c r="F2933" s="293">
        <v>2011</v>
      </c>
      <c r="G2933" s="296"/>
      <c r="H2933" s="293" t="s">
        <v>2963</v>
      </c>
      <c r="I2933" s="294" t="s">
        <v>1879</v>
      </c>
      <c r="J2933" s="296"/>
      <c r="K2933" s="293" t="s">
        <v>1881</v>
      </c>
      <c r="L2933" s="294" t="s">
        <v>13958</v>
      </c>
      <c r="M2933" s="293">
        <v>314</v>
      </c>
      <c r="N2933" s="296"/>
      <c r="O2933" s="293" t="s">
        <v>12172</v>
      </c>
      <c r="P2933" s="295">
        <v>418</v>
      </c>
      <c r="Q2933" s="245">
        <f t="shared" si="162"/>
        <v>-2.2000000000000002</v>
      </c>
      <c r="R2933" s="245">
        <v>2.2000000000000002</v>
      </c>
    </row>
    <row r="2934" spans="1:18" x14ac:dyDescent="0.25">
      <c r="A2934" s="277">
        <v>647</v>
      </c>
      <c r="B2934" s="293" t="s">
        <v>13959</v>
      </c>
      <c r="C2934" s="293" t="s">
        <v>13960</v>
      </c>
      <c r="D2934" s="296"/>
      <c r="E2934" s="293" t="s">
        <v>1913</v>
      </c>
      <c r="F2934" s="293">
        <v>2003</v>
      </c>
      <c r="G2934" s="296"/>
      <c r="H2934" s="293" t="s">
        <v>1878</v>
      </c>
      <c r="I2934" s="294" t="s">
        <v>1879</v>
      </c>
      <c r="J2934" s="296"/>
      <c r="K2934" s="293" t="s">
        <v>1881</v>
      </c>
      <c r="L2934" s="294" t="s">
        <v>13961</v>
      </c>
      <c r="M2934" s="293">
        <v>200</v>
      </c>
      <c r="N2934" s="296"/>
      <c r="O2934" s="293" t="s">
        <v>12173</v>
      </c>
      <c r="P2934" s="295">
        <v>367</v>
      </c>
      <c r="Q2934" s="245">
        <f t="shared" si="162"/>
        <v>-2.2000000000000002</v>
      </c>
      <c r="R2934" s="245">
        <v>2.2000000000000002</v>
      </c>
    </row>
    <row r="2935" spans="1:18" x14ac:dyDescent="0.25">
      <c r="A2935" s="277">
        <v>796</v>
      </c>
      <c r="B2935" s="293" t="s">
        <v>13962</v>
      </c>
      <c r="C2935" s="293" t="s">
        <v>13963</v>
      </c>
      <c r="D2935" s="293" t="s">
        <v>10749</v>
      </c>
      <c r="E2935" s="293" t="s">
        <v>1913</v>
      </c>
      <c r="F2935" s="293">
        <v>2019</v>
      </c>
      <c r="G2935" s="296"/>
      <c r="H2935" s="293" t="s">
        <v>1878</v>
      </c>
      <c r="I2935" s="294" t="s">
        <v>1929</v>
      </c>
      <c r="J2935" s="296"/>
      <c r="K2935" s="293" t="s">
        <v>1881</v>
      </c>
      <c r="L2935" s="294" t="s">
        <v>13964</v>
      </c>
      <c r="M2935" s="293">
        <v>348</v>
      </c>
      <c r="N2935" s="296"/>
      <c r="O2935" s="293" t="s">
        <v>12174</v>
      </c>
      <c r="P2935" s="295">
        <v>303</v>
      </c>
      <c r="Q2935" s="245">
        <f t="shared" si="162"/>
        <v>-2.2000000000000002</v>
      </c>
      <c r="R2935" s="245">
        <v>2.2000000000000002</v>
      </c>
    </row>
    <row r="2936" spans="1:18" x14ac:dyDescent="0.25">
      <c r="A2936" s="276">
        <v>796</v>
      </c>
      <c r="B2936" s="293" t="s">
        <v>13965</v>
      </c>
      <c r="C2936" s="293" t="s">
        <v>13966</v>
      </c>
      <c r="D2936" s="293" t="s">
        <v>2257</v>
      </c>
      <c r="E2936" s="293" t="s">
        <v>1913</v>
      </c>
      <c r="F2936" s="293">
        <v>2015</v>
      </c>
      <c r="G2936" s="296"/>
      <c r="H2936" s="293" t="s">
        <v>1878</v>
      </c>
      <c r="I2936" s="294" t="s">
        <v>7817</v>
      </c>
      <c r="J2936" s="296"/>
      <c r="K2936" s="293" t="s">
        <v>1881</v>
      </c>
      <c r="L2936" s="294" t="s">
        <v>13967</v>
      </c>
      <c r="M2936" s="293">
        <v>491</v>
      </c>
      <c r="N2936" s="296"/>
      <c r="O2936" s="293" t="s">
        <v>12175</v>
      </c>
      <c r="P2936" s="295">
        <v>493</v>
      </c>
      <c r="Q2936" s="245">
        <f t="shared" si="162"/>
        <v>-2.2000000000000002</v>
      </c>
      <c r="R2936" s="245">
        <v>2.2000000000000002</v>
      </c>
    </row>
    <row r="2937" spans="1:18" x14ac:dyDescent="0.25">
      <c r="A2937" s="277">
        <v>2943</v>
      </c>
      <c r="B2937" s="293" t="s">
        <v>13968</v>
      </c>
      <c r="C2937" s="293" t="s">
        <v>13969</v>
      </c>
      <c r="D2937" s="293" t="s">
        <v>13970</v>
      </c>
      <c r="E2937" s="296"/>
      <c r="F2937" s="293">
        <v>2012</v>
      </c>
      <c r="G2937" s="296"/>
      <c r="H2937" s="293" t="s">
        <v>1878</v>
      </c>
      <c r="I2937" s="294" t="s">
        <v>1929</v>
      </c>
      <c r="J2937" s="296"/>
      <c r="K2937" s="293" t="s">
        <v>1881</v>
      </c>
      <c r="L2937" s="294" t="s">
        <v>13971</v>
      </c>
      <c r="M2937" s="293">
        <v>348</v>
      </c>
      <c r="N2937" s="296"/>
      <c r="O2937" s="293" t="s">
        <v>12176</v>
      </c>
      <c r="P2937" s="295">
        <v>476</v>
      </c>
      <c r="Q2937" s="245">
        <f t="shared" si="162"/>
        <v>-2.2000000000000002</v>
      </c>
      <c r="R2937" s="245">
        <v>2.2000000000000002</v>
      </c>
    </row>
    <row r="2938" spans="1:18" x14ac:dyDescent="0.25">
      <c r="A2938" s="277">
        <v>701</v>
      </c>
      <c r="B2938" s="293" t="s">
        <v>13972</v>
      </c>
      <c r="C2938" s="293" t="s">
        <v>13973</v>
      </c>
      <c r="D2938" s="293" t="s">
        <v>2926</v>
      </c>
      <c r="E2938" s="293" t="s">
        <v>2922</v>
      </c>
      <c r="F2938" s="293">
        <v>2008</v>
      </c>
      <c r="G2938" s="296"/>
      <c r="H2938" s="293" t="s">
        <v>1878</v>
      </c>
      <c r="I2938" s="294" t="s">
        <v>1879</v>
      </c>
      <c r="J2938" s="296"/>
      <c r="K2938" s="293" t="s">
        <v>1881</v>
      </c>
      <c r="L2938" s="294" t="s">
        <v>13974</v>
      </c>
      <c r="M2938" s="293">
        <v>333</v>
      </c>
      <c r="N2938" s="296"/>
      <c r="O2938" s="293" t="s">
        <v>12177</v>
      </c>
      <c r="P2938" s="295">
        <v>421</v>
      </c>
      <c r="Q2938" s="245">
        <f t="shared" si="162"/>
        <v>-2.2000000000000002</v>
      </c>
      <c r="R2938" s="245">
        <v>2.2000000000000002</v>
      </c>
    </row>
    <row r="2939" spans="1:18" x14ac:dyDescent="0.25">
      <c r="A2939" s="277">
        <v>591</v>
      </c>
      <c r="B2939" s="293" t="s">
        <v>13975</v>
      </c>
      <c r="C2939" s="293" t="s">
        <v>13976</v>
      </c>
      <c r="D2939" s="293" t="s">
        <v>13977</v>
      </c>
      <c r="E2939" s="296"/>
      <c r="F2939" s="293">
        <v>2005</v>
      </c>
      <c r="G2939" s="296"/>
      <c r="H2939" s="293" t="s">
        <v>1878</v>
      </c>
      <c r="I2939" s="294" t="s">
        <v>1879</v>
      </c>
      <c r="J2939" s="296"/>
      <c r="K2939" s="293" t="s">
        <v>1881</v>
      </c>
      <c r="L2939" s="294" t="s">
        <v>13978</v>
      </c>
      <c r="M2939" s="293">
        <v>229</v>
      </c>
      <c r="N2939" s="296"/>
      <c r="O2939" s="293" t="s">
        <v>12178</v>
      </c>
      <c r="P2939" s="295">
        <v>265</v>
      </c>
      <c r="Q2939" s="245">
        <f t="shared" si="162"/>
        <v>-2.2000000000000002</v>
      </c>
      <c r="R2939" s="245">
        <v>2.2000000000000002</v>
      </c>
    </row>
    <row r="2940" spans="1:18" x14ac:dyDescent="0.25">
      <c r="A2940" s="277">
        <v>2553</v>
      </c>
      <c r="B2940" s="293" t="s">
        <v>2203</v>
      </c>
      <c r="C2940" s="293" t="s">
        <v>13979</v>
      </c>
      <c r="D2940" s="293" t="s">
        <v>2209</v>
      </c>
      <c r="E2940" s="296"/>
      <c r="F2940" s="293">
        <v>2003</v>
      </c>
      <c r="G2940" s="296"/>
      <c r="H2940" s="293" t="s">
        <v>2963</v>
      </c>
      <c r="I2940" s="294" t="s">
        <v>1879</v>
      </c>
      <c r="J2940" s="296"/>
      <c r="K2940" s="293" t="s">
        <v>1881</v>
      </c>
      <c r="L2940" s="294" t="s">
        <v>13980</v>
      </c>
      <c r="M2940" s="293">
        <v>751</v>
      </c>
      <c r="N2940" s="296"/>
      <c r="O2940" s="293" t="s">
        <v>12179</v>
      </c>
      <c r="P2940" s="295">
        <v>855</v>
      </c>
      <c r="Q2940" s="245">
        <f t="shared" si="162"/>
        <v>-2.2000000000000002</v>
      </c>
      <c r="R2940" s="245">
        <v>2.2000000000000002</v>
      </c>
    </row>
    <row r="2941" spans="1:18" x14ac:dyDescent="0.25">
      <c r="A2941" s="277">
        <v>689</v>
      </c>
      <c r="B2941" s="293" t="s">
        <v>13981</v>
      </c>
      <c r="C2941" s="293" t="s">
        <v>13982</v>
      </c>
      <c r="D2941" s="293" t="s">
        <v>2835</v>
      </c>
      <c r="E2941" s="293" t="s">
        <v>1913</v>
      </c>
      <c r="F2941" s="293">
        <v>2005</v>
      </c>
      <c r="G2941" s="296"/>
      <c r="H2941" s="293" t="s">
        <v>1878</v>
      </c>
      <c r="I2941" s="294" t="s">
        <v>1879</v>
      </c>
      <c r="J2941" s="296"/>
      <c r="K2941" s="293" t="s">
        <v>1881</v>
      </c>
      <c r="L2941" s="294" t="s">
        <v>13983</v>
      </c>
      <c r="M2941" s="293">
        <v>562</v>
      </c>
      <c r="N2941" s="296"/>
      <c r="O2941" s="293" t="s">
        <v>12180</v>
      </c>
      <c r="P2941" s="295">
        <v>528</v>
      </c>
      <c r="Q2941" s="245">
        <f t="shared" si="162"/>
        <v>-2.2000000000000002</v>
      </c>
      <c r="R2941" s="245">
        <v>2.2000000000000002</v>
      </c>
    </row>
    <row r="2942" spans="1:18" x14ac:dyDescent="0.25">
      <c r="A2942" s="277">
        <v>632</v>
      </c>
      <c r="B2942" s="293" t="s">
        <v>3233</v>
      </c>
      <c r="C2942" s="293" t="s">
        <v>3908</v>
      </c>
      <c r="D2942" s="293" t="s">
        <v>2257</v>
      </c>
      <c r="E2942" s="296"/>
      <c r="F2942" s="293">
        <v>2005</v>
      </c>
      <c r="G2942" s="296"/>
      <c r="H2942" s="293" t="s">
        <v>1878</v>
      </c>
      <c r="I2942" s="294" t="s">
        <v>1879</v>
      </c>
      <c r="J2942" s="296"/>
      <c r="K2942" s="293" t="s">
        <v>1881</v>
      </c>
      <c r="L2942" s="294" t="s">
        <v>3909</v>
      </c>
      <c r="M2942" s="293">
        <v>606</v>
      </c>
      <c r="N2942" s="296"/>
      <c r="O2942" s="293" t="s">
        <v>12181</v>
      </c>
      <c r="P2942" s="295">
        <v>458</v>
      </c>
      <c r="Q2942" s="245">
        <f t="shared" si="162"/>
        <v>-2.2000000000000002</v>
      </c>
      <c r="R2942" s="245">
        <v>2.2000000000000002</v>
      </c>
    </row>
    <row r="2943" spans="1:18" x14ac:dyDescent="0.25">
      <c r="A2943" s="277">
        <v>229</v>
      </c>
      <c r="B2943" s="293" t="s">
        <v>13984</v>
      </c>
      <c r="C2943" s="293" t="s">
        <v>13985</v>
      </c>
      <c r="D2943" s="293" t="s">
        <v>13986</v>
      </c>
      <c r="E2943" s="293" t="s">
        <v>1899</v>
      </c>
      <c r="F2943" s="293">
        <v>1991</v>
      </c>
      <c r="G2943" s="296"/>
      <c r="H2943" s="293" t="s">
        <v>1878</v>
      </c>
      <c r="I2943" s="294" t="s">
        <v>1929</v>
      </c>
      <c r="J2943" s="296"/>
      <c r="K2943" s="293" t="s">
        <v>1881</v>
      </c>
      <c r="L2943" s="294" t="s">
        <v>13987</v>
      </c>
      <c r="M2943" s="293">
        <v>214</v>
      </c>
      <c r="N2943" s="296"/>
      <c r="O2943" s="293" t="s">
        <v>12182</v>
      </c>
      <c r="P2943" s="295">
        <v>299</v>
      </c>
      <c r="Q2943" s="245">
        <f t="shared" si="162"/>
        <v>-2.2000000000000002</v>
      </c>
      <c r="R2943" s="245">
        <v>2.2000000000000002</v>
      </c>
    </row>
    <row r="2944" spans="1:18" x14ac:dyDescent="0.25">
      <c r="A2944" s="277">
        <v>766</v>
      </c>
      <c r="B2944" s="293" t="s">
        <v>13988</v>
      </c>
      <c r="C2944" s="293" t="s">
        <v>13989</v>
      </c>
      <c r="D2944" s="293" t="s">
        <v>13990</v>
      </c>
      <c r="E2944" s="293" t="s">
        <v>2518</v>
      </c>
      <c r="F2944" s="293">
        <v>2008</v>
      </c>
      <c r="G2944" s="296"/>
      <c r="H2944" s="293" t="s">
        <v>2963</v>
      </c>
      <c r="I2944" s="294" t="s">
        <v>1879</v>
      </c>
      <c r="J2944" s="296"/>
      <c r="K2944" s="293" t="s">
        <v>1881</v>
      </c>
      <c r="L2944" s="294" t="s">
        <v>13991</v>
      </c>
      <c r="M2944" s="293">
        <v>190</v>
      </c>
      <c r="N2944" s="296"/>
      <c r="O2944" s="293" t="s">
        <v>12183</v>
      </c>
      <c r="P2944" s="295">
        <v>238</v>
      </c>
      <c r="Q2944" s="245">
        <f t="shared" si="162"/>
        <v>-2.2000000000000002</v>
      </c>
      <c r="R2944" s="245">
        <v>2.2000000000000002</v>
      </c>
    </row>
    <row r="2945" spans="1:18" x14ac:dyDescent="0.25">
      <c r="A2945" s="277">
        <v>1396</v>
      </c>
      <c r="B2945" s="293" t="s">
        <v>13992</v>
      </c>
      <c r="C2945" s="293" t="s">
        <v>13993</v>
      </c>
      <c r="D2945" s="293" t="s">
        <v>2232</v>
      </c>
      <c r="E2945" s="293" t="s">
        <v>2375</v>
      </c>
      <c r="F2945" s="293">
        <v>1997</v>
      </c>
      <c r="G2945" s="296"/>
      <c r="H2945" s="293" t="s">
        <v>1878</v>
      </c>
      <c r="I2945" s="294" t="s">
        <v>1879</v>
      </c>
      <c r="J2945" s="296"/>
      <c r="K2945" s="293" t="s">
        <v>1881</v>
      </c>
      <c r="L2945" s="294" t="s">
        <v>13994</v>
      </c>
      <c r="M2945" s="293">
        <v>477</v>
      </c>
      <c r="N2945" s="296"/>
      <c r="O2945" s="293" t="s">
        <v>12184</v>
      </c>
      <c r="P2945" s="295">
        <v>410</v>
      </c>
      <c r="Q2945" s="245">
        <f t="shared" si="162"/>
        <v>-2.2000000000000002</v>
      </c>
      <c r="R2945" s="245">
        <v>2.2000000000000002</v>
      </c>
    </row>
    <row r="2946" spans="1:18" x14ac:dyDescent="0.25">
      <c r="A2946" s="277">
        <v>968</v>
      </c>
      <c r="B2946" s="293" t="s">
        <v>13995</v>
      </c>
      <c r="C2946" s="293" t="s">
        <v>13996</v>
      </c>
      <c r="D2946" s="293" t="s">
        <v>13997</v>
      </c>
      <c r="E2946" s="296"/>
      <c r="F2946" s="293">
        <v>2014</v>
      </c>
      <c r="G2946" s="296"/>
      <c r="H2946" s="293" t="s">
        <v>1878</v>
      </c>
      <c r="I2946" s="294" t="s">
        <v>1879</v>
      </c>
      <c r="J2946" s="296"/>
      <c r="K2946" s="293" t="s">
        <v>2025</v>
      </c>
      <c r="L2946" s="294" t="s">
        <v>13998</v>
      </c>
      <c r="M2946" s="293">
        <v>377</v>
      </c>
      <c r="N2946" s="296"/>
      <c r="O2946" s="293" t="s">
        <v>12185</v>
      </c>
      <c r="P2946" s="295">
        <v>280</v>
      </c>
      <c r="Q2946" s="245">
        <f t="shared" si="162"/>
        <v>-2.2000000000000002</v>
      </c>
      <c r="R2946" s="245">
        <v>2.2000000000000002</v>
      </c>
    </row>
    <row r="2947" spans="1:18" x14ac:dyDescent="0.25">
      <c r="A2947" s="277">
        <v>701</v>
      </c>
      <c r="B2947" s="293" t="s">
        <v>8551</v>
      </c>
      <c r="C2947" s="293" t="s">
        <v>13999</v>
      </c>
      <c r="D2947" s="293" t="s">
        <v>2609</v>
      </c>
      <c r="E2947" s="293" t="s">
        <v>2412</v>
      </c>
      <c r="F2947" s="293">
        <v>2014</v>
      </c>
      <c r="G2947" s="296"/>
      <c r="H2947" s="293" t="s">
        <v>1878</v>
      </c>
      <c r="I2947" s="294" t="s">
        <v>1879</v>
      </c>
      <c r="J2947" s="296"/>
      <c r="K2947" s="293" t="s">
        <v>1881</v>
      </c>
      <c r="L2947" s="294" t="s">
        <v>8553</v>
      </c>
      <c r="M2947" s="293">
        <v>397</v>
      </c>
      <c r="N2947" s="296"/>
      <c r="O2947" s="293" t="s">
        <v>12186</v>
      </c>
      <c r="P2947" s="295">
        <v>409</v>
      </c>
      <c r="Q2947" s="245">
        <f t="shared" si="162"/>
        <v>-2.2000000000000002</v>
      </c>
      <c r="R2947" s="245">
        <v>2.2000000000000002</v>
      </c>
    </row>
    <row r="2948" spans="1:18" x14ac:dyDescent="0.25">
      <c r="A2948" s="277">
        <v>1927</v>
      </c>
      <c r="B2948" s="293" t="s">
        <v>4179</v>
      </c>
      <c r="C2948" s="293" t="s">
        <v>14000</v>
      </c>
      <c r="D2948" s="293" t="s">
        <v>4181</v>
      </c>
      <c r="E2948" s="296"/>
      <c r="F2948" s="296"/>
      <c r="G2948" s="296"/>
      <c r="H2948" s="293" t="s">
        <v>2963</v>
      </c>
      <c r="I2948" s="294" t="s">
        <v>1879</v>
      </c>
      <c r="J2948" s="296"/>
      <c r="K2948" s="293" t="s">
        <v>1881</v>
      </c>
      <c r="L2948" s="294" t="s">
        <v>14001</v>
      </c>
      <c r="M2948" s="293">
        <v>237</v>
      </c>
      <c r="N2948" s="296"/>
      <c r="O2948" s="293" t="s">
        <v>12187</v>
      </c>
      <c r="P2948" s="295">
        <v>457</v>
      </c>
      <c r="Q2948" s="245">
        <f t="shared" si="162"/>
        <v>-2.2000000000000002</v>
      </c>
      <c r="R2948" s="245">
        <v>2.2000000000000002</v>
      </c>
    </row>
    <row r="2949" spans="1:18" x14ac:dyDescent="0.25">
      <c r="A2949" s="277">
        <v>1921</v>
      </c>
      <c r="B2949" s="293" t="s">
        <v>14002</v>
      </c>
      <c r="C2949" s="293" t="s">
        <v>14003</v>
      </c>
      <c r="D2949" s="293" t="s">
        <v>14004</v>
      </c>
      <c r="E2949" s="296"/>
      <c r="F2949" s="293">
        <v>2002</v>
      </c>
      <c r="G2949" s="296"/>
      <c r="H2949" s="293" t="s">
        <v>1878</v>
      </c>
      <c r="I2949" s="294" t="s">
        <v>1914</v>
      </c>
      <c r="J2949" s="296"/>
      <c r="K2949" s="293" t="s">
        <v>1881</v>
      </c>
      <c r="L2949" s="294" t="s">
        <v>14005</v>
      </c>
      <c r="M2949" s="293">
        <v>127</v>
      </c>
      <c r="N2949" s="296"/>
      <c r="O2949" s="293" t="s">
        <v>12188</v>
      </c>
      <c r="P2949" s="295">
        <v>179</v>
      </c>
      <c r="Q2949" s="245">
        <f t="shared" si="162"/>
        <v>-2.2000000000000002</v>
      </c>
      <c r="R2949" s="245">
        <v>2.2000000000000002</v>
      </c>
    </row>
    <row r="2950" spans="1:18" x14ac:dyDescent="0.25">
      <c r="A2950" s="277">
        <v>692</v>
      </c>
      <c r="B2950" s="293" t="s">
        <v>14006</v>
      </c>
      <c r="C2950" s="293" t="s">
        <v>14007</v>
      </c>
      <c r="D2950" s="293" t="s">
        <v>1988</v>
      </c>
      <c r="E2950" s="296"/>
      <c r="F2950" s="293">
        <v>2012</v>
      </c>
      <c r="G2950" s="296"/>
      <c r="H2950" s="293" t="s">
        <v>1878</v>
      </c>
      <c r="I2950" s="294" t="s">
        <v>1879</v>
      </c>
      <c r="J2950" s="296"/>
      <c r="K2950" s="293" t="s">
        <v>1881</v>
      </c>
      <c r="L2950" s="294" t="s">
        <v>14008</v>
      </c>
      <c r="M2950" s="293">
        <v>278</v>
      </c>
      <c r="N2950" s="296"/>
      <c r="O2950" s="293" t="s">
        <v>12189</v>
      </c>
      <c r="P2950" s="295">
        <v>252</v>
      </c>
      <c r="Q2950" s="245">
        <f t="shared" si="162"/>
        <v>-2.2000000000000002</v>
      </c>
      <c r="R2950" s="245">
        <v>2.2000000000000002</v>
      </c>
    </row>
    <row r="2951" spans="1:18" x14ac:dyDescent="0.25">
      <c r="A2951" s="277">
        <v>690</v>
      </c>
      <c r="B2951" s="293" t="s">
        <v>14009</v>
      </c>
      <c r="C2951" s="293" t="s">
        <v>14010</v>
      </c>
      <c r="D2951" s="293" t="s">
        <v>14011</v>
      </c>
      <c r="E2951" s="293" t="s">
        <v>1913</v>
      </c>
      <c r="F2951" s="293">
        <v>2002</v>
      </c>
      <c r="G2951" s="296"/>
      <c r="H2951" s="293" t="s">
        <v>1878</v>
      </c>
      <c r="I2951" s="294" t="s">
        <v>1879</v>
      </c>
      <c r="J2951" s="296"/>
      <c r="K2951" s="293" t="s">
        <v>1881</v>
      </c>
      <c r="L2951" s="294" t="s">
        <v>14012</v>
      </c>
      <c r="M2951" s="293">
        <v>126</v>
      </c>
      <c r="N2951" s="296"/>
      <c r="O2951" s="293" t="s">
        <v>12190</v>
      </c>
      <c r="P2951" s="295">
        <v>147</v>
      </c>
      <c r="Q2951" s="245">
        <f t="shared" si="162"/>
        <v>-2.2000000000000002</v>
      </c>
      <c r="R2951" s="245">
        <v>2.2000000000000002</v>
      </c>
    </row>
    <row r="2952" spans="1:18" x14ac:dyDescent="0.25">
      <c r="A2952" s="277">
        <v>1396</v>
      </c>
      <c r="B2952" s="293" t="s">
        <v>14013</v>
      </c>
      <c r="C2952" s="293" t="s">
        <v>14014</v>
      </c>
      <c r="D2952" s="293" t="s">
        <v>14015</v>
      </c>
      <c r="E2952" s="296"/>
      <c r="F2952" s="293">
        <v>2011</v>
      </c>
      <c r="G2952" s="296"/>
      <c r="H2952" s="293" t="s">
        <v>1878</v>
      </c>
      <c r="I2952" s="294" t="s">
        <v>1879</v>
      </c>
      <c r="J2952" s="296"/>
      <c r="K2952" s="293" t="s">
        <v>1881</v>
      </c>
      <c r="L2952" s="294" t="s">
        <v>14016</v>
      </c>
      <c r="M2952" s="293">
        <v>301</v>
      </c>
      <c r="N2952" s="296"/>
      <c r="O2952" s="293" t="s">
        <v>12191</v>
      </c>
      <c r="P2952" s="295">
        <v>303</v>
      </c>
      <c r="Q2952" s="245">
        <f t="shared" si="162"/>
        <v>-2.2000000000000002</v>
      </c>
      <c r="R2952" s="245">
        <v>2.2000000000000002</v>
      </c>
    </row>
    <row r="2953" spans="1:18" x14ac:dyDescent="0.25">
      <c r="A2953" s="277">
        <v>610</v>
      </c>
      <c r="B2953" s="293" t="s">
        <v>14017</v>
      </c>
      <c r="C2953" s="293" t="s">
        <v>14018</v>
      </c>
      <c r="D2953" s="293" t="s">
        <v>14019</v>
      </c>
      <c r="E2953" s="293" t="s">
        <v>2032</v>
      </c>
      <c r="F2953" s="293">
        <v>1998</v>
      </c>
      <c r="G2953" s="296"/>
      <c r="H2953" s="293" t="s">
        <v>1878</v>
      </c>
      <c r="I2953" s="294" t="s">
        <v>1879</v>
      </c>
      <c r="J2953" s="296"/>
      <c r="K2953" s="293" t="s">
        <v>1881</v>
      </c>
      <c r="L2953" s="294" t="s">
        <v>14020</v>
      </c>
      <c r="M2953" s="293">
        <v>235</v>
      </c>
      <c r="N2953" s="296"/>
      <c r="O2953" s="293" t="s">
        <v>12192</v>
      </c>
      <c r="P2953" s="295">
        <v>203</v>
      </c>
      <c r="Q2953" s="245">
        <f t="shared" si="162"/>
        <v>-2.2000000000000002</v>
      </c>
      <c r="R2953" s="245">
        <v>2.2000000000000002</v>
      </c>
    </row>
    <row r="2954" spans="1:18" x14ac:dyDescent="0.25">
      <c r="A2954" s="277">
        <v>796</v>
      </c>
      <c r="B2954" s="293" t="s">
        <v>5827</v>
      </c>
      <c r="C2954" s="293" t="s">
        <v>14021</v>
      </c>
      <c r="D2954" s="293" t="s">
        <v>9119</v>
      </c>
      <c r="E2954" s="293" t="s">
        <v>1877</v>
      </c>
      <c r="F2954" s="293">
        <v>2010</v>
      </c>
      <c r="G2954" s="296"/>
      <c r="H2954" s="293" t="s">
        <v>1878</v>
      </c>
      <c r="I2954" s="294" t="s">
        <v>1879</v>
      </c>
      <c r="J2954" s="296"/>
      <c r="K2954" s="293" t="s">
        <v>1881</v>
      </c>
      <c r="L2954" s="294" t="s">
        <v>14022</v>
      </c>
      <c r="M2954" s="293">
        <v>361</v>
      </c>
      <c r="N2954" s="296"/>
      <c r="O2954" s="293" t="s">
        <v>12193</v>
      </c>
      <c r="P2954" s="295">
        <v>284</v>
      </c>
      <c r="Q2954" s="245">
        <f t="shared" ref="Q2954:Q2990" si="163">S2954-R2954</f>
        <v>-2.2000000000000002</v>
      </c>
      <c r="R2954" s="245">
        <v>2.2000000000000002</v>
      </c>
    </row>
    <row r="2955" spans="1:18" x14ac:dyDescent="0.25">
      <c r="A2955" s="277">
        <v>968</v>
      </c>
      <c r="B2955" s="293" t="s">
        <v>14023</v>
      </c>
      <c r="C2955" s="293" t="s">
        <v>14024</v>
      </c>
      <c r="D2955" s="293" t="s">
        <v>14025</v>
      </c>
      <c r="E2955" s="296"/>
      <c r="F2955" s="293">
        <v>2003</v>
      </c>
      <c r="G2955" s="296"/>
      <c r="H2955" s="293" t="s">
        <v>1878</v>
      </c>
      <c r="I2955" s="294" t="s">
        <v>7527</v>
      </c>
      <c r="J2955" s="296"/>
      <c r="K2955" s="293" t="s">
        <v>2025</v>
      </c>
      <c r="L2955" s="294" t="s">
        <v>14026</v>
      </c>
      <c r="M2955" s="296"/>
      <c r="N2955" s="296"/>
      <c r="O2955" s="293" t="s">
        <v>12194</v>
      </c>
      <c r="P2955" s="293">
        <v>238</v>
      </c>
      <c r="Q2955" s="245">
        <f t="shared" si="163"/>
        <v>-2.2000000000000002</v>
      </c>
      <c r="R2955" s="245">
        <v>2.2000000000000002</v>
      </c>
    </row>
    <row r="2956" spans="1:18" x14ac:dyDescent="0.25">
      <c r="A2956" s="277">
        <v>1324</v>
      </c>
      <c r="B2956" s="293" t="s">
        <v>14027</v>
      </c>
      <c r="C2956" s="293" t="s">
        <v>14028</v>
      </c>
      <c r="D2956" s="293" t="s">
        <v>11031</v>
      </c>
      <c r="E2956" s="293" t="s">
        <v>2175</v>
      </c>
      <c r="F2956" s="293">
        <v>2003</v>
      </c>
      <c r="G2956" s="296"/>
      <c r="H2956" s="293" t="s">
        <v>1878</v>
      </c>
      <c r="I2956" s="294" t="s">
        <v>1879</v>
      </c>
      <c r="J2956" s="296"/>
      <c r="K2956" s="293" t="s">
        <v>1881</v>
      </c>
      <c r="L2956" s="294" t="s">
        <v>14029</v>
      </c>
      <c r="M2956" s="293">
        <v>143</v>
      </c>
      <c r="N2956" s="296"/>
      <c r="O2956" s="293" t="s">
        <v>12195</v>
      </c>
      <c r="P2956" s="295">
        <v>325</v>
      </c>
      <c r="Q2956" s="245">
        <f t="shared" si="163"/>
        <v>-2.2000000000000002</v>
      </c>
      <c r="R2956" s="245">
        <v>2.2000000000000002</v>
      </c>
    </row>
    <row r="2957" spans="1:18" x14ac:dyDescent="0.25">
      <c r="A2957" s="277">
        <v>701</v>
      </c>
      <c r="B2957" s="293" t="s">
        <v>14030</v>
      </c>
      <c r="C2957" s="293" t="s">
        <v>14031</v>
      </c>
      <c r="D2957" s="293" t="s">
        <v>14032</v>
      </c>
      <c r="E2957" s="293" t="s">
        <v>1913</v>
      </c>
      <c r="F2957" s="293">
        <v>2005</v>
      </c>
      <c r="G2957" s="296"/>
      <c r="H2957" s="293" t="s">
        <v>1878</v>
      </c>
      <c r="I2957" s="294" t="s">
        <v>1879</v>
      </c>
      <c r="J2957" s="293" t="s">
        <v>9196</v>
      </c>
      <c r="K2957" s="293" t="s">
        <v>1881</v>
      </c>
      <c r="L2957" s="294" t="s">
        <v>14033</v>
      </c>
      <c r="M2957" s="293">
        <v>253</v>
      </c>
      <c r="N2957" s="296"/>
      <c r="O2957" s="293" t="s">
        <v>12196</v>
      </c>
      <c r="P2957" s="295">
        <v>203</v>
      </c>
      <c r="Q2957" s="245">
        <f t="shared" si="163"/>
        <v>-2.2000000000000002</v>
      </c>
      <c r="R2957" s="245">
        <v>2.2000000000000002</v>
      </c>
    </row>
    <row r="2958" spans="1:18" x14ac:dyDescent="0.25">
      <c r="A2958" s="277">
        <v>2518</v>
      </c>
      <c r="B2958" s="293" t="s">
        <v>10994</v>
      </c>
      <c r="C2958" s="293" t="s">
        <v>14034</v>
      </c>
      <c r="D2958" s="293" t="s">
        <v>1988</v>
      </c>
      <c r="E2958" s="296"/>
      <c r="F2958" s="293">
        <v>2014</v>
      </c>
      <c r="G2958" s="296"/>
      <c r="H2958" s="293" t="s">
        <v>1878</v>
      </c>
      <c r="I2958" s="294" t="s">
        <v>7527</v>
      </c>
      <c r="J2958" s="296"/>
      <c r="K2958" s="293" t="s">
        <v>1881</v>
      </c>
      <c r="L2958" s="294" t="s">
        <v>14035</v>
      </c>
      <c r="M2958" s="293">
        <v>238</v>
      </c>
      <c r="N2958" s="296"/>
      <c r="O2958" s="293" t="s">
        <v>12197</v>
      </c>
      <c r="P2958" s="295">
        <v>233</v>
      </c>
      <c r="Q2958" s="245">
        <f t="shared" si="163"/>
        <v>-2.2000000000000002</v>
      </c>
      <c r="R2958" s="245">
        <v>2.2000000000000002</v>
      </c>
    </row>
    <row r="2959" spans="1:18" x14ac:dyDescent="0.25">
      <c r="A2959" s="277">
        <v>8</v>
      </c>
      <c r="B2959" s="293" t="s">
        <v>14036</v>
      </c>
      <c r="C2959" s="293" t="s">
        <v>14037</v>
      </c>
      <c r="D2959" s="293" t="s">
        <v>1988</v>
      </c>
      <c r="E2959" s="293" t="s">
        <v>1913</v>
      </c>
      <c r="F2959" s="293">
        <v>2009</v>
      </c>
      <c r="G2959" s="296"/>
      <c r="H2959" s="293" t="s">
        <v>1878</v>
      </c>
      <c r="I2959" s="294" t="s">
        <v>1879</v>
      </c>
      <c r="J2959" s="296"/>
      <c r="K2959" s="293" t="s">
        <v>1881</v>
      </c>
      <c r="L2959" s="294" t="s">
        <v>14038</v>
      </c>
      <c r="M2959" s="293">
        <v>153</v>
      </c>
      <c r="N2959" s="296"/>
      <c r="O2959" s="293" t="s">
        <v>12198</v>
      </c>
      <c r="P2959" s="295">
        <v>258</v>
      </c>
      <c r="Q2959" s="245">
        <f t="shared" si="163"/>
        <v>-2.2000000000000002</v>
      </c>
      <c r="R2959" s="245">
        <v>2.2000000000000002</v>
      </c>
    </row>
    <row r="2960" spans="1:18" x14ac:dyDescent="0.25">
      <c r="A2960" s="277">
        <v>796</v>
      </c>
      <c r="B2960" s="293" t="s">
        <v>13327</v>
      </c>
      <c r="C2960" s="293" t="s">
        <v>14039</v>
      </c>
      <c r="D2960" s="293" t="s">
        <v>1988</v>
      </c>
      <c r="E2960" s="293" t="s">
        <v>2375</v>
      </c>
      <c r="F2960" s="293">
        <v>2012</v>
      </c>
      <c r="G2960" s="296"/>
      <c r="H2960" s="293" t="s">
        <v>1878</v>
      </c>
      <c r="I2960" s="294" t="s">
        <v>1914</v>
      </c>
      <c r="J2960" s="296"/>
      <c r="K2960" s="293" t="s">
        <v>1881</v>
      </c>
      <c r="L2960" s="294" t="s">
        <v>14040</v>
      </c>
      <c r="M2960" s="293">
        <v>335</v>
      </c>
      <c r="N2960" s="296"/>
      <c r="O2960" s="293" t="s">
        <v>12199</v>
      </c>
      <c r="P2960" s="295">
        <v>284</v>
      </c>
      <c r="Q2960" s="245">
        <f t="shared" si="163"/>
        <v>-2.2000000000000002</v>
      </c>
      <c r="R2960" s="245">
        <v>2.2000000000000002</v>
      </c>
    </row>
    <row r="2961" spans="1:19" x14ac:dyDescent="0.25">
      <c r="A2961" s="182">
        <v>1315</v>
      </c>
      <c r="B2961" s="182" t="s">
        <v>13753</v>
      </c>
      <c r="C2961" s="182" t="s">
        <v>13754</v>
      </c>
      <c r="D2961" s="182" t="s">
        <v>1979</v>
      </c>
      <c r="E2961" s="182"/>
      <c r="F2961" s="182">
        <v>1999</v>
      </c>
      <c r="G2961" s="182"/>
      <c r="H2961" s="182" t="s">
        <v>1878</v>
      </c>
      <c r="I2961" s="184" t="s">
        <v>1879</v>
      </c>
      <c r="J2961" s="182"/>
      <c r="K2961" s="182" t="s">
        <v>1881</v>
      </c>
      <c r="L2961" s="184" t="s">
        <v>13755</v>
      </c>
      <c r="M2961" s="182">
        <v>192</v>
      </c>
      <c r="O2961" s="257" t="s">
        <v>12200</v>
      </c>
      <c r="P2961" s="17">
        <v>188</v>
      </c>
      <c r="Q2961" s="245">
        <f t="shared" si="163"/>
        <v>1.9299999999999997</v>
      </c>
      <c r="R2961" s="245">
        <v>2.2000000000000002</v>
      </c>
      <c r="S2961" s="18">
        <v>4.13</v>
      </c>
    </row>
    <row r="2962" spans="1:19" x14ac:dyDescent="0.25">
      <c r="A2962" s="1">
        <v>692</v>
      </c>
      <c r="B2962" s="1" t="s">
        <v>13756</v>
      </c>
      <c r="C2962" s="1" t="s">
        <v>13757</v>
      </c>
      <c r="D2962" s="1" t="s">
        <v>13616</v>
      </c>
      <c r="E2962" s="196" t="s">
        <v>1913</v>
      </c>
      <c r="F2962" s="1">
        <v>2015</v>
      </c>
      <c r="H2962" s="1" t="s">
        <v>1878</v>
      </c>
      <c r="I2962" s="16" t="s">
        <v>1879</v>
      </c>
      <c r="K2962" s="1" t="s">
        <v>1881</v>
      </c>
      <c r="L2962" s="16" t="s">
        <v>13758</v>
      </c>
      <c r="M2962" s="1">
        <v>352</v>
      </c>
      <c r="O2962" s="257" t="s">
        <v>12201</v>
      </c>
      <c r="P2962" s="17">
        <v>284</v>
      </c>
      <c r="Q2962" s="245">
        <f t="shared" si="163"/>
        <v>0.69999999999999973</v>
      </c>
      <c r="R2962" s="245">
        <v>2.2000000000000002</v>
      </c>
      <c r="S2962" s="18">
        <v>2.9</v>
      </c>
    </row>
    <row r="2963" spans="1:19" x14ac:dyDescent="0.25">
      <c r="A2963" s="1">
        <v>796</v>
      </c>
      <c r="B2963" s="1" t="s">
        <v>13759</v>
      </c>
      <c r="C2963" s="1" t="s">
        <v>13760</v>
      </c>
      <c r="D2963" s="1" t="s">
        <v>1920</v>
      </c>
      <c r="F2963" s="1">
        <v>2014</v>
      </c>
      <c r="H2963" s="182" t="s">
        <v>1878</v>
      </c>
      <c r="I2963" s="184" t="s">
        <v>1879</v>
      </c>
      <c r="J2963" s="182"/>
      <c r="K2963" s="182" t="s">
        <v>1881</v>
      </c>
      <c r="L2963" s="16" t="s">
        <v>13761</v>
      </c>
      <c r="M2963" s="1">
        <v>400</v>
      </c>
      <c r="O2963" s="257" t="s">
        <v>12202</v>
      </c>
      <c r="P2963" s="17">
        <v>399</v>
      </c>
      <c r="Q2963" s="245">
        <f t="shared" si="163"/>
        <v>4.8899999999999997</v>
      </c>
      <c r="R2963" s="245">
        <v>2.2000000000000002</v>
      </c>
      <c r="S2963" s="18">
        <v>7.09</v>
      </c>
    </row>
    <row r="2964" spans="1:19" x14ac:dyDescent="0.25">
      <c r="A2964" s="196">
        <v>796</v>
      </c>
      <c r="B2964" s="196" t="s">
        <v>13762</v>
      </c>
      <c r="C2964" s="196" t="s">
        <v>13763</v>
      </c>
      <c r="D2964" s="196" t="s">
        <v>1912</v>
      </c>
      <c r="E2964" s="196" t="s">
        <v>3731</v>
      </c>
      <c r="F2964" s="196">
        <v>2008</v>
      </c>
      <c r="H2964" s="182" t="s">
        <v>1878</v>
      </c>
      <c r="I2964" s="184" t="s">
        <v>1879</v>
      </c>
      <c r="J2964" s="182"/>
      <c r="K2964" s="182" t="s">
        <v>1881</v>
      </c>
      <c r="L2964" s="16" t="s">
        <v>13764</v>
      </c>
      <c r="M2964" s="196">
        <v>480</v>
      </c>
      <c r="O2964" s="257" t="s">
        <v>12203</v>
      </c>
      <c r="P2964" s="17">
        <v>395</v>
      </c>
      <c r="Q2964" s="245">
        <f t="shared" si="163"/>
        <v>2.2299999999999995</v>
      </c>
      <c r="R2964" s="245">
        <v>2.2000000000000002</v>
      </c>
      <c r="S2964" s="18">
        <v>4.43</v>
      </c>
    </row>
    <row r="2965" spans="1:19" x14ac:dyDescent="0.25">
      <c r="A2965" s="196">
        <v>1386</v>
      </c>
      <c r="B2965" s="196" t="s">
        <v>13765</v>
      </c>
      <c r="C2965" s="196" t="s">
        <v>13766</v>
      </c>
      <c r="D2965" s="196" t="s">
        <v>9919</v>
      </c>
      <c r="F2965" s="196">
        <v>2016</v>
      </c>
      <c r="H2965" s="182" t="s">
        <v>1878</v>
      </c>
      <c r="I2965" s="184" t="s">
        <v>1879</v>
      </c>
      <c r="J2965" s="54" t="s">
        <v>3854</v>
      </c>
      <c r="K2965" s="182" t="s">
        <v>1881</v>
      </c>
      <c r="L2965" s="16" t="s">
        <v>13767</v>
      </c>
      <c r="M2965" s="196">
        <v>336</v>
      </c>
      <c r="O2965" s="257" t="s">
        <v>12204</v>
      </c>
      <c r="P2965" s="17">
        <v>425</v>
      </c>
      <c r="Q2965" s="245">
        <f t="shared" si="163"/>
        <v>3.7199999999999998</v>
      </c>
      <c r="R2965" s="245">
        <v>2.2000000000000002</v>
      </c>
      <c r="S2965" s="18">
        <v>5.92</v>
      </c>
    </row>
    <row r="2966" spans="1:19" x14ac:dyDescent="0.25">
      <c r="A2966" s="196">
        <v>2547</v>
      </c>
      <c r="B2966" s="196" t="s">
        <v>4071</v>
      </c>
      <c r="C2966" s="196" t="s">
        <v>11559</v>
      </c>
      <c r="D2966" s="196" t="s">
        <v>1912</v>
      </c>
      <c r="E2966" s="196" t="s">
        <v>13768</v>
      </c>
      <c r="F2966" s="196">
        <v>1996</v>
      </c>
      <c r="H2966" s="182" t="s">
        <v>1878</v>
      </c>
      <c r="I2966" s="184" t="s">
        <v>1879</v>
      </c>
      <c r="J2966" s="182"/>
      <c r="K2966" s="182" t="s">
        <v>1881</v>
      </c>
      <c r="L2966" s="16" t="s">
        <v>11560</v>
      </c>
      <c r="M2966" s="196">
        <v>480</v>
      </c>
      <c r="O2966" s="257" t="s">
        <v>12205</v>
      </c>
      <c r="P2966" s="17">
        <v>317</v>
      </c>
      <c r="Q2966" s="245">
        <f t="shared" si="163"/>
        <v>1.19</v>
      </c>
      <c r="R2966" s="245">
        <v>2.2000000000000002</v>
      </c>
      <c r="S2966" s="18">
        <v>3.39</v>
      </c>
    </row>
    <row r="2967" spans="1:19" x14ac:dyDescent="0.25">
      <c r="A2967" s="196">
        <v>1386</v>
      </c>
      <c r="B2967" s="196" t="s">
        <v>7334</v>
      </c>
      <c r="C2967" s="196" t="s">
        <v>8640</v>
      </c>
      <c r="D2967" s="196" t="s">
        <v>2300</v>
      </c>
      <c r="F2967" s="196">
        <v>1994</v>
      </c>
      <c r="H2967" s="182" t="s">
        <v>1878</v>
      </c>
      <c r="I2967" s="184" t="s">
        <v>1879</v>
      </c>
      <c r="J2967" s="182"/>
      <c r="K2967" s="182" t="s">
        <v>1881</v>
      </c>
      <c r="L2967" s="16" t="s">
        <v>13769</v>
      </c>
      <c r="M2967" s="196">
        <v>224</v>
      </c>
      <c r="O2967" s="257" t="s">
        <v>12206</v>
      </c>
      <c r="P2967" s="17">
        <v>185</v>
      </c>
      <c r="Q2967" s="245">
        <f t="shared" si="163"/>
        <v>1.19</v>
      </c>
      <c r="R2967" s="245">
        <v>2.2000000000000002</v>
      </c>
      <c r="S2967" s="18">
        <v>3.39</v>
      </c>
    </row>
    <row r="2968" spans="1:19" x14ac:dyDescent="0.25">
      <c r="A2968" s="196">
        <v>1396</v>
      </c>
      <c r="B2968" s="196" t="s">
        <v>13770</v>
      </c>
      <c r="C2968" s="196" t="s">
        <v>13771</v>
      </c>
      <c r="D2968" s="196" t="s">
        <v>2054</v>
      </c>
      <c r="H2968" s="196" t="s">
        <v>2734</v>
      </c>
      <c r="I2968" s="16" t="s">
        <v>1879</v>
      </c>
      <c r="K2968" s="196" t="s">
        <v>1881</v>
      </c>
      <c r="L2968" s="16" t="s">
        <v>13772</v>
      </c>
      <c r="M2968" s="196">
        <v>226</v>
      </c>
      <c r="O2968" s="257" t="s">
        <v>12207</v>
      </c>
      <c r="P2968" s="17">
        <v>294</v>
      </c>
      <c r="Q2968" s="245">
        <f t="shared" si="163"/>
        <v>2.8</v>
      </c>
      <c r="R2968" s="245">
        <v>2.2000000000000002</v>
      </c>
      <c r="S2968" s="18">
        <v>5</v>
      </c>
    </row>
    <row r="2969" spans="1:19" x14ac:dyDescent="0.25">
      <c r="A2969" s="196">
        <v>796</v>
      </c>
      <c r="B2969" s="196" t="s">
        <v>13770</v>
      </c>
      <c r="C2969" s="196" t="s">
        <v>13773</v>
      </c>
      <c r="H2969" s="196" t="s">
        <v>2734</v>
      </c>
      <c r="I2969" s="184" t="s">
        <v>1879</v>
      </c>
      <c r="J2969" s="182"/>
      <c r="K2969" s="196" t="s">
        <v>1881</v>
      </c>
      <c r="L2969" s="16" t="s">
        <v>13774</v>
      </c>
      <c r="M2969" s="196">
        <v>234</v>
      </c>
      <c r="O2969" s="257" t="s">
        <v>12208</v>
      </c>
      <c r="P2969" s="17">
        <v>298</v>
      </c>
      <c r="Q2969" s="245">
        <f t="shared" si="163"/>
        <v>12.7</v>
      </c>
      <c r="R2969" s="245">
        <v>2.2000000000000002</v>
      </c>
      <c r="S2969" s="18">
        <v>14.9</v>
      </c>
    </row>
    <row r="2970" spans="1:19" x14ac:dyDescent="0.25">
      <c r="A2970" s="196">
        <v>796</v>
      </c>
      <c r="B2970" s="196" t="s">
        <v>9291</v>
      </c>
      <c r="C2970" s="196" t="s">
        <v>9491</v>
      </c>
      <c r="D2970" s="196" t="s">
        <v>2257</v>
      </c>
      <c r="F2970" s="196">
        <v>2006</v>
      </c>
      <c r="H2970" s="182" t="s">
        <v>1878</v>
      </c>
      <c r="I2970" s="184" t="s">
        <v>1879</v>
      </c>
      <c r="J2970" s="182"/>
      <c r="K2970" s="182" t="s">
        <v>1881</v>
      </c>
      <c r="L2970" s="16" t="s">
        <v>13775</v>
      </c>
      <c r="M2970" s="196">
        <v>336</v>
      </c>
      <c r="O2970" s="257" t="s">
        <v>12209</v>
      </c>
      <c r="P2970" s="17">
        <v>290</v>
      </c>
      <c r="Q2970" s="245">
        <f t="shared" si="163"/>
        <v>1.65</v>
      </c>
      <c r="R2970" s="245">
        <v>2.2000000000000002</v>
      </c>
      <c r="S2970" s="18">
        <v>3.85</v>
      </c>
    </row>
    <row r="2971" spans="1:19" x14ac:dyDescent="0.25">
      <c r="A2971" s="196">
        <v>1913</v>
      </c>
      <c r="B2971" s="196" t="s">
        <v>7525</v>
      </c>
      <c r="C2971" s="196" t="s">
        <v>13776</v>
      </c>
      <c r="D2971" s="196" t="s">
        <v>2209</v>
      </c>
      <c r="E2971" s="196" t="s">
        <v>1877</v>
      </c>
      <c r="F2971" s="196">
        <v>2006</v>
      </c>
      <c r="H2971" s="182" t="s">
        <v>1878</v>
      </c>
      <c r="I2971" s="184" t="s">
        <v>1879</v>
      </c>
      <c r="J2971" s="182"/>
      <c r="K2971" s="182" t="s">
        <v>1881</v>
      </c>
      <c r="L2971" s="16" t="s">
        <v>13777</v>
      </c>
      <c r="M2971" s="196">
        <v>432</v>
      </c>
      <c r="O2971" s="257" t="s">
        <v>12210</v>
      </c>
      <c r="P2971" s="17">
        <v>357</v>
      </c>
      <c r="Q2971" s="245">
        <f t="shared" si="163"/>
        <v>5.5</v>
      </c>
      <c r="R2971" s="245">
        <v>2.2000000000000002</v>
      </c>
      <c r="S2971" s="18">
        <v>7.7</v>
      </c>
    </row>
    <row r="2972" spans="1:19" x14ac:dyDescent="0.25">
      <c r="A2972" s="196">
        <v>643</v>
      </c>
      <c r="B2972" s="196" t="s">
        <v>13778</v>
      </c>
      <c r="C2972" s="196" t="s">
        <v>13779</v>
      </c>
      <c r="D2972" s="196" t="s">
        <v>13780</v>
      </c>
      <c r="E2972" s="196" t="s">
        <v>6097</v>
      </c>
      <c r="F2972" s="196">
        <v>2011</v>
      </c>
      <c r="H2972" s="182" t="s">
        <v>1878</v>
      </c>
      <c r="I2972" s="184" t="s">
        <v>1879</v>
      </c>
      <c r="J2972" s="196" t="s">
        <v>13781</v>
      </c>
      <c r="K2972" s="196" t="s">
        <v>1881</v>
      </c>
      <c r="L2972" s="16" t="s">
        <v>13782</v>
      </c>
      <c r="M2972" s="196">
        <v>240</v>
      </c>
      <c r="O2972" s="257" t="s">
        <v>12211</v>
      </c>
      <c r="P2972" s="17">
        <v>189</v>
      </c>
      <c r="Q2972" s="245">
        <f t="shared" si="163"/>
        <v>0.77</v>
      </c>
      <c r="R2972" s="245">
        <v>2.2000000000000002</v>
      </c>
      <c r="S2972" s="18">
        <v>2.97</v>
      </c>
    </row>
    <row r="2973" spans="1:19" x14ac:dyDescent="0.25">
      <c r="A2973" s="196">
        <v>792</v>
      </c>
      <c r="B2973" s="196" t="s">
        <v>13783</v>
      </c>
      <c r="C2973" s="196" t="s">
        <v>13784</v>
      </c>
      <c r="D2973" s="196" t="s">
        <v>4841</v>
      </c>
      <c r="F2973" s="196">
        <v>2009</v>
      </c>
      <c r="H2973" s="182" t="s">
        <v>1878</v>
      </c>
      <c r="I2973" s="184" t="s">
        <v>1879</v>
      </c>
      <c r="J2973" s="182"/>
      <c r="K2973" s="182" t="s">
        <v>1881</v>
      </c>
      <c r="L2973" s="16" t="s">
        <v>13785</v>
      </c>
      <c r="M2973" s="196">
        <v>200</v>
      </c>
      <c r="O2973" s="257" t="s">
        <v>12212</v>
      </c>
      <c r="P2973" s="17">
        <v>174</v>
      </c>
      <c r="Q2973" s="245">
        <f t="shared" si="163"/>
        <v>2.9799999999999995</v>
      </c>
      <c r="R2973" s="245">
        <v>2.2000000000000002</v>
      </c>
      <c r="S2973" s="18">
        <v>5.18</v>
      </c>
    </row>
    <row r="2974" spans="1:19" x14ac:dyDescent="0.25">
      <c r="A2974" s="196">
        <v>2663</v>
      </c>
      <c r="B2974" s="196" t="s">
        <v>13786</v>
      </c>
      <c r="C2974" s="196" t="s">
        <v>13787</v>
      </c>
      <c r="D2974" s="196" t="s">
        <v>2054</v>
      </c>
      <c r="F2974" s="196">
        <v>2008</v>
      </c>
      <c r="H2974" s="196" t="s">
        <v>2734</v>
      </c>
      <c r="I2974" s="184" t="s">
        <v>1914</v>
      </c>
      <c r="J2974" s="182"/>
      <c r="K2974" s="196" t="s">
        <v>1881</v>
      </c>
      <c r="L2974" s="16" t="s">
        <v>13788</v>
      </c>
      <c r="M2974" s="196">
        <v>562</v>
      </c>
      <c r="O2974" s="257" t="s">
        <v>12213</v>
      </c>
      <c r="P2974" s="17">
        <v>467</v>
      </c>
      <c r="Q2974" s="245">
        <f t="shared" si="163"/>
        <v>1.2999999999999998</v>
      </c>
      <c r="R2974" s="245">
        <v>2.2000000000000002</v>
      </c>
      <c r="S2974" s="18">
        <v>3.5</v>
      </c>
    </row>
    <row r="2975" spans="1:19" x14ac:dyDescent="0.25">
      <c r="A2975" s="196">
        <v>1301</v>
      </c>
      <c r="B2975" s="196" t="s">
        <v>13789</v>
      </c>
      <c r="C2975" s="196" t="s">
        <v>13790</v>
      </c>
      <c r="D2975" s="196" t="s">
        <v>2007</v>
      </c>
      <c r="F2975" s="196">
        <v>2001</v>
      </c>
      <c r="H2975" s="196" t="s">
        <v>2008</v>
      </c>
      <c r="I2975" s="16" t="s">
        <v>1879</v>
      </c>
      <c r="K2975" s="196" t="s">
        <v>2025</v>
      </c>
      <c r="L2975" s="16" t="s">
        <v>13791</v>
      </c>
      <c r="M2975" s="196">
        <v>224</v>
      </c>
      <c r="O2975" s="257" t="s">
        <v>12214</v>
      </c>
      <c r="P2975" s="17">
        <v>120</v>
      </c>
      <c r="Q2975" s="245">
        <f t="shared" si="163"/>
        <v>1.77</v>
      </c>
      <c r="R2975" s="245">
        <v>2.2000000000000002</v>
      </c>
      <c r="S2975" s="18">
        <v>3.97</v>
      </c>
    </row>
    <row r="2976" spans="1:19" x14ac:dyDescent="0.25">
      <c r="A2976" s="196">
        <v>1315</v>
      </c>
      <c r="B2976" s="196" t="s">
        <v>13792</v>
      </c>
      <c r="C2976" s="196" t="s">
        <v>13793</v>
      </c>
      <c r="D2976" s="196" t="s">
        <v>2530</v>
      </c>
      <c r="F2976" s="196">
        <v>2018</v>
      </c>
      <c r="H2976" s="182" t="s">
        <v>1878</v>
      </c>
      <c r="I2976" s="184" t="s">
        <v>1879</v>
      </c>
      <c r="J2976" s="182"/>
      <c r="K2976" s="182" t="s">
        <v>1881</v>
      </c>
      <c r="L2976" s="16" t="s">
        <v>13794</v>
      </c>
      <c r="M2976" s="196">
        <v>240</v>
      </c>
      <c r="O2976" s="257" t="s">
        <v>12215</v>
      </c>
      <c r="P2976" s="17">
        <v>247</v>
      </c>
      <c r="Q2976" s="245">
        <f t="shared" si="163"/>
        <v>2.75</v>
      </c>
      <c r="R2976" s="245">
        <v>2.2000000000000002</v>
      </c>
      <c r="S2976" s="18">
        <v>4.95</v>
      </c>
    </row>
    <row r="2977" spans="1:38" x14ac:dyDescent="0.25">
      <c r="A2977" s="196">
        <v>701</v>
      </c>
      <c r="B2977" s="196" t="s">
        <v>13795</v>
      </c>
      <c r="C2977" s="196" t="s">
        <v>13796</v>
      </c>
      <c r="D2977" s="196" t="s">
        <v>1912</v>
      </c>
      <c r="E2977" s="196" t="s">
        <v>1913</v>
      </c>
      <c r="F2977" s="196">
        <v>2005</v>
      </c>
      <c r="H2977" s="196" t="s">
        <v>2734</v>
      </c>
      <c r="I2977" s="16" t="s">
        <v>1879</v>
      </c>
      <c r="K2977" s="196" t="s">
        <v>1881</v>
      </c>
      <c r="L2977" s="16" t="s">
        <v>13797</v>
      </c>
      <c r="M2977" s="196">
        <v>194</v>
      </c>
      <c r="O2977" s="257" t="s">
        <v>12216</v>
      </c>
      <c r="P2977" s="17">
        <v>313</v>
      </c>
      <c r="Q2977" s="245">
        <f t="shared" si="163"/>
        <v>1.38</v>
      </c>
      <c r="R2977" s="245">
        <v>2.2000000000000002</v>
      </c>
      <c r="S2977" s="18">
        <v>3.58</v>
      </c>
    </row>
    <row r="2978" spans="1:38" x14ac:dyDescent="0.25">
      <c r="A2978" s="196">
        <v>701</v>
      </c>
      <c r="B2978" s="196" t="s">
        <v>13798</v>
      </c>
      <c r="C2978" s="196" t="s">
        <v>13799</v>
      </c>
      <c r="D2978" s="196" t="s">
        <v>13800</v>
      </c>
      <c r="E2978" s="196" t="s">
        <v>1899</v>
      </c>
      <c r="F2978" s="196">
        <v>2007</v>
      </c>
      <c r="H2978" s="182" t="s">
        <v>1878</v>
      </c>
      <c r="I2978" s="16" t="s">
        <v>1914</v>
      </c>
      <c r="J2978" s="196" t="s">
        <v>13801</v>
      </c>
      <c r="K2978" s="196" t="s">
        <v>1881</v>
      </c>
      <c r="L2978" s="16" t="s">
        <v>13802</v>
      </c>
      <c r="M2978" s="196">
        <v>196</v>
      </c>
      <c r="O2978" s="257" t="s">
        <v>12217</v>
      </c>
      <c r="P2978" s="17">
        <v>230</v>
      </c>
      <c r="Q2978" s="245">
        <f t="shared" si="163"/>
        <v>2.88</v>
      </c>
      <c r="R2978" s="245">
        <v>2.2000000000000002</v>
      </c>
      <c r="S2978" s="18">
        <f>1.09+3.99</f>
        <v>5.08</v>
      </c>
      <c r="AK2978" s="2" t="s">
        <v>8842</v>
      </c>
    </row>
    <row r="2979" spans="1:38" x14ac:dyDescent="0.25">
      <c r="A2979" s="196">
        <v>2518</v>
      </c>
      <c r="B2979" s="196" t="s">
        <v>3835</v>
      </c>
      <c r="C2979" s="196" t="s">
        <v>13803</v>
      </c>
      <c r="D2979" s="196" t="s">
        <v>2257</v>
      </c>
      <c r="F2979" s="196">
        <v>2007</v>
      </c>
      <c r="H2979" s="182" t="s">
        <v>1878</v>
      </c>
      <c r="I2979" s="184" t="s">
        <v>1879</v>
      </c>
      <c r="J2979" s="182"/>
      <c r="K2979" s="182" t="s">
        <v>1881</v>
      </c>
      <c r="L2979" s="16" t="s">
        <v>13804</v>
      </c>
      <c r="M2979" s="196">
        <v>464</v>
      </c>
      <c r="O2979" s="257" t="s">
        <v>12218</v>
      </c>
      <c r="P2979" s="17">
        <v>306</v>
      </c>
      <c r="Q2979" s="245">
        <f t="shared" si="163"/>
        <v>1.92</v>
      </c>
      <c r="R2979" s="245">
        <v>2.2000000000000002</v>
      </c>
      <c r="S2979" s="18">
        <v>4.12</v>
      </c>
    </row>
    <row r="2980" spans="1:38" x14ac:dyDescent="0.25">
      <c r="A2980" s="196">
        <v>2518</v>
      </c>
      <c r="B2980" s="196" t="s">
        <v>13805</v>
      </c>
      <c r="C2980" s="196" t="s">
        <v>13806</v>
      </c>
      <c r="D2980" s="196" t="s">
        <v>3149</v>
      </c>
      <c r="F2980" s="196">
        <v>2014</v>
      </c>
      <c r="H2980" s="182" t="s">
        <v>1878</v>
      </c>
      <c r="I2980" s="184" t="s">
        <v>1914</v>
      </c>
      <c r="K2980" s="196" t="s">
        <v>1881</v>
      </c>
      <c r="L2980" s="16" t="s">
        <v>13807</v>
      </c>
      <c r="M2980" s="196">
        <v>384</v>
      </c>
      <c r="O2980" s="257" t="s">
        <v>12219</v>
      </c>
      <c r="P2980" s="17">
        <v>219</v>
      </c>
      <c r="Q2980" s="245">
        <f t="shared" si="163"/>
        <v>3.6599999999999993</v>
      </c>
      <c r="R2980" s="245">
        <v>2.2000000000000002</v>
      </c>
      <c r="S2980" s="18">
        <f>3.51+2.35</f>
        <v>5.8599999999999994</v>
      </c>
    </row>
    <row r="2981" spans="1:38" x14ac:dyDescent="0.25">
      <c r="A2981" s="196">
        <v>632</v>
      </c>
      <c r="B2981" s="196" t="s">
        <v>7529</v>
      </c>
      <c r="C2981" s="196" t="s">
        <v>13808</v>
      </c>
      <c r="D2981" s="196" t="s">
        <v>3077</v>
      </c>
      <c r="E2981" s="196" t="s">
        <v>2518</v>
      </c>
      <c r="F2981" s="196">
        <v>2002</v>
      </c>
      <c r="H2981" s="196" t="s">
        <v>2734</v>
      </c>
      <c r="I2981" s="16" t="s">
        <v>1879</v>
      </c>
      <c r="K2981" s="196" t="s">
        <v>1881</v>
      </c>
      <c r="L2981" s="16" t="s">
        <v>13809</v>
      </c>
      <c r="M2981" s="196">
        <v>1282</v>
      </c>
      <c r="O2981" s="257" t="s">
        <v>12220</v>
      </c>
      <c r="P2981" s="17">
        <v>1453</v>
      </c>
      <c r="Q2981" s="245">
        <f t="shared" si="163"/>
        <v>3.0300000000000002</v>
      </c>
      <c r="R2981" s="245">
        <v>2.2000000000000002</v>
      </c>
      <c r="S2981" s="18">
        <v>5.23</v>
      </c>
    </row>
    <row r="2982" spans="1:38" x14ac:dyDescent="0.25">
      <c r="A2982" s="196">
        <v>632</v>
      </c>
      <c r="B2982" s="196" t="s">
        <v>7529</v>
      </c>
      <c r="C2982" s="196" t="s">
        <v>13810</v>
      </c>
      <c r="D2982" s="196" t="s">
        <v>3077</v>
      </c>
      <c r="E2982" s="196" t="s">
        <v>1913</v>
      </c>
      <c r="F2982" s="196">
        <v>2004</v>
      </c>
      <c r="H2982" s="196" t="s">
        <v>2734</v>
      </c>
      <c r="I2982" s="184" t="s">
        <v>1879</v>
      </c>
      <c r="J2982" s="182"/>
      <c r="K2982" s="196" t="s">
        <v>1881</v>
      </c>
      <c r="L2982" s="16" t="s">
        <v>13811</v>
      </c>
      <c r="M2982" s="196">
        <v>1202</v>
      </c>
      <c r="O2982" s="257" t="s">
        <v>12221</v>
      </c>
      <c r="P2982" s="17">
        <v>1358</v>
      </c>
      <c r="Q2982" s="245">
        <f t="shared" si="163"/>
        <v>4.9799999999999995</v>
      </c>
      <c r="R2982" s="245">
        <v>2.2000000000000002</v>
      </c>
      <c r="S2982" s="18">
        <v>7.18</v>
      </c>
    </row>
    <row r="2983" spans="1:38" x14ac:dyDescent="0.25">
      <c r="A2983" s="196">
        <v>632</v>
      </c>
      <c r="B2983" s="196" t="s">
        <v>7529</v>
      </c>
      <c r="C2983" s="196" t="s">
        <v>13812</v>
      </c>
      <c r="D2983" s="196" t="s">
        <v>3077</v>
      </c>
      <c r="E2983" s="196" t="s">
        <v>1899</v>
      </c>
      <c r="F2983" s="196">
        <v>2003</v>
      </c>
      <c r="H2983" s="196" t="s">
        <v>2734</v>
      </c>
      <c r="I2983" s="184" t="s">
        <v>1879</v>
      </c>
      <c r="J2983" s="182"/>
      <c r="K2983" s="196" t="s">
        <v>1881</v>
      </c>
      <c r="L2983" s="16" t="s">
        <v>13813</v>
      </c>
      <c r="M2983" s="196">
        <v>1090</v>
      </c>
      <c r="O2983" s="257" t="s">
        <v>12222</v>
      </c>
      <c r="P2983" s="17">
        <v>1088</v>
      </c>
      <c r="Q2983" s="245">
        <f t="shared" si="163"/>
        <v>6.78</v>
      </c>
      <c r="R2983" s="245">
        <v>2.2000000000000002</v>
      </c>
      <c r="S2983" s="18">
        <f>5.49+3.49</f>
        <v>8.98</v>
      </c>
    </row>
    <row r="2984" spans="1:38" x14ac:dyDescent="0.25">
      <c r="A2984" s="196">
        <v>632</v>
      </c>
      <c r="B2984" s="196" t="s">
        <v>7529</v>
      </c>
      <c r="C2984" s="196" t="s">
        <v>13814</v>
      </c>
      <c r="D2984" s="196" t="s">
        <v>3077</v>
      </c>
      <c r="E2984" s="196" t="s">
        <v>1899</v>
      </c>
      <c r="F2984" s="196">
        <v>2006</v>
      </c>
      <c r="H2984" s="196" t="s">
        <v>2734</v>
      </c>
      <c r="I2984" s="184" t="s">
        <v>1879</v>
      </c>
      <c r="J2984" s="182"/>
      <c r="K2984" s="196" t="s">
        <v>1881</v>
      </c>
      <c r="L2984" s="16" t="s">
        <v>13815</v>
      </c>
      <c r="M2984" s="196">
        <v>994</v>
      </c>
      <c r="O2984" s="257" t="s">
        <v>12223</v>
      </c>
      <c r="P2984" s="17">
        <v>1158</v>
      </c>
      <c r="Q2984" s="245">
        <f t="shared" si="163"/>
        <v>4.3899999999999997</v>
      </c>
      <c r="R2984" s="245">
        <v>2.2000000000000002</v>
      </c>
      <c r="S2984" s="18">
        <v>6.59</v>
      </c>
    </row>
    <row r="2985" spans="1:38" x14ac:dyDescent="0.25">
      <c r="A2985" s="196">
        <v>632</v>
      </c>
      <c r="B2985" s="196" t="s">
        <v>7529</v>
      </c>
      <c r="C2985" s="196" t="s">
        <v>13816</v>
      </c>
      <c r="D2985" s="196" t="s">
        <v>3077</v>
      </c>
      <c r="E2985" s="196" t="s">
        <v>1913</v>
      </c>
      <c r="F2985" s="196">
        <v>2014</v>
      </c>
      <c r="H2985" s="196" t="s">
        <v>2734</v>
      </c>
      <c r="I2985" s="184" t="s">
        <v>1879</v>
      </c>
      <c r="J2985" s="182"/>
      <c r="K2985" s="196" t="s">
        <v>1881</v>
      </c>
      <c r="L2985" s="16" t="s">
        <v>13817</v>
      </c>
      <c r="M2985" s="196">
        <v>994</v>
      </c>
      <c r="O2985" s="257" t="s">
        <v>12224</v>
      </c>
      <c r="P2985" s="17">
        <v>1348</v>
      </c>
      <c r="Q2985" s="245">
        <f t="shared" si="163"/>
        <v>5.59</v>
      </c>
      <c r="R2985" s="245">
        <v>2.2000000000000002</v>
      </c>
      <c r="S2985" s="18">
        <v>7.79</v>
      </c>
    </row>
    <row r="2986" spans="1:38" x14ac:dyDescent="0.25">
      <c r="A2986" s="196">
        <v>692</v>
      </c>
      <c r="B2986" s="196" t="s">
        <v>13818</v>
      </c>
      <c r="C2986" s="196" t="s">
        <v>13819</v>
      </c>
      <c r="D2986" s="196" t="s">
        <v>3077</v>
      </c>
      <c r="E2986" s="196" t="s">
        <v>1913</v>
      </c>
      <c r="F2986" s="196">
        <v>2018</v>
      </c>
      <c r="H2986" s="196" t="s">
        <v>1878</v>
      </c>
      <c r="I2986" s="16" t="s">
        <v>1879</v>
      </c>
      <c r="K2986" s="196" t="s">
        <v>1881</v>
      </c>
      <c r="L2986" s="16" t="s">
        <v>13820</v>
      </c>
      <c r="M2986" s="196">
        <v>448</v>
      </c>
      <c r="O2986" s="257" t="s">
        <v>12225</v>
      </c>
      <c r="P2986" s="17">
        <v>556</v>
      </c>
      <c r="Q2986" s="245">
        <f t="shared" si="163"/>
        <v>2.3599999999999994</v>
      </c>
      <c r="R2986" s="245">
        <v>2.2000000000000002</v>
      </c>
      <c r="S2986" s="18">
        <v>4.5599999999999996</v>
      </c>
    </row>
    <row r="2987" spans="1:38" x14ac:dyDescent="0.25">
      <c r="A2987" s="196">
        <v>1315</v>
      </c>
      <c r="B2987" s="196" t="s">
        <v>13821</v>
      </c>
      <c r="C2987" s="196" t="s">
        <v>13822</v>
      </c>
      <c r="D2987" s="196" t="s">
        <v>807</v>
      </c>
      <c r="F2987" s="196">
        <v>2010</v>
      </c>
      <c r="H2987" s="196" t="s">
        <v>2734</v>
      </c>
      <c r="I2987" s="184" t="s">
        <v>1879</v>
      </c>
      <c r="J2987" s="182"/>
      <c r="K2987" s="196" t="s">
        <v>1881</v>
      </c>
      <c r="L2987" s="16" t="s">
        <v>13823</v>
      </c>
      <c r="M2987" s="196">
        <v>450</v>
      </c>
      <c r="O2987" s="257" t="s">
        <v>12226</v>
      </c>
      <c r="P2987" s="17">
        <v>745</v>
      </c>
      <c r="Q2987" s="245">
        <f t="shared" si="163"/>
        <v>8.68</v>
      </c>
      <c r="R2987" s="245">
        <v>2.2000000000000002</v>
      </c>
      <c r="S2987" s="18">
        <v>10.88</v>
      </c>
    </row>
    <row r="2988" spans="1:38" x14ac:dyDescent="0.25">
      <c r="A2988" s="196">
        <v>1313</v>
      </c>
      <c r="B2988" s="196" t="s">
        <v>13824</v>
      </c>
      <c r="C2988" s="196" t="s">
        <v>13825</v>
      </c>
      <c r="D2988" s="196" t="s">
        <v>1979</v>
      </c>
      <c r="F2988" s="196" t="s">
        <v>13826</v>
      </c>
      <c r="H2988" s="196" t="s">
        <v>2734</v>
      </c>
      <c r="I2988" s="16" t="s">
        <v>1914</v>
      </c>
      <c r="J2988" s="196" t="s">
        <v>13828</v>
      </c>
      <c r="K2988" s="196" t="s">
        <v>1881</v>
      </c>
      <c r="L2988" s="16" t="s">
        <v>13827</v>
      </c>
      <c r="M2988" s="196">
        <v>126</v>
      </c>
      <c r="O2988" s="257" t="s">
        <v>12227</v>
      </c>
      <c r="P2988" s="17">
        <v>431</v>
      </c>
      <c r="Q2988" s="245">
        <f t="shared" si="163"/>
        <v>2.04</v>
      </c>
      <c r="R2988" s="245">
        <v>2.2000000000000002</v>
      </c>
      <c r="S2988" s="18">
        <v>4.24</v>
      </c>
    </row>
    <row r="2989" spans="1:38" x14ac:dyDescent="0.25">
      <c r="A2989" s="196">
        <v>1309</v>
      </c>
      <c r="B2989" s="196" t="s">
        <v>8593</v>
      </c>
      <c r="C2989" s="196" t="s">
        <v>13829</v>
      </c>
      <c r="D2989" s="196" t="s">
        <v>10886</v>
      </c>
      <c r="F2989" s="196">
        <v>1992</v>
      </c>
      <c r="H2989" s="196" t="s">
        <v>2734</v>
      </c>
      <c r="I2989" s="16" t="s">
        <v>1879</v>
      </c>
      <c r="K2989" s="196" t="s">
        <v>1881</v>
      </c>
      <c r="M2989" s="196">
        <v>44</v>
      </c>
      <c r="O2989" s="257" t="s">
        <v>12228</v>
      </c>
      <c r="P2989" s="17">
        <v>214</v>
      </c>
      <c r="Q2989" s="245">
        <f t="shared" si="163"/>
        <v>2.3999999999999995</v>
      </c>
      <c r="R2989" s="245">
        <v>2.2000000000000002</v>
      </c>
      <c r="S2989" s="18">
        <v>4.5999999999999996</v>
      </c>
    </row>
    <row r="2990" spans="1:38" s="287" customFormat="1" x14ac:dyDescent="0.25">
      <c r="A2990" s="284">
        <v>1309</v>
      </c>
      <c r="B2990" s="284" t="s">
        <v>8593</v>
      </c>
      <c r="C2990" s="284" t="s">
        <v>13830</v>
      </c>
      <c r="D2990" s="284" t="s">
        <v>10886</v>
      </c>
      <c r="E2990" s="284"/>
      <c r="F2990" s="284">
        <v>1994</v>
      </c>
      <c r="G2990" s="284"/>
      <c r="H2990" s="284" t="s">
        <v>2734</v>
      </c>
      <c r="I2990" s="285" t="s">
        <v>1879</v>
      </c>
      <c r="J2990" s="284"/>
      <c r="K2990" s="284" t="s">
        <v>1881</v>
      </c>
      <c r="L2990" s="285"/>
      <c r="M2990" s="284">
        <v>44</v>
      </c>
      <c r="N2990" s="284"/>
      <c r="O2990" s="289" t="s">
        <v>12229</v>
      </c>
      <c r="P2990" s="286">
        <v>201</v>
      </c>
      <c r="Q2990" s="292">
        <f t="shared" si="163"/>
        <v>1.75</v>
      </c>
      <c r="R2990" s="292">
        <v>2.2000000000000002</v>
      </c>
      <c r="S2990" s="283">
        <v>3.95</v>
      </c>
      <c r="T2990" s="283"/>
      <c r="U2990" s="291"/>
      <c r="V2990" s="291"/>
      <c r="W2990" s="283"/>
      <c r="X2990" s="289"/>
      <c r="Y2990" s="289"/>
      <c r="Z2990" s="289"/>
      <c r="AA2990" s="289"/>
      <c r="AB2990" s="289"/>
      <c r="AC2990" s="289"/>
      <c r="AD2990" s="289"/>
      <c r="AH2990" s="288"/>
    </row>
    <row r="2991" spans="1:38" x14ac:dyDescent="0.25">
      <c r="A2991" s="182">
        <v>2518</v>
      </c>
      <c r="B2991" s="182" t="s">
        <v>14041</v>
      </c>
      <c r="C2991" s="182" t="s">
        <v>14042</v>
      </c>
      <c r="D2991" s="182" t="s">
        <v>1876</v>
      </c>
      <c r="E2991" s="182"/>
      <c r="F2991" s="182">
        <v>2009</v>
      </c>
      <c r="G2991" s="182"/>
      <c r="H2991" s="182" t="s">
        <v>2734</v>
      </c>
      <c r="I2991" s="279" t="s">
        <v>1914</v>
      </c>
      <c r="J2991" s="182"/>
      <c r="K2991" s="182" t="s">
        <v>1881</v>
      </c>
      <c r="L2991" s="279" t="s">
        <v>14043</v>
      </c>
      <c r="M2991" s="182">
        <v>370</v>
      </c>
      <c r="N2991" s="182"/>
      <c r="O2991" s="257" t="s">
        <v>12230</v>
      </c>
      <c r="P2991" s="280">
        <v>599</v>
      </c>
      <c r="Q2991" s="102">
        <f>S2991-R2991</f>
        <v>1.8599999999999994</v>
      </c>
      <c r="R2991" s="199">
        <v>2.2000000000000002</v>
      </c>
      <c r="S2991" s="199">
        <v>4.0599999999999996</v>
      </c>
      <c r="T2991" s="199"/>
      <c r="W2991" s="199"/>
      <c r="X2991" s="278"/>
      <c r="Y2991" s="278"/>
      <c r="Z2991" s="278"/>
      <c r="AA2991" s="278"/>
      <c r="AB2991" s="278"/>
      <c r="AC2991" s="278"/>
      <c r="AD2991" s="278"/>
      <c r="AE2991" s="198"/>
      <c r="AF2991" s="198"/>
      <c r="AG2991" s="198"/>
      <c r="AI2991" s="198"/>
      <c r="AJ2991" s="198"/>
      <c r="AK2991" s="198"/>
      <c r="AL2991" s="198"/>
    </row>
    <row r="2992" spans="1:38" x14ac:dyDescent="0.25">
      <c r="A2992" s="182">
        <v>2522</v>
      </c>
      <c r="B2992" s="182" t="s">
        <v>1891</v>
      </c>
      <c r="C2992" s="182" t="s">
        <v>14044</v>
      </c>
      <c r="D2992" s="182" t="s">
        <v>1876</v>
      </c>
      <c r="E2992" s="182"/>
      <c r="F2992" s="182">
        <v>2012</v>
      </c>
      <c r="G2992" s="182"/>
      <c r="H2992" s="182" t="s">
        <v>1878</v>
      </c>
      <c r="I2992" s="279" t="s">
        <v>1879</v>
      </c>
      <c r="J2992" s="182" t="s">
        <v>3854</v>
      </c>
      <c r="K2992" s="182" t="s">
        <v>1881</v>
      </c>
      <c r="L2992" s="279" t="s">
        <v>14045</v>
      </c>
      <c r="M2992" s="182">
        <v>416</v>
      </c>
      <c r="N2992" s="182"/>
      <c r="O2992" s="257" t="s">
        <v>12231</v>
      </c>
      <c r="P2992" s="280">
        <v>346</v>
      </c>
      <c r="Q2992" s="102">
        <f t="shared" ref="Q2992:Q3055" si="164">S2992-R2992</f>
        <v>1.9299999999999997</v>
      </c>
      <c r="R2992" s="199">
        <v>2.2000000000000002</v>
      </c>
      <c r="S2992" s="199">
        <v>4.13</v>
      </c>
      <c r="T2992" s="199"/>
      <c r="W2992" s="199"/>
      <c r="X2992" s="278"/>
      <c r="Y2992" s="278"/>
      <c r="Z2992" s="278"/>
      <c r="AA2992" s="278"/>
      <c r="AB2992" s="278"/>
      <c r="AC2992" s="278"/>
      <c r="AD2992" s="278"/>
      <c r="AE2992" s="198"/>
      <c r="AF2992" s="198"/>
      <c r="AG2992" s="198"/>
      <c r="AI2992" s="198"/>
      <c r="AJ2992" s="198"/>
      <c r="AK2992" s="198"/>
      <c r="AL2992" s="198"/>
    </row>
    <row r="2993" spans="1:38" x14ac:dyDescent="0.25">
      <c r="A2993" s="182">
        <v>2518</v>
      </c>
      <c r="B2993" s="182" t="s">
        <v>14046</v>
      </c>
      <c r="C2993" s="182" t="s">
        <v>14047</v>
      </c>
      <c r="D2993" s="182" t="s">
        <v>6393</v>
      </c>
      <c r="E2993" s="182"/>
      <c r="F2993" s="182">
        <v>2014</v>
      </c>
      <c r="G2993" s="182"/>
      <c r="H2993" s="182" t="s">
        <v>1878</v>
      </c>
      <c r="I2993" s="279" t="s">
        <v>1879</v>
      </c>
      <c r="J2993" s="182" t="s">
        <v>3854</v>
      </c>
      <c r="K2993" s="182" t="s">
        <v>1881</v>
      </c>
      <c r="L2993" s="279" t="s">
        <v>14048</v>
      </c>
      <c r="M2993" s="182">
        <v>272</v>
      </c>
      <c r="N2993" s="182"/>
      <c r="O2993" s="257" t="s">
        <v>12232</v>
      </c>
      <c r="P2993" s="280">
        <v>328</v>
      </c>
      <c r="Q2993" s="102">
        <f t="shared" si="164"/>
        <v>2.29</v>
      </c>
      <c r="R2993" s="199">
        <v>2.2000000000000002</v>
      </c>
      <c r="S2993" s="199">
        <v>4.49</v>
      </c>
      <c r="T2993" s="199"/>
      <c r="W2993" s="199"/>
      <c r="X2993" s="278"/>
      <c r="Y2993" s="278"/>
      <c r="Z2993" s="278"/>
      <c r="AA2993" s="278"/>
      <c r="AB2993" s="278"/>
      <c r="AC2993" s="278"/>
      <c r="AD2993" s="278"/>
      <c r="AE2993" s="198"/>
      <c r="AF2993" s="198"/>
      <c r="AG2993" s="198"/>
      <c r="AI2993" s="198"/>
      <c r="AJ2993" s="198"/>
      <c r="AK2993" s="198"/>
      <c r="AL2993" s="198"/>
    </row>
    <row r="2994" spans="1:38" x14ac:dyDescent="0.25">
      <c r="A2994" s="182">
        <v>18</v>
      </c>
      <c r="B2994" s="182" t="s">
        <v>14049</v>
      </c>
      <c r="C2994" s="182" t="s">
        <v>14050</v>
      </c>
      <c r="D2994" s="182" t="s">
        <v>12833</v>
      </c>
      <c r="E2994" s="182" t="s">
        <v>1913</v>
      </c>
      <c r="F2994" s="182">
        <v>2012</v>
      </c>
      <c r="G2994" s="182"/>
      <c r="H2994" s="182" t="s">
        <v>2734</v>
      </c>
      <c r="I2994" s="279" t="s">
        <v>1929</v>
      </c>
      <c r="J2994" s="182"/>
      <c r="K2994" s="182" t="s">
        <v>1881</v>
      </c>
      <c r="L2994" s="279" t="s">
        <v>14051</v>
      </c>
      <c r="M2994" s="182">
        <v>386</v>
      </c>
      <c r="N2994" s="182"/>
      <c r="O2994" s="257" t="s">
        <v>12233</v>
      </c>
      <c r="P2994" s="280">
        <v>731</v>
      </c>
      <c r="Q2994" s="102">
        <f t="shared" si="164"/>
        <v>2.95</v>
      </c>
      <c r="R2994" s="199">
        <v>2.2000000000000002</v>
      </c>
      <c r="S2994" s="199">
        <v>5.15</v>
      </c>
      <c r="T2994" s="199"/>
      <c r="W2994" s="199"/>
      <c r="X2994" s="278"/>
      <c r="Y2994" s="278"/>
      <c r="Z2994" s="278"/>
      <c r="AA2994" s="278"/>
      <c r="AB2994" s="278"/>
      <c r="AC2994" s="278"/>
      <c r="AD2994" s="278"/>
      <c r="AE2994" s="198"/>
      <c r="AF2994" s="198"/>
      <c r="AG2994" s="198"/>
      <c r="AI2994" s="198"/>
      <c r="AJ2994" s="198"/>
      <c r="AK2994" s="198"/>
      <c r="AL2994" s="198"/>
    </row>
    <row r="2995" spans="1:38" x14ac:dyDescent="0.25">
      <c r="A2995" s="182">
        <v>1386</v>
      </c>
      <c r="B2995" s="182" t="s">
        <v>3705</v>
      </c>
      <c r="C2995" s="182" t="s">
        <v>14052</v>
      </c>
      <c r="D2995" s="182" t="s">
        <v>2901</v>
      </c>
      <c r="E2995" s="182"/>
      <c r="F2995" s="182">
        <v>2006</v>
      </c>
      <c r="G2995" s="182"/>
      <c r="H2995" s="182" t="s">
        <v>2734</v>
      </c>
      <c r="I2995" s="279" t="s">
        <v>1879</v>
      </c>
      <c r="J2995" s="182"/>
      <c r="K2995" s="182" t="s">
        <v>1881</v>
      </c>
      <c r="L2995" s="279" t="s">
        <v>14053</v>
      </c>
      <c r="M2995" s="182">
        <v>370</v>
      </c>
      <c r="N2995" s="182"/>
      <c r="O2995" s="257" t="s">
        <v>12234</v>
      </c>
      <c r="P2995" s="280">
        <v>565</v>
      </c>
      <c r="Q2995" s="102">
        <f t="shared" si="164"/>
        <v>1.6399999999999997</v>
      </c>
      <c r="R2995" s="199">
        <v>2.2000000000000002</v>
      </c>
      <c r="S2995" s="199">
        <v>3.84</v>
      </c>
      <c r="T2995" s="199"/>
      <c r="W2995" s="199"/>
      <c r="X2995" s="278"/>
      <c r="Y2995" s="278"/>
      <c r="Z2995" s="278"/>
      <c r="AA2995" s="278"/>
      <c r="AB2995" s="278"/>
      <c r="AC2995" s="278"/>
      <c r="AD2995" s="278"/>
      <c r="AE2995" s="198"/>
      <c r="AF2995" s="198"/>
      <c r="AG2995" s="198"/>
      <c r="AI2995" s="198"/>
      <c r="AJ2995" s="198"/>
      <c r="AK2995" s="198"/>
      <c r="AL2995" s="198"/>
    </row>
    <row r="2996" spans="1:38" x14ac:dyDescent="0.25">
      <c r="A2996" s="182">
        <v>765</v>
      </c>
      <c r="B2996" s="182" t="s">
        <v>14054</v>
      </c>
      <c r="C2996" s="182" t="s">
        <v>14055</v>
      </c>
      <c r="D2996" s="182" t="s">
        <v>14056</v>
      </c>
      <c r="E2996" s="182" t="s">
        <v>1913</v>
      </c>
      <c r="F2996" s="182">
        <v>1995</v>
      </c>
      <c r="G2996" s="182"/>
      <c r="H2996" s="182" t="s">
        <v>1878</v>
      </c>
      <c r="I2996" s="279" t="s">
        <v>1879</v>
      </c>
      <c r="J2996" s="182"/>
      <c r="K2996" s="182" t="s">
        <v>1881</v>
      </c>
      <c r="L2996" s="279" t="s">
        <v>14057</v>
      </c>
      <c r="M2996" s="182">
        <v>208</v>
      </c>
      <c r="N2996" s="182"/>
      <c r="O2996" s="257" t="s">
        <v>12235</v>
      </c>
      <c r="P2996" s="280">
        <v>250</v>
      </c>
      <c r="Q2996" s="102">
        <f t="shared" si="164"/>
        <v>9.7800000000000011</v>
      </c>
      <c r="R2996" s="199">
        <v>2.2000000000000002</v>
      </c>
      <c r="S2996" s="199">
        <f>8.98+3</f>
        <v>11.98</v>
      </c>
      <c r="T2996" s="199"/>
      <c r="W2996" s="199"/>
      <c r="X2996" s="278"/>
      <c r="Y2996" s="278"/>
      <c r="Z2996" s="278"/>
      <c r="AA2996" s="278"/>
      <c r="AB2996" s="278"/>
      <c r="AC2996" s="278"/>
      <c r="AD2996" s="278"/>
      <c r="AE2996" s="198"/>
      <c r="AF2996" s="198"/>
      <c r="AG2996" s="198"/>
      <c r="AI2996" s="198"/>
      <c r="AJ2996" s="198"/>
      <c r="AK2996" s="198"/>
      <c r="AL2996" s="198"/>
    </row>
    <row r="2997" spans="1:38" x14ac:dyDescent="0.25">
      <c r="A2997" s="182">
        <v>2522</v>
      </c>
      <c r="B2997" s="182" t="s">
        <v>14058</v>
      </c>
      <c r="C2997" s="182" t="s">
        <v>14059</v>
      </c>
      <c r="D2997" s="182" t="s">
        <v>1920</v>
      </c>
      <c r="E2997" s="182"/>
      <c r="F2997" s="182">
        <v>2012</v>
      </c>
      <c r="G2997" s="182"/>
      <c r="H2997" s="182" t="s">
        <v>1878</v>
      </c>
      <c r="I2997" s="279" t="s">
        <v>1879</v>
      </c>
      <c r="J2997" s="182" t="s">
        <v>3854</v>
      </c>
      <c r="K2997" s="182" t="s">
        <v>1881</v>
      </c>
      <c r="L2997" s="279" t="s">
        <v>14060</v>
      </c>
      <c r="M2997" s="182">
        <v>416</v>
      </c>
      <c r="N2997" s="182"/>
      <c r="O2997" s="257" t="s">
        <v>12236</v>
      </c>
      <c r="P2997" s="280">
        <v>403</v>
      </c>
      <c r="Q2997" s="102">
        <f t="shared" si="164"/>
        <v>1.0999999999999996</v>
      </c>
      <c r="R2997" s="199">
        <v>2.2000000000000002</v>
      </c>
      <c r="S2997" s="199">
        <v>3.3</v>
      </c>
      <c r="T2997" s="199"/>
      <c r="W2997" s="199"/>
      <c r="X2997" s="278"/>
      <c r="Y2997" s="278"/>
      <c r="Z2997" s="278"/>
      <c r="AA2997" s="278"/>
      <c r="AB2997" s="278"/>
      <c r="AC2997" s="278"/>
      <c r="AD2997" s="278"/>
      <c r="AE2997" s="198"/>
      <c r="AF2997" s="198"/>
      <c r="AG2997" s="198"/>
      <c r="AI2997" s="198"/>
      <c r="AJ2997" s="198"/>
      <c r="AK2997" s="198"/>
      <c r="AL2997" s="198"/>
    </row>
    <row r="2998" spans="1:38" x14ac:dyDescent="0.25">
      <c r="A2998" s="182">
        <v>689</v>
      </c>
      <c r="B2998" s="182" t="s">
        <v>14061</v>
      </c>
      <c r="C2998" s="182" t="s">
        <v>14062</v>
      </c>
      <c r="D2998" s="182" t="s">
        <v>1920</v>
      </c>
      <c r="E2998" s="182"/>
      <c r="F2998" s="182">
        <v>2013</v>
      </c>
      <c r="G2998" s="182"/>
      <c r="H2998" s="182" t="s">
        <v>1878</v>
      </c>
      <c r="I2998" s="279" t="s">
        <v>1879</v>
      </c>
      <c r="J2998" s="182" t="s">
        <v>3854</v>
      </c>
      <c r="K2998" s="182" t="s">
        <v>1881</v>
      </c>
      <c r="L2998" s="279" t="s">
        <v>14063</v>
      </c>
      <c r="M2998" s="182">
        <v>480</v>
      </c>
      <c r="N2998" s="182"/>
      <c r="O2998" s="257" t="s">
        <v>12237</v>
      </c>
      <c r="P2998" s="280">
        <v>601</v>
      </c>
      <c r="Q2998" s="102">
        <f t="shared" si="164"/>
        <v>12.239999999999998</v>
      </c>
      <c r="R2998" s="199">
        <v>2.2000000000000002</v>
      </c>
      <c r="S2998" s="199">
        <v>14.44</v>
      </c>
      <c r="T2998" s="199"/>
      <c r="W2998" s="199"/>
      <c r="X2998" s="278"/>
      <c r="Y2998" s="278"/>
      <c r="Z2998" s="278"/>
      <c r="AA2998" s="278"/>
      <c r="AB2998" s="278"/>
      <c r="AC2998" s="278"/>
      <c r="AD2998" s="278"/>
      <c r="AE2998" s="198"/>
      <c r="AF2998" s="198"/>
      <c r="AG2998" s="198"/>
      <c r="AI2998" s="198"/>
      <c r="AJ2998" s="198"/>
      <c r="AK2998" s="198"/>
      <c r="AL2998" s="198"/>
    </row>
    <row r="2999" spans="1:38" x14ac:dyDescent="0.25">
      <c r="A2999" s="182">
        <v>1386</v>
      </c>
      <c r="B2999" s="182" t="s">
        <v>5033</v>
      </c>
      <c r="C2999" s="182" t="s">
        <v>14064</v>
      </c>
      <c r="D2999" s="182" t="s">
        <v>1988</v>
      </c>
      <c r="E2999" s="182"/>
      <c r="F2999" s="182">
        <v>2009</v>
      </c>
      <c r="G2999" s="182"/>
      <c r="H2999" s="182" t="s">
        <v>1878</v>
      </c>
      <c r="I2999" s="279" t="s">
        <v>1879</v>
      </c>
      <c r="J2999" s="182"/>
      <c r="K2999" s="182" t="s">
        <v>1881</v>
      </c>
      <c r="L2999" s="279" t="s">
        <v>14065</v>
      </c>
      <c r="M2999" s="182">
        <v>560</v>
      </c>
      <c r="N2999" s="182"/>
      <c r="O2999" s="257" t="s">
        <v>12238</v>
      </c>
      <c r="P2999" s="280">
        <v>409</v>
      </c>
      <c r="Q2999" s="102">
        <f t="shared" si="164"/>
        <v>2.1499999999999995</v>
      </c>
      <c r="R2999" s="199">
        <v>2.2000000000000002</v>
      </c>
      <c r="S2999" s="199">
        <v>4.3499999999999996</v>
      </c>
      <c r="T2999" s="199"/>
      <c r="W2999" s="199"/>
      <c r="X2999" s="278"/>
      <c r="Y2999" s="278"/>
      <c r="Z2999" s="278"/>
      <c r="AA2999" s="278"/>
      <c r="AB2999" s="278"/>
      <c r="AC2999" s="278"/>
      <c r="AD2999" s="278"/>
      <c r="AE2999" s="198"/>
      <c r="AF2999" s="198"/>
      <c r="AG2999" s="198"/>
      <c r="AI2999" s="198"/>
      <c r="AJ2999" s="198"/>
      <c r="AK2999" s="198"/>
      <c r="AL2999" s="198"/>
    </row>
    <row r="3000" spans="1:38" x14ac:dyDescent="0.25">
      <c r="A3000" s="182">
        <v>701</v>
      </c>
      <c r="B3000" s="182" t="s">
        <v>10991</v>
      </c>
      <c r="C3000" s="182" t="s">
        <v>10992</v>
      </c>
      <c r="D3000" s="182" t="s">
        <v>14066</v>
      </c>
      <c r="E3000" s="182" t="s">
        <v>7601</v>
      </c>
      <c r="F3000" s="182">
        <v>2013</v>
      </c>
      <c r="G3000" s="182"/>
      <c r="H3000" s="182" t="s">
        <v>1878</v>
      </c>
      <c r="I3000" s="279" t="s">
        <v>1879</v>
      </c>
      <c r="J3000" s="182"/>
      <c r="K3000" s="182" t="s">
        <v>1881</v>
      </c>
      <c r="L3000" s="279" t="s">
        <v>13688</v>
      </c>
      <c r="M3000" s="182">
        <v>224</v>
      </c>
      <c r="N3000" s="182"/>
      <c r="O3000" s="257" t="s">
        <v>12239</v>
      </c>
      <c r="P3000" s="280">
        <v>231</v>
      </c>
      <c r="Q3000" s="102">
        <f t="shared" si="164"/>
        <v>1.9100000000000001</v>
      </c>
      <c r="R3000" s="199">
        <v>2.2000000000000002</v>
      </c>
      <c r="S3000" s="199">
        <v>4.1100000000000003</v>
      </c>
      <c r="T3000" s="199"/>
      <c r="W3000" s="199"/>
      <c r="X3000" s="278"/>
      <c r="Y3000" s="278"/>
      <c r="Z3000" s="278"/>
      <c r="AA3000" s="278"/>
      <c r="AB3000" s="278"/>
      <c r="AC3000" s="278"/>
      <c r="AD3000" s="278"/>
      <c r="AE3000" s="198"/>
      <c r="AF3000" s="198"/>
      <c r="AG3000" s="198"/>
      <c r="AI3000" s="198"/>
      <c r="AJ3000" s="198"/>
      <c r="AK3000" s="198"/>
      <c r="AL3000" s="198"/>
    </row>
    <row r="3001" spans="1:38" x14ac:dyDescent="0.25">
      <c r="A3001" s="182">
        <v>1344</v>
      </c>
      <c r="B3001" s="182" t="s">
        <v>14067</v>
      </c>
      <c r="C3001" s="182" t="s">
        <v>14068</v>
      </c>
      <c r="D3001" s="182" t="s">
        <v>2300</v>
      </c>
      <c r="E3001" s="182"/>
      <c r="F3001" s="182">
        <v>2000</v>
      </c>
      <c r="G3001" s="182"/>
      <c r="H3001" s="182" t="s">
        <v>1878</v>
      </c>
      <c r="I3001" s="279" t="s">
        <v>1914</v>
      </c>
      <c r="J3001" s="182"/>
      <c r="K3001" s="182" t="s">
        <v>1881</v>
      </c>
      <c r="L3001" s="279" t="s">
        <v>14069</v>
      </c>
      <c r="M3001" s="182">
        <v>256</v>
      </c>
      <c r="N3001" s="182"/>
      <c r="O3001" s="257" t="s">
        <v>12240</v>
      </c>
      <c r="P3001" s="280">
        <v>442</v>
      </c>
      <c r="Q3001" s="102">
        <f t="shared" si="164"/>
        <v>1.5699999999999998</v>
      </c>
      <c r="R3001" s="199">
        <v>2.2000000000000002</v>
      </c>
      <c r="S3001" s="199">
        <v>3.77</v>
      </c>
      <c r="T3001" s="199"/>
      <c r="W3001" s="199"/>
      <c r="X3001" s="278"/>
      <c r="Y3001" s="278"/>
      <c r="Z3001" s="278"/>
      <c r="AA3001" s="278"/>
      <c r="AB3001" s="278"/>
      <c r="AC3001" s="278"/>
      <c r="AD3001" s="278"/>
      <c r="AE3001" s="198"/>
      <c r="AF3001" s="198"/>
      <c r="AG3001" s="198"/>
      <c r="AI3001" s="198"/>
      <c r="AJ3001" s="198"/>
      <c r="AK3001" s="198"/>
      <c r="AL3001" s="198"/>
    </row>
    <row r="3002" spans="1:38" x14ac:dyDescent="0.25">
      <c r="A3002" s="182">
        <v>765</v>
      </c>
      <c r="B3002" s="182" t="s">
        <v>14070</v>
      </c>
      <c r="C3002" s="182" t="s">
        <v>14071</v>
      </c>
      <c r="D3002" s="182"/>
      <c r="E3002" s="182" t="s">
        <v>2032</v>
      </c>
      <c r="F3002" s="182">
        <v>2007</v>
      </c>
      <c r="G3002" s="182"/>
      <c r="H3002" s="182" t="s">
        <v>1878</v>
      </c>
      <c r="I3002" s="279" t="s">
        <v>1879</v>
      </c>
      <c r="J3002" s="182"/>
      <c r="K3002" s="182" t="s">
        <v>1881</v>
      </c>
      <c r="L3002" s="279" t="s">
        <v>14072</v>
      </c>
      <c r="M3002" s="182">
        <v>130</v>
      </c>
      <c r="N3002" s="182"/>
      <c r="O3002" s="257" t="s">
        <v>12241</v>
      </c>
      <c r="P3002" s="280">
        <v>206</v>
      </c>
      <c r="Q3002" s="102">
        <f t="shared" si="164"/>
        <v>19.650000000000002</v>
      </c>
      <c r="R3002" s="199">
        <v>2.2000000000000002</v>
      </c>
      <c r="S3002" s="199">
        <v>21.85</v>
      </c>
      <c r="T3002" s="199"/>
      <c r="W3002" s="199"/>
      <c r="X3002" s="278"/>
      <c r="Y3002" s="278"/>
      <c r="Z3002" s="278"/>
      <c r="AA3002" s="278"/>
      <c r="AB3002" s="278"/>
      <c r="AC3002" s="278"/>
      <c r="AD3002" s="278"/>
      <c r="AE3002" s="198"/>
      <c r="AF3002" s="198"/>
      <c r="AG3002" s="198"/>
      <c r="AI3002" s="198"/>
      <c r="AJ3002" s="198"/>
      <c r="AK3002" s="198"/>
      <c r="AL3002" s="198"/>
    </row>
    <row r="3003" spans="1:38" x14ac:dyDescent="0.25">
      <c r="A3003" s="182">
        <v>763</v>
      </c>
      <c r="B3003" s="182" t="s">
        <v>14073</v>
      </c>
      <c r="C3003" s="182" t="s">
        <v>14074</v>
      </c>
      <c r="D3003" s="182" t="s">
        <v>5743</v>
      </c>
      <c r="E3003" s="182" t="s">
        <v>1899</v>
      </c>
      <c r="F3003" s="182">
        <v>2005</v>
      </c>
      <c r="G3003" s="182"/>
      <c r="H3003" s="182" t="s">
        <v>4297</v>
      </c>
      <c r="I3003" s="279" t="s">
        <v>1879</v>
      </c>
      <c r="J3003" s="182"/>
      <c r="K3003" s="182" t="s">
        <v>1881</v>
      </c>
      <c r="L3003" s="279" t="s">
        <v>14075</v>
      </c>
      <c r="M3003" s="182">
        <v>176</v>
      </c>
      <c r="N3003" s="182"/>
      <c r="O3003" s="257" t="s">
        <v>12242</v>
      </c>
      <c r="P3003" s="280">
        <v>449</v>
      </c>
      <c r="Q3003" s="102">
        <f t="shared" si="164"/>
        <v>2.0300000000000002</v>
      </c>
      <c r="R3003" s="199">
        <v>2.2000000000000002</v>
      </c>
      <c r="S3003" s="199">
        <v>4.2300000000000004</v>
      </c>
      <c r="T3003" s="199"/>
      <c r="W3003" s="199"/>
      <c r="X3003" s="278"/>
      <c r="Y3003" s="278"/>
      <c r="Z3003" s="278"/>
      <c r="AA3003" s="278"/>
      <c r="AB3003" s="278"/>
      <c r="AC3003" s="278"/>
      <c r="AD3003" s="278"/>
      <c r="AE3003" s="198"/>
      <c r="AF3003" s="198"/>
      <c r="AG3003" s="198"/>
      <c r="AI3003" s="198"/>
      <c r="AJ3003" s="198"/>
      <c r="AK3003" s="198"/>
      <c r="AL3003" s="198"/>
    </row>
    <row r="3004" spans="1:38" x14ac:dyDescent="0.25">
      <c r="A3004" s="182">
        <v>2573</v>
      </c>
      <c r="B3004" s="182" t="s">
        <v>5785</v>
      </c>
      <c r="C3004" s="182" t="s">
        <v>14076</v>
      </c>
      <c r="D3004" s="182" t="s">
        <v>2679</v>
      </c>
      <c r="E3004" s="182"/>
      <c r="F3004" s="182"/>
      <c r="G3004" s="182"/>
      <c r="H3004" s="182" t="s">
        <v>1878</v>
      </c>
      <c r="I3004" s="279" t="s">
        <v>1879</v>
      </c>
      <c r="J3004" s="182"/>
      <c r="K3004" s="182" t="s">
        <v>2025</v>
      </c>
      <c r="L3004" s="279" t="s">
        <v>14077</v>
      </c>
      <c r="M3004" s="182">
        <v>192</v>
      </c>
      <c r="N3004" s="182"/>
      <c r="O3004" s="257" t="s">
        <v>12243</v>
      </c>
      <c r="P3004" s="280">
        <v>318</v>
      </c>
      <c r="Q3004" s="102">
        <f t="shared" si="164"/>
        <v>2.9799999999999995</v>
      </c>
      <c r="R3004" s="199">
        <v>2.2000000000000002</v>
      </c>
      <c r="S3004" s="199">
        <v>5.18</v>
      </c>
      <c r="T3004" s="199"/>
      <c r="W3004" s="199"/>
      <c r="X3004" s="278"/>
      <c r="Y3004" s="278"/>
      <c r="Z3004" s="278"/>
      <c r="AA3004" s="278"/>
      <c r="AB3004" s="278"/>
      <c r="AC3004" s="278"/>
      <c r="AD3004" s="278"/>
      <c r="AE3004" s="198"/>
      <c r="AF3004" s="198"/>
      <c r="AG3004" s="198"/>
      <c r="AI3004" s="198"/>
      <c r="AJ3004" s="198"/>
      <c r="AK3004" s="198"/>
      <c r="AL3004" s="198"/>
    </row>
    <row r="3005" spans="1:38" x14ac:dyDescent="0.25">
      <c r="A3005" s="182">
        <v>655</v>
      </c>
      <c r="B3005" s="182" t="s">
        <v>14078</v>
      </c>
      <c r="C3005" s="182" t="s">
        <v>14079</v>
      </c>
      <c r="D3005" s="182"/>
      <c r="E3005" s="182" t="s">
        <v>1913</v>
      </c>
      <c r="F3005" s="182">
        <v>2002</v>
      </c>
      <c r="G3005" s="182"/>
      <c r="H3005" s="182" t="s">
        <v>1878</v>
      </c>
      <c r="I3005" s="279" t="s">
        <v>1879</v>
      </c>
      <c r="J3005" s="182"/>
      <c r="K3005" s="182" t="s">
        <v>1881</v>
      </c>
      <c r="L3005" s="279" t="s">
        <v>14080</v>
      </c>
      <c r="M3005" s="182"/>
      <c r="N3005" s="182"/>
      <c r="O3005" s="257" t="s">
        <v>12244</v>
      </c>
      <c r="P3005" s="280">
        <v>180</v>
      </c>
      <c r="Q3005" s="102">
        <f t="shared" si="164"/>
        <v>5.3999999999999995</v>
      </c>
      <c r="R3005" s="199">
        <v>2.2000000000000002</v>
      </c>
      <c r="S3005" s="199">
        <v>7.6</v>
      </c>
      <c r="T3005" s="199"/>
      <c r="W3005" s="199"/>
      <c r="X3005" s="278"/>
      <c r="Y3005" s="278"/>
      <c r="Z3005" s="278"/>
      <c r="AA3005" s="278"/>
      <c r="AB3005" s="278"/>
      <c r="AC3005" s="278"/>
      <c r="AD3005" s="278"/>
      <c r="AE3005" s="198"/>
      <c r="AF3005" s="198"/>
      <c r="AG3005" s="198"/>
      <c r="AI3005" s="198"/>
      <c r="AJ3005" s="198"/>
      <c r="AK3005" s="198"/>
      <c r="AL3005" s="198"/>
    </row>
    <row r="3006" spans="1:38" x14ac:dyDescent="0.25">
      <c r="A3006" s="182">
        <v>2518</v>
      </c>
      <c r="B3006" s="182" t="s">
        <v>10994</v>
      </c>
      <c r="C3006" s="182" t="s">
        <v>14081</v>
      </c>
      <c r="D3006" s="182" t="s">
        <v>1988</v>
      </c>
      <c r="E3006" s="182" t="s">
        <v>1899</v>
      </c>
      <c r="F3006" s="182">
        <v>2013</v>
      </c>
      <c r="G3006" s="182"/>
      <c r="H3006" s="182" t="s">
        <v>1878</v>
      </c>
      <c r="I3006" s="279" t="s">
        <v>1879</v>
      </c>
      <c r="J3006" s="182"/>
      <c r="K3006" s="182" t="s">
        <v>1881</v>
      </c>
      <c r="L3006" s="279" t="s">
        <v>14082</v>
      </c>
      <c r="M3006" s="182">
        <v>274</v>
      </c>
      <c r="N3006" s="182"/>
      <c r="O3006" s="257" t="s">
        <v>12245</v>
      </c>
      <c r="P3006" s="280">
        <v>419</v>
      </c>
      <c r="Q3006" s="102">
        <f t="shared" si="164"/>
        <v>2.04</v>
      </c>
      <c r="R3006" s="199">
        <v>2.2000000000000002</v>
      </c>
      <c r="S3006" s="199">
        <v>4.24</v>
      </c>
      <c r="T3006" s="199"/>
      <c r="W3006" s="199"/>
      <c r="X3006" s="278"/>
      <c r="Y3006" s="278"/>
      <c r="Z3006" s="278"/>
      <c r="AA3006" s="278"/>
      <c r="AB3006" s="278"/>
      <c r="AC3006" s="278"/>
      <c r="AD3006" s="278"/>
      <c r="AE3006" s="198"/>
      <c r="AF3006" s="198"/>
      <c r="AG3006" s="198"/>
      <c r="AI3006" s="198"/>
      <c r="AJ3006" s="198"/>
      <c r="AK3006" s="198"/>
      <c r="AL3006" s="198"/>
    </row>
    <row r="3007" spans="1:38" x14ac:dyDescent="0.25">
      <c r="A3007" s="182">
        <v>1365</v>
      </c>
      <c r="B3007" s="182" t="s">
        <v>14083</v>
      </c>
      <c r="C3007" s="182" t="s">
        <v>14084</v>
      </c>
      <c r="D3007" s="182"/>
      <c r="E3007" s="182"/>
      <c r="F3007" s="182">
        <v>2014</v>
      </c>
      <c r="G3007" s="182"/>
      <c r="H3007" s="182" t="s">
        <v>1878</v>
      </c>
      <c r="I3007" s="279" t="s">
        <v>1879</v>
      </c>
      <c r="J3007" s="182"/>
      <c r="K3007" s="182" t="s">
        <v>1881</v>
      </c>
      <c r="L3007" s="279" t="s">
        <v>14085</v>
      </c>
      <c r="M3007" s="182">
        <v>176</v>
      </c>
      <c r="N3007" s="182"/>
      <c r="O3007" s="257" t="s">
        <v>12246</v>
      </c>
      <c r="P3007" s="280">
        <v>188</v>
      </c>
      <c r="Q3007" s="102">
        <f t="shared" si="164"/>
        <v>3.7</v>
      </c>
      <c r="R3007" s="199">
        <v>2.2000000000000002</v>
      </c>
      <c r="S3007" s="199">
        <v>5.9</v>
      </c>
      <c r="T3007" s="199"/>
      <c r="W3007" s="199"/>
      <c r="X3007" s="278"/>
      <c r="Y3007" s="278"/>
      <c r="Z3007" s="278"/>
      <c r="AA3007" s="278"/>
      <c r="AB3007" s="278"/>
      <c r="AC3007" s="278"/>
      <c r="AD3007" s="278"/>
      <c r="AE3007" s="198"/>
      <c r="AF3007" s="198"/>
      <c r="AG3007" s="198"/>
      <c r="AI3007" s="198"/>
      <c r="AJ3007" s="198"/>
      <c r="AK3007" s="198"/>
      <c r="AL3007" s="198"/>
    </row>
    <row r="3008" spans="1:38" x14ac:dyDescent="0.25">
      <c r="A3008" s="182">
        <v>765</v>
      </c>
      <c r="B3008" s="182" t="s">
        <v>14086</v>
      </c>
      <c r="C3008" s="182" t="s">
        <v>14087</v>
      </c>
      <c r="D3008" s="182" t="s">
        <v>2300</v>
      </c>
      <c r="E3008" s="182" t="s">
        <v>1913</v>
      </c>
      <c r="F3008" s="182">
        <v>1999</v>
      </c>
      <c r="G3008" s="182"/>
      <c r="H3008" s="182" t="s">
        <v>2734</v>
      </c>
      <c r="I3008" s="279" t="s">
        <v>1879</v>
      </c>
      <c r="J3008" s="182"/>
      <c r="K3008" s="182" t="s">
        <v>1881</v>
      </c>
      <c r="L3008" s="279" t="s">
        <v>14088</v>
      </c>
      <c r="M3008" s="182">
        <v>290</v>
      </c>
      <c r="N3008" s="182"/>
      <c r="O3008" s="257" t="s">
        <v>12247</v>
      </c>
      <c r="P3008" s="280">
        <v>498</v>
      </c>
      <c r="Q3008" s="102">
        <f t="shared" si="164"/>
        <v>1.5899999999999999</v>
      </c>
      <c r="R3008" s="199">
        <v>2.2000000000000002</v>
      </c>
      <c r="S3008" s="199">
        <v>3.79</v>
      </c>
      <c r="T3008" s="199"/>
      <c r="W3008" s="199"/>
      <c r="X3008" s="278"/>
      <c r="Y3008" s="278"/>
      <c r="Z3008" s="278"/>
      <c r="AA3008" s="278"/>
      <c r="AB3008" s="278"/>
      <c r="AC3008" s="278"/>
      <c r="AD3008" s="278"/>
      <c r="AE3008" s="198"/>
      <c r="AF3008" s="198"/>
      <c r="AG3008" s="198"/>
      <c r="AI3008" s="198"/>
      <c r="AJ3008" s="198"/>
      <c r="AK3008" s="198"/>
      <c r="AL3008" s="198"/>
    </row>
    <row r="3009" spans="1:38" x14ac:dyDescent="0.25">
      <c r="A3009" s="182">
        <v>2518</v>
      </c>
      <c r="B3009" s="182" t="s">
        <v>10994</v>
      </c>
      <c r="C3009" s="182" t="s">
        <v>14089</v>
      </c>
      <c r="D3009" s="182" t="s">
        <v>1988</v>
      </c>
      <c r="E3009" s="182"/>
      <c r="F3009" s="182">
        <v>2013</v>
      </c>
      <c r="G3009" s="182"/>
      <c r="H3009" s="182" t="s">
        <v>1878</v>
      </c>
      <c r="I3009" s="279" t="s">
        <v>1879</v>
      </c>
      <c r="J3009" s="182"/>
      <c r="K3009" s="182" t="s">
        <v>1881</v>
      </c>
      <c r="L3009" s="279" t="s">
        <v>14090</v>
      </c>
      <c r="M3009" s="182"/>
      <c r="N3009" s="182"/>
      <c r="O3009" s="257" t="s">
        <v>12248</v>
      </c>
      <c r="P3009" s="280">
        <v>236</v>
      </c>
      <c r="Q3009" s="102">
        <f t="shared" si="164"/>
        <v>2.3999999999999995</v>
      </c>
      <c r="R3009" s="199">
        <v>2.2000000000000002</v>
      </c>
      <c r="S3009" s="199">
        <v>4.5999999999999996</v>
      </c>
      <c r="T3009" s="199"/>
      <c r="W3009" s="199"/>
      <c r="X3009" s="278"/>
      <c r="Y3009" s="278"/>
      <c r="Z3009" s="278"/>
      <c r="AA3009" s="278"/>
      <c r="AB3009" s="278"/>
      <c r="AC3009" s="278"/>
      <c r="AD3009" s="278"/>
      <c r="AE3009" s="198"/>
      <c r="AF3009" s="198"/>
      <c r="AG3009" s="198"/>
      <c r="AI3009" s="198"/>
      <c r="AJ3009" s="198"/>
      <c r="AK3009" s="198"/>
      <c r="AL3009" s="198"/>
    </row>
    <row r="3010" spans="1:38" x14ac:dyDescent="0.25">
      <c r="A3010" s="182">
        <v>701</v>
      </c>
      <c r="B3010" s="182"/>
      <c r="C3010" s="182" t="s">
        <v>14091</v>
      </c>
      <c r="D3010" s="182" t="s">
        <v>5762</v>
      </c>
      <c r="E3010" s="182"/>
      <c r="F3010" s="182">
        <v>2012</v>
      </c>
      <c r="G3010" s="182"/>
      <c r="H3010" s="182" t="s">
        <v>4297</v>
      </c>
      <c r="I3010" s="279" t="s">
        <v>1929</v>
      </c>
      <c r="J3010" s="182"/>
      <c r="K3010" s="182" t="s">
        <v>1881</v>
      </c>
      <c r="L3010" s="279" t="s">
        <v>14092</v>
      </c>
      <c r="M3010" s="182">
        <v>182</v>
      </c>
      <c r="N3010" s="182"/>
      <c r="O3010" s="257" t="s">
        <v>12249</v>
      </c>
      <c r="P3010" s="280">
        <v>356</v>
      </c>
      <c r="Q3010" s="102">
        <f t="shared" si="164"/>
        <v>1.75</v>
      </c>
      <c r="R3010" s="199">
        <v>2.2000000000000002</v>
      </c>
      <c r="S3010" s="199">
        <v>3.95</v>
      </c>
      <c r="T3010" s="199"/>
      <c r="W3010" s="199"/>
      <c r="X3010" s="278"/>
      <c r="Y3010" s="278"/>
      <c r="Z3010" s="278"/>
      <c r="AA3010" s="278"/>
      <c r="AB3010" s="278"/>
      <c r="AC3010" s="278"/>
      <c r="AD3010" s="278"/>
      <c r="AE3010" s="198"/>
      <c r="AF3010" s="198"/>
      <c r="AG3010" s="198"/>
      <c r="AI3010" s="198"/>
      <c r="AJ3010" s="198"/>
      <c r="AK3010" s="198"/>
      <c r="AL3010" s="198"/>
    </row>
    <row r="3011" spans="1:38" x14ac:dyDescent="0.25">
      <c r="A3011" s="182">
        <v>1327</v>
      </c>
      <c r="B3011" s="182" t="s">
        <v>2510</v>
      </c>
      <c r="C3011" s="182" t="s">
        <v>2624</v>
      </c>
      <c r="D3011" s="182" t="s">
        <v>2232</v>
      </c>
      <c r="E3011" s="182" t="s">
        <v>2157</v>
      </c>
      <c r="F3011" s="182">
        <v>2013</v>
      </c>
      <c r="G3011" s="182"/>
      <c r="H3011" s="182" t="s">
        <v>1878</v>
      </c>
      <c r="I3011" s="279" t="s">
        <v>1879</v>
      </c>
      <c r="J3011" s="182"/>
      <c r="K3011" s="182" t="s">
        <v>1881</v>
      </c>
      <c r="L3011" s="279" t="s">
        <v>2625</v>
      </c>
      <c r="M3011" s="182">
        <v>432</v>
      </c>
      <c r="N3011" s="182"/>
      <c r="O3011" s="257" t="s">
        <v>12250</v>
      </c>
      <c r="P3011" s="280">
        <v>360</v>
      </c>
      <c r="Q3011" s="102">
        <f t="shared" si="164"/>
        <v>1.2399999999999998</v>
      </c>
      <c r="R3011" s="199">
        <v>2.2000000000000002</v>
      </c>
      <c r="S3011" s="199">
        <v>3.44</v>
      </c>
      <c r="T3011" s="199"/>
      <c r="W3011" s="199"/>
      <c r="X3011" s="278"/>
      <c r="Y3011" s="278"/>
      <c r="Z3011" s="278"/>
      <c r="AA3011" s="278"/>
      <c r="AB3011" s="278"/>
      <c r="AC3011" s="278"/>
      <c r="AD3011" s="278"/>
      <c r="AE3011" s="198"/>
      <c r="AF3011" s="198"/>
      <c r="AG3011" s="198"/>
      <c r="AI3011" s="198"/>
      <c r="AJ3011" s="198"/>
      <c r="AK3011" s="198"/>
      <c r="AL3011" s="198"/>
    </row>
    <row r="3012" spans="1:38" x14ac:dyDescent="0.25">
      <c r="A3012" s="182">
        <v>1984</v>
      </c>
      <c r="B3012" s="182" t="s">
        <v>14093</v>
      </c>
      <c r="C3012" s="182" t="s">
        <v>14094</v>
      </c>
      <c r="D3012" s="182" t="s">
        <v>1979</v>
      </c>
      <c r="E3012" s="182" t="s">
        <v>1899</v>
      </c>
      <c r="F3012" s="182">
        <v>2007</v>
      </c>
      <c r="G3012" s="182"/>
      <c r="H3012" s="182" t="s">
        <v>2734</v>
      </c>
      <c r="I3012" s="279" t="s">
        <v>1879</v>
      </c>
      <c r="J3012" s="182"/>
      <c r="K3012" s="182" t="s">
        <v>1881</v>
      </c>
      <c r="L3012" s="279" t="s">
        <v>14095</v>
      </c>
      <c r="M3012" s="182">
        <v>44</v>
      </c>
      <c r="N3012" s="182"/>
      <c r="O3012" s="257" t="s">
        <v>12251</v>
      </c>
      <c r="P3012" s="280">
        <v>224</v>
      </c>
      <c r="Q3012" s="102">
        <f t="shared" si="164"/>
        <v>5.27</v>
      </c>
      <c r="R3012" s="199">
        <v>2.2000000000000002</v>
      </c>
      <c r="S3012" s="199">
        <v>7.47</v>
      </c>
      <c r="T3012" s="199"/>
      <c r="W3012" s="199"/>
      <c r="X3012" s="278"/>
      <c r="Y3012" s="278"/>
      <c r="Z3012" s="278"/>
      <c r="AA3012" s="278"/>
      <c r="AB3012" s="278"/>
      <c r="AC3012" s="278"/>
      <c r="AD3012" s="278"/>
      <c r="AE3012" s="198"/>
      <c r="AF3012" s="198"/>
      <c r="AG3012" s="198"/>
      <c r="AI3012" s="198"/>
      <c r="AJ3012" s="198"/>
      <c r="AK3012" s="198"/>
      <c r="AL3012" s="198"/>
    </row>
    <row r="3013" spans="1:38" x14ac:dyDescent="0.25">
      <c r="A3013" s="182">
        <v>1315</v>
      </c>
      <c r="B3013" s="182" t="s">
        <v>14096</v>
      </c>
      <c r="C3013" s="182" t="s">
        <v>14097</v>
      </c>
      <c r="D3013" s="182" t="s">
        <v>1979</v>
      </c>
      <c r="E3013" s="182"/>
      <c r="F3013" s="182"/>
      <c r="G3013" s="182"/>
      <c r="H3013" s="182" t="s">
        <v>1878</v>
      </c>
      <c r="I3013" s="279" t="s">
        <v>1879</v>
      </c>
      <c r="J3013" s="182"/>
      <c r="K3013" s="182" t="s">
        <v>1881</v>
      </c>
      <c r="L3013" s="279" t="s">
        <v>14098</v>
      </c>
      <c r="M3013" s="182">
        <v>96</v>
      </c>
      <c r="N3013" s="182"/>
      <c r="O3013" s="257" t="s">
        <v>12252</v>
      </c>
      <c r="P3013" s="280">
        <v>119</v>
      </c>
      <c r="Q3013" s="102">
        <f t="shared" si="164"/>
        <v>1.4</v>
      </c>
      <c r="R3013" s="199">
        <v>2.2000000000000002</v>
      </c>
      <c r="S3013" s="199">
        <v>3.6</v>
      </c>
      <c r="T3013" s="199"/>
      <c r="W3013" s="199"/>
      <c r="X3013" s="278"/>
      <c r="Y3013" s="278"/>
      <c r="Z3013" s="278"/>
      <c r="AA3013" s="278"/>
      <c r="AB3013" s="278"/>
      <c r="AC3013" s="278"/>
      <c r="AD3013" s="278"/>
      <c r="AE3013" s="198"/>
      <c r="AF3013" s="198"/>
      <c r="AG3013" s="198"/>
      <c r="AI3013" s="198"/>
      <c r="AJ3013" s="198"/>
      <c r="AK3013" s="198"/>
      <c r="AL3013" s="198"/>
    </row>
    <row r="3014" spans="1:38" x14ac:dyDescent="0.25">
      <c r="A3014" s="182">
        <v>844</v>
      </c>
      <c r="B3014" s="182" t="s">
        <v>14099</v>
      </c>
      <c r="C3014" s="182" t="s">
        <v>14100</v>
      </c>
      <c r="D3014" s="182" t="s">
        <v>3524</v>
      </c>
      <c r="E3014" s="182" t="s">
        <v>1913</v>
      </c>
      <c r="F3014" s="182">
        <v>2001</v>
      </c>
      <c r="G3014" s="182"/>
      <c r="H3014" s="182" t="s">
        <v>1878</v>
      </c>
      <c r="I3014" s="279" t="s">
        <v>1879</v>
      </c>
      <c r="J3014" s="182"/>
      <c r="K3014" s="182" t="s">
        <v>1881</v>
      </c>
      <c r="L3014" s="279" t="s">
        <v>14101</v>
      </c>
      <c r="M3014" s="182">
        <v>128</v>
      </c>
      <c r="N3014" s="182"/>
      <c r="O3014" s="257" t="s">
        <v>12253</v>
      </c>
      <c r="P3014" s="280">
        <v>211</v>
      </c>
      <c r="Q3014" s="102">
        <f t="shared" si="164"/>
        <v>3.58</v>
      </c>
      <c r="R3014" s="199">
        <v>2.2000000000000002</v>
      </c>
      <c r="S3014" s="199">
        <f>1.79+3.99</f>
        <v>5.78</v>
      </c>
      <c r="T3014" s="199"/>
      <c r="W3014" s="199"/>
      <c r="X3014" s="278"/>
      <c r="Y3014" s="278"/>
      <c r="Z3014" s="278"/>
      <c r="AA3014" s="278"/>
      <c r="AB3014" s="278"/>
      <c r="AC3014" s="278"/>
      <c r="AD3014" s="278"/>
      <c r="AE3014" s="198"/>
      <c r="AF3014" s="198"/>
      <c r="AG3014" s="198"/>
      <c r="AI3014" s="198"/>
      <c r="AJ3014" s="198"/>
      <c r="AK3014" s="198"/>
      <c r="AL3014" s="198"/>
    </row>
    <row r="3015" spans="1:38" x14ac:dyDescent="0.25">
      <c r="A3015" s="182">
        <v>796</v>
      </c>
      <c r="B3015" s="182" t="s">
        <v>14102</v>
      </c>
      <c r="C3015" s="182" t="s">
        <v>14103</v>
      </c>
      <c r="D3015" s="182" t="s">
        <v>2209</v>
      </c>
      <c r="E3015" s="182"/>
      <c r="F3015" s="182">
        <v>2013</v>
      </c>
      <c r="G3015" s="182"/>
      <c r="H3015" s="182" t="s">
        <v>1878</v>
      </c>
      <c r="I3015" s="279" t="s">
        <v>1914</v>
      </c>
      <c r="J3015" s="182" t="s">
        <v>3854</v>
      </c>
      <c r="K3015" s="182" t="s">
        <v>1881</v>
      </c>
      <c r="L3015" s="279" t="s">
        <v>14104</v>
      </c>
      <c r="M3015" s="182">
        <v>480</v>
      </c>
      <c r="N3015" s="182"/>
      <c r="O3015" s="257" t="s">
        <v>12254</v>
      </c>
      <c r="P3015" s="280">
        <v>397</v>
      </c>
      <c r="Q3015" s="102">
        <f t="shared" si="164"/>
        <v>0.69</v>
      </c>
      <c r="R3015" s="199">
        <v>2.2000000000000002</v>
      </c>
      <c r="S3015" s="199">
        <v>2.89</v>
      </c>
      <c r="T3015" s="199"/>
      <c r="W3015" s="199"/>
      <c r="X3015" s="278"/>
      <c r="Y3015" s="278"/>
      <c r="Z3015" s="278"/>
      <c r="AA3015" s="278"/>
      <c r="AB3015" s="278"/>
      <c r="AC3015" s="278"/>
      <c r="AD3015" s="278"/>
      <c r="AE3015" s="198"/>
      <c r="AF3015" s="198"/>
      <c r="AG3015" s="198"/>
      <c r="AI3015" s="198"/>
      <c r="AJ3015" s="198"/>
      <c r="AK3015" s="198"/>
      <c r="AL3015" s="198"/>
    </row>
    <row r="3016" spans="1:38" x14ac:dyDescent="0.25">
      <c r="A3016" s="182">
        <v>1315</v>
      </c>
      <c r="B3016" s="182"/>
      <c r="C3016" s="182" t="s">
        <v>14105</v>
      </c>
      <c r="D3016" s="182" t="s">
        <v>4930</v>
      </c>
      <c r="E3016" s="182"/>
      <c r="F3016" s="182">
        <v>2015</v>
      </c>
      <c r="G3016" s="182"/>
      <c r="H3016" s="182" t="s">
        <v>4297</v>
      </c>
      <c r="I3016" s="279" t="s">
        <v>1879</v>
      </c>
      <c r="J3016" s="182"/>
      <c r="K3016" s="182" t="s">
        <v>1881</v>
      </c>
      <c r="L3016" s="279"/>
      <c r="M3016" s="182">
        <v>258</v>
      </c>
      <c r="N3016" s="182"/>
      <c r="O3016" s="257" t="s">
        <v>12255</v>
      </c>
      <c r="P3016" s="280">
        <v>252</v>
      </c>
      <c r="Q3016" s="102">
        <f t="shared" si="164"/>
        <v>3.79</v>
      </c>
      <c r="R3016" s="199">
        <v>2.2000000000000002</v>
      </c>
      <c r="S3016" s="199">
        <v>5.99</v>
      </c>
      <c r="T3016" s="199"/>
      <c r="W3016" s="199"/>
      <c r="X3016" s="278"/>
      <c r="Y3016" s="278"/>
      <c r="Z3016" s="278"/>
      <c r="AA3016" s="278"/>
      <c r="AB3016" s="278"/>
      <c r="AC3016" s="278"/>
      <c r="AD3016" s="278"/>
      <c r="AE3016" s="198"/>
      <c r="AF3016" s="198"/>
      <c r="AG3016" s="198"/>
      <c r="AI3016" s="198"/>
      <c r="AJ3016" s="198"/>
      <c r="AK3016" s="198"/>
      <c r="AL3016" s="198"/>
    </row>
    <row r="3017" spans="1:38" x14ac:dyDescent="0.25">
      <c r="A3017" s="182">
        <v>1365</v>
      </c>
      <c r="B3017" s="182" t="s">
        <v>14106</v>
      </c>
      <c r="C3017" s="182" t="s">
        <v>14107</v>
      </c>
      <c r="D3017" s="182" t="s">
        <v>2209</v>
      </c>
      <c r="E3017" s="182" t="s">
        <v>2375</v>
      </c>
      <c r="F3017" s="182">
        <v>2005</v>
      </c>
      <c r="G3017" s="182"/>
      <c r="H3017" s="182" t="s">
        <v>4297</v>
      </c>
      <c r="I3017" s="279" t="s">
        <v>1879</v>
      </c>
      <c r="J3017" s="182" t="s">
        <v>3854</v>
      </c>
      <c r="K3017" s="182" t="s">
        <v>1881</v>
      </c>
      <c r="L3017" s="279" t="s">
        <v>14108</v>
      </c>
      <c r="M3017" s="182">
        <v>176</v>
      </c>
      <c r="N3017" s="182"/>
      <c r="O3017" s="257" t="s">
        <v>12256</v>
      </c>
      <c r="P3017" s="280">
        <v>310</v>
      </c>
      <c r="Q3017" s="102">
        <f t="shared" si="164"/>
        <v>1.7599999999999998</v>
      </c>
      <c r="R3017" s="199">
        <v>2.2000000000000002</v>
      </c>
      <c r="S3017" s="199">
        <v>3.96</v>
      </c>
      <c r="T3017" s="199"/>
      <c r="W3017" s="199"/>
      <c r="X3017" s="278"/>
      <c r="Y3017" s="278"/>
      <c r="Z3017" s="278"/>
      <c r="AA3017" s="278"/>
      <c r="AB3017" s="278"/>
      <c r="AC3017" s="278"/>
      <c r="AD3017" s="278"/>
      <c r="AE3017" s="198"/>
      <c r="AF3017" s="198"/>
      <c r="AG3017" s="198"/>
      <c r="AI3017" s="198"/>
      <c r="AJ3017" s="198"/>
      <c r="AK3017" s="198"/>
      <c r="AL3017" s="198"/>
    </row>
    <row r="3018" spans="1:38" x14ac:dyDescent="0.25">
      <c r="A3018" s="182">
        <v>2522</v>
      </c>
      <c r="B3018" s="182" t="s">
        <v>10478</v>
      </c>
      <c r="C3018" s="182" t="s">
        <v>10479</v>
      </c>
      <c r="D3018" s="182" t="s">
        <v>2300</v>
      </c>
      <c r="E3018" s="182"/>
      <c r="F3018" s="182">
        <v>1997</v>
      </c>
      <c r="G3018" s="182"/>
      <c r="H3018" s="182" t="s">
        <v>1878</v>
      </c>
      <c r="I3018" s="279" t="s">
        <v>1914</v>
      </c>
      <c r="J3018" s="182"/>
      <c r="K3018" s="182" t="s">
        <v>1881</v>
      </c>
      <c r="L3018" s="279" t="s">
        <v>10480</v>
      </c>
      <c r="M3018" s="182">
        <v>528</v>
      </c>
      <c r="N3018" s="182"/>
      <c r="O3018" s="257" t="s">
        <v>12257</v>
      </c>
      <c r="P3018" s="280">
        <v>338</v>
      </c>
      <c r="Q3018" s="102">
        <f t="shared" si="164"/>
        <v>0.87999999999999989</v>
      </c>
      <c r="R3018" s="199">
        <v>2.2000000000000002</v>
      </c>
      <c r="S3018" s="199">
        <v>3.08</v>
      </c>
      <c r="T3018" s="199"/>
      <c r="W3018" s="199"/>
      <c r="X3018" s="278"/>
      <c r="Y3018" s="278"/>
      <c r="Z3018" s="278"/>
      <c r="AA3018" s="278"/>
      <c r="AB3018" s="278"/>
      <c r="AC3018" s="278"/>
      <c r="AD3018" s="278"/>
      <c r="AE3018" s="198"/>
      <c r="AF3018" s="198"/>
      <c r="AG3018" s="198"/>
      <c r="AI3018" s="198"/>
      <c r="AJ3018" s="198"/>
      <c r="AK3018" s="198"/>
      <c r="AL3018" s="198"/>
    </row>
    <row r="3019" spans="1:38" x14ac:dyDescent="0.25">
      <c r="A3019" s="182">
        <v>1386</v>
      </c>
      <c r="B3019" s="182" t="s">
        <v>14109</v>
      </c>
      <c r="C3019" s="182" t="s">
        <v>14110</v>
      </c>
      <c r="D3019" s="182" t="s">
        <v>2054</v>
      </c>
      <c r="E3019" s="182"/>
      <c r="F3019" s="182">
        <v>2004</v>
      </c>
      <c r="G3019" s="182"/>
      <c r="H3019" s="182" t="s">
        <v>1878</v>
      </c>
      <c r="I3019" s="279" t="s">
        <v>1879</v>
      </c>
      <c r="J3019" s="182"/>
      <c r="K3019" s="182" t="s">
        <v>1881</v>
      </c>
      <c r="L3019" s="279" t="s">
        <v>14111</v>
      </c>
      <c r="M3019" s="182">
        <v>336</v>
      </c>
      <c r="N3019" s="182"/>
      <c r="O3019" s="257" t="s">
        <v>12258</v>
      </c>
      <c r="P3019" s="280">
        <v>328</v>
      </c>
      <c r="Q3019" s="102">
        <f t="shared" si="164"/>
        <v>1.2999999999999998</v>
      </c>
      <c r="R3019" s="199">
        <v>2.2000000000000002</v>
      </c>
      <c r="S3019" s="199">
        <v>3.5</v>
      </c>
      <c r="T3019" s="199"/>
      <c r="W3019" s="199"/>
      <c r="X3019" s="278"/>
      <c r="Y3019" s="278"/>
      <c r="Z3019" s="278"/>
      <c r="AA3019" s="278"/>
      <c r="AB3019" s="278"/>
      <c r="AC3019" s="278"/>
      <c r="AD3019" s="278"/>
      <c r="AE3019" s="198"/>
      <c r="AF3019" s="198"/>
      <c r="AG3019" s="198"/>
      <c r="AI3019" s="198"/>
      <c r="AJ3019" s="198"/>
      <c r="AK3019" s="198"/>
      <c r="AL3019" s="198"/>
    </row>
    <row r="3020" spans="1:38" x14ac:dyDescent="0.25">
      <c r="A3020" s="182">
        <v>2522</v>
      </c>
      <c r="B3020" s="182" t="s">
        <v>14112</v>
      </c>
      <c r="C3020" s="182" t="s">
        <v>14113</v>
      </c>
      <c r="D3020" s="182" t="s">
        <v>1988</v>
      </c>
      <c r="E3020" s="182" t="s">
        <v>2922</v>
      </c>
      <c r="F3020" s="182">
        <v>2009</v>
      </c>
      <c r="G3020" s="182"/>
      <c r="H3020" s="182" t="s">
        <v>1878</v>
      </c>
      <c r="I3020" s="279" t="s">
        <v>1879</v>
      </c>
      <c r="J3020" s="182"/>
      <c r="K3020" s="182" t="s">
        <v>1881</v>
      </c>
      <c r="L3020" s="279" t="s">
        <v>14114</v>
      </c>
      <c r="M3020" s="182">
        <v>752</v>
      </c>
      <c r="N3020" s="182"/>
      <c r="O3020" s="257" t="s">
        <v>12259</v>
      </c>
      <c r="P3020" s="280">
        <v>550</v>
      </c>
      <c r="Q3020" s="102">
        <f t="shared" si="164"/>
        <v>3.5999999999999996</v>
      </c>
      <c r="R3020" s="199">
        <v>2.2000000000000002</v>
      </c>
      <c r="S3020" s="199">
        <v>5.8</v>
      </c>
      <c r="T3020" s="199"/>
      <c r="W3020" s="199"/>
      <c r="X3020" s="278"/>
      <c r="Y3020" s="278"/>
      <c r="Z3020" s="278"/>
      <c r="AA3020" s="278"/>
      <c r="AB3020" s="278"/>
      <c r="AC3020" s="278"/>
      <c r="AD3020" s="278"/>
      <c r="AE3020" s="198"/>
      <c r="AF3020" s="198"/>
      <c r="AG3020" s="198"/>
      <c r="AI3020" s="198"/>
      <c r="AJ3020" s="198"/>
      <c r="AK3020" s="198"/>
      <c r="AL3020" s="198"/>
    </row>
    <row r="3021" spans="1:38" x14ac:dyDescent="0.25">
      <c r="A3021" s="182">
        <v>765</v>
      </c>
      <c r="B3021" s="182" t="s">
        <v>14115</v>
      </c>
      <c r="C3021" s="182" t="s">
        <v>14116</v>
      </c>
      <c r="D3021" s="182" t="s">
        <v>4693</v>
      </c>
      <c r="E3021" s="182" t="s">
        <v>2032</v>
      </c>
      <c r="F3021" s="182">
        <v>2005</v>
      </c>
      <c r="G3021" s="182"/>
      <c r="H3021" s="182" t="s">
        <v>1878</v>
      </c>
      <c r="I3021" s="279" t="s">
        <v>1929</v>
      </c>
      <c r="J3021" s="182"/>
      <c r="K3021" s="182" t="s">
        <v>1881</v>
      </c>
      <c r="L3021" s="279" t="s">
        <v>14117</v>
      </c>
      <c r="M3021" s="182">
        <v>192</v>
      </c>
      <c r="N3021" s="182"/>
      <c r="O3021" s="257" t="s">
        <v>12260</v>
      </c>
      <c r="P3021" s="280">
        <v>633</v>
      </c>
      <c r="Q3021" s="102">
        <f t="shared" si="164"/>
        <v>1.4099999999999997</v>
      </c>
      <c r="R3021" s="199">
        <v>2.2000000000000002</v>
      </c>
      <c r="S3021" s="199">
        <v>3.61</v>
      </c>
      <c r="T3021" s="199"/>
      <c r="W3021" s="199"/>
      <c r="X3021" s="278"/>
      <c r="Y3021" s="278"/>
      <c r="Z3021" s="278"/>
      <c r="AA3021" s="278"/>
      <c r="AB3021" s="278"/>
      <c r="AC3021" s="278"/>
      <c r="AD3021" s="278"/>
      <c r="AE3021" s="198"/>
      <c r="AF3021" s="198"/>
      <c r="AG3021" s="198"/>
      <c r="AI3021" s="198"/>
      <c r="AJ3021" s="198"/>
      <c r="AK3021" s="198"/>
      <c r="AL3021" s="198"/>
    </row>
    <row r="3022" spans="1:38" x14ac:dyDescent="0.25">
      <c r="A3022" s="182">
        <v>765</v>
      </c>
      <c r="B3022" s="182" t="s">
        <v>5851</v>
      </c>
      <c r="C3022" s="182" t="s">
        <v>14118</v>
      </c>
      <c r="D3022" s="182" t="s">
        <v>2309</v>
      </c>
      <c r="E3022" s="182" t="s">
        <v>2032</v>
      </c>
      <c r="F3022" s="182">
        <v>2007</v>
      </c>
      <c r="G3022" s="182"/>
      <c r="H3022" s="182" t="s">
        <v>1878</v>
      </c>
      <c r="I3022" s="279" t="s">
        <v>1929</v>
      </c>
      <c r="J3022" s="182"/>
      <c r="K3022" s="182" t="s">
        <v>1881</v>
      </c>
      <c r="L3022" s="279" t="s">
        <v>5853</v>
      </c>
      <c r="M3022" s="182">
        <v>208</v>
      </c>
      <c r="N3022" s="182"/>
      <c r="O3022" s="257" t="s">
        <v>12261</v>
      </c>
      <c r="P3022" s="280">
        <v>338</v>
      </c>
      <c r="Q3022" s="102">
        <f t="shared" si="164"/>
        <v>1.8399999999999999</v>
      </c>
      <c r="R3022" s="199">
        <v>2.2000000000000002</v>
      </c>
      <c r="S3022" s="199">
        <v>4.04</v>
      </c>
      <c r="T3022" s="199"/>
      <c r="W3022" s="199"/>
      <c r="X3022" s="278"/>
      <c r="Y3022" s="278"/>
      <c r="Z3022" s="278"/>
      <c r="AA3022" s="278"/>
      <c r="AB3022" s="278"/>
      <c r="AC3022" s="278"/>
      <c r="AD3022" s="278"/>
      <c r="AE3022" s="198"/>
      <c r="AF3022" s="198"/>
      <c r="AG3022" s="198"/>
      <c r="AI3022" s="198"/>
      <c r="AJ3022" s="198"/>
      <c r="AK3022" s="198"/>
      <c r="AL3022" s="198"/>
    </row>
    <row r="3023" spans="1:38" x14ac:dyDescent="0.25">
      <c r="A3023" s="182">
        <v>765</v>
      </c>
      <c r="B3023" s="182" t="s">
        <v>14115</v>
      </c>
      <c r="C3023" s="182" t="s">
        <v>14116</v>
      </c>
      <c r="D3023" s="182" t="s">
        <v>4693</v>
      </c>
      <c r="E3023" s="182" t="s">
        <v>1899</v>
      </c>
      <c r="F3023" s="182">
        <v>2004</v>
      </c>
      <c r="G3023" s="182"/>
      <c r="H3023" s="182" t="s">
        <v>1878</v>
      </c>
      <c r="I3023" s="279" t="s">
        <v>1929</v>
      </c>
      <c r="J3023" s="182"/>
      <c r="K3023" s="182" t="s">
        <v>1881</v>
      </c>
      <c r="L3023" s="279" t="s">
        <v>14117</v>
      </c>
      <c r="M3023" s="182">
        <v>192</v>
      </c>
      <c r="N3023" s="182"/>
      <c r="O3023" s="257" t="s">
        <v>12262</v>
      </c>
      <c r="P3023" s="280">
        <v>633</v>
      </c>
      <c r="Q3023" s="102">
        <f t="shared" si="164"/>
        <v>1.4099999999999997</v>
      </c>
      <c r="R3023" s="199">
        <v>2.2000000000000002</v>
      </c>
      <c r="S3023" s="199">
        <v>3.61</v>
      </c>
      <c r="T3023" s="199"/>
      <c r="W3023" s="199"/>
      <c r="X3023" s="278"/>
      <c r="Y3023" s="278"/>
      <c r="Z3023" s="278"/>
      <c r="AA3023" s="278"/>
      <c r="AB3023" s="278"/>
      <c r="AC3023" s="278"/>
      <c r="AD3023" s="278"/>
      <c r="AE3023" s="198"/>
      <c r="AF3023" s="198"/>
      <c r="AG3023" s="198"/>
      <c r="AI3023" s="198"/>
      <c r="AJ3023" s="198"/>
      <c r="AK3023" s="198"/>
      <c r="AL3023" s="198"/>
    </row>
    <row r="3024" spans="1:38" x14ac:dyDescent="0.25">
      <c r="A3024" s="182">
        <v>1327</v>
      </c>
      <c r="B3024" s="182" t="s">
        <v>14119</v>
      </c>
      <c r="C3024" s="182" t="s">
        <v>14120</v>
      </c>
      <c r="D3024" s="182" t="s">
        <v>3312</v>
      </c>
      <c r="E3024" s="182"/>
      <c r="F3024" s="182">
        <v>1998</v>
      </c>
      <c r="G3024" s="182"/>
      <c r="H3024" s="182" t="s">
        <v>2734</v>
      </c>
      <c r="I3024" s="279" t="s">
        <v>1879</v>
      </c>
      <c r="J3024" s="182"/>
      <c r="K3024" s="182" t="s">
        <v>1881</v>
      </c>
      <c r="L3024" s="279" t="s">
        <v>14121</v>
      </c>
      <c r="M3024" s="182">
        <v>194</v>
      </c>
      <c r="N3024" s="182"/>
      <c r="O3024" s="257" t="s">
        <v>12263</v>
      </c>
      <c r="P3024" s="280">
        <v>352</v>
      </c>
      <c r="Q3024" s="102">
        <f t="shared" si="164"/>
        <v>1.5799999999999996</v>
      </c>
      <c r="R3024" s="199">
        <v>2.2000000000000002</v>
      </c>
      <c r="S3024" s="199">
        <v>3.78</v>
      </c>
      <c r="T3024" s="199"/>
      <c r="W3024" s="199"/>
      <c r="X3024" s="278"/>
      <c r="Y3024" s="278"/>
      <c r="Z3024" s="278"/>
      <c r="AA3024" s="278"/>
      <c r="AB3024" s="278"/>
      <c r="AC3024" s="278"/>
      <c r="AD3024" s="278"/>
      <c r="AE3024" s="198"/>
      <c r="AF3024" s="198"/>
      <c r="AG3024" s="198"/>
      <c r="AI3024" s="198"/>
      <c r="AJ3024" s="198"/>
      <c r="AK3024" s="198"/>
      <c r="AL3024" s="198"/>
    </row>
    <row r="3025" spans="1:38" x14ac:dyDescent="0.25">
      <c r="A3025" s="182">
        <v>703</v>
      </c>
      <c r="B3025" s="182" t="s">
        <v>7408</v>
      </c>
      <c r="C3025" s="182" t="s">
        <v>14122</v>
      </c>
      <c r="D3025" s="182" t="s">
        <v>2971</v>
      </c>
      <c r="E3025" s="182"/>
      <c r="F3025" s="182">
        <v>1992</v>
      </c>
      <c r="G3025" s="182"/>
      <c r="H3025" s="182" t="s">
        <v>1878</v>
      </c>
      <c r="I3025" s="279" t="s">
        <v>1879</v>
      </c>
      <c r="J3025" s="182"/>
      <c r="K3025" s="182" t="s">
        <v>1881</v>
      </c>
      <c r="L3025" s="279" t="s">
        <v>14123</v>
      </c>
      <c r="M3025" s="182">
        <v>312</v>
      </c>
      <c r="N3025" s="182"/>
      <c r="O3025" s="257" t="s">
        <v>12264</v>
      </c>
      <c r="P3025" s="280">
        <v>493</v>
      </c>
      <c r="Q3025" s="102">
        <f t="shared" si="164"/>
        <v>1.65</v>
      </c>
      <c r="R3025" s="199">
        <v>2.2000000000000002</v>
      </c>
      <c r="S3025" s="199">
        <v>3.85</v>
      </c>
      <c r="T3025" s="199"/>
      <c r="W3025" s="199"/>
      <c r="X3025" s="278"/>
      <c r="Y3025" s="278"/>
      <c r="Z3025" s="278"/>
      <c r="AA3025" s="278"/>
      <c r="AB3025" s="278"/>
      <c r="AC3025" s="278"/>
      <c r="AD3025" s="278"/>
      <c r="AE3025" s="198"/>
      <c r="AF3025" s="198"/>
      <c r="AG3025" s="198"/>
      <c r="AI3025" s="198"/>
      <c r="AJ3025" s="198"/>
      <c r="AK3025" s="198"/>
      <c r="AL3025" s="198"/>
    </row>
    <row r="3026" spans="1:38" x14ac:dyDescent="0.25">
      <c r="A3026" s="182">
        <v>774</v>
      </c>
      <c r="B3026" s="182" t="s">
        <v>2524</v>
      </c>
      <c r="C3026" s="182" t="s">
        <v>14124</v>
      </c>
      <c r="D3026" s="182" t="s">
        <v>5005</v>
      </c>
      <c r="E3026" s="182"/>
      <c r="F3026" s="182">
        <v>1992</v>
      </c>
      <c r="G3026" s="182"/>
      <c r="H3026" s="182" t="s">
        <v>2734</v>
      </c>
      <c r="I3026" s="279" t="s">
        <v>1879</v>
      </c>
      <c r="J3026" s="182"/>
      <c r="K3026" s="182" t="s">
        <v>1881</v>
      </c>
      <c r="L3026" s="279"/>
      <c r="M3026" s="182">
        <v>322</v>
      </c>
      <c r="N3026" s="182"/>
      <c r="O3026" s="257" t="s">
        <v>12265</v>
      </c>
      <c r="P3026" s="280">
        <v>467</v>
      </c>
      <c r="Q3026" s="102">
        <f t="shared" si="164"/>
        <v>2.7800000000000002</v>
      </c>
      <c r="R3026" s="199">
        <v>2.2000000000000002</v>
      </c>
      <c r="S3026" s="199">
        <v>4.9800000000000004</v>
      </c>
      <c r="T3026" s="199"/>
      <c r="W3026" s="199"/>
      <c r="X3026" s="278"/>
      <c r="Y3026" s="278"/>
      <c r="Z3026" s="278"/>
      <c r="AA3026" s="278"/>
      <c r="AB3026" s="278"/>
      <c r="AC3026" s="278"/>
      <c r="AD3026" s="278"/>
      <c r="AE3026" s="198"/>
      <c r="AF3026" s="198"/>
      <c r="AG3026" s="198"/>
      <c r="AI3026" s="198"/>
      <c r="AJ3026" s="198"/>
      <c r="AK3026" s="198"/>
      <c r="AL3026" s="198"/>
    </row>
    <row r="3027" spans="1:38" x14ac:dyDescent="0.25">
      <c r="A3027" s="182">
        <v>1239</v>
      </c>
      <c r="B3027" s="182" t="s">
        <v>14125</v>
      </c>
      <c r="C3027" s="182" t="s">
        <v>14126</v>
      </c>
      <c r="D3027" s="182" t="s">
        <v>14127</v>
      </c>
      <c r="E3027" s="182"/>
      <c r="F3027" s="182">
        <v>1978</v>
      </c>
      <c r="G3027" s="182"/>
      <c r="H3027" s="182" t="s">
        <v>1878</v>
      </c>
      <c r="I3027" s="279" t="s">
        <v>1914</v>
      </c>
      <c r="J3027" s="182"/>
      <c r="K3027" s="182" t="s">
        <v>1881</v>
      </c>
      <c r="L3027" s="279" t="s">
        <v>14128</v>
      </c>
      <c r="M3027" s="182">
        <v>176</v>
      </c>
      <c r="N3027" s="182"/>
      <c r="O3027" s="257" t="s">
        <v>12266</v>
      </c>
      <c r="P3027" s="280">
        <v>277</v>
      </c>
      <c r="Q3027" s="102">
        <f t="shared" si="164"/>
        <v>2.29</v>
      </c>
      <c r="R3027" s="199">
        <v>2.2000000000000002</v>
      </c>
      <c r="S3027" s="199">
        <v>4.49</v>
      </c>
      <c r="T3027" s="199"/>
      <c r="W3027" s="199"/>
      <c r="X3027" s="278"/>
      <c r="Y3027" s="278"/>
      <c r="Z3027" s="278"/>
      <c r="AA3027" s="278"/>
      <c r="AB3027" s="278"/>
      <c r="AC3027" s="278"/>
      <c r="AD3027" s="278"/>
      <c r="AE3027" s="198"/>
      <c r="AF3027" s="198"/>
      <c r="AG3027" s="198"/>
      <c r="AI3027" s="198"/>
      <c r="AJ3027" s="198"/>
      <c r="AK3027" s="198"/>
      <c r="AL3027" s="198"/>
    </row>
    <row r="3028" spans="1:38" x14ac:dyDescent="0.25">
      <c r="A3028" s="182">
        <v>2522</v>
      </c>
      <c r="B3028" s="182" t="s">
        <v>2892</v>
      </c>
      <c r="C3028" s="182" t="s">
        <v>14129</v>
      </c>
      <c r="D3028" s="182" t="s">
        <v>2209</v>
      </c>
      <c r="E3028" s="182" t="s">
        <v>2175</v>
      </c>
      <c r="F3028" s="182">
        <v>2000</v>
      </c>
      <c r="G3028" s="182"/>
      <c r="H3028" s="182" t="s">
        <v>1878</v>
      </c>
      <c r="I3028" s="279" t="s">
        <v>1914</v>
      </c>
      <c r="J3028" s="182"/>
      <c r="K3028" s="182" t="s">
        <v>1881</v>
      </c>
      <c r="L3028" s="279" t="s">
        <v>14130</v>
      </c>
      <c r="M3028" s="182">
        <v>1008</v>
      </c>
      <c r="N3028" s="182"/>
      <c r="O3028" s="257" t="s">
        <v>12267</v>
      </c>
      <c r="P3028" s="280">
        <v>545</v>
      </c>
      <c r="Q3028" s="102">
        <f t="shared" si="164"/>
        <v>1.67</v>
      </c>
      <c r="R3028" s="199">
        <v>2.2000000000000002</v>
      </c>
      <c r="S3028" s="199">
        <v>3.87</v>
      </c>
      <c r="T3028" s="199"/>
      <c r="W3028" s="199"/>
      <c r="X3028" s="278"/>
      <c r="Y3028" s="278"/>
      <c r="Z3028" s="278"/>
      <c r="AA3028" s="278"/>
      <c r="AB3028" s="278"/>
      <c r="AC3028" s="278"/>
      <c r="AD3028" s="278"/>
      <c r="AE3028" s="198"/>
      <c r="AF3028" s="198"/>
      <c r="AG3028" s="198"/>
      <c r="AI3028" s="198"/>
      <c r="AJ3028" s="198"/>
      <c r="AK3028" s="198"/>
      <c r="AL3028" s="198"/>
    </row>
    <row r="3029" spans="1:38" x14ac:dyDescent="0.25">
      <c r="A3029" s="182">
        <v>632</v>
      </c>
      <c r="B3029" s="182" t="s">
        <v>14131</v>
      </c>
      <c r="C3029" s="182" t="s">
        <v>14132</v>
      </c>
      <c r="D3029" s="182" t="s">
        <v>2300</v>
      </c>
      <c r="E3029" s="182" t="s">
        <v>1877</v>
      </c>
      <c r="F3029" s="182">
        <v>2008</v>
      </c>
      <c r="G3029" s="182"/>
      <c r="H3029" s="182" t="s">
        <v>1878</v>
      </c>
      <c r="I3029" s="279" t="s">
        <v>1914</v>
      </c>
      <c r="J3029" s="182"/>
      <c r="K3029" s="182" t="s">
        <v>1881</v>
      </c>
      <c r="L3029" s="279" t="s">
        <v>14133</v>
      </c>
      <c r="M3029" s="182">
        <v>592</v>
      </c>
      <c r="N3029" s="182"/>
      <c r="O3029" s="257" t="s">
        <v>12268</v>
      </c>
      <c r="P3029" s="280">
        <v>535</v>
      </c>
      <c r="Q3029" s="102">
        <f t="shared" si="164"/>
        <v>2.1399999999999997</v>
      </c>
      <c r="R3029" s="199">
        <v>2.2000000000000002</v>
      </c>
      <c r="S3029" s="199">
        <v>4.34</v>
      </c>
      <c r="T3029" s="199"/>
      <c r="W3029" s="199"/>
      <c r="X3029" s="278"/>
      <c r="Y3029" s="278"/>
      <c r="Z3029" s="278"/>
      <c r="AA3029" s="278"/>
      <c r="AB3029" s="278"/>
      <c r="AC3029" s="278"/>
      <c r="AD3029" s="278"/>
      <c r="AE3029" s="198"/>
      <c r="AF3029" s="198"/>
      <c r="AG3029" s="198"/>
      <c r="AI3029" s="198"/>
      <c r="AJ3029" s="198"/>
      <c r="AK3029" s="198"/>
      <c r="AL3029" s="198"/>
    </row>
    <row r="3030" spans="1:38" s="146" customFormat="1" x14ac:dyDescent="0.25">
      <c r="A3030" s="282">
        <v>1008</v>
      </c>
      <c r="B3030" s="282" t="s">
        <v>14134</v>
      </c>
      <c r="C3030" s="282" t="s">
        <v>14135</v>
      </c>
      <c r="D3030" s="282" t="s">
        <v>1912</v>
      </c>
      <c r="E3030" s="282" t="s">
        <v>2412</v>
      </c>
      <c r="F3030" s="282">
        <v>2004</v>
      </c>
      <c r="G3030" s="282"/>
      <c r="H3030" s="282" t="s">
        <v>1878</v>
      </c>
      <c r="I3030" s="141" t="s">
        <v>1914</v>
      </c>
      <c r="J3030" s="282"/>
      <c r="K3030" s="282" t="s">
        <v>1881</v>
      </c>
      <c r="L3030" s="141" t="s">
        <v>14136</v>
      </c>
      <c r="M3030" s="282">
        <v>606</v>
      </c>
      <c r="N3030" s="282"/>
      <c r="O3030" s="148" t="s">
        <v>12269</v>
      </c>
      <c r="P3030" s="144">
        <v>400</v>
      </c>
      <c r="Q3030" s="242">
        <f t="shared" si="164"/>
        <v>1.5899999999999999</v>
      </c>
      <c r="R3030" s="203">
        <v>2.2000000000000002</v>
      </c>
      <c r="S3030" s="203">
        <v>3.79</v>
      </c>
      <c r="T3030" s="203"/>
      <c r="U3030" s="103"/>
      <c r="V3030" s="103"/>
      <c r="W3030" s="203"/>
      <c r="X3030" s="148"/>
      <c r="Y3030" s="148"/>
      <c r="Z3030" s="148"/>
      <c r="AA3030" s="148"/>
      <c r="AB3030" s="148"/>
      <c r="AC3030" s="148"/>
      <c r="AD3030" s="148"/>
      <c r="AH3030" s="147"/>
    </row>
    <row r="3031" spans="1:38" x14ac:dyDescent="0.25">
      <c r="A3031" s="282">
        <v>2553</v>
      </c>
      <c r="B3031" s="282" t="s">
        <v>3637</v>
      </c>
      <c r="C3031" s="282" t="s">
        <v>14210</v>
      </c>
      <c r="D3031" s="282" t="s">
        <v>2424</v>
      </c>
      <c r="E3031" s="182"/>
      <c r="F3031" s="282">
        <v>2009</v>
      </c>
      <c r="G3031" s="182"/>
      <c r="H3031" s="282" t="s">
        <v>2734</v>
      </c>
      <c r="I3031" s="279" t="s">
        <v>1879</v>
      </c>
      <c r="J3031" s="182"/>
      <c r="K3031" s="282" t="s">
        <v>1881</v>
      </c>
      <c r="L3031" s="279" t="s">
        <v>14211</v>
      </c>
      <c r="M3031" s="282">
        <v>626</v>
      </c>
      <c r="N3031" s="182"/>
      <c r="O3031" s="257" t="s">
        <v>12270</v>
      </c>
      <c r="P3031" s="280">
        <v>829</v>
      </c>
      <c r="Q3031" s="102">
        <f t="shared" si="164"/>
        <v>2.34</v>
      </c>
      <c r="R3031" s="199">
        <v>2.2000000000000002</v>
      </c>
      <c r="S3031" s="199">
        <v>4.54</v>
      </c>
      <c r="T3031" s="199"/>
      <c r="W3031" s="199"/>
      <c r="X3031" s="278"/>
      <c r="Y3031" s="278"/>
      <c r="Z3031" s="278"/>
      <c r="AA3031" s="278"/>
      <c r="AB3031" s="278"/>
      <c r="AC3031" s="278"/>
      <c r="AD3031" s="278"/>
      <c r="AE3031" s="198"/>
      <c r="AF3031" s="198"/>
      <c r="AG3031" s="198"/>
      <c r="AI3031" s="198"/>
      <c r="AJ3031" s="198"/>
      <c r="AK3031" s="198"/>
      <c r="AL3031" s="198"/>
    </row>
    <row r="3032" spans="1:38" x14ac:dyDescent="0.25">
      <c r="A3032" s="282">
        <v>928</v>
      </c>
      <c r="B3032" s="282" t="s">
        <v>14212</v>
      </c>
      <c r="C3032" s="282" t="s">
        <v>14213</v>
      </c>
      <c r="D3032" s="282" t="s">
        <v>1920</v>
      </c>
      <c r="E3032" s="282" t="s">
        <v>4259</v>
      </c>
      <c r="F3032" s="282">
        <v>1992</v>
      </c>
      <c r="H3032" s="282" t="s">
        <v>1878</v>
      </c>
      <c r="I3032" s="16" t="s">
        <v>1914</v>
      </c>
      <c r="K3032" s="282" t="s">
        <v>1881</v>
      </c>
      <c r="L3032" s="16" t="s">
        <v>14214</v>
      </c>
      <c r="M3032" s="282">
        <v>562</v>
      </c>
      <c r="O3032" s="257" t="s">
        <v>12271</v>
      </c>
      <c r="P3032" s="17">
        <v>439</v>
      </c>
      <c r="Q3032" s="102">
        <f t="shared" si="164"/>
        <v>1.7399999999999998</v>
      </c>
      <c r="R3032" s="199">
        <v>2.2000000000000002</v>
      </c>
      <c r="S3032" s="18">
        <v>3.94</v>
      </c>
    </row>
    <row r="3033" spans="1:38" x14ac:dyDescent="0.25">
      <c r="A3033" s="282">
        <v>1374</v>
      </c>
      <c r="B3033" s="282" t="s">
        <v>14215</v>
      </c>
      <c r="C3033" s="282" t="s">
        <v>14216</v>
      </c>
      <c r="D3033" s="282" t="s">
        <v>1876</v>
      </c>
      <c r="E3033" s="282" t="s">
        <v>1921</v>
      </c>
      <c r="F3033" s="282">
        <v>2011</v>
      </c>
      <c r="H3033" s="282" t="s">
        <v>1878</v>
      </c>
      <c r="I3033" s="16" t="s">
        <v>1879</v>
      </c>
      <c r="J3033" s="282" t="s">
        <v>14217</v>
      </c>
      <c r="K3033" s="282" t="s">
        <v>1881</v>
      </c>
      <c r="L3033" s="16" t="s">
        <v>14218</v>
      </c>
      <c r="M3033" s="282">
        <v>272</v>
      </c>
      <c r="O3033" s="257" t="s">
        <v>12272</v>
      </c>
      <c r="P3033" s="17">
        <v>265</v>
      </c>
      <c r="Q3033" s="102">
        <f t="shared" si="164"/>
        <v>1.9900000000000002</v>
      </c>
      <c r="R3033" s="199">
        <v>2.2000000000000002</v>
      </c>
      <c r="S3033" s="18">
        <v>4.1900000000000004</v>
      </c>
    </row>
    <row r="3034" spans="1:38" x14ac:dyDescent="0.25">
      <c r="A3034" s="282">
        <v>1352</v>
      </c>
      <c r="B3034" s="282" t="s">
        <v>14219</v>
      </c>
      <c r="C3034" s="282" t="s">
        <v>14220</v>
      </c>
      <c r="D3034" s="282" t="s">
        <v>5005</v>
      </c>
      <c r="H3034" s="282" t="s">
        <v>2734</v>
      </c>
      <c r="I3034" s="16" t="s">
        <v>1914</v>
      </c>
      <c r="K3034" s="282" t="s">
        <v>1881</v>
      </c>
      <c r="M3034" s="282">
        <v>450</v>
      </c>
      <c r="O3034" s="257" t="s">
        <v>12273</v>
      </c>
      <c r="P3034" s="17">
        <v>384</v>
      </c>
      <c r="Q3034" s="102">
        <f t="shared" si="164"/>
        <v>1.65</v>
      </c>
      <c r="R3034" s="199">
        <v>2.2000000000000002</v>
      </c>
      <c r="S3034" s="18">
        <v>3.85</v>
      </c>
    </row>
    <row r="3035" spans="1:38" x14ac:dyDescent="0.25">
      <c r="A3035" s="282">
        <v>686</v>
      </c>
      <c r="B3035" s="282" t="s">
        <v>14221</v>
      </c>
      <c r="C3035" s="282" t="s">
        <v>14222</v>
      </c>
      <c r="D3035" s="282" t="s">
        <v>2007</v>
      </c>
      <c r="E3035" s="282" t="s">
        <v>1913</v>
      </c>
      <c r="F3035" s="282">
        <v>1945</v>
      </c>
      <c r="H3035" s="282" t="s">
        <v>2008</v>
      </c>
      <c r="I3035" s="16" t="s">
        <v>1914</v>
      </c>
      <c r="K3035" s="282" t="s">
        <v>1881</v>
      </c>
      <c r="M3035" s="282">
        <v>136</v>
      </c>
      <c r="O3035" s="257" t="s">
        <v>12274</v>
      </c>
      <c r="P3035" s="17">
        <v>62</v>
      </c>
      <c r="Q3035" s="102">
        <f t="shared" si="164"/>
        <v>9.5500000000000007</v>
      </c>
      <c r="R3035" s="199">
        <v>2.2000000000000002</v>
      </c>
      <c r="S3035" s="18">
        <v>11.75</v>
      </c>
    </row>
    <row r="3036" spans="1:38" x14ac:dyDescent="0.25">
      <c r="A3036" s="282">
        <v>2957</v>
      </c>
      <c r="C3036" s="282" t="s">
        <v>14223</v>
      </c>
      <c r="D3036" s="282" t="s">
        <v>2007</v>
      </c>
      <c r="F3036" s="282">
        <v>1962</v>
      </c>
      <c r="H3036" s="282" t="s">
        <v>2008</v>
      </c>
      <c r="I3036" s="16" t="s">
        <v>1914</v>
      </c>
      <c r="K3036" s="282" t="s">
        <v>1881</v>
      </c>
      <c r="M3036" s="282">
        <v>88</v>
      </c>
      <c r="O3036" s="257" t="s">
        <v>12275</v>
      </c>
      <c r="P3036" s="17">
        <v>45</v>
      </c>
      <c r="Q3036" s="102">
        <f t="shared" si="164"/>
        <v>3.41</v>
      </c>
      <c r="R3036" s="199">
        <v>2.2000000000000002</v>
      </c>
      <c r="S3036" s="18">
        <v>5.61</v>
      </c>
    </row>
    <row r="3037" spans="1:38" x14ac:dyDescent="0.25">
      <c r="A3037" s="282">
        <v>1348</v>
      </c>
      <c r="B3037" s="282" t="s">
        <v>14224</v>
      </c>
      <c r="C3037" s="282" t="s">
        <v>8717</v>
      </c>
      <c r="D3037" s="282" t="s">
        <v>2300</v>
      </c>
      <c r="F3037" s="282">
        <v>1965</v>
      </c>
      <c r="H3037" s="282" t="s">
        <v>2008</v>
      </c>
      <c r="I3037" s="16" t="s">
        <v>1914</v>
      </c>
      <c r="K3037" s="282" t="s">
        <v>1881</v>
      </c>
      <c r="M3037" s="282">
        <v>178</v>
      </c>
      <c r="O3037" s="257" t="s">
        <v>12276</v>
      </c>
      <c r="P3037" s="17">
        <v>128</v>
      </c>
      <c r="Q3037" s="102">
        <f t="shared" si="164"/>
        <v>1.4</v>
      </c>
      <c r="R3037" s="199">
        <v>2.2000000000000002</v>
      </c>
      <c r="S3037" s="18">
        <v>3.6</v>
      </c>
    </row>
    <row r="3038" spans="1:38" x14ac:dyDescent="0.25">
      <c r="A3038" s="282">
        <v>983</v>
      </c>
      <c r="B3038" s="282" t="s">
        <v>14221</v>
      </c>
      <c r="C3038" s="282" t="s">
        <v>14225</v>
      </c>
      <c r="D3038" s="282" t="s">
        <v>2007</v>
      </c>
      <c r="F3038" s="282">
        <v>1966</v>
      </c>
      <c r="H3038" s="282" t="s">
        <v>2008</v>
      </c>
      <c r="I3038" s="279" t="s">
        <v>1914</v>
      </c>
      <c r="J3038" s="1" t="s">
        <v>14226</v>
      </c>
      <c r="K3038" s="282" t="s">
        <v>1881</v>
      </c>
      <c r="M3038" s="282">
        <v>112</v>
      </c>
      <c r="O3038" s="257" t="s">
        <v>12277</v>
      </c>
      <c r="P3038" s="17">
        <v>56</v>
      </c>
      <c r="Q3038" s="102">
        <f t="shared" si="164"/>
        <v>0.98999999999999977</v>
      </c>
      <c r="R3038" s="199">
        <v>2.2000000000000002</v>
      </c>
      <c r="S3038" s="18">
        <v>3.19</v>
      </c>
    </row>
    <row r="3039" spans="1:38" x14ac:dyDescent="0.25">
      <c r="A3039" s="282">
        <v>1325</v>
      </c>
      <c r="B3039" s="282" t="s">
        <v>14227</v>
      </c>
      <c r="C3039" s="282" t="s">
        <v>14228</v>
      </c>
      <c r="D3039" s="282" t="s">
        <v>14229</v>
      </c>
      <c r="H3039" s="282" t="s">
        <v>2734</v>
      </c>
      <c r="I3039" s="16" t="s">
        <v>1929</v>
      </c>
      <c r="K3039" s="282" t="s">
        <v>1881</v>
      </c>
      <c r="L3039" s="16" t="s">
        <v>14230</v>
      </c>
      <c r="M3039" s="282">
        <v>130</v>
      </c>
      <c r="O3039" s="257" t="s">
        <v>12278</v>
      </c>
      <c r="P3039" s="17">
        <v>113</v>
      </c>
      <c r="Q3039" s="102">
        <f t="shared" si="164"/>
        <v>2.9799999999999995</v>
      </c>
      <c r="R3039" s="199">
        <v>2.2000000000000002</v>
      </c>
      <c r="S3039" s="18">
        <v>5.18</v>
      </c>
    </row>
    <row r="3040" spans="1:38" x14ac:dyDescent="0.25">
      <c r="A3040" s="282">
        <v>1327</v>
      </c>
      <c r="B3040" s="282" t="s">
        <v>14231</v>
      </c>
      <c r="C3040" s="282" t="s">
        <v>14232</v>
      </c>
      <c r="D3040" s="282" t="s">
        <v>1876</v>
      </c>
      <c r="E3040" s="282" t="s">
        <v>14233</v>
      </c>
      <c r="H3040" s="282" t="s">
        <v>2734</v>
      </c>
      <c r="I3040" s="16" t="s">
        <v>1879</v>
      </c>
      <c r="J3040" s="282" t="s">
        <v>2505</v>
      </c>
      <c r="K3040" s="282" t="s">
        <v>1881</v>
      </c>
      <c r="M3040" s="282">
        <v>430</v>
      </c>
      <c r="O3040" s="257" t="s">
        <v>12279</v>
      </c>
      <c r="P3040" s="17">
        <v>538</v>
      </c>
      <c r="Q3040" s="102">
        <f t="shared" si="164"/>
        <v>2.7199999999999998</v>
      </c>
      <c r="R3040" s="199">
        <v>2.2000000000000002</v>
      </c>
      <c r="S3040" s="18">
        <v>4.92</v>
      </c>
    </row>
    <row r="3041" spans="1:34" x14ac:dyDescent="0.25">
      <c r="A3041" s="282">
        <v>796</v>
      </c>
      <c r="B3041" s="282" t="s">
        <v>8747</v>
      </c>
      <c r="C3041" s="282" t="s">
        <v>8748</v>
      </c>
      <c r="D3041" s="282" t="s">
        <v>2257</v>
      </c>
      <c r="F3041" s="282">
        <v>2011</v>
      </c>
      <c r="H3041" s="282" t="s">
        <v>1878</v>
      </c>
      <c r="I3041" s="16" t="s">
        <v>1914</v>
      </c>
      <c r="K3041" s="282" t="s">
        <v>1881</v>
      </c>
      <c r="L3041" s="16" t="s">
        <v>8749</v>
      </c>
      <c r="M3041" s="282">
        <v>864</v>
      </c>
      <c r="O3041" s="257" t="s">
        <v>12280</v>
      </c>
      <c r="P3041" s="17">
        <v>540</v>
      </c>
      <c r="Q3041" s="102">
        <f t="shared" si="164"/>
        <v>2.7800000000000002</v>
      </c>
      <c r="R3041" s="199">
        <v>2.2000000000000002</v>
      </c>
      <c r="S3041" s="18">
        <v>4.9800000000000004</v>
      </c>
    </row>
    <row r="3042" spans="1:34" x14ac:dyDescent="0.25">
      <c r="A3042" s="282">
        <v>1327</v>
      </c>
      <c r="B3042" s="282" t="s">
        <v>4816</v>
      </c>
      <c r="C3042" s="282" t="s">
        <v>14234</v>
      </c>
      <c r="D3042" s="282" t="s">
        <v>2257</v>
      </c>
      <c r="F3042" s="282">
        <v>2005</v>
      </c>
      <c r="H3042" s="282" t="s">
        <v>1878</v>
      </c>
      <c r="I3042" s="16" t="s">
        <v>1914</v>
      </c>
      <c r="J3042" s="54" t="s">
        <v>3854</v>
      </c>
      <c r="K3042" s="282" t="s">
        <v>1881</v>
      </c>
      <c r="L3042" s="16" t="s">
        <v>14235</v>
      </c>
      <c r="M3042" s="282">
        <v>512</v>
      </c>
      <c r="O3042" s="257" t="s">
        <v>12281</v>
      </c>
      <c r="P3042" s="17">
        <v>384</v>
      </c>
      <c r="Q3042" s="102">
        <f t="shared" si="164"/>
        <v>1.6399999999999997</v>
      </c>
      <c r="R3042" s="199">
        <v>2.2000000000000002</v>
      </c>
      <c r="S3042" s="18">
        <v>3.84</v>
      </c>
    </row>
    <row r="3043" spans="1:34" x14ac:dyDescent="0.25">
      <c r="A3043" s="282">
        <v>1327</v>
      </c>
      <c r="B3043" s="282" t="s">
        <v>14311</v>
      </c>
      <c r="C3043" s="282" t="s">
        <v>14312</v>
      </c>
      <c r="D3043" s="282" t="s">
        <v>2901</v>
      </c>
      <c r="F3043" s="282">
        <v>1956</v>
      </c>
      <c r="H3043" s="282" t="s">
        <v>2734</v>
      </c>
      <c r="I3043" s="16" t="s">
        <v>1914</v>
      </c>
      <c r="K3043" s="282" t="s">
        <v>1881</v>
      </c>
      <c r="M3043" s="282">
        <v>578</v>
      </c>
      <c r="O3043" s="257" t="s">
        <v>12282</v>
      </c>
      <c r="P3043" s="17">
        <v>729</v>
      </c>
      <c r="Q3043" s="102">
        <f t="shared" si="164"/>
        <v>7.79</v>
      </c>
      <c r="R3043" s="199">
        <v>2.2000000000000002</v>
      </c>
      <c r="S3043" s="18">
        <v>9.99</v>
      </c>
    </row>
    <row r="3044" spans="1:34" x14ac:dyDescent="0.25">
      <c r="A3044" s="282">
        <v>689</v>
      </c>
      <c r="B3044" s="282" t="s">
        <v>14313</v>
      </c>
      <c r="C3044" s="282" t="s">
        <v>14314</v>
      </c>
      <c r="D3044" s="282" t="s">
        <v>2209</v>
      </c>
      <c r="F3044" s="282">
        <v>2006</v>
      </c>
      <c r="H3044" s="282" t="s">
        <v>1878</v>
      </c>
      <c r="I3044" s="16" t="s">
        <v>1879</v>
      </c>
      <c r="K3044" s="282" t="s">
        <v>1881</v>
      </c>
      <c r="L3044" s="16" t="s">
        <v>14315</v>
      </c>
      <c r="M3044" s="282">
        <v>384</v>
      </c>
      <c r="O3044" s="257" t="s">
        <v>12283</v>
      </c>
      <c r="P3044" s="17">
        <v>315</v>
      </c>
      <c r="Q3044" s="102">
        <f t="shared" si="164"/>
        <v>1.8999999999999995</v>
      </c>
      <c r="R3044" s="199">
        <v>2.2000000000000002</v>
      </c>
      <c r="S3044" s="18">
        <v>4.0999999999999996</v>
      </c>
    </row>
    <row r="3045" spans="1:34" x14ac:dyDescent="0.25">
      <c r="A3045" s="282">
        <v>796</v>
      </c>
      <c r="B3045" s="282" t="s">
        <v>14316</v>
      </c>
      <c r="C3045" s="282" t="s">
        <v>14317</v>
      </c>
      <c r="D3045" s="282" t="s">
        <v>1912</v>
      </c>
      <c r="E3045" s="282" t="s">
        <v>1877</v>
      </c>
      <c r="F3045" s="282">
        <v>2008</v>
      </c>
      <c r="H3045" s="282" t="s">
        <v>1878</v>
      </c>
      <c r="I3045" s="279" t="s">
        <v>1879</v>
      </c>
      <c r="J3045" s="54" t="s">
        <v>3854</v>
      </c>
      <c r="K3045" s="282" t="s">
        <v>1881</v>
      </c>
      <c r="L3045" s="16" t="s">
        <v>14318</v>
      </c>
      <c r="O3045" s="257" t="s">
        <v>12284</v>
      </c>
      <c r="P3045" s="17">
        <v>313</v>
      </c>
      <c r="Q3045" s="102">
        <f t="shared" si="164"/>
        <v>0.69</v>
      </c>
      <c r="R3045" s="199">
        <v>2.2000000000000002</v>
      </c>
      <c r="S3045" s="18">
        <v>2.89</v>
      </c>
    </row>
    <row r="3046" spans="1:34" x14ac:dyDescent="0.25">
      <c r="A3046" s="282">
        <v>632</v>
      </c>
      <c r="B3046" s="282" t="s">
        <v>14319</v>
      </c>
      <c r="C3046" s="282" t="s">
        <v>14320</v>
      </c>
      <c r="D3046" s="282" t="s">
        <v>2300</v>
      </c>
      <c r="E3046" s="282" t="s">
        <v>1921</v>
      </c>
      <c r="F3046" s="282">
        <v>2000</v>
      </c>
      <c r="H3046" s="282" t="s">
        <v>1878</v>
      </c>
      <c r="I3046" s="279" t="s">
        <v>1879</v>
      </c>
      <c r="K3046" s="282" t="s">
        <v>1881</v>
      </c>
      <c r="L3046" s="16" t="s">
        <v>14321</v>
      </c>
      <c r="M3046" s="282">
        <v>288</v>
      </c>
      <c r="O3046" s="257" t="s">
        <v>12285</v>
      </c>
      <c r="P3046" s="17">
        <v>264</v>
      </c>
      <c r="Q3046" s="102">
        <f t="shared" si="164"/>
        <v>2.2000000000000002</v>
      </c>
      <c r="R3046" s="199">
        <v>2.2000000000000002</v>
      </c>
      <c r="S3046" s="18">
        <v>4.4000000000000004</v>
      </c>
    </row>
    <row r="3047" spans="1:34" x14ac:dyDescent="0.25">
      <c r="A3047" s="282">
        <v>1395</v>
      </c>
      <c r="B3047" s="282" t="s">
        <v>2384</v>
      </c>
      <c r="C3047" s="282" t="s">
        <v>14322</v>
      </c>
      <c r="D3047" s="282" t="s">
        <v>4930</v>
      </c>
      <c r="F3047" s="282">
        <v>2000</v>
      </c>
      <c r="H3047" s="282" t="s">
        <v>2734</v>
      </c>
      <c r="I3047" s="16" t="s">
        <v>1879</v>
      </c>
      <c r="K3047" s="282" t="s">
        <v>1881</v>
      </c>
      <c r="M3047" s="282">
        <v>258</v>
      </c>
      <c r="O3047" s="257" t="s">
        <v>12286</v>
      </c>
      <c r="P3047" s="17">
        <v>331</v>
      </c>
      <c r="Q3047" s="102">
        <f t="shared" si="164"/>
        <v>2.6499999999999995</v>
      </c>
      <c r="R3047" s="199">
        <v>2.2000000000000002</v>
      </c>
      <c r="S3047" s="18">
        <v>4.8499999999999996</v>
      </c>
    </row>
    <row r="3048" spans="1:34" x14ac:dyDescent="0.25">
      <c r="A3048" s="282">
        <v>2627</v>
      </c>
      <c r="B3048" s="282" t="s">
        <v>14323</v>
      </c>
      <c r="C3048" s="282" t="s">
        <v>14324</v>
      </c>
      <c r="D3048" s="282" t="s">
        <v>14325</v>
      </c>
      <c r="F3048" s="282">
        <v>1954</v>
      </c>
      <c r="H3048" s="282" t="s">
        <v>1878</v>
      </c>
      <c r="I3048" s="16" t="s">
        <v>1914</v>
      </c>
      <c r="K3048" s="282" t="s">
        <v>1881</v>
      </c>
      <c r="M3048" s="282">
        <v>552</v>
      </c>
      <c r="O3048" s="257" t="s">
        <v>12287</v>
      </c>
      <c r="P3048" s="17">
        <v>269</v>
      </c>
      <c r="Q3048" s="102">
        <f t="shared" si="164"/>
        <v>13.059999999999999</v>
      </c>
      <c r="R3048" s="199">
        <v>2.2000000000000002</v>
      </c>
      <c r="S3048" s="18">
        <v>15.26</v>
      </c>
    </row>
    <row r="3049" spans="1:34" x14ac:dyDescent="0.25">
      <c r="A3049" s="282">
        <v>2516</v>
      </c>
      <c r="B3049" s="282" t="s">
        <v>14326</v>
      </c>
      <c r="C3049" s="282" t="s">
        <v>14327</v>
      </c>
      <c r="D3049" s="282" t="s">
        <v>1912</v>
      </c>
      <c r="E3049" s="282" t="s">
        <v>1913</v>
      </c>
      <c r="F3049" s="282">
        <v>2004</v>
      </c>
      <c r="H3049" s="282" t="s">
        <v>1878</v>
      </c>
      <c r="I3049" s="16" t="s">
        <v>1914</v>
      </c>
      <c r="K3049" s="282" t="s">
        <v>1881</v>
      </c>
      <c r="L3049" s="16" t="s">
        <v>14328</v>
      </c>
      <c r="M3049" s="282">
        <v>418</v>
      </c>
      <c r="O3049" s="257" t="s">
        <v>12288</v>
      </c>
      <c r="P3049" s="17">
        <v>415</v>
      </c>
      <c r="Q3049" s="102">
        <f t="shared" si="164"/>
        <v>2.1099999999999994</v>
      </c>
      <c r="R3049" s="199">
        <v>2.2000000000000002</v>
      </c>
      <c r="S3049" s="18">
        <v>4.3099999999999996</v>
      </c>
    </row>
    <row r="3050" spans="1:34" s="287" customFormat="1" x14ac:dyDescent="0.25">
      <c r="A3050" s="284">
        <v>2551</v>
      </c>
      <c r="B3050" s="284" t="s">
        <v>5033</v>
      </c>
      <c r="C3050" s="284" t="s">
        <v>14329</v>
      </c>
      <c r="D3050" s="284" t="s">
        <v>5005</v>
      </c>
      <c r="E3050" s="284"/>
      <c r="F3050" s="284">
        <v>2003</v>
      </c>
      <c r="G3050" s="284"/>
      <c r="H3050" s="284" t="s">
        <v>2734</v>
      </c>
      <c r="I3050" s="285" t="s">
        <v>1879</v>
      </c>
      <c r="J3050" s="284"/>
      <c r="K3050" s="284" t="s">
        <v>1881</v>
      </c>
      <c r="L3050" s="285"/>
      <c r="M3050" s="284">
        <v>514</v>
      </c>
      <c r="N3050" s="284"/>
      <c r="O3050" s="289" t="s">
        <v>12289</v>
      </c>
      <c r="P3050" s="286">
        <v>615</v>
      </c>
      <c r="Q3050" s="303">
        <f t="shared" si="164"/>
        <v>1.02</v>
      </c>
      <c r="R3050" s="283">
        <v>2.2000000000000002</v>
      </c>
      <c r="S3050" s="283">
        <v>3.22</v>
      </c>
      <c r="T3050" s="283"/>
      <c r="U3050" s="291"/>
      <c r="V3050" s="291"/>
      <c r="W3050" s="283"/>
      <c r="X3050" s="289"/>
      <c r="Y3050" s="289"/>
      <c r="Z3050" s="289"/>
      <c r="AA3050" s="289"/>
      <c r="AB3050" s="289"/>
      <c r="AC3050" s="289"/>
      <c r="AD3050" s="289"/>
      <c r="AH3050" s="288"/>
    </row>
    <row r="3051" spans="1:34" x14ac:dyDescent="0.25">
      <c r="A3051" s="1">
        <v>163</v>
      </c>
      <c r="B3051" s="1" t="s">
        <v>14559</v>
      </c>
      <c r="C3051" s="1" t="s">
        <v>14560</v>
      </c>
      <c r="D3051" s="1" t="s">
        <v>12833</v>
      </c>
      <c r="E3051" s="1" t="s">
        <v>1913</v>
      </c>
      <c r="F3051" s="1">
        <v>2010</v>
      </c>
      <c r="H3051" s="1" t="s">
        <v>2963</v>
      </c>
      <c r="I3051" s="16" t="s">
        <v>1879</v>
      </c>
      <c r="J3051" s="1" t="s">
        <v>14561</v>
      </c>
      <c r="K3051" s="1" t="s">
        <v>1881</v>
      </c>
      <c r="L3051" s="16" t="s">
        <v>14562</v>
      </c>
      <c r="M3051" s="1">
        <v>240</v>
      </c>
      <c r="O3051" s="257" t="s">
        <v>12290</v>
      </c>
      <c r="P3051" s="17">
        <v>395</v>
      </c>
      <c r="Q3051" s="242">
        <f t="shared" si="164"/>
        <v>6.28</v>
      </c>
      <c r="R3051" s="18">
        <v>2.2000000000000002</v>
      </c>
      <c r="S3051" s="18">
        <v>8.48</v>
      </c>
    </row>
    <row r="3052" spans="1:34" x14ac:dyDescent="0.25">
      <c r="A3052" s="1">
        <v>1327</v>
      </c>
      <c r="B3052" s="1" t="s">
        <v>14563</v>
      </c>
      <c r="C3052" s="1" t="s">
        <v>14564</v>
      </c>
      <c r="D3052" s="1" t="s">
        <v>2835</v>
      </c>
      <c r="F3052" s="1">
        <v>1997</v>
      </c>
      <c r="H3052" s="1" t="s">
        <v>1878</v>
      </c>
      <c r="I3052" s="16" t="s">
        <v>1879</v>
      </c>
      <c r="J3052" s="1" t="s">
        <v>9495</v>
      </c>
      <c r="K3052" s="1" t="s">
        <v>1881</v>
      </c>
      <c r="L3052" s="16" t="s">
        <v>14565</v>
      </c>
      <c r="M3052" s="1">
        <v>126</v>
      </c>
      <c r="O3052" s="257" t="s">
        <v>12291</v>
      </c>
      <c r="P3052" s="17">
        <v>91</v>
      </c>
      <c r="Q3052" s="242">
        <f t="shared" si="164"/>
        <v>1.7199999999999998</v>
      </c>
      <c r="R3052" s="18">
        <v>2.2000000000000002</v>
      </c>
      <c r="S3052" s="18">
        <v>3.92</v>
      </c>
    </row>
    <row r="3053" spans="1:34" x14ac:dyDescent="0.25">
      <c r="A3053" s="1">
        <v>632</v>
      </c>
      <c r="B3053" s="1" t="s">
        <v>14566</v>
      </c>
      <c r="C3053" s="1" t="s">
        <v>14567</v>
      </c>
      <c r="D3053" s="1" t="s">
        <v>1876</v>
      </c>
      <c r="F3053" s="1">
        <v>2005</v>
      </c>
      <c r="H3053" s="1" t="s">
        <v>1878</v>
      </c>
      <c r="I3053" s="16" t="s">
        <v>1879</v>
      </c>
      <c r="K3053" s="1" t="s">
        <v>1881</v>
      </c>
      <c r="L3053" s="16" t="s">
        <v>14568</v>
      </c>
      <c r="M3053" s="1">
        <v>764</v>
      </c>
      <c r="O3053" s="257" t="s">
        <v>12292</v>
      </c>
      <c r="P3053" s="17">
        <v>627</v>
      </c>
      <c r="Q3053" s="242">
        <f t="shared" si="164"/>
        <v>1.1099999999999999</v>
      </c>
      <c r="R3053" s="18">
        <v>2.2000000000000002</v>
      </c>
      <c r="S3053" s="18">
        <v>3.31</v>
      </c>
    </row>
    <row r="3054" spans="1:34" x14ac:dyDescent="0.25">
      <c r="A3054" s="1">
        <v>1809</v>
      </c>
      <c r="B3054" s="1" t="s">
        <v>13738</v>
      </c>
      <c r="C3054" s="1" t="s">
        <v>14569</v>
      </c>
      <c r="D3054" s="1" t="s">
        <v>7332</v>
      </c>
      <c r="F3054" s="1">
        <v>2010</v>
      </c>
      <c r="H3054" s="1" t="s">
        <v>2963</v>
      </c>
      <c r="I3054" s="16" t="s">
        <v>1929</v>
      </c>
      <c r="K3054" s="1" t="s">
        <v>1881</v>
      </c>
      <c r="L3054" s="16" t="s">
        <v>14570</v>
      </c>
      <c r="M3054" s="1">
        <v>190</v>
      </c>
      <c r="O3054" s="257" t="s">
        <v>12293</v>
      </c>
      <c r="P3054" s="17">
        <v>407</v>
      </c>
      <c r="Q3054" s="242">
        <f t="shared" si="164"/>
        <v>2.13</v>
      </c>
      <c r="R3054" s="18">
        <v>2.2000000000000002</v>
      </c>
      <c r="S3054" s="18">
        <v>4.33</v>
      </c>
    </row>
    <row r="3055" spans="1:34" x14ac:dyDescent="0.25">
      <c r="A3055" s="1">
        <v>1809</v>
      </c>
      <c r="B3055" s="1" t="s">
        <v>13738</v>
      </c>
      <c r="C3055" s="1" t="s">
        <v>14571</v>
      </c>
      <c r="D3055" s="1" t="s">
        <v>7332</v>
      </c>
      <c r="E3055" s="1" t="s">
        <v>1913</v>
      </c>
      <c r="F3055" s="1">
        <v>2009</v>
      </c>
      <c r="H3055" s="1" t="s">
        <v>2963</v>
      </c>
      <c r="I3055" s="16" t="s">
        <v>1929</v>
      </c>
      <c r="K3055" s="1" t="s">
        <v>1881</v>
      </c>
      <c r="L3055" s="16" t="s">
        <v>14572</v>
      </c>
      <c r="M3055" s="1">
        <v>174</v>
      </c>
      <c r="O3055" s="257" t="s">
        <v>12294</v>
      </c>
      <c r="P3055" s="17">
        <v>375</v>
      </c>
      <c r="Q3055" s="242">
        <f t="shared" si="164"/>
        <v>2.0300000000000002</v>
      </c>
      <c r="R3055" s="18">
        <v>2.2000000000000002</v>
      </c>
      <c r="S3055" s="18">
        <v>4.2300000000000004</v>
      </c>
    </row>
    <row r="3056" spans="1:34" x14ac:dyDescent="0.25">
      <c r="A3056" s="1">
        <v>1809</v>
      </c>
      <c r="B3056" s="1" t="s">
        <v>13738</v>
      </c>
      <c r="C3056" s="1" t="s">
        <v>14573</v>
      </c>
      <c r="D3056" s="1" t="s">
        <v>7332</v>
      </c>
      <c r="E3056" s="1" t="s">
        <v>1913</v>
      </c>
      <c r="F3056" s="1">
        <v>2009</v>
      </c>
      <c r="H3056" s="1" t="s">
        <v>2963</v>
      </c>
      <c r="I3056" s="16" t="s">
        <v>1929</v>
      </c>
      <c r="K3056" s="1" t="s">
        <v>1881</v>
      </c>
      <c r="L3056" s="16" t="s">
        <v>14574</v>
      </c>
      <c r="M3056" s="1">
        <v>189</v>
      </c>
      <c r="O3056" s="257" t="s">
        <v>12295</v>
      </c>
      <c r="P3056" s="17">
        <v>404</v>
      </c>
      <c r="Q3056" s="242">
        <f t="shared" ref="Q3056:Q3090" si="165">S3056-R3056</f>
        <v>2.13</v>
      </c>
      <c r="R3056" s="18">
        <v>2.2000000000000002</v>
      </c>
      <c r="S3056" s="18">
        <v>4.33</v>
      </c>
    </row>
    <row r="3057" spans="1:19" x14ac:dyDescent="0.25">
      <c r="A3057" s="1">
        <v>2598</v>
      </c>
      <c r="B3057" s="1" t="s">
        <v>14575</v>
      </c>
      <c r="C3057" s="1" t="s">
        <v>14576</v>
      </c>
      <c r="D3057" s="1" t="s">
        <v>14577</v>
      </c>
      <c r="F3057" s="1">
        <v>1998</v>
      </c>
      <c r="H3057" s="1" t="s">
        <v>2963</v>
      </c>
      <c r="I3057" s="16" t="s">
        <v>1879</v>
      </c>
      <c r="K3057" s="1" t="s">
        <v>1881</v>
      </c>
      <c r="L3057" s="16" t="s">
        <v>14578</v>
      </c>
      <c r="M3057" s="1">
        <v>365</v>
      </c>
      <c r="O3057" s="257" t="s">
        <v>12296</v>
      </c>
      <c r="P3057" s="17">
        <v>618</v>
      </c>
      <c r="Q3057" s="242">
        <f t="shared" si="165"/>
        <v>1.83</v>
      </c>
      <c r="R3057" s="18">
        <v>2.2000000000000002</v>
      </c>
      <c r="S3057" s="18">
        <v>4.03</v>
      </c>
    </row>
    <row r="3058" spans="1:19" x14ac:dyDescent="0.25">
      <c r="A3058" s="1">
        <v>724</v>
      </c>
      <c r="B3058" s="1" t="s">
        <v>14579</v>
      </c>
      <c r="C3058" s="1" t="s">
        <v>14580</v>
      </c>
      <c r="D3058" s="1" t="s">
        <v>12833</v>
      </c>
      <c r="E3058" s="1" t="s">
        <v>1899</v>
      </c>
      <c r="F3058" s="1">
        <v>2018</v>
      </c>
      <c r="H3058" s="1" t="s">
        <v>2963</v>
      </c>
      <c r="I3058" s="16" t="s">
        <v>1879</v>
      </c>
      <c r="J3058" s="1" t="s">
        <v>14581</v>
      </c>
      <c r="K3058" s="1" t="s">
        <v>1881</v>
      </c>
      <c r="L3058" s="16" t="s">
        <v>14582</v>
      </c>
      <c r="M3058" s="1">
        <v>324</v>
      </c>
      <c r="O3058" s="257" t="s">
        <v>12297</v>
      </c>
      <c r="P3058" s="17">
        <v>585</v>
      </c>
      <c r="Q3058" s="242">
        <f t="shared" si="165"/>
        <v>7.79</v>
      </c>
      <c r="R3058" s="18">
        <v>2.2000000000000002</v>
      </c>
      <c r="S3058" s="18">
        <v>9.99</v>
      </c>
    </row>
    <row r="3059" spans="1:19" x14ac:dyDescent="0.25">
      <c r="A3059" s="1">
        <v>765</v>
      </c>
      <c r="B3059" s="1" t="s">
        <v>2097</v>
      </c>
      <c r="C3059" s="1" t="s">
        <v>14583</v>
      </c>
      <c r="D3059" s="1" t="s">
        <v>2368</v>
      </c>
      <c r="F3059" s="1">
        <v>2011</v>
      </c>
      <c r="H3059" s="1" t="s">
        <v>1878</v>
      </c>
      <c r="I3059" s="16" t="s">
        <v>1879</v>
      </c>
      <c r="K3059" s="1" t="s">
        <v>1881</v>
      </c>
      <c r="L3059" s="16" t="s">
        <v>14584</v>
      </c>
      <c r="M3059" s="1">
        <v>302</v>
      </c>
      <c r="O3059" s="257" t="s">
        <v>12298</v>
      </c>
      <c r="P3059" s="17">
        <v>343</v>
      </c>
      <c r="Q3059" s="242">
        <f t="shared" si="165"/>
        <v>1.67</v>
      </c>
      <c r="R3059" s="18">
        <v>2.2000000000000002</v>
      </c>
      <c r="S3059" s="18">
        <v>3.87</v>
      </c>
    </row>
    <row r="3060" spans="1:19" x14ac:dyDescent="0.25">
      <c r="O3060" s="257" t="s">
        <v>12299</v>
      </c>
      <c r="Q3060" s="242">
        <f t="shared" si="165"/>
        <v>-2.2000000000000002</v>
      </c>
      <c r="R3060" s="199">
        <v>2.2000000000000002</v>
      </c>
    </row>
    <row r="3061" spans="1:19" x14ac:dyDescent="0.25">
      <c r="O3061" s="257" t="s">
        <v>12300</v>
      </c>
      <c r="Q3061" s="242">
        <f t="shared" si="165"/>
        <v>-2.2000000000000002</v>
      </c>
      <c r="R3061" s="199">
        <v>2.2000000000000002</v>
      </c>
    </row>
    <row r="3062" spans="1:19" x14ac:dyDescent="0.25">
      <c r="O3062" s="257" t="s">
        <v>12301</v>
      </c>
      <c r="Q3062" s="242">
        <f t="shared" si="165"/>
        <v>-2.2000000000000002</v>
      </c>
      <c r="R3062" s="199">
        <v>2.2000000000000002</v>
      </c>
    </row>
    <row r="3063" spans="1:19" x14ac:dyDescent="0.25">
      <c r="O3063" s="257" t="s">
        <v>12302</v>
      </c>
      <c r="Q3063" s="242">
        <f t="shared" si="165"/>
        <v>-2.2000000000000002</v>
      </c>
      <c r="R3063" s="199">
        <v>2.2000000000000002</v>
      </c>
    </row>
    <row r="3064" spans="1:19" x14ac:dyDescent="0.25">
      <c r="O3064" s="257" t="s">
        <v>12303</v>
      </c>
      <c r="Q3064" s="242">
        <f t="shared" si="165"/>
        <v>-2.2000000000000002</v>
      </c>
      <c r="R3064" s="199">
        <v>2.2000000000000002</v>
      </c>
    </row>
    <row r="3065" spans="1:19" x14ac:dyDescent="0.25">
      <c r="O3065" s="257" t="s">
        <v>12304</v>
      </c>
      <c r="Q3065" s="242">
        <f t="shared" si="165"/>
        <v>-2.2000000000000002</v>
      </c>
      <c r="R3065" s="199">
        <v>2.2000000000000002</v>
      </c>
    </row>
    <row r="3066" spans="1:19" x14ac:dyDescent="0.25">
      <c r="O3066" s="257" t="s">
        <v>12305</v>
      </c>
      <c r="Q3066" s="242">
        <f t="shared" si="165"/>
        <v>-2.2000000000000002</v>
      </c>
      <c r="R3066" s="199">
        <v>2.2000000000000002</v>
      </c>
    </row>
    <row r="3067" spans="1:19" x14ac:dyDescent="0.25">
      <c r="O3067" s="257" t="s">
        <v>12306</v>
      </c>
      <c r="Q3067" s="242">
        <f t="shared" si="165"/>
        <v>-2.2000000000000002</v>
      </c>
      <c r="R3067" s="199">
        <v>2.2000000000000002</v>
      </c>
    </row>
    <row r="3068" spans="1:19" x14ac:dyDescent="0.25">
      <c r="O3068" s="257" t="s">
        <v>12307</v>
      </c>
      <c r="Q3068" s="242">
        <f t="shared" si="165"/>
        <v>-2.2000000000000002</v>
      </c>
      <c r="R3068" s="199">
        <v>2.2000000000000002</v>
      </c>
    </row>
    <row r="3069" spans="1:19" x14ac:dyDescent="0.25">
      <c r="O3069" s="257" t="s">
        <v>12308</v>
      </c>
      <c r="Q3069" s="242">
        <f t="shared" si="165"/>
        <v>-2.2000000000000002</v>
      </c>
      <c r="R3069" s="199">
        <v>2.2000000000000002</v>
      </c>
    </row>
    <row r="3070" spans="1:19" x14ac:dyDescent="0.25">
      <c r="O3070" s="257" t="s">
        <v>12309</v>
      </c>
      <c r="Q3070" s="242">
        <f t="shared" si="165"/>
        <v>-2.2000000000000002</v>
      </c>
      <c r="R3070" s="199">
        <v>2.2000000000000002</v>
      </c>
    </row>
    <row r="3071" spans="1:19" x14ac:dyDescent="0.25">
      <c r="O3071" s="257" t="s">
        <v>12310</v>
      </c>
      <c r="Q3071" s="242">
        <f t="shared" si="165"/>
        <v>-2.2000000000000002</v>
      </c>
      <c r="R3071" s="199">
        <v>2.2000000000000002</v>
      </c>
    </row>
    <row r="3072" spans="1:19" x14ac:dyDescent="0.25">
      <c r="O3072" s="257" t="s">
        <v>12311</v>
      </c>
      <c r="Q3072" s="242">
        <f t="shared" si="165"/>
        <v>-2.2000000000000002</v>
      </c>
      <c r="R3072" s="199">
        <v>2.2000000000000002</v>
      </c>
    </row>
    <row r="3073" spans="1:19" x14ac:dyDescent="0.25">
      <c r="O3073" s="257" t="s">
        <v>12312</v>
      </c>
      <c r="Q3073" s="242">
        <f t="shared" si="165"/>
        <v>-2.2000000000000002</v>
      </c>
      <c r="R3073" s="199">
        <v>2.2000000000000002</v>
      </c>
    </row>
    <row r="3074" spans="1:19" x14ac:dyDescent="0.25">
      <c r="O3074" s="257" t="s">
        <v>12313</v>
      </c>
      <c r="Q3074" s="242">
        <f t="shared" si="165"/>
        <v>-2.2000000000000002</v>
      </c>
      <c r="R3074" s="199">
        <v>2.2000000000000002</v>
      </c>
    </row>
    <row r="3075" spans="1:19" x14ac:dyDescent="0.25">
      <c r="O3075" s="257" t="s">
        <v>12314</v>
      </c>
      <c r="Q3075" s="242">
        <f t="shared" si="165"/>
        <v>-2.2000000000000002</v>
      </c>
      <c r="R3075" s="199">
        <v>2.2000000000000002</v>
      </c>
    </row>
    <row r="3076" spans="1:19" x14ac:dyDescent="0.25">
      <c r="O3076" s="257" t="s">
        <v>12315</v>
      </c>
      <c r="Q3076" s="242">
        <f t="shared" si="165"/>
        <v>-2.2000000000000002</v>
      </c>
      <c r="R3076" s="199">
        <v>2.2000000000000002</v>
      </c>
    </row>
    <row r="3077" spans="1:19" x14ac:dyDescent="0.25">
      <c r="O3077" s="257" t="s">
        <v>12316</v>
      </c>
      <c r="Q3077" s="242">
        <f t="shared" si="165"/>
        <v>-2.2000000000000002</v>
      </c>
      <c r="R3077" s="199">
        <v>2.2000000000000002</v>
      </c>
    </row>
    <row r="3078" spans="1:19" x14ac:dyDescent="0.25">
      <c r="O3078" s="257" t="s">
        <v>12317</v>
      </c>
      <c r="Q3078" s="242">
        <f t="shared" si="165"/>
        <v>-2.2000000000000002</v>
      </c>
      <c r="R3078" s="199">
        <v>2.2000000000000002</v>
      </c>
    </row>
    <row r="3079" spans="1:19" x14ac:dyDescent="0.25">
      <c r="O3079" s="257" t="s">
        <v>12318</v>
      </c>
      <c r="Q3079" s="242">
        <f t="shared" si="165"/>
        <v>-2.2000000000000002</v>
      </c>
      <c r="R3079" s="199">
        <v>2.2000000000000002</v>
      </c>
    </row>
    <row r="3080" spans="1:19" x14ac:dyDescent="0.25">
      <c r="O3080" s="257" t="s">
        <v>12319</v>
      </c>
      <c r="Q3080" s="242">
        <f t="shared" si="165"/>
        <v>-2.2000000000000002</v>
      </c>
      <c r="R3080" s="199">
        <v>2.2000000000000002</v>
      </c>
    </row>
    <row r="3081" spans="1:19" x14ac:dyDescent="0.25">
      <c r="A3081" s="282">
        <v>1395</v>
      </c>
      <c r="B3081" s="282" t="s">
        <v>5996</v>
      </c>
      <c r="C3081" s="282" t="s">
        <v>14533</v>
      </c>
      <c r="D3081" s="282" t="s">
        <v>2609</v>
      </c>
      <c r="E3081" s="282" t="s">
        <v>1877</v>
      </c>
      <c r="F3081" s="282">
        <v>2005</v>
      </c>
      <c r="H3081" s="282" t="s">
        <v>1878</v>
      </c>
      <c r="I3081" s="16" t="s">
        <v>1879</v>
      </c>
      <c r="K3081" s="1" t="s">
        <v>1881</v>
      </c>
      <c r="L3081" s="16" t="s">
        <v>14534</v>
      </c>
      <c r="M3081" s="1">
        <v>320</v>
      </c>
      <c r="O3081" s="257" t="s">
        <v>12320</v>
      </c>
      <c r="P3081" s="17">
        <v>281</v>
      </c>
      <c r="Q3081" s="242">
        <f t="shared" si="165"/>
        <v>1.21</v>
      </c>
      <c r="R3081" s="199">
        <v>2.2000000000000002</v>
      </c>
      <c r="S3081" s="18">
        <v>3.41</v>
      </c>
    </row>
    <row r="3082" spans="1:19" x14ac:dyDescent="0.25">
      <c r="A3082" s="1">
        <v>1395</v>
      </c>
      <c r="B3082" s="1" t="s">
        <v>2695</v>
      </c>
      <c r="C3082" s="1" t="s">
        <v>2696</v>
      </c>
      <c r="D3082" s="1" t="s">
        <v>2609</v>
      </c>
      <c r="F3082" s="1">
        <v>1997</v>
      </c>
      <c r="H3082" s="282" t="s">
        <v>1878</v>
      </c>
      <c r="I3082" s="279" t="s">
        <v>1879</v>
      </c>
      <c r="J3082" s="182"/>
      <c r="K3082" s="182" t="s">
        <v>1881</v>
      </c>
      <c r="L3082" s="16" t="s">
        <v>2697</v>
      </c>
      <c r="M3082" s="1">
        <v>144</v>
      </c>
      <c r="O3082" s="257" t="s">
        <v>12321</v>
      </c>
      <c r="P3082" s="17">
        <v>161</v>
      </c>
      <c r="Q3082" s="242">
        <f t="shared" si="165"/>
        <v>0.69</v>
      </c>
      <c r="R3082" s="199">
        <v>2.2000000000000002</v>
      </c>
      <c r="S3082" s="18">
        <v>2.89</v>
      </c>
    </row>
    <row r="3083" spans="1:19" x14ac:dyDescent="0.25">
      <c r="A3083" s="1">
        <v>2851</v>
      </c>
      <c r="B3083" s="1" t="s">
        <v>14535</v>
      </c>
      <c r="C3083" s="1" t="s">
        <v>14536</v>
      </c>
      <c r="D3083" s="1" t="s">
        <v>2300</v>
      </c>
      <c r="E3083" s="282" t="s">
        <v>1913</v>
      </c>
      <c r="F3083" s="1">
        <v>1991</v>
      </c>
      <c r="H3083" s="282" t="s">
        <v>1878</v>
      </c>
      <c r="I3083" s="279" t="s">
        <v>1879</v>
      </c>
      <c r="J3083" s="182"/>
      <c r="K3083" s="182" t="s">
        <v>1881</v>
      </c>
      <c r="L3083" s="16" t="s">
        <v>14537</v>
      </c>
      <c r="M3083" s="1">
        <v>304</v>
      </c>
      <c r="O3083" s="257" t="s">
        <v>12322</v>
      </c>
      <c r="P3083" s="17">
        <v>355</v>
      </c>
      <c r="Q3083" s="242">
        <f t="shared" si="165"/>
        <v>1.2999999999999998</v>
      </c>
      <c r="R3083" s="199">
        <v>2.2000000000000002</v>
      </c>
      <c r="S3083" s="18">
        <v>3.5</v>
      </c>
    </row>
    <row r="3084" spans="1:19" x14ac:dyDescent="0.25">
      <c r="A3084" s="282">
        <v>1325</v>
      </c>
      <c r="B3084" s="282" t="s">
        <v>14538</v>
      </c>
      <c r="C3084" s="282" t="s">
        <v>14539</v>
      </c>
      <c r="D3084" s="282" t="s">
        <v>9307</v>
      </c>
      <c r="F3084" s="282">
        <v>2008</v>
      </c>
      <c r="H3084" s="282" t="s">
        <v>1878</v>
      </c>
      <c r="I3084" s="279" t="s">
        <v>1879</v>
      </c>
      <c r="J3084" s="182"/>
      <c r="K3084" s="182" t="s">
        <v>1881</v>
      </c>
      <c r="L3084" s="16" t="s">
        <v>14540</v>
      </c>
      <c r="M3084" s="282">
        <v>96</v>
      </c>
      <c r="O3084" s="257" t="s">
        <v>12323</v>
      </c>
      <c r="P3084" s="17">
        <v>139</v>
      </c>
      <c r="Q3084" s="242">
        <f t="shared" si="165"/>
        <v>1</v>
      </c>
      <c r="R3084" s="199">
        <v>2.2000000000000002</v>
      </c>
      <c r="S3084" s="18">
        <v>3.2</v>
      </c>
    </row>
    <row r="3085" spans="1:19" x14ac:dyDescent="0.25">
      <c r="A3085" s="282">
        <v>765</v>
      </c>
      <c r="B3085" s="282" t="s">
        <v>14541</v>
      </c>
      <c r="C3085" s="282" t="s">
        <v>14542</v>
      </c>
      <c r="D3085" s="282" t="s">
        <v>14543</v>
      </c>
      <c r="E3085" s="282" t="s">
        <v>1877</v>
      </c>
      <c r="F3085" s="282">
        <v>2010</v>
      </c>
      <c r="H3085" s="282" t="s">
        <v>1878</v>
      </c>
      <c r="I3085" s="279" t="s">
        <v>1879</v>
      </c>
      <c r="J3085" s="182"/>
      <c r="K3085" s="182" t="s">
        <v>1881</v>
      </c>
      <c r="L3085" s="16" t="s">
        <v>14544</v>
      </c>
      <c r="M3085" s="282">
        <v>176</v>
      </c>
      <c r="O3085" s="257" t="s">
        <v>12324</v>
      </c>
      <c r="P3085" s="17">
        <v>241</v>
      </c>
      <c r="Q3085" s="242">
        <f t="shared" si="165"/>
        <v>2.0099999999999998</v>
      </c>
      <c r="R3085" s="199">
        <v>2.2000000000000002</v>
      </c>
      <c r="S3085" s="18">
        <v>4.21</v>
      </c>
    </row>
    <row r="3086" spans="1:19" x14ac:dyDescent="0.25">
      <c r="A3086" s="282">
        <v>2851</v>
      </c>
      <c r="B3086" s="282" t="s">
        <v>14545</v>
      </c>
      <c r="C3086" s="282" t="s">
        <v>14546</v>
      </c>
      <c r="D3086" s="282" t="s">
        <v>2609</v>
      </c>
      <c r="F3086" s="282">
        <v>2009</v>
      </c>
      <c r="H3086" s="282" t="s">
        <v>1878</v>
      </c>
      <c r="I3086" s="279" t="s">
        <v>1879</v>
      </c>
      <c r="J3086" s="182"/>
      <c r="K3086" s="182" t="s">
        <v>1881</v>
      </c>
      <c r="L3086" s="16" t="s">
        <v>14547</v>
      </c>
      <c r="M3086" s="282">
        <v>256</v>
      </c>
      <c r="O3086" s="257" t="s">
        <v>12325</v>
      </c>
      <c r="P3086" s="17">
        <v>263</v>
      </c>
      <c r="Q3086" s="242">
        <f t="shared" si="165"/>
        <v>2.0999999999999996</v>
      </c>
      <c r="R3086" s="199">
        <v>2.2000000000000002</v>
      </c>
      <c r="S3086" s="18">
        <v>4.3</v>
      </c>
    </row>
    <row r="3087" spans="1:19" x14ac:dyDescent="0.25">
      <c r="A3087" s="282">
        <v>1327</v>
      </c>
      <c r="B3087" s="282" t="s">
        <v>14548</v>
      </c>
      <c r="C3087" s="282" t="s">
        <v>14549</v>
      </c>
      <c r="D3087" s="282" t="s">
        <v>14550</v>
      </c>
      <c r="F3087" s="282">
        <v>1986</v>
      </c>
      <c r="H3087" s="282" t="s">
        <v>1878</v>
      </c>
      <c r="I3087" s="16" t="s">
        <v>1914</v>
      </c>
      <c r="K3087" s="282" t="s">
        <v>1881</v>
      </c>
      <c r="L3087" s="16" t="s">
        <v>14551</v>
      </c>
      <c r="M3087" s="282">
        <v>120</v>
      </c>
      <c r="O3087" s="257" t="s">
        <v>12326</v>
      </c>
      <c r="P3087" s="17">
        <v>140</v>
      </c>
      <c r="Q3087" s="242">
        <f t="shared" si="165"/>
        <v>1.2999999999999998</v>
      </c>
      <c r="R3087" s="199">
        <v>2.2000000000000002</v>
      </c>
      <c r="S3087" s="18">
        <v>3.5</v>
      </c>
    </row>
    <row r="3088" spans="1:19" x14ac:dyDescent="0.25">
      <c r="A3088" s="282">
        <v>2851</v>
      </c>
      <c r="B3088" s="282" t="s">
        <v>14552</v>
      </c>
      <c r="C3088" s="282" t="s">
        <v>14553</v>
      </c>
      <c r="D3088" s="282" t="s">
        <v>2054</v>
      </c>
      <c r="F3088" s="282">
        <v>2002</v>
      </c>
      <c r="H3088" s="282" t="s">
        <v>1878</v>
      </c>
      <c r="I3088" s="16" t="s">
        <v>1879</v>
      </c>
      <c r="K3088" s="282" t="s">
        <v>1881</v>
      </c>
      <c r="L3088" s="16" t="s">
        <v>14554</v>
      </c>
      <c r="M3088" s="282">
        <v>322</v>
      </c>
      <c r="O3088" s="257" t="s">
        <v>12327</v>
      </c>
      <c r="P3088" s="17">
        <v>369</v>
      </c>
      <c r="Q3088" s="242">
        <f t="shared" si="165"/>
        <v>1.79</v>
      </c>
      <c r="R3088" s="199">
        <v>2.2000000000000002</v>
      </c>
      <c r="S3088" s="18">
        <v>3.99</v>
      </c>
    </row>
    <row r="3089" spans="1:19" x14ac:dyDescent="0.25">
      <c r="A3089" s="282">
        <v>2547</v>
      </c>
      <c r="B3089" s="282" t="s">
        <v>13933</v>
      </c>
      <c r="C3089" s="282" t="s">
        <v>14555</v>
      </c>
      <c r="D3089" s="282" t="s">
        <v>2609</v>
      </c>
      <c r="F3089" s="282">
        <v>2009</v>
      </c>
      <c r="H3089" s="282" t="s">
        <v>1878</v>
      </c>
      <c r="I3089" s="279" t="s">
        <v>1914</v>
      </c>
      <c r="J3089" s="182"/>
      <c r="K3089" s="282" t="s">
        <v>1881</v>
      </c>
      <c r="L3089" s="16" t="s">
        <v>14556</v>
      </c>
      <c r="M3089" s="282">
        <v>704</v>
      </c>
      <c r="O3089" s="257" t="s">
        <v>12328</v>
      </c>
      <c r="P3089" s="17">
        <v>534</v>
      </c>
      <c r="Q3089" s="242">
        <f t="shared" si="165"/>
        <v>2.04</v>
      </c>
      <c r="R3089" s="199">
        <v>2.2000000000000002</v>
      </c>
      <c r="S3089" s="18">
        <v>4.24</v>
      </c>
    </row>
    <row r="3090" spans="1:19" x14ac:dyDescent="0.25">
      <c r="A3090" s="282">
        <v>2551</v>
      </c>
      <c r="B3090" s="282" t="s">
        <v>9425</v>
      </c>
      <c r="C3090" s="282" t="s">
        <v>14557</v>
      </c>
      <c r="D3090" s="282" t="s">
        <v>1920</v>
      </c>
      <c r="F3090" s="282">
        <v>2003</v>
      </c>
      <c r="H3090" s="282" t="s">
        <v>1878</v>
      </c>
      <c r="I3090" s="279" t="s">
        <v>1914</v>
      </c>
      <c r="J3090" s="182"/>
      <c r="K3090" s="282" t="s">
        <v>1881</v>
      </c>
      <c r="L3090" s="16" t="s">
        <v>14558</v>
      </c>
      <c r="M3090" s="282">
        <v>320</v>
      </c>
      <c r="O3090" s="257" t="s">
        <v>12329</v>
      </c>
      <c r="P3090" s="17">
        <v>349</v>
      </c>
      <c r="Q3090" s="242">
        <f t="shared" si="165"/>
        <v>1.79</v>
      </c>
      <c r="R3090" s="199">
        <v>2.2000000000000002</v>
      </c>
      <c r="S3090" s="18">
        <v>3.99</v>
      </c>
    </row>
    <row r="3091" spans="1:19" x14ac:dyDescent="0.25">
      <c r="O3091" s="257" t="s">
        <v>12330</v>
      </c>
    </row>
    <row r="3092" spans="1:19" x14ac:dyDescent="0.25">
      <c r="O3092" s="257" t="s">
        <v>12331</v>
      </c>
    </row>
    <row r="3093" spans="1:19" x14ac:dyDescent="0.25">
      <c r="O3093" s="257" t="s">
        <v>12332</v>
      </c>
    </row>
    <row r="3094" spans="1:19" x14ac:dyDescent="0.25">
      <c r="O3094" s="257" t="s">
        <v>12333</v>
      </c>
    </row>
    <row r="3095" spans="1:19" x14ac:dyDescent="0.25">
      <c r="O3095" s="257" t="s">
        <v>12334</v>
      </c>
    </row>
    <row r="3096" spans="1:19" x14ac:dyDescent="0.25">
      <c r="O3096" s="257" t="s">
        <v>12335</v>
      </c>
    </row>
    <row r="3097" spans="1:19" x14ac:dyDescent="0.25">
      <c r="O3097" s="257" t="s">
        <v>12336</v>
      </c>
    </row>
    <row r="3098" spans="1:19" x14ac:dyDescent="0.25">
      <c r="O3098" s="257" t="s">
        <v>12337</v>
      </c>
    </row>
    <row r="3099" spans="1:19" x14ac:dyDescent="0.25">
      <c r="O3099" s="257" t="s">
        <v>12338</v>
      </c>
    </row>
    <row r="3100" spans="1:19" x14ac:dyDescent="0.25">
      <c r="O3100" s="257" t="s">
        <v>12339</v>
      </c>
    </row>
    <row r="3101" spans="1:19" x14ac:dyDescent="0.25">
      <c r="O3101" s="257" t="s">
        <v>12340</v>
      </c>
    </row>
    <row r="3102" spans="1:19" x14ac:dyDescent="0.25">
      <c r="O3102" s="257" t="s">
        <v>12341</v>
      </c>
    </row>
    <row r="3103" spans="1:19" x14ac:dyDescent="0.25">
      <c r="O3103" s="257" t="s">
        <v>12342</v>
      </c>
    </row>
    <row r="3104" spans="1:19" x14ac:dyDescent="0.25">
      <c r="O3104" s="257" t="s">
        <v>12343</v>
      </c>
    </row>
    <row r="3105" spans="15:15" x14ac:dyDescent="0.25">
      <c r="O3105" s="257" t="s">
        <v>12344</v>
      </c>
    </row>
    <row r="3106" spans="15:15" x14ac:dyDescent="0.25">
      <c r="O3106" s="257" t="s">
        <v>12345</v>
      </c>
    </row>
    <row r="3107" spans="15:15" x14ac:dyDescent="0.25">
      <c r="O3107" s="257" t="s">
        <v>12346</v>
      </c>
    </row>
    <row r="3108" spans="15:15" x14ac:dyDescent="0.25">
      <c r="O3108" s="257" t="s">
        <v>12347</v>
      </c>
    </row>
    <row r="3109" spans="15:15" x14ac:dyDescent="0.25">
      <c r="O3109" s="257" t="s">
        <v>12348</v>
      </c>
    </row>
    <row r="3110" spans="15:15" x14ac:dyDescent="0.25">
      <c r="O3110" s="257" t="s">
        <v>12349</v>
      </c>
    </row>
    <row r="3111" spans="15:15" x14ac:dyDescent="0.25">
      <c r="O3111" s="257" t="s">
        <v>12350</v>
      </c>
    </row>
    <row r="3112" spans="15:15" x14ac:dyDescent="0.25">
      <c r="O3112" s="257" t="s">
        <v>12351</v>
      </c>
    </row>
    <row r="3113" spans="15:15" x14ac:dyDescent="0.25">
      <c r="O3113" s="257" t="s">
        <v>12352</v>
      </c>
    </row>
    <row r="3114" spans="15:15" x14ac:dyDescent="0.25">
      <c r="O3114" s="257" t="s">
        <v>12353</v>
      </c>
    </row>
    <row r="3115" spans="15:15" x14ac:dyDescent="0.25">
      <c r="O3115" s="257" t="s">
        <v>12354</v>
      </c>
    </row>
    <row r="3116" spans="15:15" x14ac:dyDescent="0.25">
      <c r="O3116" s="257" t="s">
        <v>12355</v>
      </c>
    </row>
    <row r="3117" spans="15:15" x14ac:dyDescent="0.25">
      <c r="O3117" s="257" t="s">
        <v>12356</v>
      </c>
    </row>
    <row r="3118" spans="15:15" x14ac:dyDescent="0.25">
      <c r="O3118" s="257" t="s">
        <v>12357</v>
      </c>
    </row>
    <row r="3119" spans="15:15" x14ac:dyDescent="0.25">
      <c r="O3119" s="257" t="s">
        <v>12358</v>
      </c>
    </row>
    <row r="3120" spans="15:15" x14ac:dyDescent="0.25">
      <c r="O3120" s="257" t="s">
        <v>12359</v>
      </c>
    </row>
    <row r="3121" spans="15:15" x14ac:dyDescent="0.25">
      <c r="O3121" s="257" t="s">
        <v>12360</v>
      </c>
    </row>
    <row r="3122" spans="15:15" x14ac:dyDescent="0.25">
      <c r="O3122" s="257" t="s">
        <v>12361</v>
      </c>
    </row>
    <row r="3123" spans="15:15" x14ac:dyDescent="0.25">
      <c r="O3123" s="257" t="s">
        <v>12362</v>
      </c>
    </row>
    <row r="3124" spans="15:15" x14ac:dyDescent="0.25">
      <c r="O3124" s="257" t="s">
        <v>12363</v>
      </c>
    </row>
    <row r="3125" spans="15:15" x14ac:dyDescent="0.25">
      <c r="O3125" s="257" t="s">
        <v>12364</v>
      </c>
    </row>
    <row r="3126" spans="15:15" x14ac:dyDescent="0.25">
      <c r="O3126" s="257" t="s">
        <v>12365</v>
      </c>
    </row>
    <row r="3127" spans="15:15" x14ac:dyDescent="0.25">
      <c r="O3127" s="257" t="s">
        <v>12366</v>
      </c>
    </row>
    <row r="3128" spans="15:15" x14ac:dyDescent="0.25">
      <c r="O3128" s="257" t="s">
        <v>12367</v>
      </c>
    </row>
    <row r="3129" spans="15:15" x14ac:dyDescent="0.25">
      <c r="O3129" s="257" t="s">
        <v>12368</v>
      </c>
    </row>
    <row r="3130" spans="15:15" x14ac:dyDescent="0.25">
      <c r="O3130" s="257" t="s">
        <v>12369</v>
      </c>
    </row>
    <row r="3131" spans="15:15" x14ac:dyDescent="0.25">
      <c r="O3131" s="257" t="s">
        <v>12370</v>
      </c>
    </row>
    <row r="3132" spans="15:15" x14ac:dyDescent="0.25">
      <c r="O3132" s="257" t="s">
        <v>12371</v>
      </c>
    </row>
    <row r="3133" spans="15:15" x14ac:dyDescent="0.25">
      <c r="O3133" s="257" t="s">
        <v>12372</v>
      </c>
    </row>
    <row r="3134" spans="15:15" x14ac:dyDescent="0.25">
      <c r="O3134" s="257" t="s">
        <v>12373</v>
      </c>
    </row>
    <row r="3135" spans="15:15" x14ac:dyDescent="0.25">
      <c r="O3135" s="257" t="s">
        <v>12374</v>
      </c>
    </row>
    <row r="3136" spans="15:15" x14ac:dyDescent="0.25">
      <c r="O3136" s="257" t="s">
        <v>12375</v>
      </c>
    </row>
    <row r="3137" spans="15:15" x14ac:dyDescent="0.25">
      <c r="O3137" s="257" t="s">
        <v>12376</v>
      </c>
    </row>
    <row r="3138" spans="15:15" x14ac:dyDescent="0.25">
      <c r="O3138" s="257" t="s">
        <v>12377</v>
      </c>
    </row>
    <row r="3139" spans="15:15" x14ac:dyDescent="0.25">
      <c r="O3139" s="257" t="s">
        <v>12378</v>
      </c>
    </row>
    <row r="3140" spans="15:15" x14ac:dyDescent="0.25">
      <c r="O3140" s="257" t="s">
        <v>12379</v>
      </c>
    </row>
    <row r="3141" spans="15:15" x14ac:dyDescent="0.25">
      <c r="O3141" s="257" t="s">
        <v>12380</v>
      </c>
    </row>
    <row r="3142" spans="15:15" x14ac:dyDescent="0.25">
      <c r="O3142" s="257" t="s">
        <v>12381</v>
      </c>
    </row>
    <row r="3143" spans="15:15" x14ac:dyDescent="0.25">
      <c r="O3143" s="257" t="s">
        <v>12382</v>
      </c>
    </row>
    <row r="3144" spans="15:15" x14ac:dyDescent="0.25">
      <c r="O3144" s="257" t="s">
        <v>12383</v>
      </c>
    </row>
    <row r="3145" spans="15:15" x14ac:dyDescent="0.25">
      <c r="O3145" s="257" t="s">
        <v>12384</v>
      </c>
    </row>
    <row r="3146" spans="15:15" x14ac:dyDescent="0.25">
      <c r="O3146" s="257" t="s">
        <v>12385</v>
      </c>
    </row>
    <row r="3147" spans="15:15" x14ac:dyDescent="0.25">
      <c r="O3147" s="257" t="s">
        <v>12386</v>
      </c>
    </row>
    <row r="3148" spans="15:15" x14ac:dyDescent="0.25">
      <c r="O3148" s="257" t="s">
        <v>12387</v>
      </c>
    </row>
    <row r="3149" spans="15:15" x14ac:dyDescent="0.25">
      <c r="O3149" s="257" t="s">
        <v>12388</v>
      </c>
    </row>
    <row r="3150" spans="15:15" x14ac:dyDescent="0.25">
      <c r="O3150" s="257" t="s">
        <v>12389</v>
      </c>
    </row>
    <row r="3151" spans="15:15" x14ac:dyDescent="0.25">
      <c r="O3151" s="257" t="s">
        <v>12390</v>
      </c>
    </row>
    <row r="3152" spans="15:15" x14ac:dyDescent="0.25">
      <c r="O3152" s="257" t="s">
        <v>12391</v>
      </c>
    </row>
    <row r="3153" spans="15:15" x14ac:dyDescent="0.25">
      <c r="O3153" s="257" t="s">
        <v>12392</v>
      </c>
    </row>
    <row r="3154" spans="15:15" x14ac:dyDescent="0.25">
      <c r="O3154" s="257" t="s">
        <v>12393</v>
      </c>
    </row>
    <row r="3155" spans="15:15" x14ac:dyDescent="0.25">
      <c r="O3155" s="257" t="s">
        <v>12394</v>
      </c>
    </row>
    <row r="3156" spans="15:15" x14ac:dyDescent="0.25">
      <c r="O3156" s="257" t="s">
        <v>12395</v>
      </c>
    </row>
    <row r="3157" spans="15:15" x14ac:dyDescent="0.25">
      <c r="O3157" s="257" t="s">
        <v>12396</v>
      </c>
    </row>
    <row r="3158" spans="15:15" x14ac:dyDescent="0.25">
      <c r="O3158" s="257" t="s">
        <v>12397</v>
      </c>
    </row>
    <row r="3159" spans="15:15" x14ac:dyDescent="0.25">
      <c r="O3159" s="257" t="s">
        <v>12398</v>
      </c>
    </row>
    <row r="3160" spans="15:15" x14ac:dyDescent="0.25">
      <c r="O3160" s="257" t="s">
        <v>12399</v>
      </c>
    </row>
    <row r="3161" spans="15:15" x14ac:dyDescent="0.25">
      <c r="O3161" s="257" t="s">
        <v>12400</v>
      </c>
    </row>
    <row r="3162" spans="15:15" x14ac:dyDescent="0.25">
      <c r="O3162" s="257" t="s">
        <v>12401</v>
      </c>
    </row>
    <row r="3163" spans="15:15" x14ac:dyDescent="0.25">
      <c r="O3163" s="257" t="s">
        <v>12402</v>
      </c>
    </row>
    <row r="3164" spans="15:15" x14ac:dyDescent="0.25">
      <c r="O3164" s="257" t="s">
        <v>12403</v>
      </c>
    </row>
    <row r="3165" spans="15:15" x14ac:dyDescent="0.25">
      <c r="O3165" s="257" t="s">
        <v>12404</v>
      </c>
    </row>
    <row r="3166" spans="15:15" x14ac:dyDescent="0.25">
      <c r="O3166" s="257" t="s">
        <v>12405</v>
      </c>
    </row>
    <row r="3167" spans="15:15" x14ac:dyDescent="0.25">
      <c r="O3167" s="257" t="s">
        <v>12406</v>
      </c>
    </row>
    <row r="3168" spans="15:15" x14ac:dyDescent="0.25">
      <c r="O3168" s="257" t="s">
        <v>12407</v>
      </c>
    </row>
    <row r="3169" spans="15:15" x14ac:dyDescent="0.25">
      <c r="O3169" s="257" t="s">
        <v>12408</v>
      </c>
    </row>
    <row r="3170" spans="15:15" x14ac:dyDescent="0.25">
      <c r="O3170" s="257" t="s">
        <v>12409</v>
      </c>
    </row>
    <row r="3171" spans="15:15" x14ac:dyDescent="0.25">
      <c r="O3171" s="257" t="s">
        <v>12410</v>
      </c>
    </row>
    <row r="3172" spans="15:15" x14ac:dyDescent="0.25">
      <c r="O3172" s="257" t="s">
        <v>12411</v>
      </c>
    </row>
    <row r="3173" spans="15:15" x14ac:dyDescent="0.25">
      <c r="O3173" s="257" t="s">
        <v>12412</v>
      </c>
    </row>
    <row r="3174" spans="15:15" x14ac:dyDescent="0.25">
      <c r="O3174" s="257" t="s">
        <v>12413</v>
      </c>
    </row>
    <row r="3175" spans="15:15" x14ac:dyDescent="0.25">
      <c r="O3175" s="257" t="s">
        <v>12414</v>
      </c>
    </row>
    <row r="3176" spans="15:15" x14ac:dyDescent="0.25">
      <c r="O3176" s="257" t="s">
        <v>12415</v>
      </c>
    </row>
    <row r="3177" spans="15:15" x14ac:dyDescent="0.25">
      <c r="O3177" s="257" t="s">
        <v>12416</v>
      </c>
    </row>
    <row r="3178" spans="15:15" x14ac:dyDescent="0.25">
      <c r="O3178" s="257" t="s">
        <v>12417</v>
      </c>
    </row>
    <row r="3179" spans="15:15" x14ac:dyDescent="0.25">
      <c r="O3179" s="257" t="s">
        <v>12418</v>
      </c>
    </row>
    <row r="3180" spans="15:15" x14ac:dyDescent="0.25">
      <c r="O3180" s="257" t="s">
        <v>12419</v>
      </c>
    </row>
    <row r="3181" spans="15:15" x14ac:dyDescent="0.25">
      <c r="O3181" s="257" t="s">
        <v>12420</v>
      </c>
    </row>
    <row r="3182" spans="15:15" x14ac:dyDescent="0.25">
      <c r="O3182" s="257" t="s">
        <v>12421</v>
      </c>
    </row>
    <row r="3183" spans="15:15" x14ac:dyDescent="0.25">
      <c r="O3183" s="257" t="s">
        <v>12422</v>
      </c>
    </row>
    <row r="3184" spans="15:15" x14ac:dyDescent="0.25">
      <c r="O3184" s="257" t="s">
        <v>12423</v>
      </c>
    </row>
    <row r="3185" spans="15:15" x14ac:dyDescent="0.25">
      <c r="O3185" s="257" t="s">
        <v>12424</v>
      </c>
    </row>
    <row r="3186" spans="15:15" x14ac:dyDescent="0.25">
      <c r="O3186" s="257" t="s">
        <v>12425</v>
      </c>
    </row>
    <row r="3187" spans="15:15" x14ac:dyDescent="0.25">
      <c r="O3187" s="257" t="s">
        <v>12426</v>
      </c>
    </row>
    <row r="3188" spans="15:15" x14ac:dyDescent="0.25">
      <c r="O3188" s="257" t="s">
        <v>12427</v>
      </c>
    </row>
    <row r="3189" spans="15:15" x14ac:dyDescent="0.25">
      <c r="O3189" s="257" t="s">
        <v>12428</v>
      </c>
    </row>
    <row r="3190" spans="15:15" x14ac:dyDescent="0.25">
      <c r="O3190" s="257" t="s">
        <v>12429</v>
      </c>
    </row>
    <row r="3191" spans="15:15" x14ac:dyDescent="0.25">
      <c r="O3191" s="257" t="s">
        <v>12430</v>
      </c>
    </row>
    <row r="3192" spans="15:15" x14ac:dyDescent="0.25">
      <c r="O3192" s="257" t="s">
        <v>12431</v>
      </c>
    </row>
    <row r="3193" spans="15:15" x14ac:dyDescent="0.25">
      <c r="O3193" s="257" t="s">
        <v>12432</v>
      </c>
    </row>
    <row r="3194" spans="15:15" x14ac:dyDescent="0.25">
      <c r="O3194" s="257" t="s">
        <v>12433</v>
      </c>
    </row>
    <row r="3195" spans="15:15" x14ac:dyDescent="0.25">
      <c r="O3195" s="257" t="s">
        <v>12434</v>
      </c>
    </row>
    <row r="3196" spans="15:15" x14ac:dyDescent="0.25">
      <c r="O3196" s="257" t="s">
        <v>12435</v>
      </c>
    </row>
    <row r="3197" spans="15:15" x14ac:dyDescent="0.25">
      <c r="O3197" s="257" t="s">
        <v>12436</v>
      </c>
    </row>
    <row r="3198" spans="15:15" x14ac:dyDescent="0.25">
      <c r="O3198" s="257" t="s">
        <v>12437</v>
      </c>
    </row>
    <row r="3199" spans="15:15" x14ac:dyDescent="0.25">
      <c r="O3199" s="257" t="s">
        <v>12438</v>
      </c>
    </row>
    <row r="3200" spans="15:15" x14ac:dyDescent="0.25">
      <c r="O3200" s="257" t="s">
        <v>12439</v>
      </c>
    </row>
    <row r="3201" spans="15:15" x14ac:dyDescent="0.25">
      <c r="O3201" s="257" t="s">
        <v>12440</v>
      </c>
    </row>
    <row r="3202" spans="15:15" x14ac:dyDescent="0.25">
      <c r="O3202" s="257" t="s">
        <v>12441</v>
      </c>
    </row>
    <row r="3203" spans="15:15" x14ac:dyDescent="0.25">
      <c r="O3203" s="257" t="s">
        <v>12442</v>
      </c>
    </row>
    <row r="3204" spans="15:15" x14ac:dyDescent="0.25">
      <c r="O3204" s="257" t="s">
        <v>12443</v>
      </c>
    </row>
    <row r="3205" spans="15:15" x14ac:dyDescent="0.25">
      <c r="O3205" s="257" t="s">
        <v>12444</v>
      </c>
    </row>
    <row r="3206" spans="15:15" x14ac:dyDescent="0.25">
      <c r="O3206" s="257" t="s">
        <v>12445</v>
      </c>
    </row>
    <row r="3207" spans="15:15" x14ac:dyDescent="0.25">
      <c r="O3207" s="257" t="s">
        <v>12446</v>
      </c>
    </row>
    <row r="3208" spans="15:15" x14ac:dyDescent="0.25">
      <c r="O3208" s="257" t="s">
        <v>12447</v>
      </c>
    </row>
    <row r="3209" spans="15:15" x14ac:dyDescent="0.25">
      <c r="O3209" s="257" t="s">
        <v>12448</v>
      </c>
    </row>
    <row r="3210" spans="15:15" x14ac:dyDescent="0.25">
      <c r="O3210" s="257" t="s">
        <v>12449</v>
      </c>
    </row>
    <row r="3211" spans="15:15" x14ac:dyDescent="0.25">
      <c r="O3211" s="257" t="s">
        <v>12450</v>
      </c>
    </row>
    <row r="3212" spans="15:15" x14ac:dyDescent="0.25">
      <c r="O3212" s="257" t="s">
        <v>12451</v>
      </c>
    </row>
    <row r="3213" spans="15:15" x14ac:dyDescent="0.25">
      <c r="O3213" s="257" t="s">
        <v>12452</v>
      </c>
    </row>
    <row r="3214" spans="15:15" x14ac:dyDescent="0.25">
      <c r="O3214" s="257" t="s">
        <v>12453</v>
      </c>
    </row>
    <row r="3215" spans="15:15" x14ac:dyDescent="0.25">
      <c r="O3215" s="257" t="s">
        <v>12454</v>
      </c>
    </row>
    <row r="3216" spans="15:15" x14ac:dyDescent="0.25">
      <c r="O3216" s="257" t="s">
        <v>12455</v>
      </c>
    </row>
    <row r="3217" spans="15:15" x14ac:dyDescent="0.25">
      <c r="O3217" s="257" t="s">
        <v>12456</v>
      </c>
    </row>
    <row r="3218" spans="15:15" x14ac:dyDescent="0.25">
      <c r="O3218" s="257" t="s">
        <v>12457</v>
      </c>
    </row>
    <row r="3219" spans="15:15" x14ac:dyDescent="0.25">
      <c r="O3219" s="257" t="s">
        <v>12458</v>
      </c>
    </row>
    <row r="3220" spans="15:15" x14ac:dyDescent="0.25">
      <c r="O3220" s="257" t="s">
        <v>12459</v>
      </c>
    </row>
    <row r="3221" spans="15:15" x14ac:dyDescent="0.25">
      <c r="O3221" s="257" t="s">
        <v>12460</v>
      </c>
    </row>
    <row r="3222" spans="15:15" x14ac:dyDescent="0.25">
      <c r="O3222" s="257" t="s">
        <v>12461</v>
      </c>
    </row>
    <row r="3223" spans="15:15" x14ac:dyDescent="0.25">
      <c r="O3223" s="257" t="s">
        <v>12462</v>
      </c>
    </row>
    <row r="3224" spans="15:15" x14ac:dyDescent="0.25">
      <c r="O3224" s="257" t="s">
        <v>12463</v>
      </c>
    </row>
    <row r="3225" spans="15:15" x14ac:dyDescent="0.25">
      <c r="O3225" s="257" t="s">
        <v>12464</v>
      </c>
    </row>
    <row r="3226" spans="15:15" x14ac:dyDescent="0.25">
      <c r="O3226" s="257" t="s">
        <v>12465</v>
      </c>
    </row>
    <row r="3227" spans="15:15" x14ac:dyDescent="0.25">
      <c r="O3227" s="257" t="s">
        <v>12466</v>
      </c>
    </row>
    <row r="3228" spans="15:15" x14ac:dyDescent="0.25">
      <c r="O3228" s="257" t="s">
        <v>12467</v>
      </c>
    </row>
    <row r="3229" spans="15:15" x14ac:dyDescent="0.25">
      <c r="O3229" s="257" t="s">
        <v>12468</v>
      </c>
    </row>
    <row r="3230" spans="15:15" x14ac:dyDescent="0.25">
      <c r="O3230" s="257" t="s">
        <v>12469</v>
      </c>
    </row>
    <row r="3231" spans="15:15" x14ac:dyDescent="0.25">
      <c r="O3231" s="257" t="s">
        <v>12470</v>
      </c>
    </row>
    <row r="3232" spans="15:15" x14ac:dyDescent="0.25">
      <c r="O3232" s="257" t="s">
        <v>12471</v>
      </c>
    </row>
    <row r="3233" spans="15:15" x14ac:dyDescent="0.25">
      <c r="O3233" s="257" t="s">
        <v>12472</v>
      </c>
    </row>
    <row r="3234" spans="15:15" x14ac:dyDescent="0.25">
      <c r="O3234" s="257" t="s">
        <v>12473</v>
      </c>
    </row>
    <row r="3235" spans="15:15" x14ac:dyDescent="0.25">
      <c r="O3235" s="257" t="s">
        <v>12474</v>
      </c>
    </row>
    <row r="3236" spans="15:15" x14ac:dyDescent="0.25">
      <c r="O3236" s="257" t="s">
        <v>12475</v>
      </c>
    </row>
    <row r="3237" spans="15:15" x14ac:dyDescent="0.25">
      <c r="O3237" s="257" t="s">
        <v>12476</v>
      </c>
    </row>
    <row r="3238" spans="15:15" x14ac:dyDescent="0.25">
      <c r="O3238" s="257" t="s">
        <v>12477</v>
      </c>
    </row>
    <row r="3239" spans="15:15" x14ac:dyDescent="0.25">
      <c r="O3239" s="257" t="s">
        <v>12478</v>
      </c>
    </row>
    <row r="3240" spans="15:15" x14ac:dyDescent="0.25">
      <c r="O3240" s="257" t="s">
        <v>12479</v>
      </c>
    </row>
    <row r="3241" spans="15:15" x14ac:dyDescent="0.25">
      <c r="O3241" s="257" t="s">
        <v>12480</v>
      </c>
    </row>
    <row r="3242" spans="15:15" x14ac:dyDescent="0.25">
      <c r="O3242" s="257" t="s">
        <v>12481</v>
      </c>
    </row>
    <row r="3243" spans="15:15" x14ac:dyDescent="0.25">
      <c r="O3243" s="257" t="s">
        <v>12482</v>
      </c>
    </row>
    <row r="3244" spans="15:15" x14ac:dyDescent="0.25">
      <c r="O3244" s="257" t="s">
        <v>12483</v>
      </c>
    </row>
    <row r="3245" spans="15:15" x14ac:dyDescent="0.25">
      <c r="O3245" s="257" t="s">
        <v>12484</v>
      </c>
    </row>
    <row r="3246" spans="15:15" x14ac:dyDescent="0.25">
      <c r="O3246" s="257" t="s">
        <v>12485</v>
      </c>
    </row>
    <row r="3247" spans="15:15" x14ac:dyDescent="0.25">
      <c r="O3247" s="257" t="s">
        <v>12486</v>
      </c>
    </row>
    <row r="3248" spans="15:15" x14ac:dyDescent="0.25">
      <c r="O3248" s="257" t="s">
        <v>12487</v>
      </c>
    </row>
    <row r="3249" spans="15:15" x14ac:dyDescent="0.25">
      <c r="O3249" s="257" t="s">
        <v>12488</v>
      </c>
    </row>
    <row r="3250" spans="15:15" x14ac:dyDescent="0.25">
      <c r="O3250" s="257" t="s">
        <v>12489</v>
      </c>
    </row>
    <row r="3251" spans="15:15" x14ac:dyDescent="0.25">
      <c r="O3251" s="257" t="s">
        <v>12490</v>
      </c>
    </row>
    <row r="3252" spans="15:15" x14ac:dyDescent="0.25">
      <c r="O3252" s="257" t="s">
        <v>12491</v>
      </c>
    </row>
    <row r="3253" spans="15:15" x14ac:dyDescent="0.25">
      <c r="O3253" s="257" t="s">
        <v>12492</v>
      </c>
    </row>
    <row r="3254" spans="15:15" x14ac:dyDescent="0.25">
      <c r="O3254" s="257" t="s">
        <v>12493</v>
      </c>
    </row>
    <row r="3255" spans="15:15" x14ac:dyDescent="0.25">
      <c r="O3255" s="257" t="s">
        <v>12494</v>
      </c>
    </row>
    <row r="3256" spans="15:15" x14ac:dyDescent="0.25">
      <c r="O3256" s="257" t="s">
        <v>12495</v>
      </c>
    </row>
    <row r="3257" spans="15:15" x14ac:dyDescent="0.25">
      <c r="O3257" s="257" t="s">
        <v>12496</v>
      </c>
    </row>
    <row r="3258" spans="15:15" x14ac:dyDescent="0.25">
      <c r="O3258" s="257" t="s">
        <v>12497</v>
      </c>
    </row>
    <row r="3259" spans="15:15" x14ac:dyDescent="0.25">
      <c r="O3259" s="257" t="s">
        <v>12498</v>
      </c>
    </row>
    <row r="3260" spans="15:15" x14ac:dyDescent="0.25">
      <c r="O3260" s="257" t="s">
        <v>12499</v>
      </c>
    </row>
    <row r="3261" spans="15:15" x14ac:dyDescent="0.25">
      <c r="O3261" s="257" t="s">
        <v>12500</v>
      </c>
    </row>
    <row r="3262" spans="15:15" x14ac:dyDescent="0.25">
      <c r="O3262" s="257" t="s">
        <v>12501</v>
      </c>
    </row>
    <row r="3263" spans="15:15" x14ac:dyDescent="0.25">
      <c r="O3263" s="257" t="s">
        <v>12502</v>
      </c>
    </row>
    <row r="3264" spans="15:15" x14ac:dyDescent="0.25">
      <c r="O3264" s="257" t="s">
        <v>12503</v>
      </c>
    </row>
    <row r="3265" spans="15:15" x14ac:dyDescent="0.25">
      <c r="O3265" s="257" t="s">
        <v>12504</v>
      </c>
    </row>
    <row r="3266" spans="15:15" x14ac:dyDescent="0.25">
      <c r="O3266" s="257" t="s">
        <v>12505</v>
      </c>
    </row>
    <row r="3267" spans="15:15" x14ac:dyDescent="0.25">
      <c r="O3267" s="257" t="s">
        <v>12506</v>
      </c>
    </row>
    <row r="3268" spans="15:15" x14ac:dyDescent="0.25">
      <c r="O3268" s="257" t="s">
        <v>12507</v>
      </c>
    </row>
    <row r="3269" spans="15:15" x14ac:dyDescent="0.25">
      <c r="O3269" s="257" t="s">
        <v>12508</v>
      </c>
    </row>
    <row r="3270" spans="15:15" x14ac:dyDescent="0.25">
      <c r="O3270" s="257" t="s">
        <v>12509</v>
      </c>
    </row>
    <row r="3271" spans="15:15" x14ac:dyDescent="0.25">
      <c r="O3271" s="257" t="s">
        <v>12510</v>
      </c>
    </row>
    <row r="3272" spans="15:15" x14ac:dyDescent="0.25">
      <c r="O3272" s="257" t="s">
        <v>12511</v>
      </c>
    </row>
    <row r="3273" spans="15:15" x14ac:dyDescent="0.25">
      <c r="O3273" s="257" t="s">
        <v>12512</v>
      </c>
    </row>
    <row r="3274" spans="15:15" x14ac:dyDescent="0.25">
      <c r="O3274" s="257" t="s">
        <v>12513</v>
      </c>
    </row>
    <row r="3275" spans="15:15" x14ac:dyDescent="0.25">
      <c r="O3275" s="257" t="s">
        <v>12514</v>
      </c>
    </row>
    <row r="3276" spans="15:15" x14ac:dyDescent="0.25">
      <c r="O3276" s="257" t="s">
        <v>12515</v>
      </c>
    </row>
    <row r="3277" spans="15:15" x14ac:dyDescent="0.25">
      <c r="O3277" s="257" t="s">
        <v>12516</v>
      </c>
    </row>
    <row r="3278" spans="15:15" x14ac:dyDescent="0.25">
      <c r="O3278" s="257" t="s">
        <v>12517</v>
      </c>
    </row>
    <row r="3279" spans="15:15" x14ac:dyDescent="0.25">
      <c r="O3279" s="257" t="s">
        <v>12518</v>
      </c>
    </row>
    <row r="3280" spans="15:15" x14ac:dyDescent="0.25">
      <c r="O3280" s="257" t="s">
        <v>12519</v>
      </c>
    </row>
    <row r="3281" spans="15:15" x14ac:dyDescent="0.25">
      <c r="O3281" s="257" t="s">
        <v>12520</v>
      </c>
    </row>
    <row r="3282" spans="15:15" x14ac:dyDescent="0.25">
      <c r="O3282" s="257" t="s">
        <v>12521</v>
      </c>
    </row>
    <row r="3283" spans="15:15" x14ac:dyDescent="0.25">
      <c r="O3283" s="257" t="s">
        <v>12522</v>
      </c>
    </row>
    <row r="3284" spans="15:15" x14ac:dyDescent="0.25">
      <c r="O3284" s="257" t="s">
        <v>12523</v>
      </c>
    </row>
    <row r="3285" spans="15:15" x14ac:dyDescent="0.25">
      <c r="O3285" s="257" t="s">
        <v>12524</v>
      </c>
    </row>
    <row r="3286" spans="15:15" x14ac:dyDescent="0.25">
      <c r="O3286" s="257" t="s">
        <v>12525</v>
      </c>
    </row>
    <row r="3287" spans="15:15" x14ac:dyDescent="0.25">
      <c r="O3287" s="257" t="s">
        <v>12526</v>
      </c>
    </row>
    <row r="3288" spans="15:15" x14ac:dyDescent="0.25">
      <c r="O3288" s="257" t="s">
        <v>12527</v>
      </c>
    </row>
    <row r="3289" spans="15:15" x14ac:dyDescent="0.25">
      <c r="O3289" s="257" t="s">
        <v>12528</v>
      </c>
    </row>
    <row r="3290" spans="15:15" x14ac:dyDescent="0.25">
      <c r="O3290" s="257" t="s">
        <v>12529</v>
      </c>
    </row>
    <row r="3291" spans="15:15" x14ac:dyDescent="0.25">
      <c r="O3291" s="257" t="s">
        <v>12530</v>
      </c>
    </row>
    <row r="3292" spans="15:15" x14ac:dyDescent="0.25">
      <c r="O3292" s="257" t="s">
        <v>12531</v>
      </c>
    </row>
    <row r="3293" spans="15:15" x14ac:dyDescent="0.25">
      <c r="O3293" s="257" t="s">
        <v>12532</v>
      </c>
    </row>
    <row r="3294" spans="15:15" x14ac:dyDescent="0.25">
      <c r="O3294" s="257" t="s">
        <v>12533</v>
      </c>
    </row>
    <row r="3295" spans="15:15" x14ac:dyDescent="0.25">
      <c r="O3295" s="257" t="s">
        <v>12534</v>
      </c>
    </row>
    <row r="3296" spans="15:15" x14ac:dyDescent="0.25">
      <c r="O3296" s="257" t="s">
        <v>12535</v>
      </c>
    </row>
    <row r="3297" spans="15:15" x14ac:dyDescent="0.25">
      <c r="O3297" s="257" t="s">
        <v>12536</v>
      </c>
    </row>
    <row r="3298" spans="15:15" x14ac:dyDescent="0.25">
      <c r="O3298" s="257" t="s">
        <v>12537</v>
      </c>
    </row>
    <row r="3299" spans="15:15" x14ac:dyDescent="0.25">
      <c r="O3299" s="257" t="s">
        <v>12538</v>
      </c>
    </row>
    <row r="3300" spans="15:15" x14ac:dyDescent="0.25">
      <c r="O3300" s="257" t="s">
        <v>12539</v>
      </c>
    </row>
    <row r="3301" spans="15:15" x14ac:dyDescent="0.25">
      <c r="O3301" s="257" t="s">
        <v>12540</v>
      </c>
    </row>
    <row r="3302" spans="15:15" x14ac:dyDescent="0.25">
      <c r="O3302" s="257" t="s">
        <v>12541</v>
      </c>
    </row>
    <row r="3303" spans="15:15" x14ac:dyDescent="0.25">
      <c r="O3303" s="257" t="s">
        <v>12542</v>
      </c>
    </row>
    <row r="3304" spans="15:15" x14ac:dyDescent="0.25">
      <c r="O3304" s="257" t="s">
        <v>12543</v>
      </c>
    </row>
    <row r="3305" spans="15:15" x14ac:dyDescent="0.25">
      <c r="O3305" s="257" t="s">
        <v>12544</v>
      </c>
    </row>
    <row r="3306" spans="15:15" x14ac:dyDescent="0.25">
      <c r="O3306" s="257" t="s">
        <v>12545</v>
      </c>
    </row>
    <row r="3307" spans="15:15" x14ac:dyDescent="0.25">
      <c r="O3307" s="257" t="s">
        <v>12546</v>
      </c>
    </row>
    <row r="3308" spans="15:15" x14ac:dyDescent="0.25">
      <c r="O3308" s="257" t="s">
        <v>12547</v>
      </c>
    </row>
    <row r="3309" spans="15:15" x14ac:dyDescent="0.25">
      <c r="O3309" s="257" t="s">
        <v>12548</v>
      </c>
    </row>
    <row r="3310" spans="15:15" x14ac:dyDescent="0.25">
      <c r="O3310" s="257" t="s">
        <v>12549</v>
      </c>
    </row>
    <row r="3311" spans="15:15" x14ac:dyDescent="0.25">
      <c r="O3311" s="257" t="s">
        <v>12550</v>
      </c>
    </row>
    <row r="3312" spans="15:15" x14ac:dyDescent="0.25">
      <c r="O3312" s="257" t="s">
        <v>12551</v>
      </c>
    </row>
    <row r="3313" spans="15:15" x14ac:dyDescent="0.25">
      <c r="O3313" s="257" t="s">
        <v>12552</v>
      </c>
    </row>
    <row r="3314" spans="15:15" x14ac:dyDescent="0.25">
      <c r="O3314" s="257" t="s">
        <v>12553</v>
      </c>
    </row>
    <row r="3315" spans="15:15" x14ac:dyDescent="0.25">
      <c r="O3315" s="257" t="s">
        <v>12554</v>
      </c>
    </row>
    <row r="3316" spans="15:15" x14ac:dyDescent="0.25">
      <c r="O3316" s="257" t="s">
        <v>12555</v>
      </c>
    </row>
    <row r="3317" spans="15:15" x14ac:dyDescent="0.25">
      <c r="O3317" s="257" t="s">
        <v>12556</v>
      </c>
    </row>
    <row r="3318" spans="15:15" x14ac:dyDescent="0.25">
      <c r="O3318" s="257" t="s">
        <v>12557</v>
      </c>
    </row>
    <row r="3319" spans="15:15" x14ac:dyDescent="0.25">
      <c r="O3319" s="257" t="s">
        <v>12558</v>
      </c>
    </row>
    <row r="3320" spans="15:15" x14ac:dyDescent="0.25">
      <c r="O3320" s="257" t="s">
        <v>12559</v>
      </c>
    </row>
    <row r="3321" spans="15:15" x14ac:dyDescent="0.25">
      <c r="O3321" s="257" t="s">
        <v>12560</v>
      </c>
    </row>
    <row r="3322" spans="15:15" x14ac:dyDescent="0.25">
      <c r="O3322" s="257" t="s">
        <v>12561</v>
      </c>
    </row>
    <row r="3323" spans="15:15" x14ac:dyDescent="0.25">
      <c r="O3323" s="257" t="s">
        <v>12562</v>
      </c>
    </row>
    <row r="3324" spans="15:15" x14ac:dyDescent="0.25">
      <c r="O3324" s="257" t="s">
        <v>12563</v>
      </c>
    </row>
    <row r="3325" spans="15:15" x14ac:dyDescent="0.25">
      <c r="O3325" s="257" t="s">
        <v>12564</v>
      </c>
    </row>
    <row r="3326" spans="15:15" x14ac:dyDescent="0.25">
      <c r="O3326" s="257" t="s">
        <v>12565</v>
      </c>
    </row>
    <row r="3327" spans="15:15" x14ac:dyDescent="0.25">
      <c r="O3327" s="257" t="s">
        <v>12566</v>
      </c>
    </row>
    <row r="3328" spans="15:15" x14ac:dyDescent="0.25">
      <c r="O3328" s="257" t="s">
        <v>12567</v>
      </c>
    </row>
    <row r="3329" spans="15:15" x14ac:dyDescent="0.25">
      <c r="O3329" s="257" t="s">
        <v>12568</v>
      </c>
    </row>
    <row r="3330" spans="15:15" x14ac:dyDescent="0.25">
      <c r="O3330" s="257" t="s">
        <v>12569</v>
      </c>
    </row>
    <row r="3331" spans="15:15" x14ac:dyDescent="0.25">
      <c r="O3331" s="257" t="s">
        <v>12570</v>
      </c>
    </row>
    <row r="3332" spans="15:15" x14ac:dyDescent="0.25">
      <c r="O3332" s="257" t="s">
        <v>12571</v>
      </c>
    </row>
    <row r="3333" spans="15:15" x14ac:dyDescent="0.25">
      <c r="O3333" s="257" t="s">
        <v>12572</v>
      </c>
    </row>
    <row r="3334" spans="15:15" x14ac:dyDescent="0.25">
      <c r="O3334" s="257" t="s">
        <v>12573</v>
      </c>
    </row>
    <row r="3335" spans="15:15" x14ac:dyDescent="0.25">
      <c r="O3335" s="257" t="s">
        <v>12574</v>
      </c>
    </row>
    <row r="3336" spans="15:15" x14ac:dyDescent="0.25">
      <c r="O3336" s="257" t="s">
        <v>12575</v>
      </c>
    </row>
    <row r="3337" spans="15:15" x14ac:dyDescent="0.25">
      <c r="O3337" s="257" t="s">
        <v>12576</v>
      </c>
    </row>
    <row r="3338" spans="15:15" x14ac:dyDescent="0.25">
      <c r="O3338" s="257" t="s">
        <v>12577</v>
      </c>
    </row>
    <row r="3339" spans="15:15" x14ac:dyDescent="0.25">
      <c r="O3339" s="257" t="s">
        <v>12578</v>
      </c>
    </row>
    <row r="3340" spans="15:15" x14ac:dyDescent="0.25">
      <c r="O3340" s="257" t="s">
        <v>12579</v>
      </c>
    </row>
    <row r="3341" spans="15:15" x14ac:dyDescent="0.25">
      <c r="O3341" s="257" t="s">
        <v>12580</v>
      </c>
    </row>
    <row r="3342" spans="15:15" x14ac:dyDescent="0.25">
      <c r="O3342" s="257" t="s">
        <v>12581</v>
      </c>
    </row>
    <row r="3343" spans="15:15" x14ac:dyDescent="0.25">
      <c r="O3343" s="257" t="s">
        <v>12582</v>
      </c>
    </row>
    <row r="3344" spans="15:15" x14ac:dyDescent="0.25">
      <c r="O3344" s="257" t="s">
        <v>12583</v>
      </c>
    </row>
    <row r="3345" spans="15:15" x14ac:dyDescent="0.25">
      <c r="O3345" s="257" t="s">
        <v>12584</v>
      </c>
    </row>
    <row r="3346" spans="15:15" x14ac:dyDescent="0.25">
      <c r="O3346" s="257" t="s">
        <v>12585</v>
      </c>
    </row>
    <row r="3347" spans="15:15" x14ac:dyDescent="0.25">
      <c r="O3347" s="257" t="s">
        <v>12586</v>
      </c>
    </row>
    <row r="3348" spans="15:15" x14ac:dyDescent="0.25">
      <c r="O3348" s="257" t="s">
        <v>12587</v>
      </c>
    </row>
    <row r="3349" spans="15:15" x14ac:dyDescent="0.25">
      <c r="O3349" s="257" t="s">
        <v>12588</v>
      </c>
    </row>
    <row r="3350" spans="15:15" x14ac:dyDescent="0.25">
      <c r="O3350" s="257" t="s">
        <v>12589</v>
      </c>
    </row>
    <row r="3351" spans="15:15" x14ac:dyDescent="0.25">
      <c r="O3351" s="257" t="s">
        <v>12590</v>
      </c>
    </row>
    <row r="3352" spans="15:15" x14ac:dyDescent="0.25">
      <c r="O3352" s="257" t="s">
        <v>12591</v>
      </c>
    </row>
    <row r="3353" spans="15:15" x14ac:dyDescent="0.25">
      <c r="O3353" s="257" t="s">
        <v>12592</v>
      </c>
    </row>
    <row r="3354" spans="15:15" x14ac:dyDescent="0.25">
      <c r="O3354" s="257" t="s">
        <v>12593</v>
      </c>
    </row>
    <row r="3355" spans="15:15" x14ac:dyDescent="0.25">
      <c r="O3355" s="257" t="s">
        <v>12594</v>
      </c>
    </row>
    <row r="3356" spans="15:15" x14ac:dyDescent="0.25">
      <c r="O3356" s="257" t="s">
        <v>12595</v>
      </c>
    </row>
    <row r="3357" spans="15:15" x14ac:dyDescent="0.25">
      <c r="O3357" s="257" t="s">
        <v>12596</v>
      </c>
    </row>
    <row r="3358" spans="15:15" x14ac:dyDescent="0.25">
      <c r="O3358" s="257" t="s">
        <v>12597</v>
      </c>
    </row>
    <row r="3359" spans="15:15" x14ac:dyDescent="0.25">
      <c r="O3359" s="257" t="s">
        <v>12598</v>
      </c>
    </row>
    <row r="3360" spans="15:15" x14ac:dyDescent="0.25">
      <c r="O3360" s="257" t="s">
        <v>12599</v>
      </c>
    </row>
    <row r="3361" spans="15:15" x14ac:dyDescent="0.25">
      <c r="O3361" s="257" t="s">
        <v>12600</v>
      </c>
    </row>
    <row r="3362" spans="15:15" x14ac:dyDescent="0.25">
      <c r="O3362" s="257" t="s">
        <v>12601</v>
      </c>
    </row>
    <row r="3363" spans="15:15" x14ac:dyDescent="0.25">
      <c r="O3363" s="257" t="s">
        <v>12602</v>
      </c>
    </row>
    <row r="3364" spans="15:15" x14ac:dyDescent="0.25">
      <c r="O3364" s="257" t="s">
        <v>12603</v>
      </c>
    </row>
    <row r="3365" spans="15:15" x14ac:dyDescent="0.25">
      <c r="O3365" s="257" t="s">
        <v>12604</v>
      </c>
    </row>
    <row r="3366" spans="15:15" x14ac:dyDescent="0.25">
      <c r="O3366" s="257" t="s">
        <v>12605</v>
      </c>
    </row>
    <row r="3367" spans="15:15" x14ac:dyDescent="0.25">
      <c r="O3367" s="257" t="s">
        <v>12606</v>
      </c>
    </row>
    <row r="3368" spans="15:15" x14ac:dyDescent="0.25">
      <c r="O3368" s="257" t="s">
        <v>12607</v>
      </c>
    </row>
    <row r="3369" spans="15:15" x14ac:dyDescent="0.25">
      <c r="O3369" s="257" t="s">
        <v>12608</v>
      </c>
    </row>
    <row r="3370" spans="15:15" x14ac:dyDescent="0.25">
      <c r="O3370" s="257" t="s">
        <v>12609</v>
      </c>
    </row>
    <row r="3371" spans="15:15" x14ac:dyDescent="0.25">
      <c r="O3371" s="257" t="s">
        <v>12610</v>
      </c>
    </row>
    <row r="3372" spans="15:15" x14ac:dyDescent="0.25">
      <c r="O3372" s="257" t="s">
        <v>12611</v>
      </c>
    </row>
    <row r="3373" spans="15:15" x14ac:dyDescent="0.25">
      <c r="O3373" s="257" t="s">
        <v>12612</v>
      </c>
    </row>
    <row r="3374" spans="15:15" x14ac:dyDescent="0.25">
      <c r="O3374" s="257" t="s">
        <v>12613</v>
      </c>
    </row>
    <row r="3375" spans="15:15" x14ac:dyDescent="0.25">
      <c r="O3375" s="257" t="s">
        <v>12614</v>
      </c>
    </row>
    <row r="3376" spans="15:15" x14ac:dyDescent="0.25">
      <c r="O3376" s="257" t="s">
        <v>12615</v>
      </c>
    </row>
    <row r="3377" spans="15:15" x14ac:dyDescent="0.25">
      <c r="O3377" s="257" t="s">
        <v>12616</v>
      </c>
    </row>
    <row r="3378" spans="15:15" x14ac:dyDescent="0.25">
      <c r="O3378" s="257" t="s">
        <v>12617</v>
      </c>
    </row>
    <row r="3379" spans="15:15" x14ac:dyDescent="0.25">
      <c r="O3379" s="257" t="s">
        <v>12618</v>
      </c>
    </row>
    <row r="3380" spans="15:15" x14ac:dyDescent="0.25">
      <c r="O3380" s="257" t="s">
        <v>12619</v>
      </c>
    </row>
    <row r="3381" spans="15:15" x14ac:dyDescent="0.25">
      <c r="O3381" s="257" t="s">
        <v>12620</v>
      </c>
    </row>
    <row r="3382" spans="15:15" x14ac:dyDescent="0.25">
      <c r="O3382" s="257" t="s">
        <v>12621</v>
      </c>
    </row>
    <row r="3383" spans="15:15" x14ac:dyDescent="0.25">
      <c r="O3383" s="257" t="s">
        <v>12622</v>
      </c>
    </row>
    <row r="3384" spans="15:15" x14ac:dyDescent="0.25">
      <c r="O3384" s="257" t="s">
        <v>12623</v>
      </c>
    </row>
    <row r="3385" spans="15:15" x14ac:dyDescent="0.25">
      <c r="O3385" s="257" t="s">
        <v>12624</v>
      </c>
    </row>
    <row r="3386" spans="15:15" x14ac:dyDescent="0.25">
      <c r="O3386" s="257" t="s">
        <v>12625</v>
      </c>
    </row>
    <row r="3387" spans="15:15" x14ac:dyDescent="0.25">
      <c r="O3387" s="257" t="s">
        <v>12626</v>
      </c>
    </row>
    <row r="3388" spans="15:15" x14ac:dyDescent="0.25">
      <c r="O3388" s="257" t="s">
        <v>12627</v>
      </c>
    </row>
    <row r="3389" spans="15:15" x14ac:dyDescent="0.25">
      <c r="O3389" s="257" t="s">
        <v>12628</v>
      </c>
    </row>
    <row r="3390" spans="15:15" x14ac:dyDescent="0.25">
      <c r="O3390" s="257" t="s">
        <v>12629</v>
      </c>
    </row>
    <row r="3391" spans="15:15" x14ac:dyDescent="0.25">
      <c r="O3391" s="257" t="s">
        <v>12630</v>
      </c>
    </row>
    <row r="3392" spans="15:15" x14ac:dyDescent="0.25">
      <c r="O3392" s="257" t="s">
        <v>12631</v>
      </c>
    </row>
    <row r="3393" spans="15:15" x14ac:dyDescent="0.25">
      <c r="O3393" s="257" t="s">
        <v>12632</v>
      </c>
    </row>
    <row r="3394" spans="15:15" x14ac:dyDescent="0.25">
      <c r="O3394" s="257" t="s">
        <v>12633</v>
      </c>
    </row>
    <row r="3395" spans="15:15" x14ac:dyDescent="0.25">
      <c r="O3395" s="257" t="s">
        <v>12634</v>
      </c>
    </row>
    <row r="3396" spans="15:15" x14ac:dyDescent="0.25">
      <c r="O3396" s="257" t="s">
        <v>12635</v>
      </c>
    </row>
    <row r="3397" spans="15:15" x14ac:dyDescent="0.25">
      <c r="O3397" s="257" t="s">
        <v>12636</v>
      </c>
    </row>
    <row r="3398" spans="15:15" x14ac:dyDescent="0.25">
      <c r="O3398" s="257" t="s">
        <v>12637</v>
      </c>
    </row>
    <row r="3399" spans="15:15" x14ac:dyDescent="0.25">
      <c r="O3399" s="257" t="s">
        <v>12638</v>
      </c>
    </row>
    <row r="3400" spans="15:15" x14ac:dyDescent="0.25">
      <c r="O3400" s="257" t="s">
        <v>12639</v>
      </c>
    </row>
    <row r="3401" spans="15:15" x14ac:dyDescent="0.25">
      <c r="O3401" s="257" t="s">
        <v>12640</v>
      </c>
    </row>
    <row r="3402" spans="15:15" x14ac:dyDescent="0.25">
      <c r="O3402" s="257" t="s">
        <v>12641</v>
      </c>
    </row>
    <row r="3403" spans="15:15" x14ac:dyDescent="0.25">
      <c r="O3403" s="257" t="s">
        <v>12642</v>
      </c>
    </row>
    <row r="3404" spans="15:15" x14ac:dyDescent="0.25">
      <c r="O3404" s="257" t="s">
        <v>12643</v>
      </c>
    </row>
    <row r="3405" spans="15:15" x14ac:dyDescent="0.25">
      <c r="O3405" s="257" t="s">
        <v>12644</v>
      </c>
    </row>
    <row r="3406" spans="15:15" x14ac:dyDescent="0.25">
      <c r="O3406" s="257" t="s">
        <v>12645</v>
      </c>
    </row>
    <row r="3407" spans="15:15" x14ac:dyDescent="0.25">
      <c r="O3407" s="257" t="s">
        <v>12646</v>
      </c>
    </row>
    <row r="3408" spans="15:15" x14ac:dyDescent="0.25">
      <c r="O3408" s="257" t="s">
        <v>12647</v>
      </c>
    </row>
    <row r="3409" spans="15:15" x14ac:dyDescent="0.25">
      <c r="O3409" s="257" t="s">
        <v>12648</v>
      </c>
    </row>
    <row r="3410" spans="15:15" x14ac:dyDescent="0.25">
      <c r="O3410" s="257" t="s">
        <v>12649</v>
      </c>
    </row>
    <row r="3411" spans="15:15" x14ac:dyDescent="0.25">
      <c r="O3411" s="257" t="s">
        <v>12650</v>
      </c>
    </row>
    <row r="3412" spans="15:15" x14ac:dyDescent="0.25">
      <c r="O3412" s="257" t="s">
        <v>12651</v>
      </c>
    </row>
    <row r="3413" spans="15:15" x14ac:dyDescent="0.25">
      <c r="O3413" s="257" t="s">
        <v>12652</v>
      </c>
    </row>
    <row r="3414" spans="15:15" x14ac:dyDescent="0.25">
      <c r="O3414" s="257" t="s">
        <v>12653</v>
      </c>
    </row>
    <row r="3415" spans="15:15" x14ac:dyDescent="0.25">
      <c r="O3415" s="257" t="s">
        <v>12654</v>
      </c>
    </row>
    <row r="3416" spans="15:15" x14ac:dyDescent="0.25">
      <c r="O3416" s="257" t="s">
        <v>12655</v>
      </c>
    </row>
    <row r="3417" spans="15:15" x14ac:dyDescent="0.25">
      <c r="O3417" s="257" t="s">
        <v>12656</v>
      </c>
    </row>
    <row r="3418" spans="15:15" x14ac:dyDescent="0.25">
      <c r="O3418" s="257" t="s">
        <v>12657</v>
      </c>
    </row>
    <row r="3419" spans="15:15" x14ac:dyDescent="0.25">
      <c r="O3419" s="257" t="s">
        <v>12658</v>
      </c>
    </row>
    <row r="3420" spans="15:15" x14ac:dyDescent="0.25">
      <c r="O3420" s="257" t="s">
        <v>12659</v>
      </c>
    </row>
    <row r="3421" spans="15:15" x14ac:dyDescent="0.25">
      <c r="O3421" s="257" t="s">
        <v>12660</v>
      </c>
    </row>
    <row r="3422" spans="15:15" x14ac:dyDescent="0.25">
      <c r="O3422" s="257" t="s">
        <v>12661</v>
      </c>
    </row>
    <row r="3423" spans="15:15" x14ac:dyDescent="0.25">
      <c r="O3423" s="257" t="s">
        <v>12662</v>
      </c>
    </row>
    <row r="3424" spans="15:15" x14ac:dyDescent="0.25">
      <c r="O3424" s="257" t="s">
        <v>12663</v>
      </c>
    </row>
    <row r="3425" spans="15:15" x14ac:dyDescent="0.25">
      <c r="O3425" s="257" t="s">
        <v>12664</v>
      </c>
    </row>
    <row r="3426" spans="15:15" x14ac:dyDescent="0.25">
      <c r="O3426" s="257" t="s">
        <v>12665</v>
      </c>
    </row>
    <row r="3427" spans="15:15" x14ac:dyDescent="0.25">
      <c r="O3427" s="257" t="s">
        <v>12666</v>
      </c>
    </row>
    <row r="3428" spans="15:15" x14ac:dyDescent="0.25">
      <c r="O3428" s="257" t="s">
        <v>12667</v>
      </c>
    </row>
    <row r="3429" spans="15:15" x14ac:dyDescent="0.25">
      <c r="O3429" s="257" t="s">
        <v>12668</v>
      </c>
    </row>
    <row r="3430" spans="15:15" x14ac:dyDescent="0.25">
      <c r="O3430" s="257" t="s">
        <v>12669</v>
      </c>
    </row>
    <row r="3431" spans="15:15" x14ac:dyDescent="0.25">
      <c r="O3431" s="257" t="s">
        <v>12670</v>
      </c>
    </row>
    <row r="3432" spans="15:15" x14ac:dyDescent="0.25">
      <c r="O3432" s="257" t="s">
        <v>12671</v>
      </c>
    </row>
    <row r="3433" spans="15:15" x14ac:dyDescent="0.25">
      <c r="O3433" s="257" t="s">
        <v>12672</v>
      </c>
    </row>
    <row r="3434" spans="15:15" x14ac:dyDescent="0.25">
      <c r="O3434" s="257" t="s">
        <v>12673</v>
      </c>
    </row>
    <row r="3435" spans="15:15" x14ac:dyDescent="0.25">
      <c r="O3435" s="257" t="s">
        <v>12674</v>
      </c>
    </row>
    <row r="3436" spans="15:15" x14ac:dyDescent="0.25">
      <c r="O3436" s="257" t="s">
        <v>12675</v>
      </c>
    </row>
    <row r="3437" spans="15:15" x14ac:dyDescent="0.25">
      <c r="O3437" s="257" t="s">
        <v>12676</v>
      </c>
    </row>
    <row r="3438" spans="15:15" x14ac:dyDescent="0.25">
      <c r="O3438" s="257" t="s">
        <v>12677</v>
      </c>
    </row>
    <row r="3439" spans="15:15" x14ac:dyDescent="0.25">
      <c r="O3439" s="257" t="s">
        <v>12678</v>
      </c>
    </row>
    <row r="3440" spans="15:15" x14ac:dyDescent="0.25">
      <c r="O3440" s="257" t="s">
        <v>12679</v>
      </c>
    </row>
    <row r="3441" spans="15:15" x14ac:dyDescent="0.25">
      <c r="O3441" s="257" t="s">
        <v>12680</v>
      </c>
    </row>
    <row r="3442" spans="15:15" x14ac:dyDescent="0.25">
      <c r="O3442" s="257" t="s">
        <v>12681</v>
      </c>
    </row>
    <row r="3443" spans="15:15" x14ac:dyDescent="0.25">
      <c r="O3443" s="257" t="s">
        <v>12682</v>
      </c>
    </row>
    <row r="3444" spans="15:15" x14ac:dyDescent="0.25">
      <c r="O3444" s="257" t="s">
        <v>12683</v>
      </c>
    </row>
    <row r="3445" spans="15:15" x14ac:dyDescent="0.25">
      <c r="O3445" s="257" t="s">
        <v>12684</v>
      </c>
    </row>
    <row r="3446" spans="15:15" x14ac:dyDescent="0.25">
      <c r="O3446" s="257" t="s">
        <v>12685</v>
      </c>
    </row>
    <row r="3447" spans="15:15" x14ac:dyDescent="0.25">
      <c r="O3447" s="257" t="s">
        <v>12686</v>
      </c>
    </row>
    <row r="3448" spans="15:15" x14ac:dyDescent="0.25">
      <c r="O3448" s="257" t="s">
        <v>12687</v>
      </c>
    </row>
    <row r="3449" spans="15:15" x14ac:dyDescent="0.25">
      <c r="O3449" s="257" t="s">
        <v>12688</v>
      </c>
    </row>
    <row r="3450" spans="15:15" x14ac:dyDescent="0.25">
      <c r="O3450" s="257" t="s">
        <v>12689</v>
      </c>
    </row>
    <row r="3451" spans="15:15" x14ac:dyDescent="0.25">
      <c r="O3451" s="257" t="s">
        <v>12690</v>
      </c>
    </row>
    <row r="3452" spans="15:15" x14ac:dyDescent="0.25">
      <c r="O3452" s="257" t="s">
        <v>12691</v>
      </c>
    </row>
    <row r="3453" spans="15:15" x14ac:dyDescent="0.25">
      <c r="O3453" s="257" t="s">
        <v>12692</v>
      </c>
    </row>
    <row r="3454" spans="15:15" x14ac:dyDescent="0.25">
      <c r="O3454" s="257" t="s">
        <v>12693</v>
      </c>
    </row>
    <row r="3455" spans="15:15" x14ac:dyDescent="0.25">
      <c r="O3455" s="257" t="s">
        <v>12694</v>
      </c>
    </row>
    <row r="3456" spans="15:15" x14ac:dyDescent="0.25">
      <c r="O3456" s="257" t="s">
        <v>12695</v>
      </c>
    </row>
    <row r="3457" spans="15:15" x14ac:dyDescent="0.25">
      <c r="O3457" s="257" t="s">
        <v>12696</v>
      </c>
    </row>
    <row r="3458" spans="15:15" x14ac:dyDescent="0.25">
      <c r="O3458" s="257" t="s">
        <v>12697</v>
      </c>
    </row>
    <row r="3459" spans="15:15" x14ac:dyDescent="0.25">
      <c r="O3459" s="257" t="s">
        <v>12698</v>
      </c>
    </row>
    <row r="3460" spans="15:15" x14ac:dyDescent="0.25">
      <c r="O3460" s="257" t="s">
        <v>12699</v>
      </c>
    </row>
    <row r="3461" spans="15:15" x14ac:dyDescent="0.25">
      <c r="O3461" s="257" t="s">
        <v>12700</v>
      </c>
    </row>
    <row r="3462" spans="15:15" x14ac:dyDescent="0.25">
      <c r="O3462" s="257" t="s">
        <v>12701</v>
      </c>
    </row>
    <row r="3463" spans="15:15" x14ac:dyDescent="0.25">
      <c r="O3463" s="257" t="s">
        <v>12702</v>
      </c>
    </row>
    <row r="3464" spans="15:15" x14ac:dyDescent="0.25">
      <c r="O3464" s="257" t="s">
        <v>12703</v>
      </c>
    </row>
    <row r="3465" spans="15:15" x14ac:dyDescent="0.25">
      <c r="O3465" s="257" t="s">
        <v>12704</v>
      </c>
    </row>
    <row r="3466" spans="15:15" x14ac:dyDescent="0.25">
      <c r="O3466" s="257" t="s">
        <v>12705</v>
      </c>
    </row>
    <row r="3467" spans="15:15" x14ac:dyDescent="0.25">
      <c r="O3467" s="257" t="s">
        <v>12706</v>
      </c>
    </row>
    <row r="3468" spans="15:15" x14ac:dyDescent="0.25">
      <c r="O3468" s="257" t="s">
        <v>12707</v>
      </c>
    </row>
    <row r="3469" spans="15:15" x14ac:dyDescent="0.25">
      <c r="O3469" s="257" t="s">
        <v>12708</v>
      </c>
    </row>
    <row r="3470" spans="15:15" x14ac:dyDescent="0.25">
      <c r="O3470" s="257" t="s">
        <v>12709</v>
      </c>
    </row>
    <row r="3471" spans="15:15" x14ac:dyDescent="0.25">
      <c r="O3471" s="257" t="s">
        <v>12710</v>
      </c>
    </row>
    <row r="3472" spans="15:15" x14ac:dyDescent="0.25">
      <c r="O3472" s="257" t="s">
        <v>12711</v>
      </c>
    </row>
    <row r="3473" spans="15:15" x14ac:dyDescent="0.25">
      <c r="O3473" s="257" t="s">
        <v>12712</v>
      </c>
    </row>
    <row r="3474" spans="15:15" x14ac:dyDescent="0.25">
      <c r="O3474" s="257" t="s">
        <v>12713</v>
      </c>
    </row>
    <row r="3475" spans="15:15" x14ac:dyDescent="0.25">
      <c r="O3475" s="257" t="s">
        <v>12714</v>
      </c>
    </row>
    <row r="3476" spans="15:15" x14ac:dyDescent="0.25">
      <c r="O3476" s="257" t="s">
        <v>12715</v>
      </c>
    </row>
    <row r="3477" spans="15:15" x14ac:dyDescent="0.25">
      <c r="O3477" s="257" t="s">
        <v>12716</v>
      </c>
    </row>
    <row r="3478" spans="15:15" x14ac:dyDescent="0.25">
      <c r="O3478" s="257" t="s">
        <v>12717</v>
      </c>
    </row>
    <row r="3479" spans="15:15" x14ac:dyDescent="0.25">
      <c r="O3479" s="257" t="s">
        <v>12718</v>
      </c>
    </row>
    <row r="3480" spans="15:15" x14ac:dyDescent="0.25">
      <c r="O3480" s="257" t="s">
        <v>12719</v>
      </c>
    </row>
    <row r="3481" spans="15:15" x14ac:dyDescent="0.25">
      <c r="O3481" s="257" t="s">
        <v>12720</v>
      </c>
    </row>
    <row r="3482" spans="15:15" x14ac:dyDescent="0.25">
      <c r="O3482" s="257" t="s">
        <v>12721</v>
      </c>
    </row>
    <row r="3483" spans="15:15" x14ac:dyDescent="0.25">
      <c r="O3483" s="257" t="s">
        <v>12722</v>
      </c>
    </row>
    <row r="3484" spans="15:15" x14ac:dyDescent="0.25">
      <c r="O3484" s="257" t="s">
        <v>12723</v>
      </c>
    </row>
    <row r="3485" spans="15:15" x14ac:dyDescent="0.25">
      <c r="O3485" s="257" t="s">
        <v>12724</v>
      </c>
    </row>
    <row r="3486" spans="15:15" x14ac:dyDescent="0.25">
      <c r="O3486" s="257" t="s">
        <v>12725</v>
      </c>
    </row>
    <row r="3487" spans="15:15" x14ac:dyDescent="0.25">
      <c r="O3487" s="257" t="s">
        <v>12726</v>
      </c>
    </row>
    <row r="3488" spans="15:15" x14ac:dyDescent="0.25">
      <c r="O3488" s="257" t="s">
        <v>12727</v>
      </c>
    </row>
    <row r="3489" spans="15:15" x14ac:dyDescent="0.25">
      <c r="O3489" s="257" t="s">
        <v>12728</v>
      </c>
    </row>
    <row r="3490" spans="15:15" x14ac:dyDescent="0.25">
      <c r="O3490" s="257" t="s">
        <v>12729</v>
      </c>
    </row>
    <row r="3491" spans="15:15" x14ac:dyDescent="0.25">
      <c r="O3491" s="257" t="s">
        <v>12730</v>
      </c>
    </row>
    <row r="3492" spans="15:15" x14ac:dyDescent="0.25">
      <c r="O3492" s="257" t="s">
        <v>12731</v>
      </c>
    </row>
    <row r="3493" spans="15:15" x14ac:dyDescent="0.25">
      <c r="O3493" s="257" t="s">
        <v>12732</v>
      </c>
    </row>
    <row r="3494" spans="15:15" x14ac:dyDescent="0.25">
      <c r="O3494" s="257" t="s">
        <v>12733</v>
      </c>
    </row>
    <row r="3495" spans="15:15" x14ac:dyDescent="0.25">
      <c r="O3495" s="257" t="s">
        <v>12734</v>
      </c>
    </row>
    <row r="3496" spans="15:15" x14ac:dyDescent="0.25">
      <c r="O3496" s="257" t="s">
        <v>12735</v>
      </c>
    </row>
    <row r="3497" spans="15:15" x14ac:dyDescent="0.25">
      <c r="O3497" s="257" t="s">
        <v>12736</v>
      </c>
    </row>
    <row r="3498" spans="15:15" x14ac:dyDescent="0.25">
      <c r="O3498" s="257" t="s">
        <v>12737</v>
      </c>
    </row>
    <row r="3499" spans="15:15" x14ac:dyDescent="0.25">
      <c r="O3499" s="257" t="s">
        <v>12738</v>
      </c>
    </row>
    <row r="3500" spans="15:15" x14ac:dyDescent="0.25">
      <c r="O3500" s="257" t="s">
        <v>12739</v>
      </c>
    </row>
    <row r="3501" spans="15:15" x14ac:dyDescent="0.25">
      <c r="O3501" s="257" t="s">
        <v>12740</v>
      </c>
    </row>
    <row r="3502" spans="15:15" x14ac:dyDescent="0.25">
      <c r="O3502" s="257" t="s">
        <v>12741</v>
      </c>
    </row>
    <row r="3503" spans="15:15" x14ac:dyDescent="0.25">
      <c r="O3503" s="257" t="s">
        <v>12742</v>
      </c>
    </row>
    <row r="3504" spans="15:15" x14ac:dyDescent="0.25">
      <c r="O3504" s="257" t="s">
        <v>12743</v>
      </c>
    </row>
    <row r="3505" spans="15:15" x14ac:dyDescent="0.25">
      <c r="O3505" s="257" t="s">
        <v>12744</v>
      </c>
    </row>
    <row r="3506" spans="15:15" x14ac:dyDescent="0.25">
      <c r="O3506" s="257" t="s">
        <v>12745</v>
      </c>
    </row>
    <row r="3507" spans="15:15" x14ac:dyDescent="0.25">
      <c r="O3507" s="257" t="s">
        <v>12746</v>
      </c>
    </row>
    <row r="3508" spans="15:15" x14ac:dyDescent="0.25">
      <c r="O3508" s="257" t="s">
        <v>12747</v>
      </c>
    </row>
    <row r="3509" spans="15:15" x14ac:dyDescent="0.25">
      <c r="O3509" s="257" t="s">
        <v>12748</v>
      </c>
    </row>
    <row r="3510" spans="15:15" x14ac:dyDescent="0.25">
      <c r="O3510" s="257" t="s">
        <v>12749</v>
      </c>
    </row>
    <row r="3511" spans="15:15" x14ac:dyDescent="0.25">
      <c r="O3511" s="257" t="s">
        <v>12750</v>
      </c>
    </row>
    <row r="3512" spans="15:15" x14ac:dyDescent="0.25">
      <c r="O3512" s="257" t="s">
        <v>12751</v>
      </c>
    </row>
    <row r="3513" spans="15:15" x14ac:dyDescent="0.25">
      <c r="O3513" s="257" t="s">
        <v>12752</v>
      </c>
    </row>
    <row r="3514" spans="15:15" x14ac:dyDescent="0.25">
      <c r="O3514" s="257" t="s">
        <v>12753</v>
      </c>
    </row>
    <row r="3515" spans="15:15" x14ac:dyDescent="0.25">
      <c r="O3515" s="257" t="s">
        <v>12754</v>
      </c>
    </row>
    <row r="3516" spans="15:15" x14ac:dyDescent="0.25">
      <c r="O3516" s="257" t="s">
        <v>12755</v>
      </c>
    </row>
    <row r="3517" spans="15:15" x14ac:dyDescent="0.25">
      <c r="O3517" s="257" t="s">
        <v>12756</v>
      </c>
    </row>
    <row r="3518" spans="15:15" x14ac:dyDescent="0.25">
      <c r="O3518" s="257" t="s">
        <v>12757</v>
      </c>
    </row>
    <row r="3519" spans="15:15" x14ac:dyDescent="0.25">
      <c r="O3519" s="257" t="s">
        <v>12758</v>
      </c>
    </row>
    <row r="3520" spans="15:15" x14ac:dyDescent="0.25">
      <c r="O3520" s="257" t="s">
        <v>12759</v>
      </c>
    </row>
    <row r="3521" spans="15:15" x14ac:dyDescent="0.25">
      <c r="O3521" s="257" t="s">
        <v>12760</v>
      </c>
    </row>
    <row r="3522" spans="15:15" x14ac:dyDescent="0.25">
      <c r="O3522" s="257" t="s">
        <v>12761</v>
      </c>
    </row>
    <row r="3523" spans="15:15" x14ac:dyDescent="0.25">
      <c r="O3523" s="257" t="s">
        <v>12762</v>
      </c>
    </row>
    <row r="3524" spans="15:15" x14ac:dyDescent="0.25">
      <c r="O3524" s="257" t="s">
        <v>12763</v>
      </c>
    </row>
    <row r="3525" spans="15:15" x14ac:dyDescent="0.25">
      <c r="O3525" s="257" t="s">
        <v>12764</v>
      </c>
    </row>
    <row r="3526" spans="15:15" x14ac:dyDescent="0.25">
      <c r="O3526" s="257" t="s">
        <v>12765</v>
      </c>
    </row>
    <row r="3527" spans="15:15" x14ac:dyDescent="0.25">
      <c r="O3527" s="257" t="s">
        <v>12766</v>
      </c>
    </row>
    <row r="3528" spans="15:15" x14ac:dyDescent="0.25">
      <c r="O3528" s="257" t="s">
        <v>12767</v>
      </c>
    </row>
    <row r="3529" spans="15:15" x14ac:dyDescent="0.25">
      <c r="O3529" s="257" t="s">
        <v>12768</v>
      </c>
    </row>
    <row r="3530" spans="15:15" x14ac:dyDescent="0.25">
      <c r="O3530" s="257" t="s">
        <v>12769</v>
      </c>
    </row>
    <row r="3531" spans="15:15" x14ac:dyDescent="0.25">
      <c r="O3531" s="257" t="s">
        <v>12770</v>
      </c>
    </row>
    <row r="3532" spans="15:15" x14ac:dyDescent="0.25">
      <c r="O3532" s="257" t="s">
        <v>12771</v>
      </c>
    </row>
    <row r="3533" spans="15:15" x14ac:dyDescent="0.25">
      <c r="O3533" s="257" t="s">
        <v>12772</v>
      </c>
    </row>
    <row r="3534" spans="15:15" x14ac:dyDescent="0.25">
      <c r="O3534" s="257" t="s">
        <v>12773</v>
      </c>
    </row>
    <row r="3535" spans="15:15" x14ac:dyDescent="0.25">
      <c r="O3535" s="257" t="s">
        <v>12774</v>
      </c>
    </row>
    <row r="3536" spans="15:15" x14ac:dyDescent="0.25">
      <c r="O3536" s="257" t="s">
        <v>12775</v>
      </c>
    </row>
    <row r="3537" spans="15:15" x14ac:dyDescent="0.25">
      <c r="O3537" s="257" t="s">
        <v>12776</v>
      </c>
    </row>
    <row r="3538" spans="15:15" x14ac:dyDescent="0.25">
      <c r="O3538" s="257" t="s">
        <v>12777</v>
      </c>
    </row>
    <row r="3539" spans="15:15" x14ac:dyDescent="0.25">
      <c r="O3539" s="257" t="s">
        <v>12778</v>
      </c>
    </row>
    <row r="3540" spans="15:15" x14ac:dyDescent="0.25">
      <c r="O3540" s="257" t="s">
        <v>12779</v>
      </c>
    </row>
    <row r="3541" spans="15:15" x14ac:dyDescent="0.25">
      <c r="O3541" s="257" t="s">
        <v>12780</v>
      </c>
    </row>
    <row r="3542" spans="15:15" x14ac:dyDescent="0.25">
      <c r="O3542" s="257" t="s">
        <v>12781</v>
      </c>
    </row>
    <row r="3543" spans="15:15" x14ac:dyDescent="0.25">
      <c r="O3543" s="257" t="s">
        <v>12782</v>
      </c>
    </row>
    <row r="3544" spans="15:15" x14ac:dyDescent="0.25">
      <c r="O3544" s="257" t="s">
        <v>12783</v>
      </c>
    </row>
    <row r="3545" spans="15:15" x14ac:dyDescent="0.25">
      <c r="O3545" s="257" t="s">
        <v>12784</v>
      </c>
    </row>
    <row r="3546" spans="15:15" x14ac:dyDescent="0.25">
      <c r="O3546" s="257" t="s">
        <v>12785</v>
      </c>
    </row>
    <row r="3547" spans="15:15" x14ac:dyDescent="0.25">
      <c r="O3547" s="257" t="s">
        <v>12786</v>
      </c>
    </row>
    <row r="3548" spans="15:15" x14ac:dyDescent="0.25">
      <c r="O3548" s="257" t="s">
        <v>12787</v>
      </c>
    </row>
    <row r="3549" spans="15:15" x14ac:dyDescent="0.25">
      <c r="O3549" s="257" t="s">
        <v>12788</v>
      </c>
    </row>
    <row r="3550" spans="15:15" x14ac:dyDescent="0.25">
      <c r="O3550" s="257" t="s">
        <v>12789</v>
      </c>
    </row>
    <row r="3551" spans="15:15" x14ac:dyDescent="0.25">
      <c r="O3551" s="257" t="s">
        <v>12790</v>
      </c>
    </row>
    <row r="3552" spans="15:15" x14ac:dyDescent="0.25">
      <c r="O3552" s="257" t="s">
        <v>12791</v>
      </c>
    </row>
    <row r="3553" spans="15:15" x14ac:dyDescent="0.25">
      <c r="O3553" s="257" t="s">
        <v>12792</v>
      </c>
    </row>
    <row r="3554" spans="15:15" x14ac:dyDescent="0.25">
      <c r="O3554" s="257" t="s">
        <v>12793</v>
      </c>
    </row>
    <row r="3555" spans="15:15" x14ac:dyDescent="0.25">
      <c r="O3555" s="257" t="s">
        <v>12794</v>
      </c>
    </row>
    <row r="3556" spans="15:15" x14ac:dyDescent="0.25">
      <c r="O3556" s="257" t="s">
        <v>12795</v>
      </c>
    </row>
    <row r="3557" spans="15:15" x14ac:dyDescent="0.25">
      <c r="O3557" s="257" t="s">
        <v>12796</v>
      </c>
    </row>
    <row r="3558" spans="15:15" x14ac:dyDescent="0.25">
      <c r="O3558" s="257" t="s">
        <v>12797</v>
      </c>
    </row>
    <row r="3559" spans="15:15" x14ac:dyDescent="0.25">
      <c r="O3559" s="257" t="s">
        <v>12798</v>
      </c>
    </row>
    <row r="3560" spans="15:15" x14ac:dyDescent="0.25">
      <c r="O3560" s="257" t="s">
        <v>12799</v>
      </c>
    </row>
    <row r="3561" spans="15:15" x14ac:dyDescent="0.25">
      <c r="O3561" s="257" t="s">
        <v>12800</v>
      </c>
    </row>
    <row r="3562" spans="15:15" x14ac:dyDescent="0.25">
      <c r="O3562" s="257" t="s">
        <v>12801</v>
      </c>
    </row>
    <row r="3563" spans="15:15" x14ac:dyDescent="0.25">
      <c r="O3563" s="257" t="s">
        <v>12802</v>
      </c>
    </row>
    <row r="3564" spans="15:15" x14ac:dyDescent="0.25">
      <c r="O3564" s="257" t="s">
        <v>12803</v>
      </c>
    </row>
    <row r="3565" spans="15:15" x14ac:dyDescent="0.25">
      <c r="O3565" s="257" t="s">
        <v>12804</v>
      </c>
    </row>
    <row r="3566" spans="15:15" x14ac:dyDescent="0.25">
      <c r="O3566" s="257" t="s">
        <v>12805</v>
      </c>
    </row>
    <row r="3567" spans="15:15" x14ac:dyDescent="0.25">
      <c r="O3567" s="257" t="s">
        <v>12806</v>
      </c>
    </row>
    <row r="3568" spans="15:15" x14ac:dyDescent="0.25">
      <c r="O3568" s="257" t="s">
        <v>12807</v>
      </c>
    </row>
    <row r="3569" spans="15:15" x14ac:dyDescent="0.25">
      <c r="O3569" s="257" t="s">
        <v>12808</v>
      </c>
    </row>
    <row r="3570" spans="15:15" x14ac:dyDescent="0.25">
      <c r="O3570" s="257" t="s">
        <v>12809</v>
      </c>
    </row>
    <row r="3571" spans="15:15" x14ac:dyDescent="0.25">
      <c r="O3571" s="257" t="s">
        <v>12810</v>
      </c>
    </row>
    <row r="3572" spans="15:15" x14ac:dyDescent="0.25">
      <c r="O3572" s="257" t="s">
        <v>12811</v>
      </c>
    </row>
    <row r="3573" spans="15:15" x14ac:dyDescent="0.25">
      <c r="O3573" s="257" t="s">
        <v>12812</v>
      </c>
    </row>
    <row r="3574" spans="15:15" x14ac:dyDescent="0.25">
      <c r="O3574" s="257" t="s">
        <v>12813</v>
      </c>
    </row>
    <row r="3575" spans="15:15" x14ac:dyDescent="0.25">
      <c r="O3575" s="257" t="s">
        <v>12814</v>
      </c>
    </row>
    <row r="3576" spans="15:15" x14ac:dyDescent="0.25">
      <c r="O3576" s="257" t="s">
        <v>12815</v>
      </c>
    </row>
    <row r="3577" spans="15:15" x14ac:dyDescent="0.25">
      <c r="O3577" s="257" t="s">
        <v>12816</v>
      </c>
    </row>
    <row r="3578" spans="15:15" x14ac:dyDescent="0.25">
      <c r="O3578" s="257" t="s">
        <v>12817</v>
      </c>
    </row>
    <row r="3579" spans="15:15" x14ac:dyDescent="0.25">
      <c r="O3579" s="257" t="s">
        <v>12818</v>
      </c>
    </row>
    <row r="3580" spans="15:15" x14ac:dyDescent="0.25">
      <c r="O3580" s="257" t="s">
        <v>12819</v>
      </c>
    </row>
    <row r="3581" spans="15:15" x14ac:dyDescent="0.25">
      <c r="O3581" s="257" t="s">
        <v>12820</v>
      </c>
    </row>
    <row r="3582" spans="15:15" x14ac:dyDescent="0.25">
      <c r="O3582" s="257" t="s">
        <v>12821</v>
      </c>
    </row>
    <row r="3583" spans="15:15" x14ac:dyDescent="0.25">
      <c r="O3583" s="257" t="s">
        <v>12822</v>
      </c>
    </row>
    <row r="3584" spans="15:15" x14ac:dyDescent="0.25">
      <c r="O3584" s="257" t="s">
        <v>12823</v>
      </c>
    </row>
    <row r="3585" spans="15:15" x14ac:dyDescent="0.25">
      <c r="O3585" s="257" t="s">
        <v>12824</v>
      </c>
    </row>
    <row r="3586" spans="15:15" x14ac:dyDescent="0.25">
      <c r="O3586" s="257" t="s">
        <v>12825</v>
      </c>
    </row>
    <row r="3587" spans="15:15" x14ac:dyDescent="0.25">
      <c r="O3587" s="257" t="s">
        <v>12826</v>
      </c>
    </row>
    <row r="3588" spans="15:15" x14ac:dyDescent="0.25">
      <c r="O3588" s="257" t="s">
        <v>12827</v>
      </c>
    </row>
    <row r="3589" spans="15:15" x14ac:dyDescent="0.25">
      <c r="O3589" s="257" t="s">
        <v>12828</v>
      </c>
    </row>
    <row r="3590" spans="15:15" x14ac:dyDescent="0.25">
      <c r="O3590" s="257" t="s">
        <v>12829</v>
      </c>
    </row>
    <row r="3591" spans="15:15" x14ac:dyDescent="0.25">
      <c r="O3591" s="257" t="s">
        <v>12830</v>
      </c>
    </row>
  </sheetData>
  <sheetProtection selectLockedCells="1" selectUnlockedCells="1"/>
  <autoFilter ref="A4:AN2086" xr:uid="{DC0DB6FE-DC25-450C-9375-BB27525C6641}"/>
  <mergeCells count="1">
    <mergeCell ref="F2661:G2661"/>
  </mergeCells>
  <phoneticPr fontId="14" type="noConversion"/>
  <dataValidations count="3">
    <dataValidation type="decimal" allowBlank="1" showDropDown="1" showErrorMessage="1" sqref="R7:S7 Q4:Q7" xr:uid="{00000000-0002-0000-0100-000000000000}">
      <formula1>0</formula1>
      <formula2>100000</formula2>
    </dataValidation>
    <dataValidation type="list" allowBlank="1" showErrorMessage="1" sqref="AI9:AI12 AI49:AI50 AI64:AI68 AI87 AI92 AI95 AI176 AI182 AI290:AI370" xr:uid="{00000000-0002-0000-0100-000001000000}">
      <formula1>"nein,ja (nur gewerblich),"</formula1>
      <formula2>0</formula2>
    </dataValidation>
    <dataValidation type="list" allowBlank="1" showErrorMessage="1" sqref="AJ9:AK12 AJ49:AK50 AJ64:AK68 AJ87:AK87 AJ92:AK92 AJ95:AK95 AJ176:AK176 AJ182:AK182 AJ290:AK370" xr:uid="{00000000-0002-0000-0100-000002000000}">
      <formula1>"nein,ja"</formula1>
      <formula2>0</formula2>
    </dataValidation>
  </dataValidations>
  <hyperlinks>
    <hyperlink ref="B307" r:id="rId1" display="https://www.booklooker.de/B%C3%BCcher/Angebote/autor=Nurosi+Aki+und+Mark+Shulman" xr:uid="{00000000-0004-0000-0100-000000000000}"/>
    <hyperlink ref="B309" r:id="rId2" display="https://www.booklooker.de/B%C3%BCcher/Angebote/autor=Klaus+Hammerschmidt" xr:uid="{00000000-0004-0000-0100-000001000000}"/>
    <hyperlink ref="C309" r:id="rId3" display="https://www.booklooker.de/B%C3%BCcher/Angebote/titel=Kreuzwortr%C3%A4tsellexikon+-+000+Begriffe" xr:uid="{00000000-0004-0000-0100-000002000000}"/>
    <hyperlink ref="B312" r:id="rId4" display="https://www.booklooker.de/B%C3%BCcher/Angebote/autor=Richard+Blank" xr:uid="{00000000-0004-0000-0100-000003000000}"/>
    <hyperlink ref="B313" r:id="rId5" display="https://www.booklooker.de/B%C3%BCcher/Angebote/autor=falken+%252B+ohara" xr:uid="{00000000-0004-0000-0100-000004000000}"/>
    <hyperlink ref="B182" r:id="rId6" display="https://www.booklooker.de/B%C3%BCcher/Angebote/autor=Drolshagen+Ebba+D%3B+Els%C3%A4sser+Regine" xr:uid="{00000000-0004-0000-0100-000005000000}"/>
    <hyperlink ref="B326" r:id="rId7" display="https://www.booklooker.de/B%C3%BCcher/Angebote/autor=Finke+Gisela%252F+Schweizer+Ursula%252F+Wiedemann+Bernhard" xr:uid="{00000000-0004-0000-0100-000006000000}"/>
    <hyperlink ref="D326" r:id="rId8" display="https://www.booklooker.de/B%C3%BCcher/Angebote/verlag=Naumann+%2526+G%C3%B6bel+Verlagsgesellschaft" xr:uid="{00000000-0004-0000-0100-000007000000}"/>
    <hyperlink ref="B332" r:id="rId9" display="https://www.booklooker.de/B%C3%BCcher/Angebote/autor=Eichendorff+Joseph+von" xr:uid="{00000000-0004-0000-0100-000008000000}"/>
    <hyperlink ref="B335" r:id="rId10" display="https://www.booklooker.de/B%C3%BCcher/Angebote/autor=Harder+Gustav+Susi+Harder+und+Sigi+Sirtl" xr:uid="{00000000-0004-0000-0100-000009000000}"/>
    <hyperlink ref="L345" r:id="rId11" display="https://www.booklooker.de/B%C3%BCcher/Angebote/isbn=342662933X" xr:uid="{E85A24F3-5CAC-450D-B7DA-4129BBFFCCB8}"/>
    <hyperlink ref="B1438" r:id="rId12" display="https://www.booklooker.de/B%C3%BCcher/Angebote/autor=Konfuzius" xr:uid="{2B75E276-D0C2-46FC-AB3C-BB4C23FD4BB1}"/>
    <hyperlink ref="C1438" r:id="rId13" display="https://www.booklooker.de/B%C3%BCcher/Angebote/titel=Gespr%C3%A4che+Lun-y%C3%BC+Bibliothek+der+Philosophie+Band" xr:uid="{D628AD92-CDB9-4473-AAE4-A75DE7A68CD6}"/>
    <hyperlink ref="L1589" r:id="rId14" display="https://www.booklooker.de/B%C3%BCcher/Angebote/isbn=9783869972398" xr:uid="{5F04D2DA-89DF-47F0-9C9A-C254079E9D67}"/>
  </hyperlinks>
  <pageMargins left="0.78749999999999998" right="0.78749999999999998" top="0.78749999999999998" bottom="0.78749999999999998" header="0.51180555555555551" footer="0.51180555555555551"/>
  <pageSetup paperSize="9" firstPageNumber="0" orientation="portrait" horizontalDpi="300" verticalDpi="300" r:id="rId1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09D-EF3F-401B-9F18-AA50C2A6CE48}">
  <sheetPr>
    <pageSetUpPr fitToPage="1"/>
  </sheetPr>
  <dimension ref="A1:V26"/>
  <sheetViews>
    <sheetView workbookViewId="0"/>
  </sheetViews>
  <sheetFormatPr baseColWidth="10" defaultRowHeight="13.2" x14ac:dyDescent="0.25"/>
  <sheetData>
    <row r="1" spans="1:22" s="197" customFormat="1" ht="22.8" x14ac:dyDescent="0.4">
      <c r="A1" s="264">
        <v>3000</v>
      </c>
      <c r="B1" s="264">
        <v>3001</v>
      </c>
      <c r="C1" s="264">
        <v>3002</v>
      </c>
      <c r="D1" s="264">
        <v>3003</v>
      </c>
      <c r="E1" s="264">
        <v>3004</v>
      </c>
      <c r="F1" s="264">
        <v>3005</v>
      </c>
      <c r="G1" s="264">
        <v>3006</v>
      </c>
      <c r="H1" s="264">
        <v>3007</v>
      </c>
      <c r="I1" s="264">
        <v>3008</v>
      </c>
      <c r="J1" s="264">
        <v>3009</v>
      </c>
    </row>
    <row r="2" spans="1:22" ht="22.8" x14ac:dyDescent="0.4">
      <c r="A2" s="264">
        <v>3010</v>
      </c>
      <c r="B2" s="264">
        <v>3011</v>
      </c>
      <c r="C2" s="264">
        <v>3012</v>
      </c>
      <c r="D2" s="264">
        <v>3013</v>
      </c>
      <c r="E2" s="264">
        <v>3014</v>
      </c>
      <c r="F2" s="264">
        <v>3015</v>
      </c>
      <c r="G2" s="264">
        <v>3016</v>
      </c>
      <c r="H2" s="264">
        <v>3017</v>
      </c>
      <c r="I2" s="264">
        <v>3018</v>
      </c>
      <c r="J2" s="264">
        <v>3019</v>
      </c>
      <c r="K2" s="264"/>
      <c r="L2" s="264"/>
      <c r="M2" s="264"/>
      <c r="N2" s="264"/>
      <c r="O2" s="264"/>
      <c r="P2" s="264"/>
      <c r="Q2" s="264"/>
      <c r="R2" s="264"/>
      <c r="S2" s="264"/>
      <c r="T2" s="264"/>
    </row>
    <row r="3" spans="1:22" ht="22.8" x14ac:dyDescent="0.4">
      <c r="A3" s="264">
        <v>3020</v>
      </c>
      <c r="B3" s="264">
        <v>3021</v>
      </c>
      <c r="C3" s="264">
        <v>3022</v>
      </c>
      <c r="D3" s="264">
        <v>3023</v>
      </c>
      <c r="E3" s="264">
        <v>3024</v>
      </c>
      <c r="F3" s="264">
        <v>3025</v>
      </c>
      <c r="G3" s="264">
        <v>3026</v>
      </c>
      <c r="H3" s="264">
        <v>3027</v>
      </c>
      <c r="I3" s="264">
        <v>3028</v>
      </c>
      <c r="J3" s="264">
        <v>3029</v>
      </c>
      <c r="K3" s="264"/>
      <c r="L3" s="264"/>
      <c r="M3" s="264"/>
      <c r="N3" s="264"/>
      <c r="O3" s="264"/>
      <c r="P3" s="264"/>
      <c r="Q3" s="264"/>
      <c r="R3" s="264"/>
      <c r="S3" s="264"/>
      <c r="T3" s="264"/>
    </row>
    <row r="4" spans="1:22" ht="22.8" x14ac:dyDescent="0.4">
      <c r="A4" s="264">
        <v>3030</v>
      </c>
      <c r="B4" s="264">
        <v>3031</v>
      </c>
      <c r="C4" s="264">
        <v>3032</v>
      </c>
      <c r="D4" s="264">
        <v>3033</v>
      </c>
      <c r="E4" s="264">
        <v>3034</v>
      </c>
      <c r="F4" s="264">
        <v>3035</v>
      </c>
      <c r="G4" s="264">
        <v>3036</v>
      </c>
      <c r="H4" s="264">
        <v>3037</v>
      </c>
      <c r="I4" s="264">
        <v>3038</v>
      </c>
      <c r="J4" s="264">
        <v>3039</v>
      </c>
      <c r="K4" s="264"/>
      <c r="L4" s="264"/>
      <c r="M4" s="264"/>
      <c r="N4" s="264"/>
      <c r="O4" s="264"/>
      <c r="P4" s="264"/>
      <c r="Q4" s="264"/>
      <c r="R4" s="264"/>
      <c r="S4" s="264"/>
      <c r="T4" s="264"/>
      <c r="U4" s="197"/>
      <c r="V4" s="197"/>
    </row>
    <row r="5" spans="1:22" ht="22.8" x14ac:dyDescent="0.4">
      <c r="A5" s="264">
        <v>3040</v>
      </c>
      <c r="B5" s="264">
        <v>3041</v>
      </c>
      <c r="C5" s="264">
        <v>3042</v>
      </c>
      <c r="D5" s="264">
        <v>3043</v>
      </c>
      <c r="E5" s="264">
        <v>3044</v>
      </c>
      <c r="F5" s="264">
        <v>3045</v>
      </c>
      <c r="G5" s="264">
        <v>3046</v>
      </c>
      <c r="H5" s="264">
        <v>3047</v>
      </c>
      <c r="I5" s="264">
        <v>3048</v>
      </c>
      <c r="J5" s="264">
        <v>3049</v>
      </c>
      <c r="K5" s="264"/>
      <c r="L5" s="264"/>
      <c r="M5" s="264"/>
      <c r="N5" s="264"/>
      <c r="O5" s="264"/>
      <c r="P5" s="264"/>
      <c r="Q5" s="264"/>
      <c r="R5" s="264"/>
      <c r="S5" s="264"/>
      <c r="T5" s="264"/>
    </row>
    <row r="6" spans="1:22" ht="22.8" x14ac:dyDescent="0.4">
      <c r="A6" s="264">
        <v>3050</v>
      </c>
      <c r="B6" s="264">
        <v>3051</v>
      </c>
      <c r="C6" s="264">
        <v>3052</v>
      </c>
      <c r="D6" s="264">
        <v>3053</v>
      </c>
      <c r="E6" s="264">
        <v>3054</v>
      </c>
      <c r="F6" s="264">
        <v>3055</v>
      </c>
      <c r="G6" s="264">
        <v>3056</v>
      </c>
      <c r="H6" s="264">
        <v>3057</v>
      </c>
      <c r="I6" s="264">
        <v>3058</v>
      </c>
      <c r="J6" s="264">
        <v>3059</v>
      </c>
      <c r="K6" s="264"/>
      <c r="L6" s="264"/>
      <c r="M6" s="264"/>
      <c r="N6" s="264"/>
      <c r="O6" s="264"/>
      <c r="P6" s="264"/>
      <c r="Q6" s="264"/>
      <c r="R6" s="264"/>
      <c r="S6" s="264"/>
      <c r="T6" s="264"/>
      <c r="U6" s="197"/>
      <c r="V6" s="197"/>
    </row>
    <row r="7" spans="1:22" ht="22.8" x14ac:dyDescent="0.4">
      <c r="A7" s="264">
        <v>3060</v>
      </c>
      <c r="B7" s="264">
        <v>3061</v>
      </c>
      <c r="C7" s="264">
        <v>3062</v>
      </c>
      <c r="D7" s="264">
        <v>3063</v>
      </c>
      <c r="E7" s="264">
        <v>3064</v>
      </c>
      <c r="F7" s="264">
        <v>3065</v>
      </c>
      <c r="G7" s="264">
        <v>3066</v>
      </c>
      <c r="H7" s="264">
        <v>3067</v>
      </c>
      <c r="I7" s="264">
        <v>3068</v>
      </c>
      <c r="J7" s="264">
        <v>3069</v>
      </c>
      <c r="K7" s="264"/>
      <c r="L7" s="264"/>
      <c r="M7" s="264"/>
      <c r="N7" s="264"/>
      <c r="O7" s="264"/>
      <c r="P7" s="264"/>
      <c r="Q7" s="264"/>
      <c r="R7" s="264"/>
      <c r="S7" s="264"/>
      <c r="T7" s="264"/>
    </row>
    <row r="8" spans="1:22" ht="22.8" x14ac:dyDescent="0.4">
      <c r="A8" s="264">
        <v>3070</v>
      </c>
      <c r="B8" s="264">
        <v>3071</v>
      </c>
      <c r="C8" s="264">
        <v>3072</v>
      </c>
      <c r="D8" s="264">
        <v>3073</v>
      </c>
      <c r="E8" s="264">
        <v>3074</v>
      </c>
      <c r="F8" s="264">
        <v>3075</v>
      </c>
      <c r="G8" s="264">
        <v>3076</v>
      </c>
      <c r="H8" s="264">
        <v>3077</v>
      </c>
      <c r="I8" s="264">
        <v>3078</v>
      </c>
      <c r="J8" s="264">
        <v>3079</v>
      </c>
      <c r="K8" s="264"/>
      <c r="L8" s="264"/>
      <c r="M8" s="264"/>
      <c r="N8" s="264"/>
      <c r="O8" s="264"/>
      <c r="P8" s="264"/>
      <c r="Q8" s="264"/>
      <c r="R8" s="264"/>
      <c r="S8" s="264"/>
      <c r="T8" s="264"/>
      <c r="U8" s="197"/>
      <c r="V8" s="197"/>
    </row>
    <row r="9" spans="1:22" ht="22.8" x14ac:dyDescent="0.4">
      <c r="A9" s="264">
        <v>3080</v>
      </c>
      <c r="B9" s="264">
        <v>3081</v>
      </c>
      <c r="C9" s="264">
        <v>3082</v>
      </c>
      <c r="D9" s="264">
        <v>3083</v>
      </c>
      <c r="E9" s="264">
        <v>3084</v>
      </c>
      <c r="F9" s="264">
        <v>3085</v>
      </c>
      <c r="G9" s="264">
        <v>3086</v>
      </c>
      <c r="H9" s="264">
        <v>3087</v>
      </c>
      <c r="I9" s="264">
        <v>3088</v>
      </c>
      <c r="J9" s="264">
        <v>3089</v>
      </c>
      <c r="K9" s="264"/>
      <c r="L9" s="264"/>
      <c r="M9" s="264"/>
      <c r="N9" s="264"/>
      <c r="O9" s="264"/>
      <c r="P9" s="264"/>
      <c r="Q9" s="264"/>
      <c r="R9" s="264"/>
      <c r="S9" s="264"/>
      <c r="T9" s="264"/>
    </row>
    <row r="10" spans="1:22" ht="22.8" x14ac:dyDescent="0.4">
      <c r="A10" s="264">
        <v>3090</v>
      </c>
      <c r="B10" s="264">
        <v>3091</v>
      </c>
      <c r="C10" s="264">
        <v>3092</v>
      </c>
      <c r="D10" s="264">
        <v>3093</v>
      </c>
      <c r="E10" s="264">
        <v>3094</v>
      </c>
      <c r="F10" s="264">
        <v>3095</v>
      </c>
      <c r="G10" s="264">
        <v>3096</v>
      </c>
      <c r="H10" s="264">
        <v>3097</v>
      </c>
      <c r="I10" s="264">
        <v>3098</v>
      </c>
      <c r="J10" s="264">
        <v>3099</v>
      </c>
      <c r="K10" s="264"/>
      <c r="L10" s="264"/>
      <c r="M10" s="264"/>
      <c r="N10" s="264"/>
      <c r="O10" s="264"/>
      <c r="P10" s="264"/>
      <c r="Q10" s="264"/>
      <c r="R10" s="264"/>
      <c r="S10" s="264"/>
      <c r="T10" s="264"/>
      <c r="U10" s="197"/>
      <c r="V10" s="197"/>
    </row>
    <row r="11" spans="1:22" ht="22.8" x14ac:dyDescent="0.4">
      <c r="A11" s="264">
        <v>3100</v>
      </c>
      <c r="B11" s="264">
        <v>3101</v>
      </c>
      <c r="C11" s="264">
        <v>3102</v>
      </c>
      <c r="D11" s="264">
        <v>3103</v>
      </c>
      <c r="E11" s="264">
        <v>3104</v>
      </c>
      <c r="F11" s="264">
        <v>3105</v>
      </c>
      <c r="G11" s="264">
        <v>3106</v>
      </c>
      <c r="H11" s="264">
        <v>3107</v>
      </c>
      <c r="I11" s="264">
        <v>3108</v>
      </c>
      <c r="J11" s="264">
        <v>3109</v>
      </c>
      <c r="K11" s="264"/>
      <c r="L11" s="264"/>
      <c r="M11" s="264"/>
      <c r="N11" s="264"/>
      <c r="O11" s="264"/>
      <c r="P11" s="264"/>
      <c r="Q11" s="264"/>
      <c r="R11" s="264"/>
      <c r="S11" s="264"/>
      <c r="T11" s="264"/>
    </row>
    <row r="12" spans="1:22" ht="22.8" x14ac:dyDescent="0.4">
      <c r="A12" s="264">
        <v>3110</v>
      </c>
      <c r="B12" s="264">
        <v>3111</v>
      </c>
      <c r="C12" s="264">
        <v>3112</v>
      </c>
      <c r="D12" s="264">
        <v>3113</v>
      </c>
      <c r="E12" s="264">
        <v>3114</v>
      </c>
      <c r="F12" s="264">
        <v>3115</v>
      </c>
      <c r="G12" s="264">
        <v>3116</v>
      </c>
      <c r="H12" s="264">
        <v>3117</v>
      </c>
      <c r="I12" s="264">
        <v>3118</v>
      </c>
      <c r="J12" s="264">
        <v>3119</v>
      </c>
      <c r="K12" s="264"/>
      <c r="L12" s="264"/>
      <c r="M12" s="264"/>
      <c r="N12" s="264"/>
      <c r="O12" s="264"/>
      <c r="P12" s="264"/>
      <c r="Q12" s="264"/>
      <c r="R12" s="264"/>
      <c r="S12" s="264"/>
      <c r="T12" s="264"/>
      <c r="U12" s="197"/>
      <c r="V12" s="197"/>
    </row>
    <row r="13" spans="1:22" ht="22.8" x14ac:dyDescent="0.4">
      <c r="A13" s="264">
        <v>3120</v>
      </c>
      <c r="B13" s="264">
        <v>3121</v>
      </c>
      <c r="C13" s="264">
        <v>3122</v>
      </c>
      <c r="D13" s="264">
        <v>3123</v>
      </c>
      <c r="E13" s="264">
        <v>3124</v>
      </c>
      <c r="F13" s="264">
        <v>3125</v>
      </c>
      <c r="G13" s="264">
        <v>3126</v>
      </c>
      <c r="H13" s="264">
        <v>3127</v>
      </c>
      <c r="I13" s="264">
        <v>3128</v>
      </c>
      <c r="J13" s="264">
        <v>3129</v>
      </c>
      <c r="K13" s="264"/>
      <c r="L13" s="264"/>
      <c r="M13" s="264"/>
      <c r="N13" s="264"/>
      <c r="O13" s="264"/>
      <c r="P13" s="264"/>
      <c r="Q13" s="264"/>
      <c r="R13" s="264"/>
      <c r="S13" s="264"/>
      <c r="T13" s="264"/>
    </row>
    <row r="14" spans="1:22" ht="22.8" x14ac:dyDescent="0.4">
      <c r="A14" s="264">
        <v>3130</v>
      </c>
      <c r="B14" s="264">
        <v>3131</v>
      </c>
      <c r="C14" s="264">
        <v>3132</v>
      </c>
      <c r="D14" s="264">
        <v>3133</v>
      </c>
      <c r="E14" s="264">
        <v>3134</v>
      </c>
      <c r="F14" s="264">
        <v>3135</v>
      </c>
      <c r="G14" s="264">
        <v>3136</v>
      </c>
      <c r="H14" s="264">
        <v>3137</v>
      </c>
      <c r="I14" s="264">
        <v>3138</v>
      </c>
      <c r="J14" s="264">
        <v>3139</v>
      </c>
      <c r="K14" s="264"/>
      <c r="L14" s="264"/>
      <c r="M14" s="264"/>
      <c r="N14" s="264"/>
      <c r="O14" s="264"/>
      <c r="P14" s="264"/>
      <c r="Q14" s="264"/>
      <c r="R14" s="264"/>
      <c r="S14" s="264"/>
      <c r="T14" s="264"/>
    </row>
    <row r="15" spans="1:22" ht="22.8" x14ac:dyDescent="0.4">
      <c r="A15" s="264">
        <v>3140</v>
      </c>
      <c r="B15" s="264">
        <v>3141</v>
      </c>
      <c r="C15" s="264">
        <v>3142</v>
      </c>
      <c r="D15" s="264">
        <v>3143</v>
      </c>
      <c r="E15" s="264">
        <v>3144</v>
      </c>
      <c r="F15" s="264">
        <v>3145</v>
      </c>
      <c r="G15" s="264">
        <v>3146</v>
      </c>
      <c r="H15" s="264">
        <v>3147</v>
      </c>
      <c r="I15" s="264">
        <v>3148</v>
      </c>
      <c r="J15" s="264">
        <v>3149</v>
      </c>
      <c r="K15" s="264"/>
      <c r="L15" s="264"/>
      <c r="M15" s="264"/>
      <c r="N15" s="264"/>
      <c r="O15" s="264"/>
      <c r="P15" s="264"/>
      <c r="Q15" s="264"/>
      <c r="R15" s="264"/>
      <c r="S15" s="264"/>
      <c r="T15" s="264"/>
    </row>
    <row r="16" spans="1:22" ht="22.8" x14ac:dyDescent="0.4">
      <c r="A16" s="264">
        <v>3150</v>
      </c>
      <c r="B16" s="264">
        <v>3151</v>
      </c>
      <c r="C16" s="264">
        <v>3152</v>
      </c>
      <c r="D16" s="264">
        <v>3153</v>
      </c>
      <c r="E16" s="264">
        <v>3154</v>
      </c>
      <c r="F16" s="264">
        <v>3155</v>
      </c>
      <c r="G16" s="264">
        <v>3156</v>
      </c>
      <c r="H16" s="264">
        <v>3157</v>
      </c>
      <c r="I16" s="264">
        <v>3158</v>
      </c>
      <c r="J16" s="264">
        <v>3159</v>
      </c>
      <c r="K16" s="264"/>
      <c r="L16" s="264"/>
      <c r="M16" s="264"/>
      <c r="N16" s="264"/>
      <c r="O16" s="264"/>
      <c r="P16" s="264"/>
      <c r="Q16" s="264"/>
      <c r="R16" s="264"/>
      <c r="S16" s="264"/>
      <c r="T16" s="264"/>
      <c r="U16" s="263"/>
      <c r="V16" s="263"/>
    </row>
    <row r="17" spans="1:20" ht="22.8" x14ac:dyDescent="0.4">
      <c r="A17" s="264">
        <v>3160</v>
      </c>
      <c r="B17" s="264">
        <v>3161</v>
      </c>
      <c r="C17" s="264">
        <v>3162</v>
      </c>
      <c r="D17" s="264">
        <v>3163</v>
      </c>
      <c r="E17" s="264">
        <v>3164</v>
      </c>
      <c r="F17" s="264">
        <v>3165</v>
      </c>
      <c r="G17" s="264">
        <v>3166</v>
      </c>
      <c r="H17" s="264">
        <v>3167</v>
      </c>
      <c r="I17" s="264">
        <v>3168</v>
      </c>
      <c r="J17" s="264">
        <v>3169</v>
      </c>
      <c r="K17" s="264"/>
      <c r="L17" s="264"/>
      <c r="M17" s="264"/>
      <c r="N17" s="264"/>
      <c r="O17" s="264"/>
      <c r="P17" s="264"/>
      <c r="Q17" s="264"/>
      <c r="R17" s="264"/>
      <c r="S17" s="264"/>
      <c r="T17" s="264"/>
    </row>
    <row r="18" spans="1:20" ht="22.8" x14ac:dyDescent="0.4">
      <c r="A18" s="264">
        <v>3170</v>
      </c>
      <c r="B18" s="264">
        <v>3171</v>
      </c>
      <c r="C18" s="264">
        <v>3172</v>
      </c>
      <c r="D18" s="264">
        <v>3173</v>
      </c>
      <c r="E18" s="264">
        <v>3174</v>
      </c>
      <c r="F18" s="264">
        <v>3175</v>
      </c>
      <c r="G18" s="264">
        <v>3176</v>
      </c>
      <c r="H18" s="264">
        <v>3177</v>
      </c>
      <c r="I18" s="264">
        <v>3178</v>
      </c>
      <c r="J18" s="264">
        <v>3179</v>
      </c>
      <c r="K18" s="264"/>
      <c r="L18" s="264"/>
      <c r="M18" s="264"/>
      <c r="N18" s="264"/>
      <c r="O18" s="264"/>
      <c r="P18" s="264"/>
      <c r="Q18" s="264"/>
      <c r="R18" s="264"/>
      <c r="S18" s="264"/>
      <c r="T18" s="264"/>
    </row>
    <row r="19" spans="1:20" ht="22.8" x14ac:dyDescent="0.4">
      <c r="A19" s="264">
        <v>3180</v>
      </c>
      <c r="B19" s="264">
        <v>3181</v>
      </c>
      <c r="C19" s="264">
        <v>3182</v>
      </c>
      <c r="D19" s="264">
        <v>3183</v>
      </c>
      <c r="E19" s="264">
        <v>3184</v>
      </c>
      <c r="F19" s="264">
        <v>3185</v>
      </c>
      <c r="G19" s="264">
        <v>3186</v>
      </c>
      <c r="H19" s="264">
        <v>3187</v>
      </c>
      <c r="I19" s="264">
        <v>3188</v>
      </c>
      <c r="J19" s="264">
        <v>3189</v>
      </c>
      <c r="K19" s="264"/>
      <c r="L19" s="264"/>
      <c r="M19" s="264"/>
      <c r="N19" s="264"/>
      <c r="O19" s="264"/>
      <c r="P19" s="264"/>
      <c r="Q19" s="264"/>
      <c r="R19" s="264"/>
      <c r="S19" s="264"/>
      <c r="T19" s="264"/>
    </row>
    <row r="20" spans="1:20" ht="22.8" x14ac:dyDescent="0.4">
      <c r="A20" s="264">
        <v>3190</v>
      </c>
      <c r="B20" s="264">
        <v>3191</v>
      </c>
      <c r="C20" s="264">
        <v>3192</v>
      </c>
      <c r="D20" s="264">
        <v>3193</v>
      </c>
      <c r="E20" s="264">
        <v>3194</v>
      </c>
      <c r="F20" s="264">
        <v>3195</v>
      </c>
      <c r="G20" s="264">
        <v>3196</v>
      </c>
      <c r="H20" s="264">
        <v>3197</v>
      </c>
      <c r="I20" s="264">
        <v>3198</v>
      </c>
      <c r="J20" s="264">
        <v>3199</v>
      </c>
      <c r="K20" s="264"/>
      <c r="L20" s="264"/>
      <c r="M20" s="264"/>
      <c r="N20" s="264"/>
      <c r="O20" s="264"/>
      <c r="P20" s="264"/>
      <c r="Q20" s="264"/>
      <c r="R20" s="264"/>
      <c r="S20" s="264"/>
      <c r="T20" s="264"/>
    </row>
    <row r="21" spans="1:20" ht="22.8" x14ac:dyDescent="0.4">
      <c r="A21" s="264">
        <v>3200</v>
      </c>
      <c r="B21" s="264">
        <v>3201</v>
      </c>
      <c r="C21" s="264">
        <v>3202</v>
      </c>
      <c r="D21" s="264">
        <v>3203</v>
      </c>
      <c r="E21" s="264">
        <v>3204</v>
      </c>
      <c r="F21" s="264">
        <v>3205</v>
      </c>
      <c r="G21" s="264">
        <v>3206</v>
      </c>
      <c r="H21" s="264">
        <v>3207</v>
      </c>
      <c r="I21" s="264">
        <v>3208</v>
      </c>
      <c r="J21" s="264">
        <v>3209</v>
      </c>
      <c r="K21" s="264"/>
      <c r="L21" s="264"/>
      <c r="M21" s="264"/>
      <c r="N21" s="264"/>
      <c r="O21" s="264"/>
      <c r="P21" s="264"/>
      <c r="Q21" s="264"/>
      <c r="R21" s="264"/>
      <c r="S21" s="264"/>
      <c r="T21" s="264"/>
    </row>
    <row r="22" spans="1:20" ht="22.8" x14ac:dyDescent="0.4">
      <c r="A22" s="264">
        <v>3210</v>
      </c>
      <c r="B22" s="264">
        <v>3211</v>
      </c>
      <c r="C22" s="264">
        <v>3212</v>
      </c>
      <c r="D22" s="264">
        <v>3213</v>
      </c>
      <c r="E22" s="264">
        <v>3214</v>
      </c>
      <c r="F22" s="264">
        <v>3215</v>
      </c>
      <c r="G22" s="264">
        <v>3216</v>
      </c>
      <c r="H22" s="264">
        <v>3217</v>
      </c>
      <c r="I22" s="264">
        <v>3218</v>
      </c>
      <c r="J22" s="264">
        <v>3219</v>
      </c>
      <c r="K22" s="264"/>
      <c r="L22" s="264"/>
      <c r="M22" s="264"/>
      <c r="N22" s="264"/>
      <c r="O22" s="264"/>
      <c r="P22" s="264"/>
      <c r="Q22" s="264"/>
      <c r="R22" s="264"/>
      <c r="S22" s="264"/>
      <c r="T22" s="264"/>
    </row>
    <row r="23" spans="1:20" ht="22.8" x14ac:dyDescent="0.4">
      <c r="A23" s="264">
        <v>3220</v>
      </c>
      <c r="B23" s="264">
        <v>3221</v>
      </c>
      <c r="C23" s="264">
        <v>3222</v>
      </c>
      <c r="D23" s="264">
        <v>3223</v>
      </c>
      <c r="E23" s="264">
        <v>3224</v>
      </c>
      <c r="F23" s="264">
        <v>3225</v>
      </c>
      <c r="G23" s="264">
        <v>3226</v>
      </c>
      <c r="H23" s="264">
        <v>3227</v>
      </c>
      <c r="I23" s="264">
        <v>3228</v>
      </c>
      <c r="J23" s="264">
        <v>3229</v>
      </c>
    </row>
    <row r="24" spans="1:20" ht="22.8" x14ac:dyDescent="0.4">
      <c r="A24" s="264">
        <v>3230</v>
      </c>
      <c r="B24" s="264">
        <v>3231</v>
      </c>
      <c r="C24" s="264">
        <v>3232</v>
      </c>
      <c r="D24" s="264">
        <v>3233</v>
      </c>
      <c r="E24" s="264">
        <v>3234</v>
      </c>
      <c r="F24" s="264">
        <v>3235</v>
      </c>
      <c r="G24" s="264">
        <v>3236</v>
      </c>
      <c r="H24" s="264">
        <v>3237</v>
      </c>
      <c r="I24" s="264">
        <v>3238</v>
      </c>
      <c r="J24" s="264">
        <v>3239</v>
      </c>
    </row>
    <row r="25" spans="1:20" ht="22.8" x14ac:dyDescent="0.4">
      <c r="A25" s="264">
        <v>3240</v>
      </c>
      <c r="B25" s="264">
        <v>3241</v>
      </c>
      <c r="C25" s="264">
        <v>3242</v>
      </c>
      <c r="D25" s="264">
        <v>3243</v>
      </c>
      <c r="E25" s="264">
        <v>3244</v>
      </c>
      <c r="F25" s="264">
        <v>3245</v>
      </c>
      <c r="G25" s="264">
        <v>3246</v>
      </c>
      <c r="H25" s="264">
        <v>3247</v>
      </c>
      <c r="I25" s="264">
        <v>3248</v>
      </c>
      <c r="J25" s="264">
        <v>3249</v>
      </c>
    </row>
    <row r="26" spans="1:20" ht="22.8" x14ac:dyDescent="0.4">
      <c r="A26" s="264">
        <v>3250</v>
      </c>
      <c r="B26" s="264">
        <v>3251</v>
      </c>
      <c r="C26" s="264">
        <v>3252</v>
      </c>
      <c r="D26" s="264">
        <v>3253</v>
      </c>
      <c r="E26" s="264">
        <v>3254</v>
      </c>
      <c r="F26" s="264">
        <v>3255</v>
      </c>
      <c r="G26" s="264">
        <v>3256</v>
      </c>
      <c r="H26" s="264">
        <v>3257</v>
      </c>
      <c r="I26" s="264">
        <v>3258</v>
      </c>
      <c r="J26" s="264">
        <v>3259</v>
      </c>
    </row>
  </sheetData>
  <pageMargins left="0.70866141732283472" right="0.70866141732283472" top="0.78740157480314965" bottom="0.78740157480314965" header="0.31496062992125984" footer="0.31496062992125984"/>
  <pageSetup paperSize="9" scale="10" orientation="landscape" verticalDpi="300" r:id="rId1"/>
  <rowBreaks count="1" manualBreakCount="1">
    <brk id="20" max="16383" man="1"/>
  </rowBreaks>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1444"/>
  <sheetViews>
    <sheetView topLeftCell="A1026" workbookViewId="0">
      <selection activeCell="C969" sqref="C969"/>
    </sheetView>
  </sheetViews>
  <sheetFormatPr baseColWidth="10" defaultRowHeight="15.6" x14ac:dyDescent="0.3"/>
  <cols>
    <col min="1" max="1" width="28.88671875" style="34" customWidth="1"/>
    <col min="2" max="2" width="36.44140625" style="35" customWidth="1"/>
    <col min="3" max="3" width="12.88671875" style="36" customWidth="1"/>
    <col min="4" max="255" width="11" style="2" customWidth="1"/>
  </cols>
  <sheetData>
    <row r="1" spans="1:256" s="38" customFormat="1" x14ac:dyDescent="0.3">
      <c r="A1" s="37" t="s">
        <v>76</v>
      </c>
      <c r="B1" s="37" t="s">
        <v>77</v>
      </c>
      <c r="C1" s="37" t="s">
        <v>26</v>
      </c>
      <c r="K1" s="39"/>
      <c r="IV1"/>
    </row>
    <row r="2" spans="1:256" x14ac:dyDescent="0.3">
      <c r="A2" s="40" t="s">
        <v>78</v>
      </c>
      <c r="B2" s="41"/>
      <c r="C2" s="41"/>
      <c r="D2"/>
      <c r="E2"/>
      <c r="F2"/>
    </row>
    <row r="3" spans="1:256" x14ac:dyDescent="0.3">
      <c r="A3" s="40"/>
      <c r="B3" s="41" t="s">
        <v>79</v>
      </c>
      <c r="C3" s="41">
        <v>2573</v>
      </c>
      <c r="D3"/>
      <c r="E3"/>
      <c r="F3"/>
    </row>
    <row r="4" spans="1:256" x14ac:dyDescent="0.3">
      <c r="A4" s="40"/>
      <c r="B4" s="41" t="s">
        <v>80</v>
      </c>
      <c r="C4" s="41">
        <v>886</v>
      </c>
      <c r="D4"/>
      <c r="E4"/>
      <c r="F4"/>
    </row>
    <row r="5" spans="1:256" x14ac:dyDescent="0.3">
      <c r="A5" s="40"/>
      <c r="B5" s="41" t="s">
        <v>81</v>
      </c>
      <c r="C5" s="41">
        <v>887</v>
      </c>
      <c r="D5"/>
      <c r="E5"/>
      <c r="F5"/>
    </row>
    <row r="6" spans="1:256" x14ac:dyDescent="0.3">
      <c r="A6" s="40"/>
      <c r="B6" s="41" t="s">
        <v>82</v>
      </c>
      <c r="C6" s="41">
        <v>881</v>
      </c>
      <c r="D6"/>
      <c r="E6"/>
      <c r="F6"/>
    </row>
    <row r="7" spans="1:256" x14ac:dyDescent="0.3">
      <c r="A7" s="40"/>
      <c r="B7" s="41" t="s">
        <v>83</v>
      </c>
      <c r="C7" s="41">
        <v>880</v>
      </c>
      <c r="D7"/>
      <c r="E7"/>
      <c r="F7"/>
    </row>
    <row r="8" spans="1:256" x14ac:dyDescent="0.3">
      <c r="A8" s="40"/>
      <c r="B8" s="41" t="s">
        <v>84</v>
      </c>
      <c r="C8" s="41">
        <v>1806</v>
      </c>
      <c r="D8"/>
      <c r="E8"/>
      <c r="F8"/>
    </row>
    <row r="9" spans="1:256" x14ac:dyDescent="0.3">
      <c r="A9" s="40"/>
      <c r="B9" s="41" t="s">
        <v>85</v>
      </c>
      <c r="C9" s="41">
        <v>2968</v>
      </c>
      <c r="D9"/>
      <c r="E9"/>
      <c r="F9"/>
    </row>
    <row r="10" spans="1:256" x14ac:dyDescent="0.3">
      <c r="A10" s="40"/>
      <c r="B10" s="41" t="s">
        <v>86</v>
      </c>
      <c r="C10" s="41">
        <v>2534</v>
      </c>
      <c r="D10"/>
      <c r="E10"/>
      <c r="F10"/>
    </row>
    <row r="11" spans="1:256" x14ac:dyDescent="0.3">
      <c r="A11" s="40"/>
      <c r="B11" s="41" t="s">
        <v>87</v>
      </c>
      <c r="C11" s="41">
        <v>873</v>
      </c>
      <c r="D11"/>
      <c r="E11"/>
      <c r="F11"/>
    </row>
    <row r="12" spans="1:256" x14ac:dyDescent="0.3">
      <c r="A12" s="40"/>
      <c r="B12" s="41" t="s">
        <v>88</v>
      </c>
      <c r="C12" s="41">
        <v>879</v>
      </c>
      <c r="D12"/>
      <c r="E12"/>
      <c r="F12"/>
    </row>
    <row r="13" spans="1:256" x14ac:dyDescent="0.3">
      <c r="A13" s="40"/>
      <c r="B13" s="41" t="s">
        <v>89</v>
      </c>
      <c r="C13" s="41">
        <v>878</v>
      </c>
      <c r="D13"/>
      <c r="E13"/>
      <c r="F13"/>
    </row>
    <row r="14" spans="1:256" x14ac:dyDescent="0.3">
      <c r="A14" s="40"/>
      <c r="B14" s="41" t="s">
        <v>90</v>
      </c>
      <c r="C14" s="41">
        <v>877</v>
      </c>
      <c r="D14"/>
      <c r="E14"/>
      <c r="F14"/>
    </row>
    <row r="15" spans="1:256" x14ac:dyDescent="0.3">
      <c r="A15" s="40"/>
      <c r="B15" s="41" t="s">
        <v>91</v>
      </c>
      <c r="C15" s="41">
        <v>884</v>
      </c>
      <c r="D15"/>
      <c r="E15"/>
      <c r="F15"/>
    </row>
    <row r="16" spans="1:256" x14ac:dyDescent="0.3">
      <c r="A16" s="40"/>
      <c r="B16" s="41" t="s">
        <v>92</v>
      </c>
      <c r="C16" s="41">
        <v>883</v>
      </c>
      <c r="D16"/>
      <c r="E16"/>
      <c r="F16"/>
    </row>
    <row r="17" spans="1:6" x14ac:dyDescent="0.3">
      <c r="A17" s="40"/>
      <c r="B17" s="41" t="s">
        <v>93</v>
      </c>
      <c r="C17" s="41">
        <v>693</v>
      </c>
      <c r="D17"/>
      <c r="E17"/>
      <c r="F17"/>
    </row>
    <row r="18" spans="1:6" x14ac:dyDescent="0.3">
      <c r="A18" s="40"/>
      <c r="B18" s="41" t="s">
        <v>94</v>
      </c>
      <c r="C18" s="41">
        <v>885</v>
      </c>
      <c r="D18"/>
      <c r="E18"/>
      <c r="F18"/>
    </row>
    <row r="19" spans="1:6" x14ac:dyDescent="0.3">
      <c r="A19" s="40"/>
      <c r="B19" s="41" t="s">
        <v>95</v>
      </c>
      <c r="C19" s="41">
        <v>882</v>
      </c>
      <c r="D19"/>
      <c r="E19"/>
      <c r="F19"/>
    </row>
    <row r="20" spans="1:6" x14ac:dyDescent="0.3">
      <c r="A20" s="40"/>
      <c r="B20" s="41" t="s">
        <v>96</v>
      </c>
      <c r="C20" s="41">
        <v>665</v>
      </c>
      <c r="D20"/>
      <c r="E20"/>
      <c r="F20"/>
    </row>
    <row r="21" spans="1:6" x14ac:dyDescent="0.3">
      <c r="A21" s="40"/>
      <c r="B21" s="41" t="s">
        <v>97</v>
      </c>
      <c r="C21" s="41">
        <v>666</v>
      </c>
      <c r="D21"/>
      <c r="E21"/>
      <c r="F21"/>
    </row>
    <row r="22" spans="1:6" x14ac:dyDescent="0.3">
      <c r="A22" s="40"/>
      <c r="B22" s="41" t="s">
        <v>98</v>
      </c>
      <c r="C22" s="41">
        <v>667</v>
      </c>
      <c r="D22"/>
      <c r="E22"/>
      <c r="F22"/>
    </row>
    <row r="23" spans="1:6" x14ac:dyDescent="0.3">
      <c r="A23" s="40"/>
      <c r="B23" s="41" t="s">
        <v>99</v>
      </c>
      <c r="C23" s="41">
        <v>960</v>
      </c>
      <c r="D23"/>
      <c r="E23"/>
      <c r="F23"/>
    </row>
    <row r="24" spans="1:6" x14ac:dyDescent="0.3">
      <c r="A24" s="40"/>
      <c r="B24" s="41" t="s">
        <v>100</v>
      </c>
      <c r="C24" s="41">
        <v>2648</v>
      </c>
      <c r="D24"/>
      <c r="E24"/>
      <c r="F24"/>
    </row>
    <row r="25" spans="1:6" x14ac:dyDescent="0.3">
      <c r="A25" s="40"/>
      <c r="B25" s="41" t="s">
        <v>101</v>
      </c>
      <c r="C25" s="41">
        <v>668</v>
      </c>
      <c r="D25"/>
      <c r="E25"/>
      <c r="F25"/>
    </row>
    <row r="26" spans="1:6" x14ac:dyDescent="0.3">
      <c r="A26" s="40"/>
      <c r="B26" s="41" t="s">
        <v>102</v>
      </c>
      <c r="C26" s="41">
        <v>798</v>
      </c>
      <c r="D26"/>
      <c r="E26"/>
      <c r="F26"/>
    </row>
    <row r="27" spans="1:6" x14ac:dyDescent="0.3">
      <c r="A27" s="40"/>
      <c r="B27" s="41" t="s">
        <v>103</v>
      </c>
      <c r="C27" s="41">
        <v>2008</v>
      </c>
      <c r="D27"/>
      <c r="E27"/>
      <c r="F27"/>
    </row>
    <row r="28" spans="1:6" x14ac:dyDescent="0.3">
      <c r="A28" s="40"/>
      <c r="B28" s="41" t="s">
        <v>104</v>
      </c>
      <c r="C28" s="41">
        <v>669</v>
      </c>
      <c r="D28"/>
      <c r="E28"/>
      <c r="F28"/>
    </row>
    <row r="29" spans="1:6" x14ac:dyDescent="0.3">
      <c r="A29" s="40"/>
      <c r="B29" s="41" t="s">
        <v>105</v>
      </c>
      <c r="C29" s="41">
        <v>670</v>
      </c>
      <c r="D29"/>
      <c r="E29"/>
      <c r="F29"/>
    </row>
    <row r="30" spans="1:6" x14ac:dyDescent="0.3">
      <c r="A30" s="40"/>
      <c r="B30" s="41" t="s">
        <v>106</v>
      </c>
      <c r="C30" s="41">
        <v>671</v>
      </c>
      <c r="D30"/>
      <c r="E30"/>
      <c r="F30"/>
    </row>
    <row r="31" spans="1:6" x14ac:dyDescent="0.3">
      <c r="A31" s="40"/>
      <c r="B31" s="41" t="s">
        <v>107</v>
      </c>
      <c r="C31" s="41">
        <v>672</v>
      </c>
      <c r="D31"/>
      <c r="E31"/>
      <c r="F31"/>
    </row>
    <row r="32" spans="1:6" x14ac:dyDescent="0.3">
      <c r="A32" s="40"/>
      <c r="B32" s="41" t="s">
        <v>108</v>
      </c>
      <c r="C32" s="41">
        <v>673</v>
      </c>
      <c r="D32"/>
      <c r="E32"/>
      <c r="F32"/>
    </row>
    <row r="33" spans="1:6" x14ac:dyDescent="0.3">
      <c r="A33" s="40"/>
      <c r="B33" s="41" t="s">
        <v>109</v>
      </c>
      <c r="C33" s="41">
        <v>674</v>
      </c>
      <c r="D33"/>
      <c r="E33"/>
      <c r="F33"/>
    </row>
    <row r="34" spans="1:6" x14ac:dyDescent="0.3">
      <c r="A34" s="40"/>
      <c r="B34" s="41" t="s">
        <v>110</v>
      </c>
      <c r="C34" s="41">
        <v>1211</v>
      </c>
      <c r="D34"/>
      <c r="E34"/>
      <c r="F34"/>
    </row>
    <row r="35" spans="1:6" x14ac:dyDescent="0.3">
      <c r="A35" s="40"/>
      <c r="B35" s="41" t="s">
        <v>111</v>
      </c>
      <c r="C35" s="41">
        <v>675</v>
      </c>
      <c r="D35"/>
      <c r="E35"/>
      <c r="F35"/>
    </row>
    <row r="36" spans="1:6" x14ac:dyDescent="0.3">
      <c r="A36" s="40"/>
      <c r="B36" s="41" t="s">
        <v>112</v>
      </c>
      <c r="C36" s="41">
        <v>874</v>
      </c>
      <c r="D36"/>
      <c r="E36"/>
      <c r="F36"/>
    </row>
    <row r="37" spans="1:6" x14ac:dyDescent="0.3">
      <c r="A37" s="40"/>
      <c r="B37" s="41" t="s">
        <v>113</v>
      </c>
      <c r="C37" s="41">
        <v>876</v>
      </c>
      <c r="D37"/>
      <c r="E37"/>
      <c r="F37"/>
    </row>
    <row r="38" spans="1:6" x14ac:dyDescent="0.3">
      <c r="A38" s="40"/>
      <c r="B38" s="41" t="s">
        <v>114</v>
      </c>
      <c r="C38" s="41">
        <v>875</v>
      </c>
      <c r="D38"/>
      <c r="E38"/>
      <c r="F38"/>
    </row>
    <row r="39" spans="1:6" x14ac:dyDescent="0.3">
      <c r="A39" s="40"/>
      <c r="B39" s="41" t="s">
        <v>115</v>
      </c>
      <c r="C39" s="41">
        <v>2561</v>
      </c>
      <c r="D39"/>
      <c r="E39"/>
      <c r="F39"/>
    </row>
    <row r="40" spans="1:6" x14ac:dyDescent="0.3">
      <c r="A40" s="40"/>
      <c r="B40" s="41" t="s">
        <v>116</v>
      </c>
      <c r="C40" s="41">
        <v>2597</v>
      </c>
      <c r="D40"/>
      <c r="E40"/>
      <c r="F40"/>
    </row>
    <row r="41" spans="1:6" x14ac:dyDescent="0.3">
      <c r="A41" s="40"/>
      <c r="B41" s="41" t="s">
        <v>117</v>
      </c>
      <c r="C41" s="41">
        <v>2932</v>
      </c>
      <c r="D41"/>
      <c r="E41"/>
      <c r="F41"/>
    </row>
    <row r="42" spans="1:6" x14ac:dyDescent="0.3">
      <c r="A42" s="40"/>
      <c r="B42" s="41" t="s">
        <v>118</v>
      </c>
      <c r="C42" s="41">
        <v>680</v>
      </c>
      <c r="D42"/>
      <c r="E42"/>
      <c r="F42"/>
    </row>
    <row r="43" spans="1:6" x14ac:dyDescent="0.3">
      <c r="A43" s="40" t="s">
        <v>119</v>
      </c>
      <c r="B43" s="41"/>
      <c r="C43" s="41"/>
      <c r="D43"/>
      <c r="E43"/>
      <c r="F43"/>
    </row>
    <row r="44" spans="1:6" x14ac:dyDescent="0.3">
      <c r="A44" s="40"/>
      <c r="B44" s="41" t="s">
        <v>120</v>
      </c>
      <c r="C44" s="41">
        <v>1279</v>
      </c>
      <c r="D44"/>
      <c r="E44"/>
      <c r="F44"/>
    </row>
    <row r="45" spans="1:6" x14ac:dyDescent="0.3">
      <c r="A45" s="40"/>
      <c r="B45" s="41" t="s">
        <v>121</v>
      </c>
      <c r="C45" s="41">
        <v>1816</v>
      </c>
      <c r="D45"/>
      <c r="E45"/>
      <c r="F45"/>
    </row>
    <row r="46" spans="1:6" x14ac:dyDescent="0.3">
      <c r="A46" s="40"/>
      <c r="B46" s="41" t="s">
        <v>122</v>
      </c>
      <c r="C46" s="41">
        <v>840</v>
      </c>
      <c r="D46"/>
      <c r="E46"/>
      <c r="F46"/>
    </row>
    <row r="47" spans="1:6" x14ac:dyDescent="0.3">
      <c r="A47" s="40"/>
      <c r="B47" s="41" t="s">
        <v>123</v>
      </c>
      <c r="C47" s="41">
        <v>41</v>
      </c>
      <c r="D47"/>
      <c r="E47"/>
      <c r="F47"/>
    </row>
    <row r="48" spans="1:6" x14ac:dyDescent="0.3">
      <c r="A48" s="40"/>
      <c r="B48" s="41" t="s">
        <v>124</v>
      </c>
      <c r="C48" s="41">
        <v>2694</v>
      </c>
      <c r="D48"/>
      <c r="E48"/>
      <c r="F48"/>
    </row>
    <row r="49" spans="1:6" x14ac:dyDescent="0.3">
      <c r="A49" s="40"/>
      <c r="B49" s="41" t="s">
        <v>125</v>
      </c>
      <c r="C49" s="41">
        <v>1918</v>
      </c>
      <c r="D49"/>
      <c r="E49"/>
      <c r="F49"/>
    </row>
    <row r="50" spans="1:6" x14ac:dyDescent="0.3">
      <c r="A50" s="40"/>
      <c r="B50" s="41" t="s">
        <v>126</v>
      </c>
      <c r="C50" s="41">
        <v>65</v>
      </c>
      <c r="D50"/>
      <c r="E50"/>
      <c r="F50"/>
    </row>
    <row r="51" spans="1:6" x14ac:dyDescent="0.3">
      <c r="A51" s="40"/>
      <c r="B51" s="41" t="s">
        <v>127</v>
      </c>
      <c r="C51" s="41">
        <v>2728</v>
      </c>
      <c r="D51"/>
      <c r="E51"/>
      <c r="F51"/>
    </row>
    <row r="52" spans="1:6" x14ac:dyDescent="0.3">
      <c r="A52" s="40"/>
      <c r="B52" s="41" t="s">
        <v>128</v>
      </c>
      <c r="C52" s="41">
        <v>81</v>
      </c>
      <c r="D52"/>
      <c r="E52"/>
      <c r="F52"/>
    </row>
    <row r="53" spans="1:6" x14ac:dyDescent="0.3">
      <c r="A53" s="40"/>
      <c r="B53" s="41" t="s">
        <v>129</v>
      </c>
      <c r="C53" s="41">
        <v>1286</v>
      </c>
      <c r="D53"/>
      <c r="E53"/>
      <c r="F53"/>
    </row>
    <row r="54" spans="1:6" x14ac:dyDescent="0.3">
      <c r="A54" s="40"/>
      <c r="B54" s="41" t="s">
        <v>130</v>
      </c>
      <c r="C54" s="41">
        <v>2958</v>
      </c>
      <c r="D54"/>
      <c r="E54"/>
      <c r="F54"/>
    </row>
    <row r="55" spans="1:6" x14ac:dyDescent="0.3">
      <c r="A55" s="40"/>
      <c r="B55" s="41" t="s">
        <v>131</v>
      </c>
      <c r="C55" s="41">
        <v>128</v>
      </c>
      <c r="D55"/>
      <c r="E55"/>
      <c r="F55"/>
    </row>
    <row r="56" spans="1:6" x14ac:dyDescent="0.3">
      <c r="A56" s="40"/>
      <c r="B56" s="41" t="s">
        <v>132</v>
      </c>
      <c r="C56" s="41">
        <v>129</v>
      </c>
      <c r="D56"/>
      <c r="E56"/>
      <c r="F56"/>
    </row>
    <row r="57" spans="1:6" x14ac:dyDescent="0.3">
      <c r="A57" s="40"/>
      <c r="B57" s="41" t="s">
        <v>133</v>
      </c>
      <c r="C57" s="41">
        <v>780</v>
      </c>
      <c r="D57"/>
      <c r="E57"/>
      <c r="F57"/>
    </row>
    <row r="58" spans="1:6" x14ac:dyDescent="0.3">
      <c r="A58" s="40"/>
      <c r="B58" s="41" t="s">
        <v>134</v>
      </c>
      <c r="C58" s="41">
        <v>824</v>
      </c>
      <c r="D58"/>
      <c r="E58"/>
      <c r="F58"/>
    </row>
    <row r="59" spans="1:6" x14ac:dyDescent="0.3">
      <c r="A59" s="40"/>
      <c r="B59" s="41" t="s">
        <v>135</v>
      </c>
      <c r="C59" s="41">
        <v>134</v>
      </c>
      <c r="D59"/>
      <c r="E59"/>
      <c r="F59"/>
    </row>
    <row r="60" spans="1:6" x14ac:dyDescent="0.3">
      <c r="A60" s="40"/>
      <c r="B60" s="41" t="s">
        <v>136</v>
      </c>
      <c r="C60" s="41">
        <v>1907</v>
      </c>
      <c r="D60"/>
      <c r="E60"/>
      <c r="F60"/>
    </row>
    <row r="61" spans="1:6" x14ac:dyDescent="0.3">
      <c r="A61" s="40"/>
      <c r="B61" s="41" t="s">
        <v>137</v>
      </c>
      <c r="C61" s="41">
        <v>172</v>
      </c>
      <c r="D61"/>
      <c r="E61"/>
      <c r="F61"/>
    </row>
    <row r="62" spans="1:6" x14ac:dyDescent="0.3">
      <c r="A62" s="40"/>
      <c r="B62" s="41" t="s">
        <v>138</v>
      </c>
      <c r="C62" s="41">
        <v>173</v>
      </c>
      <c r="D62"/>
      <c r="E62"/>
      <c r="F62"/>
    </row>
    <row r="63" spans="1:6" x14ac:dyDescent="0.3">
      <c r="A63" s="40"/>
      <c r="B63" s="41" t="s">
        <v>139</v>
      </c>
      <c r="C63" s="41">
        <v>175</v>
      </c>
      <c r="D63"/>
      <c r="E63"/>
      <c r="F63"/>
    </row>
    <row r="64" spans="1:6" x14ac:dyDescent="0.3">
      <c r="A64" s="40"/>
      <c r="B64" s="41" t="s">
        <v>140</v>
      </c>
      <c r="C64" s="41">
        <v>192</v>
      </c>
      <c r="D64"/>
      <c r="E64"/>
      <c r="F64"/>
    </row>
    <row r="65" spans="1:6" x14ac:dyDescent="0.3">
      <c r="A65" s="40"/>
      <c r="B65" s="41" t="s">
        <v>141</v>
      </c>
      <c r="C65" s="41">
        <v>2620</v>
      </c>
      <c r="D65"/>
      <c r="E65"/>
      <c r="F65"/>
    </row>
    <row r="66" spans="1:6" x14ac:dyDescent="0.3">
      <c r="A66" s="40"/>
      <c r="B66" s="41" t="s">
        <v>142</v>
      </c>
      <c r="C66" s="41">
        <v>2683</v>
      </c>
      <c r="D66"/>
      <c r="E66"/>
      <c r="F66"/>
    </row>
    <row r="67" spans="1:6" x14ac:dyDescent="0.3">
      <c r="A67" s="40"/>
      <c r="B67" s="41" t="s">
        <v>143</v>
      </c>
      <c r="C67" s="41">
        <v>240</v>
      </c>
      <c r="D67"/>
      <c r="E67"/>
      <c r="F67"/>
    </row>
    <row r="68" spans="1:6" x14ac:dyDescent="0.3">
      <c r="A68" s="40"/>
      <c r="B68" s="41" t="s">
        <v>144</v>
      </c>
      <c r="C68" s="41">
        <v>245</v>
      </c>
      <c r="D68"/>
      <c r="E68"/>
      <c r="F68"/>
    </row>
    <row r="69" spans="1:6" x14ac:dyDescent="0.3">
      <c r="A69" s="40"/>
      <c r="B69" s="41" t="s">
        <v>145</v>
      </c>
      <c r="C69" s="41">
        <v>614</v>
      </c>
      <c r="D69"/>
      <c r="E69"/>
      <c r="F69"/>
    </row>
    <row r="70" spans="1:6" x14ac:dyDescent="0.3">
      <c r="A70" s="40"/>
      <c r="B70" s="41" t="s">
        <v>146</v>
      </c>
      <c r="C70" s="41">
        <v>1285</v>
      </c>
      <c r="D70"/>
      <c r="E70"/>
      <c r="F70"/>
    </row>
    <row r="71" spans="1:6" x14ac:dyDescent="0.3">
      <c r="A71" s="40"/>
      <c r="B71" s="41" t="s">
        <v>147</v>
      </c>
      <c r="C71" s="41">
        <v>1282</v>
      </c>
      <c r="D71"/>
      <c r="E71"/>
      <c r="F71"/>
    </row>
    <row r="72" spans="1:6" x14ac:dyDescent="0.3">
      <c r="A72" s="40"/>
      <c r="B72" s="41" t="s">
        <v>148</v>
      </c>
      <c r="C72" s="41">
        <v>273</v>
      </c>
      <c r="D72"/>
      <c r="E72"/>
      <c r="F72"/>
    </row>
    <row r="73" spans="1:6" x14ac:dyDescent="0.3">
      <c r="A73" s="40"/>
      <c r="B73" s="41" t="s">
        <v>149</v>
      </c>
      <c r="C73" s="41">
        <v>2602</v>
      </c>
      <c r="D73"/>
      <c r="E73"/>
      <c r="F73"/>
    </row>
    <row r="74" spans="1:6" x14ac:dyDescent="0.3">
      <c r="A74" s="40"/>
      <c r="B74" s="41" t="s">
        <v>150</v>
      </c>
      <c r="C74" s="41">
        <v>2642</v>
      </c>
      <c r="D74"/>
      <c r="E74"/>
      <c r="F74"/>
    </row>
    <row r="75" spans="1:6" x14ac:dyDescent="0.3">
      <c r="A75" s="40"/>
      <c r="B75" s="41" t="s">
        <v>151</v>
      </c>
      <c r="C75" s="41">
        <v>2955</v>
      </c>
      <c r="D75"/>
      <c r="E75"/>
      <c r="F75"/>
    </row>
    <row r="76" spans="1:6" x14ac:dyDescent="0.3">
      <c r="A76" s="40"/>
      <c r="B76" s="41" t="s">
        <v>152</v>
      </c>
      <c r="C76" s="41">
        <v>797</v>
      </c>
      <c r="D76"/>
      <c r="E76"/>
      <c r="F76"/>
    </row>
    <row r="77" spans="1:6" x14ac:dyDescent="0.3">
      <c r="A77" s="40"/>
      <c r="B77" s="41" t="s">
        <v>153</v>
      </c>
      <c r="C77" s="41">
        <v>297</v>
      </c>
      <c r="D77"/>
      <c r="E77"/>
      <c r="F77"/>
    </row>
    <row r="78" spans="1:6" x14ac:dyDescent="0.3">
      <c r="A78" s="40"/>
      <c r="B78" s="41" t="s">
        <v>154</v>
      </c>
      <c r="C78" s="41">
        <v>315</v>
      </c>
      <c r="D78"/>
      <c r="E78"/>
      <c r="F78"/>
    </row>
    <row r="79" spans="1:6" x14ac:dyDescent="0.3">
      <c r="A79" s="40"/>
      <c r="B79" s="41" t="s">
        <v>155</v>
      </c>
      <c r="C79" s="41">
        <v>322</v>
      </c>
      <c r="D79"/>
      <c r="E79"/>
      <c r="F79"/>
    </row>
    <row r="80" spans="1:6" x14ac:dyDescent="0.3">
      <c r="A80" s="40"/>
      <c r="B80" s="41" t="s">
        <v>156</v>
      </c>
      <c r="C80" s="41">
        <v>340</v>
      </c>
      <c r="D80"/>
      <c r="E80"/>
      <c r="F80"/>
    </row>
    <row r="81" spans="1:6" x14ac:dyDescent="0.3">
      <c r="A81" s="40"/>
      <c r="B81" s="41" t="s">
        <v>157</v>
      </c>
      <c r="C81" s="41">
        <v>1280</v>
      </c>
      <c r="D81"/>
      <c r="E81"/>
      <c r="F81"/>
    </row>
    <row r="82" spans="1:6" x14ac:dyDescent="0.3">
      <c r="A82" s="40"/>
      <c r="B82" s="41" t="s">
        <v>158</v>
      </c>
      <c r="C82" s="41">
        <v>1917</v>
      </c>
      <c r="D82"/>
      <c r="E82"/>
      <c r="F82"/>
    </row>
    <row r="83" spans="1:6" x14ac:dyDescent="0.3">
      <c r="A83" s="40"/>
      <c r="B83" s="41" t="s">
        <v>159</v>
      </c>
      <c r="C83" s="41">
        <v>388</v>
      </c>
      <c r="D83"/>
      <c r="E83"/>
      <c r="F83"/>
    </row>
    <row r="84" spans="1:6" x14ac:dyDescent="0.3">
      <c r="A84" s="40"/>
      <c r="B84" s="41" t="s">
        <v>160</v>
      </c>
      <c r="C84" s="41">
        <v>1811</v>
      </c>
      <c r="D84"/>
      <c r="E84"/>
      <c r="F84"/>
    </row>
    <row r="85" spans="1:6" x14ac:dyDescent="0.3">
      <c r="A85" s="40"/>
      <c r="B85" s="41" t="s">
        <v>161</v>
      </c>
      <c r="C85" s="41">
        <v>1916</v>
      </c>
      <c r="D85"/>
      <c r="E85"/>
      <c r="F85"/>
    </row>
    <row r="86" spans="1:6" x14ac:dyDescent="0.3">
      <c r="A86" s="40"/>
      <c r="B86" s="41" t="s">
        <v>162</v>
      </c>
      <c r="C86" s="41">
        <v>2645</v>
      </c>
      <c r="D86"/>
      <c r="E86"/>
      <c r="F86"/>
    </row>
    <row r="87" spans="1:6" x14ac:dyDescent="0.3">
      <c r="A87" s="40"/>
      <c r="B87" s="41" t="s">
        <v>163</v>
      </c>
      <c r="C87" s="41">
        <v>480</v>
      </c>
      <c r="D87"/>
      <c r="E87"/>
      <c r="F87"/>
    </row>
    <row r="88" spans="1:6" x14ac:dyDescent="0.3">
      <c r="A88" s="40"/>
      <c r="B88" s="41" t="s">
        <v>164</v>
      </c>
      <c r="C88" s="41">
        <v>2730</v>
      </c>
      <c r="D88"/>
      <c r="E88"/>
      <c r="F88"/>
    </row>
    <row r="89" spans="1:6" x14ac:dyDescent="0.3">
      <c r="A89" s="40"/>
      <c r="B89" s="41" t="s">
        <v>165</v>
      </c>
      <c r="C89" s="41">
        <v>1899</v>
      </c>
      <c r="D89"/>
      <c r="E89"/>
      <c r="F89"/>
    </row>
    <row r="90" spans="1:6" x14ac:dyDescent="0.3">
      <c r="A90" s="40"/>
      <c r="B90" s="41" t="s">
        <v>166</v>
      </c>
      <c r="C90" s="41">
        <v>2709</v>
      </c>
      <c r="D90"/>
      <c r="E90"/>
      <c r="F90"/>
    </row>
    <row r="91" spans="1:6" x14ac:dyDescent="0.3">
      <c r="A91" s="40"/>
      <c r="B91" s="41" t="s">
        <v>167</v>
      </c>
      <c r="C91" s="41">
        <v>14</v>
      </c>
      <c r="D91"/>
      <c r="E91"/>
      <c r="F91"/>
    </row>
    <row r="92" spans="1:6" x14ac:dyDescent="0.3">
      <c r="A92" s="40" t="s">
        <v>168</v>
      </c>
      <c r="B92" s="41"/>
      <c r="C92" s="41"/>
      <c r="D92"/>
      <c r="E92"/>
      <c r="F92"/>
    </row>
    <row r="93" spans="1:6" x14ac:dyDescent="0.3">
      <c r="A93" s="40"/>
      <c r="B93" s="41" t="s">
        <v>169</v>
      </c>
      <c r="C93" s="41">
        <v>2717</v>
      </c>
      <c r="D93"/>
      <c r="E93"/>
      <c r="F93"/>
    </row>
    <row r="94" spans="1:6" x14ac:dyDescent="0.3">
      <c r="A94" s="40"/>
      <c r="B94" s="41" t="s">
        <v>170</v>
      </c>
      <c r="C94" s="41">
        <v>147</v>
      </c>
      <c r="D94"/>
      <c r="E94"/>
      <c r="F94"/>
    </row>
    <row r="95" spans="1:6" x14ac:dyDescent="0.3">
      <c r="A95" s="40"/>
      <c r="B95" s="41" t="s">
        <v>171</v>
      </c>
      <c r="C95" s="41">
        <v>1215</v>
      </c>
      <c r="D95"/>
      <c r="E95"/>
      <c r="F95"/>
    </row>
    <row r="96" spans="1:6" x14ac:dyDescent="0.3">
      <c r="A96" s="40"/>
      <c r="B96" s="41" t="s">
        <v>172</v>
      </c>
      <c r="C96" s="41">
        <v>751</v>
      </c>
      <c r="D96"/>
      <c r="E96"/>
      <c r="F96"/>
    </row>
    <row r="97" spans="1:6" x14ac:dyDescent="0.3">
      <c r="A97" s="40"/>
      <c r="B97" s="41" t="s">
        <v>173</v>
      </c>
      <c r="C97" s="41">
        <v>750</v>
      </c>
      <c r="D97"/>
      <c r="E97"/>
      <c r="F97"/>
    </row>
    <row r="98" spans="1:6" x14ac:dyDescent="0.3">
      <c r="A98" s="40"/>
      <c r="B98" s="41" t="s">
        <v>174</v>
      </c>
      <c r="C98" s="41">
        <v>149</v>
      </c>
      <c r="D98"/>
      <c r="E98"/>
      <c r="F98"/>
    </row>
    <row r="99" spans="1:6" x14ac:dyDescent="0.3">
      <c r="A99" s="40"/>
      <c r="B99" s="41" t="s">
        <v>175</v>
      </c>
      <c r="C99" s="41">
        <v>145</v>
      </c>
      <c r="D99"/>
      <c r="E99"/>
      <c r="F99"/>
    </row>
    <row r="100" spans="1:6" x14ac:dyDescent="0.3">
      <c r="A100" s="40"/>
      <c r="B100" s="41" t="s">
        <v>176</v>
      </c>
      <c r="C100" s="41">
        <v>1213</v>
      </c>
      <c r="D100"/>
      <c r="E100"/>
      <c r="F100"/>
    </row>
    <row r="101" spans="1:6" x14ac:dyDescent="0.3">
      <c r="A101" s="40"/>
      <c r="B101" s="41" t="s">
        <v>177</v>
      </c>
      <c r="C101" s="41">
        <v>748</v>
      </c>
      <c r="D101"/>
      <c r="E101"/>
      <c r="F101"/>
    </row>
    <row r="102" spans="1:6" x14ac:dyDescent="0.3">
      <c r="A102" s="40"/>
      <c r="B102" s="41" t="s">
        <v>178</v>
      </c>
      <c r="C102" s="41">
        <v>1293</v>
      </c>
      <c r="D102"/>
      <c r="E102"/>
      <c r="F102"/>
    </row>
    <row r="103" spans="1:6" x14ac:dyDescent="0.3">
      <c r="A103" s="40"/>
      <c r="B103" s="41" t="s">
        <v>179</v>
      </c>
      <c r="C103" s="41">
        <v>1212</v>
      </c>
      <c r="D103"/>
      <c r="E103"/>
      <c r="F103"/>
    </row>
    <row r="104" spans="1:6" x14ac:dyDescent="0.3">
      <c r="A104" s="40"/>
      <c r="B104" s="41" t="s">
        <v>180</v>
      </c>
      <c r="C104" s="41">
        <v>337</v>
      </c>
      <c r="D104"/>
      <c r="E104"/>
      <c r="F104"/>
    </row>
    <row r="105" spans="1:6" x14ac:dyDescent="0.3">
      <c r="A105" s="40"/>
      <c r="B105" s="41" t="s">
        <v>181</v>
      </c>
      <c r="C105" s="41">
        <v>2716</v>
      </c>
      <c r="D105"/>
      <c r="E105"/>
      <c r="F105"/>
    </row>
    <row r="106" spans="1:6" x14ac:dyDescent="0.3">
      <c r="A106" s="40"/>
      <c r="B106" s="41" t="s">
        <v>182</v>
      </c>
      <c r="C106" s="41">
        <v>1292</v>
      </c>
      <c r="D106"/>
      <c r="E106"/>
      <c r="F106"/>
    </row>
    <row r="107" spans="1:6" x14ac:dyDescent="0.3">
      <c r="A107" s="40"/>
      <c r="B107" s="41" t="s">
        <v>183</v>
      </c>
      <c r="C107" s="41">
        <v>1214</v>
      </c>
      <c r="D107"/>
      <c r="E107"/>
      <c r="F107"/>
    </row>
    <row r="108" spans="1:6" x14ac:dyDescent="0.3">
      <c r="A108" s="40"/>
      <c r="B108" s="41" t="s">
        <v>184</v>
      </c>
      <c r="C108" s="41">
        <v>749</v>
      </c>
      <c r="D108"/>
      <c r="E108"/>
      <c r="F108"/>
    </row>
    <row r="109" spans="1:6" x14ac:dyDescent="0.3">
      <c r="A109" s="40"/>
      <c r="B109" s="41" t="s">
        <v>185</v>
      </c>
      <c r="C109" s="41">
        <v>1294</v>
      </c>
      <c r="D109"/>
      <c r="E109"/>
      <c r="F109"/>
    </row>
    <row r="110" spans="1:6" x14ac:dyDescent="0.3">
      <c r="A110" s="40"/>
      <c r="B110" s="41" t="s">
        <v>186</v>
      </c>
      <c r="C110" s="41">
        <v>604</v>
      </c>
      <c r="D110"/>
      <c r="E110"/>
      <c r="F110"/>
    </row>
    <row r="111" spans="1:6" x14ac:dyDescent="0.3">
      <c r="A111" s="40" t="s">
        <v>187</v>
      </c>
      <c r="B111" s="41"/>
      <c r="C111" s="41"/>
      <c r="D111"/>
      <c r="E111"/>
      <c r="F111"/>
    </row>
    <row r="112" spans="1:6" x14ac:dyDescent="0.3">
      <c r="A112" s="40"/>
      <c r="B112" s="41" t="s">
        <v>188</v>
      </c>
      <c r="C112" s="41">
        <v>820</v>
      </c>
      <c r="D112"/>
      <c r="E112"/>
      <c r="F112"/>
    </row>
    <row r="113" spans="1:6" x14ac:dyDescent="0.3">
      <c r="A113" s="40"/>
      <c r="B113" s="41" t="s">
        <v>189</v>
      </c>
      <c r="C113" s="41">
        <v>159</v>
      </c>
      <c r="D113"/>
      <c r="E113"/>
      <c r="F113"/>
    </row>
    <row r="114" spans="1:6" x14ac:dyDescent="0.3">
      <c r="A114" s="40"/>
      <c r="B114" s="41" t="s">
        <v>190</v>
      </c>
      <c r="C114" s="41">
        <v>161</v>
      </c>
      <c r="D114"/>
      <c r="E114"/>
      <c r="F114"/>
    </row>
    <row r="115" spans="1:6" x14ac:dyDescent="0.3">
      <c r="A115" s="40"/>
      <c r="B115" s="41" t="s">
        <v>191</v>
      </c>
      <c r="C115" s="41">
        <v>1380</v>
      </c>
      <c r="D115"/>
      <c r="E115"/>
      <c r="F115"/>
    </row>
    <row r="116" spans="1:6" x14ac:dyDescent="0.3">
      <c r="A116" s="40"/>
      <c r="B116" s="41" t="s">
        <v>192</v>
      </c>
      <c r="C116" s="41">
        <v>2575</v>
      </c>
      <c r="D116"/>
      <c r="E116"/>
      <c r="F116"/>
    </row>
    <row r="117" spans="1:6" x14ac:dyDescent="0.3">
      <c r="A117" s="40"/>
      <c r="B117" s="41" t="s">
        <v>193</v>
      </c>
      <c r="C117" s="41">
        <v>1381</v>
      </c>
      <c r="D117"/>
      <c r="E117"/>
      <c r="F117"/>
    </row>
    <row r="118" spans="1:6" x14ac:dyDescent="0.3">
      <c r="A118" s="40"/>
      <c r="B118" s="41" t="s">
        <v>194</v>
      </c>
      <c r="C118" s="41">
        <v>163</v>
      </c>
      <c r="D118"/>
      <c r="E118"/>
      <c r="F118"/>
    </row>
    <row r="119" spans="1:6" x14ac:dyDescent="0.3">
      <c r="A119" s="40"/>
      <c r="B119" s="41" t="s">
        <v>195</v>
      </c>
      <c r="C119" s="41">
        <v>1721</v>
      </c>
      <c r="D119"/>
      <c r="E119"/>
      <c r="F119"/>
    </row>
    <row r="120" spans="1:6" x14ac:dyDescent="0.3">
      <c r="A120" s="40"/>
      <c r="B120" s="41" t="s">
        <v>196</v>
      </c>
      <c r="C120" s="41">
        <v>1722</v>
      </c>
      <c r="D120"/>
      <c r="E120"/>
      <c r="F120"/>
    </row>
    <row r="121" spans="1:6" x14ac:dyDescent="0.3">
      <c r="A121" s="40"/>
      <c r="B121" s="41" t="s">
        <v>197</v>
      </c>
      <c r="C121" s="41">
        <v>724</v>
      </c>
      <c r="D121"/>
      <c r="E121"/>
      <c r="F121"/>
    </row>
    <row r="122" spans="1:6" x14ac:dyDescent="0.3">
      <c r="A122" s="40"/>
      <c r="B122" s="41" t="s">
        <v>198</v>
      </c>
      <c r="C122" s="41">
        <v>1371</v>
      </c>
      <c r="D122"/>
      <c r="E122"/>
      <c r="F122"/>
    </row>
    <row r="123" spans="1:6" x14ac:dyDescent="0.3">
      <c r="A123" s="40"/>
      <c r="B123" s="41" t="s">
        <v>199</v>
      </c>
      <c r="C123" s="41">
        <v>1372</v>
      </c>
      <c r="D123"/>
      <c r="E123"/>
      <c r="F123"/>
    </row>
    <row r="124" spans="1:6" x14ac:dyDescent="0.3">
      <c r="A124" s="40"/>
      <c r="B124" s="41" t="s">
        <v>200</v>
      </c>
      <c r="C124" s="41">
        <v>1216</v>
      </c>
      <c r="D124"/>
      <c r="E124"/>
      <c r="F124"/>
    </row>
    <row r="125" spans="1:6" x14ac:dyDescent="0.3">
      <c r="A125" s="40"/>
      <c r="B125" s="41" t="s">
        <v>201</v>
      </c>
      <c r="C125" s="41">
        <v>1218</v>
      </c>
      <c r="D125"/>
      <c r="E125"/>
      <c r="F125"/>
    </row>
    <row r="126" spans="1:6" x14ac:dyDescent="0.3">
      <c r="A126" s="40"/>
      <c r="B126" s="41" t="s">
        <v>202</v>
      </c>
      <c r="C126" s="41">
        <v>1219</v>
      </c>
      <c r="D126"/>
      <c r="E126"/>
      <c r="F126"/>
    </row>
    <row r="127" spans="1:6" x14ac:dyDescent="0.3">
      <c r="A127" s="40"/>
      <c r="B127" s="41" t="s">
        <v>203</v>
      </c>
      <c r="C127" s="41">
        <v>1220</v>
      </c>
      <c r="D127"/>
      <c r="E127"/>
      <c r="F127"/>
    </row>
    <row r="128" spans="1:6" x14ac:dyDescent="0.3">
      <c r="A128" s="40"/>
      <c r="B128" s="41" t="s">
        <v>204</v>
      </c>
      <c r="C128" s="41">
        <v>2852</v>
      </c>
      <c r="D128"/>
      <c r="E128"/>
      <c r="F128"/>
    </row>
    <row r="129" spans="1:6" x14ac:dyDescent="0.3">
      <c r="A129" s="40"/>
      <c r="B129" s="41" t="s">
        <v>205</v>
      </c>
      <c r="C129" s="41">
        <v>1221</v>
      </c>
      <c r="D129"/>
      <c r="E129"/>
      <c r="F129"/>
    </row>
    <row r="130" spans="1:6" x14ac:dyDescent="0.3">
      <c r="A130" s="40"/>
      <c r="B130" s="41" t="s">
        <v>206</v>
      </c>
      <c r="C130" s="41">
        <v>1222</v>
      </c>
      <c r="D130"/>
      <c r="E130"/>
      <c r="F130"/>
    </row>
    <row r="131" spans="1:6" x14ac:dyDescent="0.3">
      <c r="A131" s="40"/>
      <c r="B131" s="41" t="s">
        <v>207</v>
      </c>
      <c r="C131" s="41">
        <v>3</v>
      </c>
      <c r="D131"/>
      <c r="E131"/>
      <c r="F131"/>
    </row>
    <row r="132" spans="1:6" x14ac:dyDescent="0.3">
      <c r="A132" s="40"/>
      <c r="B132" s="41" t="s">
        <v>208</v>
      </c>
      <c r="C132" s="41">
        <v>662</v>
      </c>
      <c r="D132"/>
      <c r="E132"/>
      <c r="F132"/>
    </row>
    <row r="133" spans="1:6" x14ac:dyDescent="0.3">
      <c r="A133" s="40"/>
      <c r="B133" s="41" t="s">
        <v>209</v>
      </c>
      <c r="C133" s="41">
        <v>2776</v>
      </c>
      <c r="D133"/>
      <c r="E133"/>
      <c r="F133"/>
    </row>
    <row r="134" spans="1:6" x14ac:dyDescent="0.3">
      <c r="A134" s="40"/>
      <c r="B134" s="41" t="s">
        <v>210</v>
      </c>
      <c r="C134" s="41">
        <v>854</v>
      </c>
      <c r="D134"/>
      <c r="E134"/>
      <c r="F134"/>
    </row>
    <row r="135" spans="1:6" x14ac:dyDescent="0.3">
      <c r="A135" s="40"/>
      <c r="B135" s="41" t="s">
        <v>211</v>
      </c>
      <c r="C135" s="41">
        <v>2640</v>
      </c>
      <c r="D135"/>
      <c r="E135"/>
      <c r="F135"/>
    </row>
    <row r="136" spans="1:6" x14ac:dyDescent="0.3">
      <c r="A136" s="40"/>
      <c r="B136" s="41" t="s">
        <v>212</v>
      </c>
      <c r="C136" s="41">
        <v>2567</v>
      </c>
      <c r="D136"/>
      <c r="E136"/>
      <c r="F136"/>
    </row>
    <row r="137" spans="1:6" x14ac:dyDescent="0.3">
      <c r="A137" s="40"/>
      <c r="B137" s="41" t="s">
        <v>213</v>
      </c>
      <c r="C137" s="41">
        <v>1021</v>
      </c>
      <c r="D137"/>
      <c r="E137"/>
      <c r="F137"/>
    </row>
    <row r="138" spans="1:6" x14ac:dyDescent="0.3">
      <c r="A138" s="40"/>
      <c r="B138" s="41" t="s">
        <v>214</v>
      </c>
      <c r="C138" s="41">
        <v>18</v>
      </c>
      <c r="D138"/>
      <c r="E138"/>
      <c r="F138"/>
    </row>
    <row r="139" spans="1:6" x14ac:dyDescent="0.3">
      <c r="A139" s="40"/>
      <c r="B139" s="41" t="s">
        <v>215</v>
      </c>
      <c r="C139" s="41">
        <v>2849</v>
      </c>
      <c r="D139"/>
      <c r="E139"/>
      <c r="F139"/>
    </row>
    <row r="140" spans="1:6" x14ac:dyDescent="0.3">
      <c r="A140" s="40"/>
      <c r="B140" s="41" t="s">
        <v>216</v>
      </c>
      <c r="C140" s="41">
        <v>2595</v>
      </c>
      <c r="D140"/>
      <c r="E140"/>
      <c r="F140"/>
    </row>
    <row r="141" spans="1:6" x14ac:dyDescent="0.3">
      <c r="A141" s="40"/>
      <c r="B141" s="41" t="s">
        <v>217</v>
      </c>
      <c r="C141" s="41">
        <v>2569</v>
      </c>
      <c r="D141"/>
      <c r="E141"/>
      <c r="F141"/>
    </row>
    <row r="142" spans="1:6" x14ac:dyDescent="0.3">
      <c r="A142" s="40"/>
      <c r="B142" s="41" t="s">
        <v>218</v>
      </c>
      <c r="C142" s="41">
        <v>2933</v>
      </c>
      <c r="D142"/>
      <c r="E142"/>
      <c r="F142"/>
    </row>
    <row r="143" spans="1:6" x14ac:dyDescent="0.3">
      <c r="A143" s="40"/>
      <c r="B143" s="41" t="s">
        <v>219</v>
      </c>
      <c r="C143" s="41">
        <v>2199</v>
      </c>
      <c r="D143"/>
      <c r="E143"/>
      <c r="F143"/>
    </row>
    <row r="144" spans="1:6" x14ac:dyDescent="0.3">
      <c r="A144" s="40"/>
      <c r="B144" s="41" t="s">
        <v>220</v>
      </c>
      <c r="C144" s="41">
        <v>1805</v>
      </c>
      <c r="D144"/>
      <c r="E144"/>
      <c r="F144"/>
    </row>
    <row r="145" spans="1:6" x14ac:dyDescent="0.3">
      <c r="A145" s="40"/>
      <c r="B145" s="41" t="s">
        <v>221</v>
      </c>
      <c r="C145" s="41">
        <v>2559</v>
      </c>
      <c r="D145"/>
      <c r="E145"/>
      <c r="F145"/>
    </row>
    <row r="146" spans="1:6" x14ac:dyDescent="0.3">
      <c r="A146" s="40"/>
      <c r="B146" s="41" t="s">
        <v>222</v>
      </c>
      <c r="C146" s="41">
        <v>2712</v>
      </c>
      <c r="D146"/>
      <c r="E146"/>
      <c r="F146"/>
    </row>
    <row r="147" spans="1:6" x14ac:dyDescent="0.3">
      <c r="A147" s="40"/>
      <c r="B147" s="41" t="s">
        <v>223</v>
      </c>
      <c r="C147" s="41">
        <v>2855</v>
      </c>
      <c r="D147"/>
      <c r="E147"/>
      <c r="F147"/>
    </row>
    <row r="148" spans="1:6" x14ac:dyDescent="0.3">
      <c r="A148" s="40"/>
      <c r="B148" s="41" t="s">
        <v>224</v>
      </c>
      <c r="C148" s="41">
        <v>1804</v>
      </c>
      <c r="D148"/>
      <c r="E148"/>
      <c r="F148"/>
    </row>
    <row r="149" spans="1:6" x14ac:dyDescent="0.3">
      <c r="A149" s="40"/>
      <c r="B149" s="41" t="s">
        <v>225</v>
      </c>
      <c r="C149" s="41">
        <v>2670</v>
      </c>
      <c r="D149"/>
      <c r="E149"/>
      <c r="F149"/>
    </row>
    <row r="150" spans="1:6" x14ac:dyDescent="0.3">
      <c r="A150" s="40"/>
      <c r="B150" s="41" t="s">
        <v>226</v>
      </c>
      <c r="C150" s="41">
        <v>1803</v>
      </c>
      <c r="D150"/>
      <c r="E150"/>
      <c r="F150"/>
    </row>
    <row r="151" spans="1:6" x14ac:dyDescent="0.3">
      <c r="A151" s="40"/>
      <c r="B151" s="41" t="s">
        <v>227</v>
      </c>
      <c r="C151" s="41">
        <v>2001</v>
      </c>
      <c r="D151"/>
      <c r="E151"/>
      <c r="F151"/>
    </row>
    <row r="152" spans="1:6" x14ac:dyDescent="0.3">
      <c r="A152" s="40"/>
      <c r="B152" s="41" t="s">
        <v>228</v>
      </c>
      <c r="C152" s="41">
        <v>2596</v>
      </c>
      <c r="D152"/>
      <c r="E152"/>
      <c r="F152"/>
    </row>
    <row r="153" spans="1:6" x14ac:dyDescent="0.3">
      <c r="A153" s="40"/>
      <c r="B153" s="41" t="s">
        <v>229</v>
      </c>
      <c r="C153" s="41">
        <v>2924</v>
      </c>
      <c r="D153"/>
      <c r="E153"/>
      <c r="F153"/>
    </row>
    <row r="154" spans="1:6" x14ac:dyDescent="0.3">
      <c r="A154" s="40"/>
      <c r="B154" s="41" t="s">
        <v>230</v>
      </c>
      <c r="C154" s="41">
        <v>2923</v>
      </c>
      <c r="D154"/>
      <c r="E154"/>
      <c r="F154"/>
    </row>
    <row r="155" spans="1:6" x14ac:dyDescent="0.3">
      <c r="A155" s="40"/>
      <c r="B155" s="41" t="s">
        <v>231</v>
      </c>
      <c r="C155" s="41">
        <v>2792</v>
      </c>
      <c r="D155"/>
      <c r="E155"/>
      <c r="F155"/>
    </row>
    <row r="156" spans="1:6" x14ac:dyDescent="0.3">
      <c r="A156" s="40"/>
      <c r="B156" s="41" t="s">
        <v>232</v>
      </c>
      <c r="C156" s="41">
        <v>1896</v>
      </c>
      <c r="D156"/>
      <c r="E156"/>
      <c r="F156"/>
    </row>
    <row r="157" spans="1:6" x14ac:dyDescent="0.3">
      <c r="A157" s="40"/>
      <c r="B157" s="41" t="s">
        <v>233</v>
      </c>
      <c r="C157" s="41">
        <v>2023</v>
      </c>
      <c r="D157"/>
      <c r="E157"/>
      <c r="F157"/>
    </row>
    <row r="158" spans="1:6" x14ac:dyDescent="0.3">
      <c r="A158" s="40"/>
      <c r="B158" s="41" t="s">
        <v>234</v>
      </c>
      <c r="C158" s="41">
        <v>1377</v>
      </c>
      <c r="D158"/>
      <c r="E158"/>
      <c r="F158"/>
    </row>
    <row r="159" spans="1:6" x14ac:dyDescent="0.3">
      <c r="A159" s="40"/>
      <c r="B159" s="41" t="s">
        <v>235</v>
      </c>
      <c r="C159" s="41">
        <v>2570</v>
      </c>
      <c r="D159"/>
      <c r="E159"/>
      <c r="F159"/>
    </row>
    <row r="160" spans="1:6" x14ac:dyDescent="0.3">
      <c r="A160" s="40"/>
      <c r="B160" s="41" t="s">
        <v>236</v>
      </c>
      <c r="C160" s="41">
        <v>2594</v>
      </c>
      <c r="D160"/>
      <c r="E160"/>
      <c r="F160"/>
    </row>
    <row r="161" spans="1:6" x14ac:dyDescent="0.3">
      <c r="A161" s="40"/>
      <c r="B161" s="41" t="s">
        <v>237</v>
      </c>
      <c r="C161" s="41">
        <v>1375</v>
      </c>
      <c r="D161"/>
      <c r="E161"/>
      <c r="F161"/>
    </row>
    <row r="162" spans="1:6" x14ac:dyDescent="0.3">
      <c r="A162" s="40"/>
      <c r="B162" s="41" t="s">
        <v>238</v>
      </c>
      <c r="C162" s="41">
        <v>1378</v>
      </c>
      <c r="D162"/>
      <c r="E162"/>
      <c r="F162"/>
    </row>
    <row r="163" spans="1:6" x14ac:dyDescent="0.3">
      <c r="A163" s="40"/>
      <c r="B163" s="41" t="s">
        <v>239</v>
      </c>
      <c r="C163" s="41">
        <v>1345</v>
      </c>
      <c r="D163"/>
      <c r="E163"/>
      <c r="F163"/>
    </row>
    <row r="164" spans="1:6" x14ac:dyDescent="0.3">
      <c r="A164" s="40"/>
      <c r="B164" s="41" t="s">
        <v>240</v>
      </c>
      <c r="C164" s="41">
        <v>1364</v>
      </c>
      <c r="D164"/>
      <c r="E164"/>
      <c r="F164"/>
    </row>
    <row r="165" spans="1:6" x14ac:dyDescent="0.3">
      <c r="A165" s="40"/>
      <c r="B165" s="41" t="s">
        <v>241</v>
      </c>
      <c r="C165" s="41">
        <v>2593</v>
      </c>
      <c r="D165"/>
      <c r="E165"/>
      <c r="F165"/>
    </row>
    <row r="166" spans="1:6" x14ac:dyDescent="0.3">
      <c r="A166" s="40"/>
      <c r="B166" s="41" t="s">
        <v>242</v>
      </c>
      <c r="C166" s="41">
        <v>1379</v>
      </c>
      <c r="D166"/>
      <c r="E166"/>
      <c r="F166"/>
    </row>
    <row r="167" spans="1:6" x14ac:dyDescent="0.3">
      <c r="A167" s="40"/>
      <c r="B167" s="41" t="s">
        <v>243</v>
      </c>
      <c r="C167" s="41">
        <v>1921</v>
      </c>
      <c r="D167"/>
      <c r="E167"/>
      <c r="F167"/>
    </row>
    <row r="168" spans="1:6" x14ac:dyDescent="0.3">
      <c r="A168" s="40"/>
      <c r="B168" s="41" t="s">
        <v>244</v>
      </c>
      <c r="C168" s="41">
        <v>1723</v>
      </c>
      <c r="D168"/>
      <c r="E168"/>
      <c r="F168"/>
    </row>
    <row r="169" spans="1:6" x14ac:dyDescent="0.3">
      <c r="A169" s="40"/>
      <c r="B169" s="41" t="s">
        <v>245</v>
      </c>
      <c r="C169" s="41">
        <v>1933</v>
      </c>
      <c r="D169"/>
      <c r="E169"/>
      <c r="F169"/>
    </row>
    <row r="170" spans="1:6" x14ac:dyDescent="0.3">
      <c r="A170" s="40"/>
      <c r="B170" s="41" t="s">
        <v>246</v>
      </c>
      <c r="C170" s="41">
        <v>2636</v>
      </c>
      <c r="D170"/>
      <c r="E170"/>
      <c r="F170"/>
    </row>
    <row r="171" spans="1:6" x14ac:dyDescent="0.3">
      <c r="A171" s="40"/>
      <c r="B171" s="41" t="s">
        <v>247</v>
      </c>
      <c r="C171" s="41">
        <v>1376</v>
      </c>
      <c r="D171"/>
      <c r="E171"/>
      <c r="F171"/>
    </row>
    <row r="172" spans="1:6" x14ac:dyDescent="0.3">
      <c r="A172" s="40"/>
      <c r="B172" s="41" t="s">
        <v>248</v>
      </c>
      <c r="C172" s="41">
        <v>684</v>
      </c>
      <c r="D172"/>
      <c r="E172"/>
      <c r="F172"/>
    </row>
    <row r="173" spans="1:6" ht="31.2" x14ac:dyDescent="0.3">
      <c r="A173" s="40" t="s">
        <v>249</v>
      </c>
      <c r="B173" s="41"/>
      <c r="C173" s="41"/>
      <c r="D173"/>
      <c r="E173"/>
      <c r="F173"/>
    </row>
    <row r="174" spans="1:6" x14ac:dyDescent="0.3">
      <c r="A174" s="40"/>
      <c r="B174" s="41" t="s">
        <v>250</v>
      </c>
      <c r="C174" s="41">
        <v>1201</v>
      </c>
      <c r="D174"/>
      <c r="E174"/>
      <c r="F174"/>
    </row>
    <row r="175" spans="1:6" x14ac:dyDescent="0.3">
      <c r="A175" s="40"/>
      <c r="B175" s="41" t="s">
        <v>251</v>
      </c>
      <c r="C175" s="41">
        <v>25</v>
      </c>
      <c r="D175"/>
      <c r="E175"/>
      <c r="F175"/>
    </row>
    <row r="176" spans="1:6" x14ac:dyDescent="0.3">
      <c r="A176" s="40"/>
      <c r="B176" s="41" t="s">
        <v>252</v>
      </c>
      <c r="C176" s="41">
        <v>37</v>
      </c>
      <c r="D176"/>
      <c r="E176"/>
      <c r="F176"/>
    </row>
    <row r="177" spans="1:6" x14ac:dyDescent="0.3">
      <c r="A177" s="40"/>
      <c r="B177" s="41" t="s">
        <v>253</v>
      </c>
      <c r="C177" s="41">
        <v>2411</v>
      </c>
      <c r="D177"/>
      <c r="E177"/>
      <c r="F177"/>
    </row>
    <row r="178" spans="1:6" x14ac:dyDescent="0.3">
      <c r="A178" s="40"/>
      <c r="B178" s="41" t="s">
        <v>254</v>
      </c>
      <c r="C178" s="41">
        <v>57</v>
      </c>
      <c r="D178"/>
      <c r="E178"/>
      <c r="F178"/>
    </row>
    <row r="179" spans="1:6" x14ac:dyDescent="0.3">
      <c r="A179" s="40"/>
      <c r="B179" s="41" t="s">
        <v>255</v>
      </c>
      <c r="C179" s="41">
        <v>2533</v>
      </c>
      <c r="D179"/>
      <c r="E179"/>
      <c r="F179"/>
    </row>
    <row r="180" spans="1:6" x14ac:dyDescent="0.3">
      <c r="A180" s="40"/>
      <c r="B180" s="41" t="s">
        <v>256</v>
      </c>
      <c r="C180" s="41">
        <v>1277</v>
      </c>
      <c r="D180"/>
      <c r="E180"/>
      <c r="F180"/>
    </row>
    <row r="181" spans="1:6" x14ac:dyDescent="0.3">
      <c r="A181" s="40"/>
      <c r="B181" s="41" t="s">
        <v>257</v>
      </c>
      <c r="C181" s="41">
        <v>212</v>
      </c>
      <c r="D181"/>
      <c r="E181"/>
      <c r="F181"/>
    </row>
    <row r="182" spans="1:6" x14ac:dyDescent="0.3">
      <c r="A182" s="40"/>
      <c r="B182" s="41" t="s">
        <v>258</v>
      </c>
      <c r="C182" s="41">
        <v>846</v>
      </c>
      <c r="D182"/>
      <c r="E182"/>
      <c r="F182"/>
    </row>
    <row r="183" spans="1:6" x14ac:dyDescent="0.3">
      <c r="A183" s="40"/>
      <c r="B183" s="41" t="s">
        <v>259</v>
      </c>
      <c r="C183" s="41">
        <v>102</v>
      </c>
      <c r="D183"/>
      <c r="E183"/>
      <c r="F183"/>
    </row>
    <row r="184" spans="1:6" x14ac:dyDescent="0.3">
      <c r="A184" s="40"/>
      <c r="B184" s="41" t="s">
        <v>260</v>
      </c>
      <c r="C184" s="41">
        <v>100</v>
      </c>
      <c r="D184"/>
      <c r="E184"/>
      <c r="F184"/>
    </row>
    <row r="185" spans="1:6" x14ac:dyDescent="0.3">
      <c r="A185" s="40"/>
      <c r="B185" s="41" t="s">
        <v>261</v>
      </c>
      <c r="C185" s="41">
        <v>119</v>
      </c>
      <c r="D185"/>
      <c r="E185"/>
      <c r="F185"/>
    </row>
    <row r="186" spans="1:6" x14ac:dyDescent="0.3">
      <c r="A186" s="40"/>
      <c r="B186" s="41" t="s">
        <v>262</v>
      </c>
      <c r="C186" s="41">
        <v>2947</v>
      </c>
      <c r="D186"/>
      <c r="E186"/>
      <c r="F186"/>
    </row>
    <row r="187" spans="1:6" x14ac:dyDescent="0.3">
      <c r="A187" s="40"/>
      <c r="B187" s="41" t="s">
        <v>263</v>
      </c>
      <c r="C187" s="41">
        <v>140</v>
      </c>
      <c r="D187"/>
      <c r="E187"/>
      <c r="F187"/>
    </row>
    <row r="188" spans="1:6" x14ac:dyDescent="0.3">
      <c r="A188" s="40"/>
      <c r="B188" s="41" t="s">
        <v>264</v>
      </c>
      <c r="C188" s="41">
        <v>2012</v>
      </c>
      <c r="D188"/>
      <c r="E188"/>
      <c r="F188"/>
    </row>
    <row r="189" spans="1:6" x14ac:dyDescent="0.3">
      <c r="A189" s="40"/>
      <c r="B189" s="41" t="s">
        <v>265</v>
      </c>
      <c r="C189" s="41">
        <v>190</v>
      </c>
      <c r="D189"/>
      <c r="E189"/>
      <c r="F189"/>
    </row>
    <row r="190" spans="1:6" x14ac:dyDescent="0.3">
      <c r="A190" s="40"/>
      <c r="B190" s="41" t="s">
        <v>266</v>
      </c>
      <c r="C190" s="41">
        <v>1874</v>
      </c>
      <c r="D190"/>
      <c r="E190"/>
      <c r="F190"/>
    </row>
    <row r="191" spans="1:6" x14ac:dyDescent="0.3">
      <c r="A191" s="40"/>
      <c r="B191" s="41" t="s">
        <v>267</v>
      </c>
      <c r="C191" s="41">
        <v>2848</v>
      </c>
      <c r="D191"/>
      <c r="E191"/>
      <c r="F191"/>
    </row>
    <row r="192" spans="1:6" x14ac:dyDescent="0.3">
      <c r="A192" s="40"/>
      <c r="B192" s="41" t="s">
        <v>268</v>
      </c>
      <c r="C192" s="41">
        <v>294</v>
      </c>
      <c r="D192"/>
      <c r="E192"/>
      <c r="F192"/>
    </row>
    <row r="193" spans="1:6" x14ac:dyDescent="0.3">
      <c r="A193" s="40"/>
      <c r="B193" s="41" t="s">
        <v>269</v>
      </c>
      <c r="C193" s="41">
        <v>305</v>
      </c>
      <c r="D193"/>
      <c r="E193"/>
      <c r="F193"/>
    </row>
    <row r="194" spans="1:6" x14ac:dyDescent="0.3">
      <c r="A194" s="40"/>
      <c r="B194" s="41" t="s">
        <v>270</v>
      </c>
      <c r="C194" s="41">
        <v>1202</v>
      </c>
      <c r="D194"/>
      <c r="E194"/>
      <c r="F194"/>
    </row>
    <row r="195" spans="1:6" x14ac:dyDescent="0.3">
      <c r="A195" s="40"/>
      <c r="B195" s="41" t="s">
        <v>271</v>
      </c>
      <c r="C195" s="41">
        <v>833</v>
      </c>
      <c r="D195"/>
      <c r="E195"/>
      <c r="F195"/>
    </row>
    <row r="196" spans="1:6" x14ac:dyDescent="0.3">
      <c r="A196" s="40"/>
      <c r="B196" s="41" t="s">
        <v>272</v>
      </c>
      <c r="C196" s="41">
        <v>819</v>
      </c>
      <c r="D196"/>
      <c r="E196"/>
      <c r="F196"/>
    </row>
    <row r="197" spans="1:6" x14ac:dyDescent="0.3">
      <c r="A197" s="40"/>
      <c r="B197" s="41" t="s">
        <v>273</v>
      </c>
      <c r="C197" s="41">
        <v>2850</v>
      </c>
      <c r="D197"/>
      <c r="E197"/>
      <c r="F197"/>
    </row>
    <row r="198" spans="1:6" x14ac:dyDescent="0.3">
      <c r="A198" s="40"/>
      <c r="B198" s="41" t="s">
        <v>274</v>
      </c>
      <c r="C198" s="41">
        <v>1278</v>
      </c>
      <c r="D198"/>
      <c r="E198"/>
      <c r="F198"/>
    </row>
    <row r="199" spans="1:6" x14ac:dyDescent="0.3">
      <c r="A199" s="40"/>
      <c r="B199" s="41" t="s">
        <v>275</v>
      </c>
      <c r="C199" s="41">
        <v>1814</v>
      </c>
      <c r="D199"/>
      <c r="E199"/>
      <c r="F199"/>
    </row>
    <row r="200" spans="1:6" x14ac:dyDescent="0.3">
      <c r="A200" s="40"/>
      <c r="B200" s="41" t="s">
        <v>276</v>
      </c>
      <c r="C200" s="41">
        <v>1891</v>
      </c>
      <c r="D200"/>
      <c r="E200"/>
      <c r="F200"/>
    </row>
    <row r="201" spans="1:6" x14ac:dyDescent="0.3">
      <c r="A201" s="40"/>
      <c r="B201" s="41" t="s">
        <v>277</v>
      </c>
      <c r="C201" s="41">
        <v>503</v>
      </c>
      <c r="D201"/>
      <c r="E201"/>
      <c r="F201"/>
    </row>
    <row r="202" spans="1:6" x14ac:dyDescent="0.3">
      <c r="A202" s="40"/>
      <c r="B202" s="41" t="s">
        <v>278</v>
      </c>
      <c r="C202" s="41">
        <v>507</v>
      </c>
      <c r="D202"/>
      <c r="E202"/>
      <c r="F202"/>
    </row>
    <row r="203" spans="1:6" x14ac:dyDescent="0.3">
      <c r="A203" s="40"/>
      <c r="B203" s="41" t="s">
        <v>279</v>
      </c>
      <c r="C203" s="41">
        <v>509</v>
      </c>
      <c r="D203"/>
      <c r="E203"/>
      <c r="F203"/>
    </row>
    <row r="204" spans="1:6" x14ac:dyDescent="0.3">
      <c r="A204" s="40"/>
      <c r="B204" s="41" t="s">
        <v>280</v>
      </c>
      <c r="C204" s="41">
        <v>520</v>
      </c>
      <c r="D204"/>
      <c r="E204"/>
      <c r="F204"/>
    </row>
    <row r="205" spans="1:6" x14ac:dyDescent="0.3">
      <c r="A205" s="40"/>
      <c r="B205" s="41" t="s">
        <v>281</v>
      </c>
      <c r="C205" s="41">
        <v>525</v>
      </c>
      <c r="D205"/>
      <c r="E205"/>
      <c r="F205"/>
    </row>
    <row r="206" spans="1:6" x14ac:dyDescent="0.3">
      <c r="A206" s="40"/>
      <c r="B206" s="41" t="s">
        <v>282</v>
      </c>
      <c r="C206" s="41">
        <v>578</v>
      </c>
      <c r="D206"/>
      <c r="E206"/>
      <c r="F206"/>
    </row>
    <row r="207" spans="1:6" x14ac:dyDescent="0.3">
      <c r="A207" s="40" t="s">
        <v>283</v>
      </c>
      <c r="B207" s="41"/>
      <c r="C207" s="41"/>
      <c r="D207"/>
      <c r="E207"/>
      <c r="F207"/>
    </row>
    <row r="208" spans="1:6" x14ac:dyDescent="0.3">
      <c r="A208" s="40"/>
      <c r="B208" s="41" t="s">
        <v>284</v>
      </c>
      <c r="C208" s="41">
        <v>857</v>
      </c>
      <c r="D208"/>
      <c r="E208"/>
      <c r="F208"/>
    </row>
    <row r="209" spans="1:6" x14ac:dyDescent="0.3">
      <c r="A209" s="40"/>
      <c r="B209" s="41" t="s">
        <v>285</v>
      </c>
      <c r="C209" s="41">
        <v>861</v>
      </c>
      <c r="D209"/>
      <c r="E209"/>
      <c r="F209"/>
    </row>
    <row r="210" spans="1:6" x14ac:dyDescent="0.3">
      <c r="A210" s="40"/>
      <c r="B210" s="41" t="s">
        <v>286</v>
      </c>
      <c r="C210" s="41">
        <v>1997</v>
      </c>
      <c r="D210"/>
      <c r="E210"/>
      <c r="F210"/>
    </row>
    <row r="211" spans="1:6" x14ac:dyDescent="0.3">
      <c r="A211" s="40"/>
      <c r="B211" s="41" t="s">
        <v>287</v>
      </c>
      <c r="C211" s="41">
        <v>1018</v>
      </c>
      <c r="D211"/>
      <c r="E211"/>
      <c r="F211"/>
    </row>
    <row r="212" spans="1:6" x14ac:dyDescent="0.3">
      <c r="A212" s="40"/>
      <c r="B212" s="41" t="s">
        <v>288</v>
      </c>
      <c r="C212" s="41">
        <v>1223</v>
      </c>
      <c r="D212"/>
      <c r="E212"/>
      <c r="F212"/>
    </row>
    <row r="213" spans="1:6" x14ac:dyDescent="0.3">
      <c r="A213" s="40"/>
      <c r="B213" s="41" t="s">
        <v>289</v>
      </c>
      <c r="C213" s="41">
        <v>867</v>
      </c>
      <c r="D213"/>
      <c r="E213"/>
      <c r="F213"/>
    </row>
    <row r="214" spans="1:6" x14ac:dyDescent="0.3">
      <c r="A214" s="40"/>
      <c r="B214" s="41" t="s">
        <v>290</v>
      </c>
      <c r="C214" s="41">
        <v>1995</v>
      </c>
      <c r="D214"/>
      <c r="E214"/>
      <c r="F214"/>
    </row>
    <row r="215" spans="1:6" x14ac:dyDescent="0.3">
      <c r="A215" s="40"/>
      <c r="B215" s="41" t="s">
        <v>291</v>
      </c>
      <c r="C215" s="41">
        <v>699</v>
      </c>
      <c r="D215"/>
      <c r="E215"/>
      <c r="F215"/>
    </row>
    <row r="216" spans="1:6" x14ac:dyDescent="0.3">
      <c r="A216" s="40"/>
      <c r="B216" s="41" t="s">
        <v>292</v>
      </c>
      <c r="C216" s="41">
        <v>864</v>
      </c>
      <c r="D216"/>
      <c r="E216"/>
      <c r="F216"/>
    </row>
    <row r="217" spans="1:6" x14ac:dyDescent="0.3">
      <c r="A217" s="40"/>
      <c r="B217" s="41" t="s">
        <v>293</v>
      </c>
      <c r="C217" s="41">
        <v>1998</v>
      </c>
      <c r="D217"/>
      <c r="E217"/>
      <c r="F217"/>
    </row>
    <row r="218" spans="1:6" x14ac:dyDescent="0.3">
      <c r="A218" s="40"/>
      <c r="B218" s="41" t="s">
        <v>294</v>
      </c>
      <c r="C218" s="41">
        <v>856</v>
      </c>
      <c r="D218"/>
      <c r="E218"/>
      <c r="F218"/>
    </row>
    <row r="219" spans="1:6" x14ac:dyDescent="0.3">
      <c r="A219" s="40"/>
      <c r="B219" s="41" t="s">
        <v>295</v>
      </c>
      <c r="C219" s="41">
        <v>862</v>
      </c>
      <c r="D219"/>
      <c r="E219"/>
      <c r="F219"/>
    </row>
    <row r="220" spans="1:6" x14ac:dyDescent="0.3">
      <c r="A220" s="40"/>
      <c r="B220" s="41" t="s">
        <v>296</v>
      </c>
      <c r="C220" s="41">
        <v>1224</v>
      </c>
      <c r="D220"/>
      <c r="E220"/>
      <c r="F220"/>
    </row>
    <row r="221" spans="1:6" x14ac:dyDescent="0.3">
      <c r="A221" s="40"/>
      <c r="B221" s="41" t="s">
        <v>297</v>
      </c>
      <c r="C221" s="41">
        <v>866</v>
      </c>
      <c r="D221"/>
      <c r="E221"/>
      <c r="F221"/>
    </row>
    <row r="222" spans="1:6" x14ac:dyDescent="0.3">
      <c r="A222" s="40"/>
      <c r="B222" s="41" t="s">
        <v>298</v>
      </c>
      <c r="C222" s="41">
        <v>2919</v>
      </c>
      <c r="D222"/>
      <c r="E222"/>
      <c r="F222"/>
    </row>
    <row r="223" spans="1:6" x14ac:dyDescent="0.3">
      <c r="A223" s="40"/>
      <c r="B223" s="41" t="s">
        <v>299</v>
      </c>
      <c r="C223" s="41">
        <v>865</v>
      </c>
      <c r="D223"/>
      <c r="E223"/>
      <c r="F223"/>
    </row>
    <row r="224" spans="1:6" x14ac:dyDescent="0.3">
      <c r="A224" s="40"/>
      <c r="B224" s="41" t="s">
        <v>300</v>
      </c>
      <c r="C224" s="41">
        <v>574</v>
      </c>
      <c r="D224"/>
      <c r="E224"/>
      <c r="F224"/>
    </row>
    <row r="225" spans="1:6" x14ac:dyDescent="0.3">
      <c r="A225" s="40"/>
      <c r="B225" s="41" t="s">
        <v>301</v>
      </c>
      <c r="C225" s="41">
        <v>1996</v>
      </c>
      <c r="D225"/>
      <c r="E225"/>
      <c r="F225"/>
    </row>
    <row r="226" spans="1:6" x14ac:dyDescent="0.3">
      <c r="A226" s="40"/>
      <c r="B226" s="41" t="s">
        <v>302</v>
      </c>
      <c r="C226" s="41">
        <v>575</v>
      </c>
      <c r="D226"/>
      <c r="E226"/>
      <c r="F226"/>
    </row>
    <row r="227" spans="1:6" x14ac:dyDescent="0.3">
      <c r="A227" s="40"/>
      <c r="B227" s="41" t="s">
        <v>303</v>
      </c>
      <c r="C227" s="41">
        <v>1991</v>
      </c>
      <c r="D227"/>
      <c r="E227"/>
      <c r="F227"/>
    </row>
    <row r="228" spans="1:6" x14ac:dyDescent="0.3">
      <c r="A228" s="40"/>
      <c r="B228" s="41" t="s">
        <v>304</v>
      </c>
      <c r="C228" s="41">
        <v>2541</v>
      </c>
      <c r="D228"/>
      <c r="E228"/>
      <c r="F228"/>
    </row>
    <row r="229" spans="1:6" x14ac:dyDescent="0.3">
      <c r="A229" s="40"/>
      <c r="B229" s="41" t="s">
        <v>305</v>
      </c>
      <c r="C229" s="41">
        <v>573</v>
      </c>
      <c r="D229"/>
      <c r="E229"/>
      <c r="F229"/>
    </row>
    <row r="230" spans="1:6" x14ac:dyDescent="0.3">
      <c r="A230" s="40"/>
      <c r="B230" s="41" t="s">
        <v>306</v>
      </c>
      <c r="C230" s="41">
        <v>1993</v>
      </c>
      <c r="D230"/>
      <c r="E230"/>
      <c r="F230"/>
    </row>
    <row r="231" spans="1:6" x14ac:dyDescent="0.3">
      <c r="A231" s="40"/>
      <c r="B231" s="41" t="s">
        <v>307</v>
      </c>
      <c r="C231" s="41">
        <v>860</v>
      </c>
      <c r="D231"/>
      <c r="E231"/>
      <c r="F231"/>
    </row>
    <row r="232" spans="1:6" x14ac:dyDescent="0.3">
      <c r="A232" s="40"/>
      <c r="B232" s="41" t="s">
        <v>308</v>
      </c>
      <c r="C232" s="41">
        <v>2540</v>
      </c>
      <c r="D232"/>
      <c r="E232"/>
      <c r="F232"/>
    </row>
    <row r="233" spans="1:6" x14ac:dyDescent="0.3">
      <c r="A233" s="40"/>
      <c r="B233" s="41" t="s">
        <v>309</v>
      </c>
      <c r="C233" s="41">
        <v>859</v>
      </c>
      <c r="D233"/>
      <c r="E233"/>
      <c r="F233"/>
    </row>
    <row r="234" spans="1:6" x14ac:dyDescent="0.3">
      <c r="A234" s="40"/>
      <c r="B234" s="41" t="s">
        <v>310</v>
      </c>
      <c r="C234" s="41">
        <v>1992</v>
      </c>
      <c r="D234"/>
      <c r="E234"/>
      <c r="F234"/>
    </row>
    <row r="235" spans="1:6" x14ac:dyDescent="0.3">
      <c r="A235" s="40"/>
      <c r="B235" s="41" t="s">
        <v>311</v>
      </c>
      <c r="C235" s="41">
        <v>1994</v>
      </c>
      <c r="D235"/>
      <c r="E235"/>
      <c r="F235"/>
    </row>
    <row r="236" spans="1:6" x14ac:dyDescent="0.3">
      <c r="A236" s="40"/>
      <c r="B236" s="41" t="s">
        <v>312</v>
      </c>
      <c r="C236" s="41">
        <v>858</v>
      </c>
      <c r="D236"/>
      <c r="E236"/>
      <c r="F236"/>
    </row>
    <row r="237" spans="1:6" x14ac:dyDescent="0.3">
      <c r="A237" s="40"/>
      <c r="B237" s="41" t="s">
        <v>313</v>
      </c>
      <c r="C237" s="41">
        <v>572</v>
      </c>
      <c r="D237"/>
      <c r="E237"/>
      <c r="F237"/>
    </row>
    <row r="238" spans="1:6" x14ac:dyDescent="0.3">
      <c r="A238" s="40"/>
      <c r="B238" s="41" t="s">
        <v>314</v>
      </c>
      <c r="C238" s="41">
        <v>4</v>
      </c>
      <c r="D238"/>
      <c r="E238"/>
      <c r="F238"/>
    </row>
    <row r="239" spans="1:6" x14ac:dyDescent="0.3">
      <c r="A239" s="40" t="s">
        <v>315</v>
      </c>
      <c r="B239" s="41"/>
      <c r="C239" s="41"/>
      <c r="D239"/>
      <c r="E239"/>
      <c r="F239"/>
    </row>
    <row r="240" spans="1:6" x14ac:dyDescent="0.3">
      <c r="A240" s="40"/>
      <c r="B240" s="41" t="s">
        <v>316</v>
      </c>
      <c r="C240" s="41">
        <v>46</v>
      </c>
      <c r="D240"/>
      <c r="E240"/>
      <c r="F240"/>
    </row>
    <row r="241" spans="1:6" x14ac:dyDescent="0.3">
      <c r="A241" s="40"/>
      <c r="B241" s="41" t="s">
        <v>317</v>
      </c>
      <c r="C241" s="41">
        <v>1351</v>
      </c>
      <c r="D241"/>
      <c r="E241"/>
      <c r="F241"/>
    </row>
    <row r="242" spans="1:6" x14ac:dyDescent="0.3">
      <c r="A242" s="40"/>
      <c r="B242" s="41" t="s">
        <v>318</v>
      </c>
      <c r="C242" s="41">
        <v>36</v>
      </c>
      <c r="D242"/>
      <c r="E242"/>
      <c r="F242"/>
    </row>
    <row r="243" spans="1:6" x14ac:dyDescent="0.3">
      <c r="A243" s="40"/>
      <c r="B243" s="41" t="s">
        <v>319</v>
      </c>
      <c r="C243" s="41">
        <v>698</v>
      </c>
      <c r="D243"/>
      <c r="E243"/>
      <c r="F243"/>
    </row>
    <row r="244" spans="1:6" x14ac:dyDescent="0.3">
      <c r="A244" s="40"/>
      <c r="B244" s="41" t="s">
        <v>132</v>
      </c>
      <c r="C244" s="41">
        <v>129</v>
      </c>
      <c r="D244"/>
      <c r="E244"/>
      <c r="F244"/>
    </row>
    <row r="245" spans="1:6" x14ac:dyDescent="0.3">
      <c r="A245" s="40"/>
      <c r="B245" s="41" t="s">
        <v>320</v>
      </c>
      <c r="C245" s="41">
        <v>203</v>
      </c>
      <c r="D245"/>
      <c r="E245"/>
      <c r="F245"/>
    </row>
    <row r="246" spans="1:6" x14ac:dyDescent="0.3">
      <c r="A246" s="40"/>
      <c r="B246" s="41" t="s">
        <v>321</v>
      </c>
      <c r="C246" s="41">
        <v>231</v>
      </c>
      <c r="D246"/>
      <c r="E246"/>
      <c r="F246"/>
    </row>
    <row r="247" spans="1:6" x14ac:dyDescent="0.3">
      <c r="A247" s="40"/>
      <c r="B247" s="41" t="s">
        <v>322</v>
      </c>
      <c r="C247" s="41">
        <v>773</v>
      </c>
      <c r="D247"/>
      <c r="E247"/>
      <c r="F247"/>
    </row>
    <row r="248" spans="1:6" x14ac:dyDescent="0.3">
      <c r="A248" s="40"/>
      <c r="B248" s="41" t="s">
        <v>148</v>
      </c>
      <c r="C248" s="41">
        <v>273</v>
      </c>
      <c r="D248"/>
      <c r="E248"/>
      <c r="F248"/>
    </row>
    <row r="249" spans="1:6" x14ac:dyDescent="0.3">
      <c r="A249" s="40"/>
      <c r="B249" s="41" t="s">
        <v>151</v>
      </c>
      <c r="C249" s="41">
        <v>2955</v>
      </c>
      <c r="D249"/>
      <c r="E249"/>
      <c r="F249"/>
    </row>
    <row r="250" spans="1:6" x14ac:dyDescent="0.3">
      <c r="A250" s="40"/>
      <c r="B250" s="41" t="s">
        <v>155</v>
      </c>
      <c r="C250" s="41">
        <v>322</v>
      </c>
      <c r="D250"/>
      <c r="E250"/>
      <c r="F250"/>
    </row>
    <row r="251" spans="1:6" x14ac:dyDescent="0.3">
      <c r="A251" s="40"/>
      <c r="B251" s="41" t="s">
        <v>323</v>
      </c>
      <c r="C251" s="41">
        <v>361</v>
      </c>
      <c r="D251"/>
      <c r="E251"/>
      <c r="F251"/>
    </row>
    <row r="252" spans="1:6" x14ac:dyDescent="0.3">
      <c r="A252" s="40"/>
      <c r="B252" s="41" t="s">
        <v>324</v>
      </c>
      <c r="C252" s="41">
        <v>427</v>
      </c>
      <c r="D252"/>
      <c r="E252"/>
      <c r="F252"/>
    </row>
    <row r="253" spans="1:6" x14ac:dyDescent="0.3">
      <c r="A253" s="40"/>
      <c r="B253" s="41" t="s">
        <v>325</v>
      </c>
      <c r="C253" s="41">
        <v>1356</v>
      </c>
      <c r="D253"/>
      <c r="E253"/>
      <c r="F253"/>
    </row>
    <row r="254" spans="1:6" x14ac:dyDescent="0.3">
      <c r="A254" s="40"/>
      <c r="B254" s="41" t="s">
        <v>163</v>
      </c>
      <c r="C254" s="41">
        <v>480</v>
      </c>
      <c r="D254"/>
      <c r="E254"/>
      <c r="F254"/>
    </row>
    <row r="255" spans="1:6" x14ac:dyDescent="0.3">
      <c r="A255" s="40"/>
      <c r="B255" s="41" t="s">
        <v>326</v>
      </c>
      <c r="C255" s="41">
        <v>702</v>
      </c>
      <c r="D255"/>
      <c r="E255"/>
      <c r="F255"/>
    </row>
    <row r="256" spans="1:6" x14ac:dyDescent="0.3">
      <c r="A256" s="40"/>
      <c r="B256" s="41" t="s">
        <v>327</v>
      </c>
      <c r="C256" s="41">
        <v>799</v>
      </c>
      <c r="D256"/>
      <c r="E256"/>
      <c r="F256"/>
    </row>
    <row r="257" spans="1:6" ht="27" x14ac:dyDescent="0.3">
      <c r="A257" s="40"/>
      <c r="B257" s="41" t="s">
        <v>328</v>
      </c>
      <c r="C257" s="41">
        <v>2634</v>
      </c>
      <c r="D257"/>
      <c r="E257"/>
      <c r="F257"/>
    </row>
    <row r="258" spans="1:6" x14ac:dyDescent="0.3">
      <c r="A258" s="40"/>
      <c r="B258" s="41" t="s">
        <v>329</v>
      </c>
      <c r="C258" s="41">
        <v>270</v>
      </c>
      <c r="D258"/>
      <c r="E258"/>
      <c r="F258"/>
    </row>
    <row r="259" spans="1:6" x14ac:dyDescent="0.3">
      <c r="A259" s="40" t="s">
        <v>330</v>
      </c>
      <c r="B259" s="41"/>
      <c r="C259" s="41"/>
      <c r="D259"/>
      <c r="E259"/>
      <c r="F259"/>
    </row>
    <row r="260" spans="1:6" x14ac:dyDescent="0.3">
      <c r="A260" s="40"/>
      <c r="B260" s="41" t="s">
        <v>331</v>
      </c>
      <c r="C260" s="41">
        <v>629</v>
      </c>
      <c r="D260"/>
      <c r="E260"/>
      <c r="F260"/>
    </row>
    <row r="261" spans="1:6" x14ac:dyDescent="0.3">
      <c r="A261" s="40"/>
      <c r="B261" s="41" t="s">
        <v>332</v>
      </c>
      <c r="C261" s="41">
        <v>630</v>
      </c>
      <c r="D261"/>
      <c r="E261"/>
      <c r="F261"/>
    </row>
    <row r="262" spans="1:6" x14ac:dyDescent="0.3">
      <c r="A262" s="40"/>
      <c r="B262" s="41" t="s">
        <v>333</v>
      </c>
      <c r="C262" s="41">
        <v>770</v>
      </c>
      <c r="D262"/>
      <c r="E262"/>
      <c r="F262"/>
    </row>
    <row r="263" spans="1:6" x14ac:dyDescent="0.3">
      <c r="A263" s="40"/>
      <c r="B263" s="41" t="s">
        <v>334</v>
      </c>
      <c r="C263" s="41">
        <v>769</v>
      </c>
      <c r="D263"/>
      <c r="E263"/>
      <c r="F263"/>
    </row>
    <row r="264" spans="1:6" x14ac:dyDescent="0.3">
      <c r="A264" s="40"/>
      <c r="B264" s="41" t="s">
        <v>335</v>
      </c>
      <c r="C264" s="41">
        <v>5</v>
      </c>
      <c r="D264"/>
      <c r="E264"/>
      <c r="F264"/>
    </row>
    <row r="265" spans="1:6" x14ac:dyDescent="0.3">
      <c r="A265" s="40" t="s">
        <v>336</v>
      </c>
      <c r="B265" s="41"/>
      <c r="C265" s="41"/>
      <c r="D265"/>
      <c r="E265"/>
      <c r="F265"/>
    </row>
    <row r="266" spans="1:6" x14ac:dyDescent="0.3">
      <c r="A266" s="40"/>
      <c r="B266" s="41" t="s">
        <v>337</v>
      </c>
      <c r="C266" s="41">
        <v>909</v>
      </c>
      <c r="D266"/>
      <c r="E266"/>
      <c r="F266"/>
    </row>
    <row r="267" spans="1:6" x14ac:dyDescent="0.3">
      <c r="A267" s="40"/>
      <c r="B267" s="41" t="s">
        <v>338</v>
      </c>
      <c r="C267" s="41">
        <v>2592</v>
      </c>
      <c r="D267"/>
      <c r="E267"/>
      <c r="F267"/>
    </row>
    <row r="268" spans="1:6" x14ac:dyDescent="0.3">
      <c r="A268" s="40"/>
      <c r="B268" s="41" t="s">
        <v>339</v>
      </c>
      <c r="C268" s="41">
        <v>1027</v>
      </c>
      <c r="D268"/>
      <c r="E268"/>
      <c r="F268"/>
    </row>
    <row r="269" spans="1:6" x14ac:dyDescent="0.3">
      <c r="A269" s="40"/>
      <c r="B269" s="41" t="s">
        <v>340</v>
      </c>
      <c r="C269" s="41">
        <v>736</v>
      </c>
      <c r="D269"/>
      <c r="E269"/>
      <c r="F269"/>
    </row>
    <row r="270" spans="1:6" x14ac:dyDescent="0.3">
      <c r="A270" s="40"/>
      <c r="B270" s="41" t="s">
        <v>341</v>
      </c>
      <c r="C270" s="41">
        <v>652</v>
      </c>
      <c r="D270"/>
      <c r="E270"/>
      <c r="F270"/>
    </row>
    <row r="271" spans="1:6" x14ac:dyDescent="0.3">
      <c r="A271" s="40"/>
      <c r="B271" s="41" t="s">
        <v>342</v>
      </c>
      <c r="C271" s="41">
        <v>1932</v>
      </c>
      <c r="D271"/>
      <c r="E271"/>
      <c r="F271"/>
    </row>
    <row r="272" spans="1:6" x14ac:dyDescent="0.3">
      <c r="A272" s="40"/>
      <c r="B272" s="41" t="s">
        <v>343</v>
      </c>
      <c r="C272" s="41">
        <v>2965</v>
      </c>
      <c r="D272"/>
      <c r="E272"/>
      <c r="F272"/>
    </row>
    <row r="273" spans="1:6" x14ac:dyDescent="0.3">
      <c r="A273" s="40"/>
      <c r="B273" s="41" t="s">
        <v>344</v>
      </c>
      <c r="C273" s="41">
        <v>1987</v>
      </c>
      <c r="D273"/>
      <c r="E273"/>
      <c r="F273"/>
    </row>
    <row r="274" spans="1:6" x14ac:dyDescent="0.3">
      <c r="A274" s="40"/>
      <c r="B274" s="41" t="s">
        <v>345</v>
      </c>
      <c r="C274" s="41">
        <v>42</v>
      </c>
      <c r="D274"/>
      <c r="E274"/>
      <c r="F274"/>
    </row>
    <row r="275" spans="1:6" x14ac:dyDescent="0.3">
      <c r="A275" s="40"/>
      <c r="B275" s="41" t="s">
        <v>346</v>
      </c>
      <c r="C275" s="41">
        <v>741</v>
      </c>
      <c r="D275"/>
      <c r="E275"/>
      <c r="F275"/>
    </row>
    <row r="276" spans="1:6" x14ac:dyDescent="0.3">
      <c r="A276" s="40"/>
      <c r="B276" s="41" t="s">
        <v>347</v>
      </c>
      <c r="C276" s="41">
        <v>2761</v>
      </c>
      <c r="D276"/>
      <c r="E276"/>
      <c r="F276"/>
    </row>
    <row r="277" spans="1:6" x14ac:dyDescent="0.3">
      <c r="A277" s="40"/>
      <c r="B277" s="41" t="s">
        <v>348</v>
      </c>
      <c r="C277" s="41">
        <v>738</v>
      </c>
      <c r="D277"/>
      <c r="E277"/>
      <c r="F277"/>
    </row>
    <row r="278" spans="1:6" x14ac:dyDescent="0.3">
      <c r="A278" s="40"/>
      <c r="B278" s="41" t="s">
        <v>349</v>
      </c>
      <c r="C278" s="41">
        <v>2794</v>
      </c>
      <c r="D278"/>
      <c r="E278"/>
      <c r="F278"/>
    </row>
    <row r="279" spans="1:6" x14ac:dyDescent="0.3">
      <c r="A279" s="40"/>
      <c r="B279" s="41" t="s">
        <v>350</v>
      </c>
      <c r="C279" s="41">
        <v>2795</v>
      </c>
      <c r="D279"/>
      <c r="E279"/>
      <c r="F279"/>
    </row>
    <row r="280" spans="1:6" x14ac:dyDescent="0.3">
      <c r="A280" s="40"/>
      <c r="B280" s="41" t="s">
        <v>351</v>
      </c>
      <c r="C280" s="41">
        <v>2909</v>
      </c>
      <c r="D280"/>
      <c r="E280"/>
      <c r="F280"/>
    </row>
    <row r="281" spans="1:6" x14ac:dyDescent="0.3">
      <c r="A281" s="40"/>
      <c r="B281" s="41" t="s">
        <v>352</v>
      </c>
      <c r="C281" s="41">
        <v>2928</v>
      </c>
      <c r="D281"/>
      <c r="E281"/>
      <c r="F281"/>
    </row>
    <row r="282" spans="1:6" x14ac:dyDescent="0.3">
      <c r="A282" s="40"/>
      <c r="B282" s="41" t="s">
        <v>353</v>
      </c>
      <c r="C282" s="41">
        <v>1923</v>
      </c>
      <c r="D282"/>
      <c r="E282"/>
      <c r="F282"/>
    </row>
    <row r="283" spans="1:6" x14ac:dyDescent="0.3">
      <c r="A283" s="40"/>
      <c r="B283" s="41" t="s">
        <v>354</v>
      </c>
      <c r="C283" s="41">
        <v>2961</v>
      </c>
      <c r="D283"/>
      <c r="E283"/>
      <c r="F283"/>
    </row>
    <row r="284" spans="1:6" x14ac:dyDescent="0.3">
      <c r="A284" s="40"/>
      <c r="B284" s="41" t="s">
        <v>355</v>
      </c>
      <c r="C284" s="41">
        <v>144</v>
      </c>
      <c r="D284"/>
      <c r="E284"/>
      <c r="F284"/>
    </row>
    <row r="285" spans="1:6" x14ac:dyDescent="0.3">
      <c r="A285" s="40"/>
      <c r="B285" s="41" t="s">
        <v>356</v>
      </c>
      <c r="C285" s="41">
        <v>744</v>
      </c>
      <c r="D285"/>
      <c r="E285"/>
      <c r="F285"/>
    </row>
    <row r="286" spans="1:6" x14ac:dyDescent="0.3">
      <c r="A286" s="40"/>
      <c r="B286" s="41" t="s">
        <v>225</v>
      </c>
      <c r="C286" s="41">
        <v>2670</v>
      </c>
      <c r="D286"/>
      <c r="E286"/>
      <c r="F286"/>
    </row>
    <row r="287" spans="1:6" x14ac:dyDescent="0.3">
      <c r="A287" s="40"/>
      <c r="B287" s="41" t="s">
        <v>357</v>
      </c>
      <c r="C287" s="41">
        <v>855</v>
      </c>
      <c r="D287"/>
      <c r="E287"/>
      <c r="F287"/>
    </row>
    <row r="288" spans="1:6" x14ac:dyDescent="0.3">
      <c r="A288" s="40"/>
      <c r="B288" s="41" t="s">
        <v>358</v>
      </c>
      <c r="C288" s="41">
        <v>185</v>
      </c>
      <c r="D288"/>
      <c r="E288"/>
      <c r="F288"/>
    </row>
    <row r="289" spans="1:6" x14ac:dyDescent="0.3">
      <c r="A289" s="40"/>
      <c r="B289" s="41" t="s">
        <v>359</v>
      </c>
      <c r="C289" s="41">
        <v>2929</v>
      </c>
      <c r="D289"/>
      <c r="E289"/>
      <c r="F289"/>
    </row>
    <row r="290" spans="1:6" x14ac:dyDescent="0.3">
      <c r="A290" s="40"/>
      <c r="B290" s="41" t="s">
        <v>360</v>
      </c>
      <c r="C290" s="41">
        <v>2966</v>
      </c>
      <c r="D290"/>
      <c r="E290"/>
      <c r="F290"/>
    </row>
    <row r="291" spans="1:6" x14ac:dyDescent="0.3">
      <c r="A291" s="40"/>
      <c r="B291" s="41" t="s">
        <v>361</v>
      </c>
      <c r="C291" s="41">
        <v>737</v>
      </c>
      <c r="D291"/>
      <c r="E291"/>
      <c r="F291"/>
    </row>
    <row r="292" spans="1:6" x14ac:dyDescent="0.3">
      <c r="A292" s="40"/>
      <c r="B292" s="41" t="s">
        <v>362</v>
      </c>
      <c r="C292" s="41">
        <v>2673</v>
      </c>
      <c r="D292"/>
      <c r="E292"/>
      <c r="F292"/>
    </row>
    <row r="293" spans="1:6" x14ac:dyDescent="0.3">
      <c r="A293" s="40"/>
      <c r="B293" s="41" t="s">
        <v>363</v>
      </c>
      <c r="C293" s="41">
        <v>2727</v>
      </c>
      <c r="D293"/>
      <c r="E293"/>
      <c r="F293"/>
    </row>
    <row r="294" spans="1:6" x14ac:dyDescent="0.3">
      <c r="A294" s="40"/>
      <c r="B294" s="41" t="s">
        <v>364</v>
      </c>
      <c r="C294" s="41">
        <v>653</v>
      </c>
      <c r="D294"/>
      <c r="E294"/>
      <c r="F294"/>
    </row>
    <row r="295" spans="1:6" x14ac:dyDescent="0.3">
      <c r="A295" s="40"/>
      <c r="B295" s="41" t="s">
        <v>365</v>
      </c>
      <c r="C295" s="41">
        <v>904</v>
      </c>
      <c r="D295"/>
      <c r="E295"/>
      <c r="F295"/>
    </row>
    <row r="296" spans="1:6" x14ac:dyDescent="0.3">
      <c r="A296" s="40"/>
      <c r="B296" s="41" t="s">
        <v>366</v>
      </c>
      <c r="C296" s="41">
        <v>2667</v>
      </c>
      <c r="D296"/>
      <c r="E296"/>
      <c r="F296"/>
    </row>
    <row r="297" spans="1:6" x14ac:dyDescent="0.3">
      <c r="A297" s="40"/>
      <c r="B297" s="41" t="s">
        <v>367</v>
      </c>
      <c r="C297" s="41">
        <v>2936</v>
      </c>
      <c r="D297"/>
      <c r="E297"/>
      <c r="F297"/>
    </row>
    <row r="298" spans="1:6" x14ac:dyDescent="0.3">
      <c r="A298" s="40"/>
      <c r="B298" s="41" t="s">
        <v>368</v>
      </c>
      <c r="C298" s="41">
        <v>907</v>
      </c>
      <c r="D298"/>
      <c r="E298"/>
      <c r="F298"/>
    </row>
    <row r="299" spans="1:6" x14ac:dyDescent="0.3">
      <c r="A299" s="40"/>
      <c r="B299" s="41" t="s">
        <v>369</v>
      </c>
      <c r="C299" s="41">
        <v>327</v>
      </c>
      <c r="D299"/>
      <c r="E299"/>
      <c r="F299"/>
    </row>
    <row r="300" spans="1:6" x14ac:dyDescent="0.3">
      <c r="A300" s="40"/>
      <c r="B300" s="41" t="s">
        <v>370</v>
      </c>
      <c r="C300" s="41">
        <v>729</v>
      </c>
      <c r="D300"/>
      <c r="E300"/>
      <c r="F300"/>
    </row>
    <row r="301" spans="1:6" x14ac:dyDescent="0.3">
      <c r="A301" s="40"/>
      <c r="B301" s="41" t="s">
        <v>371</v>
      </c>
      <c r="C301" s="41">
        <v>2962</v>
      </c>
      <c r="D301"/>
      <c r="E301"/>
      <c r="F301"/>
    </row>
    <row r="302" spans="1:6" x14ac:dyDescent="0.3">
      <c r="A302" s="40"/>
      <c r="B302" s="41" t="s">
        <v>372</v>
      </c>
      <c r="C302" s="41">
        <v>739</v>
      </c>
      <c r="D302"/>
      <c r="E302"/>
      <c r="F302"/>
    </row>
    <row r="303" spans="1:6" x14ac:dyDescent="0.3">
      <c r="A303" s="40"/>
      <c r="B303" s="41" t="s">
        <v>373</v>
      </c>
      <c r="C303" s="41">
        <v>742</v>
      </c>
      <c r="D303"/>
      <c r="E303"/>
      <c r="F303"/>
    </row>
    <row r="304" spans="1:6" x14ac:dyDescent="0.3">
      <c r="A304" s="40"/>
      <c r="B304" s="41" t="s">
        <v>374</v>
      </c>
      <c r="C304" s="41">
        <v>905</v>
      </c>
      <c r="D304"/>
      <c r="E304"/>
      <c r="F304"/>
    </row>
    <row r="305" spans="1:6" x14ac:dyDescent="0.3">
      <c r="A305" s="40"/>
      <c r="B305" s="41" t="s">
        <v>375</v>
      </c>
      <c r="C305" s="41">
        <v>696</v>
      </c>
      <c r="D305"/>
      <c r="E305"/>
      <c r="F305"/>
    </row>
    <row r="306" spans="1:6" x14ac:dyDescent="0.3">
      <c r="A306" s="40"/>
      <c r="B306" s="41" t="s">
        <v>376</v>
      </c>
      <c r="C306" s="41">
        <v>2960</v>
      </c>
      <c r="D306"/>
      <c r="E306"/>
      <c r="F306"/>
    </row>
    <row r="307" spans="1:6" x14ac:dyDescent="0.3">
      <c r="A307" s="40"/>
      <c r="B307" s="41" t="s">
        <v>377</v>
      </c>
      <c r="C307" s="41">
        <v>2566</v>
      </c>
      <c r="D307"/>
      <c r="E307"/>
      <c r="F307"/>
    </row>
    <row r="308" spans="1:6" x14ac:dyDescent="0.3">
      <c r="A308" s="40"/>
      <c r="B308" s="41" t="s">
        <v>378</v>
      </c>
      <c r="C308" s="41">
        <v>2949</v>
      </c>
      <c r="D308"/>
      <c r="E308"/>
      <c r="F308"/>
    </row>
    <row r="309" spans="1:6" x14ac:dyDescent="0.3">
      <c r="A309" s="40"/>
      <c r="B309" s="41" t="s">
        <v>379</v>
      </c>
      <c r="C309" s="41">
        <v>654</v>
      </c>
      <c r="D309"/>
      <c r="E309"/>
      <c r="F309"/>
    </row>
    <row r="310" spans="1:6" x14ac:dyDescent="0.3">
      <c r="A310" s="40"/>
      <c r="B310" s="41" t="s">
        <v>380</v>
      </c>
      <c r="C310" s="41">
        <v>906</v>
      </c>
      <c r="D310"/>
      <c r="E310"/>
      <c r="F310"/>
    </row>
    <row r="311" spans="1:6" x14ac:dyDescent="0.3">
      <c r="A311" s="40"/>
      <c r="B311" s="41" t="s">
        <v>381</v>
      </c>
      <c r="C311" s="41">
        <v>2793</v>
      </c>
      <c r="D311"/>
      <c r="E311"/>
      <c r="F311"/>
    </row>
    <row r="312" spans="1:6" x14ac:dyDescent="0.3">
      <c r="A312" s="40"/>
      <c r="B312" s="41" t="s">
        <v>382</v>
      </c>
      <c r="C312" s="41">
        <v>2669</v>
      </c>
      <c r="D312"/>
      <c r="E312"/>
      <c r="F312"/>
    </row>
    <row r="313" spans="1:6" x14ac:dyDescent="0.3">
      <c r="A313" s="40"/>
      <c r="B313" s="41" t="s">
        <v>383</v>
      </c>
      <c r="C313" s="41">
        <v>263</v>
      </c>
      <c r="D313"/>
      <c r="E313"/>
      <c r="F313"/>
    </row>
    <row r="314" spans="1:6" x14ac:dyDescent="0.3">
      <c r="A314" s="40"/>
      <c r="B314" s="41" t="s">
        <v>384</v>
      </c>
      <c r="C314" s="41">
        <v>2665</v>
      </c>
      <c r="D314"/>
      <c r="E314"/>
      <c r="F314"/>
    </row>
    <row r="315" spans="1:6" x14ac:dyDescent="0.3">
      <c r="A315" s="40"/>
      <c r="B315" s="41" t="s">
        <v>385</v>
      </c>
      <c r="C315" s="41">
        <v>2954</v>
      </c>
      <c r="D315"/>
      <c r="E315"/>
      <c r="F315"/>
    </row>
    <row r="316" spans="1:6" x14ac:dyDescent="0.3">
      <c r="A316" s="40"/>
      <c r="B316" s="41" t="s">
        <v>386</v>
      </c>
      <c r="C316" s="41">
        <v>2666</v>
      </c>
      <c r="D316"/>
      <c r="E316"/>
      <c r="F316"/>
    </row>
    <row r="317" spans="1:6" x14ac:dyDescent="0.3">
      <c r="A317" s="40"/>
      <c r="B317" s="41" t="s">
        <v>387</v>
      </c>
      <c r="C317" s="41">
        <v>377</v>
      </c>
      <c r="D317"/>
      <c r="E317"/>
      <c r="F317"/>
    </row>
    <row r="318" spans="1:6" x14ac:dyDescent="0.3">
      <c r="A318" s="40"/>
      <c r="B318" s="41" t="s">
        <v>388</v>
      </c>
      <c r="C318" s="41">
        <v>1229</v>
      </c>
      <c r="D318"/>
      <c r="E318"/>
      <c r="F318"/>
    </row>
    <row r="319" spans="1:6" x14ac:dyDescent="0.3">
      <c r="A319" s="40"/>
      <c r="B319" s="41" t="s">
        <v>389</v>
      </c>
      <c r="C319" s="41">
        <v>1924</v>
      </c>
      <c r="D319"/>
      <c r="E319"/>
      <c r="F319"/>
    </row>
    <row r="320" spans="1:6" x14ac:dyDescent="0.3">
      <c r="A320" s="40"/>
      <c r="B320" s="41" t="s">
        <v>390</v>
      </c>
      <c r="C320" s="41">
        <v>1989</v>
      </c>
      <c r="D320"/>
      <c r="E320"/>
      <c r="F320"/>
    </row>
    <row r="321" spans="1:6" x14ac:dyDescent="0.3">
      <c r="A321" s="40"/>
      <c r="B321" s="41" t="s">
        <v>391</v>
      </c>
      <c r="C321" s="41">
        <v>835</v>
      </c>
      <c r="D321"/>
      <c r="E321"/>
      <c r="F321"/>
    </row>
    <row r="322" spans="1:6" x14ac:dyDescent="0.3">
      <c r="A322" s="40"/>
      <c r="B322" s="41" t="s">
        <v>392</v>
      </c>
      <c r="C322" s="41">
        <v>2565</v>
      </c>
      <c r="D322"/>
      <c r="E322"/>
      <c r="F322"/>
    </row>
    <row r="323" spans="1:6" x14ac:dyDescent="0.3">
      <c r="A323" s="40"/>
      <c r="B323" s="41" t="s">
        <v>393</v>
      </c>
      <c r="C323" s="41">
        <v>743</v>
      </c>
      <c r="D323"/>
      <c r="E323"/>
      <c r="F323"/>
    </row>
    <row r="324" spans="1:6" x14ac:dyDescent="0.3">
      <c r="A324" s="40"/>
      <c r="B324" s="41" t="s">
        <v>394</v>
      </c>
      <c r="C324" s="41">
        <v>1990</v>
      </c>
      <c r="D324"/>
      <c r="E324"/>
      <c r="F324"/>
    </row>
    <row r="325" spans="1:6" x14ac:dyDescent="0.3">
      <c r="A325" s="40"/>
      <c r="B325" s="41" t="s">
        <v>395</v>
      </c>
      <c r="C325" s="41">
        <v>2937</v>
      </c>
      <c r="D325"/>
      <c r="E325"/>
      <c r="F325"/>
    </row>
    <row r="326" spans="1:6" x14ac:dyDescent="0.3">
      <c r="A326" s="40"/>
      <c r="B326" s="41" t="s">
        <v>396</v>
      </c>
      <c r="C326" s="41">
        <v>2959</v>
      </c>
      <c r="D326"/>
      <c r="E326"/>
      <c r="F326"/>
    </row>
    <row r="327" spans="1:6" x14ac:dyDescent="0.3">
      <c r="A327" s="40"/>
      <c r="B327" s="41" t="s">
        <v>397</v>
      </c>
      <c r="C327" s="41">
        <v>444</v>
      </c>
      <c r="D327"/>
      <c r="E327"/>
      <c r="F327"/>
    </row>
    <row r="328" spans="1:6" x14ac:dyDescent="0.3">
      <c r="A328" s="40"/>
      <c r="B328" s="41" t="s">
        <v>398</v>
      </c>
      <c r="C328" s="41">
        <v>1802</v>
      </c>
      <c r="D328"/>
      <c r="E328"/>
      <c r="F328"/>
    </row>
    <row r="329" spans="1:6" x14ac:dyDescent="0.3">
      <c r="A329" s="40"/>
      <c r="B329" s="41" t="s">
        <v>399</v>
      </c>
      <c r="C329" s="41">
        <v>2577</v>
      </c>
      <c r="D329"/>
      <c r="E329"/>
      <c r="F329"/>
    </row>
    <row r="330" spans="1:6" x14ac:dyDescent="0.3">
      <c r="A330" s="40"/>
      <c r="B330" s="41" t="s">
        <v>400</v>
      </c>
      <c r="C330" s="41">
        <v>725</v>
      </c>
      <c r="D330"/>
      <c r="E330"/>
      <c r="F330"/>
    </row>
    <row r="331" spans="1:6" x14ac:dyDescent="0.3">
      <c r="A331" s="40"/>
      <c r="B331" s="41" t="s">
        <v>401</v>
      </c>
      <c r="C331" s="41">
        <v>1988</v>
      </c>
      <c r="D331"/>
      <c r="E331"/>
      <c r="F331"/>
    </row>
    <row r="332" spans="1:6" x14ac:dyDescent="0.3">
      <c r="A332" s="40"/>
      <c r="B332" s="41" t="s">
        <v>402</v>
      </c>
      <c r="C332" s="41">
        <v>2926</v>
      </c>
      <c r="D332"/>
      <c r="E332"/>
      <c r="F332"/>
    </row>
    <row r="333" spans="1:6" x14ac:dyDescent="0.3">
      <c r="A333" s="40"/>
      <c r="B333" s="41" t="s">
        <v>403</v>
      </c>
      <c r="C333" s="41">
        <v>740</v>
      </c>
      <c r="D333"/>
      <c r="E333"/>
      <c r="F333"/>
    </row>
    <row r="334" spans="1:6" x14ac:dyDescent="0.3">
      <c r="A334" s="40"/>
      <c r="B334" s="41" t="s">
        <v>404</v>
      </c>
      <c r="C334" s="41">
        <v>908</v>
      </c>
      <c r="D334"/>
      <c r="E334"/>
      <c r="F334"/>
    </row>
    <row r="335" spans="1:6" x14ac:dyDescent="0.3">
      <c r="A335" s="40"/>
      <c r="B335" s="41" t="s">
        <v>405</v>
      </c>
      <c r="C335" s="41">
        <v>843</v>
      </c>
      <c r="D335"/>
      <c r="E335"/>
      <c r="F335"/>
    </row>
    <row r="336" spans="1:6" x14ac:dyDescent="0.3">
      <c r="A336" s="40"/>
      <c r="B336" s="41" t="s">
        <v>406</v>
      </c>
      <c r="C336" s="41">
        <v>546</v>
      </c>
      <c r="D336"/>
      <c r="E336"/>
      <c r="F336"/>
    </row>
    <row r="337" spans="1:6" x14ac:dyDescent="0.3">
      <c r="A337" s="40"/>
      <c r="B337" s="41" t="s">
        <v>407</v>
      </c>
      <c r="C337" s="41">
        <v>910</v>
      </c>
      <c r="D337"/>
      <c r="E337"/>
      <c r="F337"/>
    </row>
    <row r="338" spans="1:6" x14ac:dyDescent="0.3">
      <c r="A338" s="40"/>
      <c r="B338" s="41" t="s">
        <v>408</v>
      </c>
      <c r="C338" s="41">
        <v>323</v>
      </c>
      <c r="D338"/>
      <c r="E338"/>
      <c r="F338"/>
    </row>
    <row r="339" spans="1:6" x14ac:dyDescent="0.3">
      <c r="A339" s="40" t="s">
        <v>409</v>
      </c>
      <c r="B339" s="41"/>
      <c r="C339" s="41"/>
      <c r="D339"/>
      <c r="E339"/>
      <c r="F339"/>
    </row>
    <row r="340" spans="1:6" x14ac:dyDescent="0.3">
      <c r="A340" s="40"/>
      <c r="B340" s="41" t="s">
        <v>410</v>
      </c>
      <c r="C340" s="41">
        <v>888</v>
      </c>
      <c r="D340"/>
      <c r="E340"/>
      <c r="F340"/>
    </row>
    <row r="341" spans="1:6" x14ac:dyDescent="0.3">
      <c r="A341" s="40"/>
      <c r="B341" s="41" t="s">
        <v>411</v>
      </c>
      <c r="C341" s="41">
        <v>2931</v>
      </c>
      <c r="D341"/>
      <c r="E341"/>
      <c r="F341"/>
    </row>
    <row r="342" spans="1:6" x14ac:dyDescent="0.3">
      <c r="A342" s="40"/>
      <c r="B342" s="41" t="s">
        <v>412</v>
      </c>
      <c r="C342" s="41">
        <v>892</v>
      </c>
      <c r="D342"/>
      <c r="E342"/>
      <c r="F342"/>
    </row>
    <row r="343" spans="1:6" x14ac:dyDescent="0.3">
      <c r="A343" s="40"/>
      <c r="B343" s="41" t="s">
        <v>413</v>
      </c>
      <c r="C343" s="41">
        <v>683</v>
      </c>
      <c r="D343"/>
      <c r="E343"/>
      <c r="F343"/>
    </row>
    <row r="344" spans="1:6" x14ac:dyDescent="0.3">
      <c r="A344" s="40"/>
      <c r="B344" s="41" t="s">
        <v>414</v>
      </c>
      <c r="C344" s="41">
        <v>890</v>
      </c>
      <c r="D344"/>
      <c r="E344"/>
      <c r="F344"/>
    </row>
    <row r="345" spans="1:6" x14ac:dyDescent="0.3">
      <c r="A345" s="40"/>
      <c r="B345" s="41" t="s">
        <v>415</v>
      </c>
      <c r="C345" s="41">
        <v>891</v>
      </c>
      <c r="D345"/>
      <c r="E345"/>
      <c r="F345"/>
    </row>
    <row r="346" spans="1:6" x14ac:dyDescent="0.3">
      <c r="A346" s="40"/>
      <c r="B346" s="41" t="s">
        <v>416</v>
      </c>
      <c r="C346" s="41">
        <v>232</v>
      </c>
      <c r="D346"/>
      <c r="E346"/>
      <c r="F346"/>
    </row>
    <row r="347" spans="1:6" x14ac:dyDescent="0.3">
      <c r="A347" s="40"/>
      <c r="B347" s="41" t="s">
        <v>417</v>
      </c>
      <c r="C347" s="41">
        <v>682</v>
      </c>
      <c r="D347"/>
      <c r="E347"/>
      <c r="F347"/>
    </row>
    <row r="348" spans="1:6" x14ac:dyDescent="0.3">
      <c r="A348" s="40"/>
      <c r="B348" s="41" t="s">
        <v>418</v>
      </c>
      <c r="C348" s="41">
        <v>1931</v>
      </c>
      <c r="D348"/>
      <c r="E348"/>
      <c r="F348"/>
    </row>
    <row r="349" spans="1:6" x14ac:dyDescent="0.3">
      <c r="A349" s="40"/>
      <c r="B349" s="41" t="s">
        <v>419</v>
      </c>
      <c r="C349" s="41">
        <v>1210</v>
      </c>
      <c r="D349"/>
      <c r="E349"/>
      <c r="F349"/>
    </row>
    <row r="350" spans="1:6" x14ac:dyDescent="0.3">
      <c r="A350" s="40"/>
      <c r="B350" s="41" t="s">
        <v>420</v>
      </c>
      <c r="C350" s="41">
        <v>681</v>
      </c>
      <c r="D350"/>
      <c r="E350"/>
      <c r="F350"/>
    </row>
    <row r="351" spans="1:6" x14ac:dyDescent="0.3">
      <c r="A351" s="40"/>
      <c r="B351" s="41" t="s">
        <v>421</v>
      </c>
      <c r="C351" s="41">
        <v>894</v>
      </c>
      <c r="D351"/>
      <c r="E351"/>
      <c r="F351"/>
    </row>
    <row r="352" spans="1:6" x14ac:dyDescent="0.3">
      <c r="A352" s="40"/>
      <c r="B352" s="41" t="s">
        <v>422</v>
      </c>
      <c r="C352" s="41">
        <v>889</v>
      </c>
      <c r="D352"/>
      <c r="E352"/>
      <c r="F352"/>
    </row>
    <row r="353" spans="1:6" x14ac:dyDescent="0.3">
      <c r="A353" s="40"/>
      <c r="B353" s="41" t="s">
        <v>423</v>
      </c>
      <c r="C353" s="41">
        <v>896</v>
      </c>
      <c r="D353"/>
      <c r="E353"/>
      <c r="F353"/>
    </row>
    <row r="354" spans="1:6" x14ac:dyDescent="0.3">
      <c r="A354" s="40"/>
      <c r="B354" s="41" t="s">
        <v>424</v>
      </c>
      <c r="C354" s="41">
        <v>1225</v>
      </c>
      <c r="D354"/>
      <c r="E354"/>
      <c r="F354"/>
    </row>
    <row r="355" spans="1:6" x14ac:dyDescent="0.3">
      <c r="A355" s="40"/>
      <c r="B355" s="41" t="s">
        <v>425</v>
      </c>
      <c r="C355" s="41">
        <v>901</v>
      </c>
      <c r="D355"/>
      <c r="E355"/>
      <c r="F355"/>
    </row>
    <row r="356" spans="1:6" x14ac:dyDescent="0.3">
      <c r="A356" s="40"/>
      <c r="B356" s="41" t="s">
        <v>426</v>
      </c>
      <c r="C356" s="41">
        <v>902</v>
      </c>
      <c r="D356"/>
      <c r="E356"/>
      <c r="F356"/>
    </row>
    <row r="357" spans="1:6" x14ac:dyDescent="0.3">
      <c r="A357" s="40"/>
      <c r="B357" s="41" t="s">
        <v>427</v>
      </c>
      <c r="C357" s="41">
        <v>899</v>
      </c>
      <c r="D357"/>
      <c r="E357"/>
      <c r="F357"/>
    </row>
    <row r="358" spans="1:6" x14ac:dyDescent="0.3">
      <c r="A358" s="40"/>
      <c r="B358" s="41" t="s">
        <v>428</v>
      </c>
      <c r="C358" s="41">
        <v>897</v>
      </c>
      <c r="D358"/>
      <c r="E358"/>
      <c r="F358"/>
    </row>
    <row r="359" spans="1:6" x14ac:dyDescent="0.3">
      <c r="A359" s="40"/>
      <c r="B359" s="41" t="s">
        <v>429</v>
      </c>
      <c r="C359" s="41">
        <v>898</v>
      </c>
      <c r="D359"/>
      <c r="E359"/>
      <c r="F359"/>
    </row>
    <row r="360" spans="1:6" x14ac:dyDescent="0.3">
      <c r="A360" s="40"/>
      <c r="B360" s="41" t="s">
        <v>430</v>
      </c>
      <c r="C360" s="41">
        <v>903</v>
      </c>
      <c r="D360"/>
      <c r="E360"/>
      <c r="F360"/>
    </row>
    <row r="361" spans="1:6" x14ac:dyDescent="0.3">
      <c r="A361" s="40"/>
      <c r="B361" s="41" t="s">
        <v>431</v>
      </c>
      <c r="C361" s="41">
        <v>900</v>
      </c>
      <c r="D361"/>
      <c r="E361"/>
      <c r="F361"/>
    </row>
    <row r="362" spans="1:6" x14ac:dyDescent="0.3">
      <c r="A362" s="40"/>
      <c r="B362" s="41" t="s">
        <v>432</v>
      </c>
      <c r="C362" s="41">
        <v>2600</v>
      </c>
      <c r="D362"/>
      <c r="E362"/>
      <c r="F362"/>
    </row>
    <row r="363" spans="1:6" x14ac:dyDescent="0.3">
      <c r="A363" s="40"/>
      <c r="B363" s="41" t="s">
        <v>433</v>
      </c>
      <c r="C363" s="41">
        <v>557</v>
      </c>
      <c r="D363"/>
      <c r="E363"/>
      <c r="F363"/>
    </row>
    <row r="364" spans="1:6" x14ac:dyDescent="0.3">
      <c r="A364" s="40"/>
      <c r="B364" s="41" t="s">
        <v>434</v>
      </c>
      <c r="C364" s="41">
        <v>1295</v>
      </c>
      <c r="D364"/>
      <c r="E364"/>
      <c r="F364"/>
    </row>
    <row r="365" spans="1:6" x14ac:dyDescent="0.3">
      <c r="A365" s="40"/>
      <c r="B365" s="41" t="s">
        <v>435</v>
      </c>
      <c r="C365" s="41">
        <v>351</v>
      </c>
      <c r="D365"/>
      <c r="E365"/>
      <c r="F365"/>
    </row>
    <row r="366" spans="1:6" x14ac:dyDescent="0.3">
      <c r="A366" s="40"/>
      <c r="B366" s="41" t="s">
        <v>436</v>
      </c>
      <c r="C366" s="41">
        <v>350</v>
      </c>
      <c r="D366"/>
      <c r="E366"/>
      <c r="F366"/>
    </row>
    <row r="367" spans="1:6" x14ac:dyDescent="0.3">
      <c r="A367" s="40"/>
      <c r="B367" s="41" t="s">
        <v>437</v>
      </c>
      <c r="C367" s="41">
        <v>2643</v>
      </c>
      <c r="D367"/>
      <c r="E367"/>
      <c r="F367"/>
    </row>
    <row r="368" spans="1:6" x14ac:dyDescent="0.3">
      <c r="A368" s="40"/>
      <c r="B368" s="41" t="s">
        <v>438</v>
      </c>
      <c r="C368" s="41">
        <v>353</v>
      </c>
      <c r="D368"/>
      <c r="E368"/>
      <c r="F368"/>
    </row>
    <row r="369" spans="1:6" x14ac:dyDescent="0.3">
      <c r="A369" s="40"/>
      <c r="B369" s="41" t="s">
        <v>439</v>
      </c>
      <c r="C369" s="41">
        <v>2963</v>
      </c>
      <c r="D369"/>
      <c r="E369"/>
      <c r="F369"/>
    </row>
    <row r="370" spans="1:6" x14ac:dyDescent="0.3">
      <c r="A370" s="40"/>
      <c r="B370" s="41" t="s">
        <v>440</v>
      </c>
      <c r="C370" s="41">
        <v>2696</v>
      </c>
      <c r="D370"/>
      <c r="E370"/>
      <c r="F370"/>
    </row>
    <row r="371" spans="1:6" x14ac:dyDescent="0.3">
      <c r="A371" s="40"/>
      <c r="B371" s="41" t="s">
        <v>441</v>
      </c>
      <c r="C371" s="41">
        <v>2700</v>
      </c>
      <c r="D371"/>
      <c r="E371"/>
      <c r="F371"/>
    </row>
    <row r="372" spans="1:6" x14ac:dyDescent="0.3">
      <c r="A372" s="40"/>
      <c r="B372" s="41" t="s">
        <v>442</v>
      </c>
      <c r="C372" s="41">
        <v>2701</v>
      </c>
      <c r="D372"/>
      <c r="E372"/>
      <c r="F372"/>
    </row>
    <row r="373" spans="1:6" x14ac:dyDescent="0.3">
      <c r="A373" s="40"/>
      <c r="B373" s="41" t="s">
        <v>443</v>
      </c>
      <c r="C373" s="41">
        <v>2697</v>
      </c>
      <c r="D373"/>
      <c r="E373"/>
      <c r="F373"/>
    </row>
    <row r="374" spans="1:6" x14ac:dyDescent="0.3">
      <c r="A374" s="40"/>
      <c r="B374" s="41" t="s">
        <v>444</v>
      </c>
      <c r="C374" s="41">
        <v>2699</v>
      </c>
      <c r="D374"/>
      <c r="E374"/>
      <c r="F374"/>
    </row>
    <row r="375" spans="1:6" x14ac:dyDescent="0.3">
      <c r="A375" s="40"/>
      <c r="B375" s="41" t="s">
        <v>445</v>
      </c>
      <c r="C375" s="41">
        <v>2698</v>
      </c>
      <c r="D375"/>
      <c r="E375"/>
      <c r="F375"/>
    </row>
    <row r="376" spans="1:6" x14ac:dyDescent="0.3">
      <c r="A376" s="40"/>
      <c r="B376" s="41" t="s">
        <v>446</v>
      </c>
      <c r="C376" s="41">
        <v>2790</v>
      </c>
      <c r="D376"/>
      <c r="E376"/>
      <c r="F376"/>
    </row>
    <row r="377" spans="1:6" x14ac:dyDescent="0.3">
      <c r="A377" s="40"/>
      <c r="B377" s="41" t="s">
        <v>447</v>
      </c>
      <c r="C377" s="41">
        <v>556</v>
      </c>
      <c r="D377"/>
      <c r="E377"/>
      <c r="F377"/>
    </row>
    <row r="378" spans="1:6" x14ac:dyDescent="0.3">
      <c r="A378" s="40"/>
      <c r="B378" s="41" t="s">
        <v>448</v>
      </c>
      <c r="C378" s="41">
        <v>895</v>
      </c>
      <c r="D378"/>
      <c r="E378"/>
      <c r="F378"/>
    </row>
    <row r="379" spans="1:6" x14ac:dyDescent="0.3">
      <c r="A379" s="40"/>
      <c r="B379" s="41" t="s">
        <v>449</v>
      </c>
      <c r="C379" s="41">
        <v>779</v>
      </c>
      <c r="D379"/>
      <c r="E379"/>
      <c r="F379"/>
    </row>
    <row r="380" spans="1:6" x14ac:dyDescent="0.3">
      <c r="A380" s="40"/>
      <c r="B380" s="41" t="s">
        <v>450</v>
      </c>
      <c r="C380" s="41">
        <v>2956</v>
      </c>
      <c r="D380"/>
      <c r="E380"/>
      <c r="F380"/>
    </row>
    <row r="381" spans="1:6" x14ac:dyDescent="0.3">
      <c r="A381" s="40"/>
      <c r="B381" s="41" t="s">
        <v>451</v>
      </c>
      <c r="C381" s="41">
        <v>13</v>
      </c>
      <c r="D381"/>
      <c r="E381"/>
      <c r="F381"/>
    </row>
    <row r="382" spans="1:6" ht="31.2" x14ac:dyDescent="0.3">
      <c r="A382" s="40" t="s">
        <v>452</v>
      </c>
      <c r="B382" s="41"/>
      <c r="C382" s="41"/>
      <c r="D382"/>
      <c r="E382"/>
      <c r="F382"/>
    </row>
    <row r="383" spans="1:6" x14ac:dyDescent="0.3">
      <c r="A383" s="40"/>
      <c r="B383" s="41" t="s">
        <v>453</v>
      </c>
      <c r="C383" s="41">
        <v>40</v>
      </c>
      <c r="D383"/>
      <c r="E383"/>
      <c r="F383"/>
    </row>
    <row r="384" spans="1:6" x14ac:dyDescent="0.3">
      <c r="A384" s="40"/>
      <c r="B384" s="41" t="s">
        <v>454</v>
      </c>
      <c r="C384" s="41">
        <v>1273</v>
      </c>
      <c r="D384"/>
      <c r="E384"/>
      <c r="F384"/>
    </row>
    <row r="385" spans="1:6" x14ac:dyDescent="0.3">
      <c r="A385" s="40"/>
      <c r="B385" s="41" t="s">
        <v>455</v>
      </c>
      <c r="C385" s="41">
        <v>1272</v>
      </c>
      <c r="D385"/>
      <c r="E385"/>
      <c r="F385"/>
    </row>
    <row r="386" spans="1:6" x14ac:dyDescent="0.3">
      <c r="A386" s="40"/>
      <c r="B386" s="41" t="s">
        <v>355</v>
      </c>
      <c r="C386" s="41">
        <v>144</v>
      </c>
      <c r="D386"/>
      <c r="E386"/>
      <c r="F386"/>
    </row>
    <row r="387" spans="1:6" x14ac:dyDescent="0.3">
      <c r="A387" s="40"/>
      <c r="B387" s="41" t="s">
        <v>456</v>
      </c>
      <c r="C387" s="41">
        <v>2798</v>
      </c>
      <c r="D387"/>
      <c r="E387"/>
      <c r="F387"/>
    </row>
    <row r="388" spans="1:6" x14ac:dyDescent="0.3">
      <c r="A388" s="40"/>
      <c r="B388" s="41" t="s">
        <v>457</v>
      </c>
      <c r="C388" s="41">
        <v>2800</v>
      </c>
      <c r="D388"/>
      <c r="E388"/>
      <c r="F388"/>
    </row>
    <row r="389" spans="1:6" x14ac:dyDescent="0.3">
      <c r="A389" s="40"/>
      <c r="B389" s="41" t="s">
        <v>458</v>
      </c>
      <c r="C389" s="41">
        <v>2799</v>
      </c>
      <c r="D389"/>
      <c r="E389"/>
      <c r="F389"/>
    </row>
    <row r="390" spans="1:6" x14ac:dyDescent="0.3">
      <c r="A390" s="40"/>
      <c r="B390" s="41" t="s">
        <v>459</v>
      </c>
      <c r="C390" s="41">
        <v>1979</v>
      </c>
      <c r="D390"/>
      <c r="E390"/>
      <c r="F390"/>
    </row>
    <row r="391" spans="1:6" x14ac:dyDescent="0.3">
      <c r="A391" s="40"/>
      <c r="B391" s="41" t="s">
        <v>460</v>
      </c>
      <c r="C391" s="41">
        <v>816</v>
      </c>
      <c r="D391"/>
      <c r="E391"/>
      <c r="F391"/>
    </row>
    <row r="392" spans="1:6" x14ac:dyDescent="0.3">
      <c r="A392" s="40"/>
      <c r="B392" s="41" t="s">
        <v>461</v>
      </c>
      <c r="C392" s="41">
        <v>2801</v>
      </c>
      <c r="D392"/>
      <c r="E392"/>
      <c r="F392"/>
    </row>
    <row r="393" spans="1:6" x14ac:dyDescent="0.3">
      <c r="A393" s="40"/>
      <c r="B393" s="41" t="s">
        <v>462</v>
      </c>
      <c r="C393" s="41">
        <v>802</v>
      </c>
      <c r="D393"/>
      <c r="E393"/>
      <c r="F393"/>
    </row>
    <row r="394" spans="1:6" x14ac:dyDescent="0.3">
      <c r="A394" s="40"/>
      <c r="B394" s="41" t="s">
        <v>463</v>
      </c>
      <c r="C394" s="41">
        <v>67</v>
      </c>
      <c r="D394"/>
      <c r="E394"/>
      <c r="F394"/>
    </row>
    <row r="395" spans="1:6" x14ac:dyDescent="0.3">
      <c r="A395" s="40"/>
      <c r="B395" s="41" t="s">
        <v>464</v>
      </c>
      <c r="C395" s="41">
        <v>66</v>
      </c>
      <c r="D395"/>
      <c r="E395"/>
      <c r="F395"/>
    </row>
    <row r="396" spans="1:6" x14ac:dyDescent="0.3">
      <c r="A396" s="40"/>
      <c r="B396" s="41" t="s">
        <v>465</v>
      </c>
      <c r="C396" s="41">
        <v>1274</v>
      </c>
      <c r="D396"/>
      <c r="E396"/>
      <c r="F396"/>
    </row>
    <row r="397" spans="1:6" x14ac:dyDescent="0.3">
      <c r="A397" s="40"/>
      <c r="B397" s="41" t="s">
        <v>466</v>
      </c>
      <c r="C397" s="41">
        <v>1265</v>
      </c>
      <c r="D397"/>
      <c r="E397"/>
      <c r="F397"/>
    </row>
    <row r="398" spans="1:6" x14ac:dyDescent="0.3">
      <c r="A398" s="40"/>
      <c r="B398" s="41" t="s">
        <v>467</v>
      </c>
      <c r="C398" s="41">
        <v>1264</v>
      </c>
      <c r="D398"/>
      <c r="E398"/>
      <c r="F398"/>
    </row>
    <row r="399" spans="1:6" x14ac:dyDescent="0.3">
      <c r="A399" s="40"/>
      <c r="B399" s="41" t="s">
        <v>468</v>
      </c>
      <c r="C399" s="41">
        <v>1977</v>
      </c>
      <c r="D399"/>
      <c r="E399"/>
      <c r="F399"/>
    </row>
    <row r="400" spans="1:6" x14ac:dyDescent="0.3">
      <c r="A400" s="40"/>
      <c r="B400" s="41" t="s">
        <v>469</v>
      </c>
      <c r="C400" s="41">
        <v>1266</v>
      </c>
      <c r="D400"/>
      <c r="E400"/>
      <c r="F400"/>
    </row>
    <row r="401" spans="1:6" x14ac:dyDescent="0.3">
      <c r="A401" s="40"/>
      <c r="B401" s="41" t="s">
        <v>470</v>
      </c>
      <c r="C401" s="41">
        <v>86</v>
      </c>
      <c r="D401"/>
      <c r="E401"/>
      <c r="F401"/>
    </row>
    <row r="402" spans="1:6" x14ac:dyDescent="0.3">
      <c r="A402" s="40"/>
      <c r="B402" s="41" t="s">
        <v>471</v>
      </c>
      <c r="C402" s="41">
        <v>1275</v>
      </c>
      <c r="D402"/>
      <c r="E402"/>
      <c r="F402"/>
    </row>
    <row r="403" spans="1:6" x14ac:dyDescent="0.3">
      <c r="A403" s="40"/>
      <c r="B403" s="41" t="s">
        <v>472</v>
      </c>
      <c r="C403" s="41">
        <v>1259</v>
      </c>
      <c r="D403"/>
      <c r="E403"/>
      <c r="F403"/>
    </row>
    <row r="404" spans="1:6" x14ac:dyDescent="0.3">
      <c r="A404" s="40"/>
      <c r="B404" s="41" t="s">
        <v>473</v>
      </c>
      <c r="C404" s="41">
        <v>1258</v>
      </c>
      <c r="D404"/>
      <c r="E404"/>
      <c r="F404"/>
    </row>
    <row r="405" spans="1:6" x14ac:dyDescent="0.3">
      <c r="A405" s="40"/>
      <c r="B405" s="41" t="s">
        <v>474</v>
      </c>
      <c r="C405" s="41">
        <v>1261</v>
      </c>
      <c r="D405"/>
      <c r="E405"/>
      <c r="F405"/>
    </row>
    <row r="406" spans="1:6" x14ac:dyDescent="0.3">
      <c r="A406" s="40"/>
      <c r="B406" s="41" t="s">
        <v>475</v>
      </c>
      <c r="C406" s="41">
        <v>1255</v>
      </c>
      <c r="D406"/>
      <c r="E406"/>
      <c r="F406"/>
    </row>
    <row r="407" spans="1:6" x14ac:dyDescent="0.3">
      <c r="A407" s="40"/>
      <c r="B407" s="41" t="s">
        <v>476</v>
      </c>
      <c r="C407" s="41">
        <v>1256</v>
      </c>
      <c r="D407"/>
      <c r="E407"/>
      <c r="F407"/>
    </row>
    <row r="408" spans="1:6" x14ac:dyDescent="0.3">
      <c r="A408" s="40"/>
      <c r="B408" s="41" t="s">
        <v>477</v>
      </c>
      <c r="C408" s="41">
        <v>1260</v>
      </c>
      <c r="D408"/>
      <c r="E408"/>
      <c r="F408"/>
    </row>
    <row r="409" spans="1:6" x14ac:dyDescent="0.3">
      <c r="A409" s="40"/>
      <c r="B409" s="41" t="s">
        <v>478</v>
      </c>
      <c r="C409" s="41">
        <v>454</v>
      </c>
      <c r="D409"/>
      <c r="E409"/>
      <c r="F409"/>
    </row>
    <row r="410" spans="1:6" x14ac:dyDescent="0.3">
      <c r="A410" s="40"/>
      <c r="B410" s="41" t="s">
        <v>479</v>
      </c>
      <c r="C410" s="41">
        <v>1257</v>
      </c>
      <c r="D410"/>
      <c r="E410"/>
      <c r="F410"/>
    </row>
    <row r="411" spans="1:6" x14ac:dyDescent="0.3">
      <c r="A411" s="40"/>
      <c r="B411" s="41" t="s">
        <v>480</v>
      </c>
      <c r="C411" s="41">
        <v>538</v>
      </c>
      <c r="D411"/>
      <c r="E411"/>
      <c r="F411"/>
    </row>
    <row r="412" spans="1:6" x14ac:dyDescent="0.3">
      <c r="A412" s="40"/>
      <c r="B412" s="41" t="s">
        <v>481</v>
      </c>
      <c r="C412" s="41">
        <v>2009</v>
      </c>
      <c r="D412"/>
      <c r="E412"/>
      <c r="F412"/>
    </row>
    <row r="413" spans="1:6" x14ac:dyDescent="0.3">
      <c r="A413" s="40"/>
      <c r="B413" s="41" t="s">
        <v>482</v>
      </c>
      <c r="C413" s="41">
        <v>311</v>
      </c>
      <c r="D413"/>
      <c r="E413"/>
      <c r="F413"/>
    </row>
    <row r="414" spans="1:6" x14ac:dyDescent="0.3">
      <c r="A414" s="40"/>
      <c r="B414" s="41" t="s">
        <v>483</v>
      </c>
      <c r="C414" s="41">
        <v>1276</v>
      </c>
      <c r="D414"/>
      <c r="E414"/>
      <c r="F414"/>
    </row>
    <row r="415" spans="1:6" x14ac:dyDescent="0.3">
      <c r="A415" s="40"/>
      <c r="B415" s="41" t="s">
        <v>484</v>
      </c>
      <c r="C415" s="41">
        <v>1268</v>
      </c>
      <c r="D415"/>
      <c r="E415"/>
      <c r="F415"/>
    </row>
    <row r="416" spans="1:6" x14ac:dyDescent="0.3">
      <c r="A416" s="40"/>
      <c r="B416" s="41" t="s">
        <v>485</v>
      </c>
      <c r="C416" s="41">
        <v>1262</v>
      </c>
      <c r="D416"/>
      <c r="E416"/>
      <c r="F416"/>
    </row>
    <row r="417" spans="1:6" x14ac:dyDescent="0.3">
      <c r="A417" s="40"/>
      <c r="B417" s="41" t="s">
        <v>486</v>
      </c>
      <c r="C417" s="41">
        <v>2914</v>
      </c>
      <c r="D417"/>
      <c r="E417"/>
      <c r="F417"/>
    </row>
    <row r="418" spans="1:6" x14ac:dyDescent="0.3">
      <c r="A418" s="40"/>
      <c r="B418" s="41" t="s">
        <v>487</v>
      </c>
      <c r="C418" s="41">
        <v>1271</v>
      </c>
      <c r="D418"/>
      <c r="E418"/>
      <c r="F418"/>
    </row>
    <row r="419" spans="1:6" x14ac:dyDescent="0.3">
      <c r="A419" s="40"/>
      <c r="B419" s="41" t="s">
        <v>488</v>
      </c>
      <c r="C419" s="41">
        <v>1267</v>
      </c>
      <c r="D419"/>
      <c r="E419"/>
      <c r="F419"/>
    </row>
    <row r="420" spans="1:6" x14ac:dyDescent="0.3">
      <c r="A420" s="40"/>
      <c r="B420" s="41" t="s">
        <v>489</v>
      </c>
      <c r="C420" s="41">
        <v>1269</v>
      </c>
      <c r="D420"/>
      <c r="E420"/>
      <c r="F420"/>
    </row>
    <row r="421" spans="1:6" x14ac:dyDescent="0.3">
      <c r="A421" s="40"/>
      <c r="B421" s="41" t="s">
        <v>490</v>
      </c>
      <c r="C421" s="41">
        <v>2920</v>
      </c>
      <c r="D421"/>
      <c r="E421"/>
      <c r="F421"/>
    </row>
    <row r="422" spans="1:6" x14ac:dyDescent="0.3">
      <c r="A422" s="40"/>
      <c r="B422" s="41" t="s">
        <v>491</v>
      </c>
      <c r="C422" s="41">
        <v>1263</v>
      </c>
      <c r="D422"/>
      <c r="E422"/>
      <c r="F422"/>
    </row>
    <row r="423" spans="1:6" x14ac:dyDescent="0.3">
      <c r="A423" s="40"/>
      <c r="B423" s="41" t="s">
        <v>492</v>
      </c>
      <c r="C423" s="41">
        <v>1270</v>
      </c>
      <c r="D423"/>
      <c r="E423"/>
      <c r="F423"/>
    </row>
    <row r="424" spans="1:6" x14ac:dyDescent="0.3">
      <c r="A424" s="40"/>
      <c r="B424" s="41" t="s">
        <v>493</v>
      </c>
      <c r="C424" s="41">
        <v>381</v>
      </c>
      <c r="D424"/>
      <c r="E424"/>
      <c r="F424"/>
    </row>
    <row r="425" spans="1:6" x14ac:dyDescent="0.3">
      <c r="A425" s="40"/>
      <c r="B425" s="41" t="s">
        <v>494</v>
      </c>
      <c r="C425" s="41">
        <v>581</v>
      </c>
      <c r="D425"/>
      <c r="E425"/>
      <c r="F425"/>
    </row>
    <row r="426" spans="1:6" x14ac:dyDescent="0.3">
      <c r="A426" s="40" t="s">
        <v>495</v>
      </c>
      <c r="B426" s="41"/>
      <c r="C426" s="41"/>
      <c r="D426"/>
      <c r="E426"/>
      <c r="F426"/>
    </row>
    <row r="427" spans="1:6" x14ac:dyDescent="0.3">
      <c r="A427" s="40"/>
      <c r="B427" s="41" t="s">
        <v>496</v>
      </c>
      <c r="C427" s="41">
        <v>378</v>
      </c>
      <c r="D427"/>
      <c r="E427"/>
      <c r="F427"/>
    </row>
    <row r="428" spans="1:6" x14ac:dyDescent="0.3">
      <c r="A428" s="40"/>
      <c r="B428" s="41" t="s">
        <v>317</v>
      </c>
      <c r="C428" s="41">
        <v>1351</v>
      </c>
      <c r="D428"/>
      <c r="E428"/>
      <c r="F428"/>
    </row>
    <row r="429" spans="1:6" x14ac:dyDescent="0.3">
      <c r="A429" s="40"/>
      <c r="B429" s="41" t="s">
        <v>497</v>
      </c>
      <c r="C429" s="41">
        <v>1017</v>
      </c>
      <c r="D429"/>
      <c r="E429"/>
      <c r="F429"/>
    </row>
    <row r="430" spans="1:6" x14ac:dyDescent="0.3">
      <c r="A430" s="40"/>
      <c r="B430" s="41" t="s">
        <v>498</v>
      </c>
      <c r="C430" s="41">
        <v>1014</v>
      </c>
      <c r="D430"/>
      <c r="E430"/>
      <c r="F430"/>
    </row>
    <row r="431" spans="1:6" x14ac:dyDescent="0.3">
      <c r="A431" s="40"/>
      <c r="B431" s="41" t="s">
        <v>499</v>
      </c>
      <c r="C431" s="41">
        <v>2416</v>
      </c>
      <c r="D431"/>
      <c r="E431"/>
      <c r="F431"/>
    </row>
    <row r="432" spans="1:6" x14ac:dyDescent="0.3">
      <c r="A432" s="40"/>
      <c r="B432" s="41" t="s">
        <v>500</v>
      </c>
      <c r="C432" s="41">
        <v>1012</v>
      </c>
      <c r="D432"/>
      <c r="E432"/>
      <c r="F432"/>
    </row>
    <row r="433" spans="1:6" x14ac:dyDescent="0.3">
      <c r="A433" s="40"/>
      <c r="B433" s="41" t="s">
        <v>501</v>
      </c>
      <c r="C433" s="41">
        <v>1010</v>
      </c>
      <c r="D433"/>
      <c r="E433"/>
      <c r="F433"/>
    </row>
    <row r="434" spans="1:6" x14ac:dyDescent="0.3">
      <c r="A434" s="40"/>
      <c r="B434" s="41" t="s">
        <v>502</v>
      </c>
      <c r="C434" s="41">
        <v>1900</v>
      </c>
      <c r="D434"/>
      <c r="E434"/>
      <c r="F434"/>
    </row>
    <row r="435" spans="1:6" x14ac:dyDescent="0.3">
      <c r="A435" s="40"/>
      <c r="B435" s="41" t="s">
        <v>503</v>
      </c>
      <c r="C435" s="41">
        <v>2857</v>
      </c>
      <c r="D435"/>
      <c r="E435"/>
      <c r="F435"/>
    </row>
    <row r="436" spans="1:6" x14ac:dyDescent="0.3">
      <c r="A436" s="40"/>
      <c r="B436" s="41" t="s">
        <v>504</v>
      </c>
      <c r="C436" s="41">
        <v>2417</v>
      </c>
      <c r="D436"/>
      <c r="E436"/>
      <c r="F436"/>
    </row>
    <row r="437" spans="1:6" x14ac:dyDescent="0.3">
      <c r="A437" s="40"/>
      <c r="B437" s="41" t="s">
        <v>505</v>
      </c>
      <c r="C437" s="41">
        <v>248</v>
      </c>
      <c r="D437"/>
      <c r="E437"/>
      <c r="F437"/>
    </row>
    <row r="438" spans="1:6" x14ac:dyDescent="0.3">
      <c r="A438" s="40"/>
      <c r="B438" s="41" t="s">
        <v>506</v>
      </c>
      <c r="C438" s="41">
        <v>2789</v>
      </c>
      <c r="D438"/>
      <c r="E438"/>
      <c r="F438"/>
    </row>
    <row r="439" spans="1:6" x14ac:dyDescent="0.3">
      <c r="A439" s="40"/>
      <c r="B439" s="41" t="s">
        <v>507</v>
      </c>
      <c r="C439" s="41">
        <v>1011</v>
      </c>
      <c r="D439"/>
      <c r="E439"/>
      <c r="F439"/>
    </row>
    <row r="440" spans="1:6" x14ac:dyDescent="0.3">
      <c r="A440" s="40"/>
      <c r="B440" s="41" t="s">
        <v>508</v>
      </c>
      <c r="C440" s="41">
        <v>1013</v>
      </c>
      <c r="D440"/>
      <c r="E440"/>
      <c r="F440"/>
    </row>
    <row r="441" spans="1:6" x14ac:dyDescent="0.3">
      <c r="A441" s="40"/>
      <c r="B441" s="41" t="s">
        <v>509</v>
      </c>
      <c r="C441" s="41">
        <v>2692</v>
      </c>
      <c r="D441"/>
      <c r="E441"/>
      <c r="F441"/>
    </row>
    <row r="442" spans="1:6" x14ac:dyDescent="0.3">
      <c r="A442" s="40"/>
      <c r="B442" s="41" t="s">
        <v>510</v>
      </c>
      <c r="C442" s="41">
        <v>1015</v>
      </c>
      <c r="D442"/>
      <c r="E442"/>
      <c r="F442"/>
    </row>
    <row r="443" spans="1:6" x14ac:dyDescent="0.3">
      <c r="A443" s="40"/>
      <c r="B443" s="41" t="s">
        <v>511</v>
      </c>
      <c r="C443" s="41">
        <v>1016</v>
      </c>
      <c r="D443"/>
      <c r="E443"/>
      <c r="F443"/>
    </row>
    <row r="444" spans="1:6" x14ac:dyDescent="0.3">
      <c r="A444" s="40"/>
      <c r="B444" s="41" t="s">
        <v>512</v>
      </c>
      <c r="C444" s="41">
        <v>2856</v>
      </c>
      <c r="D444"/>
      <c r="E444"/>
      <c r="F444"/>
    </row>
    <row r="445" spans="1:6" x14ac:dyDescent="0.3">
      <c r="A445" s="40"/>
      <c r="B445" s="41" t="s">
        <v>513</v>
      </c>
      <c r="C445" s="41">
        <v>577</v>
      </c>
      <c r="D445"/>
      <c r="E445"/>
      <c r="F445"/>
    </row>
    <row r="446" spans="1:6" x14ac:dyDescent="0.3">
      <c r="A446" s="40"/>
      <c r="B446" s="41" t="s">
        <v>514</v>
      </c>
      <c r="C446" s="41">
        <v>1289</v>
      </c>
      <c r="D446"/>
      <c r="E446"/>
      <c r="F446"/>
    </row>
    <row r="447" spans="1:6" x14ac:dyDescent="0.3">
      <c r="A447" s="40"/>
      <c r="B447" s="41" t="s">
        <v>515</v>
      </c>
      <c r="C447" s="41">
        <v>2688</v>
      </c>
      <c r="D447"/>
      <c r="E447"/>
      <c r="F447"/>
    </row>
    <row r="448" spans="1:6" x14ac:dyDescent="0.3">
      <c r="A448" s="40"/>
      <c r="B448" s="41" t="s">
        <v>516</v>
      </c>
      <c r="C448" s="41">
        <v>2019</v>
      </c>
      <c r="D448"/>
      <c r="E448"/>
      <c r="F448"/>
    </row>
    <row r="449" spans="1:6" x14ac:dyDescent="0.3">
      <c r="A449" s="40"/>
      <c r="B449" s="41" t="s">
        <v>517</v>
      </c>
      <c r="C449" s="41">
        <v>1023</v>
      </c>
      <c r="D449"/>
      <c r="E449"/>
      <c r="F449"/>
    </row>
    <row r="450" spans="1:6" x14ac:dyDescent="0.3">
      <c r="A450" s="40"/>
      <c r="B450" s="41" t="s">
        <v>518</v>
      </c>
      <c r="C450" s="41">
        <v>1960</v>
      </c>
      <c r="D450"/>
      <c r="E450"/>
      <c r="F450"/>
    </row>
    <row r="451" spans="1:6" x14ac:dyDescent="0.3">
      <c r="A451" s="40"/>
      <c r="B451" s="41" t="s">
        <v>519</v>
      </c>
      <c r="C451" s="41">
        <v>1331</v>
      </c>
      <c r="D451"/>
      <c r="E451"/>
      <c r="F451"/>
    </row>
    <row r="452" spans="1:6" x14ac:dyDescent="0.3">
      <c r="A452" s="40"/>
      <c r="B452" s="41" t="s">
        <v>520</v>
      </c>
      <c r="C452" s="41">
        <v>1296</v>
      </c>
      <c r="D452"/>
      <c r="E452"/>
      <c r="F452"/>
    </row>
    <row r="453" spans="1:6" x14ac:dyDescent="0.3">
      <c r="A453" s="40"/>
      <c r="B453" s="41" t="s">
        <v>521</v>
      </c>
      <c r="C453" s="41">
        <v>1004</v>
      </c>
      <c r="D453"/>
      <c r="E453"/>
      <c r="F453"/>
    </row>
    <row r="454" spans="1:6" x14ac:dyDescent="0.3">
      <c r="A454" s="40"/>
      <c r="B454" s="41" t="s">
        <v>522</v>
      </c>
      <c r="C454" s="41">
        <v>2720</v>
      </c>
      <c r="D454"/>
      <c r="E454"/>
      <c r="F454"/>
    </row>
    <row r="455" spans="1:6" x14ac:dyDescent="0.3">
      <c r="A455" s="40"/>
      <c r="B455" s="41" t="s">
        <v>523</v>
      </c>
      <c r="C455" s="41">
        <v>1008</v>
      </c>
      <c r="D455"/>
      <c r="E455"/>
      <c r="F455"/>
    </row>
    <row r="456" spans="1:6" x14ac:dyDescent="0.3">
      <c r="A456" s="40"/>
      <c r="B456" s="41" t="s">
        <v>524</v>
      </c>
      <c r="C456" s="41">
        <v>2788</v>
      </c>
      <c r="D456"/>
      <c r="E456"/>
      <c r="F456"/>
    </row>
    <row r="457" spans="1:6" x14ac:dyDescent="0.3">
      <c r="A457" s="40"/>
      <c r="B457" s="41" t="s">
        <v>525</v>
      </c>
      <c r="C457" s="41">
        <v>2721</v>
      </c>
      <c r="D457"/>
      <c r="E457"/>
      <c r="F457"/>
    </row>
    <row r="458" spans="1:6" x14ac:dyDescent="0.3">
      <c r="A458" s="40"/>
      <c r="B458" s="41" t="s">
        <v>526</v>
      </c>
      <c r="C458" s="41">
        <v>1298</v>
      </c>
      <c r="D458"/>
      <c r="E458"/>
      <c r="F458"/>
    </row>
    <row r="459" spans="1:6" x14ac:dyDescent="0.3">
      <c r="A459" s="40"/>
      <c r="B459" s="41" t="s">
        <v>527</v>
      </c>
      <c r="C459" s="41">
        <v>2718</v>
      </c>
      <c r="D459"/>
      <c r="E459"/>
      <c r="F459"/>
    </row>
    <row r="460" spans="1:6" x14ac:dyDescent="0.3">
      <c r="A460" s="40"/>
      <c r="B460" s="41" t="s">
        <v>528</v>
      </c>
      <c r="C460" s="41">
        <v>2722</v>
      </c>
      <c r="D460"/>
      <c r="E460"/>
      <c r="F460"/>
    </row>
    <row r="461" spans="1:6" x14ac:dyDescent="0.3">
      <c r="A461" s="40"/>
      <c r="B461" s="41" t="s">
        <v>529</v>
      </c>
      <c r="C461" s="41">
        <v>1005</v>
      </c>
      <c r="D461"/>
      <c r="E461"/>
      <c r="F461"/>
    </row>
    <row r="462" spans="1:6" x14ac:dyDescent="0.3">
      <c r="A462" s="40"/>
      <c r="B462" s="41" t="s">
        <v>530</v>
      </c>
      <c r="C462" s="41">
        <v>1007</v>
      </c>
      <c r="D462"/>
      <c r="E462"/>
      <c r="F462"/>
    </row>
    <row r="463" spans="1:6" x14ac:dyDescent="0.3">
      <c r="A463" s="40"/>
      <c r="B463" s="41" t="s">
        <v>531</v>
      </c>
      <c r="C463" s="41">
        <v>1006</v>
      </c>
      <c r="D463"/>
      <c r="E463"/>
      <c r="F463"/>
    </row>
    <row r="464" spans="1:6" x14ac:dyDescent="0.3">
      <c r="A464" s="40"/>
      <c r="B464" s="41" t="s">
        <v>532</v>
      </c>
      <c r="C464" s="41">
        <v>229</v>
      </c>
      <c r="D464"/>
      <c r="E464"/>
      <c r="F464"/>
    </row>
    <row r="465" spans="1:6" x14ac:dyDescent="0.3">
      <c r="A465" s="40"/>
      <c r="B465" s="41" t="s">
        <v>533</v>
      </c>
      <c r="C465" s="41">
        <v>2785</v>
      </c>
      <c r="D465"/>
      <c r="E465"/>
      <c r="F465"/>
    </row>
    <row r="466" spans="1:6" x14ac:dyDescent="0.3">
      <c r="A466" s="40"/>
      <c r="B466" s="41" t="s">
        <v>534</v>
      </c>
      <c r="C466" s="41">
        <v>1009</v>
      </c>
      <c r="D466"/>
      <c r="E466"/>
      <c r="F466"/>
    </row>
    <row r="467" spans="1:6" x14ac:dyDescent="0.3">
      <c r="A467" s="40"/>
      <c r="B467" s="41" t="s">
        <v>535</v>
      </c>
      <c r="C467" s="41">
        <v>1329</v>
      </c>
      <c r="D467"/>
      <c r="E467"/>
      <c r="F467"/>
    </row>
    <row r="468" spans="1:6" x14ac:dyDescent="0.3">
      <c r="A468" s="40"/>
      <c r="B468" s="41" t="s">
        <v>536</v>
      </c>
      <c r="C468" s="41">
        <v>1297</v>
      </c>
      <c r="D468"/>
      <c r="E468"/>
      <c r="F468"/>
    </row>
    <row r="469" spans="1:6" x14ac:dyDescent="0.3">
      <c r="A469" s="40"/>
      <c r="B469" s="41" t="s">
        <v>298</v>
      </c>
      <c r="C469" s="41">
        <v>2919</v>
      </c>
      <c r="D469"/>
      <c r="E469"/>
      <c r="F469"/>
    </row>
    <row r="470" spans="1:6" x14ac:dyDescent="0.3">
      <c r="A470" s="40"/>
      <c r="B470" s="41" t="s">
        <v>537</v>
      </c>
      <c r="C470" s="41">
        <v>2723</v>
      </c>
      <c r="D470"/>
      <c r="E470"/>
      <c r="F470"/>
    </row>
    <row r="471" spans="1:6" x14ac:dyDescent="0.3">
      <c r="A471" s="40"/>
      <c r="B471" s="41" t="s">
        <v>538</v>
      </c>
      <c r="C471" s="41">
        <v>1353</v>
      </c>
      <c r="D471"/>
      <c r="E471"/>
      <c r="F471"/>
    </row>
    <row r="472" spans="1:6" x14ac:dyDescent="0.3">
      <c r="A472" s="40"/>
      <c r="B472" s="41" t="s">
        <v>539</v>
      </c>
      <c r="C472" s="41">
        <v>1968</v>
      </c>
      <c r="D472"/>
      <c r="E472"/>
      <c r="F472"/>
    </row>
    <row r="473" spans="1:6" x14ac:dyDescent="0.3">
      <c r="A473" s="40"/>
      <c r="B473" s="41" t="s">
        <v>540</v>
      </c>
      <c r="C473" s="41">
        <v>2661</v>
      </c>
      <c r="D473"/>
      <c r="E473"/>
      <c r="F473"/>
    </row>
    <row r="474" spans="1:6" x14ac:dyDescent="0.3">
      <c r="A474" s="40"/>
      <c r="B474" s="41" t="s">
        <v>541</v>
      </c>
      <c r="C474" s="41">
        <v>1330</v>
      </c>
      <c r="D474"/>
      <c r="E474"/>
      <c r="F474"/>
    </row>
    <row r="475" spans="1:6" x14ac:dyDescent="0.3">
      <c r="A475" s="40"/>
      <c r="B475" s="41" t="s">
        <v>542</v>
      </c>
      <c r="C475" s="41">
        <v>2726</v>
      </c>
      <c r="D475"/>
      <c r="E475"/>
      <c r="F475"/>
    </row>
    <row r="476" spans="1:6" x14ac:dyDescent="0.3">
      <c r="A476" s="40"/>
      <c r="B476" s="41" t="s">
        <v>543</v>
      </c>
      <c r="C476" s="41">
        <v>2725</v>
      </c>
      <c r="D476"/>
      <c r="E476"/>
      <c r="F476"/>
    </row>
    <row r="477" spans="1:6" x14ac:dyDescent="0.3">
      <c r="A477" s="40"/>
      <c r="B477" s="41" t="s">
        <v>544</v>
      </c>
      <c r="C477" s="41">
        <v>1978</v>
      </c>
      <c r="D477"/>
      <c r="E477"/>
      <c r="F477"/>
    </row>
    <row r="478" spans="1:6" x14ac:dyDescent="0.3">
      <c r="A478" s="40"/>
      <c r="B478" s="41" t="s">
        <v>545</v>
      </c>
      <c r="C478" s="41">
        <v>1959</v>
      </c>
      <c r="D478"/>
      <c r="E478"/>
      <c r="F478"/>
    </row>
    <row r="479" spans="1:6" x14ac:dyDescent="0.3">
      <c r="A479" s="40"/>
      <c r="B479" s="41" t="s">
        <v>546</v>
      </c>
      <c r="C479" s="41">
        <v>2689</v>
      </c>
      <c r="D479"/>
      <c r="E479"/>
      <c r="F479"/>
    </row>
    <row r="480" spans="1:6" x14ac:dyDescent="0.3">
      <c r="A480" s="40"/>
      <c r="B480" s="41" t="s">
        <v>547</v>
      </c>
      <c r="C480" s="41">
        <v>1312</v>
      </c>
      <c r="D480"/>
      <c r="E480"/>
      <c r="F480"/>
    </row>
    <row r="481" spans="1:6" x14ac:dyDescent="0.3">
      <c r="A481" s="40"/>
      <c r="B481" s="41" t="s">
        <v>548</v>
      </c>
      <c r="C481" s="41">
        <v>2021</v>
      </c>
      <c r="D481"/>
      <c r="E481"/>
      <c r="F481"/>
    </row>
    <row r="482" spans="1:6" x14ac:dyDescent="0.3">
      <c r="A482" s="40"/>
      <c r="B482" s="41" t="s">
        <v>549</v>
      </c>
      <c r="C482" s="41">
        <v>1388</v>
      </c>
      <c r="D482"/>
      <c r="E482"/>
      <c r="F482"/>
    </row>
    <row r="483" spans="1:6" x14ac:dyDescent="0.3">
      <c r="A483" s="40"/>
      <c r="B483" s="41" t="s">
        <v>550</v>
      </c>
      <c r="C483" s="41">
        <v>1873</v>
      </c>
      <c r="D483"/>
      <c r="E483"/>
      <c r="F483"/>
    </row>
    <row r="484" spans="1:6" x14ac:dyDescent="0.3">
      <c r="A484" s="40"/>
      <c r="B484" s="41" t="s">
        <v>551</v>
      </c>
      <c r="C484" s="41">
        <v>2515</v>
      </c>
      <c r="D484"/>
      <c r="E484"/>
      <c r="F484"/>
    </row>
    <row r="485" spans="1:6" x14ac:dyDescent="0.3">
      <c r="A485" s="40"/>
      <c r="B485" s="41" t="s">
        <v>160</v>
      </c>
      <c r="C485" s="41">
        <v>1811</v>
      </c>
      <c r="D485"/>
      <c r="E485"/>
      <c r="F485"/>
    </row>
    <row r="486" spans="1:6" x14ac:dyDescent="0.3">
      <c r="A486" s="40"/>
      <c r="B486" s="41" t="s">
        <v>552</v>
      </c>
      <c r="C486" s="41">
        <v>2724</v>
      </c>
      <c r="D486"/>
      <c r="E486"/>
      <c r="F486"/>
    </row>
    <row r="487" spans="1:6" x14ac:dyDescent="0.3">
      <c r="A487" s="40"/>
      <c r="B487" s="41" t="s">
        <v>553</v>
      </c>
      <c r="C487" s="41">
        <v>1980</v>
      </c>
      <c r="D487"/>
      <c r="E487"/>
      <c r="F487"/>
    </row>
    <row r="488" spans="1:6" x14ac:dyDescent="0.3">
      <c r="A488" s="40"/>
      <c r="B488" s="41" t="s">
        <v>554</v>
      </c>
      <c r="C488" s="41">
        <v>1022</v>
      </c>
      <c r="D488"/>
      <c r="E488"/>
      <c r="F488"/>
    </row>
    <row r="489" spans="1:6" x14ac:dyDescent="0.3">
      <c r="A489" s="40"/>
      <c r="B489" s="41" t="s">
        <v>555</v>
      </c>
      <c r="C489" s="41">
        <v>1964</v>
      </c>
      <c r="D489"/>
      <c r="E489"/>
      <c r="F489"/>
    </row>
    <row r="490" spans="1:6" x14ac:dyDescent="0.3">
      <c r="A490" s="40"/>
      <c r="B490" s="41" t="s">
        <v>556</v>
      </c>
      <c r="C490" s="41">
        <v>2719</v>
      </c>
      <c r="D490"/>
      <c r="E490"/>
      <c r="F490"/>
    </row>
    <row r="491" spans="1:6" x14ac:dyDescent="0.3">
      <c r="A491" s="40"/>
      <c r="B491" s="41" t="s">
        <v>557</v>
      </c>
      <c r="C491" s="41">
        <v>1939</v>
      </c>
      <c r="D491"/>
      <c r="E491"/>
      <c r="F491"/>
    </row>
    <row r="492" spans="1:6" x14ac:dyDescent="0.3">
      <c r="A492" s="40"/>
      <c r="B492" s="41" t="s">
        <v>558</v>
      </c>
      <c r="C492" s="41">
        <v>2662</v>
      </c>
      <c r="D492"/>
      <c r="E492"/>
      <c r="F492"/>
    </row>
    <row r="493" spans="1:6" x14ac:dyDescent="0.3">
      <c r="A493" s="40"/>
      <c r="B493" s="41" t="s">
        <v>559</v>
      </c>
      <c r="C493" s="41">
        <v>481</v>
      </c>
      <c r="D493"/>
      <c r="E493"/>
      <c r="F493"/>
    </row>
    <row r="494" spans="1:6" x14ac:dyDescent="0.3">
      <c r="A494" s="40" t="s">
        <v>560</v>
      </c>
      <c r="B494" s="41"/>
      <c r="C494" s="41"/>
      <c r="D494"/>
      <c r="E494"/>
      <c r="F494"/>
    </row>
    <row r="495" spans="1:6" x14ac:dyDescent="0.3">
      <c r="A495" s="40"/>
      <c r="B495" s="41" t="s">
        <v>561</v>
      </c>
      <c r="C495" s="41">
        <v>676</v>
      </c>
      <c r="D495"/>
      <c r="E495"/>
      <c r="F495"/>
    </row>
    <row r="496" spans="1:6" x14ac:dyDescent="0.3">
      <c r="A496" s="40"/>
      <c r="B496" s="41" t="s">
        <v>562</v>
      </c>
      <c r="C496" s="41">
        <v>1950</v>
      </c>
      <c r="D496"/>
      <c r="E496"/>
      <c r="F496"/>
    </row>
    <row r="497" spans="1:6" x14ac:dyDescent="0.3">
      <c r="A497" s="40"/>
      <c r="B497" s="41" t="s">
        <v>563</v>
      </c>
      <c r="C497" s="41">
        <v>646</v>
      </c>
      <c r="D497"/>
      <c r="E497"/>
      <c r="F497"/>
    </row>
    <row r="498" spans="1:6" x14ac:dyDescent="0.3">
      <c r="A498" s="40"/>
      <c r="B498" s="41" t="s">
        <v>564</v>
      </c>
      <c r="C498" s="41">
        <v>1951</v>
      </c>
      <c r="D498"/>
      <c r="E498"/>
      <c r="F498"/>
    </row>
    <row r="499" spans="1:6" x14ac:dyDescent="0.3">
      <c r="A499" s="40"/>
      <c r="B499" s="41" t="s">
        <v>565</v>
      </c>
      <c r="C499" s="41">
        <v>927</v>
      </c>
      <c r="D499"/>
      <c r="E499"/>
      <c r="F499"/>
    </row>
    <row r="500" spans="1:6" x14ac:dyDescent="0.3">
      <c r="A500" s="40"/>
      <c r="B500" s="41" t="s">
        <v>566</v>
      </c>
      <c r="C500" s="41">
        <v>917</v>
      </c>
      <c r="D500"/>
      <c r="E500"/>
      <c r="F500"/>
    </row>
    <row r="501" spans="1:6" x14ac:dyDescent="0.3">
      <c r="A501" s="40"/>
      <c r="B501" s="41" t="s">
        <v>567</v>
      </c>
      <c r="C501" s="41">
        <v>913</v>
      </c>
      <c r="D501"/>
      <c r="E501"/>
      <c r="F501"/>
    </row>
    <row r="502" spans="1:6" x14ac:dyDescent="0.3">
      <c r="A502" s="40"/>
      <c r="B502" s="41" t="s">
        <v>568</v>
      </c>
      <c r="C502" s="41">
        <v>921</v>
      </c>
      <c r="D502"/>
      <c r="E502"/>
      <c r="F502"/>
    </row>
    <row r="503" spans="1:6" x14ac:dyDescent="0.3">
      <c r="A503" s="40"/>
      <c r="B503" s="41" t="s">
        <v>569</v>
      </c>
      <c r="C503" s="41">
        <v>2771</v>
      </c>
      <c r="D503"/>
      <c r="E503"/>
      <c r="F503"/>
    </row>
    <row r="504" spans="1:6" x14ac:dyDescent="0.3">
      <c r="A504" s="40"/>
      <c r="B504" s="41" t="s">
        <v>570</v>
      </c>
      <c r="C504" s="41">
        <v>916</v>
      </c>
      <c r="D504"/>
      <c r="E504"/>
      <c r="F504"/>
    </row>
    <row r="505" spans="1:6" x14ac:dyDescent="0.3">
      <c r="A505" s="40"/>
      <c r="B505" s="41" t="s">
        <v>571</v>
      </c>
      <c r="C505" s="41">
        <v>929</v>
      </c>
      <c r="D505"/>
      <c r="E505"/>
      <c r="F505"/>
    </row>
    <row r="506" spans="1:6" x14ac:dyDescent="0.3">
      <c r="A506" s="40"/>
      <c r="B506" s="41" t="s">
        <v>572</v>
      </c>
      <c r="C506" s="41">
        <v>924</v>
      </c>
      <c r="D506"/>
      <c r="E506"/>
      <c r="F506"/>
    </row>
    <row r="507" spans="1:6" x14ac:dyDescent="0.3">
      <c r="A507" s="40"/>
      <c r="B507" s="41" t="s">
        <v>573</v>
      </c>
      <c r="C507" s="41">
        <v>1952</v>
      </c>
      <c r="D507"/>
      <c r="E507"/>
      <c r="F507"/>
    </row>
    <row r="508" spans="1:6" x14ac:dyDescent="0.3">
      <c r="A508" s="40"/>
      <c r="B508" s="41" t="s">
        <v>574</v>
      </c>
      <c r="C508" s="41">
        <v>928</v>
      </c>
      <c r="D508"/>
      <c r="E508"/>
      <c r="F508"/>
    </row>
    <row r="509" spans="1:6" x14ac:dyDescent="0.3">
      <c r="A509" s="40"/>
      <c r="B509" s="41" t="s">
        <v>575</v>
      </c>
      <c r="C509" s="41">
        <v>915</v>
      </c>
      <c r="D509"/>
      <c r="E509"/>
      <c r="F509"/>
    </row>
    <row r="510" spans="1:6" x14ac:dyDescent="0.3">
      <c r="A510" s="40"/>
      <c r="B510" s="41" t="s">
        <v>576</v>
      </c>
      <c r="C510" s="41">
        <v>925</v>
      </c>
      <c r="D510"/>
      <c r="E510"/>
      <c r="F510"/>
    </row>
    <row r="511" spans="1:6" x14ac:dyDescent="0.3">
      <c r="A511" s="40"/>
      <c r="B511" s="41" t="s">
        <v>577</v>
      </c>
      <c r="C511" s="41">
        <v>922</v>
      </c>
      <c r="D511"/>
      <c r="E511"/>
      <c r="F511"/>
    </row>
    <row r="512" spans="1:6" x14ac:dyDescent="0.3">
      <c r="A512" s="40"/>
      <c r="B512" s="41" t="s">
        <v>150</v>
      </c>
      <c r="C512" s="41">
        <v>2642</v>
      </c>
      <c r="D512"/>
      <c r="E512"/>
      <c r="F512"/>
    </row>
    <row r="513" spans="1:6" x14ac:dyDescent="0.3">
      <c r="A513" s="40"/>
      <c r="B513" s="41" t="s">
        <v>578</v>
      </c>
      <c r="C513" s="41">
        <v>911</v>
      </c>
      <c r="D513"/>
      <c r="E513"/>
      <c r="F513"/>
    </row>
    <row r="514" spans="1:6" x14ac:dyDescent="0.3">
      <c r="A514" s="40"/>
      <c r="B514" s="41" t="s">
        <v>437</v>
      </c>
      <c r="C514" s="41">
        <v>2643</v>
      </c>
      <c r="D514"/>
      <c r="E514"/>
      <c r="F514"/>
    </row>
    <row r="515" spans="1:6" x14ac:dyDescent="0.3">
      <c r="A515" s="40"/>
      <c r="B515" s="41" t="s">
        <v>579</v>
      </c>
      <c r="C515" s="41">
        <v>1999</v>
      </c>
      <c r="D515"/>
      <c r="E515"/>
      <c r="F515"/>
    </row>
    <row r="516" spans="1:6" x14ac:dyDescent="0.3">
      <c r="A516" s="40"/>
      <c r="B516" s="41" t="s">
        <v>580</v>
      </c>
      <c r="C516" s="41">
        <v>926</v>
      </c>
      <c r="D516"/>
      <c r="E516"/>
      <c r="F516"/>
    </row>
    <row r="517" spans="1:6" x14ac:dyDescent="0.3">
      <c r="A517" s="40"/>
      <c r="B517" s="41" t="s">
        <v>581</v>
      </c>
      <c r="C517" s="41">
        <v>392</v>
      </c>
      <c r="D517"/>
      <c r="E517"/>
      <c r="F517"/>
    </row>
    <row r="518" spans="1:6" x14ac:dyDescent="0.3">
      <c r="A518" s="40"/>
      <c r="B518" s="41" t="s">
        <v>392</v>
      </c>
      <c r="C518" s="41">
        <v>2565</v>
      </c>
      <c r="D518"/>
      <c r="E518"/>
      <c r="F518"/>
    </row>
    <row r="519" spans="1:6" x14ac:dyDescent="0.3">
      <c r="A519" s="40"/>
      <c r="B519" s="41" t="s">
        <v>582</v>
      </c>
      <c r="C519" s="41">
        <v>726</v>
      </c>
      <c r="D519"/>
      <c r="E519"/>
      <c r="F519"/>
    </row>
    <row r="520" spans="1:6" x14ac:dyDescent="0.3">
      <c r="A520" s="40"/>
      <c r="B520" s="41" t="s">
        <v>583</v>
      </c>
      <c r="C520" s="41">
        <v>792</v>
      </c>
      <c r="D520"/>
      <c r="E520"/>
      <c r="F520"/>
    </row>
    <row r="521" spans="1:6" x14ac:dyDescent="0.3">
      <c r="A521" s="40"/>
      <c r="B521" s="41" t="s">
        <v>584</v>
      </c>
      <c r="C521" s="41">
        <v>765</v>
      </c>
      <c r="D521"/>
      <c r="E521"/>
      <c r="F521"/>
    </row>
    <row r="522" spans="1:6" x14ac:dyDescent="0.3">
      <c r="A522" s="40"/>
      <c r="B522" s="41" t="s">
        <v>585</v>
      </c>
      <c r="C522" s="41">
        <v>914</v>
      </c>
      <c r="D522"/>
      <c r="E522"/>
      <c r="F522"/>
    </row>
    <row r="523" spans="1:6" x14ac:dyDescent="0.3">
      <c r="A523" s="40"/>
      <c r="B523" s="41" t="s">
        <v>586</v>
      </c>
      <c r="C523" s="41">
        <v>920</v>
      </c>
      <c r="D523"/>
      <c r="E523"/>
      <c r="F523"/>
    </row>
    <row r="524" spans="1:6" x14ac:dyDescent="0.3">
      <c r="A524" s="40"/>
      <c r="B524" s="41" t="s">
        <v>587</v>
      </c>
      <c r="C524" s="41">
        <v>923</v>
      </c>
      <c r="D524"/>
      <c r="E524"/>
      <c r="F524"/>
    </row>
    <row r="525" spans="1:6" x14ac:dyDescent="0.3">
      <c r="A525" s="40"/>
      <c r="B525" s="41" t="s">
        <v>588</v>
      </c>
      <c r="C525" s="41">
        <v>912</v>
      </c>
      <c r="D525"/>
      <c r="E525"/>
      <c r="F525"/>
    </row>
    <row r="526" spans="1:6" x14ac:dyDescent="0.3">
      <c r="A526" s="40"/>
      <c r="B526" s="41" t="s">
        <v>589</v>
      </c>
      <c r="C526" s="41">
        <v>1248</v>
      </c>
      <c r="D526"/>
      <c r="E526"/>
      <c r="F526"/>
    </row>
    <row r="527" spans="1:6" x14ac:dyDescent="0.3">
      <c r="A527" s="40"/>
      <c r="B527" s="41" t="s">
        <v>590</v>
      </c>
      <c r="C527" s="41">
        <v>677</v>
      </c>
      <c r="D527"/>
      <c r="E527"/>
      <c r="F527"/>
    </row>
    <row r="528" spans="1:6" x14ac:dyDescent="0.3">
      <c r="A528" s="40"/>
      <c r="B528" s="41" t="s">
        <v>591</v>
      </c>
      <c r="C528" s="41">
        <v>678</v>
      </c>
      <c r="D528"/>
      <c r="E528"/>
      <c r="F528"/>
    </row>
    <row r="529" spans="1:6" x14ac:dyDescent="0.3">
      <c r="A529" s="40"/>
      <c r="B529" s="41" t="s">
        <v>592</v>
      </c>
      <c r="C529" s="41">
        <v>1958</v>
      </c>
      <c r="D529"/>
      <c r="E529"/>
      <c r="F529"/>
    </row>
    <row r="530" spans="1:6" x14ac:dyDescent="0.3">
      <c r="A530" s="40"/>
      <c r="B530" s="41" t="s">
        <v>593</v>
      </c>
      <c r="C530" s="41">
        <v>2531</v>
      </c>
      <c r="D530"/>
      <c r="E530"/>
      <c r="F530"/>
    </row>
    <row r="531" spans="1:6" x14ac:dyDescent="0.3">
      <c r="A531" s="40"/>
      <c r="B531" s="41" t="s">
        <v>84</v>
      </c>
      <c r="C531" s="41">
        <v>1806</v>
      </c>
      <c r="D531"/>
      <c r="E531"/>
      <c r="F531"/>
    </row>
    <row r="532" spans="1:6" x14ac:dyDescent="0.3">
      <c r="A532" s="40"/>
      <c r="B532" s="41" t="s">
        <v>594</v>
      </c>
      <c r="C532" s="41">
        <v>2526</v>
      </c>
      <c r="D532"/>
      <c r="E532"/>
      <c r="F532"/>
    </row>
    <row r="533" spans="1:6" x14ac:dyDescent="0.3">
      <c r="A533" s="40"/>
      <c r="B533" s="41" t="s">
        <v>595</v>
      </c>
      <c r="C533" s="41">
        <v>2529</v>
      </c>
      <c r="D533"/>
      <c r="E533"/>
      <c r="F533"/>
    </row>
    <row r="534" spans="1:6" x14ac:dyDescent="0.3">
      <c r="A534" s="40"/>
      <c r="B534" s="41" t="s">
        <v>596</v>
      </c>
      <c r="C534" s="41">
        <v>930</v>
      </c>
      <c r="D534"/>
      <c r="E534"/>
      <c r="F534"/>
    </row>
    <row r="535" spans="1:6" x14ac:dyDescent="0.3">
      <c r="A535" s="40"/>
      <c r="B535" s="41" t="s">
        <v>358</v>
      </c>
      <c r="C535" s="41">
        <v>935</v>
      </c>
      <c r="D535"/>
      <c r="E535"/>
      <c r="F535"/>
    </row>
    <row r="536" spans="1:6" x14ac:dyDescent="0.3">
      <c r="A536" s="40"/>
      <c r="B536" s="41" t="s">
        <v>597</v>
      </c>
      <c r="C536" s="41">
        <v>934</v>
      </c>
      <c r="D536"/>
      <c r="E536"/>
      <c r="F536"/>
    </row>
    <row r="537" spans="1:6" x14ac:dyDescent="0.3">
      <c r="A537" s="40"/>
      <c r="B537" s="41" t="s">
        <v>598</v>
      </c>
      <c r="C537" s="41">
        <v>2532</v>
      </c>
      <c r="D537"/>
      <c r="E537"/>
      <c r="F537"/>
    </row>
    <row r="538" spans="1:6" x14ac:dyDescent="0.3">
      <c r="A538" s="40"/>
      <c r="B538" s="41" t="s">
        <v>599</v>
      </c>
      <c r="C538" s="41">
        <v>1807</v>
      </c>
      <c r="D538"/>
      <c r="E538"/>
      <c r="F538"/>
    </row>
    <row r="539" spans="1:6" x14ac:dyDescent="0.3">
      <c r="A539" s="40"/>
      <c r="B539" s="41" t="s">
        <v>600</v>
      </c>
      <c r="C539" s="41">
        <v>1948</v>
      </c>
      <c r="D539"/>
      <c r="E539"/>
      <c r="F539"/>
    </row>
    <row r="540" spans="1:6" x14ac:dyDescent="0.3">
      <c r="A540" s="40"/>
      <c r="B540" s="41" t="s">
        <v>601</v>
      </c>
      <c r="C540" s="41">
        <v>932</v>
      </c>
      <c r="D540"/>
      <c r="E540"/>
      <c r="F540"/>
    </row>
    <row r="541" spans="1:6" x14ac:dyDescent="0.3">
      <c r="A541" s="40"/>
      <c r="B541" s="41" t="s">
        <v>602</v>
      </c>
      <c r="C541" s="41">
        <v>2536</v>
      </c>
      <c r="D541"/>
      <c r="E541"/>
      <c r="F541"/>
    </row>
    <row r="542" spans="1:6" x14ac:dyDescent="0.3">
      <c r="A542" s="40"/>
      <c r="B542" s="41" t="s">
        <v>603</v>
      </c>
      <c r="C542" s="41">
        <v>2527</v>
      </c>
      <c r="D542"/>
      <c r="E542"/>
      <c r="F542"/>
    </row>
    <row r="543" spans="1:6" x14ac:dyDescent="0.3">
      <c r="A543" s="40"/>
      <c r="B543" s="41" t="s">
        <v>604</v>
      </c>
      <c r="C543" s="41">
        <v>1976</v>
      </c>
      <c r="D543"/>
      <c r="E543"/>
      <c r="F543"/>
    </row>
    <row r="544" spans="1:6" x14ac:dyDescent="0.3">
      <c r="A544" s="40"/>
      <c r="B544" s="41" t="s">
        <v>605</v>
      </c>
      <c r="C544" s="41">
        <v>931</v>
      </c>
      <c r="D544"/>
      <c r="E544"/>
      <c r="F544"/>
    </row>
    <row r="545" spans="1:6" x14ac:dyDescent="0.3">
      <c r="A545" s="40"/>
      <c r="B545" s="41" t="s">
        <v>606</v>
      </c>
      <c r="C545" s="41">
        <v>2971</v>
      </c>
      <c r="D545"/>
      <c r="E545"/>
      <c r="F545"/>
    </row>
    <row r="546" spans="1:6" x14ac:dyDescent="0.3">
      <c r="A546" s="40"/>
      <c r="B546" s="41" t="s">
        <v>607</v>
      </c>
      <c r="C546" s="41">
        <v>2528</v>
      </c>
      <c r="D546"/>
      <c r="E546"/>
      <c r="F546"/>
    </row>
    <row r="547" spans="1:6" x14ac:dyDescent="0.3">
      <c r="A547" s="40"/>
      <c r="B547" s="41" t="s">
        <v>608</v>
      </c>
      <c r="C547" s="41">
        <v>933</v>
      </c>
      <c r="D547"/>
      <c r="E547"/>
      <c r="F547"/>
    </row>
    <row r="548" spans="1:6" x14ac:dyDescent="0.3">
      <c r="A548" s="40"/>
      <c r="B548" s="41" t="s">
        <v>609</v>
      </c>
      <c r="C548" s="41">
        <v>1949</v>
      </c>
      <c r="D548"/>
      <c r="E548"/>
      <c r="F548"/>
    </row>
    <row r="549" spans="1:6" x14ac:dyDescent="0.3">
      <c r="A549" s="40"/>
      <c r="B549" s="41" t="s">
        <v>610</v>
      </c>
      <c r="C549" s="41">
        <v>1861</v>
      </c>
      <c r="D549"/>
      <c r="E549"/>
      <c r="F549"/>
    </row>
    <row r="550" spans="1:6" x14ac:dyDescent="0.3">
      <c r="A550" s="40"/>
      <c r="B550" s="41" t="s">
        <v>611</v>
      </c>
      <c r="C550" s="41">
        <v>936</v>
      </c>
      <c r="D550"/>
      <c r="E550"/>
      <c r="F550"/>
    </row>
    <row r="551" spans="1:6" x14ac:dyDescent="0.3">
      <c r="A551" s="40"/>
      <c r="B551" s="41" t="s">
        <v>612</v>
      </c>
      <c r="C551" s="41">
        <v>919</v>
      </c>
      <c r="D551"/>
      <c r="E551"/>
      <c r="F551"/>
    </row>
    <row r="552" spans="1:6" x14ac:dyDescent="0.3">
      <c r="A552" s="40"/>
      <c r="B552" s="41" t="s">
        <v>613</v>
      </c>
      <c r="C552" s="41">
        <v>393</v>
      </c>
      <c r="D552"/>
      <c r="E552"/>
      <c r="F552"/>
    </row>
    <row r="553" spans="1:6" x14ac:dyDescent="0.3">
      <c r="A553" s="40" t="s">
        <v>614</v>
      </c>
      <c r="B553" s="41"/>
      <c r="C553" s="41"/>
      <c r="D553"/>
      <c r="E553"/>
      <c r="F553"/>
    </row>
    <row r="554" spans="1:6" x14ac:dyDescent="0.3">
      <c r="A554" s="40"/>
      <c r="B554" s="41" t="s">
        <v>615</v>
      </c>
      <c r="C554" s="41">
        <v>1200</v>
      </c>
      <c r="D554"/>
      <c r="E554"/>
      <c r="F554"/>
    </row>
    <row r="555" spans="1:6" x14ac:dyDescent="0.3">
      <c r="A555" s="40"/>
      <c r="B555" s="41" t="s">
        <v>616</v>
      </c>
      <c r="C555" s="41">
        <v>963</v>
      </c>
      <c r="D555"/>
      <c r="E555"/>
      <c r="F555"/>
    </row>
    <row r="556" spans="1:6" x14ac:dyDescent="0.3">
      <c r="A556" s="40"/>
      <c r="B556" s="41" t="s">
        <v>617</v>
      </c>
      <c r="C556" s="41">
        <v>965</v>
      </c>
      <c r="D556"/>
      <c r="E556"/>
      <c r="F556"/>
    </row>
    <row r="557" spans="1:6" x14ac:dyDescent="0.3">
      <c r="A557" s="40"/>
      <c r="B557" s="41" t="s">
        <v>618</v>
      </c>
      <c r="C557" s="41">
        <v>1724</v>
      </c>
      <c r="D557"/>
      <c r="E557"/>
      <c r="F557"/>
    </row>
    <row r="558" spans="1:6" x14ac:dyDescent="0.3">
      <c r="A558" s="40"/>
      <c r="B558" s="41" t="s">
        <v>619</v>
      </c>
      <c r="C558" s="41">
        <v>966</v>
      </c>
      <c r="D558"/>
      <c r="E558"/>
      <c r="F558"/>
    </row>
    <row r="559" spans="1:6" x14ac:dyDescent="0.3">
      <c r="A559" s="40"/>
      <c r="B559" s="41" t="s">
        <v>620</v>
      </c>
      <c r="C559" s="41">
        <v>2423</v>
      </c>
      <c r="D559"/>
      <c r="E559"/>
      <c r="F559"/>
    </row>
    <row r="560" spans="1:6" x14ac:dyDescent="0.3">
      <c r="A560" s="40"/>
      <c r="B560" s="41" t="s">
        <v>621</v>
      </c>
      <c r="C560" s="41">
        <v>967</v>
      </c>
      <c r="D560"/>
      <c r="E560"/>
      <c r="F560"/>
    </row>
    <row r="561" spans="1:6" x14ac:dyDescent="0.3">
      <c r="A561" s="40"/>
      <c r="B561" s="41" t="s">
        <v>622</v>
      </c>
      <c r="C561" s="41">
        <v>964</v>
      </c>
      <c r="D561"/>
      <c r="E561"/>
      <c r="F561"/>
    </row>
    <row r="562" spans="1:6" x14ac:dyDescent="0.3">
      <c r="A562" s="40"/>
      <c r="B562" s="41" t="s">
        <v>623</v>
      </c>
      <c r="C562" s="41">
        <v>603</v>
      </c>
      <c r="D562"/>
      <c r="E562"/>
      <c r="F562"/>
    </row>
    <row r="563" spans="1:6" ht="31.2" x14ac:dyDescent="0.3">
      <c r="A563" s="40" t="s">
        <v>624</v>
      </c>
      <c r="B563" s="41"/>
      <c r="C563" s="41"/>
      <c r="D563"/>
      <c r="E563"/>
      <c r="F563"/>
    </row>
    <row r="564" spans="1:6" x14ac:dyDescent="0.3">
      <c r="A564" s="40"/>
      <c r="B564" s="41" t="s">
        <v>625</v>
      </c>
      <c r="C564" s="41">
        <v>20</v>
      </c>
      <c r="D564"/>
      <c r="E564"/>
      <c r="F564"/>
    </row>
    <row r="565" spans="1:6" x14ac:dyDescent="0.3">
      <c r="A565" s="40"/>
      <c r="B565" s="41" t="s">
        <v>316</v>
      </c>
      <c r="C565" s="41">
        <v>46</v>
      </c>
      <c r="D565"/>
      <c r="E565"/>
      <c r="F565"/>
    </row>
    <row r="566" spans="1:6" x14ac:dyDescent="0.3">
      <c r="A566" s="40"/>
      <c r="B566" s="41" t="s">
        <v>626</v>
      </c>
      <c r="C566" s="41">
        <v>26</v>
      </c>
      <c r="D566"/>
      <c r="E566"/>
      <c r="F566"/>
    </row>
    <row r="567" spans="1:6" x14ac:dyDescent="0.3">
      <c r="A567" s="40"/>
      <c r="B567" s="41" t="s">
        <v>627</v>
      </c>
      <c r="C567" s="41">
        <v>32</v>
      </c>
      <c r="D567"/>
      <c r="E567"/>
      <c r="F567"/>
    </row>
    <row r="568" spans="1:6" x14ac:dyDescent="0.3">
      <c r="A568" s="40"/>
      <c r="B568" s="41" t="s">
        <v>628</v>
      </c>
      <c r="C568" s="41">
        <v>28</v>
      </c>
      <c r="D568"/>
      <c r="E568"/>
      <c r="F568"/>
    </row>
    <row r="569" spans="1:6" x14ac:dyDescent="0.3">
      <c r="A569" s="40"/>
      <c r="B569" s="41" t="s">
        <v>629</v>
      </c>
      <c r="C569" s="41">
        <v>34</v>
      </c>
      <c r="D569"/>
      <c r="E569"/>
      <c r="F569"/>
    </row>
    <row r="570" spans="1:6" x14ac:dyDescent="0.3">
      <c r="A570" s="40"/>
      <c r="B570" s="41" t="s">
        <v>630</v>
      </c>
      <c r="C570" s="41">
        <v>1817</v>
      </c>
      <c r="D570"/>
      <c r="E570"/>
      <c r="F570"/>
    </row>
    <row r="571" spans="1:6" x14ac:dyDescent="0.3">
      <c r="A571" s="40"/>
      <c r="B571" s="41" t="s">
        <v>631</v>
      </c>
      <c r="C571" s="41">
        <v>1369</v>
      </c>
      <c r="D571"/>
      <c r="E571"/>
      <c r="F571"/>
    </row>
    <row r="572" spans="1:6" x14ac:dyDescent="0.3">
      <c r="A572" s="40"/>
      <c r="B572" s="41" t="s">
        <v>632</v>
      </c>
      <c r="C572" s="41">
        <v>2777</v>
      </c>
      <c r="D572"/>
      <c r="E572"/>
      <c r="F572"/>
    </row>
    <row r="573" spans="1:6" x14ac:dyDescent="0.3">
      <c r="A573" s="40"/>
      <c r="B573" s="41" t="s">
        <v>633</v>
      </c>
      <c r="C573" s="41">
        <v>804</v>
      </c>
      <c r="D573"/>
      <c r="E573"/>
      <c r="F573"/>
    </row>
    <row r="574" spans="1:6" x14ac:dyDescent="0.3">
      <c r="A574" s="40"/>
      <c r="B574" s="41" t="s">
        <v>634</v>
      </c>
      <c r="C574" s="41">
        <v>80</v>
      </c>
      <c r="D574"/>
      <c r="E574"/>
      <c r="F574"/>
    </row>
    <row r="575" spans="1:6" x14ac:dyDescent="0.3">
      <c r="A575" s="40"/>
      <c r="B575" s="41" t="s">
        <v>635</v>
      </c>
      <c r="C575" s="41">
        <v>2415</v>
      </c>
      <c r="D575"/>
      <c r="E575"/>
      <c r="F575"/>
    </row>
    <row r="576" spans="1:6" x14ac:dyDescent="0.3">
      <c r="A576" s="40"/>
      <c r="B576" s="41" t="s">
        <v>636</v>
      </c>
      <c r="C576" s="41">
        <v>92</v>
      </c>
      <c r="D576"/>
      <c r="E576"/>
      <c r="F576"/>
    </row>
    <row r="577" spans="1:6" x14ac:dyDescent="0.3">
      <c r="A577" s="40"/>
      <c r="B577" s="41" t="s">
        <v>637</v>
      </c>
      <c r="C577" s="41">
        <v>131</v>
      </c>
      <c r="D577"/>
      <c r="E577"/>
      <c r="F577"/>
    </row>
    <row r="578" spans="1:6" x14ac:dyDescent="0.3">
      <c r="A578" s="40"/>
      <c r="B578" s="41" t="s">
        <v>638</v>
      </c>
      <c r="C578" s="41">
        <v>137</v>
      </c>
      <c r="D578"/>
      <c r="E578"/>
      <c r="F578"/>
    </row>
    <row r="579" spans="1:6" x14ac:dyDescent="0.3">
      <c r="A579" s="40"/>
      <c r="B579" s="41" t="s">
        <v>639</v>
      </c>
      <c r="C579" s="41">
        <v>153</v>
      </c>
      <c r="D579"/>
      <c r="E579"/>
      <c r="F579"/>
    </row>
    <row r="580" spans="1:6" x14ac:dyDescent="0.3">
      <c r="A580" s="40"/>
      <c r="B580" s="41" t="s">
        <v>640</v>
      </c>
      <c r="C580" s="41">
        <v>177</v>
      </c>
      <c r="D580"/>
      <c r="E580"/>
      <c r="F580"/>
    </row>
    <row r="581" spans="1:6" x14ac:dyDescent="0.3">
      <c r="A581" s="40"/>
      <c r="B581" s="41" t="s">
        <v>641</v>
      </c>
      <c r="C581" s="41">
        <v>1943</v>
      </c>
      <c r="D581"/>
      <c r="E581"/>
      <c r="F581"/>
    </row>
    <row r="582" spans="1:6" x14ac:dyDescent="0.3">
      <c r="A582" s="40"/>
      <c r="B582" s="41" t="s">
        <v>642</v>
      </c>
      <c r="C582" s="41">
        <v>230</v>
      </c>
      <c r="D582"/>
      <c r="E582"/>
      <c r="F582"/>
    </row>
    <row r="583" spans="1:6" x14ac:dyDescent="0.3">
      <c r="A583" s="40"/>
      <c r="B583" s="41" t="s">
        <v>320</v>
      </c>
      <c r="C583" s="41">
        <v>203</v>
      </c>
      <c r="D583"/>
      <c r="E583"/>
      <c r="F583"/>
    </row>
    <row r="584" spans="1:6" x14ac:dyDescent="0.3">
      <c r="A584" s="40"/>
      <c r="B584" s="41" t="s">
        <v>321</v>
      </c>
      <c r="C584" s="41">
        <v>231</v>
      </c>
      <c r="D584"/>
      <c r="E584"/>
      <c r="F584"/>
    </row>
    <row r="585" spans="1:6" x14ac:dyDescent="0.3">
      <c r="A585" s="40"/>
      <c r="B585" s="41" t="s">
        <v>643</v>
      </c>
      <c r="C585" s="41">
        <v>2770</v>
      </c>
      <c r="D585"/>
      <c r="E585"/>
      <c r="F585"/>
    </row>
    <row r="586" spans="1:6" x14ac:dyDescent="0.3">
      <c r="A586" s="40"/>
      <c r="B586" s="41" t="s">
        <v>644</v>
      </c>
      <c r="C586" s="41">
        <v>233</v>
      </c>
      <c r="D586"/>
      <c r="E586"/>
      <c r="F586"/>
    </row>
    <row r="587" spans="1:6" x14ac:dyDescent="0.3">
      <c r="A587" s="40"/>
      <c r="B587" s="41" t="s">
        <v>645</v>
      </c>
      <c r="C587" s="41">
        <v>234</v>
      </c>
      <c r="D587"/>
      <c r="E587"/>
      <c r="F587"/>
    </row>
    <row r="588" spans="1:6" x14ac:dyDescent="0.3">
      <c r="A588" s="40"/>
      <c r="B588" s="41" t="s">
        <v>646</v>
      </c>
      <c r="C588" s="41">
        <v>1437</v>
      </c>
      <c r="D588"/>
      <c r="E588"/>
      <c r="F588"/>
    </row>
    <row r="589" spans="1:6" x14ac:dyDescent="0.3">
      <c r="A589" s="40"/>
      <c r="B589" s="41" t="s">
        <v>647</v>
      </c>
      <c r="C589" s="41">
        <v>2702</v>
      </c>
      <c r="D589"/>
      <c r="E589"/>
      <c r="F589"/>
    </row>
    <row r="590" spans="1:6" x14ac:dyDescent="0.3">
      <c r="A590" s="40"/>
      <c r="B590" s="41" t="s">
        <v>505</v>
      </c>
      <c r="C590" s="41">
        <v>248</v>
      </c>
      <c r="D590"/>
      <c r="E590"/>
      <c r="F590"/>
    </row>
    <row r="591" spans="1:6" x14ac:dyDescent="0.3">
      <c r="A591" s="40"/>
      <c r="B591" s="41" t="s">
        <v>648</v>
      </c>
      <c r="C591" s="41">
        <v>284</v>
      </c>
      <c r="D591"/>
      <c r="E591"/>
      <c r="F591"/>
    </row>
    <row r="592" spans="1:6" x14ac:dyDescent="0.3">
      <c r="A592" s="40"/>
      <c r="B592" s="41" t="s">
        <v>649</v>
      </c>
      <c r="C592" s="41">
        <v>1852</v>
      </c>
      <c r="D592"/>
      <c r="E592"/>
      <c r="F592"/>
    </row>
    <row r="593" spans="1:6" x14ac:dyDescent="0.3">
      <c r="A593" s="40"/>
      <c r="B593" s="41" t="s">
        <v>650</v>
      </c>
      <c r="C593" s="41">
        <v>2410</v>
      </c>
      <c r="D593"/>
      <c r="E593"/>
      <c r="F593"/>
    </row>
    <row r="594" spans="1:6" x14ac:dyDescent="0.3">
      <c r="A594" s="40"/>
      <c r="B594" s="41" t="s">
        <v>651</v>
      </c>
      <c r="C594" s="41">
        <v>291</v>
      </c>
      <c r="D594"/>
      <c r="E594"/>
      <c r="F594"/>
    </row>
    <row r="595" spans="1:6" x14ac:dyDescent="0.3">
      <c r="A595" s="40"/>
      <c r="B595" s="41" t="s">
        <v>652</v>
      </c>
      <c r="C595" s="41">
        <v>745</v>
      </c>
      <c r="D595"/>
      <c r="E595"/>
      <c r="F595"/>
    </row>
    <row r="596" spans="1:6" x14ac:dyDescent="0.3">
      <c r="A596" s="40"/>
      <c r="B596" s="41" t="s">
        <v>653</v>
      </c>
      <c r="C596" s="41">
        <v>576</v>
      </c>
      <c r="D596"/>
      <c r="E596"/>
      <c r="F596"/>
    </row>
    <row r="597" spans="1:6" x14ac:dyDescent="0.3">
      <c r="A597" s="40"/>
      <c r="B597" s="41" t="s">
        <v>323</v>
      </c>
      <c r="C597" s="41">
        <v>361</v>
      </c>
      <c r="D597"/>
      <c r="E597"/>
      <c r="F597"/>
    </row>
    <row r="598" spans="1:6" x14ac:dyDescent="0.3">
      <c r="A598" s="40"/>
      <c r="B598" s="41" t="s">
        <v>654</v>
      </c>
      <c r="C598" s="41">
        <v>2778</v>
      </c>
      <c r="D598"/>
      <c r="E598"/>
      <c r="F598"/>
    </row>
    <row r="599" spans="1:6" x14ac:dyDescent="0.3">
      <c r="A599" s="40"/>
      <c r="B599" s="41" t="s">
        <v>655</v>
      </c>
      <c r="C599" s="41">
        <v>394</v>
      </c>
      <c r="D599"/>
      <c r="E599"/>
      <c r="F599"/>
    </row>
    <row r="600" spans="1:6" x14ac:dyDescent="0.3">
      <c r="A600" s="40"/>
      <c r="B600" s="41" t="s">
        <v>656</v>
      </c>
      <c r="C600" s="41">
        <v>409</v>
      </c>
      <c r="D600"/>
      <c r="E600"/>
      <c r="F600"/>
    </row>
    <row r="601" spans="1:6" x14ac:dyDescent="0.3">
      <c r="A601" s="40"/>
      <c r="B601" s="41" t="s">
        <v>657</v>
      </c>
      <c r="C601" s="41">
        <v>411</v>
      </c>
      <c r="D601"/>
      <c r="E601"/>
      <c r="F601"/>
    </row>
    <row r="602" spans="1:6" x14ac:dyDescent="0.3">
      <c r="A602" s="40"/>
      <c r="B602" s="41" t="s">
        <v>658</v>
      </c>
      <c r="C602" s="41">
        <v>1942</v>
      </c>
      <c r="D602"/>
      <c r="E602"/>
      <c r="F602"/>
    </row>
    <row r="603" spans="1:6" x14ac:dyDescent="0.3">
      <c r="A603" s="40"/>
      <c r="B603" s="41" t="s">
        <v>659</v>
      </c>
      <c r="C603" s="41">
        <v>2779</v>
      </c>
      <c r="D603"/>
      <c r="E603"/>
      <c r="F603"/>
    </row>
    <row r="604" spans="1:6" x14ac:dyDescent="0.3">
      <c r="A604" s="40"/>
      <c r="B604" s="41" t="s">
        <v>324</v>
      </c>
      <c r="C604" s="41">
        <v>427</v>
      </c>
      <c r="D604"/>
      <c r="E604"/>
      <c r="F604"/>
    </row>
    <row r="605" spans="1:6" x14ac:dyDescent="0.3">
      <c r="A605" s="40"/>
      <c r="B605" s="41" t="s">
        <v>660</v>
      </c>
      <c r="C605" s="41">
        <v>428</v>
      </c>
      <c r="D605"/>
      <c r="E605"/>
      <c r="F605"/>
    </row>
    <row r="606" spans="1:6" x14ac:dyDescent="0.3">
      <c r="A606" s="40"/>
      <c r="B606" s="41" t="s">
        <v>661</v>
      </c>
      <c r="C606" s="41">
        <v>429</v>
      </c>
      <c r="D606"/>
      <c r="E606"/>
      <c r="F606"/>
    </row>
    <row r="607" spans="1:6" x14ac:dyDescent="0.3">
      <c r="A607" s="40"/>
      <c r="B607" s="41" t="s">
        <v>662</v>
      </c>
      <c r="C607" s="41">
        <v>2780</v>
      </c>
      <c r="D607"/>
      <c r="E607"/>
      <c r="F607"/>
    </row>
    <row r="608" spans="1:6" x14ac:dyDescent="0.3">
      <c r="A608" s="40"/>
      <c r="B608" s="41" t="s">
        <v>663</v>
      </c>
      <c r="C608" s="41">
        <v>2781</v>
      </c>
      <c r="D608"/>
      <c r="E608"/>
      <c r="F608"/>
    </row>
    <row r="609" spans="1:6" x14ac:dyDescent="0.3">
      <c r="A609" s="40"/>
      <c r="B609" s="41" t="s">
        <v>664</v>
      </c>
      <c r="C609" s="41">
        <v>442</v>
      </c>
      <c r="D609"/>
      <c r="E609"/>
      <c r="F609"/>
    </row>
    <row r="610" spans="1:6" x14ac:dyDescent="0.3">
      <c r="A610" s="40"/>
      <c r="B610" s="41" t="s">
        <v>665</v>
      </c>
      <c r="C610" s="41">
        <v>2422</v>
      </c>
      <c r="D610"/>
      <c r="E610"/>
      <c r="F610"/>
    </row>
    <row r="611" spans="1:6" x14ac:dyDescent="0.3">
      <c r="A611" s="40"/>
      <c r="B611" s="41" t="s">
        <v>512</v>
      </c>
      <c r="C611" s="41">
        <v>2856</v>
      </c>
      <c r="D611"/>
      <c r="E611"/>
      <c r="F611"/>
    </row>
    <row r="612" spans="1:6" x14ac:dyDescent="0.3">
      <c r="A612" s="40"/>
      <c r="B612" s="41" t="s">
        <v>666</v>
      </c>
      <c r="C612" s="41">
        <v>489</v>
      </c>
      <c r="D612"/>
      <c r="E612"/>
      <c r="F612"/>
    </row>
    <row r="613" spans="1:6" x14ac:dyDescent="0.3">
      <c r="A613" s="40"/>
      <c r="B613" s="41" t="s">
        <v>667</v>
      </c>
      <c r="C613" s="41">
        <v>491</v>
      </c>
      <c r="D613"/>
      <c r="E613"/>
      <c r="F613"/>
    </row>
    <row r="614" spans="1:6" x14ac:dyDescent="0.3">
      <c r="A614" s="40"/>
      <c r="B614" s="41" t="s">
        <v>668</v>
      </c>
      <c r="C614" s="41">
        <v>2703</v>
      </c>
      <c r="D614"/>
      <c r="E614"/>
      <c r="F614"/>
    </row>
    <row r="615" spans="1:6" x14ac:dyDescent="0.3">
      <c r="A615" s="40"/>
      <c r="B615" s="41" t="s">
        <v>669</v>
      </c>
      <c r="C615" s="41">
        <v>2574</v>
      </c>
      <c r="D615"/>
      <c r="E615"/>
      <c r="F615"/>
    </row>
    <row r="616" spans="1:6" x14ac:dyDescent="0.3">
      <c r="A616" s="40"/>
      <c r="B616" s="41" t="s">
        <v>670</v>
      </c>
      <c r="C616" s="41">
        <v>954</v>
      </c>
      <c r="D616"/>
      <c r="E616"/>
      <c r="F616"/>
    </row>
    <row r="617" spans="1:6" x14ac:dyDescent="0.3">
      <c r="A617" s="40"/>
      <c r="B617" s="41" t="s">
        <v>671</v>
      </c>
      <c r="C617" s="41">
        <v>11</v>
      </c>
      <c r="D617"/>
      <c r="E617"/>
      <c r="F617"/>
    </row>
    <row r="618" spans="1:6" x14ac:dyDescent="0.3">
      <c r="A618" s="40" t="s">
        <v>672</v>
      </c>
      <c r="B618" s="41"/>
      <c r="C618" s="41"/>
      <c r="D618"/>
      <c r="E618"/>
      <c r="F618"/>
    </row>
    <row r="619" spans="1:6" x14ac:dyDescent="0.3">
      <c r="A619" s="40"/>
      <c r="B619" s="41" t="s">
        <v>673</v>
      </c>
      <c r="C619" s="41">
        <v>2925</v>
      </c>
      <c r="D619"/>
      <c r="E619"/>
      <c r="F619"/>
    </row>
    <row r="620" spans="1:6" x14ac:dyDescent="0.3">
      <c r="A620" s="40"/>
      <c r="B620" s="41" t="s">
        <v>674</v>
      </c>
      <c r="C620" s="41">
        <v>59</v>
      </c>
      <c r="D620"/>
      <c r="E620"/>
      <c r="F620"/>
    </row>
    <row r="621" spans="1:6" x14ac:dyDescent="0.3">
      <c r="A621" s="40"/>
      <c r="B621" s="41" t="s">
        <v>675</v>
      </c>
      <c r="C621" s="41">
        <v>61</v>
      </c>
      <c r="D621"/>
      <c r="E621"/>
      <c r="F621"/>
    </row>
    <row r="622" spans="1:6" x14ac:dyDescent="0.3">
      <c r="A622" s="40"/>
      <c r="B622" s="41" t="s">
        <v>676</v>
      </c>
      <c r="C622" s="41">
        <v>664</v>
      </c>
      <c r="D622"/>
      <c r="E622"/>
      <c r="F622"/>
    </row>
    <row r="623" spans="1:6" x14ac:dyDescent="0.3">
      <c r="A623" s="40"/>
      <c r="B623" s="41" t="s">
        <v>677</v>
      </c>
      <c r="C623" s="41">
        <v>1919</v>
      </c>
      <c r="D623"/>
      <c r="E623"/>
      <c r="F623"/>
    </row>
    <row r="624" spans="1:6" x14ac:dyDescent="0.3">
      <c r="A624" s="40"/>
      <c r="B624" s="41" t="s">
        <v>678</v>
      </c>
      <c r="C624" s="41">
        <v>2015</v>
      </c>
      <c r="D624"/>
      <c r="E624"/>
      <c r="F624"/>
    </row>
    <row r="625" spans="1:6" x14ac:dyDescent="0.3">
      <c r="A625" s="40"/>
      <c r="B625" s="41" t="s">
        <v>219</v>
      </c>
      <c r="C625" s="41">
        <v>2199</v>
      </c>
      <c r="D625"/>
      <c r="E625"/>
      <c r="F625"/>
    </row>
    <row r="626" spans="1:6" x14ac:dyDescent="0.3">
      <c r="A626" s="40"/>
      <c r="B626" s="41" t="s">
        <v>679</v>
      </c>
      <c r="C626" s="41">
        <v>115</v>
      </c>
      <c r="D626"/>
      <c r="E626"/>
      <c r="F626"/>
    </row>
    <row r="627" spans="1:6" x14ac:dyDescent="0.3">
      <c r="A627" s="40"/>
      <c r="B627" s="41" t="s">
        <v>680</v>
      </c>
      <c r="C627" s="41">
        <v>2900</v>
      </c>
      <c r="D627"/>
      <c r="E627"/>
      <c r="F627"/>
    </row>
    <row r="628" spans="1:6" x14ac:dyDescent="0.3">
      <c r="A628" s="40"/>
      <c r="B628" s="41" t="s">
        <v>681</v>
      </c>
      <c r="C628" s="41">
        <v>823</v>
      </c>
      <c r="D628"/>
      <c r="E628"/>
      <c r="F628"/>
    </row>
    <row r="629" spans="1:6" x14ac:dyDescent="0.3">
      <c r="A629" s="40"/>
      <c r="B629" s="41" t="s">
        <v>682</v>
      </c>
      <c r="C629" s="41">
        <v>2760</v>
      </c>
      <c r="D629"/>
      <c r="E629"/>
      <c r="F629"/>
    </row>
    <row r="630" spans="1:6" x14ac:dyDescent="0.3">
      <c r="A630" s="40"/>
      <c r="B630" s="41" t="s">
        <v>683</v>
      </c>
      <c r="C630" s="41">
        <v>2572</v>
      </c>
      <c r="D630"/>
      <c r="E630"/>
      <c r="F630"/>
    </row>
    <row r="631" spans="1:6" x14ac:dyDescent="0.3">
      <c r="A631" s="40"/>
      <c r="B631" s="41" t="s">
        <v>684</v>
      </c>
      <c r="C631" s="41">
        <v>2196</v>
      </c>
      <c r="D631"/>
      <c r="E631"/>
      <c r="F631"/>
    </row>
    <row r="632" spans="1:6" x14ac:dyDescent="0.3">
      <c r="A632" s="40"/>
      <c r="B632" s="41" t="s">
        <v>685</v>
      </c>
      <c r="C632" s="41">
        <v>302</v>
      </c>
      <c r="D632"/>
      <c r="E632"/>
      <c r="F632"/>
    </row>
    <row r="633" spans="1:6" x14ac:dyDescent="0.3">
      <c r="A633" s="40"/>
      <c r="B633" s="41" t="s">
        <v>686</v>
      </c>
      <c r="C633" s="41">
        <v>570</v>
      </c>
      <c r="D633"/>
      <c r="E633"/>
      <c r="F633"/>
    </row>
    <row r="634" spans="1:6" x14ac:dyDescent="0.3">
      <c r="A634" s="40"/>
      <c r="B634" s="41" t="s">
        <v>687</v>
      </c>
      <c r="C634" s="41">
        <v>571</v>
      </c>
      <c r="D634"/>
      <c r="E634"/>
      <c r="F634"/>
    </row>
    <row r="635" spans="1:6" x14ac:dyDescent="0.3">
      <c r="A635" s="40"/>
      <c r="B635" s="41" t="s">
        <v>688</v>
      </c>
      <c r="C635" s="41">
        <v>319</v>
      </c>
      <c r="D635"/>
      <c r="E635"/>
      <c r="F635"/>
    </row>
    <row r="636" spans="1:6" x14ac:dyDescent="0.3">
      <c r="A636" s="40"/>
      <c r="B636" s="41" t="s">
        <v>689</v>
      </c>
      <c r="C636" s="41">
        <v>2016</v>
      </c>
      <c r="D636"/>
      <c r="E636"/>
      <c r="F636"/>
    </row>
    <row r="637" spans="1:6" x14ac:dyDescent="0.3">
      <c r="A637" s="40"/>
      <c r="B637" s="41" t="s">
        <v>690</v>
      </c>
      <c r="C637" s="41">
        <v>2930</v>
      </c>
      <c r="D637"/>
      <c r="E637"/>
      <c r="F637"/>
    </row>
    <row r="638" spans="1:6" x14ac:dyDescent="0.3">
      <c r="A638" s="40"/>
      <c r="B638" s="41" t="s">
        <v>691</v>
      </c>
      <c r="C638" s="41">
        <v>1920</v>
      </c>
      <c r="D638"/>
      <c r="E638"/>
      <c r="F638"/>
    </row>
    <row r="639" spans="1:6" x14ac:dyDescent="0.3">
      <c r="A639" s="40"/>
      <c r="B639" s="41" t="s">
        <v>692</v>
      </c>
      <c r="C639" s="41">
        <v>764</v>
      </c>
      <c r="D639"/>
      <c r="E639"/>
      <c r="F639"/>
    </row>
    <row r="640" spans="1:6" x14ac:dyDescent="0.3">
      <c r="A640" s="40"/>
      <c r="B640" s="41" t="s">
        <v>693</v>
      </c>
      <c r="C640" s="41">
        <v>760</v>
      </c>
      <c r="D640"/>
      <c r="E640"/>
      <c r="F640"/>
    </row>
    <row r="641" spans="1:6" x14ac:dyDescent="0.3">
      <c r="A641" s="40"/>
      <c r="B641" s="41" t="s">
        <v>694</v>
      </c>
      <c r="C641" s="41">
        <v>831</v>
      </c>
      <c r="D641"/>
      <c r="E641"/>
      <c r="F641"/>
    </row>
    <row r="642" spans="1:6" x14ac:dyDescent="0.3">
      <c r="A642" s="40"/>
      <c r="B642" s="41" t="s">
        <v>695</v>
      </c>
      <c r="C642" s="41">
        <v>2011</v>
      </c>
      <c r="D642"/>
      <c r="E642"/>
      <c r="F642"/>
    </row>
    <row r="643" spans="1:6" x14ac:dyDescent="0.3">
      <c r="A643" s="40"/>
      <c r="B643" s="41" t="s">
        <v>696</v>
      </c>
      <c r="C643" s="41">
        <v>731</v>
      </c>
      <c r="D643"/>
      <c r="E643"/>
      <c r="F643"/>
    </row>
    <row r="644" spans="1:6" x14ac:dyDescent="0.3">
      <c r="A644" s="40"/>
      <c r="B644" s="41" t="s">
        <v>697</v>
      </c>
      <c r="C644" s="41">
        <v>500</v>
      </c>
      <c r="D644"/>
      <c r="E644"/>
      <c r="F644"/>
    </row>
    <row r="645" spans="1:6" x14ac:dyDescent="0.3">
      <c r="A645" s="40"/>
      <c r="B645" s="41" t="s">
        <v>698</v>
      </c>
      <c r="C645" s="41">
        <v>517</v>
      </c>
      <c r="D645"/>
      <c r="E645"/>
      <c r="F645"/>
    </row>
    <row r="646" spans="1:6" x14ac:dyDescent="0.3">
      <c r="A646" s="40"/>
      <c r="B646" s="41" t="s">
        <v>699</v>
      </c>
      <c r="C646" s="41">
        <v>534</v>
      </c>
      <c r="D646"/>
      <c r="E646"/>
      <c r="F646"/>
    </row>
    <row r="647" spans="1:6" x14ac:dyDescent="0.3">
      <c r="A647" s="40"/>
      <c r="B647" s="41" t="s">
        <v>700</v>
      </c>
      <c r="C647" s="41">
        <v>535</v>
      </c>
      <c r="D647"/>
      <c r="E647"/>
      <c r="F647"/>
    </row>
    <row r="648" spans="1:6" x14ac:dyDescent="0.3">
      <c r="A648" s="40"/>
      <c r="B648" s="41" t="s">
        <v>701</v>
      </c>
      <c r="C648" s="41">
        <v>537</v>
      </c>
      <c r="D648"/>
      <c r="E648"/>
      <c r="F648"/>
    </row>
    <row r="649" spans="1:6" x14ac:dyDescent="0.3">
      <c r="A649" s="40"/>
      <c r="B649" s="41" t="s">
        <v>480</v>
      </c>
      <c r="C649" s="41">
        <v>538</v>
      </c>
      <c r="D649"/>
      <c r="E649"/>
      <c r="F649"/>
    </row>
    <row r="650" spans="1:6" x14ac:dyDescent="0.3">
      <c r="A650" s="40"/>
      <c r="B650" s="41" t="s">
        <v>702</v>
      </c>
      <c r="C650" s="41">
        <v>768</v>
      </c>
      <c r="D650"/>
      <c r="E650"/>
      <c r="F650"/>
    </row>
    <row r="651" spans="1:6" x14ac:dyDescent="0.3">
      <c r="A651" s="40"/>
      <c r="B651" s="41" t="s">
        <v>312</v>
      </c>
      <c r="C651" s="41">
        <v>540</v>
      </c>
      <c r="D651"/>
      <c r="E651"/>
      <c r="F651"/>
    </row>
    <row r="652" spans="1:6" x14ac:dyDescent="0.3">
      <c r="A652" s="40"/>
      <c r="B652" s="41" t="s">
        <v>703</v>
      </c>
      <c r="C652" s="41">
        <v>542</v>
      </c>
      <c r="D652"/>
      <c r="E652"/>
      <c r="F652"/>
    </row>
    <row r="653" spans="1:6" x14ac:dyDescent="0.3">
      <c r="A653" s="40" t="s">
        <v>704</v>
      </c>
      <c r="B653" s="41"/>
      <c r="C653" s="41"/>
      <c r="D653"/>
      <c r="E653"/>
      <c r="F653"/>
    </row>
    <row r="654" spans="1:6" x14ac:dyDescent="0.3">
      <c r="A654" s="40"/>
      <c r="B654" s="41" t="s">
        <v>705</v>
      </c>
      <c r="C654" s="41">
        <v>968</v>
      </c>
      <c r="D654"/>
      <c r="E654"/>
      <c r="F654"/>
    </row>
    <row r="655" spans="1:6" x14ac:dyDescent="0.3">
      <c r="A655" s="40"/>
      <c r="B655" s="41" t="s">
        <v>706</v>
      </c>
      <c r="C655" s="41">
        <v>978</v>
      </c>
      <c r="D655"/>
      <c r="E655"/>
      <c r="F655"/>
    </row>
    <row r="656" spans="1:6" x14ac:dyDescent="0.3">
      <c r="A656" s="40"/>
      <c r="B656" s="41" t="s">
        <v>707</v>
      </c>
      <c r="C656" s="41">
        <v>971</v>
      </c>
      <c r="D656"/>
      <c r="E656"/>
      <c r="F656"/>
    </row>
    <row r="657" spans="1:6" x14ac:dyDescent="0.3">
      <c r="A657" s="40"/>
      <c r="B657" s="41" t="s">
        <v>708</v>
      </c>
      <c r="C657" s="41">
        <v>969</v>
      </c>
      <c r="D657"/>
      <c r="E657"/>
      <c r="F657"/>
    </row>
    <row r="658" spans="1:6" x14ac:dyDescent="0.3">
      <c r="A658" s="40"/>
      <c r="B658" s="41" t="s">
        <v>709</v>
      </c>
      <c r="C658" s="41">
        <v>2010</v>
      </c>
      <c r="D658"/>
      <c r="E658"/>
      <c r="F658"/>
    </row>
    <row r="659" spans="1:6" x14ac:dyDescent="0.3">
      <c r="A659" s="40"/>
      <c r="B659" s="41" t="s">
        <v>710</v>
      </c>
      <c r="C659" s="41">
        <v>976</v>
      </c>
      <c r="D659"/>
      <c r="E659"/>
      <c r="F659"/>
    </row>
    <row r="660" spans="1:6" x14ac:dyDescent="0.3">
      <c r="A660" s="40"/>
      <c r="B660" s="41" t="s">
        <v>711</v>
      </c>
      <c r="C660" s="41">
        <v>1911</v>
      </c>
      <c r="D660"/>
      <c r="E660"/>
      <c r="F660"/>
    </row>
    <row r="661" spans="1:6" x14ac:dyDescent="0.3">
      <c r="A661" s="40"/>
      <c r="B661" s="41" t="s">
        <v>712</v>
      </c>
      <c r="C661" s="41">
        <v>974</v>
      </c>
      <c r="D661"/>
      <c r="E661"/>
      <c r="F661"/>
    </row>
    <row r="662" spans="1:6" x14ac:dyDescent="0.3">
      <c r="A662" s="40"/>
      <c r="B662" s="41" t="s">
        <v>713</v>
      </c>
      <c r="C662" s="41">
        <v>972</v>
      </c>
      <c r="D662"/>
      <c r="E662"/>
      <c r="F662"/>
    </row>
    <row r="663" spans="1:6" x14ac:dyDescent="0.3">
      <c r="A663" s="40"/>
      <c r="B663" s="41" t="s">
        <v>714</v>
      </c>
      <c r="C663" s="41">
        <v>1820</v>
      </c>
      <c r="D663"/>
      <c r="E663"/>
      <c r="F663"/>
    </row>
    <row r="664" spans="1:6" x14ac:dyDescent="0.3">
      <c r="A664" s="40"/>
      <c r="B664" s="41" t="s">
        <v>715</v>
      </c>
      <c r="C664" s="41">
        <v>2523</v>
      </c>
      <c r="D664"/>
      <c r="E664"/>
      <c r="F664"/>
    </row>
    <row r="665" spans="1:6" x14ac:dyDescent="0.3">
      <c r="A665" s="40"/>
      <c r="B665" s="41" t="s">
        <v>716</v>
      </c>
      <c r="C665" s="41">
        <v>2537</v>
      </c>
      <c r="D665"/>
      <c r="E665"/>
      <c r="F665"/>
    </row>
    <row r="666" spans="1:6" x14ac:dyDescent="0.3">
      <c r="A666" s="40"/>
      <c r="B666" s="41" t="s">
        <v>717</v>
      </c>
      <c r="C666" s="41">
        <v>2902</v>
      </c>
      <c r="D666"/>
      <c r="E666"/>
      <c r="F666"/>
    </row>
    <row r="667" spans="1:6" x14ac:dyDescent="0.3">
      <c r="A667" s="40"/>
      <c r="B667" s="41" t="s">
        <v>718</v>
      </c>
      <c r="C667" s="41">
        <v>973</v>
      </c>
      <c r="D667"/>
      <c r="E667"/>
      <c r="F667"/>
    </row>
    <row r="668" spans="1:6" x14ac:dyDescent="0.3">
      <c r="A668" s="40"/>
      <c r="B668" s="41" t="s">
        <v>719</v>
      </c>
      <c r="C668" s="41">
        <v>970</v>
      </c>
      <c r="D668"/>
      <c r="E668"/>
      <c r="F668"/>
    </row>
    <row r="669" spans="1:6" x14ac:dyDescent="0.3">
      <c r="A669" s="40"/>
      <c r="B669" s="41" t="s">
        <v>720</v>
      </c>
      <c r="C669" s="41">
        <v>1301</v>
      </c>
      <c r="D669"/>
      <c r="E669"/>
      <c r="F669"/>
    </row>
    <row r="670" spans="1:6" x14ac:dyDescent="0.3">
      <c r="A670" s="40"/>
      <c r="B670" s="41" t="s">
        <v>721</v>
      </c>
      <c r="C670" s="41">
        <v>977</v>
      </c>
      <c r="D670"/>
      <c r="E670"/>
      <c r="F670"/>
    </row>
    <row r="671" spans="1:6" x14ac:dyDescent="0.3">
      <c r="A671" s="40"/>
      <c r="B671" s="41" t="s">
        <v>722</v>
      </c>
      <c r="C671" s="41">
        <v>975</v>
      </c>
      <c r="D671"/>
      <c r="E671"/>
      <c r="F671"/>
    </row>
    <row r="672" spans="1:6" x14ac:dyDescent="0.3">
      <c r="A672" s="40"/>
      <c r="B672" s="41" t="s">
        <v>723</v>
      </c>
      <c r="C672" s="41">
        <v>707</v>
      </c>
      <c r="D672"/>
      <c r="E672"/>
      <c r="F672"/>
    </row>
    <row r="673" spans="1:6" x14ac:dyDescent="0.3">
      <c r="A673" s="40" t="s">
        <v>724</v>
      </c>
      <c r="B673" s="41"/>
      <c r="C673" s="41"/>
      <c r="D673"/>
      <c r="E673"/>
      <c r="F673"/>
    </row>
    <row r="674" spans="1:6" x14ac:dyDescent="0.3">
      <c r="A674" s="40"/>
      <c r="B674" s="41" t="s">
        <v>725</v>
      </c>
      <c r="C674" s="41">
        <v>1349</v>
      </c>
      <c r="D674"/>
      <c r="E674"/>
      <c r="F674"/>
    </row>
    <row r="675" spans="1:6" x14ac:dyDescent="0.3">
      <c r="A675" s="40"/>
      <c r="B675" s="41" t="s">
        <v>726</v>
      </c>
      <c r="C675" s="41">
        <v>1407</v>
      </c>
      <c r="D675"/>
      <c r="E675"/>
      <c r="F675"/>
    </row>
    <row r="676" spans="1:6" x14ac:dyDescent="0.3">
      <c r="A676" s="40"/>
      <c r="B676" s="41" t="s">
        <v>636</v>
      </c>
      <c r="C676" s="41">
        <v>1954</v>
      </c>
      <c r="D676"/>
      <c r="E676"/>
      <c r="F676"/>
    </row>
    <row r="677" spans="1:6" x14ac:dyDescent="0.3">
      <c r="A677" s="40"/>
      <c r="B677" s="41" t="s">
        <v>727</v>
      </c>
      <c r="C677" s="41">
        <v>2690</v>
      </c>
      <c r="D677"/>
      <c r="E677"/>
      <c r="F677"/>
    </row>
    <row r="678" spans="1:6" x14ac:dyDescent="0.3">
      <c r="A678" s="40"/>
      <c r="B678" s="41" t="s">
        <v>728</v>
      </c>
      <c r="C678" s="41">
        <v>2784</v>
      </c>
      <c r="D678"/>
      <c r="E678"/>
      <c r="F678"/>
    </row>
    <row r="679" spans="1:6" x14ac:dyDescent="0.3">
      <c r="A679" s="40"/>
      <c r="B679" s="41" t="s">
        <v>729</v>
      </c>
      <c r="C679" s="41">
        <v>1387</v>
      </c>
      <c r="D679"/>
      <c r="E679"/>
      <c r="F679"/>
    </row>
    <row r="680" spans="1:6" x14ac:dyDescent="0.3">
      <c r="A680" s="40"/>
      <c r="B680" s="41" t="s">
        <v>730</v>
      </c>
      <c r="C680" s="41">
        <v>2625</v>
      </c>
      <c r="D680"/>
      <c r="E680"/>
      <c r="F680"/>
    </row>
    <row r="681" spans="1:6" x14ac:dyDescent="0.3">
      <c r="A681" s="40"/>
      <c r="B681" s="41" t="s">
        <v>731</v>
      </c>
      <c r="C681" s="41">
        <v>2623</v>
      </c>
      <c r="D681"/>
      <c r="E681"/>
      <c r="F681"/>
    </row>
    <row r="682" spans="1:6" x14ac:dyDescent="0.3">
      <c r="A682" s="40"/>
      <c r="B682" s="41" t="s">
        <v>732</v>
      </c>
      <c r="C682" s="41">
        <v>2624</v>
      </c>
      <c r="D682"/>
      <c r="E682"/>
      <c r="F682"/>
    </row>
    <row r="683" spans="1:6" x14ac:dyDescent="0.3">
      <c r="A683" s="40"/>
      <c r="B683" s="41" t="s">
        <v>733</v>
      </c>
      <c r="C683" s="41">
        <v>2627</v>
      </c>
      <c r="D683"/>
      <c r="E683"/>
      <c r="F683"/>
    </row>
    <row r="684" spans="1:6" x14ac:dyDescent="0.3">
      <c r="A684" s="40"/>
      <c r="B684" s="41" t="s">
        <v>734</v>
      </c>
      <c r="C684" s="41">
        <v>2622</v>
      </c>
      <c r="D684"/>
      <c r="E684"/>
      <c r="F684"/>
    </row>
    <row r="685" spans="1:6" x14ac:dyDescent="0.3">
      <c r="A685" s="40"/>
      <c r="B685" s="41" t="s">
        <v>735</v>
      </c>
      <c r="C685" s="41">
        <v>2626</v>
      </c>
      <c r="D685"/>
      <c r="E685"/>
      <c r="F685"/>
    </row>
    <row r="686" spans="1:6" x14ac:dyDescent="0.3">
      <c r="A686" s="40"/>
      <c r="B686" s="41" t="s">
        <v>736</v>
      </c>
      <c r="C686" s="41">
        <v>711</v>
      </c>
      <c r="D686"/>
      <c r="E686"/>
      <c r="F686"/>
    </row>
    <row r="687" spans="1:6" x14ac:dyDescent="0.3">
      <c r="A687" s="40"/>
      <c r="B687" s="41" t="s">
        <v>640</v>
      </c>
      <c r="C687" s="41">
        <v>1892</v>
      </c>
      <c r="D687"/>
      <c r="E687"/>
      <c r="F687"/>
    </row>
    <row r="688" spans="1:6" x14ac:dyDescent="0.3">
      <c r="A688" s="40"/>
      <c r="B688" s="41" t="s">
        <v>642</v>
      </c>
      <c r="C688" s="41">
        <v>709</v>
      </c>
      <c r="D688"/>
      <c r="E688"/>
      <c r="F688"/>
    </row>
    <row r="689" spans="1:6" x14ac:dyDescent="0.3">
      <c r="A689" s="40"/>
      <c r="B689" s="41" t="s">
        <v>737</v>
      </c>
      <c r="C689" s="41">
        <v>1406</v>
      </c>
      <c r="D689"/>
      <c r="E689"/>
      <c r="F689"/>
    </row>
    <row r="690" spans="1:6" x14ac:dyDescent="0.3">
      <c r="A690" s="40"/>
      <c r="B690" s="41" t="s">
        <v>738</v>
      </c>
      <c r="C690" s="41">
        <v>2783</v>
      </c>
      <c r="D690"/>
      <c r="E690"/>
      <c r="F690"/>
    </row>
    <row r="691" spans="1:6" x14ac:dyDescent="0.3">
      <c r="A691" s="40"/>
      <c r="B691" s="41" t="s">
        <v>739</v>
      </c>
      <c r="C691" s="41">
        <v>2782</v>
      </c>
      <c r="D691"/>
      <c r="E691"/>
      <c r="F691"/>
    </row>
    <row r="692" spans="1:6" x14ac:dyDescent="0.3">
      <c r="A692" s="40"/>
      <c r="B692" s="41" t="s">
        <v>653</v>
      </c>
      <c r="C692" s="41">
        <v>714</v>
      </c>
      <c r="D692"/>
      <c r="E692"/>
      <c r="F692"/>
    </row>
    <row r="693" spans="1:6" x14ac:dyDescent="0.3">
      <c r="A693" s="40"/>
      <c r="B693" s="41" t="s">
        <v>740</v>
      </c>
      <c r="C693" s="41">
        <v>1955</v>
      </c>
      <c r="D693"/>
      <c r="E693"/>
      <c r="F693"/>
    </row>
    <row r="694" spans="1:6" x14ac:dyDescent="0.3">
      <c r="A694" s="40"/>
      <c r="B694" s="41" t="s">
        <v>741</v>
      </c>
      <c r="C694" s="41">
        <v>713</v>
      </c>
      <c r="D694"/>
      <c r="E694"/>
      <c r="F694"/>
    </row>
    <row r="695" spans="1:6" x14ac:dyDescent="0.3">
      <c r="A695" s="40"/>
      <c r="B695" s="41" t="s">
        <v>742</v>
      </c>
      <c r="C695" s="41">
        <v>1966</v>
      </c>
      <c r="D695"/>
      <c r="E695"/>
      <c r="F695"/>
    </row>
    <row r="696" spans="1:6" x14ac:dyDescent="0.3">
      <c r="A696" s="40"/>
      <c r="B696" s="41" t="s">
        <v>743</v>
      </c>
      <c r="C696" s="41">
        <v>1370</v>
      </c>
      <c r="D696"/>
      <c r="E696"/>
      <c r="F696"/>
    </row>
    <row r="697" spans="1:6" x14ac:dyDescent="0.3">
      <c r="A697" s="40"/>
      <c r="B697" s="41" t="s">
        <v>657</v>
      </c>
      <c r="C697" s="41">
        <v>712</v>
      </c>
      <c r="D697"/>
      <c r="E697"/>
      <c r="F697"/>
    </row>
    <row r="698" spans="1:6" x14ac:dyDescent="0.3">
      <c r="A698" s="40"/>
      <c r="B698" s="41" t="s">
        <v>744</v>
      </c>
      <c r="C698" s="41">
        <v>1956</v>
      </c>
      <c r="D698"/>
      <c r="E698"/>
      <c r="F698"/>
    </row>
    <row r="699" spans="1:6" x14ac:dyDescent="0.3">
      <c r="A699" s="40"/>
      <c r="B699" s="41" t="s">
        <v>745</v>
      </c>
      <c r="C699" s="41">
        <v>715</v>
      </c>
      <c r="D699"/>
      <c r="E699"/>
      <c r="F699"/>
    </row>
    <row r="700" spans="1:6" x14ac:dyDescent="0.3">
      <c r="A700" s="40"/>
      <c r="B700" s="41" t="s">
        <v>746</v>
      </c>
      <c r="C700" s="41">
        <v>2907</v>
      </c>
      <c r="D700"/>
      <c r="E700"/>
      <c r="F700"/>
    </row>
    <row r="701" spans="1:6" x14ac:dyDescent="0.3">
      <c r="A701" s="40"/>
      <c r="B701" s="41" t="s">
        <v>747</v>
      </c>
      <c r="C701" s="41">
        <v>2628</v>
      </c>
      <c r="D701"/>
      <c r="E701"/>
      <c r="F701"/>
    </row>
    <row r="702" spans="1:6" x14ac:dyDescent="0.3">
      <c r="A702" s="40"/>
      <c r="B702" s="41" t="s">
        <v>748</v>
      </c>
      <c r="C702" s="41">
        <v>2629</v>
      </c>
      <c r="D702"/>
      <c r="E702"/>
      <c r="F702"/>
    </row>
    <row r="703" spans="1:6" x14ac:dyDescent="0.3">
      <c r="A703" s="40"/>
      <c r="B703" s="41" t="s">
        <v>749</v>
      </c>
      <c r="C703" s="41">
        <v>2630</v>
      </c>
      <c r="D703"/>
      <c r="E703"/>
      <c r="F703"/>
    </row>
    <row r="704" spans="1:6" x14ac:dyDescent="0.3">
      <c r="A704" s="40"/>
      <c r="B704" s="41" t="s">
        <v>750</v>
      </c>
      <c r="C704" s="41">
        <v>2631</v>
      </c>
      <c r="D704"/>
      <c r="E704"/>
      <c r="F704"/>
    </row>
    <row r="705" spans="1:6" x14ac:dyDescent="0.3">
      <c r="A705" s="40"/>
      <c r="B705" s="41" t="s">
        <v>751</v>
      </c>
      <c r="C705" s="41">
        <v>2632</v>
      </c>
      <c r="D705"/>
      <c r="E705"/>
      <c r="F705"/>
    </row>
    <row r="706" spans="1:6" x14ac:dyDescent="0.3">
      <c r="A706" s="40"/>
      <c r="B706" s="41" t="s">
        <v>752</v>
      </c>
      <c r="C706" s="41">
        <v>2633</v>
      </c>
      <c r="D706"/>
      <c r="E706"/>
      <c r="F706"/>
    </row>
    <row r="707" spans="1:6" x14ac:dyDescent="0.3">
      <c r="A707" s="40"/>
      <c r="B707" s="41" t="s">
        <v>753</v>
      </c>
      <c r="C707" s="41">
        <v>710</v>
      </c>
      <c r="D707"/>
      <c r="E707"/>
      <c r="F707"/>
    </row>
    <row r="708" spans="1:6" x14ac:dyDescent="0.3">
      <c r="A708" s="40"/>
      <c r="B708" s="41" t="s">
        <v>754</v>
      </c>
      <c r="C708" s="41">
        <v>1973</v>
      </c>
      <c r="D708"/>
      <c r="E708"/>
      <c r="F708"/>
    </row>
    <row r="709" spans="1:6" x14ac:dyDescent="0.3">
      <c r="A709" s="40"/>
      <c r="B709" s="41" t="s">
        <v>755</v>
      </c>
      <c r="C709" s="41">
        <v>708</v>
      </c>
      <c r="D709"/>
      <c r="E709"/>
      <c r="F709"/>
    </row>
    <row r="710" spans="1:6" x14ac:dyDescent="0.3">
      <c r="A710" s="40"/>
      <c r="B710" s="41" t="s">
        <v>756</v>
      </c>
      <c r="C710" s="41">
        <v>1390</v>
      </c>
      <c r="D710"/>
      <c r="E710"/>
      <c r="F710"/>
    </row>
    <row r="711" spans="1:6" x14ac:dyDescent="0.3">
      <c r="A711" s="40"/>
      <c r="B711" s="41" t="s">
        <v>757</v>
      </c>
      <c r="C711" s="41">
        <v>716</v>
      </c>
      <c r="D711"/>
      <c r="E711"/>
      <c r="F711"/>
    </row>
    <row r="712" spans="1:6" x14ac:dyDescent="0.3">
      <c r="A712" s="40" t="s">
        <v>758</v>
      </c>
      <c r="B712" s="41"/>
      <c r="C712" s="41"/>
      <c r="D712"/>
      <c r="E712"/>
      <c r="F712"/>
    </row>
    <row r="713" spans="1:6" x14ac:dyDescent="0.3">
      <c r="A713" s="40"/>
      <c r="B713" s="41" t="s">
        <v>338</v>
      </c>
      <c r="C713" s="41">
        <v>2592</v>
      </c>
      <c r="D713"/>
      <c r="E713"/>
      <c r="F713"/>
    </row>
    <row r="714" spans="1:6" x14ac:dyDescent="0.3">
      <c r="A714" s="40"/>
      <c r="B714" s="41" t="s">
        <v>759</v>
      </c>
      <c r="C714" s="41">
        <v>1934</v>
      </c>
      <c r="D714"/>
      <c r="E714"/>
      <c r="F714"/>
    </row>
    <row r="715" spans="1:6" x14ac:dyDescent="0.3">
      <c r="A715" s="40"/>
      <c r="B715" s="41" t="s">
        <v>760</v>
      </c>
      <c r="C715" s="41">
        <v>2704</v>
      </c>
      <c r="D715"/>
      <c r="E715"/>
      <c r="F715"/>
    </row>
    <row r="716" spans="1:6" x14ac:dyDescent="0.3">
      <c r="A716" s="40"/>
      <c r="B716" s="41" t="s">
        <v>761</v>
      </c>
      <c r="C716" s="41">
        <v>1321</v>
      </c>
      <c r="D716"/>
      <c r="E716"/>
      <c r="F716"/>
    </row>
    <row r="717" spans="1:6" x14ac:dyDescent="0.3">
      <c r="A717" s="40"/>
      <c r="B717" s="41" t="s">
        <v>762</v>
      </c>
      <c r="C717" s="41">
        <v>1810</v>
      </c>
      <c r="D717"/>
      <c r="E717"/>
      <c r="F717"/>
    </row>
    <row r="718" spans="1:6" x14ac:dyDescent="0.3">
      <c r="A718" s="40"/>
      <c r="B718" s="41" t="s">
        <v>763</v>
      </c>
      <c r="C718" s="41">
        <v>1367</v>
      </c>
      <c r="D718"/>
      <c r="E718"/>
      <c r="F718"/>
    </row>
    <row r="719" spans="1:6" x14ac:dyDescent="0.3">
      <c r="A719" s="40"/>
      <c r="B719" s="41" t="s">
        <v>764</v>
      </c>
      <c r="C719" s="41">
        <v>758</v>
      </c>
      <c r="D719"/>
      <c r="E719"/>
      <c r="F719"/>
    </row>
    <row r="720" spans="1:6" x14ac:dyDescent="0.3">
      <c r="A720" s="40"/>
      <c r="B720" s="41" t="s">
        <v>347</v>
      </c>
      <c r="C720" s="41">
        <v>2761</v>
      </c>
      <c r="D720"/>
      <c r="E720"/>
      <c r="F720"/>
    </row>
    <row r="721" spans="1:6" x14ac:dyDescent="0.3">
      <c r="A721" s="40"/>
      <c r="B721" s="41" t="s">
        <v>765</v>
      </c>
      <c r="C721" s="41">
        <v>2201</v>
      </c>
      <c r="D721"/>
      <c r="E721"/>
      <c r="F721"/>
    </row>
    <row r="722" spans="1:6" x14ac:dyDescent="0.3">
      <c r="A722" s="40"/>
      <c r="B722" s="41" t="s">
        <v>766</v>
      </c>
      <c r="C722" s="41">
        <v>1324</v>
      </c>
      <c r="D722"/>
      <c r="E722"/>
      <c r="F722"/>
    </row>
    <row r="723" spans="1:6" x14ac:dyDescent="0.3">
      <c r="A723" s="40"/>
      <c r="B723" s="41" t="s">
        <v>767</v>
      </c>
      <c r="C723" s="41">
        <v>766</v>
      </c>
      <c r="D723"/>
      <c r="E723"/>
      <c r="F723"/>
    </row>
    <row r="724" spans="1:6" x14ac:dyDescent="0.3">
      <c r="A724" s="40"/>
      <c r="B724" s="41" t="s">
        <v>768</v>
      </c>
      <c r="C724" s="41">
        <v>1385</v>
      </c>
      <c r="D724"/>
      <c r="E724"/>
      <c r="F724"/>
    </row>
    <row r="725" spans="1:6" x14ac:dyDescent="0.3">
      <c r="A725" s="40"/>
      <c r="B725" s="41" t="s">
        <v>769</v>
      </c>
      <c r="C725" s="41">
        <v>2672</v>
      </c>
      <c r="D725"/>
      <c r="E725"/>
      <c r="F725"/>
    </row>
    <row r="726" spans="1:6" x14ac:dyDescent="0.3">
      <c r="A726" s="40"/>
      <c r="B726" s="41" t="s">
        <v>692</v>
      </c>
      <c r="C726" s="41">
        <v>764</v>
      </c>
      <c r="D726"/>
      <c r="E726"/>
      <c r="F726"/>
    </row>
    <row r="727" spans="1:6" x14ac:dyDescent="0.3">
      <c r="A727" s="40"/>
      <c r="B727" s="41" t="s">
        <v>770</v>
      </c>
      <c r="C727" s="41">
        <v>1927</v>
      </c>
      <c r="D727"/>
      <c r="E727"/>
      <c r="F727"/>
    </row>
    <row r="728" spans="1:6" x14ac:dyDescent="0.3">
      <c r="A728" s="40"/>
      <c r="B728" s="41" t="s">
        <v>771</v>
      </c>
      <c r="C728" s="41">
        <v>763</v>
      </c>
      <c r="D728"/>
      <c r="E728"/>
      <c r="F728"/>
    </row>
    <row r="729" spans="1:6" x14ac:dyDescent="0.3">
      <c r="A729" s="40"/>
      <c r="B729" s="41" t="s">
        <v>772</v>
      </c>
      <c r="C729" s="41">
        <v>649</v>
      </c>
      <c r="D729"/>
      <c r="E729"/>
      <c r="F729"/>
    </row>
    <row r="730" spans="1:6" x14ac:dyDescent="0.3">
      <c r="A730" s="40"/>
      <c r="B730" s="41" t="s">
        <v>773</v>
      </c>
      <c r="C730" s="41">
        <v>757</v>
      </c>
      <c r="D730"/>
      <c r="E730"/>
      <c r="F730"/>
    </row>
    <row r="731" spans="1:6" x14ac:dyDescent="0.3">
      <c r="A731" s="40"/>
      <c r="B731" s="41" t="s">
        <v>774</v>
      </c>
      <c r="C731" s="41">
        <v>1819</v>
      </c>
      <c r="D731"/>
      <c r="E731"/>
      <c r="F731"/>
    </row>
    <row r="732" spans="1:6" x14ac:dyDescent="0.3">
      <c r="A732" s="40"/>
      <c r="B732" s="41" t="s">
        <v>775</v>
      </c>
      <c r="C732" s="41">
        <v>1928</v>
      </c>
      <c r="D732"/>
      <c r="E732"/>
      <c r="F732"/>
    </row>
    <row r="733" spans="1:6" x14ac:dyDescent="0.3">
      <c r="A733" s="40"/>
      <c r="B733" s="41" t="s">
        <v>776</v>
      </c>
      <c r="C733" s="41">
        <v>1322</v>
      </c>
      <c r="D733"/>
      <c r="E733"/>
      <c r="F733"/>
    </row>
    <row r="734" spans="1:6" x14ac:dyDescent="0.3">
      <c r="A734" s="40"/>
      <c r="B734" s="41" t="s">
        <v>583</v>
      </c>
      <c r="C734" s="41">
        <v>792</v>
      </c>
      <c r="D734"/>
      <c r="E734"/>
      <c r="F734"/>
    </row>
    <row r="735" spans="1:6" x14ac:dyDescent="0.3">
      <c r="A735" s="40"/>
      <c r="B735" s="41" t="s">
        <v>386</v>
      </c>
      <c r="C735" s="41">
        <v>2666</v>
      </c>
      <c r="D735"/>
      <c r="E735"/>
      <c r="F735"/>
    </row>
    <row r="736" spans="1:6" x14ac:dyDescent="0.3">
      <c r="A736" s="40"/>
      <c r="B736" s="41" t="s">
        <v>584</v>
      </c>
      <c r="C736" s="41">
        <v>765</v>
      </c>
      <c r="D736"/>
      <c r="E736"/>
      <c r="F736"/>
    </row>
    <row r="737" spans="1:6" x14ac:dyDescent="0.3">
      <c r="A737" s="40"/>
      <c r="B737" s="41" t="s">
        <v>777</v>
      </c>
      <c r="C737" s="41">
        <v>1323</v>
      </c>
      <c r="D737"/>
      <c r="E737"/>
      <c r="F737"/>
    </row>
    <row r="738" spans="1:6" x14ac:dyDescent="0.3">
      <c r="A738" s="40"/>
      <c r="B738" s="41" t="s">
        <v>778</v>
      </c>
      <c r="C738" s="41">
        <v>2203</v>
      </c>
      <c r="D738"/>
      <c r="E738"/>
      <c r="F738"/>
    </row>
    <row r="739" spans="1:6" x14ac:dyDescent="0.3">
      <c r="A739" s="40"/>
      <c r="B739" s="41" t="s">
        <v>779</v>
      </c>
      <c r="C739" s="41">
        <v>2202</v>
      </c>
      <c r="D739"/>
      <c r="E739"/>
      <c r="F739"/>
    </row>
    <row r="740" spans="1:6" x14ac:dyDescent="0.3">
      <c r="A740" s="40"/>
      <c r="B740" s="41" t="s">
        <v>780</v>
      </c>
      <c r="C740" s="41">
        <v>1818</v>
      </c>
      <c r="D740"/>
      <c r="E740"/>
      <c r="F740"/>
    </row>
    <row r="741" spans="1:6" x14ac:dyDescent="0.3">
      <c r="A741" s="40"/>
      <c r="B741" s="41" t="s">
        <v>781</v>
      </c>
      <c r="C741" s="41">
        <v>1320</v>
      </c>
      <c r="D741"/>
      <c r="E741"/>
      <c r="F741"/>
    </row>
    <row r="742" spans="1:6" x14ac:dyDescent="0.3">
      <c r="A742" s="40"/>
      <c r="B742" s="41" t="s">
        <v>782</v>
      </c>
      <c r="C742" s="41">
        <v>2017</v>
      </c>
      <c r="D742"/>
      <c r="E742"/>
      <c r="F742"/>
    </row>
    <row r="743" spans="1:6" x14ac:dyDescent="0.3">
      <c r="A743" s="40"/>
      <c r="B743" s="41" t="s">
        <v>696</v>
      </c>
      <c r="C743" s="41">
        <v>731</v>
      </c>
      <c r="D743"/>
      <c r="E743"/>
      <c r="F743"/>
    </row>
    <row r="744" spans="1:6" x14ac:dyDescent="0.3">
      <c r="A744" s="40"/>
      <c r="B744" s="41" t="s">
        <v>783</v>
      </c>
      <c r="C744" s="41">
        <v>759</v>
      </c>
      <c r="D744"/>
      <c r="E744"/>
      <c r="F744"/>
    </row>
    <row r="745" spans="1:6" x14ac:dyDescent="0.3">
      <c r="A745" s="40"/>
      <c r="B745" s="41" t="s">
        <v>784</v>
      </c>
      <c r="C745" s="41">
        <v>2705</v>
      </c>
      <c r="D745"/>
      <c r="E745"/>
      <c r="F745"/>
    </row>
    <row r="746" spans="1:6" x14ac:dyDescent="0.3">
      <c r="A746" s="40"/>
      <c r="B746" s="41" t="s">
        <v>785</v>
      </c>
      <c r="C746" s="41">
        <v>1985</v>
      </c>
      <c r="D746"/>
      <c r="E746"/>
      <c r="F746"/>
    </row>
    <row r="747" spans="1:6" x14ac:dyDescent="0.3">
      <c r="A747" s="40"/>
      <c r="B747" s="41" t="s">
        <v>693</v>
      </c>
      <c r="C747" s="41">
        <v>760</v>
      </c>
      <c r="D747"/>
      <c r="E747"/>
      <c r="F747"/>
    </row>
    <row r="748" spans="1:6" x14ac:dyDescent="0.3">
      <c r="A748" s="40"/>
      <c r="B748" s="41" t="s">
        <v>786</v>
      </c>
      <c r="C748" s="41">
        <v>1986</v>
      </c>
      <c r="D748"/>
      <c r="E748"/>
      <c r="F748"/>
    </row>
    <row r="749" spans="1:6" x14ac:dyDescent="0.3">
      <c r="A749" s="40"/>
      <c r="B749" s="41" t="s">
        <v>787</v>
      </c>
      <c r="C749" s="41">
        <v>2706</v>
      </c>
      <c r="D749"/>
      <c r="E749"/>
      <c r="F749"/>
    </row>
    <row r="750" spans="1:6" x14ac:dyDescent="0.3">
      <c r="A750" s="40"/>
      <c r="B750" s="41" t="s">
        <v>788</v>
      </c>
      <c r="C750" s="41">
        <v>647</v>
      </c>
      <c r="D750"/>
      <c r="E750"/>
      <c r="F750"/>
    </row>
    <row r="751" spans="1:6" x14ac:dyDescent="0.3">
      <c r="A751" s="40" t="s">
        <v>789</v>
      </c>
      <c r="B751" s="41"/>
      <c r="C751" s="41"/>
      <c r="D751"/>
      <c r="E751"/>
      <c r="F751"/>
    </row>
    <row r="752" spans="1:6" x14ac:dyDescent="0.3">
      <c r="A752" s="40"/>
      <c r="B752" s="41" t="s">
        <v>790</v>
      </c>
      <c r="C752" s="41">
        <v>2664</v>
      </c>
      <c r="D752"/>
      <c r="E752"/>
      <c r="F752"/>
    </row>
    <row r="753" spans="1:6" x14ac:dyDescent="0.3">
      <c r="A753" s="40"/>
      <c r="B753" s="41" t="s">
        <v>791</v>
      </c>
      <c r="C753" s="41">
        <v>847</v>
      </c>
      <c r="D753"/>
      <c r="E753"/>
      <c r="F753"/>
    </row>
    <row r="754" spans="1:6" x14ac:dyDescent="0.3">
      <c r="A754" s="40"/>
      <c r="B754" s="41" t="s">
        <v>792</v>
      </c>
      <c r="C754" s="41">
        <v>848</v>
      </c>
      <c r="D754"/>
      <c r="E754"/>
      <c r="F754"/>
    </row>
    <row r="755" spans="1:6" x14ac:dyDescent="0.3">
      <c r="A755" s="40"/>
      <c r="B755" s="41" t="s">
        <v>793</v>
      </c>
      <c r="C755" s="41">
        <v>767</v>
      </c>
      <c r="D755"/>
      <c r="E755"/>
      <c r="F755"/>
    </row>
    <row r="756" spans="1:6" x14ac:dyDescent="0.3">
      <c r="A756" s="40"/>
      <c r="B756" s="41" t="s">
        <v>794</v>
      </c>
      <c r="C756" s="41">
        <v>852</v>
      </c>
      <c r="D756"/>
      <c r="E756"/>
      <c r="F756"/>
    </row>
    <row r="757" spans="1:6" x14ac:dyDescent="0.3">
      <c r="A757" s="40"/>
      <c r="B757" s="41" t="s">
        <v>145</v>
      </c>
      <c r="C757" s="41">
        <v>614</v>
      </c>
      <c r="D757"/>
      <c r="E757"/>
      <c r="F757"/>
    </row>
    <row r="758" spans="1:6" x14ac:dyDescent="0.3">
      <c r="A758" s="40"/>
      <c r="B758" s="41" t="s">
        <v>795</v>
      </c>
      <c r="C758" s="41">
        <v>1373</v>
      </c>
      <c r="D758"/>
      <c r="E758"/>
      <c r="F758"/>
    </row>
    <row r="759" spans="1:6" x14ac:dyDescent="0.3">
      <c r="A759" s="40"/>
      <c r="B759" s="41" t="s">
        <v>796</v>
      </c>
      <c r="C759" s="41">
        <v>613</v>
      </c>
      <c r="D759"/>
      <c r="E759"/>
      <c r="F759"/>
    </row>
    <row r="760" spans="1:6" x14ac:dyDescent="0.3">
      <c r="A760" s="40"/>
      <c r="B760" s="41" t="s">
        <v>797</v>
      </c>
      <c r="C760" s="41">
        <v>2684</v>
      </c>
      <c r="D760"/>
      <c r="E760"/>
      <c r="F760"/>
    </row>
    <row r="761" spans="1:6" x14ac:dyDescent="0.3">
      <c r="A761" s="40"/>
      <c r="B761" s="41" t="s">
        <v>798</v>
      </c>
      <c r="C761" s="41">
        <v>612</v>
      </c>
      <c r="D761"/>
      <c r="E761"/>
      <c r="F761"/>
    </row>
    <row r="762" spans="1:6" x14ac:dyDescent="0.3">
      <c r="A762" s="40"/>
      <c r="B762" s="41" t="s">
        <v>799</v>
      </c>
      <c r="C762" s="41">
        <v>2847</v>
      </c>
      <c r="D762"/>
      <c r="E762"/>
      <c r="F762"/>
    </row>
    <row r="763" spans="1:6" x14ac:dyDescent="0.3">
      <c r="A763" s="40"/>
      <c r="B763" s="41" t="s">
        <v>800</v>
      </c>
      <c r="C763" s="41">
        <v>1344</v>
      </c>
      <c r="D763"/>
      <c r="E763"/>
      <c r="F763"/>
    </row>
    <row r="764" spans="1:6" x14ac:dyDescent="0.3">
      <c r="A764" s="40"/>
      <c r="B764" s="41" t="s">
        <v>801</v>
      </c>
      <c r="C764" s="41">
        <v>1348</v>
      </c>
      <c r="D764"/>
      <c r="E764"/>
      <c r="F764"/>
    </row>
    <row r="765" spans="1:6" x14ac:dyDescent="0.3">
      <c r="A765" s="40"/>
      <c r="B765" s="41" t="s">
        <v>802</v>
      </c>
      <c r="C765" s="41">
        <v>2598</v>
      </c>
      <c r="D765"/>
      <c r="E765"/>
      <c r="F765"/>
    </row>
    <row r="766" spans="1:6" x14ac:dyDescent="0.3">
      <c r="A766" s="40"/>
      <c r="B766" s="41" t="s">
        <v>803</v>
      </c>
      <c r="C766" s="41">
        <v>697</v>
      </c>
      <c r="D766"/>
      <c r="E766"/>
      <c r="F766"/>
    </row>
    <row r="767" spans="1:6" x14ac:dyDescent="0.3">
      <c r="A767" s="40"/>
      <c r="B767" s="41" t="s">
        <v>804</v>
      </c>
      <c r="C767" s="41">
        <v>548</v>
      </c>
      <c r="D767"/>
      <c r="E767"/>
      <c r="F767"/>
    </row>
    <row r="768" spans="1:6" x14ac:dyDescent="0.3">
      <c r="A768" s="40" t="s">
        <v>805</v>
      </c>
      <c r="B768" s="41"/>
      <c r="C768" s="41"/>
      <c r="D768"/>
      <c r="E768"/>
      <c r="F768"/>
    </row>
    <row r="769" spans="1:6" x14ac:dyDescent="0.3">
      <c r="A769" s="40"/>
      <c r="B769" s="41" t="s">
        <v>806</v>
      </c>
      <c r="C769" s="41">
        <v>589</v>
      </c>
      <c r="D769"/>
      <c r="E769"/>
      <c r="F769"/>
    </row>
    <row r="770" spans="1:6" x14ac:dyDescent="0.3">
      <c r="A770" s="40"/>
      <c r="B770" s="41" t="s">
        <v>807</v>
      </c>
      <c r="C770" s="41">
        <v>787</v>
      </c>
      <c r="D770"/>
      <c r="E770"/>
      <c r="F770"/>
    </row>
    <row r="771" spans="1:6" x14ac:dyDescent="0.3">
      <c r="A771" s="40"/>
      <c r="B771" s="41" t="s">
        <v>808</v>
      </c>
      <c r="C771" s="41">
        <v>841</v>
      </c>
      <c r="D771"/>
      <c r="E771"/>
      <c r="F771"/>
    </row>
    <row r="772" spans="1:6" x14ac:dyDescent="0.3">
      <c r="A772" s="40"/>
      <c r="B772" s="41" t="s">
        <v>809</v>
      </c>
      <c r="C772" s="41">
        <v>1346</v>
      </c>
      <c r="D772"/>
      <c r="E772"/>
      <c r="F772"/>
    </row>
    <row r="773" spans="1:6" x14ac:dyDescent="0.3">
      <c r="A773" s="40"/>
      <c r="B773" s="41" t="s">
        <v>810</v>
      </c>
      <c r="C773" s="41">
        <v>782</v>
      </c>
      <c r="D773"/>
      <c r="E773"/>
      <c r="F773"/>
    </row>
    <row r="774" spans="1:6" x14ac:dyDescent="0.3">
      <c r="A774" s="40"/>
      <c r="B774" s="41" t="s">
        <v>811</v>
      </c>
      <c r="C774" s="41">
        <v>784</v>
      </c>
      <c r="D774"/>
      <c r="E774"/>
      <c r="F774"/>
    </row>
    <row r="775" spans="1:6" x14ac:dyDescent="0.3">
      <c r="A775" s="40"/>
      <c r="B775" s="41" t="s">
        <v>812</v>
      </c>
      <c r="C775" s="41">
        <v>688</v>
      </c>
      <c r="D775"/>
      <c r="E775"/>
      <c r="F775"/>
    </row>
    <row r="776" spans="1:6" x14ac:dyDescent="0.3">
      <c r="A776" s="40"/>
      <c r="B776" s="41" t="s">
        <v>813</v>
      </c>
      <c r="C776" s="41">
        <v>2715</v>
      </c>
      <c r="D776"/>
      <c r="E776"/>
      <c r="F776"/>
    </row>
    <row r="777" spans="1:6" x14ac:dyDescent="0.3">
      <c r="A777" s="40"/>
      <c r="B777" s="41" t="s">
        <v>814</v>
      </c>
      <c r="C777" s="41">
        <v>790</v>
      </c>
      <c r="D777"/>
      <c r="E777"/>
      <c r="F777"/>
    </row>
    <row r="778" spans="1:6" x14ac:dyDescent="0.3">
      <c r="A778" s="40"/>
      <c r="B778" s="41" t="s">
        <v>815</v>
      </c>
      <c r="C778" s="41">
        <v>2418</v>
      </c>
      <c r="D778"/>
      <c r="E778"/>
      <c r="F778"/>
    </row>
    <row r="779" spans="1:6" x14ac:dyDescent="0.3">
      <c r="A779" s="40"/>
      <c r="B779" s="41" t="s">
        <v>816</v>
      </c>
      <c r="C779" s="41">
        <v>786</v>
      </c>
      <c r="D779"/>
      <c r="E779"/>
      <c r="F779"/>
    </row>
    <row r="780" spans="1:6" x14ac:dyDescent="0.3">
      <c r="A780" s="40"/>
      <c r="B780" s="41" t="s">
        <v>817</v>
      </c>
      <c r="C780" s="41">
        <v>789</v>
      </c>
      <c r="D780"/>
      <c r="E780"/>
      <c r="F780"/>
    </row>
    <row r="781" spans="1:6" x14ac:dyDescent="0.3">
      <c r="A781" s="40"/>
      <c r="B781" s="41" t="s">
        <v>818</v>
      </c>
      <c r="C781" s="41">
        <v>1355</v>
      </c>
      <c r="D781"/>
      <c r="E781"/>
      <c r="F781"/>
    </row>
    <row r="782" spans="1:6" x14ac:dyDescent="0.3">
      <c r="A782" s="40"/>
      <c r="B782" s="41" t="s">
        <v>819</v>
      </c>
      <c r="C782" s="41">
        <v>785</v>
      </c>
      <c r="D782"/>
      <c r="E782"/>
      <c r="F782"/>
    </row>
    <row r="783" spans="1:6" x14ac:dyDescent="0.3">
      <c r="A783" s="40"/>
      <c r="B783" s="41" t="s">
        <v>820</v>
      </c>
      <c r="C783" s="41">
        <v>783</v>
      </c>
      <c r="D783"/>
      <c r="E783"/>
      <c r="F783"/>
    </row>
    <row r="784" spans="1:6" x14ac:dyDescent="0.3">
      <c r="A784" s="40"/>
      <c r="B784" s="41" t="s">
        <v>821</v>
      </c>
      <c r="C784" s="41">
        <v>2714</v>
      </c>
      <c r="D784"/>
      <c r="E784"/>
      <c r="F784"/>
    </row>
    <row r="785" spans="1:6" x14ac:dyDescent="0.3">
      <c r="A785" s="40"/>
      <c r="B785" s="41" t="s">
        <v>822</v>
      </c>
      <c r="C785" s="41">
        <v>1815</v>
      </c>
      <c r="D785"/>
      <c r="E785"/>
      <c r="F785"/>
    </row>
    <row r="786" spans="1:6" x14ac:dyDescent="0.3">
      <c r="A786" s="40"/>
      <c r="B786" s="41" t="s">
        <v>823</v>
      </c>
      <c r="C786" s="41">
        <v>788</v>
      </c>
      <c r="D786"/>
      <c r="E786"/>
      <c r="F786"/>
    </row>
    <row r="787" spans="1:6" x14ac:dyDescent="0.3">
      <c r="A787" s="40"/>
      <c r="B787" s="41" t="s">
        <v>824</v>
      </c>
      <c r="C787" s="41">
        <v>762</v>
      </c>
      <c r="D787"/>
      <c r="E787"/>
      <c r="F787"/>
    </row>
    <row r="788" spans="1:6" x14ac:dyDescent="0.3">
      <c r="A788" s="40"/>
      <c r="B788" s="41" t="s">
        <v>825</v>
      </c>
      <c r="C788" s="41">
        <v>618</v>
      </c>
      <c r="D788"/>
      <c r="E788"/>
      <c r="F788"/>
    </row>
    <row r="789" spans="1:6" x14ac:dyDescent="0.3">
      <c r="A789" s="40"/>
      <c r="B789" s="41" t="s">
        <v>826</v>
      </c>
      <c r="C789" s="41">
        <v>2576</v>
      </c>
      <c r="D789"/>
      <c r="E789"/>
      <c r="F789"/>
    </row>
    <row r="790" spans="1:6" x14ac:dyDescent="0.3">
      <c r="A790" s="40"/>
      <c r="B790" s="41" t="s">
        <v>827</v>
      </c>
      <c r="C790" s="41">
        <v>2853</v>
      </c>
      <c r="D790"/>
      <c r="E790"/>
      <c r="F790"/>
    </row>
    <row r="791" spans="1:6" x14ac:dyDescent="0.3">
      <c r="A791" s="40"/>
      <c r="B791" s="41" t="s">
        <v>828</v>
      </c>
      <c r="C791" s="41">
        <v>623</v>
      </c>
      <c r="D791"/>
      <c r="E791"/>
      <c r="F791"/>
    </row>
    <row r="792" spans="1:6" x14ac:dyDescent="0.3">
      <c r="A792" s="40" t="s">
        <v>829</v>
      </c>
      <c r="B792" s="41"/>
      <c r="C792" s="41"/>
      <c r="D792"/>
      <c r="E792"/>
      <c r="F792"/>
    </row>
    <row r="793" spans="1:6" x14ac:dyDescent="0.3">
      <c r="A793" s="40"/>
      <c r="B793" s="41" t="s">
        <v>830</v>
      </c>
      <c r="C793" s="41">
        <v>560</v>
      </c>
      <c r="D793"/>
      <c r="E793"/>
      <c r="F793"/>
    </row>
    <row r="794" spans="1:6" x14ac:dyDescent="0.3">
      <c r="A794" s="40"/>
      <c r="B794" s="41" t="s">
        <v>831</v>
      </c>
      <c r="C794" s="41">
        <v>663</v>
      </c>
      <c r="D794"/>
      <c r="E794"/>
      <c r="F794"/>
    </row>
    <row r="795" spans="1:6" x14ac:dyDescent="0.3">
      <c r="A795" s="40"/>
      <c r="B795" s="41" t="s">
        <v>832</v>
      </c>
      <c r="C795" s="41">
        <v>559</v>
      </c>
      <c r="D795"/>
      <c r="E795"/>
      <c r="F795"/>
    </row>
    <row r="796" spans="1:6" x14ac:dyDescent="0.3">
      <c r="A796" s="40"/>
      <c r="B796" s="41" t="s">
        <v>833</v>
      </c>
      <c r="C796" s="41">
        <v>956</v>
      </c>
      <c r="D796"/>
      <c r="E796"/>
      <c r="F796"/>
    </row>
    <row r="797" spans="1:6" x14ac:dyDescent="0.3">
      <c r="A797" s="40"/>
      <c r="B797" s="41" t="s">
        <v>257</v>
      </c>
      <c r="C797" s="41">
        <v>212</v>
      </c>
      <c r="D797"/>
      <c r="E797"/>
      <c r="F797"/>
    </row>
    <row r="798" spans="1:6" x14ac:dyDescent="0.3">
      <c r="A798" s="40"/>
      <c r="B798" s="41" t="s">
        <v>834</v>
      </c>
      <c r="C798" s="41">
        <v>563</v>
      </c>
      <c r="D798"/>
      <c r="E798"/>
      <c r="F798"/>
    </row>
    <row r="799" spans="1:6" x14ac:dyDescent="0.3">
      <c r="A799" s="40"/>
      <c r="B799" s="41" t="s">
        <v>835</v>
      </c>
      <c r="C799" s="41">
        <v>959</v>
      </c>
      <c r="D799"/>
      <c r="E799"/>
      <c r="F799"/>
    </row>
    <row r="800" spans="1:6" x14ac:dyDescent="0.3">
      <c r="A800" s="40"/>
      <c r="B800" s="41" t="s">
        <v>836</v>
      </c>
      <c r="C800" s="41">
        <v>957</v>
      </c>
      <c r="D800"/>
      <c r="E800"/>
      <c r="F800"/>
    </row>
    <row r="801" spans="1:6" x14ac:dyDescent="0.3">
      <c r="A801" s="40"/>
      <c r="B801" s="41" t="s">
        <v>837</v>
      </c>
      <c r="C801" s="41">
        <v>958</v>
      </c>
      <c r="D801"/>
      <c r="E801"/>
      <c r="F801"/>
    </row>
    <row r="802" spans="1:6" x14ac:dyDescent="0.3">
      <c r="A802" s="40"/>
      <c r="B802" s="41" t="s">
        <v>838</v>
      </c>
      <c r="C802" s="41">
        <v>564</v>
      </c>
      <c r="D802"/>
      <c r="E802"/>
      <c r="F802"/>
    </row>
    <row r="803" spans="1:6" x14ac:dyDescent="0.3">
      <c r="A803" s="40"/>
      <c r="B803" s="41" t="s">
        <v>839</v>
      </c>
      <c r="C803" s="41">
        <v>955</v>
      </c>
      <c r="D803"/>
      <c r="E803"/>
      <c r="F803"/>
    </row>
    <row r="804" spans="1:6" x14ac:dyDescent="0.3">
      <c r="A804" s="40"/>
      <c r="B804" s="41" t="s">
        <v>840</v>
      </c>
      <c r="C804" s="41">
        <v>561</v>
      </c>
      <c r="D804"/>
      <c r="E804"/>
      <c r="F804"/>
    </row>
    <row r="805" spans="1:6" x14ac:dyDescent="0.3">
      <c r="A805" s="40"/>
      <c r="B805" s="41" t="s">
        <v>841</v>
      </c>
      <c r="C805" s="41">
        <v>700</v>
      </c>
      <c r="D805"/>
      <c r="E805"/>
      <c r="F805"/>
    </row>
    <row r="806" spans="1:6" x14ac:dyDescent="0.3">
      <c r="A806" s="40"/>
      <c r="B806" s="41" t="s">
        <v>842</v>
      </c>
      <c r="C806" s="41">
        <v>568</v>
      </c>
      <c r="D806"/>
      <c r="E806"/>
      <c r="F806"/>
    </row>
    <row r="807" spans="1:6" x14ac:dyDescent="0.3">
      <c r="A807" s="40"/>
      <c r="B807" s="41" t="s">
        <v>843</v>
      </c>
      <c r="C807" s="41">
        <v>566</v>
      </c>
      <c r="D807"/>
      <c r="E807"/>
      <c r="F807"/>
    </row>
    <row r="808" spans="1:6" x14ac:dyDescent="0.3">
      <c r="A808" s="40"/>
      <c r="B808" s="41" t="s">
        <v>844</v>
      </c>
      <c r="C808" s="41">
        <v>727</v>
      </c>
      <c r="D808"/>
      <c r="E808"/>
      <c r="F808"/>
    </row>
    <row r="809" spans="1:6" x14ac:dyDescent="0.3">
      <c r="A809" s="40"/>
      <c r="B809" s="41" t="s">
        <v>845</v>
      </c>
      <c r="C809" s="41">
        <v>728</v>
      </c>
      <c r="D809"/>
      <c r="E809"/>
      <c r="F809"/>
    </row>
    <row r="810" spans="1:6" x14ac:dyDescent="0.3">
      <c r="A810" s="40"/>
      <c r="B810" s="41" t="s">
        <v>846</v>
      </c>
      <c r="C810" s="41">
        <v>836</v>
      </c>
      <c r="D810"/>
      <c r="E810"/>
      <c r="F810"/>
    </row>
    <row r="811" spans="1:6" x14ac:dyDescent="0.3">
      <c r="A811" s="40"/>
      <c r="B811" s="41" t="s">
        <v>847</v>
      </c>
      <c r="C811" s="41">
        <v>558</v>
      </c>
      <c r="D811"/>
      <c r="E811"/>
      <c r="F811"/>
    </row>
    <row r="812" spans="1:6" x14ac:dyDescent="0.3">
      <c r="A812" s="40"/>
      <c r="B812" s="41" t="s">
        <v>848</v>
      </c>
      <c r="C812" s="41">
        <v>567</v>
      </c>
      <c r="D812"/>
      <c r="E812"/>
      <c r="F812"/>
    </row>
    <row r="813" spans="1:6" x14ac:dyDescent="0.3">
      <c r="A813" s="40"/>
      <c r="B813" s="41" t="s">
        <v>849</v>
      </c>
      <c r="C813" s="41">
        <v>1967</v>
      </c>
      <c r="D813"/>
      <c r="E813"/>
      <c r="F813"/>
    </row>
    <row r="814" spans="1:6" x14ac:dyDescent="0.3">
      <c r="A814" s="40"/>
      <c r="B814" s="41" t="s">
        <v>850</v>
      </c>
      <c r="C814" s="41">
        <v>569</v>
      </c>
      <c r="D814"/>
      <c r="E814"/>
      <c r="F814"/>
    </row>
    <row r="815" spans="1:6" x14ac:dyDescent="0.3">
      <c r="A815" s="40"/>
      <c r="B815" s="41" t="s">
        <v>155</v>
      </c>
      <c r="C815" s="41">
        <v>322</v>
      </c>
      <c r="D815"/>
      <c r="E815"/>
      <c r="F815"/>
    </row>
    <row r="816" spans="1:6" x14ac:dyDescent="0.3">
      <c r="A816" s="40"/>
      <c r="B816" s="41" t="s">
        <v>851</v>
      </c>
      <c r="C816" s="41">
        <v>695</v>
      </c>
      <c r="D816"/>
      <c r="E816"/>
      <c r="F816"/>
    </row>
    <row r="817" spans="1:6" x14ac:dyDescent="0.3">
      <c r="A817" s="40"/>
      <c r="B817" s="41" t="s">
        <v>852</v>
      </c>
      <c r="C817" s="41">
        <v>343</v>
      </c>
      <c r="D817"/>
      <c r="E817"/>
      <c r="F817"/>
    </row>
    <row r="818" spans="1:6" x14ac:dyDescent="0.3">
      <c r="A818" s="40"/>
      <c r="B818" s="41" t="s">
        <v>853</v>
      </c>
      <c r="C818" s="41">
        <v>565</v>
      </c>
      <c r="D818"/>
      <c r="E818"/>
      <c r="F818"/>
    </row>
    <row r="819" spans="1:6" x14ac:dyDescent="0.3">
      <c r="A819" s="40"/>
      <c r="B819" s="41" t="s">
        <v>854</v>
      </c>
      <c r="C819" s="41">
        <v>2</v>
      </c>
      <c r="D819"/>
      <c r="E819"/>
      <c r="F819"/>
    </row>
    <row r="820" spans="1:6" x14ac:dyDescent="0.3">
      <c r="A820" s="40" t="s">
        <v>855</v>
      </c>
      <c r="B820" s="41"/>
      <c r="C820" s="41"/>
      <c r="D820"/>
      <c r="E820"/>
      <c r="F820"/>
    </row>
    <row r="821" spans="1:6" x14ac:dyDescent="0.3">
      <c r="A821" s="40"/>
      <c r="B821" s="41" t="s">
        <v>856</v>
      </c>
      <c r="C821" s="41">
        <v>106</v>
      </c>
      <c r="D821"/>
      <c r="E821"/>
      <c r="F821"/>
    </row>
    <row r="822" spans="1:6" x14ac:dyDescent="0.3">
      <c r="A822" s="40"/>
      <c r="B822" s="41" t="s">
        <v>857</v>
      </c>
      <c r="C822" s="41">
        <v>1339</v>
      </c>
      <c r="D822"/>
      <c r="E822"/>
      <c r="F822"/>
    </row>
    <row r="823" spans="1:6" x14ac:dyDescent="0.3">
      <c r="A823" s="40"/>
      <c r="B823" s="41" t="s">
        <v>858</v>
      </c>
      <c r="C823" s="41">
        <v>2974</v>
      </c>
      <c r="D823"/>
      <c r="E823"/>
      <c r="F823"/>
    </row>
    <row r="824" spans="1:6" x14ac:dyDescent="0.3">
      <c r="A824" s="40"/>
      <c r="B824" s="41" t="s">
        <v>859</v>
      </c>
      <c r="C824" s="41">
        <v>829</v>
      </c>
      <c r="D824"/>
      <c r="E824"/>
      <c r="F824"/>
    </row>
    <row r="825" spans="1:6" x14ac:dyDescent="0.3">
      <c r="A825" s="40"/>
      <c r="B825" s="41" t="s">
        <v>860</v>
      </c>
      <c r="C825" s="41">
        <v>169</v>
      </c>
      <c r="D825"/>
      <c r="E825"/>
      <c r="F825"/>
    </row>
    <row r="826" spans="1:6" x14ac:dyDescent="0.3">
      <c r="A826" s="40"/>
      <c r="B826" s="41" t="s">
        <v>861</v>
      </c>
      <c r="C826" s="41">
        <v>182</v>
      </c>
      <c r="D826"/>
      <c r="E826"/>
      <c r="F826"/>
    </row>
    <row r="827" spans="1:6" x14ac:dyDescent="0.3">
      <c r="A827" s="40"/>
      <c r="B827" s="41" t="s">
        <v>862</v>
      </c>
      <c r="C827" s="41">
        <v>2967</v>
      </c>
      <c r="D827"/>
      <c r="E827"/>
      <c r="F827"/>
    </row>
    <row r="828" spans="1:6" x14ac:dyDescent="0.3">
      <c r="A828" s="40"/>
      <c r="B828" s="41" t="s">
        <v>766</v>
      </c>
      <c r="C828" s="41">
        <v>1324</v>
      </c>
      <c r="D828"/>
      <c r="E828"/>
      <c r="F828"/>
    </row>
    <row r="829" spans="1:6" x14ac:dyDescent="0.3">
      <c r="A829" s="40"/>
      <c r="B829" s="41" t="s">
        <v>771</v>
      </c>
      <c r="C829" s="41">
        <v>763</v>
      </c>
      <c r="D829"/>
      <c r="E829"/>
      <c r="F829"/>
    </row>
    <row r="830" spans="1:6" x14ac:dyDescent="0.3">
      <c r="A830" s="40"/>
      <c r="B830" s="41" t="s">
        <v>863</v>
      </c>
      <c r="C830" s="41">
        <v>2654</v>
      </c>
      <c r="D830"/>
      <c r="E830"/>
      <c r="F830"/>
    </row>
    <row r="831" spans="1:6" x14ac:dyDescent="0.3">
      <c r="A831" s="40"/>
      <c r="B831" s="41" t="s">
        <v>864</v>
      </c>
      <c r="C831" s="41">
        <v>2655</v>
      </c>
      <c r="D831"/>
      <c r="E831"/>
      <c r="F831"/>
    </row>
    <row r="832" spans="1:6" x14ac:dyDescent="0.3">
      <c r="A832" s="40"/>
      <c r="B832" s="41" t="s">
        <v>865</v>
      </c>
      <c r="C832" s="41">
        <v>2653</v>
      </c>
      <c r="D832"/>
      <c r="E832"/>
      <c r="F832"/>
    </row>
    <row r="833" spans="1:6" x14ac:dyDescent="0.3">
      <c r="A833" s="40"/>
      <c r="B833" s="41" t="s">
        <v>866</v>
      </c>
      <c r="C833" s="41">
        <v>1333</v>
      </c>
      <c r="D833"/>
      <c r="E833"/>
      <c r="F833"/>
    </row>
    <row r="834" spans="1:6" x14ac:dyDescent="0.3">
      <c r="A834" s="40"/>
      <c r="B834" s="41" t="s">
        <v>867</v>
      </c>
      <c r="C834" s="41">
        <v>1332</v>
      </c>
      <c r="D834"/>
      <c r="E834"/>
      <c r="F834"/>
    </row>
    <row r="835" spans="1:6" x14ac:dyDescent="0.3">
      <c r="A835" s="40"/>
      <c r="B835" s="41" t="s">
        <v>868</v>
      </c>
      <c r="C835" s="41">
        <v>1335</v>
      </c>
      <c r="D835"/>
      <c r="E835"/>
      <c r="F835"/>
    </row>
    <row r="836" spans="1:6" x14ac:dyDescent="0.3">
      <c r="A836" s="40"/>
      <c r="B836" s="41" t="s">
        <v>869</v>
      </c>
      <c r="C836" s="41">
        <v>2652</v>
      </c>
      <c r="D836"/>
      <c r="E836"/>
      <c r="F836"/>
    </row>
    <row r="837" spans="1:6" x14ac:dyDescent="0.3">
      <c r="A837" s="40"/>
      <c r="B837" s="41" t="s">
        <v>870</v>
      </c>
      <c r="C837" s="41">
        <v>2935</v>
      </c>
      <c r="D837"/>
      <c r="E837"/>
      <c r="F837"/>
    </row>
    <row r="838" spans="1:6" x14ac:dyDescent="0.3">
      <c r="A838" s="40"/>
      <c r="B838" s="41" t="s">
        <v>871</v>
      </c>
      <c r="C838" s="41">
        <v>2906</v>
      </c>
      <c r="D838"/>
      <c r="E838"/>
      <c r="F838"/>
    </row>
    <row r="839" spans="1:6" x14ac:dyDescent="0.3">
      <c r="A839" s="40"/>
      <c r="B839" s="41" t="s">
        <v>872</v>
      </c>
      <c r="C839" s="41">
        <v>2975</v>
      </c>
      <c r="D839"/>
      <c r="E839"/>
      <c r="F839"/>
    </row>
    <row r="840" spans="1:6" x14ac:dyDescent="0.3">
      <c r="A840" s="40"/>
      <c r="B840" s="41" t="s">
        <v>873</v>
      </c>
      <c r="C840" s="41">
        <v>2972</v>
      </c>
      <c r="D840"/>
      <c r="E840"/>
      <c r="F840"/>
    </row>
    <row r="841" spans="1:6" x14ac:dyDescent="0.3">
      <c r="A841" s="40"/>
      <c r="B841" s="41" t="s">
        <v>874</v>
      </c>
      <c r="C841" s="41">
        <v>2680</v>
      </c>
      <c r="D841"/>
      <c r="E841"/>
      <c r="F841"/>
    </row>
    <row r="842" spans="1:6" x14ac:dyDescent="0.3">
      <c r="A842" s="40"/>
      <c r="B842" s="41" t="s">
        <v>875</v>
      </c>
      <c r="C842" s="41">
        <v>1340</v>
      </c>
      <c r="D842"/>
      <c r="E842"/>
      <c r="F842"/>
    </row>
    <row r="843" spans="1:6" x14ac:dyDescent="0.3">
      <c r="A843" s="40"/>
      <c r="B843" s="41" t="s">
        <v>876</v>
      </c>
      <c r="C843" s="41">
        <v>2911</v>
      </c>
      <c r="D843"/>
      <c r="E843"/>
      <c r="F843"/>
    </row>
    <row r="844" spans="1:6" x14ac:dyDescent="0.3">
      <c r="A844" s="40"/>
      <c r="B844" s="41" t="s">
        <v>877</v>
      </c>
      <c r="C844" s="41">
        <v>2681</v>
      </c>
      <c r="D844"/>
      <c r="E844"/>
      <c r="F844"/>
    </row>
    <row r="845" spans="1:6" x14ac:dyDescent="0.3">
      <c r="A845" s="40"/>
      <c r="B845" s="41" t="s">
        <v>878</v>
      </c>
      <c r="C845" s="41">
        <v>2658</v>
      </c>
      <c r="D845"/>
      <c r="E845"/>
      <c r="F845"/>
    </row>
    <row r="846" spans="1:6" x14ac:dyDescent="0.3">
      <c r="A846" s="40"/>
      <c r="B846" s="41" t="s">
        <v>879</v>
      </c>
      <c r="C846" s="41">
        <v>622</v>
      </c>
      <c r="D846"/>
      <c r="E846"/>
      <c r="F846"/>
    </row>
    <row r="847" spans="1:6" x14ac:dyDescent="0.3">
      <c r="A847" s="40"/>
      <c r="B847" s="41" t="s">
        <v>880</v>
      </c>
      <c r="C847" s="41">
        <v>2901</v>
      </c>
      <c r="D847"/>
      <c r="E847"/>
      <c r="F847"/>
    </row>
    <row r="848" spans="1:6" x14ac:dyDescent="0.3">
      <c r="A848" s="40"/>
      <c r="B848" s="41" t="s">
        <v>881</v>
      </c>
      <c r="C848" s="41">
        <v>1872</v>
      </c>
      <c r="D848"/>
      <c r="E848"/>
      <c r="F848"/>
    </row>
    <row r="849" spans="1:6" x14ac:dyDescent="0.3">
      <c r="A849" s="40"/>
      <c r="B849" s="41" t="s">
        <v>882</v>
      </c>
      <c r="C849" s="41">
        <v>2651</v>
      </c>
      <c r="D849"/>
      <c r="E849"/>
      <c r="F849"/>
    </row>
    <row r="850" spans="1:6" x14ac:dyDescent="0.3">
      <c r="A850" s="40"/>
      <c r="B850" s="41" t="s">
        <v>883</v>
      </c>
      <c r="C850" s="41">
        <v>2768</v>
      </c>
      <c r="D850"/>
      <c r="E850"/>
      <c r="F850"/>
    </row>
    <row r="851" spans="1:6" x14ac:dyDescent="0.3">
      <c r="A851" s="40"/>
      <c r="B851" s="41" t="s">
        <v>884</v>
      </c>
      <c r="C851" s="41">
        <v>2656</v>
      </c>
      <c r="D851"/>
      <c r="E851"/>
      <c r="F851"/>
    </row>
    <row r="852" spans="1:6" x14ac:dyDescent="0.3">
      <c r="A852" s="40"/>
      <c r="B852" s="41" t="s">
        <v>885</v>
      </c>
      <c r="C852" s="41">
        <v>2922</v>
      </c>
      <c r="D852"/>
      <c r="E852"/>
      <c r="F852"/>
    </row>
    <row r="853" spans="1:6" x14ac:dyDescent="0.3">
      <c r="A853" s="40"/>
      <c r="B853" s="41" t="s">
        <v>886</v>
      </c>
      <c r="C853" s="41">
        <v>2913</v>
      </c>
      <c r="D853"/>
      <c r="E853"/>
      <c r="F853"/>
    </row>
    <row r="854" spans="1:6" x14ac:dyDescent="0.3">
      <c r="A854" s="40"/>
      <c r="B854" s="41" t="s">
        <v>887</v>
      </c>
      <c r="C854" s="41">
        <v>814</v>
      </c>
      <c r="D854"/>
      <c r="E854"/>
      <c r="F854"/>
    </row>
    <row r="855" spans="1:6" x14ac:dyDescent="0.3">
      <c r="A855" s="40"/>
      <c r="B855" s="41" t="s">
        <v>888</v>
      </c>
      <c r="C855" s="41">
        <v>2912</v>
      </c>
      <c r="D855"/>
      <c r="E855"/>
      <c r="F855"/>
    </row>
    <row r="856" spans="1:6" x14ac:dyDescent="0.3">
      <c r="A856" s="40"/>
      <c r="B856" s="41" t="s">
        <v>889</v>
      </c>
      <c r="C856" s="41">
        <v>1341</v>
      </c>
      <c r="D856"/>
      <c r="E856"/>
      <c r="F856"/>
    </row>
    <row r="857" spans="1:6" x14ac:dyDescent="0.3">
      <c r="A857" s="40"/>
      <c r="B857" s="41" t="s">
        <v>890</v>
      </c>
      <c r="C857" s="41">
        <v>2767</v>
      </c>
      <c r="D857"/>
      <c r="E857"/>
      <c r="F857"/>
    </row>
    <row r="858" spans="1:6" x14ac:dyDescent="0.3">
      <c r="A858" s="40"/>
      <c r="B858" s="41" t="s">
        <v>891</v>
      </c>
      <c r="C858" s="41">
        <v>2657</v>
      </c>
      <c r="D858"/>
      <c r="E858"/>
      <c r="F858"/>
    </row>
    <row r="859" spans="1:6" x14ac:dyDescent="0.3">
      <c r="A859" s="40"/>
      <c r="B859" s="41" t="s">
        <v>892</v>
      </c>
      <c r="C859" s="41">
        <v>2682</v>
      </c>
      <c r="D859"/>
      <c r="E859"/>
      <c r="F859"/>
    </row>
    <row r="860" spans="1:6" x14ac:dyDescent="0.3">
      <c r="A860" s="40"/>
      <c r="B860" s="41" t="s">
        <v>893</v>
      </c>
      <c r="C860" s="41">
        <v>2973</v>
      </c>
      <c r="D860"/>
      <c r="E860"/>
      <c r="F860"/>
    </row>
    <row r="861" spans="1:6" x14ac:dyDescent="0.3">
      <c r="A861" s="40"/>
      <c r="B861" s="41" t="s">
        <v>894</v>
      </c>
      <c r="C861" s="41">
        <v>2659</v>
      </c>
      <c r="D861"/>
      <c r="E861"/>
      <c r="F861"/>
    </row>
    <row r="862" spans="1:6" x14ac:dyDescent="0.3">
      <c r="A862" s="40"/>
      <c r="B862" s="41" t="s">
        <v>895</v>
      </c>
      <c r="C862" s="41">
        <v>1334</v>
      </c>
      <c r="D862"/>
      <c r="E862"/>
      <c r="F862"/>
    </row>
    <row r="863" spans="1:6" x14ac:dyDescent="0.3">
      <c r="A863" s="40"/>
      <c r="B863" s="41" t="s">
        <v>896</v>
      </c>
      <c r="C863" s="41">
        <v>1342</v>
      </c>
      <c r="D863"/>
      <c r="E863"/>
      <c r="F863"/>
    </row>
    <row r="864" spans="1:6" x14ac:dyDescent="0.3">
      <c r="A864" s="40"/>
      <c r="B864" s="41" t="s">
        <v>897</v>
      </c>
      <c r="C864" s="41">
        <v>1343</v>
      </c>
      <c r="D864"/>
      <c r="E864"/>
      <c r="F864"/>
    </row>
    <row r="865" spans="1:6" x14ac:dyDescent="0.3">
      <c r="A865" s="40"/>
      <c r="B865" s="41" t="s">
        <v>898</v>
      </c>
      <c r="C865" s="41">
        <v>1347</v>
      </c>
      <c r="D865"/>
      <c r="E865"/>
      <c r="F865"/>
    </row>
    <row r="866" spans="1:6" x14ac:dyDescent="0.3">
      <c r="A866" s="40"/>
      <c r="B866" s="41" t="s">
        <v>899</v>
      </c>
      <c r="C866" s="41">
        <v>1337</v>
      </c>
      <c r="D866"/>
      <c r="E866"/>
      <c r="F866"/>
    </row>
    <row r="867" spans="1:6" x14ac:dyDescent="0.3">
      <c r="A867" s="40"/>
      <c r="B867" s="41" t="s">
        <v>900</v>
      </c>
      <c r="C867" s="41">
        <v>1028</v>
      </c>
      <c r="D867"/>
      <c r="E867"/>
      <c r="F867"/>
    </row>
    <row r="868" spans="1:6" x14ac:dyDescent="0.3">
      <c r="A868" s="40"/>
      <c r="B868" s="41" t="s">
        <v>901</v>
      </c>
      <c r="C868" s="41">
        <v>1338</v>
      </c>
      <c r="D868"/>
      <c r="E868"/>
      <c r="F868"/>
    </row>
    <row r="869" spans="1:6" x14ac:dyDescent="0.3">
      <c r="A869" s="40"/>
      <c r="B869" s="41" t="s">
        <v>902</v>
      </c>
      <c r="C869" s="41">
        <v>1382</v>
      </c>
      <c r="D869"/>
      <c r="E869"/>
      <c r="F869"/>
    </row>
    <row r="870" spans="1:6" x14ac:dyDescent="0.3">
      <c r="A870" s="40"/>
      <c r="B870" s="41" t="s">
        <v>903</v>
      </c>
      <c r="C870" s="41">
        <v>1336</v>
      </c>
      <c r="D870"/>
      <c r="E870"/>
      <c r="F870"/>
    </row>
    <row r="871" spans="1:6" x14ac:dyDescent="0.3">
      <c r="A871" s="40"/>
      <c r="B871" s="41" t="s">
        <v>904</v>
      </c>
      <c r="C871" s="41">
        <v>593</v>
      </c>
      <c r="D871"/>
      <c r="E871"/>
      <c r="F871"/>
    </row>
    <row r="872" spans="1:6" x14ac:dyDescent="0.3">
      <c r="A872" s="40" t="s">
        <v>905</v>
      </c>
      <c r="B872" s="41"/>
      <c r="C872" s="41"/>
      <c r="D872"/>
      <c r="E872"/>
      <c r="F872"/>
    </row>
    <row r="873" spans="1:6" x14ac:dyDescent="0.3">
      <c r="A873" s="40"/>
      <c r="B873" s="41" t="s">
        <v>906</v>
      </c>
      <c r="C873" s="41">
        <v>2020</v>
      </c>
      <c r="D873"/>
      <c r="E873"/>
      <c r="F873"/>
    </row>
    <row r="874" spans="1:6" x14ac:dyDescent="0.3">
      <c r="A874" s="40"/>
      <c r="B874" s="41" t="s">
        <v>907</v>
      </c>
      <c r="C874" s="41">
        <v>1855</v>
      </c>
      <c r="D874"/>
      <c r="E874"/>
      <c r="F874"/>
    </row>
    <row r="875" spans="1:6" x14ac:dyDescent="0.3">
      <c r="A875" s="40"/>
      <c r="B875" s="41" t="s">
        <v>908</v>
      </c>
      <c r="C875" s="41">
        <v>1019</v>
      </c>
      <c r="D875"/>
      <c r="E875"/>
      <c r="F875"/>
    </row>
    <row r="876" spans="1:6" x14ac:dyDescent="0.3">
      <c r="A876" s="40"/>
      <c r="B876" s="41" t="s">
        <v>909</v>
      </c>
      <c r="C876" s="41">
        <v>950</v>
      </c>
      <c r="D876"/>
      <c r="E876"/>
      <c r="F876"/>
    </row>
    <row r="877" spans="1:6" x14ac:dyDescent="0.3">
      <c r="A877" s="40"/>
      <c r="B877" s="41" t="s">
        <v>910</v>
      </c>
      <c r="C877" s="41">
        <v>952</v>
      </c>
      <c r="D877"/>
      <c r="E877"/>
      <c r="F877"/>
    </row>
    <row r="878" spans="1:6" x14ac:dyDescent="0.3">
      <c r="A878" s="40"/>
      <c r="B878" s="41" t="s">
        <v>911</v>
      </c>
      <c r="C878" s="41">
        <v>951</v>
      </c>
      <c r="D878"/>
      <c r="E878"/>
      <c r="F878"/>
    </row>
    <row r="879" spans="1:6" x14ac:dyDescent="0.3">
      <c r="A879" s="40"/>
      <c r="B879" s="41" t="s">
        <v>912</v>
      </c>
      <c r="C879" s="41">
        <v>941</v>
      </c>
      <c r="D879"/>
      <c r="E879"/>
      <c r="F879"/>
    </row>
    <row r="880" spans="1:6" x14ac:dyDescent="0.3">
      <c r="A880" s="40"/>
      <c r="B880" s="41" t="s">
        <v>913</v>
      </c>
      <c r="C880" s="41">
        <v>2530</v>
      </c>
      <c r="D880"/>
      <c r="E880"/>
      <c r="F880"/>
    </row>
    <row r="881" spans="1:6" x14ac:dyDescent="0.3">
      <c r="A881" s="40"/>
      <c r="B881" s="41" t="s">
        <v>914</v>
      </c>
      <c r="C881" s="41">
        <v>1001</v>
      </c>
      <c r="D881"/>
      <c r="E881"/>
      <c r="F881"/>
    </row>
    <row r="882" spans="1:6" x14ac:dyDescent="0.3">
      <c r="A882" s="40"/>
      <c r="B882" s="41" t="s">
        <v>915</v>
      </c>
      <c r="C882" s="41">
        <v>942</v>
      </c>
      <c r="D882"/>
      <c r="E882"/>
      <c r="F882"/>
    </row>
    <row r="883" spans="1:6" x14ac:dyDescent="0.3">
      <c r="A883" s="40"/>
      <c r="B883" s="41" t="s">
        <v>916</v>
      </c>
      <c r="C883" s="41">
        <v>944</v>
      </c>
      <c r="D883"/>
      <c r="E883"/>
      <c r="F883"/>
    </row>
    <row r="884" spans="1:6" x14ac:dyDescent="0.3">
      <c r="A884" s="40"/>
      <c r="B884" s="41" t="s">
        <v>917</v>
      </c>
      <c r="C884" s="41">
        <v>610</v>
      </c>
      <c r="D884"/>
      <c r="E884"/>
      <c r="F884"/>
    </row>
    <row r="885" spans="1:6" x14ac:dyDescent="0.3">
      <c r="A885" s="40"/>
      <c r="B885" s="41" t="s">
        <v>918</v>
      </c>
      <c r="C885" s="41">
        <v>947</v>
      </c>
      <c r="D885"/>
      <c r="E885"/>
      <c r="F885"/>
    </row>
    <row r="886" spans="1:6" x14ac:dyDescent="0.3">
      <c r="A886" s="40"/>
      <c r="B886" s="41" t="s">
        <v>539</v>
      </c>
      <c r="C886" s="41">
        <v>1968</v>
      </c>
      <c r="D886"/>
      <c r="E886"/>
      <c r="F886"/>
    </row>
    <row r="887" spans="1:6" x14ac:dyDescent="0.3">
      <c r="A887" s="40"/>
      <c r="B887" s="41" t="s">
        <v>919</v>
      </c>
      <c r="C887" s="41">
        <v>946</v>
      </c>
      <c r="D887"/>
      <c r="E887"/>
      <c r="F887"/>
    </row>
    <row r="888" spans="1:6" x14ac:dyDescent="0.3">
      <c r="A888" s="40"/>
      <c r="B888" s="41" t="s">
        <v>920</v>
      </c>
      <c r="C888" s="41">
        <v>609</v>
      </c>
      <c r="D888"/>
      <c r="E888"/>
      <c r="F888"/>
    </row>
    <row r="889" spans="1:6" x14ac:dyDescent="0.3">
      <c r="A889" s="40"/>
      <c r="B889" s="41" t="s">
        <v>921</v>
      </c>
      <c r="C889" s="41">
        <v>939</v>
      </c>
      <c r="D889"/>
      <c r="E889"/>
      <c r="F889"/>
    </row>
    <row r="890" spans="1:6" x14ac:dyDescent="0.3">
      <c r="A890" s="40"/>
      <c r="B890" s="41" t="s">
        <v>922</v>
      </c>
      <c r="C890" s="41">
        <v>2796</v>
      </c>
      <c r="D890"/>
      <c r="E890"/>
      <c r="F890"/>
    </row>
    <row r="891" spans="1:6" x14ac:dyDescent="0.3">
      <c r="A891" s="40"/>
      <c r="B891" s="41" t="s">
        <v>923</v>
      </c>
      <c r="C891" s="41">
        <v>2535</v>
      </c>
      <c r="D891"/>
      <c r="E891"/>
      <c r="F891"/>
    </row>
    <row r="892" spans="1:6" x14ac:dyDescent="0.3">
      <c r="A892" s="40"/>
      <c r="B892" s="41" t="s">
        <v>924</v>
      </c>
      <c r="C892" s="41">
        <v>1290</v>
      </c>
      <c r="D892"/>
      <c r="E892"/>
      <c r="F892"/>
    </row>
    <row r="893" spans="1:6" x14ac:dyDescent="0.3">
      <c r="A893" s="40"/>
      <c r="B893" s="41" t="s">
        <v>925</v>
      </c>
      <c r="C893" s="41">
        <v>937</v>
      </c>
      <c r="D893"/>
      <c r="E893"/>
      <c r="F893"/>
    </row>
    <row r="894" spans="1:6" x14ac:dyDescent="0.3">
      <c r="A894" s="40"/>
      <c r="B894" s="41" t="s">
        <v>926</v>
      </c>
      <c r="C894" s="41">
        <v>940</v>
      </c>
      <c r="D894"/>
      <c r="E894"/>
      <c r="F894"/>
    </row>
    <row r="895" spans="1:6" x14ac:dyDescent="0.3">
      <c r="A895" s="40"/>
      <c r="B895" s="41" t="s">
        <v>927</v>
      </c>
      <c r="C895" s="41">
        <v>943</v>
      </c>
      <c r="D895"/>
      <c r="E895"/>
      <c r="F895"/>
    </row>
    <row r="896" spans="1:6" x14ac:dyDescent="0.3">
      <c r="A896" s="40"/>
      <c r="B896" s="41" t="s">
        <v>928</v>
      </c>
      <c r="C896" s="41">
        <v>949</v>
      </c>
      <c r="D896"/>
      <c r="E896"/>
      <c r="F896"/>
    </row>
    <row r="897" spans="1:6" x14ac:dyDescent="0.3">
      <c r="A897" s="40"/>
      <c r="B897" s="41" t="s">
        <v>929</v>
      </c>
      <c r="C897" s="41">
        <v>938</v>
      </c>
      <c r="D897"/>
      <c r="E897"/>
      <c r="F897"/>
    </row>
    <row r="898" spans="1:6" x14ac:dyDescent="0.3">
      <c r="A898" s="40"/>
      <c r="B898" s="41" t="s">
        <v>930</v>
      </c>
      <c r="C898" s="41">
        <v>948</v>
      </c>
      <c r="D898"/>
      <c r="E898"/>
      <c r="F898"/>
    </row>
    <row r="899" spans="1:6" x14ac:dyDescent="0.3">
      <c r="A899" s="40"/>
      <c r="B899" s="41" t="s">
        <v>931</v>
      </c>
      <c r="C899" s="41">
        <v>1002</v>
      </c>
      <c r="D899"/>
      <c r="E899"/>
      <c r="F899"/>
    </row>
    <row r="900" spans="1:6" x14ac:dyDescent="0.3">
      <c r="A900" s="40"/>
      <c r="B900" s="41" t="s">
        <v>932</v>
      </c>
      <c r="C900" s="41">
        <v>591</v>
      </c>
      <c r="D900"/>
      <c r="E900"/>
      <c r="F900"/>
    </row>
    <row r="901" spans="1:6" x14ac:dyDescent="0.3">
      <c r="A901" s="40"/>
      <c r="B901" s="41" t="s">
        <v>933</v>
      </c>
      <c r="C901" s="41">
        <v>608</v>
      </c>
      <c r="D901"/>
      <c r="E901"/>
      <c r="F901"/>
    </row>
    <row r="902" spans="1:6" ht="31.2" x14ac:dyDescent="0.3">
      <c r="A902" s="40" t="s">
        <v>934</v>
      </c>
      <c r="B902" s="41"/>
      <c r="C902" s="41"/>
      <c r="D902"/>
      <c r="E902"/>
      <c r="F902"/>
    </row>
    <row r="903" spans="1:6" x14ac:dyDescent="0.3">
      <c r="A903" s="40"/>
      <c r="B903" s="41" t="s">
        <v>935</v>
      </c>
      <c r="C903" s="41">
        <v>1709</v>
      </c>
      <c r="D903"/>
      <c r="E903"/>
      <c r="F903"/>
    </row>
    <row r="904" spans="1:6" x14ac:dyDescent="0.3">
      <c r="A904" s="40"/>
      <c r="B904" s="41" t="s">
        <v>936</v>
      </c>
      <c r="C904" s="41">
        <v>1708</v>
      </c>
      <c r="D904"/>
      <c r="E904"/>
      <c r="F904"/>
    </row>
    <row r="905" spans="1:6" x14ac:dyDescent="0.3">
      <c r="A905" s="40"/>
      <c r="B905" s="41" t="s">
        <v>937</v>
      </c>
      <c r="C905" s="41">
        <v>1310</v>
      </c>
      <c r="D905"/>
      <c r="E905"/>
      <c r="F905"/>
    </row>
    <row r="906" spans="1:6" x14ac:dyDescent="0.3">
      <c r="A906" s="40"/>
      <c r="B906" s="41" t="s">
        <v>938</v>
      </c>
      <c r="C906" s="41">
        <v>1311</v>
      </c>
      <c r="D906"/>
      <c r="E906"/>
      <c r="F906"/>
    </row>
    <row r="907" spans="1:6" x14ac:dyDescent="0.3">
      <c r="A907" s="40"/>
      <c r="B907" s="41" t="s">
        <v>939</v>
      </c>
      <c r="C907" s="41">
        <v>2951</v>
      </c>
      <c r="D907"/>
      <c r="E907"/>
      <c r="F907"/>
    </row>
    <row r="908" spans="1:6" x14ac:dyDescent="0.3">
      <c r="A908" s="40"/>
      <c r="B908" s="41" t="s">
        <v>940</v>
      </c>
      <c r="C908" s="41">
        <v>1314</v>
      </c>
      <c r="D908"/>
      <c r="E908"/>
      <c r="F908"/>
    </row>
    <row r="909" spans="1:6" x14ac:dyDescent="0.3">
      <c r="A909" s="40"/>
      <c r="B909" s="41" t="s">
        <v>941</v>
      </c>
      <c r="C909" s="41">
        <v>1389</v>
      </c>
      <c r="D909"/>
      <c r="E909"/>
      <c r="F909"/>
    </row>
    <row r="910" spans="1:6" x14ac:dyDescent="0.3">
      <c r="A910" s="40"/>
      <c r="B910" s="41" t="s">
        <v>942</v>
      </c>
      <c r="C910" s="41">
        <v>625</v>
      </c>
      <c r="D910"/>
      <c r="E910"/>
      <c r="F910"/>
    </row>
    <row r="911" spans="1:6" x14ac:dyDescent="0.3">
      <c r="A911" s="40"/>
      <c r="B911" s="41" t="s">
        <v>943</v>
      </c>
      <c r="C911" s="41">
        <v>1860</v>
      </c>
      <c r="D911"/>
      <c r="E911"/>
      <c r="F911"/>
    </row>
    <row r="912" spans="1:6" x14ac:dyDescent="0.3">
      <c r="A912" s="40"/>
      <c r="B912" s="41" t="s">
        <v>944</v>
      </c>
      <c r="C912" s="41">
        <v>1309</v>
      </c>
      <c r="D912"/>
      <c r="E912"/>
      <c r="F912"/>
    </row>
    <row r="913" spans="1:6" x14ac:dyDescent="0.3">
      <c r="A913" s="40"/>
      <c r="B913" s="41" t="s">
        <v>710</v>
      </c>
      <c r="C913" s="41">
        <v>976</v>
      </c>
      <c r="D913"/>
      <c r="E913"/>
      <c r="F913"/>
    </row>
    <row r="914" spans="1:6" x14ac:dyDescent="0.3">
      <c r="A914" s="40"/>
      <c r="B914" s="41" t="s">
        <v>945</v>
      </c>
      <c r="C914" s="41">
        <v>1308</v>
      </c>
      <c r="D914"/>
      <c r="E914"/>
      <c r="F914"/>
    </row>
    <row r="915" spans="1:6" x14ac:dyDescent="0.3">
      <c r="A915" s="40"/>
      <c r="B915" s="41" t="s">
        <v>946</v>
      </c>
      <c r="C915" s="41">
        <v>2964</v>
      </c>
      <c r="D915"/>
      <c r="E915"/>
      <c r="F915"/>
    </row>
    <row r="916" spans="1:6" x14ac:dyDescent="0.3">
      <c r="A916" s="40"/>
      <c r="B916" s="41" t="s">
        <v>947</v>
      </c>
      <c r="C916" s="41">
        <v>2691</v>
      </c>
      <c r="D916"/>
      <c r="E916"/>
      <c r="F916"/>
    </row>
    <row r="917" spans="1:6" x14ac:dyDescent="0.3">
      <c r="A917" s="40"/>
      <c r="B917" s="41" t="s">
        <v>948</v>
      </c>
      <c r="C917" s="41">
        <v>1809</v>
      </c>
      <c r="D917"/>
      <c r="E917"/>
      <c r="F917"/>
    </row>
    <row r="918" spans="1:6" x14ac:dyDescent="0.3">
      <c r="A918" s="40"/>
      <c r="B918" s="41" t="s">
        <v>949</v>
      </c>
      <c r="C918" s="41">
        <v>1940</v>
      </c>
      <c r="D918"/>
      <c r="E918"/>
      <c r="F918"/>
    </row>
    <row r="919" spans="1:6" x14ac:dyDescent="0.3">
      <c r="A919" s="40"/>
      <c r="B919" s="41" t="s">
        <v>950</v>
      </c>
      <c r="C919" s="41">
        <v>1313</v>
      </c>
      <c r="D919"/>
      <c r="E919"/>
      <c r="F919"/>
    </row>
    <row r="920" spans="1:6" x14ac:dyDescent="0.3">
      <c r="A920" s="40"/>
      <c r="B920" s="41" t="s">
        <v>951</v>
      </c>
      <c r="C920" s="41">
        <v>1307</v>
      </c>
      <c r="D920"/>
      <c r="E920"/>
      <c r="F920"/>
    </row>
    <row r="921" spans="1:6" x14ac:dyDescent="0.3">
      <c r="A921" s="40"/>
      <c r="B921" s="41" t="s">
        <v>952</v>
      </c>
      <c r="C921" s="41">
        <v>1305</v>
      </c>
      <c r="D921"/>
      <c r="E921"/>
      <c r="F921"/>
    </row>
    <row r="922" spans="1:6" x14ac:dyDescent="0.3">
      <c r="A922" s="40"/>
      <c r="B922" s="41" t="s">
        <v>953</v>
      </c>
      <c r="C922" s="41">
        <v>690</v>
      </c>
      <c r="D922"/>
      <c r="E922"/>
      <c r="F922"/>
    </row>
    <row r="923" spans="1:6" x14ac:dyDescent="0.3">
      <c r="A923" s="40"/>
      <c r="B923" s="41" t="s">
        <v>954</v>
      </c>
      <c r="C923" s="41">
        <v>1317</v>
      </c>
      <c r="D923"/>
      <c r="E923"/>
      <c r="F923"/>
    </row>
    <row r="924" spans="1:6" x14ac:dyDescent="0.3">
      <c r="A924" s="40"/>
      <c r="B924" s="41" t="s">
        <v>955</v>
      </c>
      <c r="C924" s="41">
        <v>1315</v>
      </c>
      <c r="D924"/>
      <c r="E924"/>
      <c r="F924"/>
    </row>
    <row r="925" spans="1:6" x14ac:dyDescent="0.3">
      <c r="A925" s="40"/>
      <c r="B925" s="41" t="s">
        <v>956</v>
      </c>
      <c r="C925" s="41">
        <v>1247</v>
      </c>
      <c r="D925"/>
      <c r="E925"/>
      <c r="F925"/>
    </row>
    <row r="926" spans="1:6" x14ac:dyDescent="0.3">
      <c r="A926" s="40"/>
      <c r="B926" s="41" t="s">
        <v>957</v>
      </c>
      <c r="C926" s="41">
        <v>1354</v>
      </c>
      <c r="D926"/>
      <c r="E926"/>
      <c r="F926"/>
    </row>
    <row r="927" spans="1:6" x14ac:dyDescent="0.3">
      <c r="A927" s="40"/>
      <c r="B927" s="41" t="s">
        <v>958</v>
      </c>
      <c r="C927" s="41">
        <v>691</v>
      </c>
      <c r="D927"/>
      <c r="E927"/>
      <c r="F927"/>
    </row>
    <row r="928" spans="1:6" x14ac:dyDescent="0.3">
      <c r="A928" s="40"/>
      <c r="B928" s="41" t="s">
        <v>959</v>
      </c>
      <c r="C928" s="41">
        <v>1306</v>
      </c>
      <c r="D928"/>
      <c r="E928"/>
      <c r="F928"/>
    </row>
    <row r="929" spans="1:6" x14ac:dyDescent="0.3">
      <c r="A929" s="40"/>
      <c r="B929" s="41" t="s">
        <v>960</v>
      </c>
      <c r="C929" s="41">
        <v>1316</v>
      </c>
      <c r="D929"/>
      <c r="E929"/>
      <c r="F929"/>
    </row>
    <row r="930" spans="1:6" x14ac:dyDescent="0.3">
      <c r="A930" s="40"/>
      <c r="B930" s="41" t="s">
        <v>961</v>
      </c>
      <c r="C930" s="41">
        <v>1246</v>
      </c>
      <c r="D930"/>
      <c r="E930"/>
      <c r="F930"/>
    </row>
    <row r="931" spans="1:6" x14ac:dyDescent="0.3">
      <c r="A931" s="40"/>
      <c r="B931" s="41" t="s">
        <v>880</v>
      </c>
      <c r="C931" s="41">
        <v>2901</v>
      </c>
      <c r="D931"/>
      <c r="E931"/>
      <c r="F931"/>
    </row>
    <row r="932" spans="1:6" x14ac:dyDescent="0.3">
      <c r="A932" s="40"/>
      <c r="B932" s="41" t="s">
        <v>962</v>
      </c>
      <c r="C932" s="41">
        <v>1984</v>
      </c>
      <c r="D932"/>
      <c r="E932"/>
      <c r="F932"/>
    </row>
    <row r="933" spans="1:6" x14ac:dyDescent="0.3">
      <c r="A933" s="40"/>
      <c r="B933" s="41" t="s">
        <v>963</v>
      </c>
      <c r="C933" s="41">
        <v>2000</v>
      </c>
      <c r="D933"/>
      <c r="E933"/>
      <c r="F933"/>
    </row>
    <row r="934" spans="1:6" x14ac:dyDescent="0.3">
      <c r="A934" s="40"/>
      <c r="B934" s="41" t="s">
        <v>964</v>
      </c>
      <c r="C934" s="41">
        <v>624</v>
      </c>
      <c r="D934"/>
      <c r="E934"/>
      <c r="F934"/>
    </row>
    <row r="935" spans="1:6" x14ac:dyDescent="0.3">
      <c r="A935" s="40"/>
      <c r="B935" s="41" t="s">
        <v>965</v>
      </c>
      <c r="C935" s="41">
        <v>2200</v>
      </c>
      <c r="D935"/>
      <c r="E935"/>
      <c r="F935"/>
    </row>
    <row r="936" spans="1:6" x14ac:dyDescent="0.3">
      <c r="A936" s="40"/>
      <c r="B936" s="41" t="s">
        <v>966</v>
      </c>
      <c r="C936" s="41">
        <v>1905</v>
      </c>
      <c r="D936"/>
      <c r="E936"/>
      <c r="F936"/>
    </row>
    <row r="937" spans="1:6" x14ac:dyDescent="0.3">
      <c r="A937" s="40"/>
      <c r="B937" s="41" t="s">
        <v>543</v>
      </c>
      <c r="C937" s="41">
        <v>2899</v>
      </c>
      <c r="D937"/>
      <c r="E937"/>
      <c r="F937"/>
    </row>
    <row r="938" spans="1:6" x14ac:dyDescent="0.3">
      <c r="A938" s="40"/>
      <c r="B938" s="41" t="s">
        <v>967</v>
      </c>
      <c r="C938" s="41">
        <v>2514</v>
      </c>
      <c r="D938"/>
      <c r="E938"/>
      <c r="F938"/>
    </row>
    <row r="939" spans="1:6" x14ac:dyDescent="0.3">
      <c r="A939" s="40"/>
      <c r="B939" s="41" t="s">
        <v>968</v>
      </c>
      <c r="C939" s="41">
        <v>1983</v>
      </c>
      <c r="D939"/>
      <c r="E939"/>
      <c r="F939"/>
    </row>
    <row r="940" spans="1:6" x14ac:dyDescent="0.3">
      <c r="A940" s="40"/>
      <c r="B940" s="41" t="s">
        <v>969</v>
      </c>
      <c r="C940" s="41">
        <v>2791</v>
      </c>
      <c r="D940"/>
      <c r="E940"/>
      <c r="F940"/>
    </row>
    <row r="941" spans="1:6" x14ac:dyDescent="0.3">
      <c r="A941" s="40"/>
      <c r="B941" s="41" t="s">
        <v>546</v>
      </c>
      <c r="C941" s="41">
        <v>2689</v>
      </c>
      <c r="D941"/>
      <c r="E941"/>
      <c r="F941"/>
    </row>
    <row r="942" spans="1:6" x14ac:dyDescent="0.3">
      <c r="A942" s="40"/>
      <c r="B942" s="41" t="s">
        <v>547</v>
      </c>
      <c r="C942" s="41">
        <v>1312</v>
      </c>
      <c r="D942"/>
      <c r="E942"/>
      <c r="F942"/>
    </row>
    <row r="943" spans="1:6" x14ac:dyDescent="0.3">
      <c r="A943" s="40"/>
      <c r="B943" s="41" t="s">
        <v>970</v>
      </c>
      <c r="C943" s="41">
        <v>844</v>
      </c>
      <c r="D943"/>
      <c r="E943"/>
      <c r="F943"/>
    </row>
    <row r="944" spans="1:6" x14ac:dyDescent="0.3">
      <c r="A944" s="40"/>
      <c r="B944" s="41" t="s">
        <v>971</v>
      </c>
      <c r="C944" s="41">
        <v>1906</v>
      </c>
      <c r="D944"/>
      <c r="E944"/>
      <c r="F944"/>
    </row>
    <row r="945" spans="1:6" x14ac:dyDescent="0.3">
      <c r="A945" s="40"/>
      <c r="B945" s="41" t="s">
        <v>972</v>
      </c>
      <c r="C945" s="41">
        <v>1394</v>
      </c>
      <c r="D945"/>
      <c r="E945"/>
      <c r="F945"/>
    </row>
    <row r="946" spans="1:6" x14ac:dyDescent="0.3">
      <c r="A946" s="40"/>
      <c r="B946" s="41" t="s">
        <v>973</v>
      </c>
      <c r="C946" s="41">
        <v>2787</v>
      </c>
      <c r="D946"/>
      <c r="E946"/>
      <c r="F946"/>
    </row>
    <row r="947" spans="1:6" x14ac:dyDescent="0.3">
      <c r="A947" s="40"/>
      <c r="B947" s="41" t="s">
        <v>974</v>
      </c>
      <c r="C947" s="41">
        <v>2707</v>
      </c>
      <c r="D947"/>
      <c r="E947"/>
      <c r="F947"/>
    </row>
    <row r="948" spans="1:6" x14ac:dyDescent="0.3">
      <c r="A948" s="40"/>
      <c r="B948" s="41" t="s">
        <v>975</v>
      </c>
      <c r="C948" s="41">
        <v>1393</v>
      </c>
      <c r="D948"/>
      <c r="E948"/>
      <c r="F948"/>
    </row>
    <row r="949" spans="1:6" x14ac:dyDescent="0.3">
      <c r="A949" s="40"/>
      <c r="B949" s="41" t="s">
        <v>557</v>
      </c>
      <c r="C949" s="41">
        <v>2898</v>
      </c>
      <c r="D949"/>
      <c r="E949"/>
      <c r="F949"/>
    </row>
    <row r="950" spans="1:6" x14ac:dyDescent="0.3">
      <c r="A950" s="40"/>
      <c r="B950" s="41" t="s">
        <v>976</v>
      </c>
      <c r="C950" s="41">
        <v>1302</v>
      </c>
      <c r="D950"/>
      <c r="E950"/>
      <c r="F950"/>
    </row>
    <row r="951" spans="1:6" x14ac:dyDescent="0.3">
      <c r="A951" s="40"/>
      <c r="B951" s="41" t="s">
        <v>977</v>
      </c>
      <c r="C951" s="41">
        <v>2687</v>
      </c>
      <c r="D951"/>
      <c r="E951"/>
      <c r="F951"/>
    </row>
    <row r="952" spans="1:6" x14ac:dyDescent="0.3">
      <c r="A952" s="40"/>
      <c r="B952" s="41" t="s">
        <v>978</v>
      </c>
      <c r="C952" s="41">
        <v>1303</v>
      </c>
      <c r="D952"/>
      <c r="E952"/>
      <c r="F952"/>
    </row>
    <row r="953" spans="1:6" x14ac:dyDescent="0.3">
      <c r="A953" s="40"/>
      <c r="B953" s="41" t="s">
        <v>979</v>
      </c>
      <c r="C953" s="41">
        <v>1304</v>
      </c>
      <c r="D953"/>
      <c r="E953"/>
      <c r="F953"/>
    </row>
    <row r="954" spans="1:6" x14ac:dyDescent="0.3">
      <c r="A954" s="40"/>
      <c r="B954" s="41" t="s">
        <v>980</v>
      </c>
      <c r="C954" s="41">
        <v>16</v>
      </c>
      <c r="D954"/>
      <c r="E954"/>
      <c r="F954"/>
    </row>
    <row r="955" spans="1:6" x14ac:dyDescent="0.3">
      <c r="A955" s="40" t="s">
        <v>981</v>
      </c>
      <c r="B955" s="41"/>
      <c r="C955" s="41"/>
      <c r="D955"/>
      <c r="E955"/>
      <c r="F955"/>
    </row>
    <row r="956" spans="1:6" x14ac:dyDescent="0.3">
      <c r="A956" s="40"/>
      <c r="B956" s="41" t="s">
        <v>982</v>
      </c>
      <c r="C956" s="41">
        <v>735</v>
      </c>
      <c r="D956"/>
      <c r="E956"/>
      <c r="F956"/>
    </row>
    <row r="957" spans="1:6" x14ac:dyDescent="0.3">
      <c r="A957" s="40"/>
      <c r="B957" s="41" t="s">
        <v>983</v>
      </c>
      <c r="C957" s="41">
        <v>2710</v>
      </c>
      <c r="D957"/>
      <c r="E957"/>
      <c r="F957"/>
    </row>
    <row r="958" spans="1:6" x14ac:dyDescent="0.3">
      <c r="A958" s="40"/>
      <c r="B958" s="41" t="s">
        <v>984</v>
      </c>
      <c r="C958" s="41">
        <v>775</v>
      </c>
      <c r="D958"/>
      <c r="E958"/>
      <c r="F958"/>
    </row>
    <row r="959" spans="1:6" x14ac:dyDescent="0.3">
      <c r="A959" s="40"/>
      <c r="B959" s="41" t="s">
        <v>985</v>
      </c>
      <c r="C959" s="41">
        <v>1957</v>
      </c>
      <c r="D959"/>
      <c r="E959"/>
      <c r="F959"/>
    </row>
    <row r="960" spans="1:6" x14ac:dyDescent="0.3">
      <c r="A960" s="40"/>
      <c r="B960" s="41" t="s">
        <v>986</v>
      </c>
      <c r="C960" s="41">
        <v>1358</v>
      </c>
      <c r="D960"/>
      <c r="E960"/>
      <c r="F960"/>
    </row>
    <row r="961" spans="1:6" x14ac:dyDescent="0.3">
      <c r="A961" s="40"/>
      <c r="B961" s="41" t="s">
        <v>987</v>
      </c>
      <c r="C961" s="41">
        <v>1352</v>
      </c>
      <c r="D961"/>
      <c r="E961"/>
      <c r="F961"/>
    </row>
    <row r="962" spans="1:6" x14ac:dyDescent="0.3">
      <c r="A962" s="40"/>
      <c r="B962" s="41" t="s">
        <v>988</v>
      </c>
      <c r="C962" s="41">
        <v>1231</v>
      </c>
      <c r="D962"/>
      <c r="E962"/>
      <c r="F962"/>
    </row>
    <row r="963" spans="1:6" x14ac:dyDescent="0.3">
      <c r="A963" s="40"/>
      <c r="B963" s="41" t="s">
        <v>989</v>
      </c>
      <c r="C963" s="41">
        <v>774</v>
      </c>
      <c r="D963"/>
      <c r="E963"/>
      <c r="F963"/>
    </row>
    <row r="964" spans="1:6" x14ac:dyDescent="0.3">
      <c r="A964" s="40"/>
      <c r="B964" s="41" t="s">
        <v>990</v>
      </c>
      <c r="C964" s="41">
        <v>2649</v>
      </c>
      <c r="D964"/>
      <c r="E964"/>
      <c r="F964"/>
    </row>
    <row r="965" spans="1:6" x14ac:dyDescent="0.3">
      <c r="A965" s="40"/>
      <c r="B965" s="41" t="s">
        <v>991</v>
      </c>
      <c r="C965" s="41">
        <v>1719</v>
      </c>
      <c r="D965"/>
      <c r="E965"/>
      <c r="F965"/>
    </row>
    <row r="966" spans="1:6" x14ac:dyDescent="0.3">
      <c r="A966" s="40"/>
      <c r="B966" s="41" t="s">
        <v>992</v>
      </c>
      <c r="C966" s="41">
        <v>2948</v>
      </c>
      <c r="D966"/>
      <c r="E966"/>
      <c r="F966"/>
    </row>
    <row r="967" spans="1:6" x14ac:dyDescent="0.3">
      <c r="A967" s="40"/>
      <c r="B967" s="41" t="s">
        <v>993</v>
      </c>
      <c r="C967" s="41">
        <v>771</v>
      </c>
      <c r="D967"/>
      <c r="E967"/>
      <c r="F967"/>
    </row>
    <row r="968" spans="1:6" x14ac:dyDescent="0.3">
      <c r="A968" s="40"/>
      <c r="B968" s="41" t="s">
        <v>994</v>
      </c>
      <c r="C968" s="41">
        <v>631</v>
      </c>
      <c r="D968"/>
      <c r="E968"/>
      <c r="F968"/>
    </row>
    <row r="969" spans="1:6" x14ac:dyDescent="0.3">
      <c r="A969" s="40"/>
      <c r="B969" s="41" t="s">
        <v>995</v>
      </c>
      <c r="C969" s="41">
        <v>1327</v>
      </c>
      <c r="D969"/>
      <c r="E969"/>
      <c r="F969"/>
    </row>
    <row r="970" spans="1:6" x14ac:dyDescent="0.3">
      <c r="A970" s="40"/>
      <c r="B970" s="41" t="s">
        <v>996</v>
      </c>
      <c r="C970" s="41">
        <v>2905</v>
      </c>
      <c r="D970"/>
      <c r="E970"/>
      <c r="F970"/>
    </row>
    <row r="971" spans="1:6" x14ac:dyDescent="0.3">
      <c r="A971" s="40"/>
      <c r="B971" s="41" t="s">
        <v>997</v>
      </c>
      <c r="C971" s="41">
        <v>1386</v>
      </c>
      <c r="D971"/>
      <c r="E971"/>
      <c r="F971"/>
    </row>
    <row r="972" spans="1:6" x14ac:dyDescent="0.3">
      <c r="A972" s="40"/>
      <c r="B972" s="41" t="s">
        <v>812</v>
      </c>
      <c r="C972" s="41">
        <v>689</v>
      </c>
      <c r="D972"/>
      <c r="E972"/>
      <c r="F972"/>
    </row>
    <row r="973" spans="1:6" x14ac:dyDescent="0.3">
      <c r="A973" s="40"/>
      <c r="B973" s="41" t="s">
        <v>998</v>
      </c>
      <c r="C973" s="41">
        <v>692</v>
      </c>
      <c r="D973"/>
      <c r="E973"/>
      <c r="F973"/>
    </row>
    <row r="974" spans="1:6" x14ac:dyDescent="0.3">
      <c r="A974" s="40"/>
      <c r="B974" s="41" t="s">
        <v>999</v>
      </c>
      <c r="C974" s="41">
        <v>825</v>
      </c>
      <c r="D974"/>
      <c r="E974"/>
      <c r="F974"/>
    </row>
    <row r="975" spans="1:6" x14ac:dyDescent="0.3">
      <c r="A975" s="40"/>
      <c r="B975" s="41" t="s">
        <v>1000</v>
      </c>
      <c r="C975" s="41">
        <v>1897</v>
      </c>
      <c r="D975"/>
      <c r="E975"/>
      <c r="F975"/>
    </row>
    <row r="976" spans="1:6" x14ac:dyDescent="0.3">
      <c r="A976" s="40"/>
      <c r="B976" s="41" t="s">
        <v>1001</v>
      </c>
      <c r="C976" s="41">
        <v>2851</v>
      </c>
      <c r="D976"/>
      <c r="E976"/>
      <c r="F976"/>
    </row>
    <row r="977" spans="1:6" x14ac:dyDescent="0.3">
      <c r="A977" s="40"/>
      <c r="B977" s="41" t="s">
        <v>1002</v>
      </c>
      <c r="C977" s="41">
        <v>1902</v>
      </c>
      <c r="D977"/>
      <c r="E977"/>
      <c r="F977"/>
    </row>
    <row r="978" spans="1:6" x14ac:dyDescent="0.3">
      <c r="A978" s="40"/>
      <c r="B978" s="41" t="s">
        <v>1003</v>
      </c>
      <c r="C978" s="41">
        <v>1431</v>
      </c>
      <c r="D978"/>
      <c r="E978"/>
      <c r="F978"/>
    </row>
    <row r="979" spans="1:6" x14ac:dyDescent="0.3">
      <c r="A979" s="40"/>
      <c r="B979" s="41" t="s">
        <v>1004</v>
      </c>
      <c r="C979" s="41">
        <v>1395</v>
      </c>
      <c r="D979"/>
      <c r="E979"/>
      <c r="F979"/>
    </row>
    <row r="980" spans="1:6" x14ac:dyDescent="0.3">
      <c r="A980" s="40"/>
      <c r="B980" s="41" t="s">
        <v>1005</v>
      </c>
      <c r="C980" s="41">
        <v>2663</v>
      </c>
      <c r="D980"/>
      <c r="E980"/>
      <c r="F980"/>
    </row>
    <row r="981" spans="1:6" x14ac:dyDescent="0.3">
      <c r="A981" s="40"/>
      <c r="B981" s="41" t="s">
        <v>1006</v>
      </c>
      <c r="C981" s="41">
        <v>632</v>
      </c>
      <c r="D981"/>
      <c r="E981"/>
      <c r="F981"/>
    </row>
    <row r="982" spans="1:6" x14ac:dyDescent="0.3">
      <c r="A982" s="40"/>
      <c r="B982" s="41" t="s">
        <v>816</v>
      </c>
      <c r="C982" s="41">
        <v>734</v>
      </c>
      <c r="D982"/>
      <c r="E982"/>
      <c r="F982"/>
    </row>
    <row r="983" spans="1:6" x14ac:dyDescent="0.3">
      <c r="A983" s="40"/>
      <c r="B983" s="41" t="s">
        <v>1007</v>
      </c>
      <c r="C983" s="41">
        <v>701</v>
      </c>
      <c r="D983"/>
      <c r="E983"/>
      <c r="F983"/>
    </row>
    <row r="984" spans="1:6" x14ac:dyDescent="0.3">
      <c r="A984" s="40"/>
      <c r="B984" s="41" t="s">
        <v>1008</v>
      </c>
      <c r="C984" s="41">
        <v>1357</v>
      </c>
      <c r="D984"/>
      <c r="E984"/>
      <c r="F984"/>
    </row>
    <row r="985" spans="1:6" x14ac:dyDescent="0.3">
      <c r="A985" s="40"/>
      <c r="B985" s="41" t="s">
        <v>1009</v>
      </c>
      <c r="C985" s="41">
        <v>1904</v>
      </c>
      <c r="D985"/>
      <c r="E985"/>
      <c r="F985"/>
    </row>
    <row r="986" spans="1:6" x14ac:dyDescent="0.3">
      <c r="A986" s="40"/>
      <c r="B986" s="41" t="s">
        <v>957</v>
      </c>
      <c r="C986" s="41">
        <v>1354</v>
      </c>
      <c r="D986"/>
      <c r="E986"/>
      <c r="F986"/>
    </row>
    <row r="987" spans="1:6" x14ac:dyDescent="0.3">
      <c r="A987" s="40"/>
      <c r="B987" s="41" t="s">
        <v>1010</v>
      </c>
      <c r="C987" s="41">
        <v>643</v>
      </c>
      <c r="D987"/>
      <c r="E987"/>
      <c r="F987"/>
    </row>
    <row r="988" spans="1:6" x14ac:dyDescent="0.3">
      <c r="A988" s="40"/>
      <c r="B988" s="41" t="s">
        <v>1011</v>
      </c>
      <c r="C988" s="41">
        <v>2539</v>
      </c>
      <c r="D988"/>
      <c r="E988"/>
      <c r="F988"/>
    </row>
    <row r="989" spans="1:6" x14ac:dyDescent="0.3">
      <c r="A989" s="40"/>
      <c r="B989" s="41" t="s">
        <v>1012</v>
      </c>
      <c r="C989" s="41">
        <v>795</v>
      </c>
      <c r="D989"/>
      <c r="E989"/>
      <c r="F989"/>
    </row>
    <row r="990" spans="1:6" x14ac:dyDescent="0.3">
      <c r="A990" s="40"/>
      <c r="B990" s="41" t="s">
        <v>1013</v>
      </c>
      <c r="C990" s="41">
        <v>1232</v>
      </c>
      <c r="D990"/>
      <c r="E990"/>
      <c r="F990"/>
    </row>
    <row r="991" spans="1:6" x14ac:dyDescent="0.3">
      <c r="A991" s="40"/>
      <c r="B991" s="41" t="s">
        <v>1014</v>
      </c>
      <c r="C991" s="41">
        <v>1325</v>
      </c>
      <c r="D991"/>
      <c r="E991"/>
      <c r="F991"/>
    </row>
    <row r="992" spans="1:6" x14ac:dyDescent="0.3">
      <c r="A992" s="40"/>
      <c r="B992" s="41" t="s">
        <v>1015</v>
      </c>
      <c r="C992" s="41">
        <v>2641</v>
      </c>
      <c r="D992"/>
      <c r="E992"/>
      <c r="F992"/>
    </row>
    <row r="993" spans="1:6" x14ac:dyDescent="0.3">
      <c r="A993" s="40"/>
      <c r="B993" s="41" t="s">
        <v>1016</v>
      </c>
      <c r="C993" s="41">
        <v>796</v>
      </c>
      <c r="D993"/>
      <c r="E993"/>
      <c r="F993"/>
    </row>
    <row r="994" spans="1:6" x14ac:dyDescent="0.3">
      <c r="A994" s="40"/>
      <c r="B994" s="41" t="s">
        <v>1017</v>
      </c>
      <c r="C994" s="41">
        <v>1707</v>
      </c>
      <c r="D994"/>
      <c r="E994"/>
      <c r="F994"/>
    </row>
    <row r="995" spans="1:6" x14ac:dyDescent="0.3">
      <c r="A995" s="40"/>
      <c r="B995" s="41" t="s">
        <v>1018</v>
      </c>
      <c r="C995" s="41">
        <v>853</v>
      </c>
      <c r="D995"/>
      <c r="E995"/>
      <c r="F995"/>
    </row>
    <row r="996" spans="1:6" x14ac:dyDescent="0.3">
      <c r="A996" s="40"/>
      <c r="B996" s="41" t="s">
        <v>1019</v>
      </c>
      <c r="C996" s="41">
        <v>1326</v>
      </c>
      <c r="D996"/>
      <c r="E996"/>
      <c r="F996"/>
    </row>
    <row r="997" spans="1:6" x14ac:dyDescent="0.3">
      <c r="A997" s="40"/>
      <c r="B997" s="41" t="s">
        <v>1020</v>
      </c>
      <c r="C997" s="41">
        <v>2022</v>
      </c>
      <c r="D997"/>
      <c r="E997"/>
      <c r="F997"/>
    </row>
    <row r="998" spans="1:6" x14ac:dyDescent="0.3">
      <c r="A998" s="40"/>
      <c r="B998" s="41" t="s">
        <v>1021</v>
      </c>
      <c r="C998" s="41">
        <v>1253</v>
      </c>
      <c r="D998"/>
      <c r="E998"/>
      <c r="F998"/>
    </row>
    <row r="999" spans="1:6" x14ac:dyDescent="0.3">
      <c r="A999" s="40"/>
      <c r="B999" s="41" t="s">
        <v>1022</v>
      </c>
      <c r="C999" s="41">
        <v>1365</v>
      </c>
      <c r="D999"/>
      <c r="E999"/>
      <c r="F999"/>
    </row>
    <row r="1000" spans="1:6" x14ac:dyDescent="0.3">
      <c r="A1000" s="40"/>
      <c r="B1000" s="41" t="s">
        <v>1023</v>
      </c>
      <c r="C1000" s="41">
        <v>1230</v>
      </c>
      <c r="D1000"/>
      <c r="E1000"/>
      <c r="F1000"/>
    </row>
    <row r="1001" spans="1:6" x14ac:dyDescent="0.3">
      <c r="A1001" s="40"/>
      <c r="B1001" s="41" t="s">
        <v>1024</v>
      </c>
      <c r="C1001" s="41">
        <v>1396</v>
      </c>
      <c r="D1001"/>
      <c r="E1001"/>
      <c r="F1001"/>
    </row>
    <row r="1002" spans="1:6" x14ac:dyDescent="0.3">
      <c r="A1002" s="40"/>
      <c r="B1002" s="41" t="s">
        <v>825</v>
      </c>
      <c r="C1002" s="41">
        <v>634</v>
      </c>
      <c r="D1002"/>
      <c r="E1002"/>
      <c r="F1002"/>
    </row>
    <row r="1003" spans="1:6" x14ac:dyDescent="0.3">
      <c r="A1003" s="40"/>
      <c r="B1003" s="41" t="s">
        <v>1025</v>
      </c>
      <c r="C1003" s="41">
        <v>2708</v>
      </c>
      <c r="D1003"/>
      <c r="E1003"/>
      <c r="F1003"/>
    </row>
    <row r="1004" spans="1:6" x14ac:dyDescent="0.3">
      <c r="A1004" s="40"/>
      <c r="B1004" s="41" t="s">
        <v>1026</v>
      </c>
      <c r="C1004" s="41">
        <v>1374</v>
      </c>
      <c r="D1004"/>
      <c r="E1004"/>
      <c r="F1004"/>
    </row>
    <row r="1005" spans="1:6" x14ac:dyDescent="0.3">
      <c r="A1005" s="40"/>
      <c r="B1005" s="41" t="s">
        <v>1027</v>
      </c>
      <c r="C1005" s="41">
        <v>2939</v>
      </c>
      <c r="D1005"/>
      <c r="E1005"/>
      <c r="F1005"/>
    </row>
    <row r="1006" spans="1:6" x14ac:dyDescent="0.3">
      <c r="A1006" s="40"/>
      <c r="B1006" s="41" t="s">
        <v>826</v>
      </c>
      <c r="C1006" s="41">
        <v>2576</v>
      </c>
      <c r="D1006"/>
      <c r="E1006"/>
      <c r="F1006"/>
    </row>
    <row r="1007" spans="1:6" x14ac:dyDescent="0.3">
      <c r="A1007" s="40"/>
      <c r="B1007" s="41" t="s">
        <v>557</v>
      </c>
      <c r="C1007" s="41">
        <v>1939</v>
      </c>
      <c r="D1007"/>
      <c r="E1007"/>
      <c r="F1007"/>
    </row>
    <row r="1008" spans="1:6" x14ac:dyDescent="0.3">
      <c r="A1008" s="40"/>
      <c r="B1008" s="41" t="s">
        <v>1028</v>
      </c>
      <c r="C1008" s="41">
        <v>8</v>
      </c>
      <c r="D1008"/>
      <c r="E1008"/>
      <c r="F1008"/>
    </row>
    <row r="1009" spans="1:6" x14ac:dyDescent="0.3">
      <c r="A1009" s="40" t="s">
        <v>1029</v>
      </c>
      <c r="B1009" s="41"/>
      <c r="C1009" s="41"/>
      <c r="D1009"/>
      <c r="E1009"/>
      <c r="F1009"/>
    </row>
    <row r="1010" spans="1:6" x14ac:dyDescent="0.3">
      <c r="A1010" s="40"/>
      <c r="B1010" s="41" t="s">
        <v>991</v>
      </c>
      <c r="C1010" s="41">
        <v>1719</v>
      </c>
      <c r="D1010"/>
      <c r="E1010"/>
      <c r="F1010"/>
    </row>
    <row r="1011" spans="1:6" x14ac:dyDescent="0.3">
      <c r="A1011" s="40"/>
      <c r="B1011" s="41" t="s">
        <v>1030</v>
      </c>
      <c r="C1011" s="41">
        <v>2524</v>
      </c>
      <c r="D1011"/>
      <c r="E1011"/>
      <c r="F1011"/>
    </row>
    <row r="1012" spans="1:6" x14ac:dyDescent="0.3">
      <c r="A1012" s="40"/>
      <c r="B1012" s="41" t="s">
        <v>1031</v>
      </c>
      <c r="C1012" s="41">
        <v>2519</v>
      </c>
      <c r="D1012"/>
      <c r="E1012"/>
      <c r="F1012"/>
    </row>
    <row r="1013" spans="1:6" x14ac:dyDescent="0.3">
      <c r="A1013" s="40"/>
      <c r="B1013" s="41" t="s">
        <v>1032</v>
      </c>
      <c r="C1013" s="41">
        <v>1720</v>
      </c>
      <c r="D1013"/>
      <c r="E1013"/>
      <c r="F1013"/>
    </row>
    <row r="1014" spans="1:6" x14ac:dyDescent="0.3">
      <c r="A1014" s="40"/>
      <c r="B1014" s="41" t="s">
        <v>816</v>
      </c>
      <c r="C1014" s="41">
        <v>734</v>
      </c>
      <c r="D1014"/>
      <c r="E1014"/>
      <c r="F1014"/>
    </row>
    <row r="1015" spans="1:6" x14ac:dyDescent="0.3">
      <c r="A1015" s="40"/>
      <c r="B1015" s="41" t="s">
        <v>1009</v>
      </c>
      <c r="C1015" s="41">
        <v>1904</v>
      </c>
      <c r="D1015"/>
      <c r="E1015"/>
      <c r="F1015"/>
    </row>
    <row r="1016" spans="1:6" x14ac:dyDescent="0.3">
      <c r="A1016" s="40"/>
      <c r="B1016" s="41" t="s">
        <v>1033</v>
      </c>
      <c r="C1016" s="41">
        <v>2953</v>
      </c>
      <c r="D1016"/>
      <c r="E1016"/>
      <c r="F1016"/>
    </row>
    <row r="1017" spans="1:6" x14ac:dyDescent="0.3">
      <c r="A1017" s="40"/>
      <c r="B1017" s="41" t="s">
        <v>1034</v>
      </c>
      <c r="C1017" s="41">
        <v>2571</v>
      </c>
      <c r="D1017"/>
      <c r="E1017"/>
      <c r="F1017"/>
    </row>
    <row r="1018" spans="1:6" x14ac:dyDescent="0.3">
      <c r="A1018" s="40"/>
      <c r="B1018" s="41" t="s">
        <v>1035</v>
      </c>
      <c r="C1018" s="41">
        <v>2952</v>
      </c>
      <c r="D1018"/>
      <c r="E1018"/>
      <c r="F1018"/>
    </row>
    <row r="1019" spans="1:6" x14ac:dyDescent="0.3">
      <c r="A1019" s="40"/>
      <c r="B1019" s="41" t="s">
        <v>1036</v>
      </c>
      <c r="C1019" s="41">
        <v>2520</v>
      </c>
      <c r="D1019"/>
      <c r="E1019"/>
      <c r="F1019"/>
    </row>
    <row r="1020" spans="1:6" x14ac:dyDescent="0.3">
      <c r="A1020" s="40"/>
      <c r="B1020" s="41" t="s">
        <v>1037</v>
      </c>
      <c r="C1020" s="41">
        <v>1913</v>
      </c>
      <c r="D1020"/>
      <c r="E1020"/>
      <c r="F1020"/>
    </row>
    <row r="1021" spans="1:6" x14ac:dyDescent="0.3">
      <c r="A1021" s="40"/>
      <c r="B1021" s="41" t="s">
        <v>1038</v>
      </c>
      <c r="C1021" s="41">
        <v>2522</v>
      </c>
      <c r="D1021"/>
      <c r="E1021"/>
      <c r="F1021"/>
    </row>
    <row r="1022" spans="1:6" x14ac:dyDescent="0.3">
      <c r="A1022" s="40"/>
      <c r="B1022" s="41" t="s">
        <v>1039</v>
      </c>
      <c r="C1022" s="41">
        <v>2668</v>
      </c>
      <c r="D1022"/>
      <c r="E1022"/>
      <c r="F1022"/>
    </row>
    <row r="1023" spans="1:6" x14ac:dyDescent="0.3">
      <c r="A1023" s="40"/>
      <c r="B1023" s="41" t="s">
        <v>1040</v>
      </c>
      <c r="C1023" s="41">
        <v>2521</v>
      </c>
      <c r="D1023"/>
      <c r="E1023"/>
      <c r="F1023"/>
    </row>
    <row r="1024" spans="1:6" x14ac:dyDescent="0.3">
      <c r="A1024" s="40"/>
      <c r="B1024" s="41" t="s">
        <v>1041</v>
      </c>
      <c r="C1024" s="41">
        <v>2517</v>
      </c>
      <c r="D1024"/>
      <c r="E1024"/>
      <c r="F1024"/>
    </row>
    <row r="1025" spans="1:6" x14ac:dyDescent="0.3">
      <c r="A1025" s="40"/>
      <c r="B1025" s="41" t="s">
        <v>1042</v>
      </c>
      <c r="C1025" s="41">
        <v>2516</v>
      </c>
      <c r="D1025"/>
      <c r="E1025"/>
      <c r="F1025"/>
    </row>
    <row r="1026" spans="1:6" x14ac:dyDescent="0.3">
      <c r="A1026" s="40"/>
      <c r="B1026" s="41" t="s">
        <v>826</v>
      </c>
      <c r="C1026" s="41">
        <v>2576</v>
      </c>
      <c r="D1026"/>
      <c r="E1026"/>
      <c r="F1026"/>
    </row>
    <row r="1027" spans="1:6" x14ac:dyDescent="0.3">
      <c r="A1027" s="40"/>
      <c r="B1027" s="41" t="s">
        <v>1043</v>
      </c>
      <c r="C1027" s="41">
        <v>633</v>
      </c>
      <c r="D1027"/>
      <c r="E1027"/>
      <c r="F1027"/>
    </row>
    <row r="1028" spans="1:6" x14ac:dyDescent="0.3">
      <c r="A1028" s="40"/>
      <c r="B1028" s="41" t="s">
        <v>1044</v>
      </c>
      <c r="C1028" s="41">
        <v>2557</v>
      </c>
      <c r="D1028"/>
      <c r="E1028"/>
      <c r="F1028"/>
    </row>
    <row r="1029" spans="1:6" x14ac:dyDescent="0.3">
      <c r="A1029" s="40"/>
      <c r="B1029" s="41" t="s">
        <v>1045</v>
      </c>
      <c r="C1029" s="41">
        <v>2544</v>
      </c>
      <c r="D1029"/>
      <c r="E1029"/>
      <c r="F1029"/>
    </row>
    <row r="1030" spans="1:6" x14ac:dyDescent="0.3">
      <c r="A1030" s="40"/>
      <c r="B1030" s="41" t="s">
        <v>1046</v>
      </c>
      <c r="C1030" s="41">
        <v>2545</v>
      </c>
      <c r="D1030"/>
      <c r="E1030"/>
      <c r="F1030"/>
    </row>
    <row r="1031" spans="1:6" x14ac:dyDescent="0.3">
      <c r="A1031" s="40"/>
      <c r="B1031" s="41" t="s">
        <v>1047</v>
      </c>
      <c r="C1031" s="41">
        <v>2554</v>
      </c>
      <c r="D1031"/>
      <c r="E1031"/>
      <c r="F1031"/>
    </row>
    <row r="1032" spans="1:6" ht="27" x14ac:dyDescent="0.3">
      <c r="A1032" s="40"/>
      <c r="B1032" s="41" t="s">
        <v>1048</v>
      </c>
      <c r="C1032" s="41">
        <v>2518</v>
      </c>
      <c r="D1032"/>
      <c r="E1032"/>
      <c r="F1032"/>
    </row>
    <row r="1033" spans="1:6" x14ac:dyDescent="0.3">
      <c r="A1033" s="40"/>
      <c r="B1033" s="41" t="s">
        <v>1049</v>
      </c>
      <c r="C1033" s="41">
        <v>2546</v>
      </c>
      <c r="D1033"/>
      <c r="E1033"/>
      <c r="F1033"/>
    </row>
    <row r="1034" spans="1:6" x14ac:dyDescent="0.3">
      <c r="A1034" s="40"/>
      <c r="B1034" s="41" t="s">
        <v>1050</v>
      </c>
      <c r="C1034" s="41">
        <v>2547</v>
      </c>
      <c r="D1034"/>
      <c r="E1034"/>
      <c r="F1034"/>
    </row>
    <row r="1035" spans="1:6" x14ac:dyDescent="0.3">
      <c r="A1035" s="40"/>
      <c r="B1035" s="41" t="s">
        <v>1051</v>
      </c>
      <c r="C1035" s="41">
        <v>2555</v>
      </c>
      <c r="D1035"/>
      <c r="E1035"/>
      <c r="F1035"/>
    </row>
    <row r="1036" spans="1:6" x14ac:dyDescent="0.3">
      <c r="A1036" s="40"/>
      <c r="B1036" s="41" t="s">
        <v>1052</v>
      </c>
      <c r="C1036" s="41">
        <v>2556</v>
      </c>
      <c r="D1036"/>
      <c r="E1036"/>
      <c r="F1036"/>
    </row>
    <row r="1037" spans="1:6" x14ac:dyDescent="0.3">
      <c r="A1037" s="40"/>
      <c r="B1037" s="41" t="s">
        <v>1053</v>
      </c>
      <c r="C1037" s="41">
        <v>2548</v>
      </c>
      <c r="D1037"/>
      <c r="E1037"/>
      <c r="F1037"/>
    </row>
    <row r="1038" spans="1:6" x14ac:dyDescent="0.3">
      <c r="A1038" s="40"/>
      <c r="B1038" s="41" t="s">
        <v>1054</v>
      </c>
      <c r="C1038" s="41">
        <v>2549</v>
      </c>
      <c r="D1038"/>
      <c r="E1038"/>
      <c r="F1038"/>
    </row>
    <row r="1039" spans="1:6" x14ac:dyDescent="0.3">
      <c r="A1039" s="40"/>
      <c r="B1039" s="41" t="s">
        <v>1055</v>
      </c>
      <c r="C1039" s="41">
        <v>2550</v>
      </c>
      <c r="D1039"/>
      <c r="E1039"/>
      <c r="F1039"/>
    </row>
    <row r="1040" spans="1:6" x14ac:dyDescent="0.3">
      <c r="A1040" s="40"/>
      <c r="B1040" s="41" t="s">
        <v>1056</v>
      </c>
      <c r="C1040" s="41">
        <v>2551</v>
      </c>
      <c r="D1040"/>
      <c r="E1040"/>
      <c r="F1040"/>
    </row>
    <row r="1041" spans="1:6" x14ac:dyDescent="0.3">
      <c r="A1041" s="40"/>
      <c r="B1041" s="41" t="s">
        <v>1057</v>
      </c>
      <c r="C1041" s="41">
        <v>2552</v>
      </c>
      <c r="D1041"/>
      <c r="E1041"/>
      <c r="F1041"/>
    </row>
    <row r="1042" spans="1:6" x14ac:dyDescent="0.3">
      <c r="A1042" s="40"/>
      <c r="B1042" s="41" t="s">
        <v>1058</v>
      </c>
      <c r="C1042" s="41">
        <v>2553</v>
      </c>
      <c r="D1042"/>
      <c r="E1042"/>
      <c r="F1042"/>
    </row>
    <row r="1043" spans="1:6" x14ac:dyDescent="0.3">
      <c r="A1043" s="40" t="s">
        <v>1059</v>
      </c>
      <c r="B1043" s="41"/>
      <c r="C1043" s="41"/>
      <c r="D1043"/>
      <c r="E1043"/>
      <c r="F1043"/>
    </row>
    <row r="1044" spans="1:6" x14ac:dyDescent="0.3">
      <c r="A1044" s="40"/>
      <c r="B1044" s="41" t="s">
        <v>1060</v>
      </c>
      <c r="C1044" s="41">
        <v>2957</v>
      </c>
      <c r="D1044"/>
      <c r="E1044"/>
      <c r="F1044"/>
    </row>
    <row r="1045" spans="1:6" x14ac:dyDescent="0.3">
      <c r="A1045" s="40"/>
      <c r="B1045" s="41" t="s">
        <v>1061</v>
      </c>
      <c r="C1045" s="41">
        <v>1034</v>
      </c>
      <c r="D1045"/>
      <c r="E1045"/>
      <c r="F1045"/>
    </row>
    <row r="1046" spans="1:6" x14ac:dyDescent="0.3">
      <c r="A1046" s="40"/>
      <c r="B1046" s="41" t="s">
        <v>1062</v>
      </c>
      <c r="C1046" s="41">
        <v>1035</v>
      </c>
      <c r="D1046"/>
      <c r="E1046"/>
      <c r="F1046"/>
    </row>
    <row r="1047" spans="1:6" x14ac:dyDescent="0.3">
      <c r="A1047" s="40"/>
      <c r="B1047" s="41" t="s">
        <v>1063</v>
      </c>
      <c r="C1047" s="41">
        <v>1036</v>
      </c>
      <c r="D1047"/>
      <c r="E1047"/>
      <c r="F1047"/>
    </row>
    <row r="1048" spans="1:6" x14ac:dyDescent="0.3">
      <c r="A1048" s="40"/>
      <c r="B1048" s="41" t="s">
        <v>1064</v>
      </c>
      <c r="C1048" s="41">
        <v>686</v>
      </c>
      <c r="D1048"/>
      <c r="E1048"/>
      <c r="F1048"/>
    </row>
    <row r="1049" spans="1:6" x14ac:dyDescent="0.3">
      <c r="A1049" s="40"/>
      <c r="B1049" s="41" t="s">
        <v>1065</v>
      </c>
      <c r="C1049" s="41">
        <v>1032</v>
      </c>
      <c r="D1049"/>
      <c r="E1049"/>
      <c r="F1049"/>
    </row>
    <row r="1050" spans="1:6" x14ac:dyDescent="0.3">
      <c r="A1050" s="40"/>
      <c r="B1050" s="41" t="s">
        <v>1066</v>
      </c>
      <c r="C1050" s="41">
        <v>984</v>
      </c>
      <c r="D1050"/>
      <c r="E1050"/>
      <c r="F1050"/>
    </row>
    <row r="1051" spans="1:6" x14ac:dyDescent="0.3">
      <c r="A1051" s="40"/>
      <c r="B1051" s="41" t="s">
        <v>1067</v>
      </c>
      <c r="C1051" s="41">
        <v>981</v>
      </c>
      <c r="D1051"/>
      <c r="E1051"/>
      <c r="F1051"/>
    </row>
    <row r="1052" spans="1:6" x14ac:dyDescent="0.3">
      <c r="A1052" s="40"/>
      <c r="B1052" s="41" t="s">
        <v>1068</v>
      </c>
      <c r="C1052" s="41">
        <v>1033</v>
      </c>
      <c r="D1052"/>
      <c r="E1052"/>
      <c r="F1052"/>
    </row>
    <row r="1053" spans="1:6" x14ac:dyDescent="0.3">
      <c r="A1053" s="40"/>
      <c r="B1053" s="41" t="s">
        <v>163</v>
      </c>
      <c r="C1053" s="41">
        <v>480</v>
      </c>
      <c r="D1053"/>
      <c r="E1053"/>
      <c r="F1053"/>
    </row>
    <row r="1054" spans="1:6" x14ac:dyDescent="0.3">
      <c r="A1054" s="40"/>
      <c r="B1054" s="41" t="s">
        <v>1069</v>
      </c>
      <c r="C1054" s="41">
        <v>685</v>
      </c>
      <c r="D1054"/>
      <c r="E1054"/>
      <c r="F1054"/>
    </row>
    <row r="1055" spans="1:6" x14ac:dyDescent="0.3">
      <c r="A1055" s="40"/>
      <c r="B1055" s="41" t="s">
        <v>1070</v>
      </c>
      <c r="C1055" s="41">
        <v>1350</v>
      </c>
      <c r="D1055"/>
      <c r="E1055"/>
      <c r="F1055"/>
    </row>
    <row r="1056" spans="1:6" x14ac:dyDescent="0.3">
      <c r="A1056" s="40"/>
      <c r="B1056" s="41" t="s">
        <v>1071</v>
      </c>
      <c r="C1056" s="41">
        <v>2896</v>
      </c>
      <c r="D1056"/>
      <c r="E1056"/>
      <c r="F1056"/>
    </row>
    <row r="1057" spans="1:6" x14ac:dyDescent="0.3">
      <c r="A1057" s="40"/>
      <c r="B1057" s="41" t="s">
        <v>1072</v>
      </c>
      <c r="C1057" s="41">
        <v>1030</v>
      </c>
      <c r="D1057"/>
      <c r="E1057"/>
      <c r="F1057"/>
    </row>
    <row r="1058" spans="1:6" x14ac:dyDescent="0.3">
      <c r="A1058" s="40"/>
      <c r="B1058" s="41" t="s">
        <v>1073</v>
      </c>
      <c r="C1058" s="41">
        <v>979</v>
      </c>
      <c r="D1058"/>
      <c r="E1058"/>
      <c r="F1058"/>
    </row>
    <row r="1059" spans="1:6" x14ac:dyDescent="0.3">
      <c r="A1059" s="40"/>
      <c r="B1059" s="41" t="s">
        <v>1074</v>
      </c>
      <c r="C1059" s="41">
        <v>980</v>
      </c>
      <c r="D1059"/>
      <c r="E1059"/>
      <c r="F1059"/>
    </row>
    <row r="1060" spans="1:6" x14ac:dyDescent="0.3">
      <c r="A1060" s="40"/>
      <c r="B1060" s="41" t="s">
        <v>1075</v>
      </c>
      <c r="C1060" s="41">
        <v>982</v>
      </c>
      <c r="D1060"/>
      <c r="E1060"/>
      <c r="F1060"/>
    </row>
    <row r="1061" spans="1:6" x14ac:dyDescent="0.3">
      <c r="A1061" s="40"/>
      <c r="B1061" s="41" t="s">
        <v>1076</v>
      </c>
      <c r="C1061" s="41">
        <v>983</v>
      </c>
      <c r="D1061"/>
      <c r="E1061"/>
      <c r="F1061"/>
    </row>
    <row r="1062" spans="1:6" x14ac:dyDescent="0.3">
      <c r="A1062" s="40"/>
      <c r="B1062" s="41" t="s">
        <v>1077</v>
      </c>
      <c r="C1062" s="41">
        <v>1031</v>
      </c>
      <c r="D1062"/>
      <c r="E1062"/>
      <c r="F1062"/>
    </row>
    <row r="1063" spans="1:6" x14ac:dyDescent="0.3">
      <c r="A1063" s="40"/>
      <c r="B1063" s="41" t="s">
        <v>1078</v>
      </c>
      <c r="C1063" s="41">
        <v>1366</v>
      </c>
      <c r="D1063"/>
      <c r="E1063"/>
      <c r="F1063"/>
    </row>
    <row r="1064" spans="1:6" x14ac:dyDescent="0.3">
      <c r="A1064" s="40" t="s">
        <v>1079</v>
      </c>
      <c r="B1064" s="41"/>
      <c r="C1064" s="41"/>
      <c r="D1064"/>
      <c r="E1064"/>
      <c r="F1064"/>
    </row>
    <row r="1065" spans="1:6" x14ac:dyDescent="0.3">
      <c r="A1065" s="40"/>
      <c r="B1065" s="41" t="s">
        <v>120</v>
      </c>
      <c r="C1065" s="41">
        <v>1279</v>
      </c>
      <c r="D1065"/>
      <c r="E1065"/>
      <c r="F1065"/>
    </row>
    <row r="1066" spans="1:6" x14ac:dyDescent="0.3">
      <c r="A1066" s="40"/>
      <c r="B1066" s="41" t="s">
        <v>124</v>
      </c>
      <c r="C1066" s="41">
        <v>2694</v>
      </c>
      <c r="D1066"/>
      <c r="E1066"/>
      <c r="F1066"/>
    </row>
    <row r="1067" spans="1:6" x14ac:dyDescent="0.3">
      <c r="A1067" s="40"/>
      <c r="B1067" s="41" t="s">
        <v>1080</v>
      </c>
      <c r="C1067" s="41">
        <v>628</v>
      </c>
      <c r="D1067"/>
      <c r="E1067"/>
      <c r="F1067"/>
    </row>
    <row r="1068" spans="1:6" x14ac:dyDescent="0.3">
      <c r="A1068" s="40"/>
      <c r="B1068" s="41" t="s">
        <v>1081</v>
      </c>
      <c r="C1068" s="41">
        <v>1717</v>
      </c>
      <c r="D1068"/>
      <c r="E1068"/>
      <c r="F1068"/>
    </row>
    <row r="1069" spans="1:6" x14ac:dyDescent="0.3">
      <c r="A1069" s="40"/>
      <c r="B1069" s="41" t="s">
        <v>1082</v>
      </c>
      <c r="C1069" s="41">
        <v>1284</v>
      </c>
      <c r="D1069"/>
      <c r="E1069"/>
      <c r="F1069"/>
    </row>
    <row r="1070" spans="1:6" x14ac:dyDescent="0.3">
      <c r="A1070" s="40"/>
      <c r="B1070" s="41" t="s">
        <v>147</v>
      </c>
      <c r="C1070" s="41">
        <v>1282</v>
      </c>
      <c r="D1070"/>
      <c r="E1070"/>
      <c r="F1070"/>
    </row>
    <row r="1071" spans="1:6" x14ac:dyDescent="0.3">
      <c r="A1071" s="40"/>
      <c r="B1071" s="41" t="s">
        <v>157</v>
      </c>
      <c r="C1071" s="41">
        <v>1280</v>
      </c>
      <c r="D1071"/>
      <c r="E1071"/>
      <c r="F1071"/>
    </row>
    <row r="1072" spans="1:6" x14ac:dyDescent="0.3">
      <c r="A1072" s="40"/>
      <c r="B1072" s="41" t="s">
        <v>1083</v>
      </c>
      <c r="C1072" s="41">
        <v>1281</v>
      </c>
      <c r="D1072"/>
      <c r="E1072"/>
      <c r="F1072"/>
    </row>
    <row r="1073" spans="1:6" x14ac:dyDescent="0.3">
      <c r="A1073" s="40"/>
      <c r="B1073" s="41" t="s">
        <v>1084</v>
      </c>
      <c r="C1073" s="41">
        <v>733</v>
      </c>
      <c r="D1073"/>
      <c r="E1073"/>
      <c r="F1073"/>
    </row>
    <row r="1074" spans="1:6" x14ac:dyDescent="0.3">
      <c r="A1074" s="40"/>
      <c r="B1074" s="41" t="s">
        <v>1085</v>
      </c>
      <c r="C1074" s="41">
        <v>1287</v>
      </c>
      <c r="D1074"/>
      <c r="E1074"/>
      <c r="F1074"/>
    </row>
    <row r="1075" spans="1:6" x14ac:dyDescent="0.3">
      <c r="A1075" s="40"/>
      <c r="B1075" s="41" t="s">
        <v>1086</v>
      </c>
      <c r="C1075" s="41">
        <v>627</v>
      </c>
      <c r="D1075"/>
      <c r="E1075"/>
      <c r="F1075"/>
    </row>
    <row r="1076" spans="1:6" x14ac:dyDescent="0.3">
      <c r="A1076" s="40"/>
      <c r="B1076" s="41" t="s">
        <v>1087</v>
      </c>
      <c r="C1076" s="41">
        <v>1970</v>
      </c>
      <c r="D1076"/>
      <c r="E1076"/>
      <c r="F1076"/>
    </row>
    <row r="1077" spans="1:6" x14ac:dyDescent="0.3">
      <c r="A1077" s="40"/>
      <c r="B1077" s="41" t="s">
        <v>1088</v>
      </c>
      <c r="C1077" s="41">
        <v>1288</v>
      </c>
      <c r="D1077"/>
      <c r="E1077"/>
      <c r="F1077"/>
    </row>
    <row r="1078" spans="1:6" x14ac:dyDescent="0.3">
      <c r="A1078" s="40"/>
      <c r="B1078" s="41" t="s">
        <v>1089</v>
      </c>
      <c r="C1078" s="41">
        <v>15</v>
      </c>
      <c r="D1078"/>
      <c r="E1078"/>
      <c r="F1078"/>
    </row>
    <row r="1079" spans="1:6" x14ac:dyDescent="0.3">
      <c r="A1079" s="40" t="s">
        <v>1090</v>
      </c>
      <c r="B1079" s="41"/>
      <c r="C1079" s="41"/>
      <c r="D1079"/>
      <c r="E1079"/>
      <c r="F1079"/>
    </row>
    <row r="1080" spans="1:6" x14ac:dyDescent="0.3">
      <c r="A1080" s="40"/>
      <c r="B1080" s="41" t="s">
        <v>1091</v>
      </c>
      <c r="C1080" s="41">
        <v>803</v>
      </c>
      <c r="D1080"/>
      <c r="E1080"/>
      <c r="F1080"/>
    </row>
    <row r="1081" spans="1:6" x14ac:dyDescent="0.3">
      <c r="A1081" s="40"/>
      <c r="B1081" s="41" t="s">
        <v>1092</v>
      </c>
      <c r="C1081" s="41">
        <v>834</v>
      </c>
      <c r="D1081"/>
      <c r="E1081"/>
      <c r="F1081"/>
    </row>
    <row r="1082" spans="1:6" x14ac:dyDescent="0.3">
      <c r="A1082" s="40"/>
      <c r="B1082" s="41" t="s">
        <v>1093</v>
      </c>
      <c r="C1082" s="41">
        <v>985</v>
      </c>
      <c r="D1082"/>
      <c r="E1082"/>
      <c r="F1082"/>
    </row>
    <row r="1083" spans="1:6" x14ac:dyDescent="0.3">
      <c r="A1083" s="40"/>
      <c r="B1083" s="41" t="s">
        <v>1094</v>
      </c>
      <c r="C1083" s="41">
        <v>986</v>
      </c>
      <c r="D1083"/>
      <c r="E1083"/>
      <c r="F1083"/>
    </row>
    <row r="1084" spans="1:6" x14ac:dyDescent="0.3">
      <c r="A1084" s="40"/>
      <c r="B1084" s="41" t="s">
        <v>1095</v>
      </c>
      <c r="C1084" s="41">
        <v>987</v>
      </c>
      <c r="D1084"/>
      <c r="E1084"/>
      <c r="F1084"/>
    </row>
    <row r="1085" spans="1:6" x14ac:dyDescent="0.3">
      <c r="A1085" s="40"/>
      <c r="B1085" s="41" t="s">
        <v>1096</v>
      </c>
      <c r="C1085" s="41">
        <v>988</v>
      </c>
      <c r="D1085"/>
      <c r="E1085"/>
      <c r="F1085"/>
    </row>
    <row r="1086" spans="1:6" x14ac:dyDescent="0.3">
      <c r="A1086" s="40"/>
      <c r="B1086" s="41" t="s">
        <v>1097</v>
      </c>
      <c r="C1086" s="41">
        <v>989</v>
      </c>
      <c r="D1086"/>
      <c r="E1086"/>
      <c r="F1086"/>
    </row>
    <row r="1087" spans="1:6" x14ac:dyDescent="0.3">
      <c r="A1087" s="40"/>
      <c r="B1087" s="41" t="s">
        <v>1098</v>
      </c>
      <c r="C1087" s="41">
        <v>2775</v>
      </c>
      <c r="D1087"/>
      <c r="E1087"/>
      <c r="F1087"/>
    </row>
    <row r="1088" spans="1:6" x14ac:dyDescent="0.3">
      <c r="A1088" s="40"/>
      <c r="B1088" s="41" t="s">
        <v>1099</v>
      </c>
      <c r="C1088" s="41">
        <v>990</v>
      </c>
      <c r="D1088"/>
      <c r="E1088"/>
      <c r="F1088"/>
    </row>
    <row r="1089" spans="1:6" x14ac:dyDescent="0.3">
      <c r="A1089" s="40"/>
      <c r="B1089" s="41" t="s">
        <v>1100</v>
      </c>
      <c r="C1089" s="41">
        <v>991</v>
      </c>
      <c r="D1089"/>
      <c r="E1089"/>
      <c r="F1089"/>
    </row>
    <row r="1090" spans="1:6" x14ac:dyDescent="0.3">
      <c r="A1090" s="40"/>
      <c r="B1090" s="41" t="s">
        <v>1101</v>
      </c>
      <c r="C1090" s="41">
        <v>992</v>
      </c>
      <c r="D1090"/>
      <c r="E1090"/>
      <c r="F1090"/>
    </row>
    <row r="1091" spans="1:6" x14ac:dyDescent="0.3">
      <c r="A1091" s="40"/>
      <c r="B1091" s="41" t="s">
        <v>1102</v>
      </c>
      <c r="C1091" s="41">
        <v>993</v>
      </c>
      <c r="D1091"/>
      <c r="E1091"/>
      <c r="F1091"/>
    </row>
    <row r="1092" spans="1:6" x14ac:dyDescent="0.3">
      <c r="A1092" s="40"/>
      <c r="B1092" s="41" t="s">
        <v>1103</v>
      </c>
      <c r="C1092" s="41">
        <v>994</v>
      </c>
      <c r="D1092"/>
      <c r="E1092"/>
      <c r="F1092"/>
    </row>
    <row r="1093" spans="1:6" x14ac:dyDescent="0.3">
      <c r="A1093" s="40"/>
      <c r="B1093" s="41" t="s">
        <v>1104</v>
      </c>
      <c r="C1093" s="41">
        <v>995</v>
      </c>
      <c r="D1093"/>
      <c r="E1093"/>
      <c r="F1093"/>
    </row>
    <row r="1094" spans="1:6" x14ac:dyDescent="0.3">
      <c r="A1094" s="40"/>
      <c r="B1094" s="41" t="s">
        <v>1105</v>
      </c>
      <c r="C1094" s="41">
        <v>996</v>
      </c>
      <c r="D1094"/>
      <c r="E1094"/>
      <c r="F1094"/>
    </row>
    <row r="1095" spans="1:6" x14ac:dyDescent="0.3">
      <c r="A1095" s="40"/>
      <c r="B1095" s="41" t="s">
        <v>1106</v>
      </c>
      <c r="C1095" s="41">
        <v>997</v>
      </c>
      <c r="D1095"/>
      <c r="E1095"/>
      <c r="F1095"/>
    </row>
    <row r="1096" spans="1:6" x14ac:dyDescent="0.3">
      <c r="A1096" s="40"/>
      <c r="B1096" s="41" t="s">
        <v>1107</v>
      </c>
      <c r="C1096" s="41">
        <v>998</v>
      </c>
      <c r="D1096"/>
      <c r="E1096"/>
      <c r="F1096"/>
    </row>
    <row r="1097" spans="1:6" x14ac:dyDescent="0.3">
      <c r="A1097" s="40"/>
      <c r="B1097" s="41" t="s">
        <v>1108</v>
      </c>
      <c r="C1097" s="41">
        <v>999</v>
      </c>
      <c r="D1097"/>
      <c r="E1097"/>
      <c r="F1097"/>
    </row>
    <row r="1098" spans="1:6" x14ac:dyDescent="0.3">
      <c r="A1098" s="40"/>
      <c r="B1098" s="41" t="s">
        <v>1109</v>
      </c>
      <c r="C1098" s="41">
        <v>1000</v>
      </c>
      <c r="D1098"/>
      <c r="E1098"/>
      <c r="F1098"/>
    </row>
    <row r="1099" spans="1:6" x14ac:dyDescent="0.3">
      <c r="A1099" s="40"/>
      <c r="B1099" s="41" t="s">
        <v>1110</v>
      </c>
      <c r="C1099" s="41">
        <v>1962</v>
      </c>
      <c r="D1099"/>
      <c r="E1099"/>
      <c r="F1099"/>
    </row>
    <row r="1100" spans="1:6" x14ac:dyDescent="0.3">
      <c r="A1100" s="40"/>
      <c r="B1100" s="41" t="s">
        <v>1111</v>
      </c>
      <c r="C1100" s="41">
        <v>1237</v>
      </c>
      <c r="D1100"/>
      <c r="E1100"/>
      <c r="F1100"/>
    </row>
    <row r="1101" spans="1:6" x14ac:dyDescent="0.3">
      <c r="A1101" s="40"/>
      <c r="B1101" s="41" t="s">
        <v>1112</v>
      </c>
      <c r="C1101" s="41">
        <v>1238</v>
      </c>
      <c r="D1101"/>
      <c r="E1101"/>
      <c r="F1101"/>
    </row>
    <row r="1102" spans="1:6" x14ac:dyDescent="0.3">
      <c r="A1102" s="40"/>
      <c r="B1102" s="41" t="s">
        <v>1113</v>
      </c>
      <c r="C1102" s="41">
        <v>1926</v>
      </c>
      <c r="D1102"/>
      <c r="E1102"/>
      <c r="F1102"/>
    </row>
    <row r="1103" spans="1:6" x14ac:dyDescent="0.3">
      <c r="A1103" s="40"/>
      <c r="B1103" s="41" t="s">
        <v>1114</v>
      </c>
      <c r="C1103" s="41">
        <v>1233</v>
      </c>
      <c r="D1103"/>
      <c r="E1103"/>
      <c r="F1103"/>
    </row>
    <row r="1104" spans="1:6" x14ac:dyDescent="0.3">
      <c r="A1104" s="40"/>
      <c r="B1104" s="41" t="s">
        <v>1115</v>
      </c>
      <c r="C1104" s="41">
        <v>1925</v>
      </c>
      <c r="D1104"/>
      <c r="E1104"/>
      <c r="F1104"/>
    </row>
    <row r="1105" spans="1:6" x14ac:dyDescent="0.3">
      <c r="A1105" s="40"/>
      <c r="B1105" s="41" t="s">
        <v>1116</v>
      </c>
      <c r="C1105" s="41">
        <v>1235</v>
      </c>
      <c r="D1105"/>
      <c r="E1105"/>
      <c r="F1105"/>
    </row>
    <row r="1106" spans="1:6" x14ac:dyDescent="0.3">
      <c r="A1106" s="40"/>
      <c r="B1106" s="41" t="s">
        <v>1117</v>
      </c>
      <c r="C1106" s="41">
        <v>1236</v>
      </c>
      <c r="D1106"/>
      <c r="E1106"/>
      <c r="F1106"/>
    </row>
    <row r="1107" spans="1:6" x14ac:dyDescent="0.3">
      <c r="A1107" s="40"/>
      <c r="B1107" s="41" t="s">
        <v>1118</v>
      </c>
      <c r="C1107" s="41">
        <v>1234</v>
      </c>
      <c r="D1107"/>
      <c r="E1107"/>
      <c r="F1107"/>
    </row>
    <row r="1108" spans="1:6" x14ac:dyDescent="0.3">
      <c r="A1108" s="40"/>
      <c r="B1108" s="41" t="s">
        <v>1119</v>
      </c>
      <c r="C1108" s="41">
        <v>2604</v>
      </c>
      <c r="D1108"/>
      <c r="E1108"/>
      <c r="F1108"/>
    </row>
    <row r="1109" spans="1:6" x14ac:dyDescent="0.3">
      <c r="A1109" s="40" t="s">
        <v>1120</v>
      </c>
      <c r="B1109" s="41"/>
      <c r="C1109" s="41"/>
      <c r="D1109"/>
      <c r="E1109"/>
      <c r="F1109"/>
    </row>
    <row r="1110" spans="1:6" x14ac:dyDescent="0.3">
      <c r="A1110" s="40"/>
      <c r="B1110" s="41" t="s">
        <v>1121</v>
      </c>
      <c r="C1110" s="41">
        <v>2481</v>
      </c>
      <c r="D1110"/>
      <c r="E1110"/>
      <c r="F1110"/>
    </row>
    <row r="1111" spans="1:6" x14ac:dyDescent="0.3">
      <c r="A1111" s="40"/>
      <c r="B1111" s="41" t="s">
        <v>1122</v>
      </c>
      <c r="C1111" s="41">
        <v>2482</v>
      </c>
      <c r="D1111"/>
      <c r="E1111"/>
      <c r="F1111"/>
    </row>
    <row r="1112" spans="1:6" x14ac:dyDescent="0.3">
      <c r="A1112" s="40"/>
      <c r="B1112" s="41" t="s">
        <v>1123</v>
      </c>
      <c r="C1112" s="41">
        <v>2483</v>
      </c>
      <c r="D1112"/>
      <c r="E1112"/>
      <c r="F1112"/>
    </row>
    <row r="1113" spans="1:6" x14ac:dyDescent="0.3">
      <c r="A1113" s="40"/>
      <c r="B1113" s="41" t="s">
        <v>1124</v>
      </c>
      <c r="C1113" s="41">
        <v>2484</v>
      </c>
      <c r="D1113"/>
      <c r="E1113"/>
      <c r="F1113"/>
    </row>
    <row r="1114" spans="1:6" x14ac:dyDescent="0.3">
      <c r="A1114" s="40"/>
      <c r="B1114" s="41" t="s">
        <v>1125</v>
      </c>
      <c r="C1114" s="41">
        <v>2485</v>
      </c>
      <c r="D1114"/>
      <c r="E1114"/>
      <c r="F1114"/>
    </row>
    <row r="1115" spans="1:6" x14ac:dyDescent="0.3">
      <c r="A1115" s="40"/>
      <c r="B1115" s="41" t="s">
        <v>1126</v>
      </c>
      <c r="C1115" s="41">
        <v>2486</v>
      </c>
      <c r="D1115"/>
      <c r="E1115"/>
      <c r="F1115"/>
    </row>
    <row r="1116" spans="1:6" x14ac:dyDescent="0.3">
      <c r="A1116" s="40"/>
      <c r="B1116" s="41" t="s">
        <v>1127</v>
      </c>
      <c r="C1116" s="41">
        <v>2487</v>
      </c>
      <c r="D1116"/>
      <c r="E1116"/>
      <c r="F1116"/>
    </row>
    <row r="1117" spans="1:6" x14ac:dyDescent="0.3">
      <c r="A1117" s="40"/>
      <c r="B1117" s="41" t="s">
        <v>1128</v>
      </c>
      <c r="C1117" s="41">
        <v>2679</v>
      </c>
      <c r="D1117"/>
      <c r="E1117"/>
      <c r="F1117"/>
    </row>
    <row r="1118" spans="1:6" x14ac:dyDescent="0.3">
      <c r="A1118" s="40"/>
      <c r="B1118" s="41" t="s">
        <v>1129</v>
      </c>
      <c r="C1118" s="41">
        <v>2677</v>
      </c>
      <c r="D1118"/>
      <c r="E1118"/>
      <c r="F1118"/>
    </row>
    <row r="1119" spans="1:6" x14ac:dyDescent="0.3">
      <c r="A1119" s="40"/>
      <c r="B1119" s="41" t="s">
        <v>1130</v>
      </c>
      <c r="C1119" s="41">
        <v>2488</v>
      </c>
      <c r="D1119"/>
      <c r="E1119"/>
      <c r="F1119"/>
    </row>
    <row r="1120" spans="1:6" x14ac:dyDescent="0.3">
      <c r="A1120" s="40"/>
      <c r="B1120" s="41" t="s">
        <v>1131</v>
      </c>
      <c r="C1120" s="41">
        <v>2489</v>
      </c>
      <c r="D1120"/>
      <c r="E1120"/>
      <c r="F1120"/>
    </row>
    <row r="1121" spans="1:6" x14ac:dyDescent="0.3">
      <c r="A1121" s="40"/>
      <c r="B1121" s="41" t="s">
        <v>1132</v>
      </c>
      <c r="C1121" s="41">
        <v>2678</v>
      </c>
      <c r="D1121"/>
      <c r="E1121"/>
      <c r="F1121"/>
    </row>
    <row r="1122" spans="1:6" x14ac:dyDescent="0.3">
      <c r="A1122" s="40"/>
      <c r="B1122" s="41" t="s">
        <v>1133</v>
      </c>
      <c r="C1122" s="41">
        <v>659</v>
      </c>
      <c r="D1122"/>
      <c r="E1122"/>
      <c r="F1122"/>
    </row>
    <row r="1123" spans="1:6" x14ac:dyDescent="0.3">
      <c r="A1123" s="40"/>
      <c r="B1123" s="41" t="s">
        <v>1134</v>
      </c>
      <c r="C1123" s="41">
        <v>2467</v>
      </c>
      <c r="D1123"/>
      <c r="E1123"/>
      <c r="F1123"/>
    </row>
    <row r="1124" spans="1:6" x14ac:dyDescent="0.3">
      <c r="A1124" s="40"/>
      <c r="B1124" s="41" t="s">
        <v>1135</v>
      </c>
      <c r="C1124" s="41">
        <v>2468</v>
      </c>
      <c r="D1124"/>
      <c r="E1124"/>
      <c r="F1124"/>
    </row>
    <row r="1125" spans="1:6" x14ac:dyDescent="0.3">
      <c r="A1125" s="40"/>
      <c r="B1125" s="41" t="s">
        <v>1136</v>
      </c>
      <c r="C1125" s="41">
        <v>2469</v>
      </c>
      <c r="D1125"/>
      <c r="E1125"/>
      <c r="F1125"/>
    </row>
    <row r="1126" spans="1:6" x14ac:dyDescent="0.3">
      <c r="A1126" s="40"/>
      <c r="B1126" s="41" t="s">
        <v>1137</v>
      </c>
      <c r="C1126" s="41">
        <v>2470</v>
      </c>
      <c r="D1126"/>
      <c r="E1126"/>
      <c r="F1126"/>
    </row>
    <row r="1127" spans="1:6" x14ac:dyDescent="0.3">
      <c r="A1127" s="40"/>
      <c r="B1127" s="41" t="s">
        <v>1138</v>
      </c>
      <c r="C1127" s="41">
        <v>2471</v>
      </c>
      <c r="D1127"/>
      <c r="E1127"/>
      <c r="F1127"/>
    </row>
    <row r="1128" spans="1:6" x14ac:dyDescent="0.3">
      <c r="A1128" s="40"/>
      <c r="B1128" s="41" t="s">
        <v>1139</v>
      </c>
      <c r="C1128" s="41">
        <v>2472</v>
      </c>
      <c r="D1128"/>
      <c r="E1128"/>
      <c r="F1128"/>
    </row>
    <row r="1129" spans="1:6" x14ac:dyDescent="0.3">
      <c r="A1129" s="40"/>
      <c r="B1129" s="41" t="s">
        <v>1140</v>
      </c>
      <c r="C1129" s="41">
        <v>2473</v>
      </c>
      <c r="D1129"/>
      <c r="E1129"/>
      <c r="F1129"/>
    </row>
    <row r="1130" spans="1:6" x14ac:dyDescent="0.3">
      <c r="A1130" s="40"/>
      <c r="B1130" s="41" t="s">
        <v>1141</v>
      </c>
      <c r="C1130" s="41">
        <v>2474</v>
      </c>
      <c r="D1130"/>
      <c r="E1130"/>
      <c r="F1130"/>
    </row>
    <row r="1131" spans="1:6" x14ac:dyDescent="0.3">
      <c r="A1131" s="40"/>
      <c r="B1131" s="41" t="s">
        <v>1142</v>
      </c>
      <c r="C1131" s="41">
        <v>2916</v>
      </c>
      <c r="D1131"/>
      <c r="E1131"/>
      <c r="F1131"/>
    </row>
    <row r="1132" spans="1:6" x14ac:dyDescent="0.3">
      <c r="A1132" s="40"/>
      <c r="B1132" s="41" t="s">
        <v>1143</v>
      </c>
      <c r="C1132" s="41">
        <v>2475</v>
      </c>
      <c r="D1132"/>
      <c r="E1132"/>
      <c r="F1132"/>
    </row>
    <row r="1133" spans="1:6" x14ac:dyDescent="0.3">
      <c r="A1133" s="40"/>
      <c r="B1133" s="41" t="s">
        <v>1144</v>
      </c>
      <c r="C1133" s="41">
        <v>2476</v>
      </c>
      <c r="D1133"/>
      <c r="E1133"/>
      <c r="F1133"/>
    </row>
    <row r="1134" spans="1:6" x14ac:dyDescent="0.3">
      <c r="A1134" s="40"/>
      <c r="B1134" s="41" t="s">
        <v>1145</v>
      </c>
      <c r="C1134" s="41">
        <v>2477</v>
      </c>
      <c r="D1134"/>
      <c r="E1134"/>
      <c r="F1134"/>
    </row>
    <row r="1135" spans="1:6" x14ac:dyDescent="0.3">
      <c r="A1135" s="40"/>
      <c r="B1135" s="41" t="s">
        <v>1146</v>
      </c>
      <c r="C1135" s="41">
        <v>2478</v>
      </c>
      <c r="D1135"/>
      <c r="E1135"/>
      <c r="F1135"/>
    </row>
    <row r="1136" spans="1:6" x14ac:dyDescent="0.3">
      <c r="A1136" s="40"/>
      <c r="B1136" s="41" t="s">
        <v>1147</v>
      </c>
      <c r="C1136" s="41">
        <v>2479</v>
      </c>
      <c r="D1136"/>
      <c r="E1136"/>
      <c r="F1136"/>
    </row>
    <row r="1137" spans="1:6" x14ac:dyDescent="0.3">
      <c r="A1137" s="40"/>
      <c r="B1137" s="41" t="s">
        <v>1148</v>
      </c>
      <c r="C1137" s="41">
        <v>2480</v>
      </c>
      <c r="D1137"/>
      <c r="E1137"/>
      <c r="F1137"/>
    </row>
    <row r="1138" spans="1:6" x14ac:dyDescent="0.3">
      <c r="A1138" s="40"/>
      <c r="B1138" s="41" t="s">
        <v>1149</v>
      </c>
      <c r="C1138" s="41">
        <v>2917</v>
      </c>
      <c r="D1138"/>
      <c r="E1138"/>
      <c r="F1138"/>
    </row>
    <row r="1139" spans="1:6" x14ac:dyDescent="0.3">
      <c r="A1139" s="40"/>
      <c r="B1139" s="41" t="s">
        <v>1150</v>
      </c>
      <c r="C1139" s="41">
        <v>2512</v>
      </c>
      <c r="D1139"/>
      <c r="E1139"/>
      <c r="F1139"/>
    </row>
    <row r="1140" spans="1:6" x14ac:dyDescent="0.3">
      <c r="A1140" s="40"/>
      <c r="B1140" s="41" t="s">
        <v>1151</v>
      </c>
      <c r="C1140" s="41">
        <v>809</v>
      </c>
      <c r="D1140"/>
      <c r="E1140"/>
      <c r="F1140"/>
    </row>
    <row r="1141" spans="1:6" x14ac:dyDescent="0.3">
      <c r="A1141" s="40"/>
      <c r="B1141" s="41" t="s">
        <v>1152</v>
      </c>
      <c r="C1141" s="41">
        <v>657</v>
      </c>
      <c r="D1141"/>
      <c r="E1141"/>
      <c r="F1141"/>
    </row>
    <row r="1142" spans="1:6" x14ac:dyDescent="0.3">
      <c r="A1142" s="40"/>
      <c r="B1142" s="41" t="s">
        <v>1153</v>
      </c>
      <c r="C1142" s="41">
        <v>658</v>
      </c>
      <c r="D1142"/>
      <c r="E1142"/>
      <c r="F1142"/>
    </row>
    <row r="1143" spans="1:6" x14ac:dyDescent="0.3">
      <c r="A1143" s="40"/>
      <c r="B1143" s="41" t="s">
        <v>1154</v>
      </c>
      <c r="C1143" s="41">
        <v>2621</v>
      </c>
      <c r="D1143"/>
      <c r="E1143"/>
      <c r="F1143"/>
    </row>
    <row r="1144" spans="1:6" x14ac:dyDescent="0.3">
      <c r="A1144" s="40"/>
      <c r="B1144" s="41" t="s">
        <v>1155</v>
      </c>
      <c r="C1144" s="41">
        <v>2490</v>
      </c>
      <c r="D1144"/>
      <c r="E1144"/>
      <c r="F1144"/>
    </row>
    <row r="1145" spans="1:6" x14ac:dyDescent="0.3">
      <c r="A1145" s="40"/>
      <c r="B1145" s="41" t="s">
        <v>1156</v>
      </c>
      <c r="C1145" s="41">
        <v>2861</v>
      </c>
      <c r="D1145"/>
      <c r="E1145"/>
      <c r="F1145"/>
    </row>
    <row r="1146" spans="1:6" x14ac:dyDescent="0.3">
      <c r="A1146" s="40"/>
      <c r="B1146" s="41" t="s">
        <v>1157</v>
      </c>
      <c r="C1146" s="41">
        <v>2491</v>
      </c>
      <c r="D1146"/>
      <c r="E1146"/>
      <c r="F1146"/>
    </row>
    <row r="1147" spans="1:6" x14ac:dyDescent="0.3">
      <c r="A1147" s="40"/>
      <c r="B1147" s="41" t="s">
        <v>1158</v>
      </c>
      <c r="C1147" s="41">
        <v>2493</v>
      </c>
      <c r="D1147"/>
      <c r="E1147"/>
      <c r="F1147"/>
    </row>
    <row r="1148" spans="1:6" x14ac:dyDescent="0.3">
      <c r="A1148" s="40"/>
      <c r="B1148" s="41" t="s">
        <v>1159</v>
      </c>
      <c r="C1148" s="41">
        <v>2494</v>
      </c>
      <c r="D1148"/>
      <c r="E1148"/>
      <c r="F1148"/>
    </row>
    <row r="1149" spans="1:6" x14ac:dyDescent="0.3">
      <c r="A1149" s="40"/>
      <c r="B1149" s="41" t="s">
        <v>1160</v>
      </c>
      <c r="C1149" s="41">
        <v>2538</v>
      </c>
      <c r="D1149"/>
      <c r="E1149"/>
      <c r="F1149"/>
    </row>
    <row r="1150" spans="1:6" x14ac:dyDescent="0.3">
      <c r="A1150" s="40"/>
      <c r="B1150" s="41" t="s">
        <v>1161</v>
      </c>
      <c r="C1150" s="41">
        <v>2495</v>
      </c>
      <c r="D1150"/>
      <c r="E1150"/>
      <c r="F1150"/>
    </row>
    <row r="1151" spans="1:6" x14ac:dyDescent="0.3">
      <c r="A1151" s="40"/>
      <c r="B1151" s="41" t="s">
        <v>1162</v>
      </c>
      <c r="C1151" s="41">
        <v>2496</v>
      </c>
      <c r="D1151"/>
      <c r="E1151"/>
      <c r="F1151"/>
    </row>
    <row r="1152" spans="1:6" x14ac:dyDescent="0.3">
      <c r="A1152" s="40"/>
      <c r="B1152" s="41" t="s">
        <v>1163</v>
      </c>
      <c r="C1152" s="41">
        <v>2497</v>
      </c>
      <c r="D1152"/>
      <c r="E1152"/>
      <c r="F1152"/>
    </row>
    <row r="1153" spans="1:6" x14ac:dyDescent="0.3">
      <c r="A1153" s="40"/>
      <c r="B1153" s="41" t="s">
        <v>1164</v>
      </c>
      <c r="C1153" s="41">
        <v>2498</v>
      </c>
      <c r="D1153"/>
      <c r="E1153"/>
      <c r="F1153"/>
    </row>
    <row r="1154" spans="1:6" x14ac:dyDescent="0.3">
      <c r="A1154" s="40"/>
      <c r="B1154" s="41" t="s">
        <v>1165</v>
      </c>
      <c r="C1154" s="41">
        <v>2858</v>
      </c>
      <c r="D1154"/>
      <c r="E1154"/>
      <c r="F1154"/>
    </row>
    <row r="1155" spans="1:6" x14ac:dyDescent="0.3">
      <c r="A1155" s="40"/>
      <c r="B1155" s="41" t="s">
        <v>1166</v>
      </c>
      <c r="C1155" s="41">
        <v>2938</v>
      </c>
    </row>
    <row r="1156" spans="1:6" x14ac:dyDescent="0.3">
      <c r="A1156" s="40"/>
      <c r="B1156" s="41" t="s">
        <v>1167</v>
      </c>
      <c r="C1156" s="41">
        <v>2499</v>
      </c>
    </row>
    <row r="1157" spans="1:6" x14ac:dyDescent="0.3">
      <c r="A1157" s="40"/>
      <c r="B1157" s="41" t="s">
        <v>1168</v>
      </c>
      <c r="C1157" s="41">
        <v>2500</v>
      </c>
    </row>
    <row r="1158" spans="1:6" x14ac:dyDescent="0.3">
      <c r="A1158" s="40"/>
      <c r="B1158" s="41" t="s">
        <v>1169</v>
      </c>
      <c r="C1158" s="41">
        <v>2501</v>
      </c>
    </row>
    <row r="1159" spans="1:6" x14ac:dyDescent="0.3">
      <c r="A1159" s="40"/>
      <c r="B1159" s="41" t="s">
        <v>1170</v>
      </c>
      <c r="C1159" s="41">
        <v>2502</v>
      </c>
    </row>
    <row r="1160" spans="1:6" x14ac:dyDescent="0.3">
      <c r="A1160" s="40"/>
      <c r="B1160" s="41" t="s">
        <v>1171</v>
      </c>
      <c r="C1160" s="41">
        <v>2564</v>
      </c>
    </row>
    <row r="1161" spans="1:6" x14ac:dyDescent="0.3">
      <c r="A1161" s="40"/>
      <c r="B1161" s="41" t="s">
        <v>1172</v>
      </c>
      <c r="C1161" s="41">
        <v>2860</v>
      </c>
    </row>
    <row r="1162" spans="1:6" x14ac:dyDescent="0.3">
      <c r="A1162" s="40"/>
      <c r="B1162" s="41" t="s">
        <v>1173</v>
      </c>
      <c r="C1162" s="41">
        <v>2578</v>
      </c>
    </row>
    <row r="1163" spans="1:6" x14ac:dyDescent="0.3">
      <c r="A1163" s="40"/>
      <c r="B1163" s="41" t="s">
        <v>1174</v>
      </c>
      <c r="C1163" s="41">
        <v>2647</v>
      </c>
    </row>
    <row r="1164" spans="1:6" x14ac:dyDescent="0.3">
      <c r="A1164" s="40"/>
      <c r="B1164" s="41" t="s">
        <v>1175</v>
      </c>
      <c r="C1164" s="41">
        <v>2503</v>
      </c>
    </row>
    <row r="1165" spans="1:6" x14ac:dyDescent="0.3">
      <c r="A1165" s="40"/>
      <c r="B1165" s="41" t="s">
        <v>1176</v>
      </c>
      <c r="C1165" s="41">
        <v>2504</v>
      </c>
    </row>
    <row r="1166" spans="1:6" x14ac:dyDescent="0.3">
      <c r="A1166" s="40"/>
      <c r="B1166" s="41" t="s">
        <v>1177</v>
      </c>
      <c r="C1166" s="41">
        <v>2505</v>
      </c>
    </row>
    <row r="1167" spans="1:6" x14ac:dyDescent="0.3">
      <c r="A1167" s="40"/>
      <c r="B1167" s="41" t="s">
        <v>1178</v>
      </c>
      <c r="C1167" s="41">
        <v>2506</v>
      </c>
    </row>
    <row r="1168" spans="1:6" x14ac:dyDescent="0.3">
      <c r="A1168" s="40"/>
      <c r="B1168" s="41" t="s">
        <v>1179</v>
      </c>
      <c r="C1168" s="41">
        <v>2507</v>
      </c>
    </row>
    <row r="1169" spans="1:3" x14ac:dyDescent="0.3">
      <c r="A1169" s="40"/>
      <c r="B1169" s="41" t="s">
        <v>1180</v>
      </c>
      <c r="C1169" s="41">
        <v>2579</v>
      </c>
    </row>
    <row r="1170" spans="1:3" x14ac:dyDescent="0.3">
      <c r="A1170" s="40"/>
      <c r="B1170" s="41" t="s">
        <v>1181</v>
      </c>
      <c r="C1170" s="41">
        <v>2862</v>
      </c>
    </row>
    <row r="1171" spans="1:3" x14ac:dyDescent="0.3">
      <c r="A1171" s="40"/>
      <c r="B1171" s="41" t="s">
        <v>1182</v>
      </c>
      <c r="C1171" s="41">
        <v>2508</v>
      </c>
    </row>
    <row r="1172" spans="1:3" x14ac:dyDescent="0.3">
      <c r="A1172" s="40"/>
      <c r="B1172" s="41" t="s">
        <v>1183</v>
      </c>
      <c r="C1172" s="41">
        <v>2859</v>
      </c>
    </row>
    <row r="1173" spans="1:3" x14ac:dyDescent="0.3">
      <c r="A1173" s="40"/>
      <c r="B1173" s="41" t="s">
        <v>1184</v>
      </c>
      <c r="C1173" s="41">
        <v>2509</v>
      </c>
    </row>
    <row r="1174" spans="1:3" x14ac:dyDescent="0.3">
      <c r="A1174" s="40"/>
      <c r="B1174" s="41" t="s">
        <v>1185</v>
      </c>
      <c r="C1174" s="41">
        <v>2510</v>
      </c>
    </row>
    <row r="1175" spans="1:3" x14ac:dyDescent="0.3">
      <c r="A1175" s="40"/>
      <c r="B1175" s="41" t="s">
        <v>1186</v>
      </c>
      <c r="C1175" s="41">
        <v>2637</v>
      </c>
    </row>
    <row r="1176" spans="1:3" x14ac:dyDescent="0.3">
      <c r="A1176" s="40"/>
      <c r="B1176" s="41" t="s">
        <v>1187</v>
      </c>
      <c r="C1176" s="41">
        <v>656</v>
      </c>
    </row>
    <row r="1177" spans="1:3" x14ac:dyDescent="0.3">
      <c r="A1177" s="40"/>
      <c r="B1177" s="41" t="s">
        <v>1188</v>
      </c>
      <c r="C1177" s="41">
        <v>827</v>
      </c>
    </row>
    <row r="1178" spans="1:3" x14ac:dyDescent="0.3">
      <c r="A1178" s="40"/>
      <c r="B1178" s="41" t="s">
        <v>1189</v>
      </c>
      <c r="C1178" s="41">
        <v>660</v>
      </c>
    </row>
    <row r="1179" spans="1:3" x14ac:dyDescent="0.3">
      <c r="A1179" s="40"/>
      <c r="B1179" s="41" t="s">
        <v>1190</v>
      </c>
      <c r="C1179" s="41">
        <v>2511</v>
      </c>
    </row>
    <row r="1180" spans="1:3" x14ac:dyDescent="0.3">
      <c r="A1180" s="40"/>
      <c r="B1180" s="41" t="s">
        <v>1191</v>
      </c>
      <c r="C1180" s="41">
        <v>2513</v>
      </c>
    </row>
    <row r="1181" spans="1:3" x14ac:dyDescent="0.3">
      <c r="A1181" s="40"/>
      <c r="B1181" s="41" t="s">
        <v>1192</v>
      </c>
      <c r="C1181" s="41">
        <v>2429</v>
      </c>
    </row>
    <row r="1182" spans="1:3" x14ac:dyDescent="0.3">
      <c r="A1182" s="40"/>
      <c r="B1182" s="41" t="s">
        <v>1193</v>
      </c>
      <c r="C1182" s="41">
        <v>2430</v>
      </c>
    </row>
    <row r="1183" spans="1:3" x14ac:dyDescent="0.3">
      <c r="A1183" s="40"/>
      <c r="B1183" s="41" t="s">
        <v>1194</v>
      </c>
      <c r="C1183" s="41">
        <v>2431</v>
      </c>
    </row>
    <row r="1184" spans="1:3" x14ac:dyDescent="0.3">
      <c r="A1184" s="40"/>
      <c r="B1184" s="41" t="s">
        <v>1195</v>
      </c>
      <c r="C1184" s="41">
        <v>2432</v>
      </c>
    </row>
    <row r="1185" spans="1:3" x14ac:dyDescent="0.3">
      <c r="A1185" s="40"/>
      <c r="B1185" s="41" t="s">
        <v>1196</v>
      </c>
      <c r="C1185" s="41">
        <v>2433</v>
      </c>
    </row>
    <row r="1186" spans="1:3" x14ac:dyDescent="0.3">
      <c r="A1186" s="40"/>
      <c r="B1186" s="41" t="s">
        <v>1091</v>
      </c>
      <c r="C1186" s="41">
        <v>803</v>
      </c>
    </row>
    <row r="1187" spans="1:3" x14ac:dyDescent="0.3">
      <c r="A1187" s="40"/>
      <c r="B1187" s="41" t="s">
        <v>1197</v>
      </c>
      <c r="C1187" s="41">
        <v>2434</v>
      </c>
    </row>
    <row r="1188" spans="1:3" x14ac:dyDescent="0.3">
      <c r="A1188" s="40"/>
      <c r="B1188" s="41" t="s">
        <v>1198</v>
      </c>
      <c r="C1188" s="41">
        <v>2435</v>
      </c>
    </row>
    <row r="1189" spans="1:3" x14ac:dyDescent="0.3">
      <c r="A1189" s="40"/>
      <c r="B1189" s="41" t="s">
        <v>1199</v>
      </c>
      <c r="C1189" s="41">
        <v>2897</v>
      </c>
    </row>
    <row r="1190" spans="1:3" x14ac:dyDescent="0.3">
      <c r="A1190" s="40"/>
      <c r="B1190" s="41" t="s">
        <v>1200</v>
      </c>
      <c r="C1190" s="41">
        <v>2436</v>
      </c>
    </row>
    <row r="1191" spans="1:3" x14ac:dyDescent="0.3">
      <c r="A1191" s="40"/>
      <c r="B1191" s="41" t="s">
        <v>1201</v>
      </c>
      <c r="C1191" s="41">
        <v>2437</v>
      </c>
    </row>
    <row r="1192" spans="1:3" x14ac:dyDescent="0.3">
      <c r="A1192" s="40"/>
      <c r="B1192" s="41" t="s">
        <v>1202</v>
      </c>
      <c r="C1192" s="41">
        <v>2438</v>
      </c>
    </row>
    <row r="1193" spans="1:3" x14ac:dyDescent="0.3">
      <c r="A1193" s="40"/>
      <c r="B1193" s="41" t="s">
        <v>1203</v>
      </c>
      <c r="C1193" s="41">
        <v>2439</v>
      </c>
    </row>
    <row r="1194" spans="1:3" x14ac:dyDescent="0.3">
      <c r="A1194" s="40"/>
      <c r="B1194" s="41" t="s">
        <v>1204</v>
      </c>
      <c r="C1194" s="41">
        <v>2440</v>
      </c>
    </row>
    <row r="1195" spans="1:3" x14ac:dyDescent="0.3">
      <c r="A1195" s="40"/>
      <c r="B1195" s="41" t="s">
        <v>1205</v>
      </c>
      <c r="C1195" s="41">
        <v>2441</v>
      </c>
    </row>
    <row r="1196" spans="1:3" x14ac:dyDescent="0.3">
      <c r="A1196" s="40"/>
      <c r="B1196" s="41" t="s">
        <v>1206</v>
      </c>
      <c r="C1196" s="41">
        <v>2442</v>
      </c>
    </row>
    <row r="1197" spans="1:3" x14ac:dyDescent="0.3">
      <c r="A1197" s="40"/>
      <c r="B1197" s="41" t="s">
        <v>1207</v>
      </c>
      <c r="C1197" s="41">
        <v>2921</v>
      </c>
    </row>
    <row r="1198" spans="1:3" x14ac:dyDescent="0.3">
      <c r="A1198" s="40"/>
      <c r="B1198" s="41" t="s">
        <v>1208</v>
      </c>
      <c r="C1198" s="41">
        <v>2443</v>
      </c>
    </row>
    <row r="1199" spans="1:3" x14ac:dyDescent="0.3">
      <c r="A1199" s="40"/>
      <c r="B1199" s="41" t="s">
        <v>1209</v>
      </c>
      <c r="C1199" s="41">
        <v>2444</v>
      </c>
    </row>
    <row r="1200" spans="1:3" x14ac:dyDescent="0.3">
      <c r="A1200" s="40"/>
      <c r="B1200" s="41" t="s">
        <v>1210</v>
      </c>
      <c r="C1200" s="41">
        <v>2445</v>
      </c>
    </row>
    <row r="1201" spans="1:3" x14ac:dyDescent="0.3">
      <c r="A1201" s="40"/>
      <c r="B1201" s="41" t="s">
        <v>1211</v>
      </c>
      <c r="C1201" s="41">
        <v>2763</v>
      </c>
    </row>
    <row r="1202" spans="1:3" x14ac:dyDescent="0.3">
      <c r="A1202" s="40"/>
      <c r="B1202" s="41" t="s">
        <v>1212</v>
      </c>
      <c r="C1202" s="41">
        <v>2446</v>
      </c>
    </row>
    <row r="1203" spans="1:3" x14ac:dyDescent="0.3">
      <c r="A1203" s="40"/>
      <c r="B1203" s="41" t="s">
        <v>1213</v>
      </c>
      <c r="C1203" s="41">
        <v>2447</v>
      </c>
    </row>
    <row r="1204" spans="1:3" x14ac:dyDescent="0.3">
      <c r="A1204" s="40"/>
      <c r="B1204" s="41" t="s">
        <v>1214</v>
      </c>
      <c r="C1204" s="41">
        <v>2448</v>
      </c>
    </row>
    <row r="1205" spans="1:3" x14ac:dyDescent="0.3">
      <c r="A1205" s="40"/>
      <c r="B1205" s="41" t="s">
        <v>1215</v>
      </c>
      <c r="C1205" s="41">
        <v>2449</v>
      </c>
    </row>
    <row r="1206" spans="1:3" x14ac:dyDescent="0.3">
      <c r="A1206" s="40"/>
      <c r="B1206" s="41" t="s">
        <v>1216</v>
      </c>
      <c r="C1206" s="41">
        <v>2450</v>
      </c>
    </row>
    <row r="1207" spans="1:3" x14ac:dyDescent="0.3">
      <c r="A1207" s="40"/>
      <c r="B1207" s="41" t="s">
        <v>1217</v>
      </c>
      <c r="C1207" s="41">
        <v>2451</v>
      </c>
    </row>
    <row r="1208" spans="1:3" x14ac:dyDescent="0.3">
      <c r="A1208" s="40"/>
      <c r="B1208" s="41" t="s">
        <v>1218</v>
      </c>
      <c r="C1208" s="41">
        <v>2452</v>
      </c>
    </row>
    <row r="1209" spans="1:3" x14ac:dyDescent="0.3">
      <c r="A1209" s="40"/>
      <c r="B1209" s="41" t="s">
        <v>1219</v>
      </c>
      <c r="C1209" s="41">
        <v>2453</v>
      </c>
    </row>
    <row r="1210" spans="1:3" x14ac:dyDescent="0.3">
      <c r="A1210" s="40"/>
      <c r="B1210" s="41" t="s">
        <v>1220</v>
      </c>
      <c r="C1210" s="41">
        <v>818</v>
      </c>
    </row>
    <row r="1211" spans="1:3" x14ac:dyDescent="0.3">
      <c r="A1211" s="40"/>
      <c r="B1211" s="41" t="s">
        <v>1221</v>
      </c>
      <c r="C1211" s="41">
        <v>2455</v>
      </c>
    </row>
    <row r="1212" spans="1:3" x14ac:dyDescent="0.3">
      <c r="A1212" s="40"/>
      <c r="B1212" s="41" t="s">
        <v>1222</v>
      </c>
      <c r="C1212" s="41">
        <v>2456</v>
      </c>
    </row>
    <row r="1213" spans="1:3" x14ac:dyDescent="0.3">
      <c r="A1213" s="40"/>
      <c r="B1213" s="41" t="s">
        <v>1223</v>
      </c>
      <c r="C1213" s="41">
        <v>2457</v>
      </c>
    </row>
    <row r="1214" spans="1:3" x14ac:dyDescent="0.3">
      <c r="A1214" s="40"/>
      <c r="B1214" s="41" t="s">
        <v>1224</v>
      </c>
      <c r="C1214" s="41">
        <v>2458</v>
      </c>
    </row>
    <row r="1215" spans="1:3" x14ac:dyDescent="0.3">
      <c r="A1215" s="40"/>
      <c r="B1215" s="41" t="s">
        <v>1225</v>
      </c>
      <c r="C1215" s="41">
        <v>2459</v>
      </c>
    </row>
    <row r="1216" spans="1:3" x14ac:dyDescent="0.3">
      <c r="A1216" s="40"/>
      <c r="B1216" s="41" t="s">
        <v>1226</v>
      </c>
      <c r="C1216" s="41">
        <v>2461</v>
      </c>
    </row>
    <row r="1217" spans="1:3" x14ac:dyDescent="0.3">
      <c r="A1217" s="40"/>
      <c r="B1217" s="41" t="s">
        <v>1227</v>
      </c>
      <c r="C1217" s="41">
        <v>2460</v>
      </c>
    </row>
    <row r="1218" spans="1:3" x14ac:dyDescent="0.3">
      <c r="A1218" s="40"/>
      <c r="B1218" s="41" t="s">
        <v>1228</v>
      </c>
      <c r="C1218" s="41">
        <v>2463</v>
      </c>
    </row>
    <row r="1219" spans="1:3" x14ac:dyDescent="0.3">
      <c r="A1219" s="40"/>
      <c r="B1219" s="41" t="s">
        <v>1229</v>
      </c>
      <c r="C1219" s="41">
        <v>2462</v>
      </c>
    </row>
    <row r="1220" spans="1:3" x14ac:dyDescent="0.3">
      <c r="A1220" s="40"/>
      <c r="B1220" s="41" t="s">
        <v>1230</v>
      </c>
      <c r="C1220" s="41">
        <v>2465</v>
      </c>
    </row>
    <row r="1221" spans="1:3" x14ac:dyDescent="0.3">
      <c r="A1221" s="40"/>
      <c r="B1221" s="41" t="s">
        <v>1231</v>
      </c>
      <c r="C1221" s="41">
        <v>2464</v>
      </c>
    </row>
    <row r="1222" spans="1:3" x14ac:dyDescent="0.3">
      <c r="A1222" s="40"/>
      <c r="B1222" s="41" t="s">
        <v>1232</v>
      </c>
      <c r="C1222" s="41">
        <v>2466</v>
      </c>
    </row>
    <row r="1223" spans="1:3" x14ac:dyDescent="0.3">
      <c r="A1223" s="40"/>
      <c r="B1223" s="41" t="s">
        <v>1233</v>
      </c>
      <c r="C1223" s="41">
        <v>661</v>
      </c>
    </row>
    <row r="1224" spans="1:3" x14ac:dyDescent="0.3">
      <c r="A1224" s="40"/>
      <c r="B1224" s="41" t="s">
        <v>1234</v>
      </c>
      <c r="C1224" s="41">
        <v>1727</v>
      </c>
    </row>
    <row r="1225" spans="1:3" x14ac:dyDescent="0.3">
      <c r="A1225" s="40"/>
      <c r="B1225" s="41" t="s">
        <v>1235</v>
      </c>
      <c r="C1225" s="41">
        <v>1726</v>
      </c>
    </row>
    <row r="1226" spans="1:3" x14ac:dyDescent="0.3">
      <c r="A1226" s="40"/>
      <c r="B1226" s="41" t="s">
        <v>1236</v>
      </c>
      <c r="C1226" s="41">
        <v>1319</v>
      </c>
    </row>
    <row r="1227" spans="1:3" x14ac:dyDescent="0.3">
      <c r="A1227" s="40"/>
      <c r="B1227" s="41" t="s">
        <v>1237</v>
      </c>
      <c r="C1227" s="41">
        <v>1318</v>
      </c>
    </row>
    <row r="1228" spans="1:3" x14ac:dyDescent="0.3">
      <c r="A1228" s="40"/>
      <c r="B1228" s="41" t="s">
        <v>1238</v>
      </c>
      <c r="C1228" s="41">
        <v>826</v>
      </c>
    </row>
    <row r="1229" spans="1:3" x14ac:dyDescent="0.3">
      <c r="A1229" s="40"/>
      <c r="B1229" s="41" t="s">
        <v>1239</v>
      </c>
      <c r="C1229" s="41">
        <v>2319</v>
      </c>
    </row>
    <row r="1230" spans="1:3" x14ac:dyDescent="0.3">
      <c r="A1230" s="40"/>
      <c r="B1230" s="41" t="s">
        <v>1240</v>
      </c>
      <c r="C1230" s="41">
        <v>1029</v>
      </c>
    </row>
    <row r="1231" spans="1:3" x14ac:dyDescent="0.3">
      <c r="A1231" s="40"/>
      <c r="B1231" s="41" t="s">
        <v>1241</v>
      </c>
      <c r="C1231" s="41">
        <v>772</v>
      </c>
    </row>
    <row r="1232" spans="1:3" x14ac:dyDescent="0.3">
      <c r="A1232" s="40"/>
      <c r="B1232" s="41" t="s">
        <v>1242</v>
      </c>
      <c r="C1232" s="41">
        <v>2635</v>
      </c>
    </row>
    <row r="1233" spans="1:3" x14ac:dyDescent="0.3">
      <c r="A1233" s="40"/>
      <c r="B1233" s="41" t="s">
        <v>1243</v>
      </c>
      <c r="C1233" s="41">
        <v>1368</v>
      </c>
    </row>
    <row r="1234" spans="1:3" x14ac:dyDescent="0.3">
      <c r="A1234" s="40"/>
      <c r="B1234" s="41" t="s">
        <v>1244</v>
      </c>
      <c r="C1234" s="41">
        <v>1808</v>
      </c>
    </row>
    <row r="1235" spans="1:3" x14ac:dyDescent="0.3">
      <c r="A1235" s="40"/>
      <c r="B1235" s="41" t="s">
        <v>1245</v>
      </c>
      <c r="C1235" s="41">
        <v>2910</v>
      </c>
    </row>
    <row r="1236" spans="1:3" x14ac:dyDescent="0.3">
      <c r="A1236" s="40"/>
      <c r="B1236" s="41" t="s">
        <v>1246</v>
      </c>
      <c r="C1236" s="41">
        <v>2766</v>
      </c>
    </row>
    <row r="1237" spans="1:3" x14ac:dyDescent="0.3">
      <c r="A1237" s="40"/>
      <c r="B1237" s="41" t="s">
        <v>1247</v>
      </c>
      <c r="C1237" s="41">
        <v>791</v>
      </c>
    </row>
    <row r="1238" spans="1:3" x14ac:dyDescent="0.3">
      <c r="A1238" s="40"/>
      <c r="B1238" s="41" t="s">
        <v>1248</v>
      </c>
      <c r="C1238" s="41">
        <v>828</v>
      </c>
    </row>
    <row r="1239" spans="1:3" x14ac:dyDescent="0.3">
      <c r="A1239" s="40"/>
      <c r="B1239" s="41" t="s">
        <v>1022</v>
      </c>
      <c r="C1239" s="41">
        <v>1365</v>
      </c>
    </row>
    <row r="1240" spans="1:3" x14ac:dyDescent="0.3">
      <c r="A1240" s="40"/>
      <c r="B1240" s="41" t="s">
        <v>1249</v>
      </c>
      <c r="C1240" s="41">
        <v>601</v>
      </c>
    </row>
    <row r="1241" spans="1:3" x14ac:dyDescent="0.3">
      <c r="A1241" s="40"/>
      <c r="B1241" s="41" t="s">
        <v>1084</v>
      </c>
      <c r="C1241" s="41">
        <v>733</v>
      </c>
    </row>
    <row r="1242" spans="1:3" x14ac:dyDescent="0.3">
      <c r="A1242" s="40"/>
      <c r="B1242" s="41" t="s">
        <v>1250</v>
      </c>
      <c r="C1242" s="41">
        <v>776</v>
      </c>
    </row>
    <row r="1243" spans="1:3" x14ac:dyDescent="0.3">
      <c r="A1243" s="40"/>
      <c r="B1243" s="41" t="s">
        <v>1251</v>
      </c>
      <c r="C1243" s="41">
        <v>2895</v>
      </c>
    </row>
    <row r="1244" spans="1:3" x14ac:dyDescent="0.3">
      <c r="A1244" s="40"/>
      <c r="B1244" s="41" t="s">
        <v>1252</v>
      </c>
      <c r="C1244" s="41">
        <v>1961</v>
      </c>
    </row>
    <row r="1245" spans="1:3" x14ac:dyDescent="0.3">
      <c r="A1245" s="40"/>
      <c r="B1245" s="41" t="s">
        <v>1253</v>
      </c>
      <c r="C1245" s="41">
        <v>607</v>
      </c>
    </row>
    <row r="1246" spans="1:3" x14ac:dyDescent="0.3">
      <c r="A1246" s="40" t="s">
        <v>1254</v>
      </c>
      <c r="B1246" s="41"/>
      <c r="C1246" s="41"/>
    </row>
    <row r="1247" spans="1:3" x14ac:dyDescent="0.3">
      <c r="A1247" s="40"/>
      <c r="B1247" s="41" t="s">
        <v>1255</v>
      </c>
      <c r="C1247" s="41">
        <v>2944</v>
      </c>
    </row>
    <row r="1248" spans="1:3" x14ac:dyDescent="0.3">
      <c r="A1248" s="40"/>
      <c r="B1248" s="41" t="s">
        <v>1256</v>
      </c>
      <c r="C1248" s="41">
        <v>839</v>
      </c>
    </row>
    <row r="1249" spans="1:3" x14ac:dyDescent="0.3">
      <c r="A1249" s="40"/>
      <c r="B1249" s="41" t="s">
        <v>1257</v>
      </c>
      <c r="C1249" s="41">
        <v>2934</v>
      </c>
    </row>
    <row r="1250" spans="1:3" x14ac:dyDescent="0.3">
      <c r="A1250" s="40"/>
      <c r="B1250" s="41" t="s">
        <v>1258</v>
      </c>
      <c r="C1250" s="41">
        <v>635</v>
      </c>
    </row>
    <row r="1251" spans="1:3" x14ac:dyDescent="0.3">
      <c r="A1251" s="40"/>
      <c r="B1251" s="41" t="s">
        <v>1259</v>
      </c>
      <c r="C1251" s="41">
        <v>636</v>
      </c>
    </row>
    <row r="1252" spans="1:3" x14ac:dyDescent="0.3">
      <c r="A1252" s="40"/>
      <c r="B1252" s="41" t="s">
        <v>1260</v>
      </c>
      <c r="C1252" s="41">
        <v>1941</v>
      </c>
    </row>
    <row r="1253" spans="1:3" x14ac:dyDescent="0.3">
      <c r="A1253" s="40"/>
      <c r="B1253" s="41" t="s">
        <v>1261</v>
      </c>
      <c r="C1253" s="41">
        <v>1929</v>
      </c>
    </row>
    <row r="1254" spans="1:3" x14ac:dyDescent="0.3">
      <c r="A1254" s="40"/>
      <c r="B1254" s="41" t="s">
        <v>1262</v>
      </c>
      <c r="C1254" s="41">
        <v>1972</v>
      </c>
    </row>
    <row r="1255" spans="1:3" x14ac:dyDescent="0.3">
      <c r="A1255" s="40"/>
      <c r="B1255" s="41" t="s">
        <v>1263</v>
      </c>
      <c r="C1255" s="41">
        <v>1024</v>
      </c>
    </row>
    <row r="1256" spans="1:3" x14ac:dyDescent="0.3">
      <c r="A1256" s="40"/>
      <c r="B1256" s="41" t="s">
        <v>1264</v>
      </c>
      <c r="C1256" s="41">
        <v>1240</v>
      </c>
    </row>
    <row r="1257" spans="1:3" x14ac:dyDescent="0.3">
      <c r="A1257" s="40"/>
      <c r="B1257" s="41" t="s">
        <v>1265</v>
      </c>
      <c r="C1257" s="41">
        <v>2685</v>
      </c>
    </row>
    <row r="1258" spans="1:3" x14ac:dyDescent="0.3">
      <c r="A1258" s="40"/>
      <c r="B1258" s="41" t="s">
        <v>1266</v>
      </c>
      <c r="C1258" s="41">
        <v>732</v>
      </c>
    </row>
    <row r="1259" spans="1:3" x14ac:dyDescent="0.3">
      <c r="A1259" s="40"/>
      <c r="B1259" s="41" t="s">
        <v>1267</v>
      </c>
      <c r="C1259" s="41">
        <v>1020</v>
      </c>
    </row>
    <row r="1260" spans="1:3" x14ac:dyDescent="0.3">
      <c r="A1260" s="40"/>
      <c r="B1260" s="41" t="s">
        <v>1268</v>
      </c>
      <c r="C1260" s="41">
        <v>639</v>
      </c>
    </row>
    <row r="1261" spans="1:3" x14ac:dyDescent="0.3">
      <c r="A1261" s="40"/>
      <c r="B1261" s="41" t="s">
        <v>1269</v>
      </c>
      <c r="C1261" s="41">
        <v>1025</v>
      </c>
    </row>
    <row r="1262" spans="1:3" x14ac:dyDescent="0.3">
      <c r="A1262" s="40"/>
      <c r="B1262" s="41" t="s">
        <v>1270</v>
      </c>
      <c r="C1262" s="41">
        <v>1239</v>
      </c>
    </row>
    <row r="1263" spans="1:3" x14ac:dyDescent="0.3">
      <c r="A1263" s="40"/>
      <c r="B1263" s="41" t="s">
        <v>1271</v>
      </c>
      <c r="C1263" s="41">
        <v>747</v>
      </c>
    </row>
    <row r="1264" spans="1:3" x14ac:dyDescent="0.3">
      <c r="A1264" s="40"/>
      <c r="B1264" s="41" t="s">
        <v>1272</v>
      </c>
      <c r="C1264" s="41">
        <v>2711</v>
      </c>
    </row>
    <row r="1265" spans="1:3" x14ac:dyDescent="0.3">
      <c r="A1265" s="40"/>
      <c r="B1265" s="41" t="s">
        <v>1273</v>
      </c>
      <c r="C1265" s="41">
        <v>1898</v>
      </c>
    </row>
    <row r="1266" spans="1:3" x14ac:dyDescent="0.3">
      <c r="A1266" s="40"/>
      <c r="B1266" s="41" t="s">
        <v>1274</v>
      </c>
      <c r="C1266" s="41">
        <v>447</v>
      </c>
    </row>
    <row r="1267" spans="1:3" x14ac:dyDescent="0.3">
      <c r="A1267" s="40"/>
      <c r="B1267" s="41" t="s">
        <v>1275</v>
      </c>
      <c r="C1267" s="41">
        <v>1241</v>
      </c>
    </row>
    <row r="1268" spans="1:3" x14ac:dyDescent="0.3">
      <c r="A1268" s="40"/>
      <c r="B1268" s="41" t="s">
        <v>1276</v>
      </c>
      <c r="C1268" s="41">
        <v>2950</v>
      </c>
    </row>
    <row r="1269" spans="1:3" x14ac:dyDescent="0.3">
      <c r="A1269" s="40"/>
      <c r="B1269" s="41" t="s">
        <v>1277</v>
      </c>
      <c r="C1269" s="41">
        <v>1716</v>
      </c>
    </row>
    <row r="1270" spans="1:3" x14ac:dyDescent="0.3">
      <c r="A1270" s="40"/>
      <c r="B1270" s="41" t="s">
        <v>1278</v>
      </c>
      <c r="C1270" s="41">
        <v>638</v>
      </c>
    </row>
    <row r="1271" spans="1:3" x14ac:dyDescent="0.3">
      <c r="A1271" s="40"/>
      <c r="B1271" s="41" t="s">
        <v>1279</v>
      </c>
      <c r="C1271" s="41">
        <v>637</v>
      </c>
    </row>
    <row r="1272" spans="1:3" x14ac:dyDescent="0.3">
      <c r="A1272" s="40"/>
      <c r="B1272" s="41" t="s">
        <v>1280</v>
      </c>
      <c r="C1272" s="41">
        <v>832</v>
      </c>
    </row>
    <row r="1273" spans="1:3" x14ac:dyDescent="0.3">
      <c r="A1273" s="40"/>
      <c r="B1273" s="41" t="s">
        <v>1281</v>
      </c>
      <c r="C1273" s="41">
        <v>694</v>
      </c>
    </row>
    <row r="1274" spans="1:3" x14ac:dyDescent="0.3">
      <c r="A1274" s="40"/>
      <c r="B1274" s="41" t="s">
        <v>1282</v>
      </c>
      <c r="C1274" s="41">
        <v>587</v>
      </c>
    </row>
    <row r="1275" spans="1:3" x14ac:dyDescent="0.3">
      <c r="A1275" s="40"/>
      <c r="B1275" s="41" t="s">
        <v>1283</v>
      </c>
      <c r="C1275" s="41">
        <v>1026</v>
      </c>
    </row>
    <row r="1276" spans="1:3" x14ac:dyDescent="0.3">
      <c r="A1276" s="40"/>
      <c r="B1276" s="41" t="s">
        <v>1284</v>
      </c>
      <c r="C1276" s="41">
        <v>1974</v>
      </c>
    </row>
    <row r="1277" spans="1:3" x14ac:dyDescent="0.3">
      <c r="A1277" s="40"/>
      <c r="B1277" s="41" t="s">
        <v>1285</v>
      </c>
      <c r="C1277" s="41">
        <v>2671</v>
      </c>
    </row>
    <row r="1278" spans="1:3" x14ac:dyDescent="0.3">
      <c r="A1278" s="40"/>
      <c r="B1278" s="41" t="s">
        <v>258</v>
      </c>
      <c r="C1278" s="41">
        <v>846</v>
      </c>
    </row>
    <row r="1279" spans="1:3" x14ac:dyDescent="0.3">
      <c r="A1279" s="40"/>
      <c r="B1279" s="41" t="s">
        <v>135</v>
      </c>
      <c r="C1279" s="41">
        <v>134</v>
      </c>
    </row>
    <row r="1280" spans="1:3" x14ac:dyDescent="0.3">
      <c r="A1280" s="40"/>
      <c r="B1280" s="41" t="s">
        <v>1286</v>
      </c>
      <c r="C1280" s="41">
        <v>2894</v>
      </c>
    </row>
    <row r="1281" spans="1:3" x14ac:dyDescent="0.3">
      <c r="A1281" s="40"/>
      <c r="B1281" s="41" t="s">
        <v>1287</v>
      </c>
      <c r="C1281" s="41">
        <v>651</v>
      </c>
    </row>
    <row r="1282" spans="1:3" x14ac:dyDescent="0.3">
      <c r="A1282" s="40"/>
      <c r="B1282" s="41" t="s">
        <v>772</v>
      </c>
      <c r="C1282" s="41">
        <v>649</v>
      </c>
    </row>
    <row r="1283" spans="1:3" x14ac:dyDescent="0.3">
      <c r="A1283" s="40"/>
      <c r="B1283" s="41" t="s">
        <v>1288</v>
      </c>
      <c r="C1283" s="41">
        <v>1228</v>
      </c>
    </row>
    <row r="1284" spans="1:3" x14ac:dyDescent="0.3">
      <c r="A1284" s="40"/>
      <c r="B1284" s="41" t="s">
        <v>1289</v>
      </c>
      <c r="C1284" s="41">
        <v>2945</v>
      </c>
    </row>
    <row r="1285" spans="1:3" x14ac:dyDescent="0.3">
      <c r="A1285" s="40"/>
      <c r="B1285" s="41" t="s">
        <v>1290</v>
      </c>
      <c r="C1285" s="41">
        <v>1299</v>
      </c>
    </row>
    <row r="1286" spans="1:3" x14ac:dyDescent="0.3">
      <c r="A1286" s="40"/>
      <c r="B1286" s="41" t="s">
        <v>1291</v>
      </c>
      <c r="C1286" s="41">
        <v>2650</v>
      </c>
    </row>
    <row r="1287" spans="1:3" x14ac:dyDescent="0.3">
      <c r="A1287" s="40"/>
      <c r="B1287" s="41" t="s">
        <v>917</v>
      </c>
      <c r="C1287" s="41">
        <v>610</v>
      </c>
    </row>
    <row r="1288" spans="1:3" x14ac:dyDescent="0.3">
      <c r="A1288" s="40"/>
      <c r="B1288" s="41" t="s">
        <v>1292</v>
      </c>
      <c r="C1288" s="41">
        <v>1894</v>
      </c>
    </row>
    <row r="1289" spans="1:3" x14ac:dyDescent="0.3">
      <c r="A1289" s="40"/>
      <c r="B1289" s="41" t="s">
        <v>1293</v>
      </c>
      <c r="C1289" s="41">
        <v>1901</v>
      </c>
    </row>
    <row r="1290" spans="1:3" x14ac:dyDescent="0.3">
      <c r="A1290" s="40"/>
      <c r="B1290" s="41" t="s">
        <v>1294</v>
      </c>
      <c r="C1290" s="41">
        <v>2908</v>
      </c>
    </row>
    <row r="1291" spans="1:3" x14ac:dyDescent="0.3">
      <c r="A1291" s="40"/>
      <c r="B1291" s="41" t="s">
        <v>1295</v>
      </c>
      <c r="C1291" s="41">
        <v>1227</v>
      </c>
    </row>
    <row r="1292" spans="1:3" x14ac:dyDescent="0.3">
      <c r="A1292" s="40"/>
      <c r="B1292" s="41" t="s">
        <v>1296</v>
      </c>
      <c r="C1292" s="41">
        <v>1226</v>
      </c>
    </row>
    <row r="1293" spans="1:3" x14ac:dyDescent="0.3">
      <c r="A1293" s="40"/>
      <c r="B1293" s="41" t="s">
        <v>1297</v>
      </c>
      <c r="C1293" s="41">
        <v>2918</v>
      </c>
    </row>
    <row r="1294" spans="1:3" x14ac:dyDescent="0.3">
      <c r="A1294" s="40"/>
      <c r="B1294" s="41" t="s">
        <v>1298</v>
      </c>
      <c r="C1294" s="41">
        <v>1384</v>
      </c>
    </row>
    <row r="1295" spans="1:3" x14ac:dyDescent="0.3">
      <c r="A1295" s="40"/>
      <c r="B1295" s="41" t="s">
        <v>1299</v>
      </c>
      <c r="C1295" s="41">
        <v>1244</v>
      </c>
    </row>
    <row r="1296" spans="1:3" x14ac:dyDescent="0.3">
      <c r="A1296" s="40"/>
      <c r="B1296" s="41" t="s">
        <v>1300</v>
      </c>
      <c r="C1296" s="41">
        <v>650</v>
      </c>
    </row>
    <row r="1297" spans="1:3" x14ac:dyDescent="0.3">
      <c r="A1297" s="40"/>
      <c r="B1297" s="41" t="s">
        <v>1301</v>
      </c>
      <c r="C1297" s="41">
        <v>1243</v>
      </c>
    </row>
    <row r="1298" spans="1:3" x14ac:dyDescent="0.3">
      <c r="A1298" s="40"/>
      <c r="B1298" s="41" t="s">
        <v>1302</v>
      </c>
      <c r="C1298" s="41">
        <v>1300</v>
      </c>
    </row>
    <row r="1299" spans="1:3" x14ac:dyDescent="0.3">
      <c r="A1299" s="40"/>
      <c r="B1299" s="41" t="s">
        <v>1303</v>
      </c>
      <c r="C1299" s="41">
        <v>2943</v>
      </c>
    </row>
    <row r="1300" spans="1:3" x14ac:dyDescent="0.3">
      <c r="A1300" s="40"/>
      <c r="B1300" s="41" t="s">
        <v>1304</v>
      </c>
      <c r="C1300" s="41">
        <v>1937</v>
      </c>
    </row>
    <row r="1301" spans="1:3" x14ac:dyDescent="0.3">
      <c r="A1301" s="40"/>
      <c r="B1301" s="41" t="s">
        <v>1305</v>
      </c>
      <c r="C1301" s="41">
        <v>648</v>
      </c>
    </row>
    <row r="1302" spans="1:3" x14ac:dyDescent="0.3">
      <c r="A1302" s="40" t="s">
        <v>1306</v>
      </c>
      <c r="B1302" s="41"/>
      <c r="C1302" s="41"/>
    </row>
    <row r="1303" spans="1:3" x14ac:dyDescent="0.3">
      <c r="A1303" s="40"/>
      <c r="B1303" s="41" t="s">
        <v>1284</v>
      </c>
      <c r="C1303" s="41">
        <v>810</v>
      </c>
    </row>
    <row r="1304" spans="1:3" x14ac:dyDescent="0.3">
      <c r="A1304" s="40"/>
      <c r="B1304" s="41" t="s">
        <v>1307</v>
      </c>
      <c r="C1304" s="41">
        <v>807</v>
      </c>
    </row>
    <row r="1305" spans="1:3" x14ac:dyDescent="0.3">
      <c r="A1305" s="40"/>
      <c r="B1305" s="41" t="s">
        <v>1308</v>
      </c>
      <c r="C1305" s="41">
        <v>811</v>
      </c>
    </row>
    <row r="1306" spans="1:3" x14ac:dyDescent="0.3">
      <c r="A1306" s="40"/>
      <c r="B1306" s="41" t="s">
        <v>1309</v>
      </c>
      <c r="C1306" s="41">
        <v>718</v>
      </c>
    </row>
    <row r="1307" spans="1:3" x14ac:dyDescent="0.3">
      <c r="A1307" s="40"/>
      <c r="B1307" s="41" t="s">
        <v>1265</v>
      </c>
      <c r="C1307" s="41">
        <v>2685</v>
      </c>
    </row>
    <row r="1308" spans="1:3" x14ac:dyDescent="0.3">
      <c r="A1308" s="40"/>
      <c r="B1308" s="41" t="s">
        <v>1310</v>
      </c>
      <c r="C1308" s="41">
        <v>2563</v>
      </c>
    </row>
    <row r="1309" spans="1:3" x14ac:dyDescent="0.3">
      <c r="A1309" s="40"/>
      <c r="B1309" s="41" t="s">
        <v>1311</v>
      </c>
      <c r="C1309" s="41">
        <v>808</v>
      </c>
    </row>
    <row r="1310" spans="1:3" x14ac:dyDescent="0.3">
      <c r="A1310" s="40"/>
      <c r="B1310" s="41" t="s">
        <v>1312</v>
      </c>
      <c r="C1310" s="41">
        <v>719</v>
      </c>
    </row>
    <row r="1311" spans="1:3" x14ac:dyDescent="0.3">
      <c r="A1311" s="40"/>
      <c r="B1311" s="41" t="s">
        <v>1313</v>
      </c>
      <c r="C1311" s="41">
        <v>720</v>
      </c>
    </row>
    <row r="1312" spans="1:3" x14ac:dyDescent="0.3">
      <c r="A1312" s="40"/>
      <c r="B1312" s="41" t="s">
        <v>1314</v>
      </c>
      <c r="C1312" s="41">
        <v>723</v>
      </c>
    </row>
    <row r="1313" spans="1:3" x14ac:dyDescent="0.3">
      <c r="A1313" s="40"/>
      <c r="B1313" s="41" t="s">
        <v>1315</v>
      </c>
      <c r="C1313" s="41">
        <v>721</v>
      </c>
    </row>
    <row r="1314" spans="1:3" x14ac:dyDescent="0.3">
      <c r="A1314" s="40"/>
      <c r="B1314" s="41" t="s">
        <v>1316</v>
      </c>
      <c r="C1314" s="41">
        <v>602</v>
      </c>
    </row>
    <row r="1315" spans="1:3" x14ac:dyDescent="0.3">
      <c r="A1315" s="40"/>
      <c r="B1315" s="41" t="s">
        <v>1317</v>
      </c>
      <c r="C1315" s="41">
        <v>1039</v>
      </c>
    </row>
    <row r="1316" spans="1:3" x14ac:dyDescent="0.3">
      <c r="A1316" s="40"/>
      <c r="B1316" s="41" t="s">
        <v>1318</v>
      </c>
      <c r="C1316" s="41">
        <v>806</v>
      </c>
    </row>
    <row r="1317" spans="1:3" x14ac:dyDescent="0.3">
      <c r="A1317" s="40"/>
      <c r="B1317" s="41" t="s">
        <v>1085</v>
      </c>
      <c r="C1317" s="41">
        <v>1287</v>
      </c>
    </row>
    <row r="1318" spans="1:3" x14ac:dyDescent="0.3">
      <c r="A1318" s="40"/>
      <c r="B1318" s="41" t="s">
        <v>1319</v>
      </c>
      <c r="C1318" s="41">
        <v>722</v>
      </c>
    </row>
    <row r="1319" spans="1:3" x14ac:dyDescent="0.3">
      <c r="A1319" s="40"/>
      <c r="B1319" s="41" t="s">
        <v>1320</v>
      </c>
      <c r="C1319" s="41">
        <v>606</v>
      </c>
    </row>
    <row r="1320" spans="1:3" x14ac:dyDescent="0.3">
      <c r="A1320" s="40"/>
      <c r="B1320" s="41" t="s">
        <v>455</v>
      </c>
      <c r="C1320" s="41">
        <v>687</v>
      </c>
    </row>
    <row r="1321" spans="1:3" x14ac:dyDescent="0.3">
      <c r="A1321" s="40"/>
      <c r="B1321" s="41" t="s">
        <v>1321</v>
      </c>
      <c r="C1321" s="41">
        <v>815</v>
      </c>
    </row>
    <row r="1322" spans="1:3" x14ac:dyDescent="0.3">
      <c r="A1322" s="40"/>
      <c r="B1322" s="41" t="s">
        <v>1322</v>
      </c>
      <c r="C1322" s="41">
        <v>817</v>
      </c>
    </row>
    <row r="1323" spans="1:3" x14ac:dyDescent="0.3">
      <c r="A1323" s="40"/>
      <c r="B1323" s="41" t="s">
        <v>1323</v>
      </c>
      <c r="C1323" s="41">
        <v>812</v>
      </c>
    </row>
    <row r="1324" spans="1:3" x14ac:dyDescent="0.3">
      <c r="A1324" s="40"/>
      <c r="B1324" s="41" t="s">
        <v>1324</v>
      </c>
      <c r="C1324" s="41">
        <v>813</v>
      </c>
    </row>
    <row r="1325" spans="1:3" x14ac:dyDescent="0.3">
      <c r="A1325" s="40"/>
      <c r="B1325" s="41" t="s">
        <v>1325</v>
      </c>
      <c r="C1325" s="41">
        <v>2420</v>
      </c>
    </row>
    <row r="1326" spans="1:3" x14ac:dyDescent="0.3">
      <c r="A1326" s="40"/>
      <c r="B1326" s="41" t="s">
        <v>1326</v>
      </c>
      <c r="C1326" s="41">
        <v>822</v>
      </c>
    </row>
    <row r="1327" spans="1:3" x14ac:dyDescent="0.3">
      <c r="A1327" s="40"/>
      <c r="B1327" s="41" t="s">
        <v>460</v>
      </c>
      <c r="C1327" s="41">
        <v>816</v>
      </c>
    </row>
    <row r="1328" spans="1:3" x14ac:dyDescent="0.3">
      <c r="A1328" s="40"/>
      <c r="B1328" s="41" t="s">
        <v>1327</v>
      </c>
      <c r="C1328" s="41">
        <v>821</v>
      </c>
    </row>
    <row r="1329" spans="1:3" x14ac:dyDescent="0.3">
      <c r="A1329" s="40"/>
      <c r="B1329" s="41" t="s">
        <v>1328</v>
      </c>
      <c r="C1329" s="41">
        <v>2419</v>
      </c>
    </row>
    <row r="1330" spans="1:3" x14ac:dyDescent="0.3">
      <c r="A1330" s="40"/>
      <c r="B1330" s="41" t="s">
        <v>887</v>
      </c>
      <c r="C1330" s="41">
        <v>814</v>
      </c>
    </row>
    <row r="1331" spans="1:3" x14ac:dyDescent="0.3">
      <c r="A1331" s="40"/>
      <c r="B1331" s="41" t="s">
        <v>462</v>
      </c>
      <c r="C1331" s="41">
        <v>802</v>
      </c>
    </row>
    <row r="1332" spans="1:3" x14ac:dyDescent="0.3">
      <c r="A1332" s="40"/>
      <c r="B1332" s="41" t="s">
        <v>1329</v>
      </c>
      <c r="C1332" s="41">
        <v>621</v>
      </c>
    </row>
    <row r="1333" spans="1:3" x14ac:dyDescent="0.3">
      <c r="A1333" s="40"/>
      <c r="B1333" s="41" t="s">
        <v>1083</v>
      </c>
      <c r="C1333" s="41">
        <v>1281</v>
      </c>
    </row>
    <row r="1334" spans="1:3" x14ac:dyDescent="0.3">
      <c r="A1334" s="40"/>
      <c r="B1334" s="41" t="s">
        <v>1330</v>
      </c>
      <c r="C1334" s="41">
        <v>2854</v>
      </c>
    </row>
    <row r="1335" spans="1:3" x14ac:dyDescent="0.3">
      <c r="A1335" s="40"/>
      <c r="B1335" s="41" t="s">
        <v>1331</v>
      </c>
      <c r="C1335" s="41">
        <v>1245</v>
      </c>
    </row>
    <row r="1336" spans="1:3" x14ac:dyDescent="0.3">
      <c r="A1336" s="40" t="s">
        <v>1332</v>
      </c>
      <c r="B1336" s="41"/>
      <c r="C1336" s="41"/>
    </row>
    <row r="1337" spans="1:3" x14ac:dyDescent="0.3">
      <c r="A1337" s="40"/>
      <c r="B1337" s="41" t="s">
        <v>1333</v>
      </c>
      <c r="C1337" s="41">
        <v>778</v>
      </c>
    </row>
    <row r="1338" spans="1:3" x14ac:dyDescent="0.3">
      <c r="A1338" s="40"/>
      <c r="B1338" s="41" t="s">
        <v>1334</v>
      </c>
      <c r="C1338" s="41">
        <v>2007</v>
      </c>
    </row>
    <row r="1339" spans="1:3" x14ac:dyDescent="0.3">
      <c r="A1339" s="40"/>
      <c r="B1339" s="41" t="s">
        <v>851</v>
      </c>
      <c r="C1339" s="41">
        <v>695</v>
      </c>
    </row>
    <row r="1340" spans="1:3" x14ac:dyDescent="0.3">
      <c r="A1340" s="40"/>
      <c r="B1340" s="41" t="s">
        <v>1335</v>
      </c>
      <c r="C1340" s="41">
        <v>793</v>
      </c>
    </row>
    <row r="1341" spans="1:3" x14ac:dyDescent="0.3">
      <c r="A1341" s="40"/>
      <c r="B1341" s="41" t="s">
        <v>1336</v>
      </c>
      <c r="C1341" s="41">
        <v>1857</v>
      </c>
    </row>
    <row r="1342" spans="1:3" x14ac:dyDescent="0.3">
      <c r="A1342" s="40"/>
      <c r="B1342" s="41" t="s">
        <v>1337</v>
      </c>
      <c r="C1342" s="41">
        <v>781</v>
      </c>
    </row>
    <row r="1343" spans="1:3" x14ac:dyDescent="0.3">
      <c r="A1343" s="40"/>
      <c r="B1343" s="41" t="s">
        <v>910</v>
      </c>
      <c r="C1343" s="41">
        <v>952</v>
      </c>
    </row>
    <row r="1344" spans="1:3" x14ac:dyDescent="0.3">
      <c r="A1344" s="40"/>
      <c r="B1344" s="41" t="s">
        <v>1338</v>
      </c>
      <c r="C1344" s="41">
        <v>1935</v>
      </c>
    </row>
    <row r="1345" spans="1:3" x14ac:dyDescent="0.3">
      <c r="A1345" s="40"/>
      <c r="B1345" s="41" t="s">
        <v>1339</v>
      </c>
      <c r="C1345" s="41">
        <v>620</v>
      </c>
    </row>
    <row r="1346" spans="1:3" x14ac:dyDescent="0.3">
      <c r="A1346" s="40"/>
      <c r="B1346" s="41" t="s">
        <v>133</v>
      </c>
      <c r="C1346" s="41">
        <v>780</v>
      </c>
    </row>
    <row r="1347" spans="1:3" x14ac:dyDescent="0.3">
      <c r="A1347" s="40"/>
      <c r="B1347" s="41" t="s">
        <v>1340</v>
      </c>
      <c r="C1347" s="41">
        <v>794</v>
      </c>
    </row>
    <row r="1348" spans="1:3" x14ac:dyDescent="0.3">
      <c r="A1348" s="40"/>
      <c r="B1348" s="41" t="s">
        <v>1341</v>
      </c>
      <c r="C1348" s="41">
        <v>1858</v>
      </c>
    </row>
    <row r="1349" spans="1:3" x14ac:dyDescent="0.3">
      <c r="A1349" s="40"/>
      <c r="B1349" s="41" t="s">
        <v>1342</v>
      </c>
      <c r="C1349" s="41">
        <v>1936</v>
      </c>
    </row>
    <row r="1350" spans="1:3" x14ac:dyDescent="0.3">
      <c r="A1350" s="40"/>
      <c r="B1350" s="41" t="s">
        <v>1343</v>
      </c>
      <c r="C1350" s="41">
        <v>1251</v>
      </c>
    </row>
    <row r="1351" spans="1:3" x14ac:dyDescent="0.3">
      <c r="A1351" s="40"/>
      <c r="B1351" s="41" t="s">
        <v>1344</v>
      </c>
      <c r="C1351" s="41">
        <v>2863</v>
      </c>
    </row>
    <row r="1352" spans="1:3" x14ac:dyDescent="0.3">
      <c r="A1352" s="40"/>
      <c r="B1352" s="41" t="s">
        <v>1345</v>
      </c>
      <c r="C1352" s="41">
        <v>777</v>
      </c>
    </row>
    <row r="1353" spans="1:3" x14ac:dyDescent="0.3">
      <c r="A1353" s="40"/>
      <c r="B1353" s="41" t="s">
        <v>295</v>
      </c>
      <c r="C1353" s="41">
        <v>862</v>
      </c>
    </row>
    <row r="1354" spans="1:3" x14ac:dyDescent="0.3">
      <c r="A1354" s="40"/>
      <c r="B1354" s="41" t="s">
        <v>956</v>
      </c>
      <c r="C1354" s="41">
        <v>1247</v>
      </c>
    </row>
    <row r="1355" spans="1:3" x14ac:dyDescent="0.3">
      <c r="A1355" s="40"/>
      <c r="B1355" s="41" t="s">
        <v>961</v>
      </c>
      <c r="C1355" s="41">
        <v>1246</v>
      </c>
    </row>
    <row r="1356" spans="1:3" x14ac:dyDescent="0.3">
      <c r="A1356" s="40"/>
      <c r="B1356" s="41" t="s">
        <v>152</v>
      </c>
      <c r="C1356" s="41">
        <v>797</v>
      </c>
    </row>
    <row r="1357" spans="1:3" x14ac:dyDescent="0.3">
      <c r="A1357" s="40"/>
      <c r="B1357" s="41" t="s">
        <v>1346</v>
      </c>
      <c r="C1357" s="41">
        <v>2786</v>
      </c>
    </row>
    <row r="1358" spans="1:3" x14ac:dyDescent="0.3">
      <c r="A1358" s="40"/>
      <c r="B1358" s="41" t="s">
        <v>670</v>
      </c>
      <c r="C1358" s="41">
        <v>954</v>
      </c>
    </row>
    <row r="1359" spans="1:3" x14ac:dyDescent="0.3">
      <c r="A1359" s="40"/>
      <c r="B1359" s="41" t="s">
        <v>1347</v>
      </c>
      <c r="C1359" s="41">
        <v>1254</v>
      </c>
    </row>
    <row r="1360" spans="1:3" x14ac:dyDescent="0.3">
      <c r="A1360" s="40"/>
      <c r="B1360" s="41" t="s">
        <v>407</v>
      </c>
      <c r="C1360" s="41">
        <v>910</v>
      </c>
    </row>
    <row r="1361" spans="1:3" x14ac:dyDescent="0.3">
      <c r="A1361" s="40"/>
      <c r="B1361" s="41" t="s">
        <v>1348</v>
      </c>
      <c r="C1361" s="41">
        <v>1249</v>
      </c>
    </row>
    <row r="1362" spans="1:3" x14ac:dyDescent="0.3">
      <c r="A1362" s="40"/>
      <c r="B1362" s="41" t="s">
        <v>1349</v>
      </c>
      <c r="C1362" s="41">
        <v>2006</v>
      </c>
    </row>
    <row r="1363" spans="1:3" x14ac:dyDescent="0.3">
      <c r="A1363" s="40"/>
      <c r="B1363" s="41" t="s">
        <v>449</v>
      </c>
      <c r="C1363" s="41">
        <v>779</v>
      </c>
    </row>
    <row r="1364" spans="1:3" x14ac:dyDescent="0.3">
      <c r="A1364" s="40"/>
      <c r="B1364" s="41" t="s">
        <v>1350</v>
      </c>
      <c r="C1364" s="41">
        <v>619</v>
      </c>
    </row>
    <row r="1365" spans="1:3" x14ac:dyDescent="0.3">
      <c r="A1365" s="40"/>
      <c r="B1365" s="41" t="s">
        <v>1329</v>
      </c>
      <c r="C1365" s="41">
        <v>621</v>
      </c>
    </row>
    <row r="1366" spans="1:3" x14ac:dyDescent="0.3">
      <c r="A1366" s="40"/>
      <c r="B1366" s="41" t="s">
        <v>509</v>
      </c>
      <c r="C1366" s="41">
        <v>2692</v>
      </c>
    </row>
    <row r="1367" spans="1:3" x14ac:dyDescent="0.3">
      <c r="A1367" s="40"/>
      <c r="B1367" s="41" t="s">
        <v>589</v>
      </c>
      <c r="C1367" s="41">
        <v>1248</v>
      </c>
    </row>
    <row r="1368" spans="1:3" x14ac:dyDescent="0.3">
      <c r="A1368" s="40"/>
      <c r="B1368" s="41" t="s">
        <v>1021</v>
      </c>
      <c r="C1368" s="41">
        <v>1253</v>
      </c>
    </row>
    <row r="1369" spans="1:3" x14ac:dyDescent="0.3">
      <c r="A1369" s="40"/>
      <c r="B1369" s="41" t="s">
        <v>1250</v>
      </c>
      <c r="C1369" s="41">
        <v>776</v>
      </c>
    </row>
    <row r="1370" spans="1:3" x14ac:dyDescent="0.3">
      <c r="A1370" s="40"/>
      <c r="B1370" s="41" t="s">
        <v>548</v>
      </c>
      <c r="C1370" s="41">
        <v>2021</v>
      </c>
    </row>
    <row r="1371" spans="1:3" x14ac:dyDescent="0.3">
      <c r="A1371" s="40"/>
      <c r="B1371" s="41" t="s">
        <v>1351</v>
      </c>
      <c r="C1371" s="41">
        <v>1250</v>
      </c>
    </row>
    <row r="1372" spans="1:3" x14ac:dyDescent="0.3">
      <c r="A1372" s="40"/>
      <c r="B1372" s="41" t="s">
        <v>1281</v>
      </c>
      <c r="C1372" s="41">
        <v>694</v>
      </c>
    </row>
    <row r="1373" spans="1:3" x14ac:dyDescent="0.3">
      <c r="A1373" s="40"/>
      <c r="B1373" s="41" t="s">
        <v>1352</v>
      </c>
      <c r="C1373" s="41">
        <v>2764</v>
      </c>
    </row>
    <row r="1374" spans="1:3" x14ac:dyDescent="0.3">
      <c r="A1374" s="40"/>
      <c r="B1374" s="41" t="s">
        <v>1353</v>
      </c>
      <c r="C1374" s="41">
        <v>1953</v>
      </c>
    </row>
    <row r="1375" spans="1:3" x14ac:dyDescent="0.3">
      <c r="A1375" s="40"/>
      <c r="B1375" s="41" t="s">
        <v>1354</v>
      </c>
      <c r="C1375" s="41">
        <v>2693</v>
      </c>
    </row>
    <row r="1376" spans="1:3" x14ac:dyDescent="0.3">
      <c r="A1376" s="40"/>
      <c r="B1376" s="41" t="s">
        <v>702</v>
      </c>
      <c r="C1376" s="41">
        <v>768</v>
      </c>
    </row>
    <row r="1377" spans="1:3" x14ac:dyDescent="0.3">
      <c r="A1377" s="40"/>
      <c r="B1377" s="41" t="s">
        <v>1355</v>
      </c>
      <c r="C1377" s="41">
        <v>863</v>
      </c>
    </row>
    <row r="1378" spans="1:3" x14ac:dyDescent="0.3">
      <c r="A1378" s="40"/>
      <c r="B1378" s="41" t="s">
        <v>1356</v>
      </c>
      <c r="C1378" s="41">
        <v>1252</v>
      </c>
    </row>
    <row r="1379" spans="1:3" x14ac:dyDescent="0.3">
      <c r="A1379" s="40"/>
      <c r="B1379" s="41" t="s">
        <v>1357</v>
      </c>
      <c r="C1379" s="41">
        <v>1922</v>
      </c>
    </row>
    <row r="1380" spans="1:3" x14ac:dyDescent="0.3">
      <c r="A1380" s="40"/>
      <c r="B1380" s="41" t="s">
        <v>1358</v>
      </c>
      <c r="C1380" s="41">
        <v>547</v>
      </c>
    </row>
    <row r="1381" spans="1:3" x14ac:dyDescent="0.3">
      <c r="A1381" s="40" t="s">
        <v>1359</v>
      </c>
      <c r="B1381" s="41"/>
      <c r="C1381" s="41"/>
    </row>
    <row r="1382" spans="1:3" x14ac:dyDescent="0.3">
      <c r="A1382" s="40"/>
      <c r="B1382" s="41" t="s">
        <v>1360</v>
      </c>
      <c r="C1382" s="41">
        <v>1845</v>
      </c>
    </row>
    <row r="1383" spans="1:3" x14ac:dyDescent="0.3">
      <c r="A1383" s="40"/>
      <c r="B1383" s="41" t="s">
        <v>1361</v>
      </c>
      <c r="C1383" s="41">
        <v>1846</v>
      </c>
    </row>
    <row r="1384" spans="1:3" x14ac:dyDescent="0.3">
      <c r="A1384" s="40"/>
      <c r="B1384" s="41" t="s">
        <v>1362</v>
      </c>
      <c r="C1384" s="41">
        <v>1847</v>
      </c>
    </row>
    <row r="1385" spans="1:3" x14ac:dyDescent="0.3">
      <c r="A1385" s="40"/>
      <c r="B1385" s="41" t="s">
        <v>1363</v>
      </c>
      <c r="C1385" s="41">
        <v>1848</v>
      </c>
    </row>
    <row r="1386" spans="1:3" x14ac:dyDescent="0.3">
      <c r="A1386" s="40"/>
      <c r="B1386" s="41" t="s">
        <v>195</v>
      </c>
      <c r="C1386" s="41">
        <v>1849</v>
      </c>
    </row>
    <row r="1387" spans="1:3" x14ac:dyDescent="0.3">
      <c r="A1387" s="40"/>
      <c r="B1387" s="41" t="s">
        <v>1364</v>
      </c>
      <c r="C1387" s="41">
        <v>801</v>
      </c>
    </row>
    <row r="1388" spans="1:3" x14ac:dyDescent="0.3">
      <c r="A1388" s="40"/>
      <c r="B1388" s="41" t="s">
        <v>1365</v>
      </c>
      <c r="C1388" s="41">
        <v>1363</v>
      </c>
    </row>
    <row r="1389" spans="1:3" x14ac:dyDescent="0.3">
      <c r="A1389" s="40"/>
      <c r="B1389" s="41" t="s">
        <v>1366</v>
      </c>
      <c r="C1389" s="41">
        <v>1291</v>
      </c>
    </row>
    <row r="1390" spans="1:3" x14ac:dyDescent="0.3">
      <c r="A1390" s="40"/>
      <c r="B1390" s="41" t="s">
        <v>1367</v>
      </c>
      <c r="C1390" s="41">
        <v>2601</v>
      </c>
    </row>
    <row r="1391" spans="1:3" x14ac:dyDescent="0.3">
      <c r="A1391" s="40"/>
      <c r="B1391" s="41" t="s">
        <v>1368</v>
      </c>
      <c r="C1391" s="41">
        <v>805</v>
      </c>
    </row>
    <row r="1392" spans="1:3" x14ac:dyDescent="0.3">
      <c r="A1392" s="40"/>
      <c r="B1392" s="41" t="s">
        <v>1369</v>
      </c>
      <c r="C1392" s="41">
        <v>2542</v>
      </c>
    </row>
    <row r="1393" spans="1:3" x14ac:dyDescent="0.3">
      <c r="A1393" s="40"/>
      <c r="B1393" s="41" t="s">
        <v>1000</v>
      </c>
      <c r="C1393" s="41">
        <v>1897</v>
      </c>
    </row>
    <row r="1394" spans="1:3" x14ac:dyDescent="0.3">
      <c r="A1394" s="40"/>
      <c r="B1394" s="41" t="s">
        <v>1370</v>
      </c>
      <c r="C1394" s="41">
        <v>2970</v>
      </c>
    </row>
    <row r="1395" spans="1:3" x14ac:dyDescent="0.3">
      <c r="A1395" s="40"/>
      <c r="B1395" s="41" t="s">
        <v>1371</v>
      </c>
      <c r="C1395" s="41">
        <v>2543</v>
      </c>
    </row>
    <row r="1396" spans="1:3" x14ac:dyDescent="0.3">
      <c r="A1396" s="40"/>
      <c r="B1396" s="41" t="s">
        <v>1372</v>
      </c>
      <c r="C1396" s="41">
        <v>2969</v>
      </c>
    </row>
    <row r="1397" spans="1:3" x14ac:dyDescent="0.3">
      <c r="A1397" s="40"/>
      <c r="B1397" s="41" t="s">
        <v>1008</v>
      </c>
      <c r="C1397" s="41">
        <v>1357</v>
      </c>
    </row>
    <row r="1398" spans="1:3" x14ac:dyDescent="0.3">
      <c r="A1398" s="40"/>
      <c r="B1398" s="41" t="s">
        <v>1373</v>
      </c>
      <c r="C1398" s="41">
        <v>1854</v>
      </c>
    </row>
    <row r="1399" spans="1:3" x14ac:dyDescent="0.3">
      <c r="A1399" s="40"/>
      <c r="B1399" s="41" t="s">
        <v>1374</v>
      </c>
      <c r="C1399" s="41">
        <v>1914</v>
      </c>
    </row>
    <row r="1400" spans="1:3" x14ac:dyDescent="0.3">
      <c r="A1400" s="40"/>
      <c r="B1400" s="41" t="s">
        <v>1375</v>
      </c>
      <c r="C1400" s="41">
        <v>1975</v>
      </c>
    </row>
    <row r="1401" spans="1:3" x14ac:dyDescent="0.3">
      <c r="A1401" s="40"/>
      <c r="B1401" s="41" t="s">
        <v>1376</v>
      </c>
      <c r="C1401" s="41">
        <v>706</v>
      </c>
    </row>
    <row r="1402" spans="1:3" x14ac:dyDescent="0.3">
      <c r="A1402" s="40"/>
      <c r="B1402" s="41" t="s">
        <v>1377</v>
      </c>
      <c r="C1402" s="41">
        <v>1915</v>
      </c>
    </row>
    <row r="1403" spans="1:3" x14ac:dyDescent="0.3">
      <c r="A1403" s="40"/>
      <c r="B1403" s="41" t="s">
        <v>1378</v>
      </c>
      <c r="C1403" s="41">
        <v>1850</v>
      </c>
    </row>
    <row r="1404" spans="1:3" x14ac:dyDescent="0.3">
      <c r="A1404" s="40"/>
      <c r="B1404" s="41" t="s">
        <v>1379</v>
      </c>
      <c r="C1404" s="41">
        <v>705</v>
      </c>
    </row>
    <row r="1405" spans="1:3" x14ac:dyDescent="0.3">
      <c r="A1405" s="40"/>
      <c r="B1405" s="41" t="s">
        <v>1380</v>
      </c>
      <c r="C1405" s="41">
        <v>717</v>
      </c>
    </row>
    <row r="1406" spans="1:3" x14ac:dyDescent="0.3">
      <c r="A1406" s="40"/>
      <c r="B1406" s="41" t="s">
        <v>1381</v>
      </c>
      <c r="C1406" s="41">
        <v>1853</v>
      </c>
    </row>
    <row r="1407" spans="1:3" x14ac:dyDescent="0.3">
      <c r="A1407" s="40"/>
      <c r="B1407" s="41" t="s">
        <v>1382</v>
      </c>
      <c r="C1407" s="41">
        <v>800</v>
      </c>
    </row>
    <row r="1408" spans="1:3" x14ac:dyDescent="0.3">
      <c r="A1408" s="40" t="s">
        <v>757</v>
      </c>
      <c r="B1408" s="41"/>
      <c r="C1408" s="41"/>
    </row>
    <row r="1409" spans="1:3" x14ac:dyDescent="0.3">
      <c r="A1409" s="40"/>
      <c r="B1409" s="41" t="s">
        <v>1383</v>
      </c>
      <c r="C1409" s="41">
        <v>1945</v>
      </c>
    </row>
    <row r="1410" spans="1:3" x14ac:dyDescent="0.3">
      <c r="A1410" s="40"/>
      <c r="B1410" s="41" t="s">
        <v>1384</v>
      </c>
      <c r="C1410" s="41">
        <v>1930</v>
      </c>
    </row>
    <row r="1411" spans="1:3" x14ac:dyDescent="0.3">
      <c r="A1411" s="40"/>
      <c r="B1411" s="41" t="s">
        <v>1385</v>
      </c>
      <c r="C1411" s="41">
        <v>1362</v>
      </c>
    </row>
    <row r="1412" spans="1:3" x14ac:dyDescent="0.3">
      <c r="A1412" s="40"/>
      <c r="B1412" s="41" t="s">
        <v>1365</v>
      </c>
      <c r="C1412" s="41">
        <v>1363</v>
      </c>
    </row>
    <row r="1413" spans="1:3" x14ac:dyDescent="0.3">
      <c r="A1413" s="40"/>
      <c r="B1413" s="41" t="s">
        <v>121</v>
      </c>
      <c r="C1413" s="41">
        <v>1816</v>
      </c>
    </row>
    <row r="1414" spans="1:3" x14ac:dyDescent="0.3">
      <c r="A1414" s="40"/>
      <c r="B1414" s="41" t="s">
        <v>122</v>
      </c>
      <c r="C1414" s="41">
        <v>840</v>
      </c>
    </row>
    <row r="1415" spans="1:3" x14ac:dyDescent="0.3">
      <c r="A1415" s="40"/>
      <c r="B1415" s="41" t="s">
        <v>1386</v>
      </c>
      <c r="C1415" s="41">
        <v>2428</v>
      </c>
    </row>
    <row r="1416" spans="1:3" x14ac:dyDescent="0.3">
      <c r="A1416" s="40"/>
      <c r="B1416" s="41" t="s">
        <v>1387</v>
      </c>
      <c r="C1416" s="41">
        <v>1903</v>
      </c>
    </row>
    <row r="1417" spans="1:3" x14ac:dyDescent="0.3">
      <c r="A1417" s="40"/>
      <c r="B1417" s="41" t="s">
        <v>1388</v>
      </c>
      <c r="C1417" s="41">
        <v>830</v>
      </c>
    </row>
    <row r="1418" spans="1:3" x14ac:dyDescent="0.3">
      <c r="A1418" s="40"/>
      <c r="B1418" s="41" t="s">
        <v>1389</v>
      </c>
      <c r="C1418" s="41">
        <v>845</v>
      </c>
    </row>
    <row r="1419" spans="1:3" x14ac:dyDescent="0.3">
      <c r="A1419" s="40"/>
      <c r="B1419" s="41" t="s">
        <v>1390</v>
      </c>
      <c r="C1419" s="41">
        <v>2638</v>
      </c>
    </row>
    <row r="1420" spans="1:3" x14ac:dyDescent="0.3">
      <c r="A1420" s="40"/>
      <c r="B1420" s="41" t="s">
        <v>1088</v>
      </c>
      <c r="C1420" s="41">
        <v>1288</v>
      </c>
    </row>
    <row r="1421" spans="1:3" x14ac:dyDescent="0.3">
      <c r="A1421" s="40"/>
      <c r="B1421" s="41" t="s">
        <v>1391</v>
      </c>
      <c r="C1421" s="41">
        <v>1875</v>
      </c>
    </row>
    <row r="1422" spans="1:3" x14ac:dyDescent="0.3">
      <c r="A1422" s="40"/>
      <c r="B1422" s="41" t="s">
        <v>1392</v>
      </c>
      <c r="C1422" s="41">
        <v>837</v>
      </c>
    </row>
    <row r="1423" spans="1:3" x14ac:dyDescent="0.3">
      <c r="A1423" s="40"/>
      <c r="B1423" s="41" t="s">
        <v>1393</v>
      </c>
      <c r="C1423" s="41">
        <v>2562</v>
      </c>
    </row>
    <row r="1424" spans="1:3" x14ac:dyDescent="0.3">
      <c r="A1424" s="40"/>
      <c r="B1424" s="41" t="s">
        <v>1394</v>
      </c>
      <c r="C1424" s="41">
        <v>1359</v>
      </c>
    </row>
    <row r="1425" spans="1:3" x14ac:dyDescent="0.3">
      <c r="A1425" s="40"/>
      <c r="B1425" s="41" t="s">
        <v>818</v>
      </c>
      <c r="C1425" s="41">
        <v>1355</v>
      </c>
    </row>
    <row r="1426" spans="1:3" x14ac:dyDescent="0.3">
      <c r="A1426" s="40"/>
      <c r="B1426" s="41" t="s">
        <v>1395</v>
      </c>
      <c r="C1426" s="41">
        <v>1361</v>
      </c>
    </row>
    <row r="1427" spans="1:3" x14ac:dyDescent="0.3">
      <c r="A1427" s="40"/>
      <c r="B1427" s="41" t="s">
        <v>1396</v>
      </c>
      <c r="C1427" s="41">
        <v>2772</v>
      </c>
    </row>
    <row r="1428" spans="1:3" x14ac:dyDescent="0.3">
      <c r="A1428" s="40"/>
      <c r="B1428" s="41" t="s">
        <v>965</v>
      </c>
      <c r="C1428" s="41">
        <v>2591</v>
      </c>
    </row>
    <row r="1429" spans="1:3" x14ac:dyDescent="0.3">
      <c r="A1429" s="40"/>
      <c r="B1429" s="41" t="s">
        <v>1397</v>
      </c>
      <c r="C1429" s="41">
        <v>1812</v>
      </c>
    </row>
    <row r="1430" spans="1:3" x14ac:dyDescent="0.3">
      <c r="A1430" s="40"/>
      <c r="B1430" s="41" t="s">
        <v>1398</v>
      </c>
      <c r="C1430" s="41">
        <v>2644</v>
      </c>
    </row>
    <row r="1431" spans="1:3" x14ac:dyDescent="0.3">
      <c r="A1431" s="40"/>
      <c r="B1431" s="41" t="s">
        <v>1399</v>
      </c>
      <c r="C1431" s="41">
        <v>1971</v>
      </c>
    </row>
    <row r="1432" spans="1:3" x14ac:dyDescent="0.3">
      <c r="A1432" s="40"/>
      <c r="B1432" s="41" t="s">
        <v>1400</v>
      </c>
      <c r="C1432" s="41">
        <v>2674</v>
      </c>
    </row>
    <row r="1433" spans="1:3" x14ac:dyDescent="0.3">
      <c r="A1433" s="40"/>
      <c r="B1433" s="41" t="s">
        <v>1401</v>
      </c>
      <c r="C1433" s="41">
        <v>1963</v>
      </c>
    </row>
    <row r="1434" spans="1:3" x14ac:dyDescent="0.3">
      <c r="A1434" s="40"/>
      <c r="B1434" s="41" t="s">
        <v>1402</v>
      </c>
      <c r="C1434" s="41">
        <v>2002</v>
      </c>
    </row>
    <row r="1435" spans="1:3" x14ac:dyDescent="0.3">
      <c r="A1435" s="40"/>
      <c r="B1435" s="41" t="s">
        <v>1403</v>
      </c>
      <c r="C1435" s="41">
        <v>703</v>
      </c>
    </row>
    <row r="1436" spans="1:3" x14ac:dyDescent="0.3">
      <c r="A1436" s="40"/>
      <c r="B1436" s="41" t="s">
        <v>1404</v>
      </c>
      <c r="C1436" s="41">
        <v>838</v>
      </c>
    </row>
    <row r="1437" spans="1:3" x14ac:dyDescent="0.3">
      <c r="A1437" s="40"/>
      <c r="B1437" s="41" t="s">
        <v>1405</v>
      </c>
      <c r="C1437" s="41">
        <v>2942</v>
      </c>
    </row>
    <row r="1438" spans="1:3" x14ac:dyDescent="0.3">
      <c r="A1438" s="40"/>
      <c r="B1438" s="41" t="s">
        <v>1406</v>
      </c>
      <c r="C1438" s="41">
        <v>2765</v>
      </c>
    </row>
    <row r="1439" spans="1:3" x14ac:dyDescent="0.3">
      <c r="A1439" s="40"/>
      <c r="B1439" s="41" t="s">
        <v>1407</v>
      </c>
      <c r="C1439" s="41">
        <v>2284</v>
      </c>
    </row>
    <row r="1440" spans="1:3" x14ac:dyDescent="0.3">
      <c r="A1440" s="40"/>
      <c r="B1440" s="41" t="s">
        <v>1408</v>
      </c>
      <c r="C1440" s="41">
        <v>704</v>
      </c>
    </row>
    <row r="1441" spans="1:3" x14ac:dyDescent="0.3">
      <c r="A1441" s="40"/>
      <c r="B1441" s="41" t="s">
        <v>1409</v>
      </c>
      <c r="C1441" s="41">
        <v>1360</v>
      </c>
    </row>
    <row r="1442" spans="1:3" x14ac:dyDescent="0.3">
      <c r="A1442" s="40"/>
      <c r="B1442" s="41" t="s">
        <v>1410</v>
      </c>
      <c r="C1442" s="41">
        <v>2946</v>
      </c>
    </row>
    <row r="1443" spans="1:3" x14ac:dyDescent="0.3">
      <c r="A1443" s="40"/>
      <c r="B1443" s="41" t="s">
        <v>1411</v>
      </c>
      <c r="C1443" s="41">
        <v>1813</v>
      </c>
    </row>
    <row r="1444" spans="1:3" x14ac:dyDescent="0.3">
      <c r="A1444" s="40"/>
      <c r="B1444" s="41" t="s">
        <v>757</v>
      </c>
      <c r="C1444" s="41">
        <v>655</v>
      </c>
    </row>
  </sheetData>
  <sheetProtection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4879E-DD8A-4E21-A92E-404DED4CF311}">
  <dimension ref="A1:AN2201"/>
  <sheetViews>
    <sheetView topLeftCell="L1" zoomScale="115" zoomScaleNormal="115" workbookViewId="0">
      <pane ySplit="4" topLeftCell="A2135" activePane="bottomLeft" state="frozen"/>
      <selection activeCell="F1" sqref="F1"/>
      <selection pane="bottomLeft" activeCell="AA2144" sqref="AA2144"/>
    </sheetView>
  </sheetViews>
  <sheetFormatPr baseColWidth="10" defaultColWidth="11" defaultRowHeight="13.2" x14ac:dyDescent="0.25"/>
  <cols>
    <col min="1" max="1" width="11" style="182"/>
    <col min="2" max="2" width="8.88671875" style="182" customWidth="1"/>
    <col min="3" max="3" width="9.5546875" style="182" customWidth="1"/>
    <col min="4" max="4" width="9.33203125" style="182" customWidth="1"/>
    <col min="5" max="5" width="7.88671875" style="182" customWidth="1"/>
    <col min="6" max="6" width="5.33203125" style="182" customWidth="1"/>
    <col min="7" max="7" width="6.5546875" style="182" customWidth="1"/>
    <col min="8" max="8" width="9.33203125" style="182" customWidth="1"/>
    <col min="9" max="9" width="12.109375" style="184" customWidth="1"/>
    <col min="10" max="10" width="16.44140625" style="182" customWidth="1"/>
    <col min="11" max="11" width="9" style="182" customWidth="1"/>
    <col min="12" max="12" width="7.5546875" style="184" customWidth="1"/>
    <col min="13" max="13" width="7.44140625" style="182" customWidth="1"/>
    <col min="14" max="14" width="8.44140625" style="182" customWidth="1"/>
    <col min="15" max="15" width="10.44140625" style="182" customWidth="1"/>
    <col min="16" max="16" width="13.44140625" style="17" customWidth="1"/>
    <col min="17" max="17" width="11" style="197"/>
    <col min="18" max="20" width="7.109375" style="199" customWidth="1"/>
    <col min="21" max="21" width="9.44140625" style="19" customWidth="1"/>
    <col min="22" max="22" width="20.44140625" style="19" bestFit="1" customWidth="1"/>
    <col min="23" max="23" width="21.44140625" style="199" bestFit="1" customWidth="1"/>
    <col min="24" max="30" width="11" style="197"/>
    <col min="31" max="31" width="11.5546875" style="197" bestFit="1" customWidth="1"/>
    <col min="32" max="32" width="11" style="197"/>
    <col min="33" max="33" width="23.5546875" style="198" customWidth="1"/>
    <col min="34" max="35" width="11" style="198"/>
    <col min="36" max="36" width="9.6640625" style="20" customWidth="1"/>
    <col min="37" max="37" width="12" style="198" customWidth="1"/>
    <col min="38" max="38" width="13.33203125" style="198" customWidth="1"/>
    <col min="39" max="39" width="11" style="198"/>
    <col min="40" max="40" width="38" style="198" customWidth="1"/>
    <col min="41" max="16384" width="11" style="198"/>
  </cols>
  <sheetData>
    <row r="1" spans="1:40" x14ac:dyDescent="0.25">
      <c r="S1" s="199">
        <f>(36+15+8+44+150)/2000</f>
        <v>0.1265</v>
      </c>
    </row>
    <row r="2" spans="1:40" x14ac:dyDescent="0.25">
      <c r="A2" s="182" t="s">
        <v>7093</v>
      </c>
      <c r="AC2" s="175">
        <f>SUM(AC5:AC13198)</f>
        <v>57.225000000000016</v>
      </c>
      <c r="AD2" s="175">
        <f>SUM(AD5:AD13198)</f>
        <v>205.99989999999974</v>
      </c>
    </row>
    <row r="4" spans="1:40" s="200" customFormat="1" x14ac:dyDescent="0.25">
      <c r="A4" s="200" t="s">
        <v>26</v>
      </c>
      <c r="B4" s="187" t="s">
        <v>27</v>
      </c>
      <c r="C4" s="188" t="s">
        <v>28</v>
      </c>
      <c r="D4" s="200" t="s">
        <v>29</v>
      </c>
      <c r="E4" s="200" t="s">
        <v>30</v>
      </c>
      <c r="F4" s="200" t="s">
        <v>31</v>
      </c>
      <c r="G4" s="200" t="s">
        <v>32</v>
      </c>
      <c r="H4" s="200" t="s">
        <v>33</v>
      </c>
      <c r="I4" s="189" t="s">
        <v>34</v>
      </c>
      <c r="J4" s="200" t="s">
        <v>35</v>
      </c>
      <c r="K4" s="200" t="s">
        <v>36</v>
      </c>
      <c r="L4" s="190" t="s">
        <v>37</v>
      </c>
      <c r="M4" s="200" t="s">
        <v>38</v>
      </c>
      <c r="N4" s="200" t="s">
        <v>39</v>
      </c>
      <c r="O4" s="200" t="s">
        <v>40</v>
      </c>
      <c r="P4" s="191" t="s">
        <v>41</v>
      </c>
      <c r="Q4" s="192" t="s">
        <v>42</v>
      </c>
      <c r="R4" s="200" t="s">
        <v>6555</v>
      </c>
      <c r="S4" s="200" t="s">
        <v>8606</v>
      </c>
      <c r="T4" s="200" t="s">
        <v>9909</v>
      </c>
      <c r="U4" s="200" t="s">
        <v>4882</v>
      </c>
      <c r="V4" s="200" t="s">
        <v>8641</v>
      </c>
      <c r="W4" s="200" t="s">
        <v>6554</v>
      </c>
      <c r="X4" s="200" t="s">
        <v>6556</v>
      </c>
      <c r="Z4" s="200" t="s">
        <v>8607</v>
      </c>
      <c r="AA4" s="200" t="s">
        <v>8608</v>
      </c>
      <c r="AC4" s="76">
        <v>43739</v>
      </c>
      <c r="AD4" s="76">
        <v>43770</v>
      </c>
      <c r="AE4" s="76">
        <v>43800</v>
      </c>
      <c r="AG4" s="200" t="s">
        <v>46</v>
      </c>
      <c r="AJ4" s="28" t="s">
        <v>3794</v>
      </c>
      <c r="AK4" s="200" t="s">
        <v>47</v>
      </c>
      <c r="AL4" s="200" t="s">
        <v>48</v>
      </c>
      <c r="AM4" s="200" t="s">
        <v>49</v>
      </c>
      <c r="AN4" s="200" t="s">
        <v>50</v>
      </c>
    </row>
    <row r="5" spans="1:40" s="209" customFormat="1" ht="14.25" customHeight="1" x14ac:dyDescent="0.25">
      <c r="A5" s="204"/>
      <c r="B5" s="204"/>
      <c r="C5" s="204"/>
      <c r="D5" s="204"/>
      <c r="E5" s="204"/>
      <c r="F5" s="204"/>
      <c r="G5" s="204"/>
      <c r="H5" s="204"/>
      <c r="I5" s="205"/>
      <c r="J5" s="74"/>
      <c r="K5" s="204"/>
      <c r="L5" s="205"/>
      <c r="M5" s="204"/>
      <c r="N5" s="204"/>
      <c r="O5" s="204" t="s">
        <v>9018</v>
      </c>
      <c r="P5" s="206"/>
      <c r="Q5" s="208">
        <v>0.99</v>
      </c>
      <c r="R5" s="207"/>
      <c r="S5" s="207"/>
      <c r="T5" s="67"/>
      <c r="U5" s="67"/>
      <c r="V5" s="67"/>
      <c r="W5" s="67"/>
      <c r="X5" s="70">
        <f>0.99/100*7</f>
        <v>6.93E-2</v>
      </c>
      <c r="Y5" s="70"/>
      <c r="Z5" s="70"/>
      <c r="AA5" s="212"/>
      <c r="AB5" s="212"/>
      <c r="AC5" s="213"/>
      <c r="AD5" s="213">
        <f>Q5-X5</f>
        <v>0.92069999999999996</v>
      </c>
      <c r="AE5" s="213"/>
      <c r="AF5" s="213"/>
      <c r="AJ5" s="210"/>
      <c r="AN5" s="207"/>
    </row>
    <row r="6" spans="1:40" s="209" customFormat="1" ht="14.25" customHeight="1" x14ac:dyDescent="0.25">
      <c r="A6" s="204"/>
      <c r="B6" s="204"/>
      <c r="C6" s="204"/>
      <c r="D6" s="204"/>
      <c r="E6" s="204"/>
      <c r="F6" s="204"/>
      <c r="G6" s="204"/>
      <c r="H6" s="204"/>
      <c r="I6" s="205"/>
      <c r="J6" s="74"/>
      <c r="K6" s="204"/>
      <c r="L6" s="205"/>
      <c r="M6" s="204"/>
      <c r="N6" s="204"/>
      <c r="O6" s="204" t="s">
        <v>7086</v>
      </c>
      <c r="P6" s="206"/>
      <c r="Q6" s="208">
        <v>3.49</v>
      </c>
      <c r="R6" s="207"/>
      <c r="S6" s="207"/>
      <c r="T6" s="67"/>
      <c r="U6" s="67">
        <v>1.2</v>
      </c>
      <c r="V6" s="67">
        <v>0.7</v>
      </c>
      <c r="W6" s="67">
        <f>Q6-U6-V6</f>
        <v>1.59</v>
      </c>
      <c r="X6" s="70">
        <f>(T6+W6)/100*7</f>
        <v>0.11130000000000001</v>
      </c>
      <c r="Y6" s="70"/>
      <c r="Z6" s="70"/>
      <c r="AA6" s="212"/>
      <c r="AB6" s="212"/>
      <c r="AC6" s="213">
        <v>1.59</v>
      </c>
      <c r="AD6" s="213"/>
      <c r="AE6" s="213"/>
      <c r="AF6" s="213"/>
      <c r="AJ6" s="210"/>
      <c r="AN6" s="207"/>
    </row>
    <row r="7" spans="1:40" s="209" customFormat="1" ht="14.25" customHeight="1" x14ac:dyDescent="0.25">
      <c r="A7" s="204"/>
      <c r="B7" s="204"/>
      <c r="C7" s="204"/>
      <c r="D7" s="204"/>
      <c r="E7" s="204"/>
      <c r="F7" s="204"/>
      <c r="G7" s="204"/>
      <c r="H7" s="204"/>
      <c r="I7" s="205"/>
      <c r="J7" s="74"/>
      <c r="K7" s="204"/>
      <c r="L7" s="205"/>
      <c r="M7" s="204"/>
      <c r="N7" s="204"/>
      <c r="O7" s="204" t="s">
        <v>7090</v>
      </c>
      <c r="P7" s="206"/>
      <c r="Q7" s="208">
        <v>2.99</v>
      </c>
      <c r="R7" s="208">
        <f>2.99-2.4</f>
        <v>0.5900000000000003</v>
      </c>
      <c r="S7" s="208"/>
      <c r="T7" s="67"/>
      <c r="U7" s="67">
        <v>1.7</v>
      </c>
      <c r="V7" s="67">
        <v>0.7</v>
      </c>
      <c r="W7" s="67">
        <v>0.59</v>
      </c>
      <c r="X7" s="70">
        <f t="shared" ref="X7:X36" si="0">(T7+W7)/100*7</f>
        <v>4.1299999999999996E-2</v>
      </c>
      <c r="Y7" s="70"/>
      <c r="Z7" s="70"/>
      <c r="AA7" s="212"/>
      <c r="AB7" s="212"/>
      <c r="AC7" s="213">
        <v>0.59</v>
      </c>
      <c r="AD7" s="213"/>
      <c r="AE7" s="213"/>
      <c r="AF7" s="213"/>
      <c r="AJ7" s="210"/>
      <c r="AN7" s="207"/>
    </row>
    <row r="8" spans="1:40" s="209" customFormat="1" x14ac:dyDescent="0.25">
      <c r="A8" s="204">
        <v>676</v>
      </c>
      <c r="B8" s="204" t="s">
        <v>6083</v>
      </c>
      <c r="C8" s="204" t="s">
        <v>6084</v>
      </c>
      <c r="D8" s="204" t="s">
        <v>2036</v>
      </c>
      <c r="E8" s="204"/>
      <c r="F8" s="204">
        <v>1999</v>
      </c>
      <c r="G8" s="204"/>
      <c r="H8" s="204" t="s">
        <v>2734</v>
      </c>
      <c r="I8" s="205" t="s">
        <v>1879</v>
      </c>
      <c r="J8" s="204"/>
      <c r="K8" s="204" t="s">
        <v>1881</v>
      </c>
      <c r="L8" s="205" t="s">
        <v>6085</v>
      </c>
      <c r="M8" s="204">
        <v>218</v>
      </c>
      <c r="N8" s="204"/>
      <c r="O8" s="204" t="s">
        <v>5265</v>
      </c>
      <c r="P8" s="206">
        <v>287</v>
      </c>
      <c r="Q8" s="208">
        <f t="shared" ref="Q8:Q36" si="1">SUM(T8:X8)</f>
        <v>3.5263999999999998</v>
      </c>
      <c r="R8" s="207">
        <v>1.19</v>
      </c>
      <c r="S8" s="207"/>
      <c r="T8" s="67"/>
      <c r="U8" s="67">
        <v>1.2</v>
      </c>
      <c r="V8" s="67">
        <v>0.7</v>
      </c>
      <c r="W8" s="67">
        <f>1.72-0.2</f>
        <v>1.52</v>
      </c>
      <c r="X8" s="70">
        <f t="shared" si="0"/>
        <v>0.10639999999999999</v>
      </c>
      <c r="Y8" s="70"/>
      <c r="Z8" s="70"/>
      <c r="AA8" s="212"/>
      <c r="AB8" s="212"/>
      <c r="AC8" s="213">
        <v>1.52</v>
      </c>
      <c r="AD8" s="213"/>
      <c r="AE8" s="213"/>
      <c r="AF8" s="213"/>
      <c r="AJ8" s="210"/>
    </row>
    <row r="9" spans="1:40" s="209" customFormat="1" x14ac:dyDescent="0.25">
      <c r="A9" s="204"/>
      <c r="B9" s="204" t="s">
        <v>2028</v>
      </c>
      <c r="C9" s="204" t="s">
        <v>2027</v>
      </c>
      <c r="D9" s="204" t="s">
        <v>1886</v>
      </c>
      <c r="E9" s="204"/>
      <c r="F9" s="204">
        <v>1969</v>
      </c>
      <c r="G9" s="204"/>
      <c r="H9" s="204" t="s">
        <v>1878</v>
      </c>
      <c r="I9" s="205" t="s">
        <v>1879</v>
      </c>
      <c r="J9" s="204" t="s">
        <v>2024</v>
      </c>
      <c r="K9" s="204" t="s">
        <v>1881</v>
      </c>
      <c r="L9" s="205"/>
      <c r="M9" s="204">
        <v>158</v>
      </c>
      <c r="N9" s="204"/>
      <c r="O9" s="204" t="s">
        <v>1945</v>
      </c>
      <c r="P9" s="206">
        <v>117</v>
      </c>
      <c r="Q9" s="208">
        <f t="shared" si="1"/>
        <v>2.7452999999999999</v>
      </c>
      <c r="R9" s="207">
        <v>0.79</v>
      </c>
      <c r="S9" s="207"/>
      <c r="T9" s="67"/>
      <c r="U9" s="67">
        <v>1.2</v>
      </c>
      <c r="V9" s="67">
        <v>0.7</v>
      </c>
      <c r="W9" s="67">
        <f t="shared" ref="W9:W20" si="2">IF(R9&gt;T9,R9,T9)</f>
        <v>0.79</v>
      </c>
      <c r="X9" s="70">
        <f t="shared" si="0"/>
        <v>5.5300000000000002E-2</v>
      </c>
      <c r="Y9" s="70"/>
      <c r="Z9" s="70"/>
      <c r="AA9" s="212"/>
      <c r="AB9" s="212"/>
      <c r="AC9" s="213">
        <v>0.79</v>
      </c>
      <c r="AD9" s="213"/>
      <c r="AE9" s="213"/>
      <c r="AF9" s="213"/>
      <c r="AJ9" s="210"/>
      <c r="AK9" s="209" t="s">
        <v>51</v>
      </c>
      <c r="AL9" s="209" t="s">
        <v>51</v>
      </c>
      <c r="AM9" s="209" t="s">
        <v>51</v>
      </c>
      <c r="AN9" s="207"/>
    </row>
    <row r="10" spans="1:40" s="209" customFormat="1" x14ac:dyDescent="0.25">
      <c r="A10" s="204">
        <v>701</v>
      </c>
      <c r="B10" s="204" t="s">
        <v>2211</v>
      </c>
      <c r="C10" s="204" t="s">
        <v>2212</v>
      </c>
      <c r="D10" s="204" t="s">
        <v>1912</v>
      </c>
      <c r="E10" s="204" t="s">
        <v>2157</v>
      </c>
      <c r="F10" s="204">
        <v>2002</v>
      </c>
      <c r="G10" s="204"/>
      <c r="H10" s="204" t="s">
        <v>1878</v>
      </c>
      <c r="I10" s="205" t="s">
        <v>1879</v>
      </c>
      <c r="J10" s="75" t="s">
        <v>2213</v>
      </c>
      <c r="K10" s="204" t="s">
        <v>1881</v>
      </c>
      <c r="L10" s="205" t="s">
        <v>2214</v>
      </c>
      <c r="M10" s="204">
        <v>576</v>
      </c>
      <c r="N10" s="204"/>
      <c r="O10" s="204" t="s">
        <v>2135</v>
      </c>
      <c r="P10" s="206">
        <v>500</v>
      </c>
      <c r="Q10" s="208">
        <f t="shared" si="1"/>
        <v>2.4869000000000003</v>
      </c>
      <c r="R10" s="207">
        <v>1.67</v>
      </c>
      <c r="S10" s="207"/>
      <c r="T10" s="67"/>
      <c r="U10" s="67"/>
      <c r="V10" s="67">
        <v>0.7</v>
      </c>
      <c r="W10" s="67">
        <f t="shared" si="2"/>
        <v>1.67</v>
      </c>
      <c r="X10" s="70">
        <f t="shared" si="0"/>
        <v>0.1169</v>
      </c>
      <c r="Y10" s="70"/>
      <c r="Z10" s="70"/>
      <c r="AA10" s="212"/>
      <c r="AB10" s="212"/>
      <c r="AC10" s="213">
        <v>1.67</v>
      </c>
      <c r="AD10" s="213"/>
      <c r="AE10" s="213"/>
      <c r="AF10" s="213"/>
      <c r="AJ10" s="210"/>
      <c r="AK10" s="209" t="s">
        <v>51</v>
      </c>
      <c r="AL10" s="209" t="s">
        <v>51</v>
      </c>
      <c r="AM10" s="209" t="s">
        <v>51</v>
      </c>
      <c r="AN10" s="207"/>
    </row>
    <row r="11" spans="1:40" s="209" customFormat="1" x14ac:dyDescent="0.25">
      <c r="A11" s="204">
        <v>796</v>
      </c>
      <c r="B11" s="204" t="s">
        <v>2307</v>
      </c>
      <c r="C11" s="204" t="s">
        <v>2308</v>
      </c>
      <c r="D11" s="204" t="s">
        <v>2309</v>
      </c>
      <c r="E11" s="204" t="s">
        <v>1913</v>
      </c>
      <c r="F11" s="204">
        <v>2015</v>
      </c>
      <c r="G11" s="204"/>
      <c r="H11" s="204" t="s">
        <v>1878</v>
      </c>
      <c r="I11" s="205" t="s">
        <v>1929</v>
      </c>
      <c r="J11" s="69" t="s">
        <v>2310</v>
      </c>
      <c r="K11" s="204" t="s">
        <v>1881</v>
      </c>
      <c r="L11" s="205" t="s">
        <v>2311</v>
      </c>
      <c r="M11" s="204">
        <v>384</v>
      </c>
      <c r="N11" s="204"/>
      <c r="O11" s="204" t="s">
        <v>2263</v>
      </c>
      <c r="P11" s="206">
        <v>295</v>
      </c>
      <c r="Q11" s="208">
        <f t="shared" si="1"/>
        <v>2.9592999999999998</v>
      </c>
      <c r="R11" s="207">
        <v>0.99</v>
      </c>
      <c r="S11" s="207"/>
      <c r="T11" s="67"/>
      <c r="U11" s="67">
        <v>1.2</v>
      </c>
      <c r="V11" s="67">
        <v>0.7</v>
      </c>
      <c r="W11" s="67">
        <f t="shared" si="2"/>
        <v>0.99</v>
      </c>
      <c r="X11" s="70">
        <f t="shared" si="0"/>
        <v>6.93E-2</v>
      </c>
      <c r="Y11" s="70"/>
      <c r="Z11" s="70"/>
      <c r="AA11" s="212"/>
      <c r="AB11" s="212"/>
      <c r="AC11" s="213">
        <v>0.99</v>
      </c>
      <c r="AD11" s="213"/>
      <c r="AE11" s="213"/>
      <c r="AF11" s="213"/>
      <c r="AJ11" s="210"/>
      <c r="AK11" s="209" t="s">
        <v>51</v>
      </c>
      <c r="AL11" s="209" t="s">
        <v>51</v>
      </c>
      <c r="AM11" s="209" t="s">
        <v>51</v>
      </c>
      <c r="AN11" s="207"/>
    </row>
    <row r="12" spans="1:40" s="209" customFormat="1" x14ac:dyDescent="0.25">
      <c r="A12" s="204">
        <v>632</v>
      </c>
      <c r="B12" s="204" t="s">
        <v>2373</v>
      </c>
      <c r="C12" s="204" t="s">
        <v>2374</v>
      </c>
      <c r="D12" s="204" t="s">
        <v>2300</v>
      </c>
      <c r="E12" s="204" t="s">
        <v>2375</v>
      </c>
      <c r="F12" s="204">
        <v>2004</v>
      </c>
      <c r="G12" s="204"/>
      <c r="H12" s="204" t="s">
        <v>1878</v>
      </c>
      <c r="I12" s="205" t="s">
        <v>1879</v>
      </c>
      <c r="J12" s="204"/>
      <c r="K12" s="204" t="s">
        <v>1881</v>
      </c>
      <c r="L12" s="205" t="s">
        <v>2376</v>
      </c>
      <c r="M12" s="204">
        <v>448</v>
      </c>
      <c r="N12" s="204"/>
      <c r="O12" s="204" t="s">
        <v>2278</v>
      </c>
      <c r="P12" s="206">
        <v>439</v>
      </c>
      <c r="Q12" s="208">
        <f t="shared" si="1"/>
        <v>2.4242999999999997</v>
      </c>
      <c r="R12" s="207">
        <v>0.49</v>
      </c>
      <c r="S12" s="207"/>
      <c r="T12" s="67"/>
      <c r="U12" s="67">
        <v>1.2</v>
      </c>
      <c r="V12" s="67">
        <v>0.7</v>
      </c>
      <c r="W12" s="67">
        <f t="shared" si="2"/>
        <v>0.49</v>
      </c>
      <c r="X12" s="70">
        <f t="shared" si="0"/>
        <v>3.4299999999999997E-2</v>
      </c>
      <c r="Y12" s="70"/>
      <c r="Z12" s="70"/>
      <c r="AA12" s="212"/>
      <c r="AB12" s="212"/>
      <c r="AC12" s="213">
        <v>0.77</v>
      </c>
      <c r="AD12" s="213"/>
      <c r="AE12" s="213"/>
      <c r="AF12" s="213"/>
      <c r="AJ12" s="210"/>
      <c r="AK12" s="209" t="s">
        <v>51</v>
      </c>
      <c r="AL12" s="209" t="s">
        <v>51</v>
      </c>
      <c r="AM12" s="209" t="s">
        <v>51</v>
      </c>
      <c r="AN12" s="207"/>
    </row>
    <row r="13" spans="1:40" s="209" customFormat="1" x14ac:dyDescent="0.25">
      <c r="A13" s="204">
        <v>1395</v>
      </c>
      <c r="B13" s="204" t="s">
        <v>2510</v>
      </c>
      <c r="C13" s="204" t="s">
        <v>2624</v>
      </c>
      <c r="D13" s="204" t="s">
        <v>2232</v>
      </c>
      <c r="E13" s="204" t="s">
        <v>1877</v>
      </c>
      <c r="F13" s="204">
        <v>2011</v>
      </c>
      <c r="G13" s="204"/>
      <c r="H13" s="204" t="s">
        <v>1878</v>
      </c>
      <c r="I13" s="205" t="s">
        <v>1879</v>
      </c>
      <c r="J13" s="204"/>
      <c r="K13" s="204" t="s">
        <v>1881</v>
      </c>
      <c r="L13" s="205" t="s">
        <v>2625</v>
      </c>
      <c r="M13" s="204">
        <v>434</v>
      </c>
      <c r="N13" s="204"/>
      <c r="O13" s="204" t="s">
        <v>2555</v>
      </c>
      <c r="P13" s="206">
        <v>362</v>
      </c>
      <c r="Q13" s="208">
        <f t="shared" si="1"/>
        <v>2.2530999999999999</v>
      </c>
      <c r="R13" s="207">
        <v>0.33</v>
      </c>
      <c r="S13" s="207"/>
      <c r="T13" s="67"/>
      <c r="U13" s="67">
        <v>1.2</v>
      </c>
      <c r="V13" s="67">
        <v>0.7</v>
      </c>
      <c r="W13" s="67">
        <f t="shared" si="2"/>
        <v>0.33</v>
      </c>
      <c r="X13" s="70">
        <f t="shared" si="0"/>
        <v>2.3099999999999999E-2</v>
      </c>
      <c r="Y13" s="70"/>
      <c r="Z13" s="70"/>
      <c r="AA13" s="212"/>
      <c r="AB13" s="212"/>
      <c r="AC13" s="213">
        <v>0.33</v>
      </c>
      <c r="AD13" s="213"/>
      <c r="AE13" s="213"/>
      <c r="AF13" s="213"/>
      <c r="AJ13" s="210"/>
    </row>
    <row r="14" spans="1:40" s="209" customFormat="1" x14ac:dyDescent="0.25">
      <c r="A14" s="204">
        <v>2571</v>
      </c>
      <c r="B14" s="204" t="s">
        <v>2928</v>
      </c>
      <c r="C14" s="204" t="s">
        <v>2929</v>
      </c>
      <c r="D14" s="204" t="s">
        <v>2300</v>
      </c>
      <c r="E14" s="204"/>
      <c r="F14" s="204">
        <v>2018</v>
      </c>
      <c r="G14" s="204"/>
      <c r="H14" s="204" t="s">
        <v>1878</v>
      </c>
      <c r="I14" s="205" t="s">
        <v>1929</v>
      </c>
      <c r="J14" s="204"/>
      <c r="K14" s="204" t="s">
        <v>1881</v>
      </c>
      <c r="L14" s="205" t="s">
        <v>2930</v>
      </c>
      <c r="M14" s="204">
        <v>480</v>
      </c>
      <c r="N14" s="204"/>
      <c r="O14" s="204" t="s">
        <v>2907</v>
      </c>
      <c r="P14" s="206">
        <v>360</v>
      </c>
      <c r="Q14" s="208">
        <f t="shared" si="1"/>
        <v>4.7852999999999994</v>
      </c>
      <c r="R14" s="207">
        <v>2.79</v>
      </c>
      <c r="S14" s="207"/>
      <c r="T14" s="67"/>
      <c r="U14" s="67">
        <v>1.2</v>
      </c>
      <c r="V14" s="67">
        <v>0.6</v>
      </c>
      <c r="W14" s="67">
        <f t="shared" si="2"/>
        <v>2.79</v>
      </c>
      <c r="X14" s="70">
        <f t="shared" si="0"/>
        <v>0.1953</v>
      </c>
      <c r="Y14" s="70"/>
      <c r="Z14" s="70"/>
      <c r="AC14" s="82">
        <v>2.79</v>
      </c>
      <c r="AD14" s="82"/>
      <c r="AE14" s="82"/>
      <c r="AF14" s="82"/>
      <c r="AJ14" s="210"/>
    </row>
    <row r="15" spans="1:40" s="209" customFormat="1" x14ac:dyDescent="0.25">
      <c r="A15" s="204">
        <v>2571</v>
      </c>
      <c r="B15" s="204" t="s">
        <v>2982</v>
      </c>
      <c r="C15" s="204" t="s">
        <v>2983</v>
      </c>
      <c r="D15" s="204" t="s">
        <v>1912</v>
      </c>
      <c r="E15" s="204" t="s">
        <v>1913</v>
      </c>
      <c r="F15" s="204">
        <v>2016</v>
      </c>
      <c r="G15" s="204"/>
      <c r="H15" s="204" t="s">
        <v>2963</v>
      </c>
      <c r="I15" s="205" t="s">
        <v>1929</v>
      </c>
      <c r="J15" s="204"/>
      <c r="K15" s="204" t="s">
        <v>1881</v>
      </c>
      <c r="L15" s="205" t="s">
        <v>2984</v>
      </c>
      <c r="M15" s="204">
        <v>482</v>
      </c>
      <c r="N15" s="204"/>
      <c r="O15" s="204" t="s">
        <v>2950</v>
      </c>
      <c r="P15" s="206">
        <v>679</v>
      </c>
      <c r="Q15" s="208">
        <f t="shared" si="1"/>
        <v>4.7861000000000002</v>
      </c>
      <c r="R15" s="207">
        <v>2.23</v>
      </c>
      <c r="S15" s="207"/>
      <c r="T15" s="67"/>
      <c r="U15" s="67">
        <v>1.7</v>
      </c>
      <c r="V15" s="67">
        <v>0.7</v>
      </c>
      <c r="W15" s="67">
        <f t="shared" si="2"/>
        <v>2.23</v>
      </c>
      <c r="X15" s="70">
        <f t="shared" si="0"/>
        <v>0.15610000000000002</v>
      </c>
      <c r="Y15" s="70"/>
      <c r="Z15" s="70"/>
      <c r="AA15" s="212"/>
      <c r="AB15" s="212"/>
      <c r="AC15" s="213">
        <v>2.23</v>
      </c>
      <c r="AD15" s="213"/>
      <c r="AE15" s="213"/>
      <c r="AF15" s="213"/>
      <c r="AJ15" s="210"/>
    </row>
    <row r="16" spans="1:40" s="209" customFormat="1" x14ac:dyDescent="0.25">
      <c r="A16" s="204">
        <v>796</v>
      </c>
      <c r="B16" s="204" t="s">
        <v>2985</v>
      </c>
      <c r="C16" s="204" t="s">
        <v>2986</v>
      </c>
      <c r="D16" s="204" t="s">
        <v>2209</v>
      </c>
      <c r="E16" s="204"/>
      <c r="F16" s="204">
        <v>2011</v>
      </c>
      <c r="G16" s="204"/>
      <c r="H16" s="204" t="s">
        <v>1878</v>
      </c>
      <c r="I16" s="205" t="s">
        <v>1879</v>
      </c>
      <c r="J16" s="204" t="s">
        <v>2237</v>
      </c>
      <c r="K16" s="204" t="s">
        <v>1881</v>
      </c>
      <c r="L16" s="205" t="s">
        <v>2987</v>
      </c>
      <c r="M16" s="204">
        <v>366</v>
      </c>
      <c r="N16" s="204"/>
      <c r="O16" s="204" t="s">
        <v>2951</v>
      </c>
      <c r="P16" s="206">
        <v>304</v>
      </c>
      <c r="Q16" s="208">
        <f t="shared" si="1"/>
        <v>2.1903000000000001</v>
      </c>
      <c r="R16" s="207">
        <v>0.28999999999999998</v>
      </c>
      <c r="S16" s="207"/>
      <c r="T16" s="67"/>
      <c r="U16" s="67">
        <v>1.2</v>
      </c>
      <c r="V16" s="67">
        <v>0.68</v>
      </c>
      <c r="W16" s="67">
        <f t="shared" si="2"/>
        <v>0.28999999999999998</v>
      </c>
      <c r="X16" s="70">
        <f t="shared" si="0"/>
        <v>2.0299999999999999E-2</v>
      </c>
      <c r="Y16" s="70"/>
      <c r="Z16" s="70"/>
      <c r="AC16" s="82">
        <v>0.28999999999999998</v>
      </c>
      <c r="AD16" s="82"/>
      <c r="AE16" s="82"/>
      <c r="AF16" s="82"/>
      <c r="AJ16" s="210"/>
    </row>
    <row r="17" spans="1:36" s="209" customFormat="1" x14ac:dyDescent="0.25">
      <c r="A17" s="204">
        <v>765</v>
      </c>
      <c r="B17" s="204" t="s">
        <v>3028</v>
      </c>
      <c r="C17" s="204" t="s">
        <v>3029</v>
      </c>
      <c r="D17" s="204" t="s">
        <v>3030</v>
      </c>
      <c r="E17" s="204"/>
      <c r="F17" s="204">
        <v>2001</v>
      </c>
      <c r="G17" s="204"/>
      <c r="H17" s="204" t="s">
        <v>1878</v>
      </c>
      <c r="I17" s="205" t="s">
        <v>1879</v>
      </c>
      <c r="J17" s="204"/>
      <c r="K17" s="204" t="s">
        <v>1881</v>
      </c>
      <c r="L17" s="205" t="s">
        <v>3031</v>
      </c>
      <c r="M17" s="204">
        <v>224</v>
      </c>
      <c r="N17" s="204"/>
      <c r="O17" s="204" t="s">
        <v>2996</v>
      </c>
      <c r="P17" s="206">
        <v>337</v>
      </c>
      <c r="Q17" s="208">
        <f t="shared" si="1"/>
        <v>3.0932999999999997</v>
      </c>
      <c r="R17" s="207">
        <v>1.19</v>
      </c>
      <c r="S17" s="207"/>
      <c r="T17" s="67"/>
      <c r="U17" s="67">
        <v>1.2</v>
      </c>
      <c r="V17" s="67">
        <v>0.62</v>
      </c>
      <c r="W17" s="67">
        <f t="shared" si="2"/>
        <v>1.19</v>
      </c>
      <c r="X17" s="70">
        <f t="shared" si="0"/>
        <v>8.3299999999999999E-2</v>
      </c>
      <c r="Y17" s="70"/>
      <c r="Z17" s="70"/>
      <c r="AA17" s="212"/>
      <c r="AB17" s="212"/>
      <c r="AC17" s="213">
        <v>1.19</v>
      </c>
      <c r="AD17" s="213"/>
      <c r="AE17" s="213"/>
      <c r="AF17" s="213"/>
      <c r="AJ17" s="210"/>
    </row>
    <row r="18" spans="1:36" s="209" customFormat="1" x14ac:dyDescent="0.25">
      <c r="A18" s="204">
        <v>291</v>
      </c>
      <c r="B18" s="204" t="s">
        <v>3038</v>
      </c>
      <c r="C18" s="204" t="s">
        <v>3039</v>
      </c>
      <c r="D18" s="204" t="s">
        <v>2007</v>
      </c>
      <c r="E18" s="204"/>
      <c r="F18" s="204">
        <v>2001</v>
      </c>
      <c r="G18" s="204"/>
      <c r="H18" s="204" t="s">
        <v>2008</v>
      </c>
      <c r="I18" s="205" t="s">
        <v>1929</v>
      </c>
      <c r="J18" s="204"/>
      <c r="K18" s="204" t="s">
        <v>1881</v>
      </c>
      <c r="L18" s="205" t="s">
        <v>3040</v>
      </c>
      <c r="M18" s="204">
        <v>168</v>
      </c>
      <c r="N18" s="204"/>
      <c r="O18" s="204" t="s">
        <v>2999</v>
      </c>
      <c r="P18" s="206">
        <v>90</v>
      </c>
      <c r="Q18" s="208">
        <f t="shared" si="1"/>
        <v>2.9914000000000001</v>
      </c>
      <c r="R18" s="207">
        <v>1.02</v>
      </c>
      <c r="S18" s="207"/>
      <c r="T18" s="67"/>
      <c r="U18" s="67">
        <v>1.2</v>
      </c>
      <c r="V18" s="67">
        <v>0.7</v>
      </c>
      <c r="W18" s="67">
        <f t="shared" si="2"/>
        <v>1.02</v>
      </c>
      <c r="X18" s="70">
        <f t="shared" si="0"/>
        <v>7.1400000000000005E-2</v>
      </c>
      <c r="Y18" s="70"/>
      <c r="Z18" s="70"/>
      <c r="AA18" s="212"/>
      <c r="AB18" s="212"/>
      <c r="AC18" s="213">
        <v>1.02</v>
      </c>
      <c r="AD18" s="213"/>
      <c r="AE18" s="213"/>
      <c r="AF18" s="213"/>
      <c r="AJ18" s="210"/>
    </row>
    <row r="19" spans="1:36" s="209" customFormat="1" x14ac:dyDescent="0.25">
      <c r="A19" s="204">
        <v>1396</v>
      </c>
      <c r="B19" s="204" t="s">
        <v>3193</v>
      </c>
      <c r="C19" s="204" t="s">
        <v>3194</v>
      </c>
      <c r="D19" s="204" t="s">
        <v>1912</v>
      </c>
      <c r="E19" s="204"/>
      <c r="F19" s="204">
        <v>2000</v>
      </c>
      <c r="G19" s="204"/>
      <c r="H19" s="204" t="s">
        <v>1878</v>
      </c>
      <c r="I19" s="205" t="s">
        <v>1879</v>
      </c>
      <c r="J19" s="204" t="s">
        <v>3195</v>
      </c>
      <c r="K19" s="204" t="s">
        <v>1881</v>
      </c>
      <c r="L19" s="205" t="s">
        <v>3196</v>
      </c>
      <c r="M19" s="204">
        <v>352</v>
      </c>
      <c r="N19" s="204"/>
      <c r="O19" s="204" t="s">
        <v>3171</v>
      </c>
      <c r="P19" s="206">
        <v>307</v>
      </c>
      <c r="Q19" s="208">
        <f t="shared" si="1"/>
        <v>2.1475</v>
      </c>
      <c r="R19" s="207">
        <v>0.25</v>
      </c>
      <c r="S19" s="207"/>
      <c r="T19" s="67"/>
      <c r="U19" s="67">
        <v>1.2</v>
      </c>
      <c r="V19" s="67">
        <v>0.68</v>
      </c>
      <c r="W19" s="67">
        <f t="shared" si="2"/>
        <v>0.25</v>
      </c>
      <c r="X19" s="70">
        <f t="shared" si="0"/>
        <v>1.7500000000000002E-2</v>
      </c>
      <c r="Y19" s="70"/>
      <c r="Z19" s="70"/>
      <c r="AA19" s="212"/>
      <c r="AB19" s="212"/>
      <c r="AC19" s="213">
        <v>0.25</v>
      </c>
      <c r="AD19" s="213"/>
      <c r="AE19" s="213"/>
      <c r="AF19" s="213"/>
      <c r="AJ19" s="210"/>
    </row>
    <row r="20" spans="1:36" s="209" customFormat="1" x14ac:dyDescent="0.25">
      <c r="A20" s="204">
        <v>2851</v>
      </c>
      <c r="B20" s="204" t="s">
        <v>3244</v>
      </c>
      <c r="C20" s="204" t="s">
        <v>3245</v>
      </c>
      <c r="D20" s="204" t="s">
        <v>3246</v>
      </c>
      <c r="E20" s="204" t="s">
        <v>2157</v>
      </c>
      <c r="F20" s="204">
        <v>2009</v>
      </c>
      <c r="G20" s="204"/>
      <c r="H20" s="204" t="s">
        <v>1878</v>
      </c>
      <c r="I20" s="205" t="s">
        <v>1879</v>
      </c>
      <c r="J20" s="204" t="s">
        <v>3006</v>
      </c>
      <c r="K20" s="204" t="s">
        <v>1881</v>
      </c>
      <c r="L20" s="205" t="s">
        <v>3247</v>
      </c>
      <c r="M20" s="204">
        <v>384</v>
      </c>
      <c r="N20" s="204"/>
      <c r="O20" s="204" t="s">
        <v>3237</v>
      </c>
      <c r="P20" s="206">
        <v>311</v>
      </c>
      <c r="Q20" s="208">
        <f t="shared" si="1"/>
        <v>2.1675</v>
      </c>
      <c r="R20" s="207">
        <v>0.25</v>
      </c>
      <c r="S20" s="207"/>
      <c r="T20" s="67"/>
      <c r="U20" s="67">
        <v>1.2</v>
      </c>
      <c r="V20" s="67">
        <v>0.7</v>
      </c>
      <c r="W20" s="67">
        <f t="shared" si="2"/>
        <v>0.25</v>
      </c>
      <c r="X20" s="70">
        <f t="shared" si="0"/>
        <v>1.7500000000000002E-2</v>
      </c>
      <c r="Y20" s="70"/>
      <c r="Z20" s="70"/>
      <c r="AA20" s="212"/>
      <c r="AB20" s="212"/>
      <c r="AC20" s="213">
        <v>0.52</v>
      </c>
      <c r="AD20" s="213"/>
      <c r="AE20" s="213"/>
      <c r="AF20" s="213"/>
      <c r="AJ20" s="210"/>
    </row>
    <row r="21" spans="1:36" s="209" customFormat="1" x14ac:dyDescent="0.25">
      <c r="A21" s="204">
        <v>2522</v>
      </c>
      <c r="B21" s="204" t="s">
        <v>2321</v>
      </c>
      <c r="C21" s="204" t="s">
        <v>3268</v>
      </c>
      <c r="D21" s="204" t="s">
        <v>1912</v>
      </c>
      <c r="E21" s="204"/>
      <c r="F21" s="204">
        <v>2001</v>
      </c>
      <c r="G21" s="204"/>
      <c r="H21" s="204" t="s">
        <v>1878</v>
      </c>
      <c r="I21" s="205" t="s">
        <v>1879</v>
      </c>
      <c r="J21" s="204" t="s">
        <v>2237</v>
      </c>
      <c r="K21" s="204" t="s">
        <v>1881</v>
      </c>
      <c r="L21" s="205" t="s">
        <v>3269</v>
      </c>
      <c r="M21" s="204">
        <v>352</v>
      </c>
      <c r="N21" s="204"/>
      <c r="O21" s="204" t="s">
        <v>3255</v>
      </c>
      <c r="P21" s="206">
        <v>326</v>
      </c>
      <c r="Q21" s="208">
        <f t="shared" si="1"/>
        <v>2.2485999999999997</v>
      </c>
      <c r="R21" s="207">
        <v>0.25</v>
      </c>
      <c r="S21" s="207"/>
      <c r="T21" s="67"/>
      <c r="U21" s="67">
        <v>0.5</v>
      </c>
      <c r="V21" s="67">
        <v>0.7</v>
      </c>
      <c r="W21" s="67">
        <v>0.98</v>
      </c>
      <c r="X21" s="70">
        <f t="shared" si="0"/>
        <v>6.8599999999999994E-2</v>
      </c>
      <c r="Y21" s="70"/>
      <c r="Z21" s="70"/>
      <c r="AC21" s="82">
        <v>0.98</v>
      </c>
      <c r="AD21" s="82"/>
      <c r="AE21" s="82"/>
      <c r="AF21" s="82"/>
      <c r="AJ21" s="210"/>
    </row>
    <row r="22" spans="1:36" s="209" customFormat="1" x14ac:dyDescent="0.25">
      <c r="A22" s="204">
        <v>2522</v>
      </c>
      <c r="B22" s="204" t="s">
        <v>3301</v>
      </c>
      <c r="C22" s="204" t="s">
        <v>3302</v>
      </c>
      <c r="D22" s="204" t="s">
        <v>2309</v>
      </c>
      <c r="E22" s="204" t="s">
        <v>2918</v>
      </c>
      <c r="F22" s="204">
        <v>2012</v>
      </c>
      <c r="G22" s="204"/>
      <c r="H22" s="204" t="s">
        <v>1878</v>
      </c>
      <c r="I22" s="205" t="s">
        <v>1879</v>
      </c>
      <c r="J22" s="204" t="s">
        <v>3303</v>
      </c>
      <c r="K22" s="204" t="s">
        <v>1881</v>
      </c>
      <c r="L22" s="205" t="s">
        <v>3304</v>
      </c>
      <c r="M22" s="204">
        <v>544</v>
      </c>
      <c r="N22" s="204"/>
      <c r="O22" s="204" t="s">
        <v>3270</v>
      </c>
      <c r="P22" s="206">
        <v>478</v>
      </c>
      <c r="Q22" s="208">
        <f t="shared" si="1"/>
        <v>2.2873000000000001</v>
      </c>
      <c r="R22" s="207">
        <v>0.39</v>
      </c>
      <c r="S22" s="207"/>
      <c r="T22" s="67"/>
      <c r="U22" s="67">
        <v>1.2</v>
      </c>
      <c r="V22" s="67">
        <v>0.67</v>
      </c>
      <c r="W22" s="67">
        <f>IF(R22&gt;T22,R22,T22)</f>
        <v>0.39</v>
      </c>
      <c r="X22" s="70">
        <f t="shared" si="0"/>
        <v>2.7300000000000001E-2</v>
      </c>
      <c r="Y22" s="70"/>
      <c r="Z22" s="70"/>
      <c r="AA22" s="212"/>
      <c r="AB22" s="212"/>
      <c r="AC22" s="213">
        <v>0.39</v>
      </c>
      <c r="AD22" s="213"/>
      <c r="AE22" s="213"/>
      <c r="AF22" s="213"/>
      <c r="AJ22" s="210"/>
    </row>
    <row r="23" spans="1:36" s="209" customFormat="1" x14ac:dyDescent="0.25">
      <c r="A23" s="204">
        <v>1307</v>
      </c>
      <c r="B23" s="204" t="s">
        <v>3408</v>
      </c>
      <c r="C23" s="204" t="s">
        <v>3409</v>
      </c>
      <c r="D23" s="204" t="s">
        <v>807</v>
      </c>
      <c r="E23" s="204"/>
      <c r="F23" s="204">
        <v>2000</v>
      </c>
      <c r="G23" s="204"/>
      <c r="H23" s="204" t="s">
        <v>3410</v>
      </c>
      <c r="I23" s="205" t="s">
        <v>1879</v>
      </c>
      <c r="J23" s="204" t="s">
        <v>3303</v>
      </c>
      <c r="K23" s="204" t="s">
        <v>1881</v>
      </c>
      <c r="L23" s="205"/>
      <c r="M23" s="204">
        <v>450</v>
      </c>
      <c r="N23" s="204"/>
      <c r="O23" s="204" t="s">
        <v>3367</v>
      </c>
      <c r="P23" s="206">
        <v>608</v>
      </c>
      <c r="Q23" s="208">
        <f t="shared" si="1"/>
        <v>4.1440999999999999</v>
      </c>
      <c r="R23" s="207">
        <v>1.29</v>
      </c>
      <c r="S23" s="207"/>
      <c r="T23" s="67"/>
      <c r="U23" s="67">
        <v>1.7</v>
      </c>
      <c r="V23" s="67">
        <v>0.7</v>
      </c>
      <c r="W23" s="67">
        <f>1.83-0.2</f>
        <v>1.6300000000000001</v>
      </c>
      <c r="X23" s="70">
        <f t="shared" si="0"/>
        <v>0.11410000000000001</v>
      </c>
      <c r="Y23" s="70"/>
      <c r="Z23" s="70"/>
      <c r="AA23" s="212"/>
      <c r="AB23" s="212"/>
      <c r="AC23" s="213">
        <v>1.63</v>
      </c>
      <c r="AD23" s="213"/>
      <c r="AE23" s="213"/>
      <c r="AF23" s="213"/>
      <c r="AJ23" s="210"/>
    </row>
    <row r="24" spans="1:36" s="209" customFormat="1" x14ac:dyDescent="0.25">
      <c r="A24" s="204">
        <v>1308</v>
      </c>
      <c r="B24" s="204" t="s">
        <v>945</v>
      </c>
      <c r="C24" s="204" t="s">
        <v>3447</v>
      </c>
      <c r="D24" s="204" t="s">
        <v>3448</v>
      </c>
      <c r="E24" s="204"/>
      <c r="F24" s="204">
        <v>2000</v>
      </c>
      <c r="G24" s="204"/>
      <c r="H24" s="204" t="s">
        <v>2295</v>
      </c>
      <c r="I24" s="205" t="s">
        <v>1879</v>
      </c>
      <c r="J24" s="204" t="s">
        <v>3449</v>
      </c>
      <c r="K24" s="204" t="s">
        <v>1881</v>
      </c>
      <c r="L24" s="205" t="s">
        <v>3450</v>
      </c>
      <c r="M24" s="204">
        <v>178</v>
      </c>
      <c r="N24" s="204"/>
      <c r="O24" s="204" t="s">
        <v>3415</v>
      </c>
      <c r="P24" s="206">
        <v>328</v>
      </c>
      <c r="Q24" s="208">
        <f t="shared" si="1"/>
        <v>2.8893000000000004</v>
      </c>
      <c r="R24" s="207">
        <v>0.99</v>
      </c>
      <c r="S24" s="207"/>
      <c r="T24" s="67"/>
      <c r="U24" s="67">
        <v>1.2</v>
      </c>
      <c r="V24" s="67">
        <v>0.63</v>
      </c>
      <c r="W24" s="67">
        <f>IF(R24&gt;T24,R24,T24)</f>
        <v>0.99</v>
      </c>
      <c r="X24" s="70">
        <f t="shared" si="0"/>
        <v>6.93E-2</v>
      </c>
      <c r="Y24" s="70"/>
      <c r="Z24" s="70"/>
      <c r="AA24" s="212"/>
      <c r="AB24" s="212"/>
      <c r="AC24" s="213">
        <v>0.99</v>
      </c>
      <c r="AD24" s="213"/>
      <c r="AE24" s="213"/>
      <c r="AF24" s="213"/>
      <c r="AJ24" s="210"/>
    </row>
    <row r="25" spans="1:36" s="209" customFormat="1" x14ac:dyDescent="0.25">
      <c r="A25" s="204">
        <v>1952</v>
      </c>
      <c r="B25" s="204" t="s">
        <v>3627</v>
      </c>
      <c r="C25" s="204" t="s">
        <v>3628</v>
      </c>
      <c r="D25" s="204" t="s">
        <v>3629</v>
      </c>
      <c r="E25" s="204" t="s">
        <v>1877</v>
      </c>
      <c r="F25" s="204">
        <v>2000</v>
      </c>
      <c r="G25" s="204"/>
      <c r="H25" s="204" t="s">
        <v>1878</v>
      </c>
      <c r="I25" s="205" t="s">
        <v>1879</v>
      </c>
      <c r="J25" s="204" t="s">
        <v>3202</v>
      </c>
      <c r="K25" s="204" t="s">
        <v>1881</v>
      </c>
      <c r="L25" s="205" t="s">
        <v>3630</v>
      </c>
      <c r="M25" s="204">
        <v>208</v>
      </c>
      <c r="N25" s="204"/>
      <c r="O25" s="204" t="s">
        <v>3540</v>
      </c>
      <c r="P25" s="206">
        <v>183</v>
      </c>
      <c r="Q25" s="208">
        <f t="shared" si="1"/>
        <v>4.4893999999999998</v>
      </c>
      <c r="R25" s="207">
        <v>2.42</v>
      </c>
      <c r="S25" s="207"/>
      <c r="T25" s="67"/>
      <c r="U25" s="67">
        <v>1.2</v>
      </c>
      <c r="V25" s="67">
        <v>0.7</v>
      </c>
      <c r="W25" s="67">
        <f>IF(R25&gt;T25,R25,T25)</f>
        <v>2.42</v>
      </c>
      <c r="X25" s="70">
        <f t="shared" si="0"/>
        <v>0.1694</v>
      </c>
      <c r="Y25" s="70"/>
      <c r="Z25" s="70"/>
      <c r="AA25" s="212"/>
      <c r="AB25" s="212"/>
      <c r="AC25" s="213">
        <v>2.42</v>
      </c>
      <c r="AD25" s="213"/>
      <c r="AE25" s="213"/>
      <c r="AF25" s="213"/>
      <c r="AJ25" s="210"/>
    </row>
    <row r="26" spans="1:36" s="209" customFormat="1" x14ac:dyDescent="0.25">
      <c r="A26" s="204">
        <v>2851</v>
      </c>
      <c r="B26" s="204" t="s">
        <v>3684</v>
      </c>
      <c r="C26" s="204" t="s">
        <v>3685</v>
      </c>
      <c r="D26" s="204" t="s">
        <v>2054</v>
      </c>
      <c r="E26" s="204"/>
      <c r="F26" s="204">
        <v>2003</v>
      </c>
      <c r="G26" s="204"/>
      <c r="H26" s="204" t="s">
        <v>1878</v>
      </c>
      <c r="I26" s="205" t="s">
        <v>1879</v>
      </c>
      <c r="J26" s="74" t="s">
        <v>3653</v>
      </c>
      <c r="K26" s="204" t="s">
        <v>1881</v>
      </c>
      <c r="L26" s="205" t="s">
        <v>3686</v>
      </c>
      <c r="M26" s="204">
        <f>472+522-3</f>
        <v>991</v>
      </c>
      <c r="N26" s="204"/>
      <c r="O26" s="204" t="s">
        <v>3558</v>
      </c>
      <c r="P26" s="206">
        <v>729</v>
      </c>
      <c r="Q26" s="208">
        <f t="shared" si="1"/>
        <v>2.2502</v>
      </c>
      <c r="R26" s="207">
        <v>0.25</v>
      </c>
      <c r="S26" s="207"/>
      <c r="T26" s="67"/>
      <c r="U26" s="67">
        <v>1.7</v>
      </c>
      <c r="V26" s="67">
        <v>0.7</v>
      </c>
      <c r="W26" s="67">
        <v>-0.14000000000000001</v>
      </c>
      <c r="X26" s="70">
        <f t="shared" si="0"/>
        <v>-9.8000000000000014E-3</v>
      </c>
      <c r="Y26" s="70"/>
      <c r="Z26" s="70"/>
      <c r="AA26" s="212"/>
      <c r="AB26" s="212"/>
      <c r="AC26" s="213">
        <v>-0.14000000000000001</v>
      </c>
      <c r="AD26" s="213"/>
      <c r="AE26" s="213"/>
      <c r="AF26" s="213"/>
      <c r="AJ26" s="210"/>
    </row>
    <row r="27" spans="1:36" s="209" customFormat="1" x14ac:dyDescent="0.25">
      <c r="A27" s="204">
        <v>1395</v>
      </c>
      <c r="B27" s="204" t="s">
        <v>3705</v>
      </c>
      <c r="C27" s="204" t="s">
        <v>3706</v>
      </c>
      <c r="D27" s="204" t="s">
        <v>1988</v>
      </c>
      <c r="E27" s="204" t="s">
        <v>1877</v>
      </c>
      <c r="F27" s="204">
        <v>2007</v>
      </c>
      <c r="G27" s="204"/>
      <c r="H27" s="204" t="s">
        <v>1878</v>
      </c>
      <c r="I27" s="205" t="s">
        <v>1879</v>
      </c>
      <c r="J27" s="204" t="s">
        <v>3649</v>
      </c>
      <c r="K27" s="204" t="s">
        <v>1881</v>
      </c>
      <c r="L27" s="205" t="s">
        <v>3707</v>
      </c>
      <c r="M27" s="204">
        <v>384</v>
      </c>
      <c r="N27" s="204"/>
      <c r="O27" s="204" t="s">
        <v>3565</v>
      </c>
      <c r="P27" s="206">
        <v>321</v>
      </c>
      <c r="Q27" s="208">
        <v>0.72</v>
      </c>
      <c r="R27" s="207">
        <v>0.25</v>
      </c>
      <c r="S27" s="207"/>
      <c r="T27" s="67"/>
      <c r="U27" s="67">
        <v>1.2</v>
      </c>
      <c r="V27" s="67">
        <v>0.2</v>
      </c>
      <c r="W27" s="67">
        <f>0.72-0.2</f>
        <v>0.52</v>
      </c>
      <c r="X27" s="70">
        <f>Q27/100*7</f>
        <v>5.04E-2</v>
      </c>
      <c r="Y27" s="70"/>
      <c r="Z27" s="70"/>
      <c r="AA27" s="212"/>
      <c r="AB27" s="212"/>
      <c r="AC27" s="213"/>
      <c r="AD27" s="213">
        <f>Q27-X27</f>
        <v>0.66959999999999997</v>
      </c>
      <c r="AE27" s="213"/>
      <c r="AF27" s="213"/>
      <c r="AJ27" s="210"/>
    </row>
    <row r="28" spans="1:36" s="209" customFormat="1" x14ac:dyDescent="0.25">
      <c r="A28" s="204">
        <v>632</v>
      </c>
      <c r="B28" s="204" t="s">
        <v>3770</v>
      </c>
      <c r="C28" s="204" t="s">
        <v>3814</v>
      </c>
      <c r="D28" s="204"/>
      <c r="E28" s="204" t="s">
        <v>1913</v>
      </c>
      <c r="F28" s="204">
        <v>2016</v>
      </c>
      <c r="G28" s="204"/>
      <c r="H28" s="204" t="s">
        <v>1878</v>
      </c>
      <c r="I28" s="205" t="s">
        <v>1929</v>
      </c>
      <c r="J28" s="69" t="s">
        <v>3772</v>
      </c>
      <c r="K28" s="204" t="s">
        <v>1881</v>
      </c>
      <c r="L28" s="205" t="s">
        <v>3771</v>
      </c>
      <c r="M28" s="204">
        <v>400</v>
      </c>
      <c r="N28" s="204"/>
      <c r="O28" s="204" t="s">
        <v>3582</v>
      </c>
      <c r="P28" s="206">
        <v>391</v>
      </c>
      <c r="Q28" s="208">
        <f t="shared" si="1"/>
        <v>3.8901999999999997</v>
      </c>
      <c r="R28" s="207">
        <v>1.86</v>
      </c>
      <c r="S28" s="207"/>
      <c r="T28" s="67"/>
      <c r="U28" s="67">
        <v>1.2</v>
      </c>
      <c r="V28" s="67">
        <v>0.7</v>
      </c>
      <c r="W28" s="67">
        <f>IF(R28&gt;T28,R28,T28)</f>
        <v>1.86</v>
      </c>
      <c r="X28" s="70">
        <f t="shared" si="0"/>
        <v>0.13020000000000001</v>
      </c>
      <c r="Y28" s="70"/>
      <c r="Z28" s="70"/>
      <c r="AA28" s="212"/>
      <c r="AB28" s="212"/>
      <c r="AC28" s="213">
        <v>1.86</v>
      </c>
      <c r="AD28" s="213"/>
      <c r="AE28" s="213"/>
      <c r="AF28" s="213"/>
      <c r="AJ28" s="210"/>
    </row>
    <row r="29" spans="1:36" s="209" customFormat="1" x14ac:dyDescent="0.25">
      <c r="A29" s="204">
        <v>1386</v>
      </c>
      <c r="B29" s="204" t="s">
        <v>3791</v>
      </c>
      <c r="C29" s="204" t="s">
        <v>3792</v>
      </c>
      <c r="D29" s="204" t="s">
        <v>2244</v>
      </c>
      <c r="E29" s="204"/>
      <c r="F29" s="204">
        <v>2017</v>
      </c>
      <c r="G29" s="204"/>
      <c r="H29" s="204" t="s">
        <v>1878</v>
      </c>
      <c r="I29" s="205" t="s">
        <v>1879</v>
      </c>
      <c r="J29" s="204" t="s">
        <v>3303</v>
      </c>
      <c r="K29" s="204" t="s">
        <v>1881</v>
      </c>
      <c r="L29" s="205" t="s">
        <v>3793</v>
      </c>
      <c r="M29" s="204">
        <v>368</v>
      </c>
      <c r="N29" s="204"/>
      <c r="O29" s="204" t="s">
        <v>3589</v>
      </c>
      <c r="P29" s="206">
        <v>514</v>
      </c>
      <c r="Q29" s="208">
        <f t="shared" si="1"/>
        <v>2.7530999999999999</v>
      </c>
      <c r="R29" s="207">
        <v>0.75</v>
      </c>
      <c r="S29" s="207"/>
      <c r="T29" s="67"/>
      <c r="U29" s="67">
        <v>1.7</v>
      </c>
      <c r="V29" s="67">
        <v>0.7</v>
      </c>
      <c r="W29" s="67">
        <v>0.33</v>
      </c>
      <c r="X29" s="70">
        <f t="shared" si="0"/>
        <v>2.3099999999999999E-2</v>
      </c>
      <c r="Y29" s="70"/>
      <c r="Z29" s="70"/>
      <c r="AA29" s="212"/>
      <c r="AB29" s="212"/>
      <c r="AC29" s="213">
        <v>0.33</v>
      </c>
      <c r="AD29" s="213"/>
      <c r="AE29" s="213"/>
      <c r="AF29" s="213"/>
      <c r="AJ29" s="210"/>
    </row>
    <row r="30" spans="1:36" s="209" customFormat="1" x14ac:dyDescent="0.25">
      <c r="A30" s="204">
        <v>1984</v>
      </c>
      <c r="B30" s="204" t="s">
        <v>3824</v>
      </c>
      <c r="C30" s="204" t="s">
        <v>3827</v>
      </c>
      <c r="D30" s="204" t="s">
        <v>1979</v>
      </c>
      <c r="E30" s="204"/>
      <c r="F30" s="204">
        <v>2012</v>
      </c>
      <c r="G30" s="204"/>
      <c r="H30" s="204" t="s">
        <v>2295</v>
      </c>
      <c r="I30" s="205" t="s">
        <v>1879</v>
      </c>
      <c r="J30" s="204" t="s">
        <v>3303</v>
      </c>
      <c r="K30" s="204" t="s">
        <v>1881</v>
      </c>
      <c r="L30" s="205" t="s">
        <v>3828</v>
      </c>
      <c r="M30" s="204">
        <v>140</v>
      </c>
      <c r="N30" s="204"/>
      <c r="O30" s="204" t="s">
        <v>3750</v>
      </c>
      <c r="P30" s="206">
        <v>485</v>
      </c>
      <c r="Q30" s="208">
        <f t="shared" si="1"/>
        <v>2.3921999999999999</v>
      </c>
      <c r="R30" s="207">
        <v>0.46</v>
      </c>
      <c r="S30" s="207"/>
      <c r="T30" s="67"/>
      <c r="U30" s="67">
        <v>1.2</v>
      </c>
      <c r="V30" s="67">
        <v>0.7</v>
      </c>
      <c r="W30" s="67">
        <f>IF(R30&gt;T30,R30,T30)</f>
        <v>0.46</v>
      </c>
      <c r="X30" s="70">
        <f t="shared" si="0"/>
        <v>3.2199999999999999E-2</v>
      </c>
      <c r="Y30" s="70"/>
      <c r="Z30" s="70"/>
      <c r="AA30" s="212"/>
      <c r="AB30" s="212"/>
      <c r="AC30" s="213">
        <v>0.46</v>
      </c>
      <c r="AD30" s="213"/>
      <c r="AE30" s="213"/>
      <c r="AF30" s="213"/>
      <c r="AJ30" s="210"/>
    </row>
    <row r="31" spans="1:36" s="209" customFormat="1" x14ac:dyDescent="0.25">
      <c r="A31" s="204">
        <v>796</v>
      </c>
      <c r="B31" s="204" t="s">
        <v>3867</v>
      </c>
      <c r="C31" s="204" t="s">
        <v>3868</v>
      </c>
      <c r="D31" s="204" t="s">
        <v>2257</v>
      </c>
      <c r="E31" s="204"/>
      <c r="F31" s="204">
        <v>2017</v>
      </c>
      <c r="G31" s="204"/>
      <c r="H31" s="204" t="s">
        <v>1878</v>
      </c>
      <c r="I31" s="205" t="s">
        <v>1879</v>
      </c>
      <c r="J31" s="69" t="s">
        <v>3869</v>
      </c>
      <c r="K31" s="204" t="s">
        <v>1881</v>
      </c>
      <c r="L31" s="205" t="s">
        <v>3870</v>
      </c>
      <c r="M31" s="204">
        <v>384</v>
      </c>
      <c r="N31" s="204"/>
      <c r="O31" s="204" t="s">
        <v>3822</v>
      </c>
      <c r="P31" s="206">
        <v>355</v>
      </c>
      <c r="Q31" s="208">
        <f t="shared" si="1"/>
        <v>2.9807000000000001</v>
      </c>
      <c r="R31" s="207">
        <v>1.35</v>
      </c>
      <c r="S31" s="207"/>
      <c r="T31" s="67"/>
      <c r="U31" s="67">
        <v>1.2</v>
      </c>
      <c r="V31" s="67">
        <v>0.7</v>
      </c>
      <c r="W31" s="67">
        <v>1.01</v>
      </c>
      <c r="X31" s="70">
        <f t="shared" si="0"/>
        <v>7.0699999999999999E-2</v>
      </c>
      <c r="Y31" s="70"/>
      <c r="Z31" s="70"/>
      <c r="AA31" s="212"/>
      <c r="AB31" s="212"/>
      <c r="AC31" s="213">
        <v>1.01</v>
      </c>
      <c r="AD31" s="213"/>
      <c r="AE31" s="213"/>
      <c r="AF31" s="213"/>
      <c r="AJ31" s="210"/>
    </row>
    <row r="32" spans="1:36" s="209" customFormat="1" x14ac:dyDescent="0.25">
      <c r="A32" s="204">
        <v>632</v>
      </c>
      <c r="B32" s="204" t="s">
        <v>3964</v>
      </c>
      <c r="C32" s="204" t="s">
        <v>3965</v>
      </c>
      <c r="D32" s="204" t="s">
        <v>2091</v>
      </c>
      <c r="E32" s="204" t="s">
        <v>1877</v>
      </c>
      <c r="F32" s="204">
        <v>2019</v>
      </c>
      <c r="G32" s="204"/>
      <c r="H32" s="204" t="s">
        <v>2734</v>
      </c>
      <c r="I32" s="205" t="s">
        <v>1879</v>
      </c>
      <c r="J32" s="204" t="s">
        <v>3966</v>
      </c>
      <c r="K32" s="204" t="s">
        <v>1881</v>
      </c>
      <c r="L32" s="205" t="s">
        <v>3967</v>
      </c>
      <c r="M32" s="204">
        <v>274</v>
      </c>
      <c r="N32" s="204"/>
      <c r="O32" s="204" t="s">
        <v>3910</v>
      </c>
      <c r="P32" s="206">
        <v>402</v>
      </c>
      <c r="Q32" s="208">
        <f t="shared" si="1"/>
        <v>10.8893</v>
      </c>
      <c r="R32" s="207">
        <v>8.99</v>
      </c>
      <c r="S32" s="207"/>
      <c r="T32" s="67"/>
      <c r="U32" s="67">
        <v>1.27</v>
      </c>
      <c r="V32" s="67"/>
      <c r="W32" s="67">
        <f>IF(R32&gt;T32,R32,T32)</f>
        <v>8.99</v>
      </c>
      <c r="X32" s="70">
        <f t="shared" si="0"/>
        <v>0.62930000000000008</v>
      </c>
      <c r="Y32" s="70"/>
      <c r="Z32" s="70"/>
      <c r="AA32" s="212"/>
      <c r="AB32" s="212"/>
      <c r="AC32" s="213">
        <v>8.99</v>
      </c>
      <c r="AD32" s="213"/>
      <c r="AE32" s="213"/>
      <c r="AF32" s="213"/>
      <c r="AJ32" s="210"/>
    </row>
    <row r="33" spans="1:36" s="209" customFormat="1" x14ac:dyDescent="0.25">
      <c r="A33" s="204">
        <v>1231</v>
      </c>
      <c r="B33" s="204" t="s">
        <v>4031</v>
      </c>
      <c r="C33" s="204" t="s">
        <v>4032</v>
      </c>
      <c r="D33" s="204" t="s">
        <v>2054</v>
      </c>
      <c r="E33" s="204"/>
      <c r="F33" s="204">
        <v>2018</v>
      </c>
      <c r="G33" s="204"/>
      <c r="H33" s="204" t="s">
        <v>1878</v>
      </c>
      <c r="I33" s="205" t="s">
        <v>1879</v>
      </c>
      <c r="J33" s="204" t="s">
        <v>2237</v>
      </c>
      <c r="K33" s="204" t="s">
        <v>1881</v>
      </c>
      <c r="L33" s="205" t="s">
        <v>4033</v>
      </c>
      <c r="M33" s="204">
        <v>368</v>
      </c>
      <c r="N33" s="204"/>
      <c r="O33" s="204" t="s">
        <v>3922</v>
      </c>
      <c r="P33" s="206">
        <v>466</v>
      </c>
      <c r="Q33" s="208">
        <f t="shared" si="1"/>
        <v>2.7881</v>
      </c>
      <c r="R33" s="207">
        <v>0.83</v>
      </c>
      <c r="S33" s="207"/>
      <c r="T33" s="67"/>
      <c r="U33" s="67">
        <v>1.2</v>
      </c>
      <c r="V33" s="67">
        <v>0.7</v>
      </c>
      <c r="W33" s="67">
        <f>IF(R33&gt;T33,R33,T33)</f>
        <v>0.83</v>
      </c>
      <c r="X33" s="70">
        <f t="shared" si="0"/>
        <v>5.8099999999999999E-2</v>
      </c>
      <c r="Y33" s="70"/>
      <c r="Z33" s="70"/>
      <c r="AA33" s="212"/>
      <c r="AB33" s="212"/>
      <c r="AC33" s="213">
        <v>0.83</v>
      </c>
      <c r="AD33" s="213"/>
      <c r="AE33" s="213"/>
      <c r="AF33" s="213"/>
      <c r="AJ33" s="210"/>
    </row>
    <row r="34" spans="1:36" s="209" customFormat="1" x14ac:dyDescent="0.25">
      <c r="A34" s="204">
        <v>1913</v>
      </c>
      <c r="B34" s="204" t="s">
        <v>3154</v>
      </c>
      <c r="C34" s="204" t="s">
        <v>4099</v>
      </c>
      <c r="D34" s="204" t="s">
        <v>2209</v>
      </c>
      <c r="E34" s="204"/>
      <c r="F34" s="204">
        <v>2008</v>
      </c>
      <c r="G34" s="204"/>
      <c r="H34" s="204" t="s">
        <v>1878</v>
      </c>
      <c r="I34" s="205" t="s">
        <v>1879</v>
      </c>
      <c r="J34" s="204" t="s">
        <v>2237</v>
      </c>
      <c r="K34" s="204" t="s">
        <v>1881</v>
      </c>
      <c r="L34" s="205" t="s">
        <v>4100</v>
      </c>
      <c r="M34" s="204">
        <v>480</v>
      </c>
      <c r="N34" s="204"/>
      <c r="O34" s="204" t="s">
        <v>4024</v>
      </c>
      <c r="P34" s="206">
        <v>457</v>
      </c>
      <c r="Q34" s="208">
        <f t="shared" si="1"/>
        <v>2.9863</v>
      </c>
      <c r="R34" s="207">
        <v>1.0900000000000001</v>
      </c>
      <c r="S34" s="207"/>
      <c r="T34" s="67"/>
      <c r="U34" s="67">
        <v>1.2</v>
      </c>
      <c r="V34" s="67">
        <v>0.62</v>
      </c>
      <c r="W34" s="67">
        <f>IF(R34&gt;T34,R34,T34)</f>
        <v>1.0900000000000001</v>
      </c>
      <c r="X34" s="70">
        <f t="shared" si="0"/>
        <v>7.6300000000000007E-2</v>
      </c>
      <c r="Y34" s="70"/>
      <c r="Z34" s="70"/>
      <c r="AA34" s="212"/>
      <c r="AB34" s="212"/>
      <c r="AC34" s="213">
        <v>1.0900000000000001</v>
      </c>
      <c r="AD34" s="213"/>
      <c r="AE34" s="213"/>
      <c r="AF34" s="213"/>
      <c r="AJ34" s="210"/>
    </row>
    <row r="35" spans="1:36" s="209" customFormat="1" ht="11.25" customHeight="1" x14ac:dyDescent="0.25">
      <c r="A35" s="204">
        <v>2522</v>
      </c>
      <c r="B35" s="204" t="s">
        <v>4515</v>
      </c>
      <c r="C35" s="204" t="s">
        <v>4516</v>
      </c>
      <c r="D35" s="204" t="s">
        <v>4517</v>
      </c>
      <c r="E35" s="204" t="s">
        <v>1913</v>
      </c>
      <c r="F35" s="204">
        <v>2007</v>
      </c>
      <c r="G35" s="204"/>
      <c r="H35" s="204" t="s">
        <v>1878</v>
      </c>
      <c r="I35" s="205" t="s">
        <v>1879</v>
      </c>
      <c r="J35" s="69" t="s">
        <v>3854</v>
      </c>
      <c r="K35" s="204" t="s">
        <v>1881</v>
      </c>
      <c r="L35" s="205" t="s">
        <v>4518</v>
      </c>
      <c r="M35" s="204">
        <v>432</v>
      </c>
      <c r="N35" s="204"/>
      <c r="O35" s="204" t="s">
        <v>4419</v>
      </c>
      <c r="P35" s="206">
        <v>392</v>
      </c>
      <c r="Q35" s="208">
        <f t="shared" si="1"/>
        <v>2.8897500000000003</v>
      </c>
      <c r="R35" s="207">
        <v>0.99</v>
      </c>
      <c r="S35" s="207"/>
      <c r="T35" s="67"/>
      <c r="U35" s="67">
        <v>1.2</v>
      </c>
      <c r="V35" s="67">
        <v>0.7</v>
      </c>
      <c r="W35" s="67">
        <v>0.92500000000000004</v>
      </c>
      <c r="X35" s="70">
        <f t="shared" si="0"/>
        <v>6.4750000000000002E-2</v>
      </c>
      <c r="Y35" s="70"/>
      <c r="Z35" s="70"/>
      <c r="AA35" s="212"/>
      <c r="AB35" s="212"/>
      <c r="AC35" s="213">
        <f>W35</f>
        <v>0.92500000000000004</v>
      </c>
      <c r="AD35" s="213"/>
      <c r="AE35" s="213"/>
      <c r="AF35" s="213"/>
      <c r="AJ35" s="210"/>
    </row>
    <row r="36" spans="1:36" s="209" customFormat="1" x14ac:dyDescent="0.25">
      <c r="A36" s="204">
        <v>2518</v>
      </c>
      <c r="B36" s="204" t="s">
        <v>5073</v>
      </c>
      <c r="C36" s="204" t="s">
        <v>5074</v>
      </c>
      <c r="D36" s="204" t="s">
        <v>2257</v>
      </c>
      <c r="E36" s="204"/>
      <c r="F36" s="204">
        <v>2012</v>
      </c>
      <c r="G36" s="204"/>
      <c r="H36" s="204" t="s">
        <v>1878</v>
      </c>
      <c r="I36" s="205" t="s">
        <v>1879</v>
      </c>
      <c r="J36" s="204"/>
      <c r="K36" s="204" t="s">
        <v>1881</v>
      </c>
      <c r="L36" s="205"/>
      <c r="M36" s="204">
        <v>400</v>
      </c>
      <c r="N36" s="204"/>
      <c r="O36" s="204" t="s">
        <v>4972</v>
      </c>
      <c r="P36" s="206">
        <v>455</v>
      </c>
      <c r="Q36" s="208">
        <f t="shared" si="1"/>
        <v>2.9914000000000001</v>
      </c>
      <c r="R36" s="207">
        <v>1.02</v>
      </c>
      <c r="S36" s="207"/>
      <c r="T36" s="67"/>
      <c r="U36" s="67">
        <v>1.2</v>
      </c>
      <c r="V36" s="67">
        <v>0.7</v>
      </c>
      <c r="W36" s="67">
        <f>IF(R36&gt;T36,R36,T36)</f>
        <v>1.02</v>
      </c>
      <c r="X36" s="70">
        <f t="shared" si="0"/>
        <v>7.1400000000000005E-2</v>
      </c>
      <c r="Y36" s="70"/>
      <c r="Z36" s="70"/>
      <c r="AA36" s="212"/>
      <c r="AB36" s="212"/>
      <c r="AC36" s="213">
        <v>1.02</v>
      </c>
      <c r="AD36" s="213"/>
      <c r="AE36" s="213"/>
      <c r="AF36" s="213"/>
      <c r="AJ36" s="210"/>
    </row>
    <row r="37" spans="1:36" s="209" customFormat="1" x14ac:dyDescent="0.25">
      <c r="A37" s="204">
        <v>1365</v>
      </c>
      <c r="B37" s="204" t="s">
        <v>4327</v>
      </c>
      <c r="C37" s="204" t="s">
        <v>4328</v>
      </c>
      <c r="D37" s="204" t="s">
        <v>2309</v>
      </c>
      <c r="E37" s="204"/>
      <c r="F37" s="204"/>
      <c r="G37" s="204"/>
      <c r="H37" s="204" t="s">
        <v>2734</v>
      </c>
      <c r="I37" s="205" t="s">
        <v>1879</v>
      </c>
      <c r="J37" s="204"/>
      <c r="K37" s="204" t="s">
        <v>1881</v>
      </c>
      <c r="L37" s="205"/>
      <c r="M37" s="204">
        <v>210</v>
      </c>
      <c r="N37" s="204"/>
      <c r="O37" s="204" t="s">
        <v>4281</v>
      </c>
      <c r="P37" s="206">
        <v>430</v>
      </c>
      <c r="Q37" s="208">
        <v>5.9893000000000001</v>
      </c>
      <c r="R37" s="207">
        <v>3.99</v>
      </c>
      <c r="S37" s="207"/>
      <c r="T37" s="67"/>
      <c r="U37" s="67">
        <v>1.2</v>
      </c>
      <c r="V37" s="67">
        <v>0.52</v>
      </c>
      <c r="W37" s="67">
        <v>3.99</v>
      </c>
      <c r="X37" s="70">
        <v>0.27930000000000005</v>
      </c>
      <c r="Y37" s="70"/>
      <c r="Z37" s="70"/>
      <c r="AA37" s="212"/>
      <c r="AB37" s="212"/>
      <c r="AC37" s="213">
        <v>3.99</v>
      </c>
      <c r="AD37" s="213"/>
      <c r="AE37" s="213"/>
      <c r="AF37" s="213"/>
      <c r="AJ37" s="210"/>
    </row>
    <row r="38" spans="1:36" s="209" customFormat="1" x14ac:dyDescent="0.25">
      <c r="A38" s="204">
        <v>1395</v>
      </c>
      <c r="B38" s="204" t="s">
        <v>4345</v>
      </c>
      <c r="C38" s="204" t="s">
        <v>4346</v>
      </c>
      <c r="D38" s="204" t="s">
        <v>2609</v>
      </c>
      <c r="E38" s="204" t="s">
        <v>2175</v>
      </c>
      <c r="F38" s="204">
        <v>1998</v>
      </c>
      <c r="G38" s="204"/>
      <c r="H38" s="204" t="s">
        <v>1878</v>
      </c>
      <c r="I38" s="205" t="s">
        <v>1879</v>
      </c>
      <c r="J38" s="204"/>
      <c r="K38" s="204" t="s">
        <v>1881</v>
      </c>
      <c r="L38" s="205" t="s">
        <v>4347</v>
      </c>
      <c r="M38" s="204">
        <v>112</v>
      </c>
      <c r="N38" s="204"/>
      <c r="O38" s="204" t="s">
        <v>4283</v>
      </c>
      <c r="P38" s="206">
        <v>127</v>
      </c>
      <c r="Q38" s="208">
        <v>2.9914000000000001</v>
      </c>
      <c r="R38" s="207">
        <v>0.99</v>
      </c>
      <c r="S38" s="207"/>
      <c r="T38" s="67"/>
      <c r="U38" s="67">
        <v>1.2</v>
      </c>
      <c r="V38" s="67">
        <v>0.7</v>
      </c>
      <c r="W38" s="67">
        <v>1.02</v>
      </c>
      <c r="X38" s="70">
        <v>7.1400000000000005E-2</v>
      </c>
      <c r="Y38" s="70"/>
      <c r="Z38" s="70"/>
      <c r="AA38" s="212"/>
      <c r="AB38" s="212"/>
      <c r="AC38" s="213">
        <v>1.02</v>
      </c>
      <c r="AD38" s="213"/>
      <c r="AE38" s="213"/>
      <c r="AF38" s="213"/>
      <c r="AJ38" s="210"/>
    </row>
    <row r="39" spans="1:36" s="209" customFormat="1" x14ac:dyDescent="0.25">
      <c r="A39" s="204">
        <v>831</v>
      </c>
      <c r="B39" s="204" t="s">
        <v>4336</v>
      </c>
      <c r="C39" s="204" t="s">
        <v>4337</v>
      </c>
      <c r="D39" s="204" t="s">
        <v>4338</v>
      </c>
      <c r="E39" s="204" t="s">
        <v>4339</v>
      </c>
      <c r="F39" s="204">
        <v>2012</v>
      </c>
      <c r="G39" s="204"/>
      <c r="H39" s="204" t="s">
        <v>2734</v>
      </c>
      <c r="I39" s="205" t="s">
        <v>1929</v>
      </c>
      <c r="J39" s="204"/>
      <c r="K39" s="204" t="s">
        <v>1881</v>
      </c>
      <c r="L39" s="205" t="s">
        <v>4340</v>
      </c>
      <c r="M39" s="204">
        <v>346</v>
      </c>
      <c r="N39" s="204"/>
      <c r="O39" s="204" t="s">
        <v>4285</v>
      </c>
      <c r="P39" s="206">
        <v>673</v>
      </c>
      <c r="Q39" s="208">
        <v>3.9853000000000001</v>
      </c>
      <c r="R39" s="207">
        <v>1.79</v>
      </c>
      <c r="S39" s="207"/>
      <c r="T39" s="67"/>
      <c r="U39" s="67">
        <v>1.7</v>
      </c>
      <c r="V39" s="67">
        <v>0.37</v>
      </c>
      <c r="W39" s="67">
        <v>1.79</v>
      </c>
      <c r="X39" s="70">
        <v>0.12529999999999999</v>
      </c>
      <c r="Y39" s="70"/>
      <c r="Z39" s="70"/>
      <c r="AA39" s="212"/>
      <c r="AB39" s="212"/>
      <c r="AC39" s="213">
        <v>1.79</v>
      </c>
      <c r="AD39" s="213"/>
      <c r="AE39" s="213"/>
      <c r="AF39" s="213"/>
      <c r="AJ39" s="210"/>
    </row>
    <row r="40" spans="1:36" s="209" customFormat="1" x14ac:dyDescent="0.25">
      <c r="A40" s="204"/>
      <c r="B40" s="204"/>
      <c r="C40" s="204"/>
      <c r="D40" s="204"/>
      <c r="E40" s="204"/>
      <c r="F40" s="204"/>
      <c r="G40" s="204"/>
      <c r="H40" s="204"/>
      <c r="I40" s="205"/>
      <c r="J40" s="204"/>
      <c r="K40" s="204"/>
      <c r="L40" s="205"/>
      <c r="M40" s="204"/>
      <c r="N40" s="204"/>
      <c r="O40" s="204" t="s">
        <v>7087</v>
      </c>
      <c r="P40" s="206"/>
      <c r="Q40" s="208">
        <v>5.99</v>
      </c>
      <c r="R40" s="207"/>
      <c r="S40" s="207"/>
      <c r="T40" s="67"/>
      <c r="U40" s="67">
        <v>1.2</v>
      </c>
      <c r="V40" s="67">
        <v>0.7</v>
      </c>
      <c r="W40" s="67">
        <v>4.09</v>
      </c>
      <c r="X40" s="70">
        <v>0.2863</v>
      </c>
      <c r="Y40" s="70"/>
      <c r="Z40" s="70"/>
      <c r="AA40" s="212"/>
      <c r="AB40" s="212"/>
      <c r="AC40" s="213">
        <v>4.09</v>
      </c>
      <c r="AD40" s="213"/>
      <c r="AE40" s="213"/>
      <c r="AF40" s="213"/>
      <c r="AJ40" s="210"/>
    </row>
    <row r="41" spans="1:36" s="209" customFormat="1" x14ac:dyDescent="0.25">
      <c r="A41" s="204"/>
      <c r="B41" s="204"/>
      <c r="C41" s="204"/>
      <c r="D41" s="204"/>
      <c r="E41" s="204"/>
      <c r="F41" s="204"/>
      <c r="G41" s="204"/>
      <c r="H41" s="204"/>
      <c r="I41" s="205"/>
      <c r="J41" s="204"/>
      <c r="K41" s="204"/>
      <c r="L41" s="205"/>
      <c r="M41" s="204"/>
      <c r="N41" s="204"/>
      <c r="O41" s="204" t="s">
        <v>7088</v>
      </c>
      <c r="P41" s="206"/>
      <c r="Q41" s="208">
        <v>2.4900000000000002</v>
      </c>
      <c r="R41" s="207">
        <v>2.4900000000000002</v>
      </c>
      <c r="S41" s="207"/>
      <c r="T41" s="67"/>
      <c r="U41" s="67"/>
      <c r="V41" s="67"/>
      <c r="W41" s="67"/>
      <c r="X41" s="70"/>
      <c r="Y41" s="70"/>
      <c r="Z41" s="70"/>
      <c r="AA41" s="212"/>
      <c r="AB41" s="212"/>
      <c r="AC41" s="213">
        <v>2.4900000000000002</v>
      </c>
      <c r="AD41" s="213"/>
      <c r="AE41" s="213"/>
      <c r="AF41" s="213"/>
      <c r="AJ41" s="210"/>
    </row>
    <row r="42" spans="1:36" s="209" customFormat="1" x14ac:dyDescent="0.25">
      <c r="A42" s="204"/>
      <c r="B42" s="204"/>
      <c r="C42" s="204"/>
      <c r="D42" s="204"/>
      <c r="E42" s="204"/>
      <c r="F42" s="204"/>
      <c r="G42" s="204"/>
      <c r="H42" s="204"/>
      <c r="I42" s="205"/>
      <c r="J42" s="204"/>
      <c r="K42" s="204"/>
      <c r="L42" s="205"/>
      <c r="M42" s="204"/>
      <c r="N42" s="204"/>
      <c r="O42" s="204" t="s">
        <v>7091</v>
      </c>
      <c r="P42" s="206"/>
      <c r="Q42" s="208">
        <v>3.29</v>
      </c>
      <c r="R42" s="207">
        <v>1.39</v>
      </c>
      <c r="S42" s="207"/>
      <c r="T42" s="67"/>
      <c r="U42" s="67">
        <v>1.2</v>
      </c>
      <c r="V42" s="67">
        <v>0.7</v>
      </c>
      <c r="W42" s="67"/>
      <c r="X42" s="70"/>
      <c r="Y42" s="70"/>
      <c r="Z42" s="70"/>
      <c r="AA42" s="212"/>
      <c r="AB42" s="212"/>
      <c r="AC42" s="213">
        <v>1.39</v>
      </c>
      <c r="AD42" s="213"/>
      <c r="AE42" s="213"/>
      <c r="AF42" s="213"/>
      <c r="AJ42" s="210"/>
    </row>
    <row r="43" spans="1:36" s="209" customFormat="1" x14ac:dyDescent="0.25">
      <c r="A43" s="204"/>
      <c r="B43" s="204"/>
      <c r="C43" s="204"/>
      <c r="D43" s="204"/>
      <c r="E43" s="204"/>
      <c r="F43" s="204"/>
      <c r="G43" s="204"/>
      <c r="H43" s="204"/>
      <c r="I43" s="205"/>
      <c r="J43" s="204"/>
      <c r="K43" s="204"/>
      <c r="L43" s="205"/>
      <c r="M43" s="204"/>
      <c r="N43" s="204"/>
      <c r="O43" s="204" t="s">
        <v>7092</v>
      </c>
      <c r="P43" s="206"/>
      <c r="Q43" s="208">
        <v>0.99</v>
      </c>
      <c r="R43" s="207"/>
      <c r="S43" s="207"/>
      <c r="T43" s="67"/>
      <c r="U43" s="67"/>
      <c r="V43" s="67"/>
      <c r="W43" s="67"/>
      <c r="X43" s="70"/>
      <c r="Y43" s="70"/>
      <c r="Z43" s="70"/>
      <c r="AA43" s="212"/>
      <c r="AB43" s="212"/>
      <c r="AC43" s="213">
        <v>0.99</v>
      </c>
      <c r="AD43" s="213"/>
      <c r="AE43" s="213"/>
      <c r="AF43" s="213"/>
      <c r="AJ43" s="210"/>
    </row>
    <row r="44" spans="1:36" s="209" customFormat="1" x14ac:dyDescent="0.25">
      <c r="A44" s="204"/>
      <c r="B44" s="204"/>
      <c r="C44" s="204"/>
      <c r="D44" s="204"/>
      <c r="E44" s="204"/>
      <c r="F44" s="204"/>
      <c r="G44" s="204"/>
      <c r="H44" s="204"/>
      <c r="I44" s="205"/>
      <c r="J44" s="204"/>
      <c r="K44" s="204"/>
      <c r="L44" s="205"/>
      <c r="M44" s="204"/>
      <c r="N44" s="204"/>
      <c r="O44" s="204" t="s">
        <v>7089</v>
      </c>
      <c r="P44" s="206"/>
      <c r="Q44" s="208">
        <v>2.65</v>
      </c>
      <c r="R44" s="207">
        <v>6.0000000000000053E-2</v>
      </c>
      <c r="S44" s="207"/>
      <c r="T44" s="67"/>
      <c r="U44" s="67">
        <v>2.59</v>
      </c>
      <c r="V44" s="67"/>
      <c r="W44" s="67"/>
      <c r="X44" s="70"/>
      <c r="Y44" s="70"/>
      <c r="Z44" s="70"/>
      <c r="AA44" s="212"/>
      <c r="AB44" s="212"/>
      <c r="AC44" s="213">
        <v>0.06</v>
      </c>
      <c r="AD44" s="213"/>
      <c r="AE44" s="213"/>
      <c r="AF44" s="213"/>
      <c r="AJ44" s="210"/>
    </row>
    <row r="45" spans="1:36" s="209" customFormat="1" x14ac:dyDescent="0.25">
      <c r="A45" s="204"/>
      <c r="B45" s="204"/>
      <c r="C45" s="204"/>
      <c r="D45" s="204"/>
      <c r="E45" s="204"/>
      <c r="F45" s="204"/>
      <c r="G45" s="204"/>
      <c r="H45" s="204"/>
      <c r="I45" s="205"/>
      <c r="J45" s="204"/>
      <c r="K45" s="204"/>
      <c r="L45" s="205"/>
      <c r="M45" s="204"/>
      <c r="N45" s="204"/>
      <c r="O45" s="204" t="s">
        <v>7085</v>
      </c>
      <c r="P45" s="206"/>
      <c r="Q45" s="208">
        <v>2.25</v>
      </c>
      <c r="R45" s="207"/>
      <c r="S45" s="207"/>
      <c r="T45" s="67"/>
      <c r="U45" s="67">
        <v>1.2</v>
      </c>
      <c r="V45" s="67">
        <v>0.7</v>
      </c>
      <c r="W45" s="67">
        <v>0.35000000000000009</v>
      </c>
      <c r="X45" s="70">
        <v>2.4500000000000008E-2</v>
      </c>
      <c r="Y45" s="70"/>
      <c r="Z45" s="70"/>
      <c r="AA45" s="212"/>
      <c r="AB45" s="212"/>
      <c r="AC45" s="213">
        <v>0.35</v>
      </c>
      <c r="AD45" s="213"/>
      <c r="AE45" s="213"/>
      <c r="AF45" s="213"/>
      <c r="AJ45" s="210"/>
    </row>
    <row r="46" spans="1:36" s="209" customFormat="1" x14ac:dyDescent="0.25">
      <c r="A46" s="204">
        <v>632</v>
      </c>
      <c r="B46" s="204" t="s">
        <v>4608</v>
      </c>
      <c r="C46" s="204" t="s">
        <v>4609</v>
      </c>
      <c r="D46" s="204" t="s">
        <v>2609</v>
      </c>
      <c r="E46" s="204"/>
      <c r="F46" s="204">
        <v>2010</v>
      </c>
      <c r="G46" s="204"/>
      <c r="H46" s="204" t="s">
        <v>1878</v>
      </c>
      <c r="I46" s="205" t="s">
        <v>1879</v>
      </c>
      <c r="J46" s="204"/>
      <c r="K46" s="204" t="s">
        <v>1881</v>
      </c>
      <c r="L46" s="205" t="s">
        <v>4610</v>
      </c>
      <c r="M46" s="204">
        <v>720</v>
      </c>
      <c r="N46" s="204"/>
      <c r="O46" s="204" t="s">
        <v>4549</v>
      </c>
      <c r="P46" s="206">
        <v>550</v>
      </c>
      <c r="Q46" s="208">
        <f>SUM(T46:X46)</f>
        <v>3.1382999999999996</v>
      </c>
      <c r="R46" s="207">
        <v>0.69</v>
      </c>
      <c r="S46" s="207"/>
      <c r="T46" s="67"/>
      <c r="U46" s="67">
        <v>1.7</v>
      </c>
      <c r="V46" s="67">
        <v>0.7</v>
      </c>
      <c r="W46" s="67">
        <f>IF(R46&gt;T46,R46,T46)</f>
        <v>0.69</v>
      </c>
      <c r="X46" s="70">
        <f>(T46+W46)/100*7</f>
        <v>4.8299999999999996E-2</v>
      </c>
      <c r="Y46" s="70"/>
      <c r="Z46" s="70"/>
      <c r="AA46" s="212"/>
      <c r="AB46" s="212"/>
      <c r="AC46" s="213">
        <v>0.99</v>
      </c>
      <c r="AD46" s="213"/>
      <c r="AE46" s="213"/>
      <c r="AF46" s="213"/>
      <c r="AJ46" s="210"/>
    </row>
    <row r="47" spans="1:36" s="209" customFormat="1" x14ac:dyDescent="0.25">
      <c r="A47" s="204">
        <v>634</v>
      </c>
      <c r="B47" s="204" t="s">
        <v>5798</v>
      </c>
      <c r="C47" s="204" t="s">
        <v>5801</v>
      </c>
      <c r="D47" s="204" t="s">
        <v>1993</v>
      </c>
      <c r="E47" s="204"/>
      <c r="F47" s="204">
        <v>1999</v>
      </c>
      <c r="G47" s="204"/>
      <c r="H47" s="204" t="s">
        <v>1878</v>
      </c>
      <c r="I47" s="205" t="s">
        <v>1914</v>
      </c>
      <c r="J47" s="204"/>
      <c r="K47" s="204" t="s">
        <v>1881</v>
      </c>
      <c r="L47" s="205" t="s">
        <v>5802</v>
      </c>
      <c r="M47" s="204">
        <v>512</v>
      </c>
      <c r="N47" s="204"/>
      <c r="O47" s="204" t="s">
        <v>5165</v>
      </c>
      <c r="P47" s="206">
        <v>375</v>
      </c>
      <c r="Q47" s="208">
        <f>SUM(T47:X47)</f>
        <v>2.6917999999999997</v>
      </c>
      <c r="R47" s="207">
        <v>0.79</v>
      </c>
      <c r="S47" s="207"/>
      <c r="T47" s="67"/>
      <c r="U47" s="67">
        <v>1.2</v>
      </c>
      <c r="V47" s="67">
        <v>0.7</v>
      </c>
      <c r="W47" s="67">
        <v>0.74</v>
      </c>
      <c r="X47" s="70">
        <f>(T47+W47)/100*7</f>
        <v>5.1799999999999999E-2</v>
      </c>
      <c r="Y47" s="70"/>
      <c r="Z47" s="70"/>
      <c r="AA47" s="212"/>
      <c r="AB47" s="212"/>
      <c r="AC47" s="213">
        <v>0.74</v>
      </c>
      <c r="AD47" s="213"/>
      <c r="AE47" s="213"/>
      <c r="AF47" s="213"/>
      <c r="AJ47" s="210"/>
    </row>
    <row r="48" spans="1:36" s="209" customFormat="1" x14ac:dyDescent="0.25">
      <c r="A48" s="204">
        <v>2898</v>
      </c>
      <c r="B48" s="204" t="s">
        <v>6521</v>
      </c>
      <c r="C48" s="204" t="s">
        <v>6522</v>
      </c>
      <c r="D48" s="204" t="s">
        <v>6523</v>
      </c>
      <c r="E48" s="204"/>
      <c r="F48" s="204"/>
      <c r="G48" s="204"/>
      <c r="H48" s="204" t="s">
        <v>2734</v>
      </c>
      <c r="I48" s="205" t="s">
        <v>1929</v>
      </c>
      <c r="J48" s="204"/>
      <c r="K48" s="204" t="s">
        <v>1881</v>
      </c>
      <c r="L48" s="205" t="s">
        <v>6524</v>
      </c>
      <c r="M48" s="204"/>
      <c r="N48" s="204"/>
      <c r="O48" s="204" t="s">
        <v>5413</v>
      </c>
      <c r="P48" s="206">
        <v>261</v>
      </c>
      <c r="Q48" s="208">
        <v>3.76</v>
      </c>
      <c r="R48" s="207">
        <v>2.79</v>
      </c>
      <c r="S48" s="207"/>
      <c r="T48" s="77">
        <v>0.3</v>
      </c>
      <c r="U48" s="67"/>
      <c r="V48" s="67">
        <v>0.7</v>
      </c>
      <c r="W48" s="67">
        <f>3.76-0.2</f>
        <v>3.5599999999999996</v>
      </c>
      <c r="X48" s="70">
        <f t="shared" ref="X48:X63" si="3">Q48/100*7</f>
        <v>0.26319999999999999</v>
      </c>
      <c r="Y48" s="70"/>
      <c r="Z48" s="70"/>
      <c r="AA48" s="212"/>
      <c r="AB48" s="212"/>
      <c r="AC48" s="83"/>
      <c r="AD48" s="213">
        <f t="shared" ref="AD48:AD54" si="4">Q48-X48</f>
        <v>3.4967999999999999</v>
      </c>
      <c r="AE48" s="83"/>
      <c r="AF48" s="83"/>
      <c r="AJ48" s="210"/>
    </row>
    <row r="49" spans="1:40" s="209" customFormat="1" ht="12" customHeight="1" x14ac:dyDescent="0.25">
      <c r="A49" s="204">
        <v>1327</v>
      </c>
      <c r="B49" s="204" t="s">
        <v>1891</v>
      </c>
      <c r="C49" s="204" t="s">
        <v>1892</v>
      </c>
      <c r="D49" s="204" t="s">
        <v>1876</v>
      </c>
      <c r="E49" s="204" t="s">
        <v>1893</v>
      </c>
      <c r="F49" s="204">
        <v>2004</v>
      </c>
      <c r="G49" s="204"/>
      <c r="H49" s="204" t="s">
        <v>1878</v>
      </c>
      <c r="I49" s="205" t="s">
        <v>1879</v>
      </c>
      <c r="J49" s="79" t="s">
        <v>1894</v>
      </c>
      <c r="K49" s="204" t="s">
        <v>1881</v>
      </c>
      <c r="L49" s="205" t="s">
        <v>1895</v>
      </c>
      <c r="M49" s="204">
        <v>432</v>
      </c>
      <c r="N49" s="204"/>
      <c r="O49" s="204" t="s">
        <v>1896</v>
      </c>
      <c r="P49" s="206">
        <v>359</v>
      </c>
      <c r="Q49" s="208">
        <v>1.68</v>
      </c>
      <c r="R49" s="207">
        <v>1.1499999999999999</v>
      </c>
      <c r="S49" s="207"/>
      <c r="T49" s="67"/>
      <c r="U49" s="67">
        <v>1.2</v>
      </c>
      <c r="V49" s="67">
        <v>0.25</v>
      </c>
      <c r="W49" s="67">
        <f>IF(R49&gt;T49,R49)</f>
        <v>1.1499999999999999</v>
      </c>
      <c r="X49" s="70">
        <f t="shared" si="3"/>
        <v>0.1176</v>
      </c>
      <c r="Y49" s="70"/>
      <c r="Z49" s="70"/>
      <c r="AA49" s="212"/>
      <c r="AB49" s="212"/>
      <c r="AC49" s="213"/>
      <c r="AD49" s="213">
        <f t="shared" si="4"/>
        <v>1.5624</v>
      </c>
      <c r="AE49" s="213"/>
      <c r="AF49" s="213"/>
      <c r="AJ49" s="210"/>
      <c r="AK49" s="209" t="s">
        <v>51</v>
      </c>
      <c r="AL49" s="209" t="s">
        <v>51</v>
      </c>
      <c r="AM49" s="209" t="s">
        <v>51</v>
      </c>
      <c r="AN49" s="207"/>
    </row>
    <row r="50" spans="1:40" s="209" customFormat="1" x14ac:dyDescent="0.25">
      <c r="A50" s="204">
        <v>2522</v>
      </c>
      <c r="B50" s="204" t="s">
        <v>2252</v>
      </c>
      <c r="C50" s="204" t="s">
        <v>2253</v>
      </c>
      <c r="D50" s="204" t="s">
        <v>1912</v>
      </c>
      <c r="E50" s="204" t="s">
        <v>1913</v>
      </c>
      <c r="F50" s="204">
        <v>2006</v>
      </c>
      <c r="G50" s="204"/>
      <c r="H50" s="204" t="s">
        <v>1878</v>
      </c>
      <c r="I50" s="205" t="s">
        <v>1879</v>
      </c>
      <c r="J50" s="204"/>
      <c r="K50" s="204" t="s">
        <v>1881</v>
      </c>
      <c r="L50" s="205" t="s">
        <v>2254</v>
      </c>
      <c r="M50" s="204">
        <v>704</v>
      </c>
      <c r="N50" s="204"/>
      <c r="O50" s="204" t="s">
        <v>2247</v>
      </c>
      <c r="P50" s="206">
        <v>546</v>
      </c>
      <c r="Q50" s="208">
        <v>0.72</v>
      </c>
      <c r="R50" s="207">
        <v>0.25</v>
      </c>
      <c r="S50" s="207"/>
      <c r="T50" s="67"/>
      <c r="U50" s="67">
        <v>1.7</v>
      </c>
      <c r="V50" s="67">
        <v>0.25</v>
      </c>
      <c r="W50" s="67">
        <f t="shared" ref="W50:W62" si="5">IF(R50&gt;T50,R50,T50)</f>
        <v>0.25</v>
      </c>
      <c r="X50" s="70">
        <f t="shared" si="3"/>
        <v>5.04E-2</v>
      </c>
      <c r="Y50" s="70"/>
      <c r="Z50" s="70"/>
      <c r="AA50" s="212"/>
      <c r="AB50" s="212"/>
      <c r="AC50" s="213"/>
      <c r="AD50" s="213">
        <f t="shared" si="4"/>
        <v>0.66959999999999997</v>
      </c>
      <c r="AE50" s="213"/>
      <c r="AF50" s="213"/>
      <c r="AJ50" s="210"/>
      <c r="AK50" s="209" t="s">
        <v>51</v>
      </c>
      <c r="AL50" s="209" t="s">
        <v>51</v>
      </c>
      <c r="AM50" s="209" t="s">
        <v>51</v>
      </c>
      <c r="AN50" s="207"/>
    </row>
    <row r="51" spans="1:40" s="209" customFormat="1" x14ac:dyDescent="0.25">
      <c r="A51" s="204">
        <v>1325</v>
      </c>
      <c r="B51" s="204" t="s">
        <v>7735</v>
      </c>
      <c r="C51" s="204" t="s">
        <v>7736</v>
      </c>
      <c r="D51" s="204" t="s">
        <v>7737</v>
      </c>
      <c r="E51" s="204"/>
      <c r="F51" s="204">
        <v>2007</v>
      </c>
      <c r="G51" s="204"/>
      <c r="H51" s="204" t="s">
        <v>2734</v>
      </c>
      <c r="I51" s="205" t="s">
        <v>1929</v>
      </c>
      <c r="J51" s="204"/>
      <c r="K51" s="204" t="s">
        <v>1881</v>
      </c>
      <c r="L51" s="205" t="s">
        <v>7738</v>
      </c>
      <c r="M51" s="204">
        <v>320</v>
      </c>
      <c r="N51" s="204"/>
      <c r="O51" s="204" t="s">
        <v>5650</v>
      </c>
      <c r="P51" s="206">
        <v>413</v>
      </c>
      <c r="Q51" s="208">
        <v>2.78</v>
      </c>
      <c r="R51" s="207">
        <v>2.34</v>
      </c>
      <c r="S51" s="207"/>
      <c r="T51" s="67">
        <v>0.35</v>
      </c>
      <c r="U51" s="67"/>
      <c r="V51" s="67">
        <v>0.25</v>
      </c>
      <c r="W51" s="67">
        <f t="shared" si="5"/>
        <v>2.34</v>
      </c>
      <c r="X51" s="70">
        <f t="shared" si="3"/>
        <v>0.1946</v>
      </c>
      <c r="Y51" s="70"/>
      <c r="Z51" s="70"/>
      <c r="AA51" s="212"/>
      <c r="AB51" s="212"/>
      <c r="AC51" s="213"/>
      <c r="AD51" s="213">
        <f t="shared" si="4"/>
        <v>2.5853999999999999</v>
      </c>
      <c r="AE51" s="213"/>
      <c r="AF51" s="213"/>
      <c r="AJ51" s="210"/>
    </row>
    <row r="52" spans="1:40" s="209" customFormat="1" x14ac:dyDescent="0.25">
      <c r="A52" s="204">
        <v>632</v>
      </c>
      <c r="B52" s="204" t="s">
        <v>2833</v>
      </c>
      <c r="C52" s="204" t="s">
        <v>2834</v>
      </c>
      <c r="D52" s="204" t="s">
        <v>2835</v>
      </c>
      <c r="E52" s="204" t="s">
        <v>1974</v>
      </c>
      <c r="F52" s="204">
        <v>1992</v>
      </c>
      <c r="G52" s="204"/>
      <c r="H52" s="204" t="s">
        <v>2734</v>
      </c>
      <c r="I52" s="205" t="s">
        <v>1929</v>
      </c>
      <c r="J52" s="204" t="s">
        <v>2836</v>
      </c>
      <c r="K52" s="204" t="s">
        <v>1881</v>
      </c>
      <c r="L52" s="205" t="s">
        <v>2837</v>
      </c>
      <c r="M52" s="204">
        <v>338</v>
      </c>
      <c r="N52" s="204"/>
      <c r="O52" s="204" t="s">
        <v>2767</v>
      </c>
      <c r="P52" s="206">
        <v>503</v>
      </c>
      <c r="Q52" s="208">
        <v>2.69</v>
      </c>
      <c r="R52" s="207">
        <v>0.69</v>
      </c>
      <c r="S52" s="207"/>
      <c r="T52" s="67"/>
      <c r="U52" s="67">
        <v>1.7</v>
      </c>
      <c r="V52" s="67">
        <v>0.25</v>
      </c>
      <c r="W52" s="67">
        <f t="shared" si="5"/>
        <v>0.69</v>
      </c>
      <c r="X52" s="70">
        <f t="shared" si="3"/>
        <v>0.1883</v>
      </c>
      <c r="Y52" s="70"/>
      <c r="Z52" s="70"/>
      <c r="AA52" s="212"/>
      <c r="AB52" s="212"/>
      <c r="AC52" s="213"/>
      <c r="AD52" s="213">
        <f t="shared" si="4"/>
        <v>2.5017</v>
      </c>
      <c r="AE52" s="213"/>
      <c r="AF52" s="213"/>
      <c r="AJ52" s="210"/>
    </row>
    <row r="53" spans="1:40" s="209" customFormat="1" x14ac:dyDescent="0.25">
      <c r="A53" s="204">
        <v>2522</v>
      </c>
      <c r="B53" s="204" t="s">
        <v>7683</v>
      </c>
      <c r="C53" s="204" t="s">
        <v>7684</v>
      </c>
      <c r="D53" s="204" t="s">
        <v>2926</v>
      </c>
      <c r="E53" s="204"/>
      <c r="F53" s="204">
        <v>2012</v>
      </c>
      <c r="G53" s="204"/>
      <c r="H53" s="204" t="s">
        <v>1878</v>
      </c>
      <c r="I53" s="205" t="s">
        <v>1929</v>
      </c>
      <c r="J53" s="79" t="s">
        <v>3854</v>
      </c>
      <c r="K53" s="204" t="s">
        <v>1881</v>
      </c>
      <c r="L53" s="205" t="s">
        <v>7685</v>
      </c>
      <c r="M53" s="204">
        <v>352</v>
      </c>
      <c r="N53" s="204"/>
      <c r="O53" s="204" t="s">
        <v>5633</v>
      </c>
      <c r="P53" s="206">
        <v>450</v>
      </c>
      <c r="Q53" s="208">
        <v>0.59</v>
      </c>
      <c r="R53" s="207">
        <v>0.39</v>
      </c>
      <c r="S53" s="207"/>
      <c r="T53" s="67">
        <v>0.35</v>
      </c>
      <c r="U53" s="67"/>
      <c r="V53" s="67">
        <v>0.25</v>
      </c>
      <c r="W53" s="67">
        <f t="shared" si="5"/>
        <v>0.39</v>
      </c>
      <c r="X53" s="70">
        <f t="shared" si="3"/>
        <v>4.1299999999999996E-2</v>
      </c>
      <c r="Y53" s="70"/>
      <c r="Z53" s="70"/>
      <c r="AA53" s="212"/>
      <c r="AB53" s="212"/>
      <c r="AC53" s="213"/>
      <c r="AD53" s="213">
        <f t="shared" si="4"/>
        <v>0.54869999999999997</v>
      </c>
      <c r="AE53" s="213"/>
      <c r="AF53" s="213"/>
      <c r="AJ53" s="210"/>
    </row>
    <row r="54" spans="1:40" s="209" customFormat="1" x14ac:dyDescent="0.25">
      <c r="A54" s="204">
        <v>688</v>
      </c>
      <c r="B54" s="204" t="s">
        <v>3712</v>
      </c>
      <c r="C54" s="204" t="s">
        <v>3713</v>
      </c>
      <c r="D54" s="204" t="s">
        <v>2209</v>
      </c>
      <c r="E54" s="204" t="s">
        <v>1877</v>
      </c>
      <c r="F54" s="204">
        <v>2004</v>
      </c>
      <c r="G54" s="204"/>
      <c r="H54" s="204" t="s">
        <v>1878</v>
      </c>
      <c r="I54" s="205" t="s">
        <v>1879</v>
      </c>
      <c r="J54" s="204" t="s">
        <v>3303</v>
      </c>
      <c r="K54" s="204" t="s">
        <v>1881</v>
      </c>
      <c r="L54" s="205" t="s">
        <v>3714</v>
      </c>
      <c r="M54" s="204">
        <v>912</v>
      </c>
      <c r="N54" s="204"/>
      <c r="O54" s="204" t="s">
        <v>3567</v>
      </c>
      <c r="P54" s="206">
        <v>937</v>
      </c>
      <c r="Q54" s="208">
        <v>2.2200000000000002</v>
      </c>
      <c r="R54" s="207">
        <v>0.25</v>
      </c>
      <c r="S54" s="207"/>
      <c r="T54" s="67"/>
      <c r="U54" s="67">
        <v>1.7</v>
      </c>
      <c r="V54" s="67">
        <v>0.25</v>
      </c>
      <c r="W54" s="67">
        <f t="shared" si="5"/>
        <v>0.25</v>
      </c>
      <c r="X54" s="70">
        <f t="shared" si="3"/>
        <v>0.15540000000000001</v>
      </c>
      <c r="Y54" s="70"/>
      <c r="Z54" s="70"/>
      <c r="AA54" s="212"/>
      <c r="AB54" s="212"/>
      <c r="AC54" s="213"/>
      <c r="AD54" s="213">
        <f t="shared" si="4"/>
        <v>2.0646</v>
      </c>
      <c r="AE54" s="213"/>
      <c r="AF54" s="213"/>
      <c r="AJ54" s="210"/>
    </row>
    <row r="55" spans="1:40" s="209" customFormat="1" x14ac:dyDescent="0.25">
      <c r="A55" s="204">
        <v>2522</v>
      </c>
      <c r="B55" s="204" t="s">
        <v>2456</v>
      </c>
      <c r="C55" s="204" t="s">
        <v>2457</v>
      </c>
      <c r="D55" s="204" t="s">
        <v>1993</v>
      </c>
      <c r="E55" s="204" t="s">
        <v>1913</v>
      </c>
      <c r="F55" s="204">
        <v>2012</v>
      </c>
      <c r="G55" s="204"/>
      <c r="H55" s="204" t="s">
        <v>1878</v>
      </c>
      <c r="I55" s="205" t="s">
        <v>1879</v>
      </c>
      <c r="J55" s="204" t="s">
        <v>2458</v>
      </c>
      <c r="K55" s="204" t="s">
        <v>1881</v>
      </c>
      <c r="L55" s="205" t="s">
        <v>2459</v>
      </c>
      <c r="M55" s="204">
        <v>656</v>
      </c>
      <c r="N55" s="204"/>
      <c r="O55" s="204" t="s">
        <v>2429</v>
      </c>
      <c r="P55" s="206">
        <v>502</v>
      </c>
      <c r="Q55" s="208">
        <v>2</v>
      </c>
      <c r="R55" s="207">
        <v>0.25</v>
      </c>
      <c r="S55" s="207"/>
      <c r="T55" s="67"/>
      <c r="U55" s="67">
        <v>1.7</v>
      </c>
      <c r="V55" s="67">
        <v>0.25</v>
      </c>
      <c r="W55" s="67">
        <f t="shared" si="5"/>
        <v>0.25</v>
      </c>
      <c r="X55" s="70">
        <f t="shared" si="3"/>
        <v>0.14000000000000001</v>
      </c>
      <c r="Y55" s="70"/>
      <c r="Z55" s="70"/>
      <c r="AA55" s="212"/>
      <c r="AB55" s="212"/>
      <c r="AC55" s="213"/>
      <c r="AD55" s="213">
        <f>Q55-X55</f>
        <v>1.8599999999999999</v>
      </c>
      <c r="AE55" s="213"/>
      <c r="AF55" s="213"/>
      <c r="AJ55" s="210"/>
    </row>
    <row r="56" spans="1:40" s="209" customFormat="1" x14ac:dyDescent="0.25">
      <c r="A56" s="204">
        <v>632</v>
      </c>
      <c r="B56" s="204" t="s">
        <v>2252</v>
      </c>
      <c r="C56" s="204" t="s">
        <v>2917</v>
      </c>
      <c r="D56" s="204" t="s">
        <v>1912</v>
      </c>
      <c r="E56" s="204" t="s">
        <v>2918</v>
      </c>
      <c r="F56" s="204">
        <v>2003</v>
      </c>
      <c r="G56" s="204"/>
      <c r="H56" s="204" t="s">
        <v>1878</v>
      </c>
      <c r="I56" s="205" t="s">
        <v>1879</v>
      </c>
      <c r="J56" s="204"/>
      <c r="K56" s="204" t="s">
        <v>1881</v>
      </c>
      <c r="L56" s="205" t="s">
        <v>2919</v>
      </c>
      <c r="M56" s="204">
        <v>512</v>
      </c>
      <c r="N56" s="204"/>
      <c r="O56" s="204" t="s">
        <v>2904</v>
      </c>
      <c r="P56" s="206">
        <v>400</v>
      </c>
      <c r="Q56" s="208">
        <v>1.55</v>
      </c>
      <c r="R56" s="207">
        <v>0.25</v>
      </c>
      <c r="S56" s="207"/>
      <c r="T56" s="67"/>
      <c r="U56" s="67">
        <v>1.2</v>
      </c>
      <c r="V56" s="67">
        <v>0.25</v>
      </c>
      <c r="W56" s="67">
        <f t="shared" si="5"/>
        <v>0.25</v>
      </c>
      <c r="X56" s="70">
        <f t="shared" si="3"/>
        <v>0.1085</v>
      </c>
      <c r="Y56" s="70"/>
      <c r="Z56" s="70"/>
      <c r="AA56" s="212"/>
      <c r="AB56" s="212"/>
      <c r="AC56" s="213"/>
      <c r="AD56" s="213">
        <f t="shared" ref="AD56:AD63" si="6">Q56-X56</f>
        <v>1.4415</v>
      </c>
      <c r="AE56" s="213"/>
      <c r="AF56" s="213"/>
      <c r="AJ56" s="210"/>
    </row>
    <row r="57" spans="1:40" s="209" customFormat="1" x14ac:dyDescent="0.25">
      <c r="A57" s="204">
        <v>2522</v>
      </c>
      <c r="B57" s="204" t="s">
        <v>3941</v>
      </c>
      <c r="C57" s="204" t="s">
        <v>3942</v>
      </c>
      <c r="D57" s="204" t="s">
        <v>1912</v>
      </c>
      <c r="E57" s="204"/>
      <c r="F57" s="204">
        <v>1997</v>
      </c>
      <c r="G57" s="204"/>
      <c r="H57" s="204" t="s">
        <v>1878</v>
      </c>
      <c r="I57" s="205" t="s">
        <v>1879</v>
      </c>
      <c r="J57" s="204" t="s">
        <v>3943</v>
      </c>
      <c r="K57" s="204" t="s">
        <v>1881</v>
      </c>
      <c r="L57" s="205" t="s">
        <v>3944</v>
      </c>
      <c r="M57" s="204">
        <v>416</v>
      </c>
      <c r="N57" s="204"/>
      <c r="O57" s="204" t="s">
        <v>3887</v>
      </c>
      <c r="P57" s="206">
        <v>281</v>
      </c>
      <c r="Q57" s="208">
        <v>2.2599999999999998</v>
      </c>
      <c r="R57" s="207">
        <v>0.99</v>
      </c>
      <c r="S57" s="207"/>
      <c r="T57" s="67"/>
      <c r="U57" s="67">
        <v>1.2</v>
      </c>
      <c r="V57" s="67">
        <v>0.25</v>
      </c>
      <c r="W57" s="67">
        <f t="shared" si="5"/>
        <v>0.99</v>
      </c>
      <c r="X57" s="70">
        <f t="shared" si="3"/>
        <v>0.15819999999999998</v>
      </c>
      <c r="Y57" s="70"/>
      <c r="Z57" s="70"/>
      <c r="AA57" s="212"/>
      <c r="AB57" s="212"/>
      <c r="AC57" s="213"/>
      <c r="AD57" s="213">
        <f t="shared" si="6"/>
        <v>2.1017999999999999</v>
      </c>
      <c r="AE57" s="213"/>
      <c r="AF57" s="213"/>
      <c r="AJ57" s="210"/>
    </row>
    <row r="58" spans="1:40" s="209" customFormat="1" x14ac:dyDescent="0.25">
      <c r="A58" s="204">
        <v>632</v>
      </c>
      <c r="B58" s="204" t="s">
        <v>2612</v>
      </c>
      <c r="C58" s="204" t="s">
        <v>4891</v>
      </c>
      <c r="D58" s="204" t="s">
        <v>2257</v>
      </c>
      <c r="E58" s="204"/>
      <c r="F58" s="204">
        <v>2006</v>
      </c>
      <c r="G58" s="204"/>
      <c r="H58" s="204" t="s">
        <v>1878</v>
      </c>
      <c r="I58" s="205" t="s">
        <v>1879</v>
      </c>
      <c r="J58" s="204"/>
      <c r="K58" s="204" t="s">
        <v>1881</v>
      </c>
      <c r="L58" s="205" t="s">
        <v>4892</v>
      </c>
      <c r="M58" s="204">
        <v>656</v>
      </c>
      <c r="N58" s="204"/>
      <c r="O58" s="204" t="s">
        <v>4775</v>
      </c>
      <c r="P58" s="206">
        <v>486</v>
      </c>
      <c r="Q58" s="208">
        <v>1.77</v>
      </c>
      <c r="R58" s="207">
        <v>0.49</v>
      </c>
      <c r="S58" s="207"/>
      <c r="T58" s="67"/>
      <c r="U58" s="67">
        <v>1.2</v>
      </c>
      <c r="V58" s="67">
        <v>0.25</v>
      </c>
      <c r="W58" s="67">
        <f t="shared" si="5"/>
        <v>0.49</v>
      </c>
      <c r="X58" s="70">
        <f t="shared" si="3"/>
        <v>0.12390000000000001</v>
      </c>
      <c r="Y58" s="70"/>
      <c r="Z58" s="70"/>
      <c r="AA58" s="212"/>
      <c r="AB58" s="212"/>
      <c r="AC58" s="213"/>
      <c r="AD58" s="213">
        <f t="shared" si="6"/>
        <v>1.6461000000000001</v>
      </c>
      <c r="AE58" s="213"/>
      <c r="AF58" s="213"/>
      <c r="AJ58" s="210"/>
    </row>
    <row r="59" spans="1:40" s="209" customFormat="1" x14ac:dyDescent="0.25">
      <c r="A59" s="204">
        <v>632</v>
      </c>
      <c r="B59" s="204" t="s">
        <v>2612</v>
      </c>
      <c r="C59" s="204" t="s">
        <v>4896</v>
      </c>
      <c r="D59" s="204" t="s">
        <v>2257</v>
      </c>
      <c r="E59" s="204"/>
      <c r="F59" s="204">
        <v>2008</v>
      </c>
      <c r="G59" s="204"/>
      <c r="H59" s="204" t="s">
        <v>1878</v>
      </c>
      <c r="I59" s="205" t="s">
        <v>1879</v>
      </c>
      <c r="J59" s="204"/>
      <c r="K59" s="204" t="s">
        <v>1881</v>
      </c>
      <c r="L59" s="205" t="s">
        <v>4897</v>
      </c>
      <c r="M59" s="204">
        <v>672</v>
      </c>
      <c r="N59" s="204"/>
      <c r="O59" s="204" t="s">
        <v>4777</v>
      </c>
      <c r="P59" s="206">
        <v>512</v>
      </c>
      <c r="Q59" s="208">
        <v>2.52</v>
      </c>
      <c r="R59" s="207">
        <v>0.79</v>
      </c>
      <c r="S59" s="207"/>
      <c r="T59" s="67"/>
      <c r="U59" s="67">
        <v>1.7</v>
      </c>
      <c r="V59" s="67">
        <v>0.25</v>
      </c>
      <c r="W59" s="67">
        <f t="shared" si="5"/>
        <v>0.79</v>
      </c>
      <c r="X59" s="70">
        <f t="shared" si="3"/>
        <v>0.1764</v>
      </c>
      <c r="Y59" s="70"/>
      <c r="Z59" s="70"/>
      <c r="AA59" s="212"/>
      <c r="AB59" s="212"/>
      <c r="AC59" s="213"/>
      <c r="AD59" s="213">
        <f t="shared" si="6"/>
        <v>2.3435999999999999</v>
      </c>
      <c r="AE59" s="213"/>
      <c r="AF59" s="213"/>
      <c r="AJ59" s="210"/>
    </row>
    <row r="60" spans="1:40" s="209" customFormat="1" x14ac:dyDescent="0.25">
      <c r="A60" s="204">
        <v>632</v>
      </c>
      <c r="B60" s="204" t="s">
        <v>2612</v>
      </c>
      <c r="C60" s="204" t="s">
        <v>2613</v>
      </c>
      <c r="D60" s="204" t="s">
        <v>2257</v>
      </c>
      <c r="E60" s="204"/>
      <c r="F60" s="204">
        <v>2008</v>
      </c>
      <c r="G60" s="204"/>
      <c r="H60" s="204" t="s">
        <v>1878</v>
      </c>
      <c r="I60" s="205" t="s">
        <v>1879</v>
      </c>
      <c r="J60" s="204"/>
      <c r="K60" s="204" t="s">
        <v>1881</v>
      </c>
      <c r="L60" s="205" t="s">
        <v>4899</v>
      </c>
      <c r="M60" s="204">
        <v>672</v>
      </c>
      <c r="N60" s="204"/>
      <c r="O60" s="204" t="s">
        <v>4778</v>
      </c>
      <c r="P60" s="206">
        <v>500</v>
      </c>
      <c r="Q60" s="208">
        <v>2.52</v>
      </c>
      <c r="R60" s="207">
        <v>0.79</v>
      </c>
      <c r="S60" s="207"/>
      <c r="T60" s="67"/>
      <c r="U60" s="67">
        <v>1.7</v>
      </c>
      <c r="V60" s="67">
        <v>0.25</v>
      </c>
      <c r="W60" s="67">
        <f t="shared" si="5"/>
        <v>0.79</v>
      </c>
      <c r="X60" s="70">
        <f t="shared" si="3"/>
        <v>0.1764</v>
      </c>
      <c r="Y60" s="70"/>
      <c r="Z60" s="70"/>
      <c r="AA60" s="212"/>
      <c r="AB60" s="212"/>
      <c r="AC60" s="213"/>
      <c r="AD60" s="213">
        <f t="shared" si="6"/>
        <v>2.3435999999999999</v>
      </c>
      <c r="AE60" s="213"/>
      <c r="AF60" s="213"/>
      <c r="AJ60" s="210"/>
    </row>
    <row r="61" spans="1:40" s="209" customFormat="1" x14ac:dyDescent="0.25">
      <c r="A61" s="204">
        <v>1806</v>
      </c>
      <c r="B61" s="204" t="s">
        <v>7394</v>
      </c>
      <c r="C61" s="204" t="s">
        <v>7395</v>
      </c>
      <c r="D61" s="204" t="s">
        <v>1998</v>
      </c>
      <c r="E61" s="204" t="s">
        <v>3053</v>
      </c>
      <c r="F61" s="204">
        <v>2010</v>
      </c>
      <c r="G61" s="204"/>
      <c r="H61" s="204" t="s">
        <v>1878</v>
      </c>
      <c r="I61" s="205" t="s">
        <v>1929</v>
      </c>
      <c r="J61" s="204"/>
      <c r="K61" s="204" t="s">
        <v>1881</v>
      </c>
      <c r="L61" s="205" t="s">
        <v>7396</v>
      </c>
      <c r="M61" s="204">
        <v>160</v>
      </c>
      <c r="N61" s="204"/>
      <c r="O61" s="204" t="s">
        <v>5530</v>
      </c>
      <c r="P61" s="206">
        <v>172</v>
      </c>
      <c r="Q61" s="208">
        <v>0.59</v>
      </c>
      <c r="R61" s="207">
        <v>0.25</v>
      </c>
      <c r="S61" s="207"/>
      <c r="T61" s="67">
        <v>0.35</v>
      </c>
      <c r="U61" s="67"/>
      <c r="V61" s="67">
        <v>0.25</v>
      </c>
      <c r="W61" s="67">
        <f t="shared" si="5"/>
        <v>0.35</v>
      </c>
      <c r="X61" s="70">
        <f t="shared" si="3"/>
        <v>4.1299999999999996E-2</v>
      </c>
      <c r="Y61" s="70"/>
      <c r="Z61" s="70"/>
      <c r="AA61" s="212"/>
      <c r="AB61" s="212"/>
      <c r="AC61" s="213"/>
      <c r="AD61" s="213">
        <f t="shared" si="6"/>
        <v>0.54869999999999997</v>
      </c>
      <c r="AE61" s="213"/>
      <c r="AF61" s="213"/>
      <c r="AJ61" s="210"/>
    </row>
    <row r="62" spans="1:40" s="209" customFormat="1" x14ac:dyDescent="0.25">
      <c r="A62" s="204">
        <v>2522</v>
      </c>
      <c r="B62" s="204" t="s">
        <v>7541</v>
      </c>
      <c r="C62" s="204" t="s">
        <v>7542</v>
      </c>
      <c r="D62" s="204" t="s">
        <v>2209</v>
      </c>
      <c r="E62" s="204"/>
      <c r="F62" s="204">
        <v>2002</v>
      </c>
      <c r="G62" s="204"/>
      <c r="H62" s="204" t="s">
        <v>1878</v>
      </c>
      <c r="I62" s="205" t="s">
        <v>7527</v>
      </c>
      <c r="J62" s="204"/>
      <c r="K62" s="204" t="s">
        <v>1881</v>
      </c>
      <c r="L62" s="205" t="s">
        <v>7543</v>
      </c>
      <c r="M62" s="204">
        <v>448</v>
      </c>
      <c r="N62" s="204"/>
      <c r="O62" s="204" t="s">
        <v>5578</v>
      </c>
      <c r="P62" s="206">
        <v>344</v>
      </c>
      <c r="Q62" s="208">
        <v>0.59</v>
      </c>
      <c r="R62" s="207">
        <v>0.25</v>
      </c>
      <c r="S62" s="207"/>
      <c r="T62" s="67">
        <v>0.35</v>
      </c>
      <c r="U62" s="67"/>
      <c r="V62" s="67">
        <v>0.25</v>
      </c>
      <c r="W62" s="67">
        <f t="shared" si="5"/>
        <v>0.35</v>
      </c>
      <c r="X62" s="70">
        <f t="shared" si="3"/>
        <v>4.1299999999999996E-2</v>
      </c>
      <c r="Y62" s="70"/>
      <c r="Z62" s="70"/>
      <c r="AA62" s="212"/>
      <c r="AB62" s="212"/>
      <c r="AC62" s="213"/>
      <c r="AD62" s="213">
        <f t="shared" si="6"/>
        <v>0.54869999999999997</v>
      </c>
      <c r="AE62" s="213"/>
      <c r="AF62" s="213"/>
      <c r="AJ62" s="210"/>
    </row>
    <row r="63" spans="1:40" s="209" customFormat="1" x14ac:dyDescent="0.25">
      <c r="A63" s="204">
        <v>632</v>
      </c>
      <c r="B63" s="204" t="s">
        <v>7529</v>
      </c>
      <c r="C63" s="204" t="s">
        <v>7530</v>
      </c>
      <c r="D63" s="204" t="s">
        <v>3077</v>
      </c>
      <c r="E63" s="204" t="s">
        <v>1913</v>
      </c>
      <c r="F63" s="204">
        <v>2004</v>
      </c>
      <c r="G63" s="204"/>
      <c r="H63" s="204" t="s">
        <v>1878</v>
      </c>
      <c r="I63" s="205" t="s">
        <v>1879</v>
      </c>
      <c r="J63" s="204"/>
      <c r="K63" s="204" t="s">
        <v>1881</v>
      </c>
      <c r="L63" s="205" t="s">
        <v>7531</v>
      </c>
      <c r="M63" s="204">
        <v>1280</v>
      </c>
      <c r="N63" s="204"/>
      <c r="O63" s="204" t="s">
        <v>5574</v>
      </c>
      <c r="P63" s="206">
        <v>749</v>
      </c>
      <c r="Q63" s="208">
        <v>3.41</v>
      </c>
      <c r="R63" s="207">
        <v>2.5</v>
      </c>
      <c r="S63" s="207"/>
      <c r="T63" s="67"/>
      <c r="U63" s="67"/>
      <c r="V63" s="67">
        <v>0.25</v>
      </c>
      <c r="W63" s="67">
        <v>2.95</v>
      </c>
      <c r="X63" s="70">
        <f t="shared" si="3"/>
        <v>0.2387</v>
      </c>
      <c r="Y63" s="70"/>
      <c r="Z63" s="70"/>
      <c r="AA63" s="212"/>
      <c r="AB63" s="212"/>
      <c r="AC63" s="213"/>
      <c r="AD63" s="213">
        <f t="shared" si="6"/>
        <v>3.1713</v>
      </c>
      <c r="AE63" s="213"/>
      <c r="AF63" s="213"/>
      <c r="AJ63" s="210"/>
    </row>
    <row r="64" spans="1:40" s="209" customFormat="1" x14ac:dyDescent="0.25">
      <c r="A64" s="204">
        <v>2523</v>
      </c>
      <c r="B64" s="204" t="s">
        <v>1991</v>
      </c>
      <c r="C64" s="204" t="s">
        <v>1992</v>
      </c>
      <c r="D64" s="204" t="s">
        <v>1993</v>
      </c>
      <c r="E64" s="204" t="s">
        <v>1877</v>
      </c>
      <c r="F64" s="204">
        <v>2017</v>
      </c>
      <c r="G64" s="204"/>
      <c r="H64" s="204" t="s">
        <v>1878</v>
      </c>
      <c r="I64" s="205" t="s">
        <v>1879</v>
      </c>
      <c r="J64" s="204" t="s">
        <v>1994</v>
      </c>
      <c r="K64" s="204" t="s">
        <v>1881</v>
      </c>
      <c r="L64" s="205" t="s">
        <v>1995</v>
      </c>
      <c r="M64" s="204">
        <v>464</v>
      </c>
      <c r="N64" s="204"/>
      <c r="O64" s="204" t="s">
        <v>1938</v>
      </c>
      <c r="P64" s="206">
        <v>378</v>
      </c>
      <c r="Q64" s="208">
        <v>1.69</v>
      </c>
      <c r="R64" s="207">
        <v>2.09</v>
      </c>
      <c r="S64" s="207"/>
      <c r="T64" s="67"/>
      <c r="U64" s="67">
        <v>1.2</v>
      </c>
      <c r="V64" s="67">
        <v>0.25</v>
      </c>
      <c r="W64" s="67">
        <v>1.69</v>
      </c>
      <c r="X64" s="70">
        <f>(T64+W64)/100*7</f>
        <v>0.11829999999999999</v>
      </c>
      <c r="Y64" s="70"/>
      <c r="Z64" s="70"/>
      <c r="AA64" s="212"/>
      <c r="AB64" s="212"/>
      <c r="AC64" s="213"/>
      <c r="AD64" s="213">
        <f>1.69*0.93</f>
        <v>1.5717000000000001</v>
      </c>
      <c r="AE64" s="213"/>
      <c r="AF64" s="213"/>
      <c r="AJ64" s="210"/>
      <c r="AK64" s="209" t="s">
        <v>51</v>
      </c>
      <c r="AL64" s="209" t="s">
        <v>51</v>
      </c>
      <c r="AM64" s="209" t="s">
        <v>51</v>
      </c>
      <c r="AN64" s="207"/>
    </row>
    <row r="65" spans="1:40" s="209" customFormat="1" ht="15.75" customHeight="1" x14ac:dyDescent="0.25">
      <c r="A65" s="204">
        <v>1386</v>
      </c>
      <c r="B65" s="204" t="s">
        <v>2011</v>
      </c>
      <c r="C65" s="204" t="s">
        <v>2012</v>
      </c>
      <c r="D65" s="204" t="s">
        <v>2013</v>
      </c>
      <c r="E65" s="204" t="s">
        <v>2014</v>
      </c>
      <c r="F65" s="204">
        <v>2014</v>
      </c>
      <c r="G65" s="204"/>
      <c r="H65" s="204" t="s">
        <v>1878</v>
      </c>
      <c r="I65" s="205" t="s">
        <v>1879</v>
      </c>
      <c r="J65" s="74" t="s">
        <v>2015</v>
      </c>
      <c r="K65" s="204" t="s">
        <v>1881</v>
      </c>
      <c r="L65" s="205" t="s">
        <v>2016</v>
      </c>
      <c r="M65" s="204">
        <v>640</v>
      </c>
      <c r="N65" s="204"/>
      <c r="O65" s="204" t="s">
        <v>1942</v>
      </c>
      <c r="P65" s="206">
        <v>423</v>
      </c>
      <c r="Q65" s="208">
        <f>SUM(T65:X65)</f>
        <v>2.4022999999999999</v>
      </c>
      <c r="R65" s="207">
        <v>0.89</v>
      </c>
      <c r="S65" s="207"/>
      <c r="T65" s="67"/>
      <c r="U65" s="67">
        <v>1.2</v>
      </c>
      <c r="V65" s="67">
        <v>0.25</v>
      </c>
      <c r="W65" s="67">
        <f t="shared" ref="W65:W73" si="7">IF(R65&gt;T65,R65,T65)</f>
        <v>0.89</v>
      </c>
      <c r="X65" s="70">
        <f>(T65+W65)/100*7</f>
        <v>6.2300000000000001E-2</v>
      </c>
      <c r="Y65" s="70"/>
      <c r="Z65" s="70"/>
      <c r="AA65" s="212"/>
      <c r="AB65" s="212"/>
      <c r="AC65" s="213"/>
      <c r="AD65" s="213">
        <f>1.19-0.06</f>
        <v>1.1299999999999999</v>
      </c>
      <c r="AE65" s="213"/>
      <c r="AF65" s="213"/>
      <c r="AJ65" s="210"/>
      <c r="AK65" s="209" t="s">
        <v>51</v>
      </c>
      <c r="AL65" s="209" t="s">
        <v>51</v>
      </c>
      <c r="AM65" s="209" t="s">
        <v>51</v>
      </c>
      <c r="AN65" s="207"/>
    </row>
    <row r="66" spans="1:40" s="209" customFormat="1" ht="15" customHeight="1" x14ac:dyDescent="0.25">
      <c r="A66" s="204">
        <v>639</v>
      </c>
      <c r="B66" s="204" t="s">
        <v>2039</v>
      </c>
      <c r="C66" s="204" t="s">
        <v>2040</v>
      </c>
      <c r="D66" s="204" t="s">
        <v>2041</v>
      </c>
      <c r="E66" s="204"/>
      <c r="F66" s="204"/>
      <c r="G66" s="204"/>
      <c r="H66" s="204" t="s">
        <v>1928</v>
      </c>
      <c r="I66" s="205" t="s">
        <v>1879</v>
      </c>
      <c r="J66" s="74" t="s">
        <v>2042</v>
      </c>
      <c r="K66" s="204" t="s">
        <v>1881</v>
      </c>
      <c r="L66" s="205" t="s">
        <v>2043</v>
      </c>
      <c r="M66" s="204">
        <v>394</v>
      </c>
      <c r="N66" s="204"/>
      <c r="O66" s="204" t="s">
        <v>1948</v>
      </c>
      <c r="P66" s="206">
        <v>1245</v>
      </c>
      <c r="Q66" s="208">
        <v>7.13</v>
      </c>
      <c r="R66" s="207">
        <v>2.89</v>
      </c>
      <c r="S66" s="207"/>
      <c r="T66" s="67"/>
      <c r="U66" s="67">
        <v>3.79</v>
      </c>
      <c r="V66" s="67">
        <v>0.25</v>
      </c>
      <c r="W66" s="67">
        <f t="shared" si="7"/>
        <v>2.89</v>
      </c>
      <c r="X66" s="70">
        <f>Q66/100*7</f>
        <v>0.49909999999999999</v>
      </c>
      <c r="Y66" s="70"/>
      <c r="Z66" s="70"/>
      <c r="AA66" s="212"/>
      <c r="AB66" s="212"/>
      <c r="AC66" s="213"/>
      <c r="AD66" s="213">
        <f>Q66-X66</f>
        <v>6.6308999999999996</v>
      </c>
      <c r="AE66" s="213"/>
      <c r="AF66" s="213"/>
      <c r="AJ66" s="210"/>
      <c r="AK66" s="209" t="s">
        <v>51</v>
      </c>
      <c r="AL66" s="209" t="s">
        <v>51</v>
      </c>
      <c r="AM66" s="209" t="s">
        <v>51</v>
      </c>
      <c r="AN66" s="207"/>
    </row>
    <row r="67" spans="1:40" s="209" customFormat="1" x14ac:dyDescent="0.25">
      <c r="A67" s="204">
        <v>632</v>
      </c>
      <c r="B67" s="204" t="s">
        <v>2106</v>
      </c>
      <c r="C67" s="204" t="s">
        <v>2107</v>
      </c>
      <c r="D67" s="204" t="s">
        <v>1920</v>
      </c>
      <c r="E67" s="204" t="s">
        <v>1921</v>
      </c>
      <c r="F67" s="204">
        <v>2003</v>
      </c>
      <c r="G67" s="204"/>
      <c r="H67" s="204" t="s">
        <v>1878</v>
      </c>
      <c r="I67" s="205" t="s">
        <v>1879</v>
      </c>
      <c r="J67" s="204" t="s">
        <v>2108</v>
      </c>
      <c r="K67" s="204" t="s">
        <v>1881</v>
      </c>
      <c r="L67" s="205" t="s">
        <v>2109</v>
      </c>
      <c r="M67" s="204">
        <v>528</v>
      </c>
      <c r="N67" s="204"/>
      <c r="O67" s="204" t="s">
        <v>1963</v>
      </c>
      <c r="P67" s="206">
        <v>389</v>
      </c>
      <c r="Q67" s="208">
        <f>SUM(T67:X67)</f>
        <v>1.9742999999999999</v>
      </c>
      <c r="R67" s="207">
        <v>0.49</v>
      </c>
      <c r="S67" s="207"/>
      <c r="T67" s="67"/>
      <c r="U67" s="67">
        <v>1.2</v>
      </c>
      <c r="V67" s="67">
        <v>0.25</v>
      </c>
      <c r="W67" s="67">
        <f t="shared" si="7"/>
        <v>0.49</v>
      </c>
      <c r="X67" s="70">
        <f>(T67+W67)/100*7</f>
        <v>3.4299999999999997E-2</v>
      </c>
      <c r="Y67" s="70"/>
      <c r="Z67" s="70"/>
      <c r="AA67" s="212"/>
      <c r="AB67" s="212"/>
      <c r="AC67" s="213"/>
      <c r="AD67" s="213">
        <f>1.97-0.03</f>
        <v>1.94</v>
      </c>
      <c r="AE67" s="213"/>
      <c r="AF67" s="213"/>
      <c r="AJ67" s="210"/>
      <c r="AK67" s="209" t="s">
        <v>51</v>
      </c>
      <c r="AL67" s="209" t="s">
        <v>51</v>
      </c>
      <c r="AM67" s="209" t="s">
        <v>51</v>
      </c>
      <c r="AN67" s="207"/>
    </row>
    <row r="68" spans="1:40" s="209" customFormat="1" ht="14.25" customHeight="1" x14ac:dyDescent="0.25">
      <c r="A68" s="204">
        <v>863</v>
      </c>
      <c r="B68" s="204" t="s">
        <v>2392</v>
      </c>
      <c r="C68" s="204" t="s">
        <v>2393</v>
      </c>
      <c r="D68" s="204" t="s">
        <v>2394</v>
      </c>
      <c r="E68" s="204"/>
      <c r="F68" s="204">
        <v>1980</v>
      </c>
      <c r="G68" s="204"/>
      <c r="H68" s="204" t="s">
        <v>2295</v>
      </c>
      <c r="I68" s="205" t="s">
        <v>1879</v>
      </c>
      <c r="J68" s="74" t="s">
        <v>2395</v>
      </c>
      <c r="K68" s="204" t="s">
        <v>1881</v>
      </c>
      <c r="L68" s="205" t="s">
        <v>2396</v>
      </c>
      <c r="M68" s="204">
        <v>546</v>
      </c>
      <c r="N68" s="204"/>
      <c r="O68" s="204" t="s">
        <v>2283</v>
      </c>
      <c r="P68" s="206">
        <v>699</v>
      </c>
      <c r="Q68" s="208">
        <f>SUM(T68:X68)</f>
        <v>2.5813000000000001</v>
      </c>
      <c r="R68" s="207">
        <v>0.59</v>
      </c>
      <c r="S68" s="207"/>
      <c r="T68" s="67"/>
      <c r="U68" s="67">
        <v>1.7</v>
      </c>
      <c r="V68" s="67">
        <v>0.25</v>
      </c>
      <c r="W68" s="67">
        <f t="shared" si="7"/>
        <v>0.59</v>
      </c>
      <c r="X68" s="70">
        <f>(T68+W68)/100*7</f>
        <v>4.1299999999999996E-2</v>
      </c>
      <c r="Y68" s="70"/>
      <c r="Z68" s="70"/>
      <c r="AA68" s="212"/>
      <c r="AB68" s="212"/>
      <c r="AC68" s="213"/>
      <c r="AD68" s="213">
        <f>2.58-0.04</f>
        <v>2.54</v>
      </c>
      <c r="AE68" s="213"/>
      <c r="AF68" s="213"/>
      <c r="AJ68" s="210"/>
      <c r="AK68" s="209" t="s">
        <v>51</v>
      </c>
      <c r="AL68" s="209" t="s">
        <v>51</v>
      </c>
      <c r="AM68" s="209" t="s">
        <v>51</v>
      </c>
      <c r="AN68" s="207"/>
    </row>
    <row r="69" spans="1:40" s="209" customFormat="1" x14ac:dyDescent="0.25">
      <c r="A69" s="204">
        <v>153</v>
      </c>
      <c r="B69" s="204"/>
      <c r="C69" s="204" t="s">
        <v>3699</v>
      </c>
      <c r="D69" s="204" t="s">
        <v>2007</v>
      </c>
      <c r="E69" s="204"/>
      <c r="F69" s="204">
        <v>2000</v>
      </c>
      <c r="G69" s="204"/>
      <c r="H69" s="204" t="s">
        <v>2008</v>
      </c>
      <c r="I69" s="205" t="s">
        <v>1929</v>
      </c>
      <c r="J69" s="204"/>
      <c r="K69" s="204" t="s">
        <v>1881</v>
      </c>
      <c r="L69" s="205" t="s">
        <v>3700</v>
      </c>
      <c r="M69" s="204">
        <v>128</v>
      </c>
      <c r="N69" s="204"/>
      <c r="O69" s="204" t="s">
        <v>3563</v>
      </c>
      <c r="P69" s="206">
        <v>69</v>
      </c>
      <c r="Q69" s="208">
        <v>2.4</v>
      </c>
      <c r="R69" s="207">
        <v>0.89</v>
      </c>
      <c r="S69" s="207"/>
      <c r="T69" s="67"/>
      <c r="U69" s="67">
        <v>1.2</v>
      </c>
      <c r="V69" s="67">
        <v>0.25</v>
      </c>
      <c r="W69" s="67">
        <f t="shared" si="7"/>
        <v>0.89</v>
      </c>
      <c r="X69" s="70">
        <f>2.4/100*7</f>
        <v>0.16800000000000001</v>
      </c>
      <c r="Y69" s="70"/>
      <c r="Z69" s="70"/>
      <c r="AA69" s="212"/>
      <c r="AB69" s="212"/>
      <c r="AC69" s="213"/>
      <c r="AD69" s="213">
        <f>Q69-X69</f>
        <v>2.2319999999999998</v>
      </c>
      <c r="AE69" s="213"/>
      <c r="AF69" s="213"/>
      <c r="AJ69" s="210"/>
    </row>
    <row r="70" spans="1:40" s="209" customFormat="1" x14ac:dyDescent="0.25">
      <c r="A70" s="204">
        <v>2522</v>
      </c>
      <c r="B70" s="204" t="s">
        <v>3832</v>
      </c>
      <c r="C70" s="204" t="s">
        <v>3833</v>
      </c>
      <c r="D70" s="204" t="s">
        <v>1920</v>
      </c>
      <c r="E70" s="204" t="s">
        <v>2032</v>
      </c>
      <c r="F70" s="204">
        <v>2007</v>
      </c>
      <c r="G70" s="204"/>
      <c r="H70" s="204" t="s">
        <v>1878</v>
      </c>
      <c r="I70" s="205" t="s">
        <v>1879</v>
      </c>
      <c r="J70" s="204" t="s">
        <v>3649</v>
      </c>
      <c r="K70" s="204" t="s">
        <v>1881</v>
      </c>
      <c r="L70" s="205" t="s">
        <v>3834</v>
      </c>
      <c r="M70" s="204">
        <v>464</v>
      </c>
      <c r="N70" s="204"/>
      <c r="O70" s="204" t="s">
        <v>3752</v>
      </c>
      <c r="P70" s="206">
        <v>441</v>
      </c>
      <c r="Q70" s="208">
        <v>2.5099999999999998</v>
      </c>
      <c r="R70" s="207">
        <v>0.99</v>
      </c>
      <c r="S70" s="207"/>
      <c r="T70" s="67"/>
      <c r="U70" s="67">
        <v>1.2</v>
      </c>
      <c r="V70" s="67">
        <v>0.25</v>
      </c>
      <c r="W70" s="67">
        <f t="shared" si="7"/>
        <v>0.99</v>
      </c>
      <c r="X70" s="70">
        <f>Q70/100*7</f>
        <v>0.17569999999999997</v>
      </c>
      <c r="Y70" s="70"/>
      <c r="Z70" s="70"/>
      <c r="AA70" s="212"/>
      <c r="AB70" s="212"/>
      <c r="AC70" s="213"/>
      <c r="AD70" s="213">
        <f>Q70-X70</f>
        <v>2.3342999999999998</v>
      </c>
      <c r="AE70" s="213"/>
      <c r="AF70" s="213"/>
      <c r="AJ70" s="210"/>
    </row>
    <row r="71" spans="1:40" s="209" customFormat="1" x14ac:dyDescent="0.25">
      <c r="A71" s="204">
        <v>1386</v>
      </c>
      <c r="B71" s="204" t="s">
        <v>4168</v>
      </c>
      <c r="C71" s="204" t="s">
        <v>4169</v>
      </c>
      <c r="D71" s="204" t="s">
        <v>4170</v>
      </c>
      <c r="E71" s="204" t="s">
        <v>1877</v>
      </c>
      <c r="F71" s="204">
        <v>2011</v>
      </c>
      <c r="G71" s="204"/>
      <c r="H71" s="204" t="s">
        <v>2734</v>
      </c>
      <c r="I71" s="205" t="s">
        <v>1879</v>
      </c>
      <c r="J71" s="204" t="s">
        <v>3303</v>
      </c>
      <c r="K71" s="204" t="s">
        <v>1881</v>
      </c>
      <c r="L71" s="205" t="s">
        <v>4171</v>
      </c>
      <c r="M71" s="204">
        <v>406</v>
      </c>
      <c r="N71" s="204"/>
      <c r="O71" s="204" t="s">
        <v>4138</v>
      </c>
      <c r="P71" s="206">
        <v>549</v>
      </c>
      <c r="Q71" s="208">
        <v>3.87</v>
      </c>
      <c r="R71" s="207">
        <v>1.79</v>
      </c>
      <c r="S71" s="207"/>
      <c r="T71" s="67"/>
      <c r="U71" s="67">
        <v>1.7</v>
      </c>
      <c r="V71" s="67">
        <v>0.25</v>
      </c>
      <c r="W71" s="67">
        <f t="shared" si="7"/>
        <v>1.79</v>
      </c>
      <c r="X71" s="70">
        <f>3.87/100*7</f>
        <v>0.27089999999999997</v>
      </c>
      <c r="Y71" s="70"/>
      <c r="Z71" s="70"/>
      <c r="AA71" s="212"/>
      <c r="AB71" s="212"/>
      <c r="AC71" s="213"/>
      <c r="AD71" s="213">
        <f>Q71-X71</f>
        <v>3.5991</v>
      </c>
      <c r="AE71" s="213"/>
      <c r="AF71" s="213"/>
      <c r="AJ71" s="210"/>
    </row>
    <row r="72" spans="1:40" s="209" customFormat="1" x14ac:dyDescent="0.25">
      <c r="A72" s="204"/>
      <c r="B72" s="204"/>
      <c r="C72" s="204"/>
      <c r="D72" s="204"/>
      <c r="E72" s="204"/>
      <c r="F72" s="204"/>
      <c r="G72" s="204"/>
      <c r="H72" s="204"/>
      <c r="I72" s="205"/>
      <c r="J72" s="204"/>
      <c r="K72" s="204"/>
      <c r="L72" s="205"/>
      <c r="M72" s="204"/>
      <c r="N72" s="204"/>
      <c r="O72" s="204" t="s">
        <v>9019</v>
      </c>
      <c r="P72" s="206"/>
      <c r="Q72" s="208"/>
      <c r="R72" s="207">
        <v>2.25</v>
      </c>
      <c r="S72" s="207"/>
      <c r="T72" s="67"/>
      <c r="U72" s="67"/>
      <c r="V72" s="67"/>
      <c r="W72" s="67">
        <f t="shared" si="7"/>
        <v>2.25</v>
      </c>
      <c r="X72" s="70">
        <f>(T72+W72)/100*7</f>
        <v>0.1575</v>
      </c>
      <c r="Y72" s="70"/>
      <c r="Z72" s="70"/>
      <c r="AA72" s="212"/>
      <c r="AB72" s="212"/>
      <c r="AC72" s="213"/>
      <c r="AD72" s="213">
        <f>R72-X72</f>
        <v>2.0924999999999998</v>
      </c>
      <c r="AE72" s="213"/>
      <c r="AF72" s="213"/>
      <c r="AJ72" s="210"/>
    </row>
    <row r="73" spans="1:40" s="209" customFormat="1" x14ac:dyDescent="0.25">
      <c r="A73" s="204">
        <v>593</v>
      </c>
      <c r="B73" s="204"/>
      <c r="C73" s="204" t="s">
        <v>6548</v>
      </c>
      <c r="D73" s="204" t="s">
        <v>6549</v>
      </c>
      <c r="E73" s="204" t="s">
        <v>2922</v>
      </c>
      <c r="F73" s="204">
        <v>2016</v>
      </c>
      <c r="G73" s="204"/>
      <c r="H73" s="204" t="s">
        <v>2734</v>
      </c>
      <c r="I73" s="205" t="s">
        <v>1929</v>
      </c>
      <c r="J73" s="79" t="s">
        <v>3854</v>
      </c>
      <c r="K73" s="204" t="s">
        <v>1881</v>
      </c>
      <c r="L73" s="205" t="s">
        <v>6550</v>
      </c>
      <c r="M73" s="204">
        <v>162</v>
      </c>
      <c r="N73" s="204"/>
      <c r="O73" s="204" t="s">
        <v>5421</v>
      </c>
      <c r="P73" s="206">
        <v>546</v>
      </c>
      <c r="Q73" s="208">
        <v>1.63</v>
      </c>
      <c r="R73" s="207">
        <v>0.99</v>
      </c>
      <c r="S73" s="207"/>
      <c r="T73" s="77">
        <v>0.3</v>
      </c>
      <c r="U73" s="67"/>
      <c r="V73" s="67">
        <v>0.25</v>
      </c>
      <c r="W73" s="67">
        <f t="shared" si="7"/>
        <v>0.99</v>
      </c>
      <c r="X73" s="70">
        <f>1.63/100*7</f>
        <v>0.11409999999999999</v>
      </c>
      <c r="Y73" s="70"/>
      <c r="Z73" s="70"/>
      <c r="AA73" s="212"/>
      <c r="AB73" s="212"/>
      <c r="AC73" s="83"/>
      <c r="AD73" s="83">
        <f>Q73-X73</f>
        <v>1.5158999999999998</v>
      </c>
      <c r="AE73" s="83"/>
      <c r="AF73" s="83"/>
      <c r="AJ73" s="210"/>
    </row>
    <row r="74" spans="1:40" s="209" customFormat="1" x14ac:dyDescent="0.25">
      <c r="A74" s="204">
        <v>734</v>
      </c>
      <c r="B74" s="204" t="s">
        <v>7392</v>
      </c>
      <c r="C74" s="204" t="s">
        <v>7393</v>
      </c>
      <c r="D74" s="204" t="s">
        <v>2209</v>
      </c>
      <c r="E74" s="204"/>
      <c r="F74" s="204">
        <v>1992</v>
      </c>
      <c r="G74" s="204"/>
      <c r="H74" s="204" t="s">
        <v>1878</v>
      </c>
      <c r="I74" s="205" t="s">
        <v>1879</v>
      </c>
      <c r="J74" s="204"/>
      <c r="K74" s="204" t="s">
        <v>1881</v>
      </c>
      <c r="L74" s="205" t="s">
        <v>7391</v>
      </c>
      <c r="M74" s="204">
        <v>624</v>
      </c>
      <c r="N74" s="204"/>
      <c r="O74" s="204" t="s">
        <v>5529</v>
      </c>
      <c r="P74" s="206">
        <v>409</v>
      </c>
      <c r="Q74" s="208">
        <v>1.55</v>
      </c>
      <c r="R74" s="207">
        <v>1.39</v>
      </c>
      <c r="S74" s="207"/>
      <c r="T74" s="67">
        <v>0</v>
      </c>
      <c r="U74" s="67"/>
      <c r="V74" s="67">
        <v>0.25</v>
      </c>
      <c r="W74" s="67">
        <v>1.55</v>
      </c>
      <c r="X74" s="70">
        <f>(T74+W74)/100*7</f>
        <v>0.1085</v>
      </c>
      <c r="Y74" s="70"/>
      <c r="Z74" s="70"/>
      <c r="AA74" s="212"/>
      <c r="AB74" s="212"/>
      <c r="AC74" s="213"/>
      <c r="AD74" s="213">
        <v>1.44</v>
      </c>
      <c r="AE74" s="213"/>
      <c r="AF74" s="213"/>
      <c r="AJ74" s="210"/>
    </row>
    <row r="75" spans="1:40" s="209" customFormat="1" x14ac:dyDescent="0.25">
      <c r="A75" s="204">
        <v>632</v>
      </c>
      <c r="B75" s="204" t="s">
        <v>3832</v>
      </c>
      <c r="C75" s="204" t="s">
        <v>7575</v>
      </c>
      <c r="D75" s="204" t="s">
        <v>1920</v>
      </c>
      <c r="E75" s="204" t="s">
        <v>7576</v>
      </c>
      <c r="F75" s="204">
        <v>2004</v>
      </c>
      <c r="G75" s="204"/>
      <c r="H75" s="204" t="s">
        <v>1878</v>
      </c>
      <c r="I75" s="205" t="s">
        <v>1929</v>
      </c>
      <c r="J75" s="204"/>
      <c r="K75" s="204" t="s">
        <v>1881</v>
      </c>
      <c r="L75" s="205" t="s">
        <v>7577</v>
      </c>
      <c r="M75" s="204">
        <v>416</v>
      </c>
      <c r="N75" s="204"/>
      <c r="O75" s="204" t="s">
        <v>5591</v>
      </c>
      <c r="P75" s="206">
        <v>354</v>
      </c>
      <c r="Q75" s="208">
        <v>0.65</v>
      </c>
      <c r="R75" s="207">
        <v>0.25</v>
      </c>
      <c r="S75" s="207"/>
      <c r="T75" s="67"/>
      <c r="U75" s="67"/>
      <c r="V75" s="67">
        <v>0.25</v>
      </c>
      <c r="W75" s="67">
        <v>0.65</v>
      </c>
      <c r="X75" s="70">
        <f>(T75+W75)/100*7</f>
        <v>4.5500000000000006E-2</v>
      </c>
      <c r="Y75" s="70"/>
      <c r="Z75" s="70"/>
      <c r="AA75" s="212"/>
      <c r="AB75" s="212"/>
      <c r="AC75" s="213"/>
      <c r="AD75" s="213">
        <f t="shared" ref="AD75:AD95" si="8">Q75-X75</f>
        <v>0.60450000000000004</v>
      </c>
      <c r="AE75" s="213"/>
      <c r="AF75" s="213"/>
      <c r="AJ75" s="210"/>
    </row>
    <row r="76" spans="1:40" s="209" customFormat="1" x14ac:dyDescent="0.25">
      <c r="A76" s="204">
        <v>651</v>
      </c>
      <c r="B76" s="204" t="s">
        <v>6478</v>
      </c>
      <c r="C76" s="204" t="s">
        <v>7787</v>
      </c>
      <c r="D76" s="204" t="s">
        <v>2117</v>
      </c>
      <c r="E76" s="204" t="s">
        <v>1913</v>
      </c>
      <c r="F76" s="204">
        <v>2014</v>
      </c>
      <c r="G76" s="204"/>
      <c r="H76" s="204" t="s">
        <v>1878</v>
      </c>
      <c r="I76" s="205" t="s">
        <v>1929</v>
      </c>
      <c r="J76" s="204"/>
      <c r="K76" s="204" t="s">
        <v>1881</v>
      </c>
      <c r="L76" s="205" t="s">
        <v>6480</v>
      </c>
      <c r="M76" s="204">
        <v>32</v>
      </c>
      <c r="N76" s="204"/>
      <c r="O76" s="204" t="s">
        <v>5671</v>
      </c>
      <c r="P76" s="206">
        <v>188</v>
      </c>
      <c r="Q76" s="208">
        <v>1.76</v>
      </c>
      <c r="R76" s="207">
        <v>1.39</v>
      </c>
      <c r="S76" s="207"/>
      <c r="T76" s="67">
        <v>0.35</v>
      </c>
      <c r="U76" s="67"/>
      <c r="V76" s="67">
        <v>0.25</v>
      </c>
      <c r="W76" s="67">
        <f>IF(R76&gt;T76,R76,T76)</f>
        <v>1.39</v>
      </c>
      <c r="X76" s="70">
        <f>1.76/100*7</f>
        <v>0.1232</v>
      </c>
      <c r="Y76" s="70"/>
      <c r="Z76" s="70"/>
      <c r="AA76" s="212"/>
      <c r="AB76" s="212"/>
      <c r="AC76" s="213"/>
      <c r="AD76" s="213">
        <f t="shared" si="8"/>
        <v>1.6368</v>
      </c>
      <c r="AE76" s="213"/>
      <c r="AF76" s="213"/>
      <c r="AJ76" s="210"/>
    </row>
    <row r="77" spans="1:40" s="209" customFormat="1" x14ac:dyDescent="0.25">
      <c r="A77" s="204">
        <v>852</v>
      </c>
      <c r="B77" s="204" t="s">
        <v>7837</v>
      </c>
      <c r="C77" s="204" t="s">
        <v>7838</v>
      </c>
      <c r="D77" s="204" t="s">
        <v>2309</v>
      </c>
      <c r="E77" s="204" t="s">
        <v>2922</v>
      </c>
      <c r="F77" s="204">
        <v>2008</v>
      </c>
      <c r="G77" s="204"/>
      <c r="H77" s="204" t="s">
        <v>1878</v>
      </c>
      <c r="I77" s="205" t="s">
        <v>1879</v>
      </c>
      <c r="J77" s="204"/>
      <c r="K77" s="204" t="s">
        <v>1881</v>
      </c>
      <c r="L77" s="205" t="s">
        <v>7839</v>
      </c>
      <c r="M77" s="204">
        <v>288</v>
      </c>
      <c r="N77" s="204"/>
      <c r="O77" s="204" t="s">
        <v>5690</v>
      </c>
      <c r="P77" s="206">
        <v>277</v>
      </c>
      <c r="Q77" s="208">
        <v>0.8</v>
      </c>
      <c r="R77" s="207">
        <v>0.49</v>
      </c>
      <c r="S77" s="207"/>
      <c r="T77" s="67">
        <v>0.35</v>
      </c>
      <c r="U77" s="67"/>
      <c r="V77" s="67">
        <v>0.25</v>
      </c>
      <c r="W77" s="67">
        <f>IF(R77&gt;T77,R77,T77)</f>
        <v>0.49</v>
      </c>
      <c r="X77" s="70">
        <f>Q77/100*7</f>
        <v>5.6000000000000001E-2</v>
      </c>
      <c r="Y77" s="70"/>
      <c r="Z77" s="70"/>
      <c r="AA77" s="212"/>
      <c r="AB77" s="212"/>
      <c r="AC77" s="213"/>
      <c r="AD77" s="213">
        <f t="shared" si="8"/>
        <v>0.74399999999999999</v>
      </c>
      <c r="AE77" s="213"/>
      <c r="AF77" s="213"/>
      <c r="AJ77" s="210"/>
    </row>
    <row r="78" spans="1:40" s="209" customFormat="1" x14ac:dyDescent="0.25">
      <c r="A78" s="204">
        <v>2514</v>
      </c>
      <c r="B78" s="204" t="s">
        <v>7236</v>
      </c>
      <c r="C78" s="204" t="s">
        <v>7900</v>
      </c>
      <c r="D78" s="204" t="s">
        <v>2402</v>
      </c>
      <c r="E78" s="204"/>
      <c r="F78" s="204">
        <v>1974</v>
      </c>
      <c r="G78" s="204"/>
      <c r="H78" s="204" t="s">
        <v>2734</v>
      </c>
      <c r="I78" s="205" t="s">
        <v>1914</v>
      </c>
      <c r="J78" s="204"/>
      <c r="K78" s="204" t="s">
        <v>1881</v>
      </c>
      <c r="L78" s="205" t="s">
        <v>7901</v>
      </c>
      <c r="M78" s="204">
        <v>110</v>
      </c>
      <c r="N78" s="204"/>
      <c r="O78" s="204" t="s">
        <v>6573</v>
      </c>
      <c r="P78" s="206">
        <v>181</v>
      </c>
      <c r="Q78" s="208">
        <v>0.65</v>
      </c>
      <c r="R78" s="207">
        <v>0.25</v>
      </c>
      <c r="S78" s="207"/>
      <c r="T78" s="67">
        <v>0.35</v>
      </c>
      <c r="U78" s="67"/>
      <c r="V78" s="67">
        <v>0.25</v>
      </c>
      <c r="W78" s="67">
        <f>IF(R78&gt;T78,R78,T78)</f>
        <v>0.35</v>
      </c>
      <c r="X78" s="70">
        <f>Q78/100*7</f>
        <v>4.5500000000000006E-2</v>
      </c>
      <c r="Y78" s="70"/>
      <c r="Z78" s="70"/>
      <c r="AA78" s="212"/>
      <c r="AB78" s="212"/>
      <c r="AC78" s="213"/>
      <c r="AD78" s="213">
        <f t="shared" si="8"/>
        <v>0.60450000000000004</v>
      </c>
      <c r="AE78" s="213"/>
      <c r="AF78" s="213"/>
      <c r="AJ78" s="210"/>
    </row>
    <row r="79" spans="1:40" s="209" customFormat="1" x14ac:dyDescent="0.25">
      <c r="A79" s="204">
        <v>2514</v>
      </c>
      <c r="B79" s="204" t="s">
        <v>7236</v>
      </c>
      <c r="C79" s="204" t="s">
        <v>7908</v>
      </c>
      <c r="D79" s="204" t="s">
        <v>2402</v>
      </c>
      <c r="E79" s="204"/>
      <c r="F79" s="204">
        <v>1973</v>
      </c>
      <c r="G79" s="204"/>
      <c r="H79" s="204" t="s">
        <v>2734</v>
      </c>
      <c r="I79" s="205" t="s">
        <v>1914</v>
      </c>
      <c r="J79" s="204"/>
      <c r="K79" s="204" t="s">
        <v>1881</v>
      </c>
      <c r="L79" s="205" t="s">
        <v>7909</v>
      </c>
      <c r="M79" s="204">
        <v>142</v>
      </c>
      <c r="N79" s="204"/>
      <c r="O79" s="204" t="s">
        <v>6577</v>
      </c>
      <c r="P79" s="206">
        <v>221</v>
      </c>
      <c r="Q79" s="208">
        <v>0.65</v>
      </c>
      <c r="R79" s="207">
        <v>0.25</v>
      </c>
      <c r="S79" s="207"/>
      <c r="T79" s="67">
        <v>0.35</v>
      </c>
      <c r="U79" s="67"/>
      <c r="V79" s="67">
        <v>0.25</v>
      </c>
      <c r="W79" s="67">
        <f>IF(R79&gt;T79,R79,T79)</f>
        <v>0.35</v>
      </c>
      <c r="X79" s="70">
        <f>(T79+W79)/100*7</f>
        <v>4.8999999999999995E-2</v>
      </c>
      <c r="Y79" s="70"/>
      <c r="Z79" s="70"/>
      <c r="AA79" s="212"/>
      <c r="AB79" s="212"/>
      <c r="AC79" s="213"/>
      <c r="AD79" s="213">
        <f t="shared" si="8"/>
        <v>0.60099999999999998</v>
      </c>
      <c r="AE79" s="213"/>
      <c r="AF79" s="213"/>
      <c r="AJ79" s="210"/>
    </row>
    <row r="80" spans="1:40" s="209" customFormat="1" x14ac:dyDescent="0.25">
      <c r="A80" s="204">
        <v>796</v>
      </c>
      <c r="B80" s="204" t="s">
        <v>8060</v>
      </c>
      <c r="C80" s="204" t="s">
        <v>8061</v>
      </c>
      <c r="D80" s="204" t="s">
        <v>2309</v>
      </c>
      <c r="E80" s="204"/>
      <c r="F80" s="204">
        <v>2010</v>
      </c>
      <c r="G80" s="204"/>
      <c r="H80" s="204" t="s">
        <v>2734</v>
      </c>
      <c r="I80" s="205" t="s">
        <v>1929</v>
      </c>
      <c r="J80" s="204"/>
      <c r="K80" s="204" t="s">
        <v>1881</v>
      </c>
      <c r="L80" s="205" t="s">
        <v>8062</v>
      </c>
      <c r="M80" s="204">
        <v>194</v>
      </c>
      <c r="N80" s="204"/>
      <c r="O80" s="204" t="s">
        <v>6631</v>
      </c>
      <c r="P80" s="206">
        <v>322</v>
      </c>
      <c r="Q80" s="208">
        <v>1.02</v>
      </c>
      <c r="R80" s="207">
        <v>0.5</v>
      </c>
      <c r="S80" s="207"/>
      <c r="T80" s="67">
        <v>0.35</v>
      </c>
      <c r="U80" s="67">
        <v>0.37</v>
      </c>
      <c r="V80" s="67">
        <v>0.25</v>
      </c>
      <c r="W80" s="67"/>
      <c r="X80" s="70">
        <f>Q80/100*7</f>
        <v>7.1400000000000005E-2</v>
      </c>
      <c r="Y80" s="70"/>
      <c r="Z80" s="70"/>
      <c r="AA80" s="212"/>
      <c r="AB80" s="212"/>
      <c r="AC80" s="213"/>
      <c r="AD80" s="213">
        <f t="shared" si="8"/>
        <v>0.9486</v>
      </c>
      <c r="AE80" s="213"/>
      <c r="AF80" s="213"/>
      <c r="AJ80" s="210"/>
    </row>
    <row r="81" spans="1:40" s="209" customFormat="1" x14ac:dyDescent="0.25">
      <c r="A81" s="204">
        <v>1327</v>
      </c>
      <c r="B81" s="204" t="s">
        <v>8067</v>
      </c>
      <c r="C81" s="204" t="s">
        <v>8068</v>
      </c>
      <c r="D81" s="204" t="s">
        <v>8069</v>
      </c>
      <c r="E81" s="204"/>
      <c r="F81" s="204">
        <v>2009</v>
      </c>
      <c r="G81" s="204"/>
      <c r="H81" s="204" t="s">
        <v>2734</v>
      </c>
      <c r="I81" s="205" t="s">
        <v>1929</v>
      </c>
      <c r="J81" s="204"/>
      <c r="K81" s="204" t="s">
        <v>1881</v>
      </c>
      <c r="L81" s="205" t="s">
        <v>8070</v>
      </c>
      <c r="M81" s="204">
        <v>290</v>
      </c>
      <c r="N81" s="204"/>
      <c r="O81" s="204" t="s">
        <v>6633</v>
      </c>
      <c r="P81" s="206">
        <v>330</v>
      </c>
      <c r="Q81" s="208">
        <v>2.86</v>
      </c>
      <c r="R81" s="207">
        <v>3</v>
      </c>
      <c r="S81" s="207"/>
      <c r="T81" s="67">
        <v>0.35</v>
      </c>
      <c r="U81" s="67">
        <v>2.09</v>
      </c>
      <c r="V81" s="67">
        <v>0.25</v>
      </c>
      <c r="W81" s="67"/>
      <c r="X81" s="70">
        <f>Q81/100*7</f>
        <v>0.20019999999999999</v>
      </c>
      <c r="Y81" s="70"/>
      <c r="Z81" s="70"/>
      <c r="AA81" s="212"/>
      <c r="AB81" s="212"/>
      <c r="AC81" s="213"/>
      <c r="AD81" s="213">
        <f t="shared" si="8"/>
        <v>2.6597999999999997</v>
      </c>
      <c r="AE81" s="213"/>
      <c r="AF81" s="213"/>
      <c r="AJ81" s="210"/>
    </row>
    <row r="82" spans="1:40" s="209" customFormat="1" x14ac:dyDescent="0.25">
      <c r="A82" s="204">
        <v>1395</v>
      </c>
      <c r="B82" s="204" t="s">
        <v>8303</v>
      </c>
      <c r="C82" s="204" t="s">
        <v>8304</v>
      </c>
      <c r="D82" s="204" t="s">
        <v>1876</v>
      </c>
      <c r="E82" s="204"/>
      <c r="F82" s="204">
        <v>2016</v>
      </c>
      <c r="G82" s="204"/>
      <c r="H82" s="204" t="s">
        <v>1878</v>
      </c>
      <c r="I82" s="205" t="s">
        <v>1879</v>
      </c>
      <c r="J82" s="79" t="s">
        <v>3854</v>
      </c>
      <c r="K82" s="204" t="s">
        <v>1881</v>
      </c>
      <c r="L82" s="205" t="s">
        <v>8305</v>
      </c>
      <c r="M82" s="204">
        <v>288</v>
      </c>
      <c r="N82" s="204"/>
      <c r="O82" s="204" t="s">
        <v>6721</v>
      </c>
      <c r="P82" s="206">
        <v>280</v>
      </c>
      <c r="Q82" s="208">
        <v>2.5099999999999998</v>
      </c>
      <c r="R82" s="208">
        <f>IF(Z82&gt;AA82,Z82,AA82)</f>
        <v>3.7</v>
      </c>
      <c r="S82" s="207">
        <v>3.7</v>
      </c>
      <c r="T82" s="67">
        <v>0.13</v>
      </c>
      <c r="U82" s="67" t="str">
        <f>IF(P82&lt;501,"1,20","1,70")</f>
        <v>1,20</v>
      </c>
      <c r="V82" s="67">
        <f>0.08+0.09+0.17</f>
        <v>0.33999999999999997</v>
      </c>
      <c r="W82" s="67">
        <v>1.8</v>
      </c>
      <c r="X82" s="70">
        <f>2.51/100*7</f>
        <v>0.17569999999999997</v>
      </c>
      <c r="Y82" s="70"/>
      <c r="Z82" s="70">
        <f>S82</f>
        <v>3.7</v>
      </c>
      <c r="AA82" s="70">
        <f>T82+U82+V82+W82+X82</f>
        <v>3.6456999999999997</v>
      </c>
      <c r="AB82" s="70"/>
      <c r="AC82" s="213"/>
      <c r="AD82" s="213">
        <f t="shared" si="8"/>
        <v>2.3342999999999998</v>
      </c>
      <c r="AE82" s="213"/>
      <c r="AF82" s="213"/>
      <c r="AJ82" s="210"/>
    </row>
    <row r="83" spans="1:40" s="209" customFormat="1" x14ac:dyDescent="0.25">
      <c r="A83" s="204">
        <v>2522</v>
      </c>
      <c r="B83" s="204" t="s">
        <v>8509</v>
      </c>
      <c r="C83" s="204" t="s">
        <v>8510</v>
      </c>
      <c r="D83" s="204" t="s">
        <v>1920</v>
      </c>
      <c r="E83" s="204"/>
      <c r="F83" s="204">
        <v>2017</v>
      </c>
      <c r="G83" s="204"/>
      <c r="H83" s="204" t="s">
        <v>1878</v>
      </c>
      <c r="I83" s="205" t="s">
        <v>1879</v>
      </c>
      <c r="J83" s="204"/>
      <c r="K83" s="204" t="s">
        <v>1881</v>
      </c>
      <c r="L83" s="205" t="s">
        <v>8511</v>
      </c>
      <c r="M83" s="204">
        <v>512</v>
      </c>
      <c r="N83" s="204"/>
      <c r="O83" s="204" t="s">
        <v>6794</v>
      </c>
      <c r="P83" s="206">
        <v>441</v>
      </c>
      <c r="Q83" s="208">
        <v>1.1000000000000001</v>
      </c>
      <c r="R83" s="208">
        <f>IF(Z83&gt;AA83,Z83,AA83)</f>
        <v>2.4</v>
      </c>
      <c r="S83" s="207">
        <v>2.4</v>
      </c>
      <c r="T83" s="67">
        <v>0.13</v>
      </c>
      <c r="U83" s="67" t="str">
        <f>IF(P83&lt;501,"1,20","1,70")</f>
        <v>1,20</v>
      </c>
      <c r="V83" s="67">
        <f>0.08+0.09+0.17</f>
        <v>0.33999999999999997</v>
      </c>
      <c r="W83" s="67">
        <v>0.6</v>
      </c>
      <c r="X83" s="70">
        <f>1.1/100*7</f>
        <v>7.7000000000000013E-2</v>
      </c>
      <c r="Y83" s="70"/>
      <c r="Z83" s="70">
        <f>S83</f>
        <v>2.4</v>
      </c>
      <c r="AA83" s="70">
        <f>T83+U83+V83+W83+X83</f>
        <v>2.347</v>
      </c>
      <c r="AB83" s="70"/>
      <c r="AC83" s="213"/>
      <c r="AD83" s="213">
        <f t="shared" si="8"/>
        <v>1.0230000000000001</v>
      </c>
      <c r="AE83" s="213"/>
      <c r="AF83" s="213"/>
      <c r="AJ83" s="210"/>
    </row>
    <row r="84" spans="1:40" s="113" customFormat="1" x14ac:dyDescent="0.25">
      <c r="A84" s="104">
        <v>684</v>
      </c>
      <c r="B84" s="104" t="s">
        <v>3475</v>
      </c>
      <c r="C84" s="104" t="s">
        <v>3476</v>
      </c>
      <c r="D84" s="104" t="s">
        <v>3477</v>
      </c>
      <c r="E84" s="104" t="s">
        <v>2157</v>
      </c>
      <c r="F84" s="104">
        <v>2002</v>
      </c>
      <c r="G84" s="104"/>
      <c r="H84" s="104" t="s">
        <v>1878</v>
      </c>
      <c r="I84" s="105" t="s">
        <v>1879</v>
      </c>
      <c r="J84" s="104" t="s">
        <v>2237</v>
      </c>
      <c r="K84" s="104" t="s">
        <v>1881</v>
      </c>
      <c r="L84" s="105" t="s">
        <v>3478</v>
      </c>
      <c r="M84" s="104">
        <v>480</v>
      </c>
      <c r="N84" s="104"/>
      <c r="O84" s="104" t="s">
        <v>3423</v>
      </c>
      <c r="P84" s="106">
        <v>506</v>
      </c>
      <c r="Q84" s="107">
        <v>3.46</v>
      </c>
      <c r="R84" s="108">
        <v>0.99</v>
      </c>
      <c r="S84" s="108"/>
      <c r="T84" s="109"/>
      <c r="U84" s="109">
        <v>1.7</v>
      </c>
      <c r="V84" s="109">
        <v>0.25</v>
      </c>
      <c r="W84" s="109">
        <f>IF(R84&gt;T84,R84,T84)</f>
        <v>0.99</v>
      </c>
      <c r="X84" s="110">
        <f>Q84/100*7</f>
        <v>0.2422</v>
      </c>
      <c r="Y84" s="110"/>
      <c r="Z84" s="110"/>
      <c r="AA84" s="111"/>
      <c r="AB84" s="111"/>
      <c r="AC84" s="112"/>
      <c r="AD84" s="112">
        <f t="shared" si="8"/>
        <v>3.2178</v>
      </c>
      <c r="AE84" s="112"/>
      <c r="AF84" s="112"/>
      <c r="AJ84" s="114"/>
    </row>
    <row r="85" spans="1:40" s="113" customFormat="1" x14ac:dyDescent="0.25">
      <c r="A85" s="104">
        <v>1317</v>
      </c>
      <c r="B85" s="104" t="s">
        <v>2674</v>
      </c>
      <c r="C85" s="104" t="s">
        <v>2675</v>
      </c>
      <c r="D85" s="104" t="s">
        <v>2676</v>
      </c>
      <c r="E85" s="104"/>
      <c r="F85" s="104">
        <v>2008</v>
      </c>
      <c r="G85" s="104"/>
      <c r="H85" s="104" t="s">
        <v>2295</v>
      </c>
      <c r="I85" s="105" t="s">
        <v>1929</v>
      </c>
      <c r="J85" s="104"/>
      <c r="K85" s="104" t="s">
        <v>1881</v>
      </c>
      <c r="L85" s="105" t="s">
        <v>2677</v>
      </c>
      <c r="M85" s="104">
        <v>174</v>
      </c>
      <c r="N85" s="104"/>
      <c r="O85" s="104" t="s">
        <v>2654</v>
      </c>
      <c r="P85" s="106">
        <v>468</v>
      </c>
      <c r="Q85" s="107">
        <v>2.85</v>
      </c>
      <c r="R85" s="108">
        <v>0.89</v>
      </c>
      <c r="S85" s="108"/>
      <c r="T85" s="109"/>
      <c r="U85" s="109">
        <v>1.2</v>
      </c>
      <c r="V85" s="109">
        <v>0.25</v>
      </c>
      <c r="W85" s="109">
        <f>IF(R85&gt;T85,R85,T85)</f>
        <v>0.89</v>
      </c>
      <c r="X85" s="110">
        <f t="shared" ref="X85:X95" si="9">Q85/100*7</f>
        <v>0.19950000000000001</v>
      </c>
      <c r="Y85" s="110"/>
      <c r="Z85" s="110"/>
      <c r="AA85" s="111"/>
      <c r="AB85" s="111"/>
      <c r="AC85" s="112"/>
      <c r="AD85" s="112">
        <f t="shared" si="8"/>
        <v>2.6505000000000001</v>
      </c>
      <c r="AE85" s="112"/>
      <c r="AF85" s="112"/>
      <c r="AJ85" s="114"/>
    </row>
    <row r="86" spans="1:40" s="113" customFormat="1" x14ac:dyDescent="0.25">
      <c r="A86" s="104"/>
      <c r="B86" s="104"/>
      <c r="C86" s="104"/>
      <c r="D86" s="104"/>
      <c r="E86" s="104"/>
      <c r="F86" s="104"/>
      <c r="G86" s="104"/>
      <c r="H86" s="104"/>
      <c r="I86" s="105"/>
      <c r="J86" s="104"/>
      <c r="K86" s="104"/>
      <c r="L86" s="105"/>
      <c r="M86" s="104"/>
      <c r="N86" s="104"/>
      <c r="O86" s="104" t="s">
        <v>9020</v>
      </c>
      <c r="P86" s="106"/>
      <c r="Q86" s="107">
        <v>0.99</v>
      </c>
      <c r="R86" s="108"/>
      <c r="S86" s="108"/>
      <c r="T86" s="109"/>
      <c r="U86" s="109"/>
      <c r="V86" s="109"/>
      <c r="W86" s="109"/>
      <c r="X86" s="110">
        <f t="shared" si="9"/>
        <v>6.93E-2</v>
      </c>
      <c r="Y86" s="110"/>
      <c r="Z86" s="110"/>
      <c r="AA86" s="111"/>
      <c r="AB86" s="111"/>
      <c r="AC86" s="112"/>
      <c r="AD86" s="112">
        <f t="shared" si="8"/>
        <v>0.92069999999999996</v>
      </c>
      <c r="AE86" s="112"/>
      <c r="AF86" s="112"/>
      <c r="AJ86" s="114"/>
    </row>
    <row r="87" spans="1:40" s="113" customFormat="1" x14ac:dyDescent="0.25">
      <c r="A87" s="104">
        <v>2522</v>
      </c>
      <c r="B87" s="104" t="s">
        <v>1986</v>
      </c>
      <c r="C87" s="104" t="s">
        <v>1987</v>
      </c>
      <c r="D87" s="104" t="s">
        <v>1988</v>
      </c>
      <c r="E87" s="104" t="s">
        <v>1921</v>
      </c>
      <c r="F87" s="104">
        <v>2012</v>
      </c>
      <c r="G87" s="104"/>
      <c r="H87" s="104" t="s">
        <v>1878</v>
      </c>
      <c r="I87" s="105" t="s">
        <v>1879</v>
      </c>
      <c r="J87" s="104" t="s">
        <v>1989</v>
      </c>
      <c r="K87" s="104" t="s">
        <v>1881</v>
      </c>
      <c r="L87" s="105" t="s">
        <v>1990</v>
      </c>
      <c r="M87" s="104">
        <v>564</v>
      </c>
      <c r="N87" s="104"/>
      <c r="O87" s="104" t="s">
        <v>1937</v>
      </c>
      <c r="P87" s="106">
        <v>707</v>
      </c>
      <c r="Q87" s="107">
        <v>0.99</v>
      </c>
      <c r="R87" s="108">
        <v>0.25</v>
      </c>
      <c r="S87" s="108"/>
      <c r="T87" s="109"/>
      <c r="U87" s="109">
        <v>1.7</v>
      </c>
      <c r="V87" s="109">
        <v>0.25</v>
      </c>
      <c r="W87" s="109">
        <f>IF(R87&gt;T87,R87,T87)</f>
        <v>0.25</v>
      </c>
      <c r="X87" s="110">
        <f t="shared" si="9"/>
        <v>6.93E-2</v>
      </c>
      <c r="Y87" s="110"/>
      <c r="Z87" s="110"/>
      <c r="AA87" s="111"/>
      <c r="AB87" s="111"/>
      <c r="AC87" s="112"/>
      <c r="AD87" s="112">
        <f t="shared" si="8"/>
        <v>0.92069999999999996</v>
      </c>
      <c r="AE87" s="112"/>
      <c r="AF87" s="112"/>
      <c r="AJ87" s="114"/>
      <c r="AK87" s="113" t="s">
        <v>51</v>
      </c>
      <c r="AL87" s="113" t="s">
        <v>51</v>
      </c>
      <c r="AM87" s="113" t="s">
        <v>51</v>
      </c>
      <c r="AN87" s="108"/>
    </row>
    <row r="88" spans="1:40" s="113" customFormat="1" x14ac:dyDescent="0.25">
      <c r="A88" s="104"/>
      <c r="B88" s="104"/>
      <c r="C88" s="104"/>
      <c r="D88" s="104"/>
      <c r="E88" s="104"/>
      <c r="F88" s="104"/>
      <c r="G88" s="104"/>
      <c r="H88" s="104"/>
      <c r="I88" s="105"/>
      <c r="J88" s="104"/>
      <c r="K88" s="104"/>
      <c r="L88" s="105"/>
      <c r="M88" s="104"/>
      <c r="N88" s="104"/>
      <c r="O88" s="104" t="s">
        <v>9021</v>
      </c>
      <c r="P88" s="106"/>
      <c r="Q88" s="107">
        <v>3.29</v>
      </c>
      <c r="R88" s="108"/>
      <c r="S88" s="108"/>
      <c r="T88" s="109"/>
      <c r="U88" s="109"/>
      <c r="V88" s="109"/>
      <c r="W88" s="109"/>
      <c r="X88" s="110">
        <f t="shared" si="9"/>
        <v>0.2303</v>
      </c>
      <c r="Y88" s="110"/>
      <c r="Z88" s="110"/>
      <c r="AA88" s="111"/>
      <c r="AB88" s="111"/>
      <c r="AC88" s="112"/>
      <c r="AD88" s="112">
        <f t="shared" si="8"/>
        <v>3.0596999999999999</v>
      </c>
      <c r="AE88" s="112"/>
      <c r="AF88" s="112"/>
      <c r="AJ88" s="114"/>
    </row>
    <row r="89" spans="1:40" s="113" customFormat="1" x14ac:dyDescent="0.25">
      <c r="A89" s="104"/>
      <c r="B89" s="104"/>
      <c r="C89" s="104"/>
      <c r="D89" s="104"/>
      <c r="E89" s="104"/>
      <c r="F89" s="104"/>
      <c r="G89" s="104"/>
      <c r="H89" s="104"/>
      <c r="I89" s="105"/>
      <c r="J89" s="104"/>
      <c r="K89" s="104"/>
      <c r="L89" s="105"/>
      <c r="M89" s="104"/>
      <c r="N89" s="104"/>
      <c r="O89" s="104" t="s">
        <v>9022</v>
      </c>
      <c r="P89" s="106"/>
      <c r="Q89" s="107">
        <v>0.99</v>
      </c>
      <c r="R89" s="108"/>
      <c r="S89" s="108"/>
      <c r="T89" s="109"/>
      <c r="U89" s="109"/>
      <c r="V89" s="109"/>
      <c r="W89" s="109"/>
      <c r="X89" s="110">
        <f t="shared" si="9"/>
        <v>6.93E-2</v>
      </c>
      <c r="Y89" s="110"/>
      <c r="Z89" s="110"/>
      <c r="AA89" s="111"/>
      <c r="AB89" s="111"/>
      <c r="AC89" s="112"/>
      <c r="AD89" s="112">
        <f t="shared" si="8"/>
        <v>0.92069999999999996</v>
      </c>
      <c r="AE89" s="112"/>
      <c r="AF89" s="112"/>
      <c r="AJ89" s="114"/>
    </row>
    <row r="90" spans="1:40" s="113" customFormat="1" x14ac:dyDescent="0.25">
      <c r="A90" s="104">
        <v>2518</v>
      </c>
      <c r="B90" s="104" t="s">
        <v>7746</v>
      </c>
      <c r="C90" s="104" t="s">
        <v>7747</v>
      </c>
      <c r="D90" s="104" t="s">
        <v>2257</v>
      </c>
      <c r="E90" s="104"/>
      <c r="F90" s="104">
        <v>2013</v>
      </c>
      <c r="G90" s="104"/>
      <c r="H90" s="104" t="s">
        <v>1878</v>
      </c>
      <c r="I90" s="105" t="s">
        <v>1879</v>
      </c>
      <c r="J90" s="104"/>
      <c r="K90" s="104" t="s">
        <v>1881</v>
      </c>
      <c r="L90" s="105" t="s">
        <v>7748</v>
      </c>
      <c r="M90" s="104">
        <v>510</v>
      </c>
      <c r="N90" s="104"/>
      <c r="O90" s="104" t="s">
        <v>5654</v>
      </c>
      <c r="P90" s="106">
        <v>398</v>
      </c>
      <c r="Q90" s="107">
        <v>1.1200000000000001</v>
      </c>
      <c r="R90" s="108">
        <v>0.79</v>
      </c>
      <c r="S90" s="108"/>
      <c r="T90" s="109">
        <v>0.35</v>
      </c>
      <c r="U90" s="109"/>
      <c r="V90" s="109">
        <v>0.25</v>
      </c>
      <c r="W90" s="109">
        <f t="shared" ref="W90:W95" si="10">IF(R90&gt;T90,R90,T90)</f>
        <v>0.79</v>
      </c>
      <c r="X90" s="110">
        <f t="shared" si="9"/>
        <v>7.8400000000000011E-2</v>
      </c>
      <c r="Y90" s="110"/>
      <c r="Z90" s="110"/>
      <c r="AA90" s="111"/>
      <c r="AB90" s="111"/>
      <c r="AC90" s="112"/>
      <c r="AD90" s="112">
        <f t="shared" si="8"/>
        <v>1.0416000000000001</v>
      </c>
      <c r="AE90" s="112"/>
      <c r="AF90" s="112"/>
      <c r="AJ90" s="114"/>
    </row>
    <row r="91" spans="1:40" s="113" customFormat="1" x14ac:dyDescent="0.25">
      <c r="A91" s="104">
        <v>766</v>
      </c>
      <c r="B91" s="104" t="s">
        <v>7978</v>
      </c>
      <c r="C91" s="104" t="s">
        <v>7979</v>
      </c>
      <c r="D91" s="104" t="s">
        <v>1876</v>
      </c>
      <c r="E91" s="104" t="s">
        <v>2175</v>
      </c>
      <c r="F91" s="104">
        <v>2002</v>
      </c>
      <c r="G91" s="104"/>
      <c r="H91" s="104" t="s">
        <v>1878</v>
      </c>
      <c r="I91" s="105" t="s">
        <v>1879</v>
      </c>
      <c r="J91" s="104"/>
      <c r="K91" s="104" t="s">
        <v>1881</v>
      </c>
      <c r="L91" s="105" t="s">
        <v>7980</v>
      </c>
      <c r="M91" s="104">
        <v>384</v>
      </c>
      <c r="N91" s="104"/>
      <c r="O91" s="104" t="s">
        <v>6602</v>
      </c>
      <c r="P91" s="106">
        <v>326</v>
      </c>
      <c r="Q91" s="107">
        <v>1.18</v>
      </c>
      <c r="R91" s="108">
        <v>0.85</v>
      </c>
      <c r="S91" s="108"/>
      <c r="T91" s="109">
        <v>0.35</v>
      </c>
      <c r="U91" s="109"/>
      <c r="V91" s="109">
        <v>0.25</v>
      </c>
      <c r="W91" s="109">
        <f t="shared" si="10"/>
        <v>0.85</v>
      </c>
      <c r="X91" s="110">
        <f t="shared" si="9"/>
        <v>8.2599999999999993E-2</v>
      </c>
      <c r="Y91" s="110"/>
      <c r="Z91" s="110"/>
      <c r="AA91" s="111"/>
      <c r="AB91" s="111"/>
      <c r="AC91" s="112"/>
      <c r="AD91" s="112">
        <f t="shared" si="8"/>
        <v>1.0973999999999999</v>
      </c>
      <c r="AE91" s="112"/>
      <c r="AF91" s="112"/>
      <c r="AJ91" s="114"/>
    </row>
    <row r="92" spans="1:40" s="113" customFormat="1" x14ac:dyDescent="0.25">
      <c r="A92" s="104">
        <v>689</v>
      </c>
      <c r="B92" s="104" t="s">
        <v>2173</v>
      </c>
      <c r="C92" s="104" t="s">
        <v>2174</v>
      </c>
      <c r="D92" s="104" t="s">
        <v>2176</v>
      </c>
      <c r="E92" s="104" t="s">
        <v>2175</v>
      </c>
      <c r="F92" s="104">
        <v>1995</v>
      </c>
      <c r="G92" s="104"/>
      <c r="H92" s="104" t="s">
        <v>1928</v>
      </c>
      <c r="I92" s="105" t="s">
        <v>1879</v>
      </c>
      <c r="J92" s="104" t="s">
        <v>2177</v>
      </c>
      <c r="K92" s="104" t="s">
        <v>1881</v>
      </c>
      <c r="L92" s="105" t="s">
        <v>2178</v>
      </c>
      <c r="M92" s="104">
        <v>962</v>
      </c>
      <c r="N92" s="104"/>
      <c r="O92" s="104" t="s">
        <v>2126</v>
      </c>
      <c r="P92" s="106">
        <v>1174</v>
      </c>
      <c r="Q92" s="107">
        <v>2.89</v>
      </c>
      <c r="R92" s="108">
        <v>1.85</v>
      </c>
      <c r="S92" s="108"/>
      <c r="T92" s="109"/>
      <c r="U92" s="109">
        <v>3.79</v>
      </c>
      <c r="V92" s="109">
        <v>0.25</v>
      </c>
      <c r="W92" s="109">
        <f t="shared" si="10"/>
        <v>1.85</v>
      </c>
      <c r="X92" s="110">
        <f t="shared" si="9"/>
        <v>0.20230000000000001</v>
      </c>
      <c r="Y92" s="110"/>
      <c r="Z92" s="110"/>
      <c r="AA92" s="111"/>
      <c r="AB92" s="111"/>
      <c r="AC92" s="112"/>
      <c r="AD92" s="112">
        <f t="shared" si="8"/>
        <v>2.6877</v>
      </c>
      <c r="AE92" s="112"/>
      <c r="AF92" s="112"/>
      <c r="AJ92" s="114"/>
      <c r="AK92" s="113" t="s">
        <v>51</v>
      </c>
      <c r="AL92" s="113" t="s">
        <v>51</v>
      </c>
      <c r="AM92" s="113" t="s">
        <v>51</v>
      </c>
      <c r="AN92" s="108"/>
    </row>
    <row r="93" spans="1:40" s="113" customFormat="1" x14ac:dyDescent="0.25">
      <c r="A93" s="104">
        <v>691</v>
      </c>
      <c r="B93" s="104" t="s">
        <v>7875</v>
      </c>
      <c r="C93" s="104" t="s">
        <v>7881</v>
      </c>
      <c r="D93" s="104" t="s">
        <v>7877</v>
      </c>
      <c r="E93" s="104" t="s">
        <v>7882</v>
      </c>
      <c r="F93" s="104">
        <v>2008</v>
      </c>
      <c r="G93" s="104"/>
      <c r="H93" s="104" t="s">
        <v>2734</v>
      </c>
      <c r="I93" s="105" t="s">
        <v>1879</v>
      </c>
      <c r="J93" s="104"/>
      <c r="K93" s="104" t="s">
        <v>1881</v>
      </c>
      <c r="L93" s="105" t="s">
        <v>7883</v>
      </c>
      <c r="M93" s="104">
        <v>30</v>
      </c>
      <c r="N93" s="104"/>
      <c r="O93" s="104" t="s">
        <v>6566</v>
      </c>
      <c r="P93" s="106">
        <v>232</v>
      </c>
      <c r="Q93" s="107">
        <v>2.5</v>
      </c>
      <c r="R93" s="108">
        <v>1.49</v>
      </c>
      <c r="S93" s="108"/>
      <c r="T93" s="109">
        <v>0.35</v>
      </c>
      <c r="U93" s="109"/>
      <c r="V93" s="109">
        <v>0.25</v>
      </c>
      <c r="W93" s="109">
        <f t="shared" si="10"/>
        <v>1.49</v>
      </c>
      <c r="X93" s="110">
        <f t="shared" si="9"/>
        <v>0.17500000000000002</v>
      </c>
      <c r="Y93" s="110"/>
      <c r="Z93" s="110"/>
      <c r="AA93" s="111"/>
      <c r="AB93" s="111"/>
      <c r="AC93" s="112"/>
      <c r="AD93" s="112">
        <f t="shared" si="8"/>
        <v>2.3250000000000002</v>
      </c>
      <c r="AE93" s="112"/>
      <c r="AF93" s="112"/>
      <c r="AJ93" s="114"/>
    </row>
    <row r="94" spans="1:40" s="113" customFormat="1" x14ac:dyDescent="0.25">
      <c r="A94" s="104">
        <v>1327</v>
      </c>
      <c r="B94" s="104" t="s">
        <v>6161</v>
      </c>
      <c r="C94" s="104" t="s">
        <v>6162</v>
      </c>
      <c r="D94" s="104" t="s">
        <v>2300</v>
      </c>
      <c r="E94" s="104"/>
      <c r="F94" s="104">
        <v>2010</v>
      </c>
      <c r="G94" s="104"/>
      <c r="H94" s="104" t="s">
        <v>1878</v>
      </c>
      <c r="I94" s="105" t="s">
        <v>1879</v>
      </c>
      <c r="J94" s="115" t="s">
        <v>3854</v>
      </c>
      <c r="K94" s="104" t="s">
        <v>1881</v>
      </c>
      <c r="L94" s="105" t="s">
        <v>6163</v>
      </c>
      <c r="M94" s="104">
        <v>448</v>
      </c>
      <c r="N94" s="104"/>
      <c r="O94" s="104" t="s">
        <v>5293</v>
      </c>
      <c r="P94" s="106">
        <v>446</v>
      </c>
      <c r="Q94" s="107">
        <v>9.3800000000000008</v>
      </c>
      <c r="R94" s="108">
        <v>6.99</v>
      </c>
      <c r="S94" s="108"/>
      <c r="T94" s="109"/>
      <c r="U94" s="109">
        <v>1.2</v>
      </c>
      <c r="V94" s="109">
        <v>0.25</v>
      </c>
      <c r="W94" s="109">
        <f t="shared" si="10"/>
        <v>6.99</v>
      </c>
      <c r="X94" s="110">
        <f t="shared" si="9"/>
        <v>0.65660000000000007</v>
      </c>
      <c r="Y94" s="110"/>
      <c r="Z94" s="110"/>
      <c r="AA94" s="111"/>
      <c r="AB94" s="111"/>
      <c r="AC94" s="112"/>
      <c r="AD94" s="112">
        <f t="shared" si="8"/>
        <v>8.7234000000000016</v>
      </c>
      <c r="AE94" s="112"/>
      <c r="AF94" s="112"/>
      <c r="AJ94" s="114"/>
    </row>
    <row r="95" spans="1:40" s="113" customFormat="1" x14ac:dyDescent="0.25">
      <c r="A95" s="104">
        <v>701</v>
      </c>
      <c r="B95" s="104" t="s">
        <v>2080</v>
      </c>
      <c r="C95" s="104" t="s">
        <v>2081</v>
      </c>
      <c r="D95" s="104" t="s">
        <v>2082</v>
      </c>
      <c r="E95" s="104"/>
      <c r="F95" s="104">
        <v>2016</v>
      </c>
      <c r="G95" s="104"/>
      <c r="H95" s="104" t="s">
        <v>1878</v>
      </c>
      <c r="I95" s="105" t="s">
        <v>1929</v>
      </c>
      <c r="J95" s="104" t="s">
        <v>2083</v>
      </c>
      <c r="K95" s="104" t="s">
        <v>1881</v>
      </c>
      <c r="L95" s="105" t="s">
        <v>2084</v>
      </c>
      <c r="M95" s="104">
        <v>160</v>
      </c>
      <c r="N95" s="104"/>
      <c r="O95" s="104" t="s">
        <v>1957</v>
      </c>
      <c r="P95" s="106">
        <v>177</v>
      </c>
      <c r="Q95" s="107">
        <v>2.69</v>
      </c>
      <c r="R95" s="108">
        <v>3.39</v>
      </c>
      <c r="S95" s="108"/>
      <c r="T95" s="109"/>
      <c r="U95" s="109">
        <v>1.2</v>
      </c>
      <c r="V95" s="109">
        <v>0.25</v>
      </c>
      <c r="W95" s="109">
        <f t="shared" si="10"/>
        <v>3.39</v>
      </c>
      <c r="X95" s="110">
        <f t="shared" si="9"/>
        <v>0.1883</v>
      </c>
      <c r="Y95" s="110"/>
      <c r="Z95" s="110"/>
      <c r="AA95" s="111"/>
      <c r="AB95" s="111"/>
      <c r="AC95" s="112"/>
      <c r="AD95" s="112">
        <f t="shared" si="8"/>
        <v>2.5017</v>
      </c>
      <c r="AE95" s="112"/>
      <c r="AF95" s="112"/>
      <c r="AJ95" s="114"/>
      <c r="AK95" s="113" t="s">
        <v>51</v>
      </c>
      <c r="AL95" s="113" t="s">
        <v>51</v>
      </c>
      <c r="AM95" s="113" t="s">
        <v>51</v>
      </c>
      <c r="AN95" s="108"/>
    </row>
    <row r="96" spans="1:40" s="209" customFormat="1" x14ac:dyDescent="0.25">
      <c r="A96" s="204">
        <v>1395</v>
      </c>
      <c r="B96" s="204" t="s">
        <v>4620</v>
      </c>
      <c r="C96" s="204" t="s">
        <v>4621</v>
      </c>
      <c r="D96" s="204" t="s">
        <v>1998</v>
      </c>
      <c r="E96" s="204" t="s">
        <v>4622</v>
      </c>
      <c r="F96" s="204">
        <v>2015</v>
      </c>
      <c r="G96" s="204"/>
      <c r="H96" s="204" t="s">
        <v>1878</v>
      </c>
      <c r="I96" s="205" t="s">
        <v>1879</v>
      </c>
      <c r="J96" s="204"/>
      <c r="K96" s="204" t="s">
        <v>1881</v>
      </c>
      <c r="L96" s="205" t="s">
        <v>4623</v>
      </c>
      <c r="M96" s="204">
        <v>336</v>
      </c>
      <c r="N96" s="204"/>
      <c r="O96" s="204" t="s">
        <v>4553</v>
      </c>
      <c r="P96" s="206">
        <v>258</v>
      </c>
      <c r="Q96" s="208">
        <f>SUM(T96:X96)</f>
        <v>3.2582999999999998</v>
      </c>
      <c r="R96" s="207">
        <v>1.69</v>
      </c>
      <c r="S96" s="207"/>
      <c r="T96" s="67"/>
      <c r="U96" s="67">
        <v>1.2</v>
      </c>
      <c r="V96" s="67">
        <v>0.25</v>
      </c>
      <c r="W96" s="67">
        <f>IF(R96&gt;T96,R96,T96)</f>
        <v>1.69</v>
      </c>
      <c r="X96" s="70">
        <f>(T96+W96)/100*7</f>
        <v>0.11829999999999999</v>
      </c>
      <c r="Y96" s="70"/>
      <c r="Z96" s="70"/>
      <c r="AA96" s="212"/>
      <c r="AB96" s="212"/>
      <c r="AC96" s="213"/>
      <c r="AD96" s="213">
        <f>2.09-(2.09/100*7)</f>
        <v>1.9436999999999998</v>
      </c>
      <c r="AE96" s="213"/>
      <c r="AF96" s="213"/>
      <c r="AJ96" s="210"/>
    </row>
    <row r="97" spans="1:39" s="125" customFormat="1" x14ac:dyDescent="0.25">
      <c r="A97" s="116">
        <v>651</v>
      </c>
      <c r="B97" s="116"/>
      <c r="C97" s="116" t="s">
        <v>7105</v>
      </c>
      <c r="D97" s="116" t="s">
        <v>2117</v>
      </c>
      <c r="E97" s="116" t="s">
        <v>1913</v>
      </c>
      <c r="F97" s="116">
        <v>2014</v>
      </c>
      <c r="G97" s="116"/>
      <c r="H97" s="116" t="s">
        <v>2734</v>
      </c>
      <c r="I97" s="117" t="s">
        <v>1929</v>
      </c>
      <c r="J97" s="116"/>
      <c r="K97" s="116" t="s">
        <v>1881</v>
      </c>
      <c r="L97" s="117" t="s">
        <v>7106</v>
      </c>
      <c r="M97" s="116">
        <v>134</v>
      </c>
      <c r="N97" s="116"/>
      <c r="O97" s="116" t="s">
        <v>5427</v>
      </c>
      <c r="P97" s="118">
        <v>732</v>
      </c>
      <c r="Q97" s="119">
        <f>SUM(T97:X97)</f>
        <v>2.7217000000000002</v>
      </c>
      <c r="R97" s="120">
        <v>1.99</v>
      </c>
      <c r="S97" s="120"/>
      <c r="T97" s="121">
        <v>0.32</v>
      </c>
      <c r="U97" s="121"/>
      <c r="V97" s="121">
        <v>0.25</v>
      </c>
      <c r="W97" s="121">
        <f>IF(R97&gt;T97,R97,T97)</f>
        <v>1.99</v>
      </c>
      <c r="X97" s="122">
        <f>(T97+W97)/100*7</f>
        <v>0.16169999999999998</v>
      </c>
      <c r="Y97" s="122"/>
      <c r="Z97" s="122"/>
      <c r="AA97" s="123"/>
      <c r="AB97" s="123"/>
      <c r="AC97" s="124"/>
      <c r="AD97" s="124">
        <f>Q97-X97</f>
        <v>2.56</v>
      </c>
      <c r="AE97" s="124"/>
      <c r="AF97" s="124"/>
      <c r="AJ97" s="126"/>
    </row>
    <row r="98" spans="1:39" s="125" customFormat="1" x14ac:dyDescent="0.25">
      <c r="A98" s="116">
        <v>691</v>
      </c>
      <c r="B98" s="116" t="s">
        <v>7875</v>
      </c>
      <c r="C98" s="116" t="s">
        <v>7876</v>
      </c>
      <c r="D98" s="116" t="s">
        <v>7877</v>
      </c>
      <c r="E98" s="116"/>
      <c r="F98" s="116">
        <v>2004</v>
      </c>
      <c r="G98" s="116"/>
      <c r="H98" s="116" t="s">
        <v>2734</v>
      </c>
      <c r="I98" s="117" t="s">
        <v>1914</v>
      </c>
      <c r="J98" s="116"/>
      <c r="K98" s="116" t="s">
        <v>1881</v>
      </c>
      <c r="L98" s="117" t="s">
        <v>7878</v>
      </c>
      <c r="M98" s="116"/>
      <c r="N98" s="116"/>
      <c r="O98" s="116" t="s">
        <v>6564</v>
      </c>
      <c r="P98" s="118">
        <v>242</v>
      </c>
      <c r="Q98" s="119">
        <f>SUM(U98:X98)</f>
        <v>2.9388000000000001</v>
      </c>
      <c r="R98" s="120">
        <v>2.4900000000000002</v>
      </c>
      <c r="S98" s="120"/>
      <c r="T98" s="121">
        <v>0.35</v>
      </c>
      <c r="U98" s="121"/>
      <c r="V98" s="121">
        <v>0.25</v>
      </c>
      <c r="W98" s="121">
        <f>IF(R98&gt;T98,R98,T98)</f>
        <v>2.4900000000000002</v>
      </c>
      <c r="X98" s="122">
        <f>(T98+W98)/100*7</f>
        <v>0.1988</v>
      </c>
      <c r="Y98" s="122"/>
      <c r="Z98" s="122"/>
      <c r="AA98" s="123"/>
      <c r="AB98" s="123"/>
      <c r="AC98" s="124"/>
      <c r="AD98" s="124">
        <f>Q98-X98</f>
        <v>2.74</v>
      </c>
      <c r="AE98" s="124"/>
      <c r="AF98" s="124"/>
      <c r="AJ98" s="126"/>
    </row>
    <row r="99" spans="1:39" s="125" customFormat="1" x14ac:dyDescent="0.25">
      <c r="A99" s="116">
        <v>691</v>
      </c>
      <c r="B99" s="116" t="s">
        <v>4341</v>
      </c>
      <c r="C99" s="116" t="s">
        <v>4342</v>
      </c>
      <c r="D99" s="116" t="s">
        <v>2826</v>
      </c>
      <c r="E99" s="116"/>
      <c r="F99" s="116">
        <v>1999</v>
      </c>
      <c r="G99" s="116"/>
      <c r="H99" s="116" t="s">
        <v>2734</v>
      </c>
      <c r="I99" s="117" t="s">
        <v>1879</v>
      </c>
      <c r="J99" s="116" t="s">
        <v>4343</v>
      </c>
      <c r="K99" s="116" t="s">
        <v>1881</v>
      </c>
      <c r="L99" s="117" t="s">
        <v>4344</v>
      </c>
      <c r="M99" s="116"/>
      <c r="N99" s="116"/>
      <c r="O99" s="116" t="s">
        <v>4286</v>
      </c>
      <c r="P99" s="118">
        <v>501</v>
      </c>
      <c r="Q99" s="119">
        <f>SUM(T99:X99)</f>
        <v>4.6143000000000001</v>
      </c>
      <c r="R99" s="120">
        <v>2.4900000000000002</v>
      </c>
      <c r="S99" s="120"/>
      <c r="T99" s="121"/>
      <c r="U99" s="121">
        <v>1.7</v>
      </c>
      <c r="V99" s="121">
        <v>0.25</v>
      </c>
      <c r="W99" s="121">
        <f>IF(R99&gt;T99,R99,T99)</f>
        <v>2.4900000000000002</v>
      </c>
      <c r="X99" s="122">
        <f>(T99+W99)/100*7</f>
        <v>0.17430000000000001</v>
      </c>
      <c r="Y99" s="122"/>
      <c r="Z99" s="122"/>
      <c r="AA99" s="123"/>
      <c r="AB99" s="123"/>
      <c r="AC99" s="124"/>
      <c r="AD99" s="124">
        <f>Q99-X99</f>
        <v>4.4400000000000004</v>
      </c>
      <c r="AE99" s="124"/>
      <c r="AF99" s="124"/>
      <c r="AJ99" s="126"/>
    </row>
    <row r="100" spans="1:39" s="209" customFormat="1" x14ac:dyDescent="0.25">
      <c r="A100" s="204"/>
      <c r="B100" s="204"/>
      <c r="C100" s="204"/>
      <c r="D100" s="204"/>
      <c r="E100" s="204"/>
      <c r="F100" s="204"/>
      <c r="G100" s="204"/>
      <c r="H100" s="204"/>
      <c r="I100" s="205"/>
      <c r="J100" s="204"/>
      <c r="K100" s="204"/>
      <c r="L100" s="205"/>
      <c r="M100" s="204"/>
      <c r="N100" s="204"/>
      <c r="O100" s="204" t="s">
        <v>9674</v>
      </c>
      <c r="P100" s="206"/>
      <c r="Q100" s="208"/>
      <c r="R100" s="207"/>
      <c r="S100" s="207"/>
      <c r="T100" s="67"/>
      <c r="U100" s="67"/>
      <c r="V100" s="67"/>
      <c r="W100" s="67"/>
      <c r="X100" s="70"/>
      <c r="Y100" s="70"/>
      <c r="Z100" s="70"/>
      <c r="AA100" s="212"/>
      <c r="AB100" s="212"/>
      <c r="AC100" s="213"/>
      <c r="AD100" s="213">
        <f>2.5-(2.5/100*7)</f>
        <v>2.3250000000000002</v>
      </c>
      <c r="AE100" s="213"/>
      <c r="AF100" s="213"/>
      <c r="AJ100" s="210"/>
    </row>
    <row r="101" spans="1:39" s="209" customFormat="1" x14ac:dyDescent="0.25">
      <c r="A101" s="204">
        <v>701</v>
      </c>
      <c r="B101" s="204" t="s">
        <v>2356</v>
      </c>
      <c r="C101" s="204" t="s">
        <v>2357</v>
      </c>
      <c r="D101" s="204" t="s">
        <v>1920</v>
      </c>
      <c r="E101" s="204" t="s">
        <v>2358</v>
      </c>
      <c r="F101" s="204">
        <v>2013</v>
      </c>
      <c r="G101" s="204"/>
      <c r="H101" s="204" t="s">
        <v>1878</v>
      </c>
      <c r="I101" s="205" t="s">
        <v>1879</v>
      </c>
      <c r="J101" s="204" t="s">
        <v>2359</v>
      </c>
      <c r="K101" s="204" t="s">
        <v>1881</v>
      </c>
      <c r="L101" s="205" t="s">
        <v>2360</v>
      </c>
      <c r="M101" s="204">
        <v>368</v>
      </c>
      <c r="N101" s="204"/>
      <c r="O101" s="204" t="s">
        <v>2274</v>
      </c>
      <c r="P101" s="206">
        <v>366</v>
      </c>
      <c r="Q101" s="208">
        <v>1.9742999999999999</v>
      </c>
      <c r="R101" s="207">
        <v>0.49</v>
      </c>
      <c r="S101" s="207"/>
      <c r="T101" s="67"/>
      <c r="U101" s="67">
        <v>1.2</v>
      </c>
      <c r="V101" s="67">
        <v>0.25</v>
      </c>
      <c r="W101" s="67">
        <v>0.49</v>
      </c>
      <c r="X101" s="70">
        <v>3.4299999999999997E-2</v>
      </c>
      <c r="Y101" s="70"/>
      <c r="Z101" s="70"/>
      <c r="AA101" s="212"/>
      <c r="AB101" s="212"/>
      <c r="AC101" s="213"/>
      <c r="AD101" s="213">
        <f>Q101-X101</f>
        <v>1.94</v>
      </c>
      <c r="AE101" s="213"/>
      <c r="AF101" s="213"/>
      <c r="AJ101" s="210"/>
      <c r="AK101" s="209" t="s">
        <v>51</v>
      </c>
      <c r="AL101" s="209" t="s">
        <v>51</v>
      </c>
      <c r="AM101" s="209" t="s">
        <v>51</v>
      </c>
    </row>
    <row r="102" spans="1:39" s="209" customFormat="1" x14ac:dyDescent="0.25">
      <c r="A102" s="204">
        <v>2684</v>
      </c>
      <c r="B102" s="204" t="s">
        <v>3608</v>
      </c>
      <c r="C102" s="204" t="s">
        <v>3609</v>
      </c>
      <c r="D102" s="204" t="s">
        <v>2007</v>
      </c>
      <c r="E102" s="204"/>
      <c r="F102" s="204">
        <v>1998</v>
      </c>
      <c r="G102" s="204"/>
      <c r="H102" s="204" t="s">
        <v>2008</v>
      </c>
      <c r="I102" s="205" t="s">
        <v>1929</v>
      </c>
      <c r="J102" s="204" t="s">
        <v>2237</v>
      </c>
      <c r="K102" s="204" t="s">
        <v>1881</v>
      </c>
      <c r="L102" s="205" t="s">
        <v>3610</v>
      </c>
      <c r="M102" s="204">
        <v>144</v>
      </c>
      <c r="N102" s="204"/>
      <c r="O102" s="204" t="s">
        <v>3535</v>
      </c>
      <c r="P102" s="206">
        <v>75</v>
      </c>
      <c r="Q102" s="208">
        <v>3.7932999999999995</v>
      </c>
      <c r="R102" s="207">
        <v>2.19</v>
      </c>
      <c r="S102" s="207"/>
      <c r="T102" s="67"/>
      <c r="U102" s="67">
        <v>1.2</v>
      </c>
      <c r="V102" s="67">
        <v>0.25</v>
      </c>
      <c r="W102" s="67">
        <v>2.19</v>
      </c>
      <c r="X102" s="70">
        <v>0.15329999999999999</v>
      </c>
      <c r="Y102" s="70"/>
      <c r="Z102" s="70"/>
      <c r="AA102" s="212"/>
      <c r="AB102" s="212"/>
      <c r="AC102" s="213"/>
      <c r="AD102" s="213">
        <f>Q102-X102</f>
        <v>3.6399999999999997</v>
      </c>
      <c r="AE102" s="213"/>
      <c r="AF102" s="213"/>
      <c r="AJ102" s="210"/>
    </row>
    <row r="103" spans="1:39" s="209" customFormat="1" x14ac:dyDescent="0.25">
      <c r="A103" s="204">
        <v>1972</v>
      </c>
      <c r="B103" s="204" t="s">
        <v>3795</v>
      </c>
      <c r="C103" s="204" t="s">
        <v>3796</v>
      </c>
      <c r="D103" s="204" t="s">
        <v>3797</v>
      </c>
      <c r="E103" s="204"/>
      <c r="F103" s="204">
        <v>2013</v>
      </c>
      <c r="G103" s="204"/>
      <c r="H103" s="204" t="s">
        <v>2295</v>
      </c>
      <c r="I103" s="205" t="s">
        <v>1879</v>
      </c>
      <c r="J103" s="204" t="s">
        <v>2237</v>
      </c>
      <c r="K103" s="204" t="s">
        <v>1881</v>
      </c>
      <c r="L103" s="205" t="s">
        <v>3798</v>
      </c>
      <c r="M103" s="204">
        <v>482</v>
      </c>
      <c r="N103" s="204"/>
      <c r="O103" s="204" t="s">
        <v>3590</v>
      </c>
      <c r="P103" s="206">
        <v>762</v>
      </c>
      <c r="Q103" s="208">
        <v>4.7213000000000003</v>
      </c>
      <c r="R103" s="207">
        <v>2.59</v>
      </c>
      <c r="S103" s="207"/>
      <c r="T103" s="67"/>
      <c r="U103" s="67">
        <v>1.7</v>
      </c>
      <c r="V103" s="67">
        <v>0.25</v>
      </c>
      <c r="W103" s="67">
        <v>2.59</v>
      </c>
      <c r="X103" s="70">
        <v>0.18129999999999999</v>
      </c>
      <c r="Y103" s="70"/>
      <c r="Z103" s="70"/>
      <c r="AA103" s="212"/>
      <c r="AB103" s="212"/>
      <c r="AC103" s="213"/>
      <c r="AD103" s="213">
        <f>5.17-(5.17/100*7)</f>
        <v>4.8080999999999996</v>
      </c>
      <c r="AE103" s="213"/>
      <c r="AF103" s="213"/>
      <c r="AJ103" s="210"/>
    </row>
    <row r="104" spans="1:39" s="209" customFormat="1" x14ac:dyDescent="0.25">
      <c r="A104" s="204">
        <v>967</v>
      </c>
      <c r="B104" s="204" t="s">
        <v>4441</v>
      </c>
      <c r="C104" s="204" t="s">
        <v>4442</v>
      </c>
      <c r="D104" s="204" t="s">
        <v>4443</v>
      </c>
      <c r="E104" s="204" t="s">
        <v>4444</v>
      </c>
      <c r="F104" s="204">
        <v>2005</v>
      </c>
      <c r="G104" s="204"/>
      <c r="H104" s="204" t="s">
        <v>2734</v>
      </c>
      <c r="I104" s="205" t="s">
        <v>1879</v>
      </c>
      <c r="J104" s="204" t="s">
        <v>4198</v>
      </c>
      <c r="K104" s="204" t="s">
        <v>1881</v>
      </c>
      <c r="L104" s="205" t="s">
        <v>4445</v>
      </c>
      <c r="M104" s="204">
        <v>146</v>
      </c>
      <c r="N104" s="204"/>
      <c r="O104" s="204" t="s">
        <v>4394</v>
      </c>
      <c r="P104" s="206">
        <v>223</v>
      </c>
      <c r="Q104" s="208">
        <v>1.7175</v>
      </c>
      <c r="R104" s="207">
        <v>0.25</v>
      </c>
      <c r="S104" s="207"/>
      <c r="T104" s="67"/>
      <c r="U104" s="67">
        <v>1.2</v>
      </c>
      <c r="V104" s="67">
        <v>0.25</v>
      </c>
      <c r="W104" s="67">
        <v>0.25</v>
      </c>
      <c r="X104" s="70">
        <v>1.7500000000000002E-2</v>
      </c>
      <c r="Y104" s="70"/>
      <c r="Z104" s="70"/>
      <c r="AA104" s="212"/>
      <c r="AB104" s="212"/>
      <c r="AC104" s="213"/>
      <c r="AD104" s="213">
        <f>Q104-X104</f>
        <v>1.7</v>
      </c>
      <c r="AE104" s="213"/>
      <c r="AF104" s="213"/>
      <c r="AJ104" s="210"/>
    </row>
    <row r="105" spans="1:39" s="209" customFormat="1" x14ac:dyDescent="0.25">
      <c r="A105" s="204">
        <v>632</v>
      </c>
      <c r="B105" s="204" t="s">
        <v>6034</v>
      </c>
      <c r="C105" s="204" t="s">
        <v>6035</v>
      </c>
      <c r="D105" s="204" t="s">
        <v>2036</v>
      </c>
      <c r="E105" s="204"/>
      <c r="F105" s="204">
        <v>1996</v>
      </c>
      <c r="G105" s="204"/>
      <c r="H105" s="204" t="s">
        <v>2734</v>
      </c>
      <c r="I105" s="205" t="s">
        <v>1879</v>
      </c>
      <c r="J105" s="204"/>
      <c r="K105" s="204" t="s">
        <v>1881</v>
      </c>
      <c r="L105" s="205" t="s">
        <v>6036</v>
      </c>
      <c r="M105" s="204">
        <v>546</v>
      </c>
      <c r="N105" s="204"/>
      <c r="O105" s="204" t="s">
        <v>5247</v>
      </c>
      <c r="P105" s="206">
        <v>576</v>
      </c>
      <c r="Q105" s="208">
        <v>4.1863000000000001</v>
      </c>
      <c r="R105" s="207">
        <v>2.09</v>
      </c>
      <c r="S105" s="207"/>
      <c r="T105" s="67"/>
      <c r="U105" s="67">
        <v>1.7</v>
      </c>
      <c r="V105" s="67">
        <v>0.25</v>
      </c>
      <c r="W105" s="67">
        <v>2.09</v>
      </c>
      <c r="X105" s="70">
        <v>0.14629999999999999</v>
      </c>
      <c r="Y105" s="70"/>
      <c r="Z105" s="70"/>
      <c r="AA105" s="212"/>
      <c r="AB105" s="212"/>
      <c r="AC105" s="213"/>
      <c r="AD105" s="213">
        <f>4.64-(4.64/100*7)</f>
        <v>4.3151999999999999</v>
      </c>
      <c r="AE105" s="213"/>
      <c r="AF105" s="213"/>
      <c r="AJ105" s="210"/>
    </row>
    <row r="106" spans="1:39" s="209" customFormat="1" x14ac:dyDescent="0.25">
      <c r="A106" s="204">
        <v>704</v>
      </c>
      <c r="B106" s="204" t="s">
        <v>4695</v>
      </c>
      <c r="C106" s="204" t="s">
        <v>7518</v>
      </c>
      <c r="D106" s="204" t="s">
        <v>2309</v>
      </c>
      <c r="E106" s="204" t="s">
        <v>2358</v>
      </c>
      <c r="F106" s="204">
        <v>2004</v>
      </c>
      <c r="G106" s="204"/>
      <c r="H106" s="204" t="s">
        <v>1878</v>
      </c>
      <c r="I106" s="205" t="s">
        <v>1879</v>
      </c>
      <c r="J106" s="204"/>
      <c r="K106" s="204" t="s">
        <v>1881</v>
      </c>
      <c r="L106" s="205" t="s">
        <v>7519</v>
      </c>
      <c r="M106" s="204">
        <v>258</v>
      </c>
      <c r="N106" s="204"/>
      <c r="O106" s="204" t="s">
        <v>5570</v>
      </c>
      <c r="P106" s="206">
        <v>259</v>
      </c>
      <c r="Q106" s="208">
        <v>0.64900000000000002</v>
      </c>
      <c r="R106" s="207">
        <v>0.25</v>
      </c>
      <c r="S106" s="207"/>
      <c r="T106" s="67">
        <v>0.35</v>
      </c>
      <c r="U106" s="67"/>
      <c r="V106" s="67">
        <v>0.25</v>
      </c>
      <c r="W106" s="67">
        <v>0.35</v>
      </c>
      <c r="X106" s="70">
        <v>4.8999999999999995E-2</v>
      </c>
      <c r="Y106" s="70"/>
      <c r="Z106" s="70"/>
      <c r="AA106" s="212"/>
      <c r="AB106" s="212"/>
      <c r="AC106" s="213"/>
      <c r="AD106" s="213">
        <f t="shared" ref="AD106:AD111" si="11">Q106-X106</f>
        <v>0.6</v>
      </c>
      <c r="AE106" s="213"/>
      <c r="AF106" s="213"/>
      <c r="AJ106" s="210"/>
    </row>
    <row r="107" spans="1:39" s="209" customFormat="1" x14ac:dyDescent="0.25">
      <c r="A107" s="204">
        <v>573</v>
      </c>
      <c r="B107" s="204" t="s">
        <v>7598</v>
      </c>
      <c r="C107" s="204" t="s">
        <v>7599</v>
      </c>
      <c r="D107" s="204" t="s">
        <v>7600</v>
      </c>
      <c r="E107" s="204" t="s">
        <v>7601</v>
      </c>
      <c r="F107" s="204">
        <v>2000</v>
      </c>
      <c r="G107" s="204"/>
      <c r="H107" s="204" t="s">
        <v>1878</v>
      </c>
      <c r="I107" s="205" t="s">
        <v>1914</v>
      </c>
      <c r="J107" s="204"/>
      <c r="K107" s="204" t="s">
        <v>1881</v>
      </c>
      <c r="L107" s="205" t="s">
        <v>7602</v>
      </c>
      <c r="M107" s="204">
        <v>144</v>
      </c>
      <c r="N107" s="204"/>
      <c r="O107" s="204" t="s">
        <v>5599</v>
      </c>
      <c r="P107" s="206">
        <v>124</v>
      </c>
      <c r="Q107" s="208">
        <v>2.4038000000000004</v>
      </c>
      <c r="R107" s="207">
        <v>1.99</v>
      </c>
      <c r="S107" s="207"/>
      <c r="T107" s="67">
        <v>0.35</v>
      </c>
      <c r="U107" s="67"/>
      <c r="V107" s="67">
        <v>0.25</v>
      </c>
      <c r="W107" s="67">
        <v>1.99</v>
      </c>
      <c r="X107" s="70">
        <v>0.16379999999999997</v>
      </c>
      <c r="Y107" s="70"/>
      <c r="Z107" s="70"/>
      <c r="AA107" s="212"/>
      <c r="AB107" s="212"/>
      <c r="AC107" s="213"/>
      <c r="AD107" s="213">
        <f t="shared" si="11"/>
        <v>2.2400000000000002</v>
      </c>
      <c r="AE107" s="213"/>
      <c r="AF107" s="213"/>
      <c r="AJ107" s="210"/>
    </row>
    <row r="108" spans="1:39" s="209" customFormat="1" x14ac:dyDescent="0.25">
      <c r="A108" s="204">
        <v>2522</v>
      </c>
      <c r="B108" s="204" t="s">
        <v>4071</v>
      </c>
      <c r="C108" s="204" t="s">
        <v>7667</v>
      </c>
      <c r="D108" s="204" t="s">
        <v>1912</v>
      </c>
      <c r="E108" s="204"/>
      <c r="F108" s="204">
        <v>1998</v>
      </c>
      <c r="G108" s="204"/>
      <c r="H108" s="204" t="s">
        <v>1878</v>
      </c>
      <c r="I108" s="205" t="s">
        <v>1879</v>
      </c>
      <c r="J108" s="204"/>
      <c r="K108" s="204" t="s">
        <v>1881</v>
      </c>
      <c r="L108" s="205" t="s">
        <v>7668</v>
      </c>
      <c r="M108" s="204">
        <v>736</v>
      </c>
      <c r="N108" s="204"/>
      <c r="O108" s="204" t="s">
        <v>5626</v>
      </c>
      <c r="P108" s="206">
        <v>488</v>
      </c>
      <c r="Q108" s="208">
        <v>0.64900000000000002</v>
      </c>
      <c r="R108" s="207">
        <v>0.25</v>
      </c>
      <c r="S108" s="207"/>
      <c r="T108" s="67">
        <v>0.35</v>
      </c>
      <c r="U108" s="67"/>
      <c r="V108" s="67">
        <v>0.25</v>
      </c>
      <c r="W108" s="67">
        <v>0.35</v>
      </c>
      <c r="X108" s="70">
        <v>4.8999999999999995E-2</v>
      </c>
      <c r="Y108" s="70"/>
      <c r="Z108" s="70"/>
      <c r="AA108" s="212"/>
      <c r="AB108" s="212"/>
      <c r="AC108" s="213"/>
      <c r="AD108" s="213">
        <f t="shared" si="11"/>
        <v>0.6</v>
      </c>
      <c r="AE108" s="213"/>
      <c r="AF108" s="213"/>
      <c r="AJ108" s="210"/>
    </row>
    <row r="109" spans="1:39" s="209" customFormat="1" x14ac:dyDescent="0.25">
      <c r="A109" s="204">
        <v>1386</v>
      </c>
      <c r="B109" s="204" t="s">
        <v>4309</v>
      </c>
      <c r="C109" s="204" t="s">
        <v>8001</v>
      </c>
      <c r="D109" s="204" t="s">
        <v>2835</v>
      </c>
      <c r="E109" s="204" t="s">
        <v>1913</v>
      </c>
      <c r="F109" s="204">
        <v>2012</v>
      </c>
      <c r="G109" s="204"/>
      <c r="H109" s="204" t="s">
        <v>1878</v>
      </c>
      <c r="I109" s="205" t="s">
        <v>7817</v>
      </c>
      <c r="J109" s="204" t="s">
        <v>3854</v>
      </c>
      <c r="K109" s="204" t="s">
        <v>1881</v>
      </c>
      <c r="L109" s="205" t="s">
        <v>8002</v>
      </c>
      <c r="M109" s="204">
        <v>240</v>
      </c>
      <c r="N109" s="204"/>
      <c r="O109" s="204" t="s">
        <v>6609</v>
      </c>
      <c r="P109" s="206">
        <v>230</v>
      </c>
      <c r="Q109" s="208">
        <v>1.7725</v>
      </c>
      <c r="R109" s="207">
        <v>1.49</v>
      </c>
      <c r="S109" s="207"/>
      <c r="T109" s="67">
        <v>0.35</v>
      </c>
      <c r="U109" s="67">
        <v>1.4</v>
      </c>
      <c r="V109" s="67">
        <v>0.25</v>
      </c>
      <c r="W109" s="67"/>
      <c r="X109" s="70">
        <v>0.12250000000000001</v>
      </c>
      <c r="Y109" s="70"/>
      <c r="Z109" s="70"/>
      <c r="AA109" s="212"/>
      <c r="AB109" s="212"/>
      <c r="AC109" s="213"/>
      <c r="AD109" s="213">
        <f t="shared" si="11"/>
        <v>1.65</v>
      </c>
      <c r="AE109" s="213"/>
      <c r="AF109" s="213"/>
      <c r="AJ109" s="210"/>
    </row>
    <row r="110" spans="1:39" s="209" customFormat="1" x14ac:dyDescent="0.25">
      <c r="A110" s="204">
        <v>704</v>
      </c>
      <c r="B110" s="204"/>
      <c r="C110" s="204" t="s">
        <v>8411</v>
      </c>
      <c r="D110" s="204" t="s">
        <v>8412</v>
      </c>
      <c r="E110" s="204"/>
      <c r="F110" s="204">
        <v>2006</v>
      </c>
      <c r="G110" s="204"/>
      <c r="H110" s="204" t="s">
        <v>2734</v>
      </c>
      <c r="I110" s="205" t="s">
        <v>1929</v>
      </c>
      <c r="J110" s="204"/>
      <c r="K110" s="204" t="s">
        <v>1881</v>
      </c>
      <c r="L110" s="205" t="s">
        <v>8413</v>
      </c>
      <c r="M110" s="204">
        <v>322</v>
      </c>
      <c r="N110" s="204"/>
      <c r="O110" s="204" t="s">
        <v>6760</v>
      </c>
      <c r="P110" s="206">
        <v>731</v>
      </c>
      <c r="Q110" s="208">
        <v>0.88939999999999997</v>
      </c>
      <c r="R110" s="207">
        <v>2.5893999999999999</v>
      </c>
      <c r="S110" s="207">
        <v>2.5</v>
      </c>
      <c r="T110" s="67">
        <v>0.13</v>
      </c>
      <c r="U110" s="67" t="s">
        <v>9675</v>
      </c>
      <c r="V110" s="67">
        <v>0.33999999999999997</v>
      </c>
      <c r="W110" s="67">
        <v>0.25</v>
      </c>
      <c r="X110" s="70">
        <v>0.1694</v>
      </c>
      <c r="Y110" s="70"/>
      <c r="Z110" s="70">
        <v>2.5</v>
      </c>
      <c r="AA110" s="212">
        <v>2.5893999999999999</v>
      </c>
      <c r="AB110" s="212"/>
      <c r="AC110" s="213"/>
      <c r="AD110" s="213">
        <f t="shared" si="11"/>
        <v>0.72</v>
      </c>
      <c r="AE110" s="213"/>
      <c r="AF110" s="213"/>
      <c r="AJ110" s="210"/>
    </row>
    <row r="111" spans="1:39" s="209" customFormat="1" x14ac:dyDescent="0.25">
      <c r="A111" s="204">
        <v>2943</v>
      </c>
      <c r="B111" s="204" t="s">
        <v>8484</v>
      </c>
      <c r="C111" s="204" t="s">
        <v>8485</v>
      </c>
      <c r="D111" s="204" t="s">
        <v>8486</v>
      </c>
      <c r="E111" s="204" t="s">
        <v>1877</v>
      </c>
      <c r="F111" s="204"/>
      <c r="G111" s="204"/>
      <c r="H111" s="204" t="s">
        <v>2734</v>
      </c>
      <c r="I111" s="205" t="s">
        <v>1929</v>
      </c>
      <c r="J111" s="204"/>
      <c r="K111" s="204" t="s">
        <v>1881</v>
      </c>
      <c r="L111" s="205" t="s">
        <v>8487</v>
      </c>
      <c r="M111" s="204">
        <v>98</v>
      </c>
      <c r="N111" s="204"/>
      <c r="O111" s="204" t="s">
        <v>6785</v>
      </c>
      <c r="P111" s="206">
        <v>207</v>
      </c>
      <c r="Q111" s="208">
        <v>2.79</v>
      </c>
      <c r="R111" s="207">
        <v>3.99</v>
      </c>
      <c r="S111" s="207">
        <v>3.99</v>
      </c>
      <c r="T111" s="67">
        <v>0.13</v>
      </c>
      <c r="U111" s="67" t="s">
        <v>9676</v>
      </c>
      <c r="V111" s="67">
        <v>0.33999999999999997</v>
      </c>
      <c r="W111" s="67">
        <v>2.0499999999999998</v>
      </c>
      <c r="X111" s="70">
        <v>0.26039999999999996</v>
      </c>
      <c r="Y111" s="70"/>
      <c r="Z111" s="70">
        <v>3.99</v>
      </c>
      <c r="AA111" s="212">
        <v>3.9803999999999995</v>
      </c>
      <c r="AB111" s="212"/>
      <c r="AC111" s="213"/>
      <c r="AD111" s="213">
        <f t="shared" si="11"/>
        <v>2.5296000000000003</v>
      </c>
      <c r="AE111" s="213"/>
      <c r="AF111" s="213"/>
      <c r="AJ111" s="210"/>
    </row>
    <row r="112" spans="1:39" s="209" customFormat="1" x14ac:dyDescent="0.25">
      <c r="A112" s="204"/>
      <c r="B112" s="204"/>
      <c r="C112" s="204"/>
      <c r="D112" s="204"/>
      <c r="E112" s="204"/>
      <c r="F112" s="204"/>
      <c r="G112" s="204"/>
      <c r="H112" s="204"/>
      <c r="I112" s="205"/>
      <c r="J112" s="204"/>
      <c r="K112" s="204"/>
      <c r="L112" s="205"/>
      <c r="M112" s="204"/>
      <c r="N112" s="204"/>
      <c r="O112" s="204" t="s">
        <v>9677</v>
      </c>
      <c r="P112" s="206"/>
      <c r="Q112" s="208"/>
      <c r="R112" s="207"/>
      <c r="S112" s="207"/>
      <c r="T112" s="67"/>
      <c r="U112" s="67"/>
      <c r="V112" s="67"/>
      <c r="W112" s="67"/>
      <c r="X112" s="70"/>
      <c r="Y112" s="70"/>
      <c r="Z112" s="70"/>
      <c r="AA112" s="212"/>
      <c r="AB112" s="212"/>
      <c r="AC112" s="213"/>
      <c r="AD112" s="213">
        <f>3.55-(3.55/100*7)</f>
        <v>3.3014999999999999</v>
      </c>
      <c r="AE112" s="213"/>
      <c r="AF112" s="213"/>
      <c r="AJ112" s="210"/>
    </row>
    <row r="113" spans="1:36" s="209" customFormat="1" x14ac:dyDescent="0.25">
      <c r="A113" s="204">
        <v>1386</v>
      </c>
      <c r="B113" s="204" t="s">
        <v>3143</v>
      </c>
      <c r="C113" s="204" t="s">
        <v>3144</v>
      </c>
      <c r="D113" s="204" t="s">
        <v>2609</v>
      </c>
      <c r="E113" s="204" t="s">
        <v>2358</v>
      </c>
      <c r="F113" s="204">
        <v>2007</v>
      </c>
      <c r="G113" s="204"/>
      <c r="H113" s="204" t="s">
        <v>1878</v>
      </c>
      <c r="I113" s="205" t="s">
        <v>1879</v>
      </c>
      <c r="J113" s="204"/>
      <c r="K113" s="204" t="s">
        <v>1881</v>
      </c>
      <c r="L113" s="205" t="s">
        <v>3221</v>
      </c>
      <c r="M113" s="204">
        <v>416</v>
      </c>
      <c r="N113" s="204"/>
      <c r="O113" s="204" t="s">
        <v>3179</v>
      </c>
      <c r="P113" s="206">
        <v>364</v>
      </c>
      <c r="Q113" s="208">
        <v>1.7175</v>
      </c>
      <c r="R113" s="207">
        <v>0.25</v>
      </c>
      <c r="S113" s="207"/>
      <c r="T113" s="67"/>
      <c r="U113" s="67">
        <v>1.2</v>
      </c>
      <c r="V113" s="67">
        <v>0.25</v>
      </c>
      <c r="W113" s="67">
        <v>0.25</v>
      </c>
      <c r="X113" s="70">
        <v>1.7500000000000002E-2</v>
      </c>
      <c r="Y113" s="70"/>
      <c r="Z113" s="70"/>
      <c r="AA113" s="212"/>
      <c r="AB113" s="212"/>
      <c r="AC113" s="213"/>
      <c r="AD113" s="213">
        <f>2.5*0.93</f>
        <v>2.3250000000000002</v>
      </c>
      <c r="AE113" s="213"/>
      <c r="AF113" s="213"/>
      <c r="AJ113" s="210"/>
    </row>
    <row r="114" spans="1:36" s="209" customFormat="1" x14ac:dyDescent="0.25">
      <c r="A114" s="204">
        <v>692</v>
      </c>
      <c r="B114" s="204" t="s">
        <v>3729</v>
      </c>
      <c r="C114" s="204" t="s">
        <v>3730</v>
      </c>
      <c r="D114" s="204" t="s">
        <v>1912</v>
      </c>
      <c r="E114" s="204" t="s">
        <v>3731</v>
      </c>
      <c r="F114" s="204">
        <v>2009</v>
      </c>
      <c r="G114" s="204"/>
      <c r="H114" s="204" t="s">
        <v>1878</v>
      </c>
      <c r="I114" s="205" t="s">
        <v>1879</v>
      </c>
      <c r="J114" s="204" t="s">
        <v>3006</v>
      </c>
      <c r="K114" s="204" t="s">
        <v>1881</v>
      </c>
      <c r="L114" s="205" t="s">
        <v>3732</v>
      </c>
      <c r="M114" s="204">
        <v>384</v>
      </c>
      <c r="N114" s="204"/>
      <c r="O114" s="204" t="s">
        <v>3573</v>
      </c>
      <c r="P114" s="206">
        <v>315</v>
      </c>
      <c r="Q114" s="208">
        <v>1.7175</v>
      </c>
      <c r="R114" s="207">
        <v>0.25</v>
      </c>
      <c r="S114" s="207"/>
      <c r="T114" s="67"/>
      <c r="U114" s="67">
        <v>1.2</v>
      </c>
      <c r="V114" s="67">
        <v>0.25</v>
      </c>
      <c r="W114" s="67">
        <v>0.25</v>
      </c>
      <c r="X114" s="70">
        <v>1.7500000000000002E-2</v>
      </c>
      <c r="Y114" s="70"/>
      <c r="Z114" s="70"/>
      <c r="AA114" s="212"/>
      <c r="AB114" s="212"/>
      <c r="AC114" s="213"/>
      <c r="AD114" s="213">
        <f>2.5*0.93</f>
        <v>2.3250000000000002</v>
      </c>
      <c r="AE114" s="213"/>
      <c r="AF114" s="213"/>
      <c r="AJ114" s="210"/>
    </row>
    <row r="115" spans="1:36" s="209" customFormat="1" x14ac:dyDescent="0.25">
      <c r="A115" s="204">
        <v>618</v>
      </c>
      <c r="B115" s="204" t="s">
        <v>3778</v>
      </c>
      <c r="C115" s="204" t="s">
        <v>3779</v>
      </c>
      <c r="D115" s="204" t="s">
        <v>2209</v>
      </c>
      <c r="E115" s="204" t="s">
        <v>2518</v>
      </c>
      <c r="F115" s="204">
        <v>1989</v>
      </c>
      <c r="G115" s="204"/>
      <c r="H115" s="204" t="s">
        <v>1878</v>
      </c>
      <c r="I115" s="205" t="s">
        <v>1879</v>
      </c>
      <c r="J115" s="204"/>
      <c r="K115" s="204" t="s">
        <v>1881</v>
      </c>
      <c r="L115" s="205" t="s">
        <v>3780</v>
      </c>
      <c r="M115" s="204">
        <v>446</v>
      </c>
      <c r="N115" s="204"/>
      <c r="O115" s="204" t="s">
        <v>3585</v>
      </c>
      <c r="P115" s="206">
        <v>301</v>
      </c>
      <c r="Q115" s="208">
        <v>3.4722999999999997</v>
      </c>
      <c r="R115" s="207">
        <v>1.89</v>
      </c>
      <c r="S115" s="207"/>
      <c r="T115" s="67"/>
      <c r="U115" s="67">
        <v>1.2</v>
      </c>
      <c r="V115" s="67">
        <v>0.25</v>
      </c>
      <c r="W115" s="67">
        <v>1.89</v>
      </c>
      <c r="X115" s="70">
        <v>0.1323</v>
      </c>
      <c r="Y115" s="70"/>
      <c r="Z115" s="70"/>
      <c r="AA115" s="212"/>
      <c r="AB115" s="212"/>
      <c r="AC115" s="213"/>
      <c r="AD115" s="213">
        <f>3.47*0.93</f>
        <v>3.2271000000000005</v>
      </c>
      <c r="AE115" s="213"/>
      <c r="AF115" s="213"/>
      <c r="AJ115" s="210"/>
    </row>
    <row r="116" spans="1:36" s="209" customFormat="1" x14ac:dyDescent="0.25">
      <c r="A116" s="204">
        <v>1386</v>
      </c>
      <c r="B116" s="204" t="s">
        <v>3781</v>
      </c>
      <c r="C116" s="204" t="s">
        <v>3782</v>
      </c>
      <c r="D116" s="204" t="s">
        <v>2257</v>
      </c>
      <c r="E116" s="204"/>
      <c r="F116" s="204">
        <v>2017</v>
      </c>
      <c r="G116" s="204"/>
      <c r="H116" s="204" t="s">
        <v>1878</v>
      </c>
      <c r="I116" s="205" t="s">
        <v>1879</v>
      </c>
      <c r="J116" s="204" t="s">
        <v>3303</v>
      </c>
      <c r="K116" s="204" t="s">
        <v>1881</v>
      </c>
      <c r="L116" s="205" t="s">
        <v>3783</v>
      </c>
      <c r="M116" s="204">
        <v>304</v>
      </c>
      <c r="N116" s="204"/>
      <c r="O116" s="204" t="s">
        <v>3586</v>
      </c>
      <c r="P116" s="206">
        <v>235</v>
      </c>
      <c r="Q116" s="208">
        <v>3.3653000000000004</v>
      </c>
      <c r="R116" s="207">
        <v>1.79</v>
      </c>
      <c r="S116" s="207"/>
      <c r="T116" s="67"/>
      <c r="U116" s="67">
        <v>1.2</v>
      </c>
      <c r="V116" s="67">
        <v>0.25</v>
      </c>
      <c r="W116" s="67">
        <v>1.79</v>
      </c>
      <c r="X116" s="70">
        <v>0.12529999999999999</v>
      </c>
      <c r="Y116" s="70"/>
      <c r="Z116" s="70"/>
      <c r="AA116" s="212"/>
      <c r="AB116" s="212"/>
      <c r="AC116" s="213"/>
      <c r="AD116" s="213">
        <f>3.37*0.93</f>
        <v>3.1341000000000001</v>
      </c>
      <c r="AE116" s="213"/>
      <c r="AF116" s="213"/>
      <c r="AJ116" s="210"/>
    </row>
    <row r="117" spans="1:36" s="209" customFormat="1" x14ac:dyDescent="0.25">
      <c r="A117" s="204">
        <v>1396</v>
      </c>
      <c r="B117" s="204" t="s">
        <v>3862</v>
      </c>
      <c r="C117" s="204" t="s">
        <v>3863</v>
      </c>
      <c r="D117" s="204" t="s">
        <v>3864</v>
      </c>
      <c r="E117" s="204"/>
      <c r="F117" s="204">
        <v>2018</v>
      </c>
      <c r="G117" s="204"/>
      <c r="H117" s="204" t="s">
        <v>2295</v>
      </c>
      <c r="I117" s="205" t="s">
        <v>1879</v>
      </c>
      <c r="J117" s="204" t="s">
        <v>3865</v>
      </c>
      <c r="K117" s="204" t="s">
        <v>1881</v>
      </c>
      <c r="L117" s="205" t="s">
        <v>3866</v>
      </c>
      <c r="M117" s="204">
        <v>306</v>
      </c>
      <c r="N117" s="204"/>
      <c r="O117" s="204" t="s">
        <v>3821</v>
      </c>
      <c r="P117" s="206">
        <v>368</v>
      </c>
      <c r="Q117" s="208">
        <v>4.9702999999999999</v>
      </c>
      <c r="R117" s="207">
        <v>3.29</v>
      </c>
      <c r="S117" s="207"/>
      <c r="T117" s="67"/>
      <c r="U117" s="67">
        <v>1.2</v>
      </c>
      <c r="V117" s="67">
        <v>0.25</v>
      </c>
      <c r="W117" s="67">
        <v>3.29</v>
      </c>
      <c r="X117" s="70">
        <v>0.2303</v>
      </c>
      <c r="Y117" s="70"/>
      <c r="Z117" s="70"/>
      <c r="AA117" s="212"/>
      <c r="AB117" s="212"/>
      <c r="AC117" s="213"/>
      <c r="AD117" s="213">
        <f>4.97*0.93</f>
        <v>4.6220999999999997</v>
      </c>
      <c r="AE117" s="213"/>
      <c r="AF117" s="213"/>
      <c r="AJ117" s="210"/>
    </row>
    <row r="118" spans="1:36" s="209" customFormat="1" x14ac:dyDescent="0.25">
      <c r="A118" s="204">
        <v>632</v>
      </c>
      <c r="B118" s="204" t="s">
        <v>4059</v>
      </c>
      <c r="C118" s="204" t="s">
        <v>4060</v>
      </c>
      <c r="D118" s="204" t="s">
        <v>2300</v>
      </c>
      <c r="E118" s="204"/>
      <c r="F118" s="204">
        <v>1999</v>
      </c>
      <c r="G118" s="204"/>
      <c r="H118" s="204" t="s">
        <v>1878</v>
      </c>
      <c r="I118" s="205" t="s">
        <v>1879</v>
      </c>
      <c r="J118" s="204" t="s">
        <v>3006</v>
      </c>
      <c r="K118" s="204" t="s">
        <v>1881</v>
      </c>
      <c r="L118" s="205" t="s">
        <v>4061</v>
      </c>
      <c r="M118" s="204">
        <v>448</v>
      </c>
      <c r="N118" s="204"/>
      <c r="O118" s="204" t="s">
        <v>4011</v>
      </c>
      <c r="P118" s="206">
        <v>442</v>
      </c>
      <c r="Q118" s="208">
        <v>2.5093000000000001</v>
      </c>
      <c r="R118" s="207">
        <v>0.99</v>
      </c>
      <c r="S118" s="207"/>
      <c r="T118" s="67"/>
      <c r="U118" s="67">
        <v>1.2</v>
      </c>
      <c r="V118" s="67">
        <v>0.25</v>
      </c>
      <c r="W118" s="67">
        <v>0.99</v>
      </c>
      <c r="X118" s="70">
        <v>6.93E-2</v>
      </c>
      <c r="Y118" s="70"/>
      <c r="Z118" s="70"/>
      <c r="AA118" s="212"/>
      <c r="AB118" s="212"/>
      <c r="AC118" s="213"/>
      <c r="AD118" s="213">
        <f>2.51*0.93</f>
        <v>2.3342999999999998</v>
      </c>
      <c r="AE118" s="213"/>
      <c r="AF118" s="213"/>
      <c r="AJ118" s="210"/>
    </row>
    <row r="119" spans="1:36" s="209" customFormat="1" x14ac:dyDescent="0.25">
      <c r="A119" s="204">
        <v>2522</v>
      </c>
      <c r="B119" s="204" t="s">
        <v>4446</v>
      </c>
      <c r="C119" s="204" t="s">
        <v>4447</v>
      </c>
      <c r="D119" s="204" t="s">
        <v>1988</v>
      </c>
      <c r="E119" s="204" t="s">
        <v>1921</v>
      </c>
      <c r="F119" s="204">
        <v>2017</v>
      </c>
      <c r="G119" s="204"/>
      <c r="H119" s="204" t="s">
        <v>1878</v>
      </c>
      <c r="I119" s="205" t="s">
        <v>1879</v>
      </c>
      <c r="J119" s="204" t="s">
        <v>4198</v>
      </c>
      <c r="K119" s="204" t="s">
        <v>1881</v>
      </c>
      <c r="L119" s="205" t="s">
        <v>4448</v>
      </c>
      <c r="M119" s="204">
        <v>384</v>
      </c>
      <c r="N119" s="204"/>
      <c r="O119" s="204" t="s">
        <v>4395</v>
      </c>
      <c r="P119" s="206">
        <v>475</v>
      </c>
      <c r="Q119" s="208">
        <v>2.4022999999999999</v>
      </c>
      <c r="R119" s="207">
        <v>0.89</v>
      </c>
      <c r="S119" s="207"/>
      <c r="T119" s="67"/>
      <c r="U119" s="67">
        <v>1.2</v>
      </c>
      <c r="V119" s="67">
        <v>0.25</v>
      </c>
      <c r="W119" s="67">
        <v>0.89</v>
      </c>
      <c r="X119" s="70">
        <v>6.2300000000000001E-2</v>
      </c>
      <c r="Y119" s="70"/>
      <c r="Z119" s="70"/>
      <c r="AA119" s="212"/>
      <c r="AB119" s="212"/>
      <c r="AC119" s="213"/>
      <c r="AD119" s="213">
        <f>2.5*0.93</f>
        <v>2.3250000000000002</v>
      </c>
      <c r="AE119" s="213"/>
      <c r="AF119" s="213"/>
      <c r="AJ119" s="210"/>
    </row>
    <row r="120" spans="1:36" s="209" customFormat="1" x14ac:dyDescent="0.25">
      <c r="A120" s="204">
        <v>1395</v>
      </c>
      <c r="B120" s="204" t="s">
        <v>4695</v>
      </c>
      <c r="C120" s="204" t="s">
        <v>4696</v>
      </c>
      <c r="D120" s="204" t="s">
        <v>2309</v>
      </c>
      <c r="E120" s="204" t="s">
        <v>4697</v>
      </c>
      <c r="F120" s="204">
        <v>2006</v>
      </c>
      <c r="G120" s="204"/>
      <c r="H120" s="204" t="s">
        <v>1878</v>
      </c>
      <c r="I120" s="205" t="s">
        <v>1879</v>
      </c>
      <c r="J120" s="204"/>
      <c r="K120" s="204" t="s">
        <v>1881</v>
      </c>
      <c r="L120" s="205" t="s">
        <v>4698</v>
      </c>
      <c r="M120" s="204">
        <v>290</v>
      </c>
      <c r="N120" s="204"/>
      <c r="O120" s="204" t="s">
        <v>4578</v>
      </c>
      <c r="P120" s="206">
        <v>293</v>
      </c>
      <c r="Q120" s="208">
        <v>1.7175</v>
      </c>
      <c r="R120" s="207">
        <v>0.25</v>
      </c>
      <c r="S120" s="207"/>
      <c r="T120" s="67"/>
      <c r="U120" s="67">
        <v>1.2</v>
      </c>
      <c r="V120" s="67">
        <v>0.25</v>
      </c>
      <c r="W120" s="67">
        <v>0.25</v>
      </c>
      <c r="X120" s="70">
        <v>1.7500000000000002E-2</v>
      </c>
      <c r="Y120" s="70"/>
      <c r="Z120" s="70"/>
      <c r="AA120" s="212"/>
      <c r="AB120" s="212"/>
      <c r="AC120" s="213"/>
      <c r="AD120" s="213">
        <f>2.5*0.93</f>
        <v>2.3250000000000002</v>
      </c>
      <c r="AE120" s="213"/>
      <c r="AF120" s="213"/>
      <c r="AJ120" s="210"/>
    </row>
    <row r="121" spans="1:36" s="209" customFormat="1" x14ac:dyDescent="0.25">
      <c r="A121" s="204">
        <v>774</v>
      </c>
      <c r="B121" s="204"/>
      <c r="C121" s="204" t="s">
        <v>7149</v>
      </c>
      <c r="D121" s="204" t="s">
        <v>6456</v>
      </c>
      <c r="E121" s="204"/>
      <c r="F121" s="204">
        <v>2004</v>
      </c>
      <c r="G121" s="204"/>
      <c r="H121" s="204" t="s">
        <v>1878</v>
      </c>
      <c r="I121" s="205" t="s">
        <v>1929</v>
      </c>
      <c r="J121" s="204"/>
      <c r="K121" s="204" t="s">
        <v>1881</v>
      </c>
      <c r="L121" s="205" t="s">
        <v>7150</v>
      </c>
      <c r="M121" s="204">
        <v>184</v>
      </c>
      <c r="N121" s="204"/>
      <c r="O121" s="204" t="s">
        <v>5443</v>
      </c>
      <c r="P121" s="206">
        <v>812</v>
      </c>
      <c r="Q121" s="208">
        <v>1.1167</v>
      </c>
      <c r="R121" s="207">
        <v>0.49</v>
      </c>
      <c r="S121" s="207"/>
      <c r="T121" s="67">
        <v>0.32</v>
      </c>
      <c r="U121" s="67"/>
      <c r="V121" s="67">
        <v>0.25</v>
      </c>
      <c r="W121" s="67">
        <v>0.49</v>
      </c>
      <c r="X121" s="70">
        <v>5.6700000000000007E-2</v>
      </c>
      <c r="Y121" s="70"/>
      <c r="Z121" s="70"/>
      <c r="AA121" s="212"/>
      <c r="AB121" s="212"/>
      <c r="AC121" s="213"/>
      <c r="AD121" s="213">
        <f>2.5*0.93</f>
        <v>2.3250000000000002</v>
      </c>
      <c r="AE121" s="213"/>
      <c r="AF121" s="213"/>
      <c r="AJ121" s="210"/>
    </row>
    <row r="122" spans="1:36" s="209" customFormat="1" x14ac:dyDescent="0.25">
      <c r="A122" s="204">
        <v>2522</v>
      </c>
      <c r="B122" s="204" t="s">
        <v>7365</v>
      </c>
      <c r="C122" s="204" t="s">
        <v>7366</v>
      </c>
      <c r="D122" s="204" t="s">
        <v>1876</v>
      </c>
      <c r="E122" s="204" t="s">
        <v>1921</v>
      </c>
      <c r="F122" s="204">
        <v>2010</v>
      </c>
      <c r="G122" s="204"/>
      <c r="H122" s="204" t="s">
        <v>1878</v>
      </c>
      <c r="I122" s="205" t="s">
        <v>1879</v>
      </c>
      <c r="J122" s="204" t="s">
        <v>3854</v>
      </c>
      <c r="K122" s="204" t="s">
        <v>1881</v>
      </c>
      <c r="L122" s="205" t="s">
        <v>7367</v>
      </c>
      <c r="M122" s="204">
        <v>496</v>
      </c>
      <c r="N122" s="204"/>
      <c r="O122" s="204" t="s">
        <v>5520</v>
      </c>
      <c r="P122" s="206">
        <v>414</v>
      </c>
      <c r="Q122" s="208">
        <v>1.0127999999999999</v>
      </c>
      <c r="R122" s="207">
        <v>0.69</v>
      </c>
      <c r="S122" s="207"/>
      <c r="T122" s="67">
        <v>0.35</v>
      </c>
      <c r="U122" s="67"/>
      <c r="V122" s="67">
        <v>0.25</v>
      </c>
      <c r="W122" s="67">
        <v>0.69</v>
      </c>
      <c r="X122" s="70">
        <v>7.2800000000000004E-2</v>
      </c>
      <c r="Y122" s="70"/>
      <c r="Z122" s="70"/>
      <c r="AA122" s="212"/>
      <c r="AB122" s="212"/>
      <c r="AC122" s="213"/>
      <c r="AD122" s="213">
        <f>1.01*0.93</f>
        <v>0.93930000000000002</v>
      </c>
      <c r="AE122" s="213"/>
      <c r="AF122" s="213"/>
      <c r="AJ122" s="210"/>
    </row>
    <row r="123" spans="1:36" s="209" customFormat="1" x14ac:dyDescent="0.25">
      <c r="A123" s="204">
        <v>704</v>
      </c>
      <c r="B123" s="204" t="s">
        <v>3035</v>
      </c>
      <c r="C123" s="204" t="s">
        <v>7557</v>
      </c>
      <c r="D123" s="204" t="s">
        <v>2300</v>
      </c>
      <c r="E123" s="204" t="s">
        <v>7558</v>
      </c>
      <c r="F123" s="204">
        <v>2009</v>
      </c>
      <c r="G123" s="204"/>
      <c r="H123" s="204" t="s">
        <v>1878</v>
      </c>
      <c r="I123" s="205" t="s">
        <v>1879</v>
      </c>
      <c r="J123" s="204"/>
      <c r="K123" s="204" t="s">
        <v>1881</v>
      </c>
      <c r="L123" s="205" t="s">
        <v>7559</v>
      </c>
      <c r="M123" s="204">
        <v>224</v>
      </c>
      <c r="N123" s="204"/>
      <c r="O123" s="204" t="s">
        <v>5585</v>
      </c>
      <c r="P123" s="206">
        <v>282</v>
      </c>
      <c r="Q123" s="208">
        <v>0.64900000000000002</v>
      </c>
      <c r="R123" s="207">
        <v>0.25</v>
      </c>
      <c r="S123" s="207"/>
      <c r="T123" s="67">
        <v>0.35</v>
      </c>
      <c r="U123" s="67"/>
      <c r="V123" s="67">
        <v>0.25</v>
      </c>
      <c r="W123" s="67">
        <v>0.35</v>
      </c>
      <c r="X123" s="70">
        <v>4.8999999999999995E-2</v>
      </c>
      <c r="Y123" s="70"/>
      <c r="Z123" s="70"/>
      <c r="AA123" s="212"/>
      <c r="AB123" s="212"/>
      <c r="AC123" s="213"/>
      <c r="AD123" s="213">
        <f t="shared" ref="AD123:AD128" si="12">2.5*0.93</f>
        <v>2.3250000000000002</v>
      </c>
      <c r="AE123" s="213"/>
      <c r="AF123" s="213"/>
      <c r="AJ123" s="210"/>
    </row>
    <row r="124" spans="1:36" s="209" customFormat="1" x14ac:dyDescent="0.25">
      <c r="A124" s="204">
        <v>775</v>
      </c>
      <c r="B124" s="204" t="s">
        <v>7705</v>
      </c>
      <c r="C124" s="204" t="s">
        <v>7706</v>
      </c>
      <c r="D124" s="204" t="s">
        <v>2300</v>
      </c>
      <c r="E124" s="204" t="s">
        <v>7558</v>
      </c>
      <c r="F124" s="204">
        <v>2014</v>
      </c>
      <c r="G124" s="204"/>
      <c r="H124" s="204" t="s">
        <v>1878</v>
      </c>
      <c r="I124" s="205" t="s">
        <v>1914</v>
      </c>
      <c r="J124" s="204"/>
      <c r="K124" s="204" t="s">
        <v>1881</v>
      </c>
      <c r="L124" s="205" t="s">
        <v>7707</v>
      </c>
      <c r="M124" s="204">
        <v>254</v>
      </c>
      <c r="N124" s="204"/>
      <c r="O124" s="204" t="s">
        <v>5640</v>
      </c>
      <c r="P124" s="206">
        <v>211</v>
      </c>
      <c r="Q124" s="208">
        <v>1.8688</v>
      </c>
      <c r="R124" s="207">
        <v>1.49</v>
      </c>
      <c r="S124" s="207"/>
      <c r="T124" s="67">
        <v>0.35</v>
      </c>
      <c r="U124" s="67"/>
      <c r="V124" s="67">
        <v>0.25</v>
      </c>
      <c r="W124" s="67">
        <v>1.49</v>
      </c>
      <c r="X124" s="70">
        <v>0.1288</v>
      </c>
      <c r="Y124" s="70"/>
      <c r="Z124" s="70"/>
      <c r="AA124" s="212"/>
      <c r="AB124" s="212"/>
      <c r="AC124" s="213"/>
      <c r="AD124" s="213">
        <f t="shared" si="12"/>
        <v>2.3250000000000002</v>
      </c>
      <c r="AE124" s="213"/>
      <c r="AF124" s="213"/>
      <c r="AJ124" s="210"/>
    </row>
    <row r="125" spans="1:36" s="209" customFormat="1" x14ac:dyDescent="0.25">
      <c r="A125" s="204">
        <v>2522</v>
      </c>
      <c r="B125" s="204" t="s">
        <v>8057</v>
      </c>
      <c r="C125" s="204" t="s">
        <v>8058</v>
      </c>
      <c r="D125" s="204" t="s">
        <v>2309</v>
      </c>
      <c r="E125" s="204" t="s">
        <v>7601</v>
      </c>
      <c r="F125" s="204">
        <v>2011</v>
      </c>
      <c r="G125" s="204"/>
      <c r="H125" s="204" t="s">
        <v>1878</v>
      </c>
      <c r="I125" s="205" t="s">
        <v>1879</v>
      </c>
      <c r="J125" s="204"/>
      <c r="K125" s="204" t="s">
        <v>1881</v>
      </c>
      <c r="L125" s="205" t="s">
        <v>8059</v>
      </c>
      <c r="M125" s="204">
        <v>512</v>
      </c>
      <c r="N125" s="204"/>
      <c r="O125" s="204" t="s">
        <v>6630</v>
      </c>
      <c r="P125" s="206">
        <v>363</v>
      </c>
      <c r="Q125" s="208">
        <v>1.0418000000000001</v>
      </c>
      <c r="R125" s="207">
        <v>0.7</v>
      </c>
      <c r="S125" s="207"/>
      <c r="T125" s="67">
        <v>0.35</v>
      </c>
      <c r="U125" s="67">
        <v>0.39</v>
      </c>
      <c r="V125" s="67">
        <v>0.25</v>
      </c>
      <c r="W125" s="67"/>
      <c r="X125" s="70">
        <v>5.1799999999999999E-2</v>
      </c>
      <c r="Y125" s="70"/>
      <c r="Z125" s="70"/>
      <c r="AA125" s="212"/>
      <c r="AB125" s="212"/>
      <c r="AC125" s="213"/>
      <c r="AD125" s="213">
        <f t="shared" si="12"/>
        <v>2.3250000000000002</v>
      </c>
      <c r="AE125" s="213"/>
      <c r="AF125" s="213"/>
      <c r="AJ125" s="210"/>
    </row>
    <row r="126" spans="1:36" s="209" customFormat="1" x14ac:dyDescent="0.25">
      <c r="A126" s="204">
        <v>2522</v>
      </c>
      <c r="B126" s="204" t="s">
        <v>8506</v>
      </c>
      <c r="C126" s="204" t="s">
        <v>8507</v>
      </c>
      <c r="D126" s="204" t="s">
        <v>3077</v>
      </c>
      <c r="E126" s="204" t="s">
        <v>1913</v>
      </c>
      <c r="F126" s="204">
        <v>2017</v>
      </c>
      <c r="G126" s="204"/>
      <c r="H126" s="204" t="s">
        <v>1878</v>
      </c>
      <c r="I126" s="205" t="s">
        <v>1879</v>
      </c>
      <c r="J126" s="204"/>
      <c r="K126" s="204" t="s">
        <v>1881</v>
      </c>
      <c r="L126" s="205" t="s">
        <v>8508</v>
      </c>
      <c r="M126" s="204">
        <v>416</v>
      </c>
      <c r="N126" s="204"/>
      <c r="O126" s="204" t="s">
        <v>6793</v>
      </c>
      <c r="P126" s="206">
        <v>553</v>
      </c>
      <c r="Q126" s="208">
        <v>1.07</v>
      </c>
      <c r="R126" s="207">
        <v>2.77</v>
      </c>
      <c r="S126" s="207">
        <v>2.77</v>
      </c>
      <c r="T126" s="67">
        <v>0.13</v>
      </c>
      <c r="U126" s="67" t="s">
        <v>9675</v>
      </c>
      <c r="V126" s="67">
        <v>0.33999999999999997</v>
      </c>
      <c r="W126" s="67">
        <v>0.4</v>
      </c>
      <c r="X126" s="70">
        <v>0.17989999999999998</v>
      </c>
      <c r="Y126" s="70"/>
      <c r="Z126" s="70">
        <v>2.77</v>
      </c>
      <c r="AA126" s="212">
        <v>2.7498999999999998</v>
      </c>
      <c r="AB126" s="212"/>
      <c r="AC126" s="213"/>
      <c r="AD126" s="213">
        <f t="shared" si="12"/>
        <v>2.3250000000000002</v>
      </c>
      <c r="AE126" s="213"/>
      <c r="AF126" s="213"/>
      <c r="AJ126" s="210"/>
    </row>
    <row r="127" spans="1:36" s="209" customFormat="1" x14ac:dyDescent="0.25">
      <c r="A127" s="204">
        <v>1231</v>
      </c>
      <c r="B127" s="204" t="s">
        <v>4662</v>
      </c>
      <c r="C127" s="204" t="s">
        <v>8611</v>
      </c>
      <c r="D127" s="204" t="s">
        <v>2232</v>
      </c>
      <c r="E127" s="204" t="s">
        <v>2175</v>
      </c>
      <c r="F127" s="204">
        <v>2001</v>
      </c>
      <c r="G127" s="204"/>
      <c r="H127" s="204" t="s">
        <v>1878</v>
      </c>
      <c r="I127" s="205" t="s">
        <v>1879</v>
      </c>
      <c r="J127" s="204"/>
      <c r="K127" s="204" t="s">
        <v>1881</v>
      </c>
      <c r="L127" s="205" t="s">
        <v>8612</v>
      </c>
      <c r="M127" s="204">
        <v>544</v>
      </c>
      <c r="N127" s="204"/>
      <c r="O127" s="204" t="s">
        <v>6830</v>
      </c>
      <c r="P127" s="206">
        <v>442</v>
      </c>
      <c r="Q127" s="208">
        <v>0.85439999999999983</v>
      </c>
      <c r="R127" s="207">
        <v>2.0543999999999998</v>
      </c>
      <c r="S127" s="207">
        <v>1.64</v>
      </c>
      <c r="T127" s="67">
        <v>0.13</v>
      </c>
      <c r="U127" s="67" t="s">
        <v>9676</v>
      </c>
      <c r="V127" s="67">
        <v>0.33999999999999997</v>
      </c>
      <c r="W127" s="67">
        <v>0.25</v>
      </c>
      <c r="X127" s="70">
        <v>0.13439999999999999</v>
      </c>
      <c r="Y127" s="70"/>
      <c r="Z127" s="70">
        <v>1.64</v>
      </c>
      <c r="AA127" s="212">
        <v>2.0543999999999998</v>
      </c>
      <c r="AB127" s="212"/>
      <c r="AC127" s="213"/>
      <c r="AD127" s="213">
        <f t="shared" si="12"/>
        <v>2.3250000000000002</v>
      </c>
      <c r="AE127" s="213"/>
      <c r="AF127" s="213"/>
      <c r="AJ127" s="210"/>
    </row>
    <row r="128" spans="1:36" s="209" customFormat="1" x14ac:dyDescent="0.25">
      <c r="A128" s="204">
        <v>701</v>
      </c>
      <c r="B128" s="204" t="s">
        <v>9038</v>
      </c>
      <c r="C128" s="204" t="s">
        <v>9039</v>
      </c>
      <c r="D128" s="204" t="s">
        <v>9032</v>
      </c>
      <c r="E128" s="204"/>
      <c r="F128" s="204">
        <v>2014</v>
      </c>
      <c r="G128" s="204"/>
      <c r="H128" s="204" t="s">
        <v>1878</v>
      </c>
      <c r="I128" s="205" t="s">
        <v>1929</v>
      </c>
      <c r="J128" s="204"/>
      <c r="K128" s="204" t="s">
        <v>1881</v>
      </c>
      <c r="L128" s="205" t="s">
        <v>9040</v>
      </c>
      <c r="M128" s="204">
        <v>298</v>
      </c>
      <c r="N128" s="204"/>
      <c r="O128" s="204" t="s">
        <v>6898</v>
      </c>
      <c r="P128" s="206">
        <v>272</v>
      </c>
      <c r="Q128" s="208">
        <v>1.8472319999999998</v>
      </c>
      <c r="R128" s="207">
        <v>1.2</v>
      </c>
      <c r="S128" s="207">
        <v>2.38</v>
      </c>
      <c r="T128" s="67">
        <v>0.13</v>
      </c>
      <c r="U128" s="67" t="s">
        <v>9027</v>
      </c>
      <c r="V128" s="67">
        <v>0.33999999999999997</v>
      </c>
      <c r="W128" s="67">
        <v>0.35</v>
      </c>
      <c r="X128" s="70">
        <v>0.19039999999999999</v>
      </c>
      <c r="Y128" s="70"/>
      <c r="Z128" s="70">
        <v>2.38</v>
      </c>
      <c r="AA128" s="212">
        <v>2.9103999999999997</v>
      </c>
      <c r="AB128" s="212"/>
      <c r="AC128" s="213"/>
      <c r="AD128" s="213">
        <f t="shared" si="12"/>
        <v>2.3250000000000002</v>
      </c>
      <c r="AE128" s="213"/>
      <c r="AF128" s="213"/>
      <c r="AJ128" s="210"/>
    </row>
    <row r="129" spans="1:36" s="209" customFormat="1" x14ac:dyDescent="0.25">
      <c r="A129" s="204">
        <v>2553</v>
      </c>
      <c r="B129" s="204" t="s">
        <v>5879</v>
      </c>
      <c r="C129" s="204" t="s">
        <v>9524</v>
      </c>
      <c r="D129" s="204" t="s">
        <v>9032</v>
      </c>
      <c r="E129" s="204" t="s">
        <v>2157</v>
      </c>
      <c r="F129" s="204">
        <v>2010</v>
      </c>
      <c r="G129" s="204"/>
      <c r="H129" s="204" t="s">
        <v>1878</v>
      </c>
      <c r="I129" s="205" t="s">
        <v>1879</v>
      </c>
      <c r="J129" s="204"/>
      <c r="K129" s="204" t="s">
        <v>1881</v>
      </c>
      <c r="L129" s="205" t="s">
        <v>9525</v>
      </c>
      <c r="M129" s="204">
        <v>508</v>
      </c>
      <c r="N129" s="204"/>
      <c r="O129" s="204" t="s">
        <v>7067</v>
      </c>
      <c r="P129" s="206">
        <v>358</v>
      </c>
      <c r="Q129" s="208">
        <v>1.7103999999999997</v>
      </c>
      <c r="R129" s="207">
        <v>1.2</v>
      </c>
      <c r="S129" s="207">
        <v>1.65</v>
      </c>
      <c r="T129" s="67">
        <v>0.13</v>
      </c>
      <c r="U129" s="67">
        <v>1.9</v>
      </c>
      <c r="V129" s="67">
        <v>0.33999999999999997</v>
      </c>
      <c r="W129" s="67">
        <v>0.35</v>
      </c>
      <c r="X129" s="70">
        <v>0.19039999999999999</v>
      </c>
      <c r="Y129" s="70"/>
      <c r="Z129" s="70">
        <v>1.65</v>
      </c>
      <c r="AA129" s="212">
        <v>2.9103999999999997</v>
      </c>
      <c r="AB129" s="212"/>
      <c r="AC129" s="213"/>
      <c r="AD129" s="213">
        <f>1.71*0.93</f>
        <v>1.5903</v>
      </c>
      <c r="AE129" s="213"/>
      <c r="AF129" s="213"/>
      <c r="AJ129" s="210"/>
    </row>
    <row r="130" spans="1:36" s="209" customFormat="1" x14ac:dyDescent="0.25">
      <c r="A130" s="204">
        <v>796</v>
      </c>
      <c r="B130" s="204" t="s">
        <v>6253</v>
      </c>
      <c r="C130" s="204" t="s">
        <v>6254</v>
      </c>
      <c r="D130" s="204" t="s">
        <v>2609</v>
      </c>
      <c r="E130" s="204" t="s">
        <v>2032</v>
      </c>
      <c r="F130" s="204">
        <v>2007</v>
      </c>
      <c r="G130" s="204"/>
      <c r="H130" s="204" t="s">
        <v>1878</v>
      </c>
      <c r="I130" s="205" t="s">
        <v>1879</v>
      </c>
      <c r="J130" s="204"/>
      <c r="K130" s="204" t="s">
        <v>1881</v>
      </c>
      <c r="L130" s="205" t="s">
        <v>6255</v>
      </c>
      <c r="M130" s="204">
        <v>400</v>
      </c>
      <c r="N130" s="204"/>
      <c r="O130" s="204" t="s">
        <v>5324</v>
      </c>
      <c r="P130" s="206">
        <v>392</v>
      </c>
      <c r="Q130" s="208">
        <f>SUM(T130:X130)</f>
        <v>1.9742999999999999</v>
      </c>
      <c r="R130" s="207">
        <v>0.49</v>
      </c>
      <c r="S130" s="207"/>
      <c r="T130" s="67"/>
      <c r="U130" s="67">
        <v>1.2</v>
      </c>
      <c r="V130" s="67">
        <v>0.25</v>
      </c>
      <c r="W130" s="67">
        <f>IF(R130&gt;T130,R130,T130)</f>
        <v>0.49</v>
      </c>
      <c r="X130" s="70">
        <f>(T130+W130)/100*7</f>
        <v>3.4299999999999997E-2</v>
      </c>
      <c r="Y130" s="70"/>
      <c r="Z130" s="70"/>
      <c r="AC130" s="213"/>
      <c r="AD130" s="213">
        <f t="shared" ref="AD130:AD139" si="13">2.5*0.93</f>
        <v>2.3250000000000002</v>
      </c>
      <c r="AF130" s="213"/>
      <c r="AJ130" s="210"/>
    </row>
    <row r="131" spans="1:36" s="209" customFormat="1" x14ac:dyDescent="0.25">
      <c r="A131" s="204">
        <v>2518</v>
      </c>
      <c r="B131" s="204" t="s">
        <v>6434</v>
      </c>
      <c r="C131" s="204" t="s">
        <v>6435</v>
      </c>
      <c r="D131" s="204" t="s">
        <v>1876</v>
      </c>
      <c r="E131" s="204" t="s">
        <v>4472</v>
      </c>
      <c r="F131" s="204">
        <v>2009</v>
      </c>
      <c r="G131" s="204"/>
      <c r="H131" s="204" t="s">
        <v>1878</v>
      </c>
      <c r="I131" s="205" t="s">
        <v>1879</v>
      </c>
      <c r="J131" s="204"/>
      <c r="K131" s="204" t="s">
        <v>1881</v>
      </c>
      <c r="L131" s="205" t="s">
        <v>6436</v>
      </c>
      <c r="M131" s="204">
        <v>320</v>
      </c>
      <c r="N131" s="204"/>
      <c r="O131" s="204" t="s">
        <v>5383</v>
      </c>
      <c r="P131" s="206">
        <v>270</v>
      </c>
      <c r="Q131" s="208">
        <f>SUM(T131:X131)</f>
        <v>0.51749999999999996</v>
      </c>
      <c r="R131" s="207">
        <v>0.25</v>
      </c>
      <c r="S131" s="207"/>
      <c r="T131" s="67"/>
      <c r="U131" s="67"/>
      <c r="V131" s="67">
        <v>0.25</v>
      </c>
      <c r="W131" s="67">
        <f>IF(R131&gt;T131,R131,T131)</f>
        <v>0.25</v>
      </c>
      <c r="X131" s="70">
        <f>(T131+W131)/100*7</f>
        <v>1.7500000000000002E-2</v>
      </c>
      <c r="Y131" s="70"/>
      <c r="Z131" s="70"/>
      <c r="AA131" s="212"/>
      <c r="AB131" s="212"/>
      <c r="AC131" s="213"/>
      <c r="AD131" s="213">
        <f t="shared" si="13"/>
        <v>2.3250000000000002</v>
      </c>
      <c r="AF131" s="213"/>
      <c r="AJ131" s="210"/>
    </row>
    <row r="132" spans="1:36" s="209" customFormat="1" x14ac:dyDescent="0.25">
      <c r="A132" s="204"/>
      <c r="B132" s="204"/>
      <c r="C132" s="204"/>
      <c r="D132" s="204"/>
      <c r="E132" s="204"/>
      <c r="F132" s="204"/>
      <c r="G132" s="204"/>
      <c r="H132" s="204"/>
      <c r="I132" s="205"/>
      <c r="J132" s="204"/>
      <c r="K132" s="204"/>
      <c r="L132" s="205"/>
      <c r="M132" s="204"/>
      <c r="N132" s="204"/>
      <c r="O132" s="204" t="s">
        <v>2129</v>
      </c>
      <c r="P132" s="206"/>
      <c r="Q132" s="208"/>
      <c r="R132" s="207"/>
      <c r="S132" s="207"/>
      <c r="T132" s="67"/>
      <c r="U132" s="67"/>
      <c r="V132" s="67"/>
      <c r="W132" s="67"/>
      <c r="X132" s="70"/>
      <c r="Y132" s="70"/>
      <c r="Z132" s="70"/>
      <c r="AA132" s="212"/>
      <c r="AB132" s="212"/>
      <c r="AC132" s="213"/>
      <c r="AD132" s="213">
        <f t="shared" si="13"/>
        <v>2.3250000000000002</v>
      </c>
      <c r="AE132" s="213"/>
      <c r="AF132" s="213"/>
      <c r="AJ132" s="210"/>
    </row>
    <row r="133" spans="1:36" s="209" customFormat="1" x14ac:dyDescent="0.25">
      <c r="A133" s="204">
        <v>2514</v>
      </c>
      <c r="B133" s="204" t="s">
        <v>7230</v>
      </c>
      <c r="C133" s="204" t="s">
        <v>7231</v>
      </c>
      <c r="D133" s="204" t="s">
        <v>2402</v>
      </c>
      <c r="E133" s="204"/>
      <c r="F133" s="204">
        <v>1992</v>
      </c>
      <c r="G133" s="204"/>
      <c r="H133" s="204" t="s">
        <v>2734</v>
      </c>
      <c r="I133" s="205" t="s">
        <v>1879</v>
      </c>
      <c r="J133" s="204"/>
      <c r="K133" s="204" t="s">
        <v>1881</v>
      </c>
      <c r="L133" s="205" t="s">
        <v>7232</v>
      </c>
      <c r="M133" s="204">
        <v>126</v>
      </c>
      <c r="N133" s="204"/>
      <c r="O133" s="204" t="s">
        <v>5473</v>
      </c>
      <c r="P133" s="206">
        <v>188</v>
      </c>
      <c r="Q133" s="208">
        <f>SUM(U133:X133)</f>
        <v>1.0106999999999999</v>
      </c>
      <c r="R133" s="207">
        <v>0.69</v>
      </c>
      <c r="S133" s="207"/>
      <c r="T133" s="67">
        <v>0.32</v>
      </c>
      <c r="U133" s="67"/>
      <c r="V133" s="67">
        <v>0.25</v>
      </c>
      <c r="W133" s="67">
        <f>IF(R133&gt;T133,R133,T133)</f>
        <v>0.69</v>
      </c>
      <c r="X133" s="70">
        <f>(T133+W133)/100*7</f>
        <v>7.0699999999999999E-2</v>
      </c>
      <c r="Y133" s="70"/>
      <c r="Z133" s="70"/>
      <c r="AA133" s="212"/>
      <c r="AB133" s="212"/>
      <c r="AC133" s="213"/>
      <c r="AD133" s="213">
        <f t="shared" si="13"/>
        <v>2.3250000000000002</v>
      </c>
      <c r="AE133" s="213"/>
      <c r="AF133" s="213"/>
      <c r="AJ133" s="210"/>
    </row>
    <row r="134" spans="1:36" s="209" customFormat="1" x14ac:dyDescent="0.25">
      <c r="A134" s="204">
        <v>1365</v>
      </c>
      <c r="B134" s="204" t="s">
        <v>8551</v>
      </c>
      <c r="C134" s="204" t="s">
        <v>8552</v>
      </c>
      <c r="D134" s="204" t="s">
        <v>2609</v>
      </c>
      <c r="E134" s="204" t="s">
        <v>1877</v>
      </c>
      <c r="F134" s="204">
        <v>2013</v>
      </c>
      <c r="G134" s="204"/>
      <c r="H134" s="204" t="s">
        <v>1878</v>
      </c>
      <c r="I134" s="205" t="s">
        <v>1879</v>
      </c>
      <c r="J134" s="204"/>
      <c r="K134" s="204" t="s">
        <v>1881</v>
      </c>
      <c r="L134" s="205" t="s">
        <v>8553</v>
      </c>
      <c r="M134" s="204">
        <v>384</v>
      </c>
      <c r="N134" s="204"/>
      <c r="O134" s="204" t="s">
        <v>6809</v>
      </c>
      <c r="P134" s="206">
        <v>387</v>
      </c>
      <c r="Q134" s="208">
        <f>R134-U134</f>
        <v>0.85439999999999983</v>
      </c>
      <c r="R134" s="208">
        <f>IF(Z134&gt;AA134,Z134,AA134)</f>
        <v>2.0543999999999998</v>
      </c>
      <c r="S134" s="207">
        <v>1.8</v>
      </c>
      <c r="T134" s="67">
        <v>0.13</v>
      </c>
      <c r="U134" s="67" t="str">
        <f>IF(P134&lt;501,"1,20","1,70")</f>
        <v>1,20</v>
      </c>
      <c r="V134" s="67">
        <f>0.08+0.09+0.17</f>
        <v>0.33999999999999997</v>
      </c>
      <c r="W134" s="67">
        <v>0.25</v>
      </c>
      <c r="X134" s="70">
        <f>(T134+U134+V134+W134)/100*7</f>
        <v>0.13439999999999999</v>
      </c>
      <c r="Y134" s="70"/>
      <c r="Z134" s="70">
        <f>S134</f>
        <v>1.8</v>
      </c>
      <c r="AA134" s="70">
        <f>T134+U134+V134+W134+X134</f>
        <v>2.0543999999999998</v>
      </c>
      <c r="AB134" s="70"/>
      <c r="AC134" s="213"/>
      <c r="AD134" s="213">
        <f t="shared" si="13"/>
        <v>2.3250000000000002</v>
      </c>
      <c r="AE134" s="213"/>
      <c r="AF134" s="213"/>
      <c r="AJ134" s="210"/>
    </row>
    <row r="135" spans="1:36" s="209" customFormat="1" x14ac:dyDescent="0.25">
      <c r="A135" s="204">
        <v>1875</v>
      </c>
      <c r="B135" s="204" t="s">
        <v>2187</v>
      </c>
      <c r="C135" s="204" t="s">
        <v>4486</v>
      </c>
      <c r="D135" s="204" t="s">
        <v>2050</v>
      </c>
      <c r="E135" s="204"/>
      <c r="F135" s="204">
        <v>2010</v>
      </c>
      <c r="G135" s="204"/>
      <c r="H135" s="204" t="s">
        <v>2734</v>
      </c>
      <c r="I135" s="205" t="s">
        <v>1879</v>
      </c>
      <c r="J135" s="204"/>
      <c r="K135" s="204" t="s">
        <v>1881</v>
      </c>
      <c r="L135" s="205" t="s">
        <v>2190</v>
      </c>
      <c r="M135" s="204">
        <v>146</v>
      </c>
      <c r="N135" s="204"/>
      <c r="O135" s="204" t="s">
        <v>4409</v>
      </c>
      <c r="P135" s="206">
        <v>207</v>
      </c>
      <c r="Q135" s="208">
        <f>SUM(T135:X135)</f>
        <v>1.8673</v>
      </c>
      <c r="R135" s="207">
        <v>0.39</v>
      </c>
      <c r="S135" s="207"/>
      <c r="T135" s="67"/>
      <c r="U135" s="67">
        <v>1.2</v>
      </c>
      <c r="V135" s="67">
        <v>0.25</v>
      </c>
      <c r="W135" s="67">
        <f>IF(R135&gt;T135,R135,T135)</f>
        <v>0.39</v>
      </c>
      <c r="X135" s="70">
        <f>(T135+W135)/100*7</f>
        <v>2.7300000000000001E-2</v>
      </c>
      <c r="Y135" s="70"/>
      <c r="Z135" s="70"/>
      <c r="AA135" s="212"/>
      <c r="AB135" s="212"/>
      <c r="AC135" s="213"/>
      <c r="AD135" s="213">
        <f t="shared" si="13"/>
        <v>2.3250000000000002</v>
      </c>
      <c r="AE135" s="213"/>
      <c r="AF135" s="213"/>
      <c r="AJ135" s="210"/>
    </row>
    <row r="136" spans="1:36" s="209" customFormat="1" x14ac:dyDescent="0.25">
      <c r="A136" s="204"/>
      <c r="B136" s="204"/>
      <c r="C136" s="204"/>
      <c r="D136" s="204"/>
      <c r="E136" s="204"/>
      <c r="F136" s="204"/>
      <c r="G136" s="204"/>
      <c r="H136" s="204"/>
      <c r="I136" s="205"/>
      <c r="J136" s="204"/>
      <c r="K136" s="204"/>
      <c r="L136" s="205"/>
      <c r="M136" s="204"/>
      <c r="N136" s="204"/>
      <c r="O136" s="204" t="s">
        <v>9683</v>
      </c>
      <c r="P136" s="206"/>
      <c r="Q136" s="208"/>
      <c r="R136" s="207"/>
      <c r="S136" s="207"/>
      <c r="T136" s="67"/>
      <c r="U136" s="67"/>
      <c r="V136" s="67"/>
      <c r="W136" s="67"/>
      <c r="X136" s="70"/>
      <c r="Y136" s="70"/>
      <c r="Z136" s="70"/>
      <c r="AA136" s="212"/>
      <c r="AB136" s="212"/>
      <c r="AC136" s="213"/>
      <c r="AD136" s="213">
        <f t="shared" si="13"/>
        <v>2.3250000000000002</v>
      </c>
      <c r="AE136" s="213"/>
      <c r="AF136" s="213"/>
      <c r="AJ136" s="210"/>
    </row>
    <row r="137" spans="1:36" s="209" customFormat="1" x14ac:dyDescent="0.25">
      <c r="A137" s="204">
        <v>2518</v>
      </c>
      <c r="B137" s="204" t="s">
        <v>6434</v>
      </c>
      <c r="C137" s="204" t="s">
        <v>7642</v>
      </c>
      <c r="D137" s="204" t="s">
        <v>1876</v>
      </c>
      <c r="E137" s="204"/>
      <c r="F137" s="204">
        <v>2012</v>
      </c>
      <c r="G137" s="204"/>
      <c r="H137" s="204" t="s">
        <v>1878</v>
      </c>
      <c r="I137" s="205" t="s">
        <v>1879</v>
      </c>
      <c r="J137" s="204"/>
      <c r="K137" s="204" t="s">
        <v>1881</v>
      </c>
      <c r="L137" s="205" t="s">
        <v>7643</v>
      </c>
      <c r="M137" s="204">
        <v>432</v>
      </c>
      <c r="N137" s="204"/>
      <c r="O137" s="204" t="s">
        <v>5616</v>
      </c>
      <c r="P137" s="206">
        <v>360</v>
      </c>
      <c r="Q137" s="208">
        <f>SUM(U137:X137)</f>
        <v>1.3338000000000001</v>
      </c>
      <c r="R137" s="207">
        <v>0.99</v>
      </c>
      <c r="S137" s="207"/>
      <c r="T137" s="67">
        <v>0.35</v>
      </c>
      <c r="U137" s="67"/>
      <c r="V137" s="67">
        <v>0.25</v>
      </c>
      <c r="W137" s="67">
        <f>IF(R137&gt;T137,R137,T137)</f>
        <v>0.99</v>
      </c>
      <c r="X137" s="70">
        <f>(T137+W137)/100*7</f>
        <v>9.3799999999999994E-2</v>
      </c>
      <c r="Y137" s="70"/>
      <c r="Z137" s="70"/>
      <c r="AA137" s="212"/>
      <c r="AB137" s="212"/>
      <c r="AC137" s="213"/>
      <c r="AD137" s="213">
        <f t="shared" si="13"/>
        <v>2.3250000000000002</v>
      </c>
      <c r="AE137" s="213"/>
      <c r="AF137" s="213"/>
      <c r="AJ137" s="210"/>
    </row>
    <row r="138" spans="1:36" s="209" customFormat="1" x14ac:dyDescent="0.25">
      <c r="A138" s="204">
        <v>2522</v>
      </c>
      <c r="B138" s="204" t="s">
        <v>2191</v>
      </c>
      <c r="C138" s="204" t="s">
        <v>3768</v>
      </c>
      <c r="D138" s="204" t="s">
        <v>1912</v>
      </c>
      <c r="E138" s="204" t="s">
        <v>1913</v>
      </c>
      <c r="F138" s="204">
        <v>2013</v>
      </c>
      <c r="G138" s="204"/>
      <c r="H138" s="204" t="s">
        <v>1878</v>
      </c>
      <c r="I138" s="205" t="s">
        <v>1879</v>
      </c>
      <c r="J138" s="204" t="s">
        <v>3303</v>
      </c>
      <c r="K138" s="204" t="s">
        <v>1881</v>
      </c>
      <c r="L138" s="205" t="s">
        <v>3769</v>
      </c>
      <c r="M138" s="204">
        <v>384</v>
      </c>
      <c r="N138" s="204"/>
      <c r="O138" s="204" t="s">
        <v>3581</v>
      </c>
      <c r="P138" s="206">
        <v>331</v>
      </c>
      <c r="Q138" s="208">
        <f>SUM(T138:X138)</f>
        <v>1.7175</v>
      </c>
      <c r="R138" s="207">
        <v>0.25</v>
      </c>
      <c r="S138" s="207"/>
      <c r="T138" s="67"/>
      <c r="U138" s="67">
        <v>1.2</v>
      </c>
      <c r="V138" s="67">
        <v>0.25</v>
      </c>
      <c r="W138" s="67">
        <f>IF(R138&gt;T138,R138,T138)</f>
        <v>0.25</v>
      </c>
      <c r="X138" s="70">
        <f>(T138+W138)/100*7</f>
        <v>1.7500000000000002E-2</v>
      </c>
      <c r="Y138" s="70"/>
      <c r="Z138" s="70"/>
      <c r="AA138" s="212"/>
      <c r="AB138" s="212"/>
      <c r="AC138" s="213"/>
      <c r="AD138" s="213">
        <f t="shared" si="13"/>
        <v>2.3250000000000002</v>
      </c>
      <c r="AE138" s="213"/>
      <c r="AF138" s="213"/>
      <c r="AJ138" s="210"/>
    </row>
    <row r="139" spans="1:36" s="209" customFormat="1" x14ac:dyDescent="0.25">
      <c r="A139" s="204">
        <v>634</v>
      </c>
      <c r="B139" s="204" t="s">
        <v>7849</v>
      </c>
      <c r="C139" s="204" t="s">
        <v>7850</v>
      </c>
      <c r="D139" s="204" t="s">
        <v>2209</v>
      </c>
      <c r="E139" s="204" t="s">
        <v>1899</v>
      </c>
      <c r="F139" s="204">
        <v>1999</v>
      </c>
      <c r="G139" s="204"/>
      <c r="H139" s="204" t="s">
        <v>1878</v>
      </c>
      <c r="I139" s="205" t="s">
        <v>1914</v>
      </c>
      <c r="J139" s="204"/>
      <c r="K139" s="204" t="s">
        <v>1881</v>
      </c>
      <c r="L139" s="205" t="s">
        <v>7851</v>
      </c>
      <c r="M139" s="204">
        <v>416</v>
      </c>
      <c r="N139" s="204"/>
      <c r="O139" s="204" t="s">
        <v>5694</v>
      </c>
      <c r="P139" s="206">
        <v>279</v>
      </c>
      <c r="Q139" s="208">
        <f>SUM(U139:X139)</f>
        <v>1.3338000000000001</v>
      </c>
      <c r="R139" s="207">
        <v>0.99</v>
      </c>
      <c r="S139" s="207"/>
      <c r="T139" s="67">
        <v>0.35</v>
      </c>
      <c r="U139" s="67"/>
      <c r="V139" s="67">
        <v>0.25</v>
      </c>
      <c r="W139" s="67">
        <f>IF(R139&gt;T139,R139,T139)</f>
        <v>0.99</v>
      </c>
      <c r="X139" s="70">
        <f>(T139+W139)/100*7</f>
        <v>9.3799999999999994E-2</v>
      </c>
      <c r="Y139" s="70"/>
      <c r="Z139" s="70"/>
      <c r="AA139" s="212"/>
      <c r="AB139" s="212"/>
      <c r="AC139" s="213"/>
      <c r="AD139" s="213">
        <f t="shared" si="13"/>
        <v>2.3250000000000002</v>
      </c>
      <c r="AE139" s="213"/>
      <c r="AF139" s="213"/>
      <c r="AJ139" s="210"/>
    </row>
    <row r="140" spans="1:36" s="209" customFormat="1" x14ac:dyDescent="0.25">
      <c r="A140" s="204"/>
      <c r="B140" s="204"/>
      <c r="C140" s="204"/>
      <c r="D140" s="204"/>
      <c r="E140" s="204"/>
      <c r="F140" s="204"/>
      <c r="G140" s="204"/>
      <c r="H140" s="204"/>
      <c r="I140" s="205"/>
      <c r="J140" s="204"/>
      <c r="K140" s="204"/>
      <c r="L140" s="205"/>
      <c r="M140" s="204"/>
      <c r="N140" s="204"/>
      <c r="O140" s="204"/>
      <c r="P140" s="206"/>
      <c r="Q140" s="208"/>
      <c r="R140" s="207"/>
      <c r="S140" s="207"/>
      <c r="T140" s="67"/>
      <c r="U140" s="67"/>
      <c r="V140" s="67"/>
      <c r="W140" s="67"/>
      <c r="X140" s="70"/>
      <c r="Y140" s="70"/>
      <c r="Z140" s="70"/>
      <c r="AA140" s="212"/>
      <c r="AB140" s="212"/>
      <c r="AC140" s="213"/>
      <c r="AD140" s="213"/>
      <c r="AE140" s="213"/>
      <c r="AF140" s="213"/>
      <c r="AJ140" s="210"/>
    </row>
    <row r="141" spans="1:36" s="209" customFormat="1" x14ac:dyDescent="0.25">
      <c r="A141" s="204"/>
      <c r="B141" s="204"/>
      <c r="C141" s="204"/>
      <c r="D141" s="204"/>
      <c r="E141" s="204"/>
      <c r="F141" s="204"/>
      <c r="G141" s="204"/>
      <c r="H141" s="204"/>
      <c r="I141" s="205"/>
      <c r="J141" s="204"/>
      <c r="K141" s="204"/>
      <c r="L141" s="205"/>
      <c r="M141" s="204"/>
      <c r="N141" s="204"/>
      <c r="O141" s="204"/>
      <c r="P141" s="206"/>
      <c r="Q141" s="208"/>
      <c r="R141" s="207"/>
      <c r="S141" s="207"/>
      <c r="T141" s="67"/>
      <c r="U141" s="67"/>
      <c r="V141" s="67"/>
      <c r="W141" s="67"/>
      <c r="X141" s="70"/>
      <c r="Y141" s="70"/>
      <c r="Z141" s="70"/>
      <c r="AA141" s="212"/>
      <c r="AB141" s="212"/>
      <c r="AC141" s="213"/>
      <c r="AD141" s="213"/>
      <c r="AE141" s="213"/>
      <c r="AF141" s="213"/>
      <c r="AJ141" s="210"/>
    </row>
    <row r="142" spans="1:36" s="209" customFormat="1" x14ac:dyDescent="0.25">
      <c r="A142" s="204"/>
      <c r="B142" s="204"/>
      <c r="C142" s="204"/>
      <c r="D142" s="204"/>
      <c r="E142" s="204"/>
      <c r="F142" s="204"/>
      <c r="G142" s="204"/>
      <c r="H142" s="204"/>
      <c r="I142" s="205"/>
      <c r="J142" s="204"/>
      <c r="K142" s="204"/>
      <c r="L142" s="205"/>
      <c r="M142" s="204"/>
      <c r="N142" s="204"/>
      <c r="O142" s="204"/>
      <c r="P142" s="206"/>
      <c r="Q142" s="208"/>
      <c r="R142" s="207"/>
      <c r="S142" s="207"/>
      <c r="T142" s="67"/>
      <c r="U142" s="67"/>
      <c r="V142" s="67"/>
      <c r="W142" s="67"/>
      <c r="X142" s="70"/>
      <c r="Y142" s="70"/>
      <c r="Z142" s="70"/>
      <c r="AA142" s="212"/>
      <c r="AB142" s="212"/>
      <c r="AC142" s="213"/>
      <c r="AD142" s="213"/>
      <c r="AE142" s="213"/>
      <c r="AF142" s="213"/>
      <c r="AJ142" s="210"/>
    </row>
    <row r="143" spans="1:36" s="209" customFormat="1" x14ac:dyDescent="0.25">
      <c r="A143" s="204"/>
      <c r="B143" s="204"/>
      <c r="C143" s="204"/>
      <c r="D143" s="204"/>
      <c r="E143" s="204"/>
      <c r="F143" s="204"/>
      <c r="G143" s="204"/>
      <c r="H143" s="204"/>
      <c r="I143" s="205"/>
      <c r="J143" s="204"/>
      <c r="K143" s="204"/>
      <c r="L143" s="205"/>
      <c r="M143" s="204"/>
      <c r="N143" s="204"/>
      <c r="O143" s="204"/>
      <c r="P143" s="206"/>
      <c r="Q143" s="208"/>
      <c r="R143" s="207"/>
      <c r="S143" s="207"/>
      <c r="T143" s="67"/>
      <c r="U143" s="67"/>
      <c r="V143" s="67"/>
      <c r="W143" s="67"/>
      <c r="X143" s="70"/>
      <c r="Y143" s="70"/>
      <c r="Z143" s="70"/>
      <c r="AA143" s="212"/>
      <c r="AB143" s="212"/>
      <c r="AC143" s="213"/>
      <c r="AD143" s="213"/>
      <c r="AE143" s="213"/>
      <c r="AF143" s="213"/>
      <c r="AJ143" s="210"/>
    </row>
    <row r="144" spans="1:36" s="209" customFormat="1" x14ac:dyDescent="0.25">
      <c r="A144" s="204"/>
      <c r="B144" s="204"/>
      <c r="C144" s="204"/>
      <c r="D144" s="204"/>
      <c r="E144" s="204"/>
      <c r="F144" s="204"/>
      <c r="G144" s="204"/>
      <c r="H144" s="204"/>
      <c r="I144" s="205"/>
      <c r="J144" s="204"/>
      <c r="K144" s="204"/>
      <c r="L144" s="205"/>
      <c r="M144" s="204"/>
      <c r="N144" s="204"/>
      <c r="O144" s="204"/>
      <c r="P144" s="206"/>
      <c r="Q144" s="208"/>
      <c r="R144" s="207"/>
      <c r="S144" s="207"/>
      <c r="T144" s="67"/>
      <c r="U144" s="67"/>
      <c r="V144" s="67"/>
      <c r="W144" s="67"/>
      <c r="X144" s="70"/>
      <c r="Y144" s="70"/>
      <c r="Z144" s="70"/>
      <c r="AA144" s="212"/>
      <c r="AB144" s="212"/>
      <c r="AC144" s="213"/>
      <c r="AD144" s="213"/>
      <c r="AE144" s="213"/>
      <c r="AF144" s="213"/>
      <c r="AJ144" s="210"/>
    </row>
    <row r="145" spans="1:36" s="209" customFormat="1" x14ac:dyDescent="0.25">
      <c r="A145" s="204"/>
      <c r="B145" s="204"/>
      <c r="C145" s="204"/>
      <c r="D145" s="204"/>
      <c r="E145" s="204"/>
      <c r="F145" s="204"/>
      <c r="G145" s="204"/>
      <c r="H145" s="204"/>
      <c r="I145" s="205"/>
      <c r="J145" s="204"/>
      <c r="K145" s="204"/>
      <c r="L145" s="205"/>
      <c r="M145" s="204"/>
      <c r="N145" s="204"/>
      <c r="O145" s="204"/>
      <c r="P145" s="206"/>
      <c r="Q145" s="208"/>
      <c r="R145" s="207"/>
      <c r="S145" s="207"/>
      <c r="T145" s="67"/>
      <c r="U145" s="67"/>
      <c r="V145" s="67"/>
      <c r="W145" s="67"/>
      <c r="X145" s="70"/>
      <c r="Y145" s="70"/>
      <c r="Z145" s="70"/>
      <c r="AA145" s="212"/>
      <c r="AB145" s="212"/>
      <c r="AC145" s="213"/>
      <c r="AD145" s="213"/>
      <c r="AE145" s="213"/>
      <c r="AF145" s="213"/>
      <c r="AJ145" s="210"/>
    </row>
    <row r="146" spans="1:36" s="209" customFormat="1" x14ac:dyDescent="0.25">
      <c r="A146" s="204"/>
      <c r="B146" s="204"/>
      <c r="C146" s="204"/>
      <c r="D146" s="204"/>
      <c r="E146" s="204"/>
      <c r="F146" s="204"/>
      <c r="G146" s="204"/>
      <c r="H146" s="204"/>
      <c r="I146" s="205"/>
      <c r="J146" s="204"/>
      <c r="K146" s="204"/>
      <c r="L146" s="205"/>
      <c r="M146" s="204"/>
      <c r="N146" s="204"/>
      <c r="O146" s="204"/>
      <c r="P146" s="206"/>
      <c r="Q146" s="208"/>
      <c r="R146" s="207"/>
      <c r="S146" s="207"/>
      <c r="T146" s="67"/>
      <c r="U146" s="67"/>
      <c r="V146" s="67"/>
      <c r="W146" s="67"/>
      <c r="X146" s="70"/>
      <c r="Y146" s="70"/>
      <c r="Z146" s="70"/>
      <c r="AA146" s="212"/>
      <c r="AB146" s="212"/>
      <c r="AC146" s="213"/>
      <c r="AD146" s="213"/>
      <c r="AE146" s="213"/>
      <c r="AF146" s="213"/>
      <c r="AJ146" s="210"/>
    </row>
    <row r="147" spans="1:36" s="209" customFormat="1" x14ac:dyDescent="0.25">
      <c r="A147" s="204"/>
      <c r="B147" s="204"/>
      <c r="C147" s="204"/>
      <c r="D147" s="204"/>
      <c r="E147" s="204"/>
      <c r="F147" s="204"/>
      <c r="G147" s="204"/>
      <c r="H147" s="204"/>
      <c r="I147" s="205"/>
      <c r="J147" s="204"/>
      <c r="K147" s="204"/>
      <c r="L147" s="205"/>
      <c r="M147" s="204"/>
      <c r="N147" s="204"/>
      <c r="O147" s="204"/>
      <c r="P147" s="206"/>
      <c r="Q147" s="208"/>
      <c r="R147" s="207"/>
      <c r="S147" s="207"/>
      <c r="T147" s="67"/>
      <c r="U147" s="67"/>
      <c r="V147" s="67"/>
      <c r="W147" s="67"/>
      <c r="X147" s="70"/>
      <c r="Y147" s="70"/>
      <c r="Z147" s="70"/>
      <c r="AA147" s="212"/>
      <c r="AB147" s="212"/>
      <c r="AC147" s="213"/>
      <c r="AD147" s="213"/>
      <c r="AE147" s="213"/>
      <c r="AF147" s="213"/>
      <c r="AJ147" s="210"/>
    </row>
    <row r="148" spans="1:36" s="209" customFormat="1" x14ac:dyDescent="0.25">
      <c r="A148" s="204"/>
      <c r="B148" s="204"/>
      <c r="C148" s="204"/>
      <c r="D148" s="204"/>
      <c r="E148" s="204"/>
      <c r="F148" s="204"/>
      <c r="G148" s="204"/>
      <c r="H148" s="204"/>
      <c r="I148" s="205"/>
      <c r="J148" s="204"/>
      <c r="K148" s="204"/>
      <c r="L148" s="205"/>
      <c r="M148" s="204"/>
      <c r="N148" s="204"/>
      <c r="O148" s="204"/>
      <c r="P148" s="206"/>
      <c r="Q148" s="208"/>
      <c r="R148" s="207"/>
      <c r="S148" s="207"/>
      <c r="T148" s="67"/>
      <c r="U148" s="67"/>
      <c r="V148" s="67"/>
      <c r="W148" s="67"/>
      <c r="X148" s="70"/>
      <c r="Y148" s="70"/>
      <c r="Z148" s="70"/>
      <c r="AA148" s="212"/>
      <c r="AB148" s="212"/>
      <c r="AC148" s="213"/>
      <c r="AD148" s="213"/>
      <c r="AE148" s="213"/>
      <c r="AF148" s="213"/>
      <c r="AJ148" s="210"/>
    </row>
    <row r="149" spans="1:36" s="209" customFormat="1" x14ac:dyDescent="0.25">
      <c r="A149" s="204"/>
      <c r="B149" s="204"/>
      <c r="C149" s="204"/>
      <c r="D149" s="204"/>
      <c r="E149" s="204"/>
      <c r="F149" s="204"/>
      <c r="G149" s="204"/>
      <c r="H149" s="204"/>
      <c r="I149" s="205"/>
      <c r="J149" s="204"/>
      <c r="K149" s="204"/>
      <c r="L149" s="205"/>
      <c r="M149" s="204"/>
      <c r="N149" s="204"/>
      <c r="O149" s="204"/>
      <c r="P149" s="206"/>
      <c r="Q149" s="208"/>
      <c r="R149" s="207"/>
      <c r="S149" s="207"/>
      <c r="T149" s="67"/>
      <c r="U149" s="67"/>
      <c r="V149" s="67"/>
      <c r="W149" s="67"/>
      <c r="X149" s="70"/>
      <c r="Y149" s="70"/>
      <c r="Z149" s="70"/>
      <c r="AA149" s="212"/>
      <c r="AB149" s="212"/>
      <c r="AC149" s="213"/>
      <c r="AD149" s="213"/>
      <c r="AE149" s="213"/>
      <c r="AF149" s="213"/>
      <c r="AJ149" s="210"/>
    </row>
    <row r="150" spans="1:36" s="209" customFormat="1" x14ac:dyDescent="0.25">
      <c r="A150" s="204"/>
      <c r="B150" s="204"/>
      <c r="C150" s="204"/>
      <c r="D150" s="204"/>
      <c r="E150" s="204"/>
      <c r="F150" s="204"/>
      <c r="G150" s="204"/>
      <c r="H150" s="204"/>
      <c r="I150" s="205"/>
      <c r="J150" s="204"/>
      <c r="K150" s="204"/>
      <c r="L150" s="205"/>
      <c r="M150" s="204"/>
      <c r="N150" s="204"/>
      <c r="O150" s="204"/>
      <c r="P150" s="206"/>
      <c r="Q150" s="208"/>
      <c r="R150" s="207"/>
      <c r="S150" s="207"/>
      <c r="T150" s="67"/>
      <c r="U150" s="67"/>
      <c r="V150" s="67"/>
      <c r="W150" s="67"/>
      <c r="X150" s="70"/>
      <c r="Y150" s="70"/>
      <c r="Z150" s="70"/>
      <c r="AA150" s="212"/>
      <c r="AB150" s="212"/>
      <c r="AC150" s="213"/>
      <c r="AD150" s="213"/>
      <c r="AE150" s="213"/>
      <c r="AF150" s="213"/>
      <c r="AJ150" s="210"/>
    </row>
    <row r="151" spans="1:36" s="209" customFormat="1" x14ac:dyDescent="0.25">
      <c r="A151" s="204"/>
      <c r="B151" s="204"/>
      <c r="C151" s="204"/>
      <c r="D151" s="204"/>
      <c r="E151" s="204"/>
      <c r="F151" s="204"/>
      <c r="G151" s="204"/>
      <c r="H151" s="204"/>
      <c r="I151" s="205"/>
      <c r="J151" s="204"/>
      <c r="K151" s="204"/>
      <c r="L151" s="205"/>
      <c r="M151" s="204"/>
      <c r="N151" s="204"/>
      <c r="O151" s="204"/>
      <c r="P151" s="206"/>
      <c r="Q151" s="208"/>
      <c r="R151" s="207"/>
      <c r="S151" s="207"/>
      <c r="T151" s="67"/>
      <c r="U151" s="67"/>
      <c r="V151" s="67"/>
      <c r="W151" s="67"/>
      <c r="X151" s="70"/>
      <c r="Y151" s="70"/>
      <c r="Z151" s="70"/>
      <c r="AA151" s="212"/>
      <c r="AB151" s="212"/>
      <c r="AC151" s="213"/>
      <c r="AD151" s="213"/>
      <c r="AE151" s="213"/>
      <c r="AF151" s="213"/>
      <c r="AJ151" s="210"/>
    </row>
    <row r="152" spans="1:36" s="209" customFormat="1" x14ac:dyDescent="0.25">
      <c r="A152" s="204"/>
      <c r="B152" s="204"/>
      <c r="C152" s="204"/>
      <c r="D152" s="204"/>
      <c r="E152" s="204"/>
      <c r="F152" s="204"/>
      <c r="G152" s="204"/>
      <c r="H152" s="204"/>
      <c r="I152" s="205"/>
      <c r="J152" s="204"/>
      <c r="K152" s="204"/>
      <c r="L152" s="205"/>
      <c r="M152" s="204"/>
      <c r="N152" s="204"/>
      <c r="O152" s="204"/>
      <c r="P152" s="206"/>
      <c r="Q152" s="208"/>
      <c r="R152" s="207"/>
      <c r="S152" s="207"/>
      <c r="T152" s="67"/>
      <c r="U152" s="67"/>
      <c r="V152" s="67"/>
      <c r="W152" s="67"/>
      <c r="X152" s="70"/>
      <c r="Y152" s="70"/>
      <c r="Z152" s="70"/>
      <c r="AA152" s="212"/>
      <c r="AB152" s="212"/>
      <c r="AC152" s="213"/>
      <c r="AD152" s="213"/>
      <c r="AE152" s="213"/>
      <c r="AF152" s="213"/>
      <c r="AJ152" s="210"/>
    </row>
    <row r="153" spans="1:36" s="209" customFormat="1" x14ac:dyDescent="0.25">
      <c r="A153" s="204"/>
      <c r="B153" s="204"/>
      <c r="C153" s="204"/>
      <c r="D153" s="204"/>
      <c r="E153" s="204"/>
      <c r="F153" s="204"/>
      <c r="G153" s="204"/>
      <c r="H153" s="204"/>
      <c r="I153" s="205"/>
      <c r="J153" s="204"/>
      <c r="K153" s="204"/>
      <c r="L153" s="205"/>
      <c r="M153" s="204"/>
      <c r="N153" s="204"/>
      <c r="O153" s="204"/>
      <c r="P153" s="206"/>
      <c r="Q153" s="208"/>
      <c r="R153" s="207"/>
      <c r="S153" s="207"/>
      <c r="T153" s="67"/>
      <c r="U153" s="67"/>
      <c r="V153" s="67"/>
      <c r="W153" s="67"/>
      <c r="X153" s="70"/>
      <c r="Y153" s="70"/>
      <c r="Z153" s="70"/>
      <c r="AA153" s="212"/>
      <c r="AB153" s="212"/>
      <c r="AC153" s="213"/>
      <c r="AD153" s="213"/>
      <c r="AE153" s="213"/>
      <c r="AF153" s="213"/>
      <c r="AJ153" s="210"/>
    </row>
    <row r="154" spans="1:36" s="209" customFormat="1" x14ac:dyDescent="0.25">
      <c r="A154" s="204"/>
      <c r="B154" s="204"/>
      <c r="C154" s="204"/>
      <c r="D154" s="204"/>
      <c r="E154" s="204"/>
      <c r="F154" s="204"/>
      <c r="G154" s="204"/>
      <c r="H154" s="204"/>
      <c r="I154" s="205"/>
      <c r="J154" s="204"/>
      <c r="K154" s="204"/>
      <c r="L154" s="205"/>
      <c r="M154" s="204"/>
      <c r="N154" s="204"/>
      <c r="O154" s="204"/>
      <c r="P154" s="206"/>
      <c r="Q154" s="208"/>
      <c r="R154" s="207"/>
      <c r="S154" s="207"/>
      <c r="T154" s="67"/>
      <c r="U154" s="67"/>
      <c r="V154" s="67"/>
      <c r="W154" s="67"/>
      <c r="X154" s="70"/>
      <c r="Y154" s="70"/>
      <c r="Z154" s="70"/>
      <c r="AA154" s="212"/>
      <c r="AB154" s="212"/>
      <c r="AC154" s="213"/>
      <c r="AD154" s="213"/>
      <c r="AE154" s="213"/>
      <c r="AF154" s="213"/>
      <c r="AJ154" s="210"/>
    </row>
    <row r="155" spans="1:36" s="209" customFormat="1" x14ac:dyDescent="0.25">
      <c r="A155" s="204"/>
      <c r="B155" s="204"/>
      <c r="C155" s="204"/>
      <c r="D155" s="204"/>
      <c r="E155" s="204"/>
      <c r="F155" s="204"/>
      <c r="G155" s="204"/>
      <c r="H155" s="204"/>
      <c r="I155" s="205"/>
      <c r="J155" s="204"/>
      <c r="K155" s="204"/>
      <c r="L155" s="205"/>
      <c r="M155" s="204"/>
      <c r="N155" s="204"/>
      <c r="O155" s="204"/>
      <c r="P155" s="206"/>
      <c r="Q155" s="208"/>
      <c r="R155" s="207"/>
      <c r="S155" s="207"/>
      <c r="T155" s="67"/>
      <c r="U155" s="67"/>
      <c r="V155" s="67"/>
      <c r="W155" s="67"/>
      <c r="X155" s="70"/>
      <c r="Y155" s="70"/>
      <c r="Z155" s="70"/>
      <c r="AA155" s="212"/>
      <c r="AB155" s="212"/>
      <c r="AC155" s="213"/>
      <c r="AD155" s="213"/>
      <c r="AE155" s="213"/>
      <c r="AF155" s="213"/>
      <c r="AJ155" s="210"/>
    </row>
    <row r="156" spans="1:36" s="209" customFormat="1" x14ac:dyDescent="0.25">
      <c r="A156" s="204"/>
      <c r="B156" s="204"/>
      <c r="C156" s="204"/>
      <c r="D156" s="204"/>
      <c r="E156" s="204"/>
      <c r="F156" s="204"/>
      <c r="G156" s="204"/>
      <c r="H156" s="204"/>
      <c r="I156" s="205"/>
      <c r="J156" s="204"/>
      <c r="K156" s="204"/>
      <c r="L156" s="205"/>
      <c r="M156" s="204"/>
      <c r="N156" s="204"/>
      <c r="O156" s="204"/>
      <c r="P156" s="206"/>
      <c r="Q156" s="208"/>
      <c r="R156" s="207"/>
      <c r="S156" s="207"/>
      <c r="T156" s="67"/>
      <c r="U156" s="67"/>
      <c r="V156" s="67"/>
      <c r="W156" s="67"/>
      <c r="X156" s="70"/>
      <c r="Y156" s="70"/>
      <c r="Z156" s="70"/>
      <c r="AA156" s="212"/>
      <c r="AB156" s="212"/>
      <c r="AC156" s="213"/>
      <c r="AD156" s="213"/>
      <c r="AE156" s="213"/>
      <c r="AF156" s="213"/>
      <c r="AJ156" s="210"/>
    </row>
    <row r="157" spans="1:36" s="209" customFormat="1" x14ac:dyDescent="0.25">
      <c r="A157" s="204"/>
      <c r="B157" s="204"/>
      <c r="C157" s="204"/>
      <c r="D157" s="204"/>
      <c r="E157" s="204"/>
      <c r="F157" s="204"/>
      <c r="G157" s="204"/>
      <c r="H157" s="204"/>
      <c r="I157" s="205"/>
      <c r="J157" s="204"/>
      <c r="K157" s="204"/>
      <c r="L157" s="205"/>
      <c r="M157" s="204"/>
      <c r="N157" s="204"/>
      <c r="O157" s="204"/>
      <c r="P157" s="206"/>
      <c r="Q157" s="208"/>
      <c r="R157" s="207"/>
      <c r="S157" s="207"/>
      <c r="T157" s="67"/>
      <c r="U157" s="67"/>
      <c r="V157" s="67"/>
      <c r="W157" s="67"/>
      <c r="X157" s="70"/>
      <c r="Y157" s="70"/>
      <c r="Z157" s="70"/>
      <c r="AA157" s="212"/>
      <c r="AB157" s="212"/>
      <c r="AC157" s="213"/>
      <c r="AD157" s="213"/>
      <c r="AE157" s="213"/>
      <c r="AF157" s="213"/>
      <c r="AJ157" s="210"/>
    </row>
    <row r="158" spans="1:36" s="209" customFormat="1" x14ac:dyDescent="0.25">
      <c r="A158" s="204"/>
      <c r="B158" s="204"/>
      <c r="C158" s="204"/>
      <c r="D158" s="204"/>
      <c r="E158" s="204"/>
      <c r="F158" s="204"/>
      <c r="G158" s="204"/>
      <c r="H158" s="204"/>
      <c r="I158" s="205"/>
      <c r="J158" s="204"/>
      <c r="K158" s="204"/>
      <c r="L158" s="205"/>
      <c r="M158" s="204"/>
      <c r="N158" s="204"/>
      <c r="O158" s="204"/>
      <c r="P158" s="206"/>
      <c r="Q158" s="208"/>
      <c r="R158" s="207"/>
      <c r="S158" s="207"/>
      <c r="T158" s="67"/>
      <c r="U158" s="67"/>
      <c r="V158" s="67"/>
      <c r="W158" s="67"/>
      <c r="X158" s="70"/>
      <c r="Y158" s="70"/>
      <c r="Z158" s="70"/>
      <c r="AA158" s="212"/>
      <c r="AB158" s="212"/>
      <c r="AC158" s="213"/>
      <c r="AD158" s="213"/>
      <c r="AE158" s="213"/>
      <c r="AF158" s="213"/>
      <c r="AJ158" s="210"/>
    </row>
    <row r="159" spans="1:36" s="209" customFormat="1" x14ac:dyDescent="0.25">
      <c r="A159" s="204"/>
      <c r="B159" s="204"/>
      <c r="C159" s="204"/>
      <c r="D159" s="204"/>
      <c r="E159" s="204"/>
      <c r="F159" s="204"/>
      <c r="G159" s="204"/>
      <c r="H159" s="204"/>
      <c r="I159" s="205"/>
      <c r="J159" s="204"/>
      <c r="K159" s="204"/>
      <c r="L159" s="205"/>
      <c r="M159" s="204"/>
      <c r="N159" s="204"/>
      <c r="O159" s="204"/>
      <c r="P159" s="206"/>
      <c r="Q159" s="208"/>
      <c r="R159" s="207"/>
      <c r="S159" s="207"/>
      <c r="T159" s="67"/>
      <c r="U159" s="67"/>
      <c r="V159" s="67"/>
      <c r="W159" s="67"/>
      <c r="X159" s="70"/>
      <c r="Y159" s="70"/>
      <c r="Z159" s="70"/>
      <c r="AA159" s="212"/>
      <c r="AB159" s="212"/>
      <c r="AC159" s="213"/>
      <c r="AD159" s="213"/>
      <c r="AE159" s="213"/>
      <c r="AF159" s="213"/>
      <c r="AJ159" s="210"/>
    </row>
    <row r="160" spans="1:36" s="209" customFormat="1" x14ac:dyDescent="0.25">
      <c r="A160" s="204"/>
      <c r="B160" s="204"/>
      <c r="C160" s="204"/>
      <c r="D160" s="204"/>
      <c r="E160" s="204"/>
      <c r="F160" s="204"/>
      <c r="G160" s="204"/>
      <c r="H160" s="204"/>
      <c r="I160" s="205"/>
      <c r="J160" s="204"/>
      <c r="K160" s="204"/>
      <c r="L160" s="205"/>
      <c r="M160" s="204"/>
      <c r="N160" s="204"/>
      <c r="O160" s="204"/>
      <c r="P160" s="206"/>
      <c r="Q160" s="208"/>
      <c r="R160" s="207"/>
      <c r="S160" s="207"/>
      <c r="T160" s="67"/>
      <c r="U160" s="67"/>
      <c r="V160" s="67"/>
      <c r="W160" s="67"/>
      <c r="X160" s="70"/>
      <c r="Y160" s="70"/>
      <c r="Z160" s="70"/>
      <c r="AA160" s="212"/>
      <c r="AB160" s="212"/>
      <c r="AC160" s="213"/>
      <c r="AD160" s="213"/>
      <c r="AE160" s="213"/>
      <c r="AF160" s="213"/>
      <c r="AJ160" s="210"/>
    </row>
    <row r="161" spans="1:36" s="209" customFormat="1" x14ac:dyDescent="0.25">
      <c r="A161" s="204"/>
      <c r="B161" s="204"/>
      <c r="C161" s="204"/>
      <c r="D161" s="204"/>
      <c r="E161" s="204"/>
      <c r="F161" s="204"/>
      <c r="G161" s="204"/>
      <c r="H161" s="204"/>
      <c r="I161" s="205"/>
      <c r="J161" s="204"/>
      <c r="K161" s="204"/>
      <c r="L161" s="205"/>
      <c r="M161" s="204"/>
      <c r="N161" s="204"/>
      <c r="O161" s="204"/>
      <c r="P161" s="206"/>
      <c r="Q161" s="208"/>
      <c r="R161" s="207"/>
      <c r="S161" s="207"/>
      <c r="T161" s="67"/>
      <c r="U161" s="67"/>
      <c r="V161" s="67"/>
      <c r="W161" s="67"/>
      <c r="X161" s="70"/>
      <c r="Y161" s="70"/>
      <c r="Z161" s="70"/>
      <c r="AA161" s="212"/>
      <c r="AB161" s="212"/>
      <c r="AC161" s="213"/>
      <c r="AD161" s="213"/>
      <c r="AE161" s="213"/>
      <c r="AF161" s="213"/>
      <c r="AJ161" s="210"/>
    </row>
    <row r="162" spans="1:36" s="209" customFormat="1" x14ac:dyDescent="0.25">
      <c r="A162" s="204"/>
      <c r="B162" s="204"/>
      <c r="C162" s="204"/>
      <c r="D162" s="204"/>
      <c r="E162" s="204"/>
      <c r="F162" s="204"/>
      <c r="G162" s="204"/>
      <c r="H162" s="204"/>
      <c r="I162" s="205"/>
      <c r="J162" s="204"/>
      <c r="K162" s="204"/>
      <c r="L162" s="205"/>
      <c r="M162" s="204"/>
      <c r="N162" s="204"/>
      <c r="O162" s="204"/>
      <c r="P162" s="206"/>
      <c r="Q162" s="208"/>
      <c r="R162" s="207"/>
      <c r="S162" s="207"/>
      <c r="T162" s="67"/>
      <c r="U162" s="67"/>
      <c r="V162" s="67"/>
      <c r="W162" s="67"/>
      <c r="X162" s="70"/>
      <c r="Y162" s="70"/>
      <c r="Z162" s="70"/>
      <c r="AA162" s="212"/>
      <c r="AB162" s="212"/>
      <c r="AC162" s="213"/>
      <c r="AD162" s="213"/>
      <c r="AE162" s="213"/>
      <c r="AF162" s="213"/>
      <c r="AJ162" s="210"/>
    </row>
    <row r="163" spans="1:36" s="209" customFormat="1" x14ac:dyDescent="0.25">
      <c r="A163" s="204"/>
      <c r="B163" s="204"/>
      <c r="C163" s="204"/>
      <c r="D163" s="204"/>
      <c r="E163" s="204"/>
      <c r="F163" s="204"/>
      <c r="G163" s="204"/>
      <c r="H163" s="204"/>
      <c r="I163" s="205"/>
      <c r="J163" s="204"/>
      <c r="K163" s="204"/>
      <c r="L163" s="205"/>
      <c r="M163" s="204"/>
      <c r="N163" s="204"/>
      <c r="O163" s="204"/>
      <c r="P163" s="206"/>
      <c r="Q163" s="208"/>
      <c r="R163" s="207"/>
      <c r="S163" s="207"/>
      <c r="T163" s="67"/>
      <c r="U163" s="67"/>
      <c r="V163" s="67"/>
      <c r="W163" s="67"/>
      <c r="X163" s="70"/>
      <c r="Y163" s="70"/>
      <c r="Z163" s="70"/>
      <c r="AA163" s="212"/>
      <c r="AB163" s="212"/>
      <c r="AC163" s="213"/>
      <c r="AD163" s="213"/>
      <c r="AE163" s="213"/>
      <c r="AF163" s="213"/>
      <c r="AJ163" s="210"/>
    </row>
    <row r="164" spans="1:36" s="209" customFormat="1" x14ac:dyDescent="0.25">
      <c r="A164" s="204"/>
      <c r="B164" s="204"/>
      <c r="C164" s="204"/>
      <c r="D164" s="204"/>
      <c r="E164" s="204"/>
      <c r="F164" s="204"/>
      <c r="G164" s="204"/>
      <c r="H164" s="204"/>
      <c r="I164" s="205"/>
      <c r="J164" s="204"/>
      <c r="K164" s="204"/>
      <c r="L164" s="205"/>
      <c r="M164" s="204"/>
      <c r="N164" s="204"/>
      <c r="O164" s="204"/>
      <c r="P164" s="206"/>
      <c r="Q164" s="208"/>
      <c r="R164" s="207"/>
      <c r="S164" s="207"/>
      <c r="T164" s="67"/>
      <c r="U164" s="67"/>
      <c r="V164" s="67"/>
      <c r="W164" s="67"/>
      <c r="X164" s="70"/>
      <c r="Y164" s="70"/>
      <c r="Z164" s="70"/>
      <c r="AA164" s="212"/>
      <c r="AB164" s="212"/>
      <c r="AC164" s="213"/>
      <c r="AD164" s="213"/>
      <c r="AE164" s="213"/>
      <c r="AF164" s="213"/>
      <c r="AJ164" s="210"/>
    </row>
    <row r="165" spans="1:36" s="209" customFormat="1" x14ac:dyDescent="0.25">
      <c r="A165" s="204"/>
      <c r="B165" s="204"/>
      <c r="C165" s="204"/>
      <c r="D165" s="204"/>
      <c r="E165" s="204"/>
      <c r="F165" s="204"/>
      <c r="G165" s="204"/>
      <c r="H165" s="204"/>
      <c r="I165" s="205"/>
      <c r="J165" s="204"/>
      <c r="K165" s="204"/>
      <c r="L165" s="205"/>
      <c r="M165" s="204"/>
      <c r="N165" s="204"/>
      <c r="O165" s="204"/>
      <c r="P165" s="206"/>
      <c r="Q165" s="208"/>
      <c r="R165" s="207"/>
      <c r="S165" s="207"/>
      <c r="T165" s="67"/>
      <c r="U165" s="67"/>
      <c r="V165" s="67"/>
      <c r="W165" s="67"/>
      <c r="X165" s="70"/>
      <c r="Y165" s="70"/>
      <c r="Z165" s="70"/>
      <c r="AA165" s="212"/>
      <c r="AB165" s="212"/>
      <c r="AC165" s="213"/>
      <c r="AD165" s="213"/>
      <c r="AE165" s="213"/>
      <c r="AF165" s="213"/>
      <c r="AJ165" s="210"/>
    </row>
    <row r="166" spans="1:36" s="209" customFormat="1" x14ac:dyDescent="0.25">
      <c r="A166" s="204"/>
      <c r="B166" s="204"/>
      <c r="C166" s="204"/>
      <c r="D166" s="204"/>
      <c r="E166" s="204"/>
      <c r="F166" s="204"/>
      <c r="G166" s="204"/>
      <c r="H166" s="204"/>
      <c r="I166" s="205"/>
      <c r="J166" s="204"/>
      <c r="K166" s="204"/>
      <c r="L166" s="205"/>
      <c r="M166" s="204"/>
      <c r="N166" s="204"/>
      <c r="O166" s="204"/>
      <c r="P166" s="206"/>
      <c r="Q166" s="208"/>
      <c r="R166" s="207"/>
      <c r="S166" s="207"/>
      <c r="T166" s="67"/>
      <c r="U166" s="67"/>
      <c r="V166" s="67"/>
      <c r="W166" s="67"/>
      <c r="X166" s="70"/>
      <c r="Y166" s="70"/>
      <c r="Z166" s="70"/>
      <c r="AA166" s="212"/>
      <c r="AB166" s="212"/>
      <c r="AC166" s="213"/>
      <c r="AD166" s="213"/>
      <c r="AE166" s="213"/>
      <c r="AF166" s="213"/>
      <c r="AJ166" s="210"/>
    </row>
    <row r="167" spans="1:36" s="209" customFormat="1" x14ac:dyDescent="0.25">
      <c r="A167" s="204"/>
      <c r="B167" s="204"/>
      <c r="C167" s="204"/>
      <c r="D167" s="204"/>
      <c r="E167" s="204"/>
      <c r="F167" s="204"/>
      <c r="G167" s="204"/>
      <c r="H167" s="204"/>
      <c r="I167" s="205"/>
      <c r="J167" s="204"/>
      <c r="K167" s="204"/>
      <c r="L167" s="205"/>
      <c r="M167" s="204"/>
      <c r="N167" s="204"/>
      <c r="O167" s="204"/>
      <c r="P167" s="206"/>
      <c r="Q167" s="208"/>
      <c r="R167" s="207"/>
      <c r="S167" s="207"/>
      <c r="T167" s="67"/>
      <c r="U167" s="67"/>
      <c r="V167" s="67"/>
      <c r="W167" s="67"/>
      <c r="X167" s="70"/>
      <c r="Y167" s="70"/>
      <c r="Z167" s="70"/>
      <c r="AA167" s="212"/>
      <c r="AB167" s="212"/>
      <c r="AC167" s="213"/>
      <c r="AD167" s="213"/>
      <c r="AE167" s="213"/>
      <c r="AF167" s="213"/>
      <c r="AJ167" s="210"/>
    </row>
    <row r="168" spans="1:36" s="209" customFormat="1" x14ac:dyDescent="0.25">
      <c r="A168" s="204"/>
      <c r="B168" s="204"/>
      <c r="C168" s="204"/>
      <c r="D168" s="204"/>
      <c r="E168" s="204"/>
      <c r="F168" s="204"/>
      <c r="G168" s="204"/>
      <c r="H168" s="204"/>
      <c r="I168" s="205"/>
      <c r="J168" s="204"/>
      <c r="K168" s="204"/>
      <c r="L168" s="205"/>
      <c r="M168" s="204"/>
      <c r="N168" s="204"/>
      <c r="O168" s="204"/>
      <c r="P168" s="206"/>
      <c r="Q168" s="208"/>
      <c r="R168" s="207"/>
      <c r="S168" s="207"/>
      <c r="T168" s="67"/>
      <c r="U168" s="67"/>
      <c r="V168" s="67"/>
      <c r="W168" s="67"/>
      <c r="X168" s="70"/>
      <c r="Y168" s="70"/>
      <c r="Z168" s="70"/>
      <c r="AA168" s="212"/>
      <c r="AB168" s="212"/>
      <c r="AC168" s="213"/>
      <c r="AD168" s="213"/>
      <c r="AE168" s="213"/>
      <c r="AF168" s="213"/>
      <c r="AJ168" s="210"/>
    </row>
    <row r="169" spans="1:36" s="209" customFormat="1" x14ac:dyDescent="0.25">
      <c r="A169" s="204"/>
      <c r="B169" s="204"/>
      <c r="C169" s="204"/>
      <c r="D169" s="204"/>
      <c r="E169" s="204"/>
      <c r="F169" s="204"/>
      <c r="G169" s="204"/>
      <c r="H169" s="204"/>
      <c r="I169" s="205"/>
      <c r="J169" s="204"/>
      <c r="K169" s="204"/>
      <c r="L169" s="205"/>
      <c r="M169" s="204"/>
      <c r="N169" s="204"/>
      <c r="O169" s="204"/>
      <c r="P169" s="206"/>
      <c r="Q169" s="208"/>
      <c r="R169" s="207"/>
      <c r="S169" s="207"/>
      <c r="T169" s="67"/>
      <c r="U169" s="67"/>
      <c r="V169" s="67"/>
      <c r="W169" s="67"/>
      <c r="X169" s="70"/>
      <c r="Y169" s="70"/>
      <c r="Z169" s="70"/>
      <c r="AA169" s="212"/>
      <c r="AB169" s="212"/>
      <c r="AC169" s="213"/>
      <c r="AD169" s="213"/>
      <c r="AE169" s="213"/>
      <c r="AF169" s="213"/>
      <c r="AJ169" s="210"/>
    </row>
    <row r="170" spans="1:36" s="209" customFormat="1" x14ac:dyDescent="0.25">
      <c r="A170" s="204"/>
      <c r="B170" s="204"/>
      <c r="C170" s="204"/>
      <c r="D170" s="204"/>
      <c r="E170" s="204"/>
      <c r="F170" s="204"/>
      <c r="G170" s="204"/>
      <c r="H170" s="204"/>
      <c r="I170" s="205"/>
      <c r="J170" s="204"/>
      <c r="K170" s="204"/>
      <c r="L170" s="205"/>
      <c r="M170" s="204"/>
      <c r="N170" s="204"/>
      <c r="O170" s="204"/>
      <c r="P170" s="206"/>
      <c r="Q170" s="208"/>
      <c r="R170" s="207"/>
      <c r="S170" s="207"/>
      <c r="T170" s="67"/>
      <c r="U170" s="67"/>
      <c r="V170" s="67"/>
      <c r="W170" s="67"/>
      <c r="X170" s="70"/>
      <c r="Y170" s="70"/>
      <c r="Z170" s="70"/>
      <c r="AA170" s="212"/>
      <c r="AB170" s="212"/>
      <c r="AC170" s="213"/>
      <c r="AD170" s="213"/>
      <c r="AE170" s="213"/>
      <c r="AF170" s="213"/>
      <c r="AJ170" s="210"/>
    </row>
    <row r="171" spans="1:36" s="209" customFormat="1" x14ac:dyDescent="0.25">
      <c r="A171" s="204"/>
      <c r="B171" s="204"/>
      <c r="C171" s="204"/>
      <c r="D171" s="204"/>
      <c r="E171" s="204"/>
      <c r="F171" s="204"/>
      <c r="G171" s="204"/>
      <c r="H171" s="204"/>
      <c r="I171" s="205"/>
      <c r="J171" s="204"/>
      <c r="K171" s="204"/>
      <c r="L171" s="205"/>
      <c r="M171" s="204"/>
      <c r="N171" s="204"/>
      <c r="O171" s="204"/>
      <c r="P171" s="206"/>
      <c r="Q171" s="208"/>
      <c r="R171" s="207"/>
      <c r="S171" s="207"/>
      <c r="T171" s="67"/>
      <c r="U171" s="67"/>
      <c r="V171" s="67"/>
      <c r="W171" s="67"/>
      <c r="X171" s="70"/>
      <c r="Y171" s="70"/>
      <c r="Z171" s="70"/>
      <c r="AA171" s="212"/>
      <c r="AB171" s="212"/>
      <c r="AC171" s="213"/>
      <c r="AD171" s="213"/>
      <c r="AE171" s="213"/>
      <c r="AF171" s="213"/>
      <c r="AJ171" s="210"/>
    </row>
    <row r="172" spans="1:36" s="209" customFormat="1" x14ac:dyDescent="0.25">
      <c r="A172" s="204"/>
      <c r="B172" s="204"/>
      <c r="C172" s="204"/>
      <c r="D172" s="204"/>
      <c r="E172" s="204"/>
      <c r="F172" s="204"/>
      <c r="G172" s="204"/>
      <c r="H172" s="204"/>
      <c r="I172" s="205"/>
      <c r="J172" s="204"/>
      <c r="K172" s="204"/>
      <c r="L172" s="205"/>
      <c r="M172" s="204"/>
      <c r="N172" s="204"/>
      <c r="O172" s="204"/>
      <c r="P172" s="206"/>
      <c r="Q172" s="208"/>
      <c r="R172" s="207"/>
      <c r="S172" s="207"/>
      <c r="T172" s="67"/>
      <c r="U172" s="67"/>
      <c r="V172" s="67"/>
      <c r="W172" s="67"/>
      <c r="X172" s="70"/>
      <c r="Y172" s="70"/>
      <c r="Z172" s="70"/>
      <c r="AA172" s="212"/>
      <c r="AB172" s="212"/>
      <c r="AC172" s="213"/>
      <c r="AD172" s="213"/>
      <c r="AE172" s="213"/>
      <c r="AF172" s="213"/>
      <c r="AJ172" s="210"/>
    </row>
    <row r="173" spans="1:36" s="209" customFormat="1" x14ac:dyDescent="0.25">
      <c r="A173" s="204"/>
      <c r="B173" s="204"/>
      <c r="C173" s="204"/>
      <c r="D173" s="204"/>
      <c r="E173" s="204"/>
      <c r="F173" s="204"/>
      <c r="G173" s="204"/>
      <c r="H173" s="204"/>
      <c r="I173" s="205"/>
      <c r="J173" s="204"/>
      <c r="K173" s="204"/>
      <c r="L173" s="205"/>
      <c r="M173" s="204"/>
      <c r="N173" s="204"/>
      <c r="O173" s="204"/>
      <c r="P173" s="206"/>
      <c r="Q173" s="208"/>
      <c r="R173" s="207"/>
      <c r="S173" s="207"/>
      <c r="T173" s="67"/>
      <c r="U173" s="67"/>
      <c r="V173" s="67"/>
      <c r="W173" s="67"/>
      <c r="X173" s="70"/>
      <c r="Y173" s="70"/>
      <c r="Z173" s="70"/>
      <c r="AA173" s="212"/>
      <c r="AB173" s="212"/>
      <c r="AC173" s="213"/>
      <c r="AD173" s="213"/>
      <c r="AE173" s="213"/>
      <c r="AF173" s="213"/>
      <c r="AJ173" s="210"/>
    </row>
    <row r="174" spans="1:36" s="209" customFormat="1" x14ac:dyDescent="0.25">
      <c r="A174" s="204"/>
      <c r="B174" s="204"/>
      <c r="C174" s="204"/>
      <c r="D174" s="204"/>
      <c r="E174" s="204"/>
      <c r="F174" s="204"/>
      <c r="G174" s="204"/>
      <c r="H174" s="204"/>
      <c r="I174" s="205"/>
      <c r="J174" s="204"/>
      <c r="K174" s="204"/>
      <c r="L174" s="205"/>
      <c r="M174" s="204"/>
      <c r="N174" s="204"/>
      <c r="O174" s="204"/>
      <c r="P174" s="206"/>
      <c r="Q174" s="208"/>
      <c r="R174" s="207"/>
      <c r="S174" s="207"/>
      <c r="T174" s="67"/>
      <c r="U174" s="67"/>
      <c r="V174" s="67"/>
      <c r="W174" s="67"/>
      <c r="X174" s="70"/>
      <c r="Y174" s="70"/>
      <c r="Z174" s="70"/>
      <c r="AA174" s="212"/>
      <c r="AB174" s="212"/>
      <c r="AC174" s="213"/>
      <c r="AD174" s="213"/>
      <c r="AE174" s="213"/>
      <c r="AF174" s="213"/>
      <c r="AJ174" s="210"/>
    </row>
    <row r="175" spans="1:36" s="209" customFormat="1" x14ac:dyDescent="0.25">
      <c r="A175" s="204"/>
      <c r="B175" s="204"/>
      <c r="C175" s="204"/>
      <c r="D175" s="204"/>
      <c r="E175" s="204"/>
      <c r="F175" s="204"/>
      <c r="G175" s="204"/>
      <c r="H175" s="204"/>
      <c r="I175" s="205"/>
      <c r="J175" s="204"/>
      <c r="K175" s="204"/>
      <c r="L175" s="205"/>
      <c r="M175" s="204"/>
      <c r="N175" s="204"/>
      <c r="O175" s="204"/>
      <c r="P175" s="206"/>
      <c r="Q175" s="208"/>
      <c r="R175" s="207"/>
      <c r="S175" s="207"/>
      <c r="T175" s="67"/>
      <c r="U175" s="67"/>
      <c r="V175" s="67"/>
      <c r="W175" s="67"/>
      <c r="X175" s="70"/>
      <c r="Y175" s="70"/>
      <c r="Z175" s="70"/>
      <c r="AA175" s="212"/>
      <c r="AB175" s="212"/>
      <c r="AC175" s="213"/>
      <c r="AD175" s="213"/>
      <c r="AE175" s="213"/>
      <c r="AF175" s="213"/>
      <c r="AJ175" s="210"/>
    </row>
    <row r="176" spans="1:36" s="209" customFormat="1" x14ac:dyDescent="0.25">
      <c r="A176" s="204"/>
      <c r="B176" s="204"/>
      <c r="C176" s="204"/>
      <c r="D176" s="204"/>
      <c r="E176" s="204"/>
      <c r="F176" s="204"/>
      <c r="G176" s="204"/>
      <c r="H176" s="204"/>
      <c r="I176" s="205"/>
      <c r="J176" s="204"/>
      <c r="K176" s="204"/>
      <c r="L176" s="205"/>
      <c r="M176" s="204"/>
      <c r="N176" s="204"/>
      <c r="O176" s="204"/>
      <c r="P176" s="206"/>
      <c r="Q176" s="208"/>
      <c r="R176" s="207"/>
      <c r="S176" s="207"/>
      <c r="T176" s="67"/>
      <c r="U176" s="67"/>
      <c r="V176" s="67"/>
      <c r="W176" s="67"/>
      <c r="X176" s="70"/>
      <c r="Y176" s="70"/>
      <c r="Z176" s="70"/>
      <c r="AA176" s="212"/>
      <c r="AB176" s="212"/>
      <c r="AC176" s="213"/>
      <c r="AD176" s="213"/>
      <c r="AE176" s="213"/>
      <c r="AF176" s="213"/>
      <c r="AJ176" s="210"/>
    </row>
    <row r="177" spans="1:36" s="209" customFormat="1" x14ac:dyDescent="0.25">
      <c r="A177" s="204"/>
      <c r="B177" s="204"/>
      <c r="C177" s="204"/>
      <c r="D177" s="204"/>
      <c r="E177" s="204"/>
      <c r="F177" s="204"/>
      <c r="G177" s="204"/>
      <c r="H177" s="204"/>
      <c r="I177" s="205"/>
      <c r="J177" s="204"/>
      <c r="K177" s="204"/>
      <c r="L177" s="205"/>
      <c r="M177" s="204"/>
      <c r="N177" s="204"/>
      <c r="O177" s="204"/>
      <c r="P177" s="206"/>
      <c r="Q177" s="208"/>
      <c r="R177" s="207"/>
      <c r="S177" s="207"/>
      <c r="T177" s="67"/>
      <c r="U177" s="67"/>
      <c r="V177" s="67"/>
      <c r="W177" s="67"/>
      <c r="X177" s="70"/>
      <c r="Y177" s="70"/>
      <c r="Z177" s="70"/>
      <c r="AA177" s="212"/>
      <c r="AB177" s="212"/>
      <c r="AC177" s="213"/>
      <c r="AD177" s="213"/>
      <c r="AE177" s="213"/>
      <c r="AF177" s="213"/>
      <c r="AJ177" s="210"/>
    </row>
    <row r="178" spans="1:36" s="209" customFormat="1" x14ac:dyDescent="0.25">
      <c r="A178" s="204"/>
      <c r="B178" s="204"/>
      <c r="C178" s="204"/>
      <c r="D178" s="204"/>
      <c r="E178" s="204"/>
      <c r="F178" s="204"/>
      <c r="G178" s="204"/>
      <c r="H178" s="204"/>
      <c r="I178" s="205"/>
      <c r="J178" s="204"/>
      <c r="K178" s="204"/>
      <c r="L178" s="205"/>
      <c r="M178" s="204"/>
      <c r="N178" s="204"/>
      <c r="O178" s="204"/>
      <c r="P178" s="206"/>
      <c r="Q178" s="208"/>
      <c r="R178" s="207"/>
      <c r="S178" s="207"/>
      <c r="T178" s="67"/>
      <c r="U178" s="67"/>
      <c r="V178" s="67"/>
      <c r="W178" s="67"/>
      <c r="X178" s="70"/>
      <c r="Y178" s="70"/>
      <c r="Z178" s="70"/>
      <c r="AA178" s="212"/>
      <c r="AB178" s="212"/>
      <c r="AC178" s="213"/>
      <c r="AD178" s="213"/>
      <c r="AE178" s="213"/>
      <c r="AF178" s="213"/>
      <c r="AJ178" s="210"/>
    </row>
    <row r="179" spans="1:36" s="209" customFormat="1" x14ac:dyDescent="0.25">
      <c r="A179" s="204"/>
      <c r="B179" s="204"/>
      <c r="C179" s="204"/>
      <c r="D179" s="204"/>
      <c r="E179" s="204"/>
      <c r="F179" s="204"/>
      <c r="G179" s="204"/>
      <c r="H179" s="204"/>
      <c r="I179" s="205"/>
      <c r="J179" s="204"/>
      <c r="K179" s="204"/>
      <c r="L179" s="205"/>
      <c r="M179" s="204"/>
      <c r="N179" s="204"/>
      <c r="O179" s="204"/>
      <c r="P179" s="206"/>
      <c r="Q179" s="208"/>
      <c r="R179" s="207"/>
      <c r="S179" s="207"/>
      <c r="T179" s="67"/>
      <c r="U179" s="67"/>
      <c r="V179" s="67"/>
      <c r="W179" s="67"/>
      <c r="X179" s="70"/>
      <c r="Y179" s="70"/>
      <c r="Z179" s="70"/>
      <c r="AA179" s="212"/>
      <c r="AB179" s="212"/>
      <c r="AC179" s="213"/>
      <c r="AD179" s="213"/>
      <c r="AE179" s="213"/>
      <c r="AF179" s="213"/>
      <c r="AJ179" s="210"/>
    </row>
    <row r="180" spans="1:36" s="209" customFormat="1" x14ac:dyDescent="0.25">
      <c r="A180" s="204"/>
      <c r="B180" s="204"/>
      <c r="C180" s="204"/>
      <c r="D180" s="204"/>
      <c r="E180" s="204"/>
      <c r="F180" s="204"/>
      <c r="G180" s="204"/>
      <c r="H180" s="204"/>
      <c r="I180" s="205"/>
      <c r="J180" s="204"/>
      <c r="K180" s="204"/>
      <c r="L180" s="205"/>
      <c r="M180" s="204"/>
      <c r="N180" s="204"/>
      <c r="O180" s="204"/>
      <c r="P180" s="206"/>
      <c r="Q180" s="208"/>
      <c r="R180" s="207"/>
      <c r="S180" s="207"/>
      <c r="T180" s="67"/>
      <c r="U180" s="67"/>
      <c r="V180" s="67"/>
      <c r="W180" s="67"/>
      <c r="X180" s="70"/>
      <c r="Y180" s="70"/>
      <c r="Z180" s="70"/>
      <c r="AA180" s="212"/>
      <c r="AB180" s="212"/>
      <c r="AC180" s="213"/>
      <c r="AD180" s="213"/>
      <c r="AE180" s="213"/>
      <c r="AF180" s="213"/>
      <c r="AJ180" s="210"/>
    </row>
    <row r="181" spans="1:36" s="209" customFormat="1" x14ac:dyDescent="0.25">
      <c r="A181" s="204"/>
      <c r="B181" s="204"/>
      <c r="C181" s="204"/>
      <c r="D181" s="204"/>
      <c r="E181" s="204"/>
      <c r="F181" s="204"/>
      <c r="G181" s="204"/>
      <c r="H181" s="204"/>
      <c r="I181" s="205"/>
      <c r="J181" s="204"/>
      <c r="K181" s="204"/>
      <c r="L181" s="205"/>
      <c r="M181" s="204"/>
      <c r="N181" s="204"/>
      <c r="O181" s="204"/>
      <c r="P181" s="206"/>
      <c r="Q181" s="208"/>
      <c r="R181" s="207"/>
      <c r="S181" s="207"/>
      <c r="T181" s="67"/>
      <c r="U181" s="67"/>
      <c r="V181" s="67"/>
      <c r="W181" s="67"/>
      <c r="X181" s="70"/>
      <c r="Y181" s="70"/>
      <c r="Z181" s="70"/>
      <c r="AA181" s="212"/>
      <c r="AB181" s="212"/>
      <c r="AC181" s="213"/>
      <c r="AD181" s="213"/>
      <c r="AE181" s="213"/>
      <c r="AF181" s="213"/>
      <c r="AJ181" s="210"/>
    </row>
    <row r="182" spans="1:36" s="209" customFormat="1" x14ac:dyDescent="0.25">
      <c r="A182" s="204"/>
      <c r="B182" s="204"/>
      <c r="C182" s="204"/>
      <c r="D182" s="204"/>
      <c r="E182" s="204"/>
      <c r="F182" s="204"/>
      <c r="G182" s="204"/>
      <c r="H182" s="204"/>
      <c r="I182" s="205"/>
      <c r="J182" s="204"/>
      <c r="K182" s="204"/>
      <c r="L182" s="205"/>
      <c r="M182" s="204"/>
      <c r="N182" s="204"/>
      <c r="O182" s="204"/>
      <c r="P182" s="206"/>
      <c r="Q182" s="208"/>
      <c r="R182" s="207"/>
      <c r="S182" s="207"/>
      <c r="T182" s="67"/>
      <c r="U182" s="67"/>
      <c r="V182" s="67"/>
      <c r="W182" s="67"/>
      <c r="X182" s="70"/>
      <c r="Y182" s="70"/>
      <c r="Z182" s="70"/>
      <c r="AA182" s="212"/>
      <c r="AB182" s="212"/>
      <c r="AC182" s="213"/>
      <c r="AD182" s="213"/>
      <c r="AE182" s="213"/>
      <c r="AF182" s="213"/>
      <c r="AJ182" s="210"/>
    </row>
    <row r="183" spans="1:36" s="209" customFormat="1" x14ac:dyDescent="0.25">
      <c r="A183" s="204"/>
      <c r="B183" s="204"/>
      <c r="C183" s="204"/>
      <c r="D183" s="204"/>
      <c r="E183" s="204"/>
      <c r="F183" s="204"/>
      <c r="G183" s="204"/>
      <c r="H183" s="204"/>
      <c r="I183" s="205"/>
      <c r="J183" s="204"/>
      <c r="K183" s="204"/>
      <c r="L183" s="205"/>
      <c r="M183" s="204"/>
      <c r="N183" s="204"/>
      <c r="O183" s="204"/>
      <c r="P183" s="206"/>
      <c r="Q183" s="208"/>
      <c r="R183" s="207"/>
      <c r="S183" s="207"/>
      <c r="T183" s="67"/>
      <c r="U183" s="67"/>
      <c r="V183" s="67"/>
      <c r="W183" s="67"/>
      <c r="X183" s="70"/>
      <c r="Y183" s="70"/>
      <c r="Z183" s="70"/>
      <c r="AA183" s="212"/>
      <c r="AB183" s="212"/>
      <c r="AC183" s="213"/>
      <c r="AD183" s="213"/>
      <c r="AE183" s="213"/>
      <c r="AF183" s="213"/>
      <c r="AJ183" s="210"/>
    </row>
    <row r="184" spans="1:36" s="209" customFormat="1" x14ac:dyDescent="0.25">
      <c r="A184" s="204"/>
      <c r="B184" s="204"/>
      <c r="C184" s="204"/>
      <c r="D184" s="204"/>
      <c r="E184" s="204"/>
      <c r="F184" s="204"/>
      <c r="G184" s="204"/>
      <c r="H184" s="204"/>
      <c r="I184" s="205"/>
      <c r="J184" s="204"/>
      <c r="K184" s="204"/>
      <c r="L184" s="205"/>
      <c r="M184" s="204"/>
      <c r="N184" s="204"/>
      <c r="O184" s="204"/>
      <c r="P184" s="206"/>
      <c r="Q184" s="208"/>
      <c r="R184" s="207"/>
      <c r="S184" s="207"/>
      <c r="T184" s="67"/>
      <c r="U184" s="67"/>
      <c r="V184" s="67"/>
      <c r="W184" s="67"/>
      <c r="X184" s="70"/>
      <c r="Y184" s="70"/>
      <c r="Z184" s="70"/>
      <c r="AA184" s="212"/>
      <c r="AB184" s="212"/>
      <c r="AC184" s="213"/>
      <c r="AD184" s="213"/>
      <c r="AE184" s="213"/>
      <c r="AF184" s="213"/>
      <c r="AJ184" s="210"/>
    </row>
    <row r="185" spans="1:36" s="209" customFormat="1" x14ac:dyDescent="0.25">
      <c r="A185" s="204"/>
      <c r="B185" s="204"/>
      <c r="C185" s="204"/>
      <c r="D185" s="204"/>
      <c r="E185" s="204"/>
      <c r="F185" s="204"/>
      <c r="G185" s="204"/>
      <c r="H185" s="204"/>
      <c r="I185" s="205"/>
      <c r="J185" s="204"/>
      <c r="K185" s="204"/>
      <c r="L185" s="205"/>
      <c r="M185" s="204"/>
      <c r="N185" s="204"/>
      <c r="O185" s="204"/>
      <c r="P185" s="206"/>
      <c r="Q185" s="208"/>
      <c r="R185" s="207"/>
      <c r="S185" s="207"/>
      <c r="T185" s="67"/>
      <c r="U185" s="67"/>
      <c r="V185" s="67"/>
      <c r="W185" s="67"/>
      <c r="X185" s="70"/>
      <c r="Y185" s="70"/>
      <c r="Z185" s="70"/>
      <c r="AA185" s="212"/>
      <c r="AB185" s="212"/>
      <c r="AC185" s="213"/>
      <c r="AD185" s="213"/>
      <c r="AE185" s="213"/>
      <c r="AF185" s="213"/>
      <c r="AJ185" s="210"/>
    </row>
    <row r="186" spans="1:36" s="209" customFormat="1" x14ac:dyDescent="0.25">
      <c r="A186" s="204"/>
      <c r="B186" s="204"/>
      <c r="C186" s="204"/>
      <c r="D186" s="204"/>
      <c r="E186" s="204"/>
      <c r="F186" s="204"/>
      <c r="G186" s="204"/>
      <c r="H186" s="204"/>
      <c r="I186" s="205"/>
      <c r="J186" s="204"/>
      <c r="K186" s="204"/>
      <c r="L186" s="205"/>
      <c r="M186" s="204"/>
      <c r="N186" s="204"/>
      <c r="O186" s="204"/>
      <c r="P186" s="206"/>
      <c r="Q186" s="208"/>
      <c r="R186" s="207"/>
      <c r="S186" s="207"/>
      <c r="T186" s="67"/>
      <c r="U186" s="67"/>
      <c r="V186" s="67"/>
      <c r="W186" s="67"/>
      <c r="X186" s="70"/>
      <c r="Y186" s="70"/>
      <c r="Z186" s="70"/>
      <c r="AA186" s="212"/>
      <c r="AB186" s="212"/>
      <c r="AC186" s="213"/>
      <c r="AD186" s="213"/>
      <c r="AE186" s="213"/>
      <c r="AF186" s="213"/>
      <c r="AJ186" s="210"/>
    </row>
    <row r="187" spans="1:36" s="209" customFormat="1" x14ac:dyDescent="0.25">
      <c r="A187" s="204"/>
      <c r="B187" s="204"/>
      <c r="C187" s="204"/>
      <c r="D187" s="204"/>
      <c r="E187" s="204"/>
      <c r="F187" s="204"/>
      <c r="G187" s="204"/>
      <c r="H187" s="204"/>
      <c r="I187" s="205"/>
      <c r="J187" s="204"/>
      <c r="K187" s="204"/>
      <c r="L187" s="205"/>
      <c r="M187" s="204"/>
      <c r="N187" s="204"/>
      <c r="O187" s="204"/>
      <c r="P187" s="206"/>
      <c r="Q187" s="208"/>
      <c r="R187" s="207"/>
      <c r="S187" s="207"/>
      <c r="T187" s="67"/>
      <c r="U187" s="67"/>
      <c r="V187" s="67"/>
      <c r="W187" s="67"/>
      <c r="X187" s="70"/>
      <c r="Y187" s="70"/>
      <c r="Z187" s="70"/>
      <c r="AA187" s="212"/>
      <c r="AB187" s="212"/>
      <c r="AC187" s="213"/>
      <c r="AD187" s="213"/>
      <c r="AE187" s="213"/>
      <c r="AF187" s="213"/>
      <c r="AJ187" s="210"/>
    </row>
    <row r="188" spans="1:36" s="209" customFormat="1" x14ac:dyDescent="0.25">
      <c r="A188" s="204"/>
      <c r="B188" s="204"/>
      <c r="C188" s="204"/>
      <c r="D188" s="204"/>
      <c r="E188" s="204"/>
      <c r="F188" s="204"/>
      <c r="G188" s="204"/>
      <c r="H188" s="204"/>
      <c r="I188" s="205"/>
      <c r="J188" s="204"/>
      <c r="K188" s="204"/>
      <c r="L188" s="205"/>
      <c r="M188" s="204"/>
      <c r="N188" s="204"/>
      <c r="O188" s="204"/>
      <c r="P188" s="206"/>
      <c r="Q188" s="208"/>
      <c r="R188" s="207"/>
      <c r="S188" s="207"/>
      <c r="T188" s="67"/>
      <c r="U188" s="67"/>
      <c r="V188" s="67"/>
      <c r="W188" s="67"/>
      <c r="X188" s="70"/>
      <c r="Y188" s="70"/>
      <c r="Z188" s="70"/>
      <c r="AA188" s="212"/>
      <c r="AB188" s="212"/>
      <c r="AC188" s="213"/>
      <c r="AD188" s="213"/>
      <c r="AE188" s="213"/>
      <c r="AF188" s="213"/>
      <c r="AJ188" s="210"/>
    </row>
    <row r="189" spans="1:36" s="209" customFormat="1" x14ac:dyDescent="0.25">
      <c r="A189" s="204"/>
      <c r="B189" s="204"/>
      <c r="C189" s="204"/>
      <c r="D189" s="204"/>
      <c r="E189" s="204"/>
      <c r="F189" s="204"/>
      <c r="G189" s="204"/>
      <c r="H189" s="204"/>
      <c r="I189" s="205"/>
      <c r="J189" s="204"/>
      <c r="K189" s="204"/>
      <c r="L189" s="205"/>
      <c r="M189" s="204"/>
      <c r="N189" s="204"/>
      <c r="O189" s="204"/>
      <c r="P189" s="206"/>
      <c r="Q189" s="208"/>
      <c r="R189" s="207"/>
      <c r="S189" s="207"/>
      <c r="T189" s="67"/>
      <c r="U189" s="67"/>
      <c r="V189" s="67"/>
      <c r="W189" s="67"/>
      <c r="X189" s="70"/>
      <c r="Y189" s="70"/>
      <c r="Z189" s="70"/>
      <c r="AA189" s="212"/>
      <c r="AB189" s="212"/>
      <c r="AC189" s="213"/>
      <c r="AD189" s="213"/>
      <c r="AE189" s="213"/>
      <c r="AF189" s="213"/>
      <c r="AJ189" s="210"/>
    </row>
    <row r="190" spans="1:36" s="209" customFormat="1" x14ac:dyDescent="0.25">
      <c r="A190" s="204"/>
      <c r="B190" s="204"/>
      <c r="C190" s="204"/>
      <c r="D190" s="204"/>
      <c r="E190" s="204"/>
      <c r="F190" s="204"/>
      <c r="G190" s="204"/>
      <c r="H190" s="204"/>
      <c r="I190" s="205"/>
      <c r="J190" s="204"/>
      <c r="K190" s="204"/>
      <c r="L190" s="205"/>
      <c r="M190" s="204"/>
      <c r="N190" s="204"/>
      <c r="O190" s="204"/>
      <c r="P190" s="206"/>
      <c r="Q190" s="208"/>
      <c r="R190" s="207"/>
      <c r="S190" s="207"/>
      <c r="T190" s="67"/>
      <c r="U190" s="67"/>
      <c r="V190" s="67"/>
      <c r="W190" s="67"/>
      <c r="X190" s="70"/>
      <c r="Y190" s="70"/>
      <c r="Z190" s="70"/>
      <c r="AA190" s="212"/>
      <c r="AB190" s="212"/>
      <c r="AC190" s="213"/>
      <c r="AD190" s="213"/>
      <c r="AE190" s="213"/>
      <c r="AF190" s="213"/>
      <c r="AJ190" s="210"/>
    </row>
    <row r="191" spans="1:36" s="209" customFormat="1" x14ac:dyDescent="0.25">
      <c r="A191" s="204"/>
      <c r="B191" s="204"/>
      <c r="C191" s="204"/>
      <c r="D191" s="204"/>
      <c r="E191" s="204"/>
      <c r="F191" s="204"/>
      <c r="G191" s="204"/>
      <c r="H191" s="204"/>
      <c r="I191" s="205"/>
      <c r="J191" s="204"/>
      <c r="K191" s="204"/>
      <c r="L191" s="205"/>
      <c r="M191" s="204"/>
      <c r="N191" s="204"/>
      <c r="O191" s="204"/>
      <c r="P191" s="206"/>
      <c r="Q191" s="208"/>
      <c r="R191" s="207"/>
      <c r="S191" s="207"/>
      <c r="T191" s="67"/>
      <c r="U191" s="67"/>
      <c r="V191" s="67"/>
      <c r="W191" s="67"/>
      <c r="X191" s="70"/>
      <c r="Y191" s="70"/>
      <c r="Z191" s="70"/>
      <c r="AA191" s="212"/>
      <c r="AB191" s="212"/>
      <c r="AC191" s="213"/>
      <c r="AD191" s="213"/>
      <c r="AE191" s="213"/>
      <c r="AF191" s="213"/>
      <c r="AJ191" s="210"/>
    </row>
    <row r="192" spans="1:36" s="209" customFormat="1" x14ac:dyDescent="0.25">
      <c r="A192" s="204"/>
      <c r="B192" s="204"/>
      <c r="C192" s="204"/>
      <c r="D192" s="204"/>
      <c r="E192" s="204"/>
      <c r="F192" s="204"/>
      <c r="G192" s="204"/>
      <c r="H192" s="204"/>
      <c r="I192" s="205"/>
      <c r="J192" s="204"/>
      <c r="K192" s="204"/>
      <c r="L192" s="205"/>
      <c r="M192" s="204"/>
      <c r="N192" s="204"/>
      <c r="O192" s="204"/>
      <c r="P192" s="206"/>
      <c r="Q192" s="208"/>
      <c r="R192" s="207"/>
      <c r="S192" s="207"/>
      <c r="T192" s="67"/>
      <c r="U192" s="67"/>
      <c r="V192" s="67"/>
      <c r="W192" s="67"/>
      <c r="X192" s="70"/>
      <c r="Y192" s="70"/>
      <c r="Z192" s="70"/>
      <c r="AA192" s="212"/>
      <c r="AB192" s="212"/>
      <c r="AC192" s="213"/>
      <c r="AD192" s="213"/>
      <c r="AE192" s="213"/>
      <c r="AF192" s="213"/>
      <c r="AJ192" s="210"/>
    </row>
    <row r="193" spans="1:36" s="209" customFormat="1" x14ac:dyDescent="0.25">
      <c r="A193" s="204"/>
      <c r="B193" s="204"/>
      <c r="C193" s="204"/>
      <c r="D193" s="204"/>
      <c r="E193" s="204"/>
      <c r="F193" s="204"/>
      <c r="G193" s="204"/>
      <c r="H193" s="204"/>
      <c r="I193" s="205"/>
      <c r="J193" s="204"/>
      <c r="K193" s="204"/>
      <c r="L193" s="205"/>
      <c r="M193" s="204"/>
      <c r="N193" s="204"/>
      <c r="O193" s="204"/>
      <c r="P193" s="206"/>
      <c r="Q193" s="208"/>
      <c r="R193" s="207"/>
      <c r="S193" s="207"/>
      <c r="T193" s="67"/>
      <c r="U193" s="67"/>
      <c r="V193" s="67"/>
      <c r="W193" s="67"/>
      <c r="X193" s="70"/>
      <c r="Y193" s="70"/>
      <c r="Z193" s="70"/>
      <c r="AA193" s="212"/>
      <c r="AB193" s="212"/>
      <c r="AC193" s="213"/>
      <c r="AD193" s="213"/>
      <c r="AE193" s="213"/>
      <c r="AF193" s="213"/>
      <c r="AJ193" s="210"/>
    </row>
    <row r="194" spans="1:36" s="209" customFormat="1" x14ac:dyDescent="0.25">
      <c r="A194" s="204"/>
      <c r="B194" s="204"/>
      <c r="C194" s="204"/>
      <c r="D194" s="204"/>
      <c r="E194" s="204"/>
      <c r="F194" s="204"/>
      <c r="G194" s="204"/>
      <c r="H194" s="204"/>
      <c r="I194" s="205"/>
      <c r="J194" s="204"/>
      <c r="K194" s="204"/>
      <c r="L194" s="205"/>
      <c r="M194" s="204"/>
      <c r="N194" s="204"/>
      <c r="O194" s="204"/>
      <c r="P194" s="206"/>
      <c r="Q194" s="208"/>
      <c r="R194" s="207"/>
      <c r="S194" s="207"/>
      <c r="T194" s="67"/>
      <c r="U194" s="67"/>
      <c r="V194" s="67"/>
      <c r="W194" s="67"/>
      <c r="X194" s="70"/>
      <c r="Y194" s="70"/>
      <c r="Z194" s="70"/>
      <c r="AA194" s="212"/>
      <c r="AB194" s="212"/>
      <c r="AC194" s="213"/>
      <c r="AD194" s="213"/>
      <c r="AE194" s="213"/>
      <c r="AF194" s="213"/>
      <c r="AJ194" s="210"/>
    </row>
    <row r="195" spans="1:36" s="209" customFormat="1" x14ac:dyDescent="0.25">
      <c r="A195" s="204"/>
      <c r="B195" s="204"/>
      <c r="C195" s="204"/>
      <c r="D195" s="204"/>
      <c r="E195" s="204"/>
      <c r="F195" s="204"/>
      <c r="G195" s="204"/>
      <c r="H195" s="204"/>
      <c r="I195" s="205"/>
      <c r="J195" s="204"/>
      <c r="K195" s="204"/>
      <c r="L195" s="205"/>
      <c r="M195" s="204"/>
      <c r="N195" s="204"/>
      <c r="O195" s="204"/>
      <c r="P195" s="206"/>
      <c r="Q195" s="208"/>
      <c r="R195" s="207"/>
      <c r="S195" s="207"/>
      <c r="T195" s="67"/>
      <c r="U195" s="67"/>
      <c r="V195" s="67"/>
      <c r="W195" s="67"/>
      <c r="X195" s="70"/>
      <c r="Y195" s="70"/>
      <c r="Z195" s="70"/>
      <c r="AA195" s="212"/>
      <c r="AB195" s="212"/>
      <c r="AC195" s="213"/>
      <c r="AD195" s="213"/>
      <c r="AE195" s="213"/>
      <c r="AF195" s="213"/>
      <c r="AJ195" s="210"/>
    </row>
    <row r="196" spans="1:36" s="209" customFormat="1" x14ac:dyDescent="0.25">
      <c r="A196" s="204"/>
      <c r="B196" s="204"/>
      <c r="C196" s="204"/>
      <c r="D196" s="204"/>
      <c r="E196" s="204"/>
      <c r="F196" s="204"/>
      <c r="G196" s="204"/>
      <c r="H196" s="204"/>
      <c r="I196" s="205"/>
      <c r="J196" s="204"/>
      <c r="K196" s="204"/>
      <c r="L196" s="205"/>
      <c r="M196" s="204"/>
      <c r="N196" s="204"/>
      <c r="O196" s="204"/>
      <c r="P196" s="206"/>
      <c r="Q196" s="208"/>
      <c r="R196" s="207"/>
      <c r="S196" s="207"/>
      <c r="T196" s="67"/>
      <c r="U196" s="67"/>
      <c r="V196" s="67"/>
      <c r="W196" s="67"/>
      <c r="X196" s="70"/>
      <c r="Y196" s="70"/>
      <c r="Z196" s="70"/>
      <c r="AA196" s="212"/>
      <c r="AB196" s="212"/>
      <c r="AC196" s="213"/>
      <c r="AD196" s="213"/>
      <c r="AE196" s="213"/>
      <c r="AF196" s="213"/>
      <c r="AJ196" s="210"/>
    </row>
    <row r="197" spans="1:36" s="209" customFormat="1" x14ac:dyDescent="0.25">
      <c r="A197" s="204"/>
      <c r="B197" s="204"/>
      <c r="C197" s="204"/>
      <c r="D197" s="204"/>
      <c r="E197" s="204"/>
      <c r="F197" s="204"/>
      <c r="G197" s="204"/>
      <c r="H197" s="204"/>
      <c r="I197" s="205"/>
      <c r="J197" s="204"/>
      <c r="K197" s="204"/>
      <c r="L197" s="205"/>
      <c r="M197" s="204"/>
      <c r="N197" s="204"/>
      <c r="O197" s="204"/>
      <c r="P197" s="206"/>
      <c r="Q197" s="208"/>
      <c r="R197" s="207"/>
      <c r="S197" s="207"/>
      <c r="T197" s="67"/>
      <c r="U197" s="67"/>
      <c r="V197" s="67"/>
      <c r="W197" s="67"/>
      <c r="X197" s="70"/>
      <c r="Y197" s="70"/>
      <c r="Z197" s="70"/>
      <c r="AA197" s="212"/>
      <c r="AB197" s="212"/>
      <c r="AC197" s="213"/>
      <c r="AD197" s="213"/>
      <c r="AE197" s="213"/>
      <c r="AF197" s="213"/>
      <c r="AJ197" s="210"/>
    </row>
    <row r="198" spans="1:36" s="209" customFormat="1" x14ac:dyDescent="0.25">
      <c r="A198" s="204"/>
      <c r="B198" s="204"/>
      <c r="C198" s="204"/>
      <c r="D198" s="204"/>
      <c r="E198" s="204"/>
      <c r="F198" s="204"/>
      <c r="G198" s="204"/>
      <c r="H198" s="204"/>
      <c r="I198" s="205"/>
      <c r="J198" s="204"/>
      <c r="K198" s="204"/>
      <c r="L198" s="205"/>
      <c r="M198" s="204"/>
      <c r="N198" s="204"/>
      <c r="O198" s="204"/>
      <c r="P198" s="206"/>
      <c r="Q198" s="208"/>
      <c r="R198" s="207"/>
      <c r="S198" s="207"/>
      <c r="T198" s="67"/>
      <c r="U198" s="67"/>
      <c r="V198" s="67"/>
      <c r="W198" s="67"/>
      <c r="X198" s="70"/>
      <c r="Y198" s="70"/>
      <c r="Z198" s="70"/>
      <c r="AA198" s="212"/>
      <c r="AB198" s="212"/>
      <c r="AC198" s="213"/>
      <c r="AD198" s="213"/>
      <c r="AE198" s="213"/>
      <c r="AF198" s="213"/>
      <c r="AJ198" s="210"/>
    </row>
    <row r="199" spans="1:36" s="209" customFormat="1" x14ac:dyDescent="0.25">
      <c r="A199" s="204"/>
      <c r="B199" s="204"/>
      <c r="C199" s="204"/>
      <c r="D199" s="204"/>
      <c r="E199" s="204"/>
      <c r="F199" s="204"/>
      <c r="G199" s="204"/>
      <c r="H199" s="204"/>
      <c r="I199" s="205"/>
      <c r="J199" s="204"/>
      <c r="K199" s="204"/>
      <c r="L199" s="205"/>
      <c r="M199" s="204"/>
      <c r="N199" s="204"/>
      <c r="O199" s="204"/>
      <c r="P199" s="206"/>
      <c r="Q199" s="208"/>
      <c r="R199" s="207"/>
      <c r="S199" s="207"/>
      <c r="T199" s="67"/>
      <c r="U199" s="67"/>
      <c r="V199" s="67"/>
      <c r="W199" s="67"/>
      <c r="X199" s="70"/>
      <c r="Y199" s="70"/>
      <c r="Z199" s="70"/>
      <c r="AA199" s="212"/>
      <c r="AB199" s="212"/>
      <c r="AC199" s="213"/>
      <c r="AD199" s="213"/>
      <c r="AE199" s="213"/>
      <c r="AF199" s="213"/>
      <c r="AJ199" s="210"/>
    </row>
    <row r="200" spans="1:36" s="209" customFormat="1" x14ac:dyDescent="0.25">
      <c r="A200" s="204"/>
      <c r="B200" s="204"/>
      <c r="C200" s="204"/>
      <c r="D200" s="204"/>
      <c r="E200" s="204"/>
      <c r="F200" s="204"/>
      <c r="G200" s="204"/>
      <c r="H200" s="204"/>
      <c r="I200" s="205"/>
      <c r="J200" s="204"/>
      <c r="K200" s="204"/>
      <c r="L200" s="205"/>
      <c r="M200" s="204"/>
      <c r="N200" s="204"/>
      <c r="O200" s="204"/>
      <c r="P200" s="206"/>
      <c r="Q200" s="208"/>
      <c r="R200" s="207"/>
      <c r="S200" s="207"/>
      <c r="T200" s="67"/>
      <c r="U200" s="67"/>
      <c r="V200" s="67"/>
      <c r="W200" s="67"/>
      <c r="X200" s="70"/>
      <c r="Y200" s="70"/>
      <c r="Z200" s="70"/>
      <c r="AA200" s="212"/>
      <c r="AB200" s="212"/>
      <c r="AC200" s="213"/>
      <c r="AD200" s="213"/>
      <c r="AE200" s="213"/>
      <c r="AF200" s="213"/>
      <c r="AJ200" s="210"/>
    </row>
    <row r="201" spans="1:36" s="209" customFormat="1" x14ac:dyDescent="0.25">
      <c r="A201" s="204"/>
      <c r="B201" s="204"/>
      <c r="C201" s="204"/>
      <c r="D201" s="204"/>
      <c r="E201" s="204"/>
      <c r="F201" s="204"/>
      <c r="G201" s="204"/>
      <c r="H201" s="204"/>
      <c r="I201" s="205"/>
      <c r="J201" s="204"/>
      <c r="K201" s="204"/>
      <c r="L201" s="205"/>
      <c r="M201" s="204"/>
      <c r="N201" s="204"/>
      <c r="O201" s="204"/>
      <c r="P201" s="206"/>
      <c r="Q201" s="208"/>
      <c r="R201" s="207"/>
      <c r="S201" s="207"/>
      <c r="T201" s="67"/>
      <c r="U201" s="67"/>
      <c r="V201" s="67"/>
      <c r="W201" s="67"/>
      <c r="X201" s="70"/>
      <c r="Y201" s="70"/>
      <c r="Z201" s="70"/>
      <c r="AA201" s="212"/>
      <c r="AB201" s="212"/>
      <c r="AC201" s="213"/>
      <c r="AD201" s="213"/>
      <c r="AE201" s="213"/>
      <c r="AF201" s="213"/>
      <c r="AJ201" s="210"/>
    </row>
    <row r="202" spans="1:36" s="209" customFormat="1" x14ac:dyDescent="0.25">
      <c r="A202" s="204"/>
      <c r="B202" s="204"/>
      <c r="C202" s="204"/>
      <c r="D202" s="204"/>
      <c r="E202" s="204"/>
      <c r="F202" s="204"/>
      <c r="G202" s="204"/>
      <c r="H202" s="204"/>
      <c r="I202" s="205"/>
      <c r="J202" s="204"/>
      <c r="K202" s="204"/>
      <c r="L202" s="205"/>
      <c r="M202" s="204"/>
      <c r="N202" s="204"/>
      <c r="O202" s="204"/>
      <c r="P202" s="206"/>
      <c r="Q202" s="208"/>
      <c r="R202" s="207"/>
      <c r="S202" s="207"/>
      <c r="T202" s="67"/>
      <c r="U202" s="67"/>
      <c r="V202" s="67"/>
      <c r="W202" s="67"/>
      <c r="X202" s="70"/>
      <c r="Y202" s="70"/>
      <c r="Z202" s="70"/>
      <c r="AA202" s="212"/>
      <c r="AB202" s="212"/>
      <c r="AC202" s="213"/>
      <c r="AD202" s="213"/>
      <c r="AE202" s="213"/>
      <c r="AF202" s="213"/>
      <c r="AJ202" s="210"/>
    </row>
    <row r="203" spans="1:36" s="209" customFormat="1" x14ac:dyDescent="0.25">
      <c r="A203" s="204"/>
      <c r="B203" s="204"/>
      <c r="C203" s="204"/>
      <c r="D203" s="204"/>
      <c r="E203" s="204"/>
      <c r="F203" s="204"/>
      <c r="G203" s="204"/>
      <c r="H203" s="204"/>
      <c r="I203" s="205"/>
      <c r="J203" s="204"/>
      <c r="K203" s="204"/>
      <c r="L203" s="205"/>
      <c r="M203" s="204"/>
      <c r="N203" s="204"/>
      <c r="O203" s="204"/>
      <c r="P203" s="206"/>
      <c r="Q203" s="208"/>
      <c r="R203" s="207"/>
      <c r="S203" s="207"/>
      <c r="T203" s="67"/>
      <c r="U203" s="67"/>
      <c r="V203" s="67"/>
      <c r="W203" s="67"/>
      <c r="X203" s="70"/>
      <c r="Y203" s="70"/>
      <c r="Z203" s="70"/>
      <c r="AA203" s="212"/>
      <c r="AB203" s="212"/>
      <c r="AC203" s="213"/>
      <c r="AD203" s="213"/>
      <c r="AE203" s="213"/>
      <c r="AF203" s="213"/>
      <c r="AJ203" s="210"/>
    </row>
    <row r="204" spans="1:36" s="209" customFormat="1" x14ac:dyDescent="0.25">
      <c r="A204" s="204"/>
      <c r="B204" s="204"/>
      <c r="C204" s="204"/>
      <c r="D204" s="204"/>
      <c r="E204" s="204"/>
      <c r="F204" s="204"/>
      <c r="G204" s="204"/>
      <c r="H204" s="204"/>
      <c r="I204" s="205"/>
      <c r="J204" s="204"/>
      <c r="K204" s="204"/>
      <c r="L204" s="205"/>
      <c r="M204" s="204"/>
      <c r="N204" s="204"/>
      <c r="O204" s="204"/>
      <c r="P204" s="206"/>
      <c r="Q204" s="208"/>
      <c r="R204" s="207"/>
      <c r="S204" s="207"/>
      <c r="T204" s="67"/>
      <c r="U204" s="67"/>
      <c r="V204" s="67"/>
      <c r="W204" s="67"/>
      <c r="X204" s="70"/>
      <c r="Y204" s="70"/>
      <c r="Z204" s="70"/>
      <c r="AA204" s="212"/>
      <c r="AB204" s="212"/>
      <c r="AC204" s="213"/>
      <c r="AD204" s="213"/>
      <c r="AE204" s="213"/>
      <c r="AF204" s="213"/>
      <c r="AJ204" s="210"/>
    </row>
    <row r="205" spans="1:36" s="209" customFormat="1" x14ac:dyDescent="0.25">
      <c r="A205" s="204"/>
      <c r="B205" s="204"/>
      <c r="C205" s="204"/>
      <c r="D205" s="204"/>
      <c r="E205" s="204"/>
      <c r="F205" s="204"/>
      <c r="G205" s="204"/>
      <c r="H205" s="204"/>
      <c r="I205" s="205"/>
      <c r="J205" s="204"/>
      <c r="K205" s="204"/>
      <c r="L205" s="205"/>
      <c r="M205" s="204"/>
      <c r="N205" s="204"/>
      <c r="O205" s="204"/>
      <c r="P205" s="206"/>
      <c r="Q205" s="208"/>
      <c r="R205" s="207"/>
      <c r="S205" s="207"/>
      <c r="T205" s="67"/>
      <c r="U205" s="67"/>
      <c r="V205" s="67"/>
      <c r="W205" s="67"/>
      <c r="X205" s="70"/>
      <c r="Y205" s="70"/>
      <c r="Z205" s="70"/>
      <c r="AA205" s="212"/>
      <c r="AB205" s="212"/>
      <c r="AC205" s="213"/>
      <c r="AD205" s="213"/>
      <c r="AE205" s="213"/>
      <c r="AF205" s="213"/>
      <c r="AJ205" s="210"/>
    </row>
    <row r="206" spans="1:36" s="209" customFormat="1" x14ac:dyDescent="0.25">
      <c r="A206" s="204"/>
      <c r="B206" s="204"/>
      <c r="C206" s="204"/>
      <c r="D206" s="204"/>
      <c r="E206" s="204"/>
      <c r="F206" s="204"/>
      <c r="G206" s="204"/>
      <c r="H206" s="204"/>
      <c r="I206" s="205"/>
      <c r="J206" s="204"/>
      <c r="K206" s="204"/>
      <c r="L206" s="205"/>
      <c r="M206" s="204"/>
      <c r="N206" s="204"/>
      <c r="O206" s="204"/>
      <c r="P206" s="206"/>
      <c r="Q206" s="208"/>
      <c r="R206" s="207"/>
      <c r="S206" s="207"/>
      <c r="T206" s="67"/>
      <c r="U206" s="67"/>
      <c r="V206" s="67"/>
      <c r="W206" s="67"/>
      <c r="X206" s="70"/>
      <c r="Y206" s="70"/>
      <c r="Z206" s="70"/>
      <c r="AA206" s="212"/>
      <c r="AB206" s="212"/>
      <c r="AC206" s="213"/>
      <c r="AD206" s="213"/>
      <c r="AE206" s="213"/>
      <c r="AF206" s="213"/>
      <c r="AJ206" s="210"/>
    </row>
    <row r="207" spans="1:36" s="209" customFormat="1" x14ac:dyDescent="0.25">
      <c r="A207" s="204"/>
      <c r="B207" s="204"/>
      <c r="C207" s="204"/>
      <c r="D207" s="204"/>
      <c r="E207" s="204"/>
      <c r="F207" s="204"/>
      <c r="G207" s="204"/>
      <c r="H207" s="204"/>
      <c r="I207" s="205"/>
      <c r="J207" s="204"/>
      <c r="K207" s="204"/>
      <c r="L207" s="205"/>
      <c r="M207" s="204"/>
      <c r="N207" s="204"/>
      <c r="O207" s="204"/>
      <c r="P207" s="206"/>
      <c r="Q207" s="208"/>
      <c r="R207" s="207"/>
      <c r="S207" s="207"/>
      <c r="T207" s="67"/>
      <c r="U207" s="67"/>
      <c r="V207" s="67"/>
      <c r="W207" s="67"/>
      <c r="X207" s="70"/>
      <c r="Y207" s="70"/>
      <c r="Z207" s="70"/>
      <c r="AA207" s="212"/>
      <c r="AB207" s="212"/>
      <c r="AC207" s="213"/>
      <c r="AD207" s="213"/>
      <c r="AE207" s="213"/>
      <c r="AF207" s="213"/>
      <c r="AJ207" s="210"/>
    </row>
    <row r="208" spans="1:36" s="209" customFormat="1" x14ac:dyDescent="0.25">
      <c r="A208" s="204"/>
      <c r="B208" s="204"/>
      <c r="C208" s="204"/>
      <c r="D208" s="204"/>
      <c r="E208" s="204"/>
      <c r="F208" s="204"/>
      <c r="G208" s="204"/>
      <c r="H208" s="204"/>
      <c r="I208" s="205"/>
      <c r="J208" s="204"/>
      <c r="K208" s="204"/>
      <c r="L208" s="205"/>
      <c r="M208" s="204"/>
      <c r="N208" s="204"/>
      <c r="O208" s="204"/>
      <c r="P208" s="206"/>
      <c r="Q208" s="208"/>
      <c r="R208" s="207"/>
      <c r="S208" s="207"/>
      <c r="T208" s="67"/>
      <c r="U208" s="67"/>
      <c r="V208" s="67"/>
      <c r="W208" s="67"/>
      <c r="X208" s="70"/>
      <c r="Y208" s="70"/>
      <c r="Z208" s="70"/>
      <c r="AA208" s="212"/>
      <c r="AB208" s="212"/>
      <c r="AC208" s="213"/>
      <c r="AD208" s="213"/>
      <c r="AE208" s="213"/>
      <c r="AF208" s="213"/>
      <c r="AJ208" s="210"/>
    </row>
    <row r="209" spans="1:36" s="209" customFormat="1" x14ac:dyDescent="0.25">
      <c r="A209" s="204"/>
      <c r="B209" s="204"/>
      <c r="C209" s="204"/>
      <c r="D209" s="204"/>
      <c r="E209" s="204"/>
      <c r="F209" s="204"/>
      <c r="G209" s="204"/>
      <c r="H209" s="204"/>
      <c r="I209" s="205"/>
      <c r="J209" s="204"/>
      <c r="K209" s="204"/>
      <c r="L209" s="205"/>
      <c r="M209" s="204"/>
      <c r="N209" s="204"/>
      <c r="O209" s="204"/>
      <c r="P209" s="206"/>
      <c r="Q209" s="208"/>
      <c r="R209" s="207"/>
      <c r="S209" s="207"/>
      <c r="T209" s="67"/>
      <c r="U209" s="67"/>
      <c r="V209" s="67"/>
      <c r="W209" s="67"/>
      <c r="X209" s="70"/>
      <c r="Y209" s="70"/>
      <c r="Z209" s="70"/>
      <c r="AA209" s="212"/>
      <c r="AB209" s="212"/>
      <c r="AC209" s="213"/>
      <c r="AD209" s="213"/>
      <c r="AE209" s="213"/>
      <c r="AF209" s="213"/>
      <c r="AJ209" s="210"/>
    </row>
    <row r="210" spans="1:36" s="209" customFormat="1" x14ac:dyDescent="0.25">
      <c r="A210" s="204"/>
      <c r="B210" s="204"/>
      <c r="C210" s="204"/>
      <c r="D210" s="204"/>
      <c r="E210" s="204"/>
      <c r="F210" s="204"/>
      <c r="G210" s="204"/>
      <c r="H210" s="204"/>
      <c r="I210" s="205"/>
      <c r="J210" s="204"/>
      <c r="K210" s="204"/>
      <c r="L210" s="205"/>
      <c r="M210" s="204"/>
      <c r="N210" s="204"/>
      <c r="O210" s="204"/>
      <c r="P210" s="206"/>
      <c r="Q210" s="208"/>
      <c r="R210" s="207"/>
      <c r="S210" s="207"/>
      <c r="T210" s="67"/>
      <c r="U210" s="67"/>
      <c r="V210" s="67"/>
      <c r="W210" s="67"/>
      <c r="X210" s="70"/>
      <c r="Y210" s="70"/>
      <c r="Z210" s="70"/>
      <c r="AA210" s="212"/>
      <c r="AB210" s="212"/>
      <c r="AC210" s="213"/>
      <c r="AD210" s="213"/>
      <c r="AE210" s="213"/>
      <c r="AF210" s="213"/>
      <c r="AJ210" s="210"/>
    </row>
    <row r="211" spans="1:36" s="209" customFormat="1" x14ac:dyDescent="0.25">
      <c r="A211" s="204"/>
      <c r="B211" s="204"/>
      <c r="C211" s="204"/>
      <c r="D211" s="204"/>
      <c r="E211" s="204"/>
      <c r="F211" s="204"/>
      <c r="G211" s="204"/>
      <c r="H211" s="204"/>
      <c r="I211" s="205"/>
      <c r="J211" s="204"/>
      <c r="K211" s="204"/>
      <c r="L211" s="205"/>
      <c r="M211" s="204"/>
      <c r="N211" s="204"/>
      <c r="O211" s="204"/>
      <c r="P211" s="206"/>
      <c r="Q211" s="208"/>
      <c r="R211" s="207"/>
      <c r="S211" s="207"/>
      <c r="T211" s="67"/>
      <c r="U211" s="67"/>
      <c r="V211" s="67"/>
      <c r="W211" s="67"/>
      <c r="X211" s="70"/>
      <c r="Y211" s="70"/>
      <c r="Z211" s="70"/>
      <c r="AA211" s="212"/>
      <c r="AB211" s="212"/>
      <c r="AC211" s="213"/>
      <c r="AD211" s="213"/>
      <c r="AE211" s="213"/>
      <c r="AF211" s="213"/>
      <c r="AJ211" s="210"/>
    </row>
    <row r="212" spans="1:36" s="209" customFormat="1" x14ac:dyDescent="0.25">
      <c r="A212" s="204"/>
      <c r="B212" s="204"/>
      <c r="C212" s="204"/>
      <c r="D212" s="204"/>
      <c r="E212" s="204"/>
      <c r="F212" s="204"/>
      <c r="G212" s="204"/>
      <c r="H212" s="204"/>
      <c r="I212" s="205"/>
      <c r="J212" s="204"/>
      <c r="K212" s="204"/>
      <c r="L212" s="205"/>
      <c r="M212" s="204"/>
      <c r="N212" s="204"/>
      <c r="O212" s="204"/>
      <c r="P212" s="206"/>
      <c r="Q212" s="208"/>
      <c r="R212" s="207"/>
      <c r="S212" s="207"/>
      <c r="T212" s="67"/>
      <c r="U212" s="67"/>
      <c r="V212" s="67"/>
      <c r="W212" s="67"/>
      <c r="X212" s="70"/>
      <c r="Y212" s="70"/>
      <c r="Z212" s="70"/>
      <c r="AA212" s="212"/>
      <c r="AB212" s="212"/>
      <c r="AC212" s="213"/>
      <c r="AD212" s="213"/>
      <c r="AE212" s="213"/>
      <c r="AF212" s="213"/>
      <c r="AJ212" s="210"/>
    </row>
    <row r="213" spans="1:36" s="209" customFormat="1" x14ac:dyDescent="0.25">
      <c r="A213" s="204"/>
      <c r="B213" s="204"/>
      <c r="C213" s="204"/>
      <c r="D213" s="204"/>
      <c r="E213" s="204"/>
      <c r="F213" s="204"/>
      <c r="G213" s="204"/>
      <c r="H213" s="204"/>
      <c r="I213" s="205"/>
      <c r="J213" s="204"/>
      <c r="K213" s="204"/>
      <c r="L213" s="205"/>
      <c r="M213" s="204"/>
      <c r="N213" s="204"/>
      <c r="O213" s="204"/>
      <c r="P213" s="206"/>
      <c r="Q213" s="208"/>
      <c r="R213" s="207"/>
      <c r="S213" s="207"/>
      <c r="T213" s="67"/>
      <c r="U213" s="67"/>
      <c r="V213" s="67"/>
      <c r="W213" s="67"/>
      <c r="X213" s="70"/>
      <c r="Y213" s="70"/>
      <c r="Z213" s="70"/>
      <c r="AA213" s="212"/>
      <c r="AB213" s="212"/>
      <c r="AC213" s="213"/>
      <c r="AD213" s="213"/>
      <c r="AE213" s="213"/>
      <c r="AF213" s="213"/>
      <c r="AJ213" s="210"/>
    </row>
    <row r="214" spans="1:36" s="209" customFormat="1" x14ac:dyDescent="0.25">
      <c r="A214" s="204"/>
      <c r="B214" s="204"/>
      <c r="C214" s="204"/>
      <c r="D214" s="204"/>
      <c r="E214" s="204"/>
      <c r="F214" s="204"/>
      <c r="G214" s="204"/>
      <c r="H214" s="204"/>
      <c r="I214" s="205"/>
      <c r="J214" s="204"/>
      <c r="K214" s="204"/>
      <c r="L214" s="205"/>
      <c r="M214" s="204"/>
      <c r="N214" s="204"/>
      <c r="O214" s="204"/>
      <c r="P214" s="206"/>
      <c r="Q214" s="208"/>
      <c r="R214" s="207"/>
      <c r="S214" s="207"/>
      <c r="T214" s="67"/>
      <c r="U214" s="67"/>
      <c r="V214" s="67"/>
      <c r="W214" s="67"/>
      <c r="X214" s="70"/>
      <c r="Y214" s="70"/>
      <c r="Z214" s="70"/>
      <c r="AA214" s="212"/>
      <c r="AB214" s="212"/>
      <c r="AC214" s="213"/>
      <c r="AD214" s="213"/>
      <c r="AE214" s="213"/>
      <c r="AF214" s="213"/>
      <c r="AJ214" s="210"/>
    </row>
    <row r="215" spans="1:36" s="209" customFormat="1" x14ac:dyDescent="0.25">
      <c r="A215" s="204"/>
      <c r="B215" s="204"/>
      <c r="C215" s="204"/>
      <c r="D215" s="204"/>
      <c r="E215" s="204"/>
      <c r="F215" s="204"/>
      <c r="G215" s="204"/>
      <c r="H215" s="204"/>
      <c r="I215" s="205"/>
      <c r="J215" s="204"/>
      <c r="K215" s="204"/>
      <c r="L215" s="205"/>
      <c r="M215" s="204"/>
      <c r="N215" s="204"/>
      <c r="O215" s="204"/>
      <c r="P215" s="206"/>
      <c r="Q215" s="208"/>
      <c r="R215" s="207"/>
      <c r="S215" s="207"/>
      <c r="T215" s="67"/>
      <c r="U215" s="67"/>
      <c r="V215" s="67"/>
      <c r="W215" s="67"/>
      <c r="X215" s="70"/>
      <c r="Y215" s="70"/>
      <c r="Z215" s="70"/>
      <c r="AA215" s="212"/>
      <c r="AB215" s="212"/>
      <c r="AC215" s="213"/>
      <c r="AD215" s="213"/>
      <c r="AE215" s="213"/>
      <c r="AF215" s="213"/>
      <c r="AJ215" s="210"/>
    </row>
    <row r="216" spans="1:36" s="209" customFormat="1" x14ac:dyDescent="0.25">
      <c r="A216" s="204"/>
      <c r="B216" s="204"/>
      <c r="C216" s="204"/>
      <c r="D216" s="204"/>
      <c r="E216" s="204"/>
      <c r="F216" s="204"/>
      <c r="G216" s="204"/>
      <c r="H216" s="204"/>
      <c r="I216" s="205"/>
      <c r="J216" s="204"/>
      <c r="K216" s="204"/>
      <c r="L216" s="205"/>
      <c r="M216" s="204"/>
      <c r="N216" s="204"/>
      <c r="O216" s="204"/>
      <c r="P216" s="206"/>
      <c r="Q216" s="208"/>
      <c r="R216" s="207"/>
      <c r="S216" s="207"/>
      <c r="T216" s="67"/>
      <c r="U216" s="67"/>
      <c r="V216" s="67"/>
      <c r="W216" s="67"/>
      <c r="X216" s="70"/>
      <c r="Y216" s="70"/>
      <c r="Z216" s="70"/>
      <c r="AA216" s="212"/>
      <c r="AB216" s="212"/>
      <c r="AC216" s="213"/>
      <c r="AD216" s="213"/>
      <c r="AE216" s="213"/>
      <c r="AF216" s="213"/>
      <c r="AJ216" s="210"/>
    </row>
    <row r="217" spans="1:36" s="209" customFormat="1" x14ac:dyDescent="0.25">
      <c r="A217" s="204"/>
      <c r="B217" s="204"/>
      <c r="C217" s="204"/>
      <c r="D217" s="204"/>
      <c r="E217" s="204"/>
      <c r="F217" s="204"/>
      <c r="G217" s="204"/>
      <c r="H217" s="204"/>
      <c r="I217" s="205"/>
      <c r="J217" s="204"/>
      <c r="K217" s="204"/>
      <c r="L217" s="205"/>
      <c r="M217" s="204"/>
      <c r="N217" s="204"/>
      <c r="O217" s="204"/>
      <c r="P217" s="206"/>
      <c r="Q217" s="208"/>
      <c r="R217" s="207"/>
      <c r="S217" s="207"/>
      <c r="T217" s="67"/>
      <c r="U217" s="67"/>
      <c r="V217" s="67"/>
      <c r="W217" s="67"/>
      <c r="X217" s="70"/>
      <c r="Y217" s="70"/>
      <c r="Z217" s="70"/>
      <c r="AA217" s="212"/>
      <c r="AB217" s="212"/>
      <c r="AC217" s="213"/>
      <c r="AD217" s="213"/>
      <c r="AE217" s="213"/>
      <c r="AF217" s="213"/>
      <c r="AJ217" s="210"/>
    </row>
    <row r="218" spans="1:36" s="209" customFormat="1" x14ac:dyDescent="0.25">
      <c r="A218" s="204"/>
      <c r="B218" s="204"/>
      <c r="C218" s="204"/>
      <c r="D218" s="204"/>
      <c r="E218" s="204"/>
      <c r="F218" s="204"/>
      <c r="G218" s="204"/>
      <c r="H218" s="204"/>
      <c r="I218" s="205"/>
      <c r="J218" s="204"/>
      <c r="K218" s="204"/>
      <c r="L218" s="205"/>
      <c r="M218" s="204"/>
      <c r="N218" s="204"/>
      <c r="O218" s="204"/>
      <c r="P218" s="206"/>
      <c r="Q218" s="208"/>
      <c r="R218" s="207"/>
      <c r="S218" s="207"/>
      <c r="T218" s="67"/>
      <c r="U218" s="67"/>
      <c r="V218" s="67"/>
      <c r="W218" s="67"/>
      <c r="X218" s="70"/>
      <c r="Y218" s="70"/>
      <c r="Z218" s="70"/>
      <c r="AA218" s="212"/>
      <c r="AB218" s="212"/>
      <c r="AC218" s="213"/>
      <c r="AD218" s="213"/>
      <c r="AE218" s="213"/>
      <c r="AF218" s="213"/>
      <c r="AJ218" s="210"/>
    </row>
    <row r="219" spans="1:36" s="209" customFormat="1" x14ac:dyDescent="0.25">
      <c r="A219" s="204"/>
      <c r="B219" s="204"/>
      <c r="C219" s="204"/>
      <c r="D219" s="204"/>
      <c r="E219" s="204"/>
      <c r="F219" s="204"/>
      <c r="G219" s="204"/>
      <c r="H219" s="204"/>
      <c r="I219" s="205"/>
      <c r="J219" s="204"/>
      <c r="K219" s="204"/>
      <c r="L219" s="205"/>
      <c r="M219" s="204"/>
      <c r="N219" s="204"/>
      <c r="O219" s="204"/>
      <c r="P219" s="206"/>
      <c r="Q219" s="208"/>
      <c r="R219" s="207"/>
      <c r="S219" s="207"/>
      <c r="T219" s="67"/>
      <c r="U219" s="67"/>
      <c r="V219" s="67"/>
      <c r="W219" s="67"/>
      <c r="X219" s="70"/>
      <c r="Y219" s="70"/>
      <c r="Z219" s="70"/>
      <c r="AA219" s="212"/>
      <c r="AB219" s="212"/>
      <c r="AC219" s="213"/>
      <c r="AD219" s="213"/>
      <c r="AE219" s="213"/>
      <c r="AF219" s="213"/>
      <c r="AJ219" s="210"/>
    </row>
    <row r="220" spans="1:36" s="209" customFormat="1" x14ac:dyDescent="0.25">
      <c r="A220" s="204"/>
      <c r="B220" s="204"/>
      <c r="C220" s="204"/>
      <c r="D220" s="204"/>
      <c r="E220" s="204"/>
      <c r="F220" s="204"/>
      <c r="G220" s="204"/>
      <c r="H220" s="204"/>
      <c r="I220" s="205"/>
      <c r="J220" s="204"/>
      <c r="K220" s="204"/>
      <c r="L220" s="205"/>
      <c r="M220" s="204"/>
      <c r="N220" s="204"/>
      <c r="O220" s="204"/>
      <c r="P220" s="206"/>
      <c r="Q220" s="208"/>
      <c r="R220" s="207"/>
      <c r="S220" s="207"/>
      <c r="T220" s="67"/>
      <c r="U220" s="67"/>
      <c r="V220" s="67"/>
      <c r="W220" s="67"/>
      <c r="X220" s="70"/>
      <c r="Y220" s="70"/>
      <c r="Z220" s="70"/>
      <c r="AA220" s="212"/>
      <c r="AB220" s="212"/>
      <c r="AC220" s="213"/>
      <c r="AD220" s="213"/>
      <c r="AE220" s="213"/>
      <c r="AF220" s="213"/>
      <c r="AJ220" s="210"/>
    </row>
    <row r="221" spans="1:36" s="209" customFormat="1" x14ac:dyDescent="0.25">
      <c r="A221" s="204"/>
      <c r="B221" s="204"/>
      <c r="C221" s="204"/>
      <c r="D221" s="204"/>
      <c r="E221" s="204"/>
      <c r="F221" s="204"/>
      <c r="G221" s="204"/>
      <c r="H221" s="204"/>
      <c r="I221" s="205"/>
      <c r="J221" s="204"/>
      <c r="K221" s="204"/>
      <c r="L221" s="205"/>
      <c r="M221" s="204"/>
      <c r="N221" s="204"/>
      <c r="O221" s="204"/>
      <c r="P221" s="206"/>
      <c r="Q221" s="208"/>
      <c r="R221" s="207"/>
      <c r="S221" s="207"/>
      <c r="T221" s="67"/>
      <c r="U221" s="67"/>
      <c r="V221" s="67"/>
      <c r="W221" s="67"/>
      <c r="X221" s="70"/>
      <c r="Y221" s="70"/>
      <c r="Z221" s="70"/>
      <c r="AA221" s="212"/>
      <c r="AB221" s="212"/>
      <c r="AC221" s="213"/>
      <c r="AD221" s="213"/>
      <c r="AE221" s="213"/>
      <c r="AF221" s="213"/>
      <c r="AJ221" s="210"/>
    </row>
    <row r="222" spans="1:36" s="209" customFormat="1" x14ac:dyDescent="0.25">
      <c r="A222" s="204"/>
      <c r="B222" s="204"/>
      <c r="C222" s="204"/>
      <c r="D222" s="204"/>
      <c r="E222" s="204"/>
      <c r="F222" s="204"/>
      <c r="G222" s="204"/>
      <c r="H222" s="204"/>
      <c r="I222" s="205"/>
      <c r="J222" s="204"/>
      <c r="K222" s="204"/>
      <c r="L222" s="205"/>
      <c r="M222" s="204"/>
      <c r="N222" s="204"/>
      <c r="O222" s="204"/>
      <c r="P222" s="206"/>
      <c r="Q222" s="208"/>
      <c r="R222" s="207"/>
      <c r="S222" s="207"/>
      <c r="T222" s="67"/>
      <c r="U222" s="67"/>
      <c r="V222" s="67"/>
      <c r="W222" s="67"/>
      <c r="X222" s="70"/>
      <c r="Y222" s="70"/>
      <c r="Z222" s="70"/>
      <c r="AA222" s="212"/>
      <c r="AB222" s="212"/>
      <c r="AC222" s="213"/>
      <c r="AD222" s="213"/>
      <c r="AE222" s="213"/>
      <c r="AF222" s="213"/>
      <c r="AJ222" s="210"/>
    </row>
    <row r="223" spans="1:36" s="209" customFormat="1" x14ac:dyDescent="0.25">
      <c r="A223" s="204"/>
      <c r="B223" s="204"/>
      <c r="C223" s="204"/>
      <c r="D223" s="204"/>
      <c r="E223" s="204"/>
      <c r="F223" s="204"/>
      <c r="G223" s="204"/>
      <c r="H223" s="204"/>
      <c r="I223" s="205"/>
      <c r="J223" s="204"/>
      <c r="K223" s="204"/>
      <c r="L223" s="205"/>
      <c r="M223" s="204"/>
      <c r="N223" s="204"/>
      <c r="O223" s="204"/>
      <c r="P223" s="206"/>
      <c r="Q223" s="208"/>
      <c r="R223" s="207"/>
      <c r="S223" s="207"/>
      <c r="T223" s="67"/>
      <c r="U223" s="67"/>
      <c r="V223" s="67"/>
      <c r="W223" s="67"/>
      <c r="X223" s="70"/>
      <c r="Y223" s="70"/>
      <c r="Z223" s="70"/>
      <c r="AA223" s="212"/>
      <c r="AB223" s="212"/>
      <c r="AC223" s="213"/>
      <c r="AD223" s="213"/>
      <c r="AE223" s="213"/>
      <c r="AF223" s="213"/>
      <c r="AJ223" s="210"/>
    </row>
    <row r="224" spans="1:36" s="209" customFormat="1" x14ac:dyDescent="0.25">
      <c r="A224" s="204"/>
      <c r="B224" s="204"/>
      <c r="C224" s="204"/>
      <c r="D224" s="204"/>
      <c r="E224" s="204"/>
      <c r="F224" s="204"/>
      <c r="G224" s="204"/>
      <c r="H224" s="204"/>
      <c r="I224" s="205"/>
      <c r="J224" s="204"/>
      <c r="K224" s="204"/>
      <c r="L224" s="205"/>
      <c r="M224" s="204"/>
      <c r="N224" s="204"/>
      <c r="O224" s="204"/>
      <c r="P224" s="206"/>
      <c r="Q224" s="208"/>
      <c r="R224" s="207"/>
      <c r="S224" s="207"/>
      <c r="T224" s="67"/>
      <c r="U224" s="67"/>
      <c r="V224" s="67"/>
      <c r="W224" s="67"/>
      <c r="X224" s="70"/>
      <c r="Y224" s="70"/>
      <c r="Z224" s="70"/>
      <c r="AA224" s="212"/>
      <c r="AB224" s="212"/>
      <c r="AC224" s="213"/>
      <c r="AD224" s="213"/>
      <c r="AE224" s="213"/>
      <c r="AF224" s="213"/>
      <c r="AJ224" s="210"/>
    </row>
    <row r="225" spans="1:36" s="209" customFormat="1" x14ac:dyDescent="0.25">
      <c r="A225" s="204"/>
      <c r="B225" s="204"/>
      <c r="C225" s="204"/>
      <c r="D225" s="204"/>
      <c r="E225" s="204"/>
      <c r="F225" s="204"/>
      <c r="G225" s="204"/>
      <c r="H225" s="204"/>
      <c r="I225" s="205"/>
      <c r="J225" s="204"/>
      <c r="K225" s="204"/>
      <c r="L225" s="205"/>
      <c r="M225" s="204"/>
      <c r="N225" s="204"/>
      <c r="O225" s="204"/>
      <c r="P225" s="206"/>
      <c r="Q225" s="208"/>
      <c r="R225" s="207"/>
      <c r="S225" s="207"/>
      <c r="T225" s="67"/>
      <c r="U225" s="67"/>
      <c r="V225" s="67"/>
      <c r="W225" s="67"/>
      <c r="X225" s="70"/>
      <c r="Y225" s="70"/>
      <c r="Z225" s="70"/>
      <c r="AA225" s="212"/>
      <c r="AB225" s="212"/>
      <c r="AC225" s="213"/>
      <c r="AD225" s="213"/>
      <c r="AE225" s="213"/>
      <c r="AF225" s="213"/>
      <c r="AJ225" s="210"/>
    </row>
    <row r="226" spans="1:36" s="209" customFormat="1" x14ac:dyDescent="0.25">
      <c r="A226" s="204"/>
      <c r="B226" s="204"/>
      <c r="C226" s="204"/>
      <c r="D226" s="204"/>
      <c r="E226" s="204"/>
      <c r="F226" s="204"/>
      <c r="G226" s="204"/>
      <c r="H226" s="204"/>
      <c r="I226" s="205"/>
      <c r="J226" s="204"/>
      <c r="K226" s="204"/>
      <c r="L226" s="205"/>
      <c r="M226" s="204"/>
      <c r="N226" s="204"/>
      <c r="O226" s="204"/>
      <c r="P226" s="206"/>
      <c r="Q226" s="208"/>
      <c r="R226" s="207"/>
      <c r="S226" s="207"/>
      <c r="T226" s="67"/>
      <c r="U226" s="67"/>
      <c r="V226" s="67"/>
      <c r="W226" s="67"/>
      <c r="X226" s="70"/>
      <c r="Y226" s="70"/>
      <c r="Z226" s="70"/>
      <c r="AA226" s="212"/>
      <c r="AB226" s="212"/>
      <c r="AC226" s="213"/>
      <c r="AD226" s="213"/>
      <c r="AE226" s="213"/>
      <c r="AF226" s="213"/>
      <c r="AJ226" s="210"/>
    </row>
    <row r="227" spans="1:36" s="209" customFormat="1" x14ac:dyDescent="0.25">
      <c r="A227" s="204"/>
      <c r="B227" s="204"/>
      <c r="C227" s="204"/>
      <c r="D227" s="204"/>
      <c r="E227" s="204"/>
      <c r="F227" s="204"/>
      <c r="G227" s="204"/>
      <c r="H227" s="204"/>
      <c r="I227" s="205"/>
      <c r="J227" s="204"/>
      <c r="K227" s="204"/>
      <c r="L227" s="205"/>
      <c r="M227" s="204"/>
      <c r="N227" s="204"/>
      <c r="O227" s="204"/>
      <c r="P227" s="206"/>
      <c r="Q227" s="208"/>
      <c r="R227" s="207"/>
      <c r="S227" s="207"/>
      <c r="T227" s="67"/>
      <c r="U227" s="67"/>
      <c r="V227" s="67"/>
      <c r="W227" s="67"/>
      <c r="X227" s="70"/>
      <c r="Y227" s="70"/>
      <c r="Z227" s="70"/>
      <c r="AA227" s="212"/>
      <c r="AB227" s="212"/>
      <c r="AC227" s="213"/>
      <c r="AD227" s="213"/>
      <c r="AE227" s="213"/>
      <c r="AF227" s="213"/>
      <c r="AJ227" s="210"/>
    </row>
    <row r="228" spans="1:36" s="209" customFormat="1" x14ac:dyDescent="0.25">
      <c r="A228" s="204"/>
      <c r="B228" s="204"/>
      <c r="C228" s="204"/>
      <c r="D228" s="204"/>
      <c r="E228" s="204"/>
      <c r="F228" s="204"/>
      <c r="G228" s="204"/>
      <c r="H228" s="204"/>
      <c r="I228" s="205"/>
      <c r="J228" s="204"/>
      <c r="K228" s="204"/>
      <c r="L228" s="205"/>
      <c r="M228" s="204"/>
      <c r="N228" s="204"/>
      <c r="O228" s="204"/>
      <c r="P228" s="206"/>
      <c r="Q228" s="208"/>
      <c r="R228" s="207"/>
      <c r="S228" s="207"/>
      <c r="T228" s="67"/>
      <c r="U228" s="67"/>
      <c r="V228" s="67"/>
      <c r="W228" s="67"/>
      <c r="X228" s="70"/>
      <c r="Y228" s="70"/>
      <c r="Z228" s="70"/>
      <c r="AA228" s="212"/>
      <c r="AB228" s="212"/>
      <c r="AC228" s="213"/>
      <c r="AD228" s="213"/>
      <c r="AE228" s="213"/>
      <c r="AF228" s="213"/>
      <c r="AJ228" s="210"/>
    </row>
    <row r="229" spans="1:36" s="209" customFormat="1" x14ac:dyDescent="0.25">
      <c r="A229" s="204"/>
      <c r="B229" s="204"/>
      <c r="C229" s="204"/>
      <c r="D229" s="204"/>
      <c r="E229" s="204"/>
      <c r="F229" s="204"/>
      <c r="G229" s="204"/>
      <c r="H229" s="204"/>
      <c r="I229" s="205"/>
      <c r="J229" s="204"/>
      <c r="K229" s="204"/>
      <c r="L229" s="205"/>
      <c r="M229" s="204"/>
      <c r="N229" s="204"/>
      <c r="O229" s="204"/>
      <c r="P229" s="206"/>
      <c r="Q229" s="208"/>
      <c r="R229" s="207"/>
      <c r="S229" s="207"/>
      <c r="T229" s="67"/>
      <c r="U229" s="67"/>
      <c r="V229" s="67"/>
      <c r="W229" s="67"/>
      <c r="X229" s="70"/>
      <c r="Y229" s="70"/>
      <c r="Z229" s="70"/>
      <c r="AA229" s="212"/>
      <c r="AB229" s="212"/>
      <c r="AC229" s="213"/>
      <c r="AD229" s="213"/>
      <c r="AE229" s="213"/>
      <c r="AF229" s="213"/>
      <c r="AJ229" s="210"/>
    </row>
    <row r="230" spans="1:36" s="209" customFormat="1" x14ac:dyDescent="0.25">
      <c r="A230" s="204"/>
      <c r="B230" s="204"/>
      <c r="C230" s="204"/>
      <c r="D230" s="204"/>
      <c r="E230" s="204"/>
      <c r="F230" s="204"/>
      <c r="G230" s="204"/>
      <c r="H230" s="204"/>
      <c r="I230" s="205"/>
      <c r="J230" s="204"/>
      <c r="K230" s="204"/>
      <c r="L230" s="205"/>
      <c r="M230" s="204"/>
      <c r="N230" s="204"/>
      <c r="O230" s="204"/>
      <c r="P230" s="206"/>
      <c r="Q230" s="208"/>
      <c r="R230" s="207"/>
      <c r="S230" s="207"/>
      <c r="T230" s="67"/>
      <c r="U230" s="67"/>
      <c r="V230" s="67"/>
      <c r="W230" s="67"/>
      <c r="X230" s="70"/>
      <c r="Y230" s="70"/>
      <c r="Z230" s="70"/>
      <c r="AA230" s="212"/>
      <c r="AB230" s="212"/>
      <c r="AC230" s="213"/>
      <c r="AD230" s="213"/>
      <c r="AE230" s="213"/>
      <c r="AF230" s="213"/>
      <c r="AJ230" s="210"/>
    </row>
    <row r="231" spans="1:36" s="209" customFormat="1" x14ac:dyDescent="0.25">
      <c r="A231" s="204"/>
      <c r="B231" s="204"/>
      <c r="C231" s="204"/>
      <c r="D231" s="204"/>
      <c r="E231" s="204"/>
      <c r="F231" s="204"/>
      <c r="G231" s="204"/>
      <c r="H231" s="204"/>
      <c r="I231" s="205"/>
      <c r="J231" s="204"/>
      <c r="K231" s="204"/>
      <c r="L231" s="205"/>
      <c r="M231" s="204"/>
      <c r="N231" s="204"/>
      <c r="O231" s="204"/>
      <c r="P231" s="206"/>
      <c r="Q231" s="208"/>
      <c r="R231" s="207"/>
      <c r="S231" s="207"/>
      <c r="T231" s="67"/>
      <c r="U231" s="67"/>
      <c r="V231" s="67"/>
      <c r="W231" s="67"/>
      <c r="X231" s="70"/>
      <c r="Y231" s="70"/>
      <c r="Z231" s="70"/>
      <c r="AA231" s="212"/>
      <c r="AB231" s="212"/>
      <c r="AC231" s="213"/>
      <c r="AD231" s="213"/>
      <c r="AE231" s="213"/>
      <c r="AF231" s="213"/>
      <c r="AJ231" s="210"/>
    </row>
    <row r="232" spans="1:36" s="209" customFormat="1" x14ac:dyDescent="0.25">
      <c r="A232" s="204"/>
      <c r="B232" s="204"/>
      <c r="C232" s="204"/>
      <c r="D232" s="204"/>
      <c r="E232" s="204"/>
      <c r="F232" s="204"/>
      <c r="G232" s="204"/>
      <c r="H232" s="204"/>
      <c r="I232" s="205"/>
      <c r="J232" s="204"/>
      <c r="K232" s="204"/>
      <c r="L232" s="205"/>
      <c r="M232" s="204"/>
      <c r="N232" s="204"/>
      <c r="O232" s="204"/>
      <c r="P232" s="206"/>
      <c r="Q232" s="208"/>
      <c r="R232" s="207"/>
      <c r="S232" s="207"/>
      <c r="T232" s="67"/>
      <c r="U232" s="67"/>
      <c r="V232" s="67"/>
      <c r="W232" s="67"/>
      <c r="X232" s="70"/>
      <c r="Y232" s="70"/>
      <c r="Z232" s="70"/>
      <c r="AA232" s="212"/>
      <c r="AB232" s="212"/>
      <c r="AC232" s="213"/>
      <c r="AD232" s="213"/>
      <c r="AE232" s="213"/>
      <c r="AF232" s="213"/>
      <c r="AJ232" s="210"/>
    </row>
    <row r="233" spans="1:36" s="209" customFormat="1" x14ac:dyDescent="0.25">
      <c r="A233" s="204"/>
      <c r="B233" s="204"/>
      <c r="C233" s="204"/>
      <c r="D233" s="204"/>
      <c r="E233" s="204"/>
      <c r="F233" s="204"/>
      <c r="G233" s="204"/>
      <c r="H233" s="204"/>
      <c r="I233" s="205"/>
      <c r="J233" s="204"/>
      <c r="K233" s="204"/>
      <c r="L233" s="205"/>
      <c r="M233" s="204"/>
      <c r="N233" s="204"/>
      <c r="O233" s="204"/>
      <c r="P233" s="206"/>
      <c r="Q233" s="208"/>
      <c r="R233" s="207"/>
      <c r="S233" s="207"/>
      <c r="T233" s="67"/>
      <c r="U233" s="67"/>
      <c r="V233" s="67"/>
      <c r="W233" s="67"/>
      <c r="X233" s="70"/>
      <c r="Y233" s="70"/>
      <c r="Z233" s="70"/>
      <c r="AA233" s="212"/>
      <c r="AB233" s="212"/>
      <c r="AC233" s="213"/>
      <c r="AD233" s="213"/>
      <c r="AE233" s="213"/>
      <c r="AF233" s="213"/>
      <c r="AJ233" s="210"/>
    </row>
    <row r="234" spans="1:36" s="209" customFormat="1" x14ac:dyDescent="0.25">
      <c r="A234" s="204"/>
      <c r="B234" s="204"/>
      <c r="C234" s="204"/>
      <c r="D234" s="204"/>
      <c r="E234" s="204"/>
      <c r="F234" s="204"/>
      <c r="G234" s="204"/>
      <c r="H234" s="204"/>
      <c r="I234" s="205"/>
      <c r="J234" s="204"/>
      <c r="K234" s="204"/>
      <c r="L234" s="205"/>
      <c r="M234" s="204"/>
      <c r="N234" s="204"/>
      <c r="O234" s="204"/>
      <c r="P234" s="206"/>
      <c r="Q234" s="208"/>
      <c r="R234" s="207"/>
      <c r="S234" s="207"/>
      <c r="T234" s="67"/>
      <c r="U234" s="67"/>
      <c r="V234" s="67"/>
      <c r="W234" s="67"/>
      <c r="X234" s="70"/>
      <c r="Y234" s="70"/>
      <c r="Z234" s="70"/>
      <c r="AA234" s="212"/>
      <c r="AB234" s="212"/>
      <c r="AC234" s="213"/>
      <c r="AD234" s="213"/>
      <c r="AE234" s="213"/>
      <c r="AF234" s="213"/>
      <c r="AJ234" s="210"/>
    </row>
    <row r="235" spans="1:36" s="209" customFormat="1" x14ac:dyDescent="0.25">
      <c r="A235" s="204"/>
      <c r="B235" s="204"/>
      <c r="C235" s="204"/>
      <c r="D235" s="204"/>
      <c r="E235" s="204"/>
      <c r="F235" s="204"/>
      <c r="G235" s="204"/>
      <c r="H235" s="204"/>
      <c r="I235" s="205"/>
      <c r="J235" s="204"/>
      <c r="K235" s="204"/>
      <c r="L235" s="205"/>
      <c r="M235" s="204"/>
      <c r="N235" s="204"/>
      <c r="O235" s="204"/>
      <c r="P235" s="206"/>
      <c r="Q235" s="208"/>
      <c r="R235" s="207"/>
      <c r="S235" s="207"/>
      <c r="T235" s="67"/>
      <c r="U235" s="67"/>
      <c r="V235" s="67"/>
      <c r="W235" s="67"/>
      <c r="X235" s="70"/>
      <c r="Y235" s="70"/>
      <c r="Z235" s="70"/>
      <c r="AA235" s="212"/>
      <c r="AB235" s="212"/>
      <c r="AC235" s="213"/>
      <c r="AD235" s="213"/>
      <c r="AE235" s="213"/>
      <c r="AF235" s="213"/>
      <c r="AJ235" s="210"/>
    </row>
    <row r="236" spans="1:36" s="209" customFormat="1" x14ac:dyDescent="0.25">
      <c r="A236" s="204"/>
      <c r="B236" s="204"/>
      <c r="C236" s="204"/>
      <c r="D236" s="204"/>
      <c r="E236" s="204"/>
      <c r="F236" s="204"/>
      <c r="G236" s="204"/>
      <c r="H236" s="204"/>
      <c r="I236" s="205"/>
      <c r="J236" s="204"/>
      <c r="K236" s="204"/>
      <c r="L236" s="205"/>
      <c r="M236" s="204"/>
      <c r="N236" s="204"/>
      <c r="O236" s="204"/>
      <c r="P236" s="206"/>
      <c r="Q236" s="208"/>
      <c r="R236" s="207"/>
      <c r="S236" s="207"/>
      <c r="T236" s="67"/>
      <c r="U236" s="67"/>
      <c r="V236" s="67"/>
      <c r="W236" s="67"/>
      <c r="X236" s="70"/>
      <c r="Y236" s="70"/>
      <c r="Z236" s="70"/>
      <c r="AA236" s="212"/>
      <c r="AB236" s="212"/>
      <c r="AC236" s="213"/>
      <c r="AD236" s="213"/>
      <c r="AE236" s="213"/>
      <c r="AF236" s="213"/>
      <c r="AJ236" s="210"/>
    </row>
    <row r="237" spans="1:36" s="209" customFormat="1" x14ac:dyDescent="0.25">
      <c r="A237" s="204"/>
      <c r="B237" s="204"/>
      <c r="C237" s="204"/>
      <c r="D237" s="204"/>
      <c r="E237" s="204"/>
      <c r="F237" s="204"/>
      <c r="G237" s="204"/>
      <c r="H237" s="204"/>
      <c r="I237" s="205"/>
      <c r="J237" s="204"/>
      <c r="K237" s="204"/>
      <c r="L237" s="205"/>
      <c r="M237" s="204"/>
      <c r="N237" s="204"/>
      <c r="O237" s="204"/>
      <c r="P237" s="206"/>
      <c r="Q237" s="208"/>
      <c r="R237" s="207"/>
      <c r="S237" s="207"/>
      <c r="T237" s="67"/>
      <c r="U237" s="67"/>
      <c r="V237" s="67"/>
      <c r="W237" s="67"/>
      <c r="X237" s="70"/>
      <c r="Y237" s="70"/>
      <c r="Z237" s="70"/>
      <c r="AA237" s="212"/>
      <c r="AB237" s="212"/>
      <c r="AC237" s="213"/>
      <c r="AD237" s="213"/>
      <c r="AE237" s="213"/>
      <c r="AF237" s="213"/>
      <c r="AJ237" s="210"/>
    </row>
    <row r="238" spans="1:36" s="209" customFormat="1" x14ac:dyDescent="0.25">
      <c r="A238" s="204"/>
      <c r="B238" s="204"/>
      <c r="C238" s="204"/>
      <c r="D238" s="204"/>
      <c r="E238" s="204"/>
      <c r="F238" s="204"/>
      <c r="G238" s="204"/>
      <c r="H238" s="204"/>
      <c r="I238" s="205"/>
      <c r="J238" s="204"/>
      <c r="K238" s="204"/>
      <c r="L238" s="205"/>
      <c r="M238" s="204"/>
      <c r="N238" s="204"/>
      <c r="O238" s="204"/>
      <c r="P238" s="206"/>
      <c r="Q238" s="208"/>
      <c r="R238" s="207"/>
      <c r="S238" s="207"/>
      <c r="T238" s="67"/>
      <c r="U238" s="67"/>
      <c r="V238" s="67"/>
      <c r="W238" s="67"/>
      <c r="X238" s="70"/>
      <c r="Y238" s="70"/>
      <c r="Z238" s="70"/>
      <c r="AA238" s="212"/>
      <c r="AB238" s="212"/>
      <c r="AC238" s="213"/>
      <c r="AD238" s="213"/>
      <c r="AE238" s="213"/>
      <c r="AF238" s="213"/>
      <c r="AJ238" s="210"/>
    </row>
    <row r="239" spans="1:36" s="209" customFormat="1" x14ac:dyDescent="0.25">
      <c r="A239" s="204"/>
      <c r="B239" s="204"/>
      <c r="C239" s="204"/>
      <c r="D239" s="204"/>
      <c r="E239" s="204"/>
      <c r="F239" s="204"/>
      <c r="G239" s="204"/>
      <c r="H239" s="204"/>
      <c r="I239" s="205"/>
      <c r="J239" s="204"/>
      <c r="K239" s="204"/>
      <c r="L239" s="205"/>
      <c r="M239" s="204"/>
      <c r="N239" s="204"/>
      <c r="O239" s="204"/>
      <c r="P239" s="206"/>
      <c r="Q239" s="208"/>
      <c r="R239" s="207"/>
      <c r="S239" s="207"/>
      <c r="T239" s="67"/>
      <c r="U239" s="67"/>
      <c r="V239" s="67"/>
      <c r="W239" s="67"/>
      <c r="X239" s="70"/>
      <c r="Y239" s="70"/>
      <c r="Z239" s="70"/>
      <c r="AA239" s="212"/>
      <c r="AB239" s="212"/>
      <c r="AC239" s="213"/>
      <c r="AD239" s="213"/>
      <c r="AE239" s="213"/>
      <c r="AF239" s="213"/>
      <c r="AJ239" s="210"/>
    </row>
    <row r="240" spans="1:36" s="209" customFormat="1" x14ac:dyDescent="0.25">
      <c r="A240" s="204"/>
      <c r="B240" s="204"/>
      <c r="C240" s="204"/>
      <c r="D240" s="204"/>
      <c r="E240" s="204"/>
      <c r="F240" s="204"/>
      <c r="G240" s="204"/>
      <c r="H240" s="204"/>
      <c r="I240" s="205"/>
      <c r="J240" s="204"/>
      <c r="K240" s="204"/>
      <c r="L240" s="205"/>
      <c r="M240" s="204"/>
      <c r="N240" s="204"/>
      <c r="O240" s="204"/>
      <c r="P240" s="206"/>
      <c r="Q240" s="208"/>
      <c r="R240" s="207"/>
      <c r="S240" s="207"/>
      <c r="T240" s="67"/>
      <c r="U240" s="67"/>
      <c r="V240" s="67"/>
      <c r="W240" s="67"/>
      <c r="X240" s="70"/>
      <c r="Y240" s="70"/>
      <c r="Z240" s="70"/>
      <c r="AA240" s="212"/>
      <c r="AB240" s="212"/>
      <c r="AC240" s="213"/>
      <c r="AD240" s="213"/>
      <c r="AE240" s="213"/>
      <c r="AF240" s="213"/>
      <c r="AJ240" s="210"/>
    </row>
    <row r="241" spans="1:36" s="209" customFormat="1" x14ac:dyDescent="0.25">
      <c r="A241" s="204"/>
      <c r="B241" s="204"/>
      <c r="C241" s="204"/>
      <c r="D241" s="204"/>
      <c r="E241" s="204"/>
      <c r="F241" s="204"/>
      <c r="G241" s="204"/>
      <c r="H241" s="204"/>
      <c r="I241" s="205"/>
      <c r="J241" s="204"/>
      <c r="K241" s="204"/>
      <c r="L241" s="205"/>
      <c r="M241" s="204"/>
      <c r="N241" s="204"/>
      <c r="O241" s="204"/>
      <c r="P241" s="206"/>
      <c r="Q241" s="208"/>
      <c r="R241" s="207"/>
      <c r="S241" s="207"/>
      <c r="T241" s="67"/>
      <c r="U241" s="67"/>
      <c r="V241" s="67"/>
      <c r="W241" s="67"/>
      <c r="X241" s="70"/>
      <c r="Y241" s="70"/>
      <c r="Z241" s="70"/>
      <c r="AA241" s="212"/>
      <c r="AB241" s="212"/>
      <c r="AC241" s="213"/>
      <c r="AD241" s="213"/>
      <c r="AE241" s="213"/>
      <c r="AF241" s="213"/>
      <c r="AJ241" s="210"/>
    </row>
    <row r="242" spans="1:36" s="209" customFormat="1" x14ac:dyDescent="0.25">
      <c r="A242" s="204"/>
      <c r="B242" s="204"/>
      <c r="C242" s="204"/>
      <c r="D242" s="204"/>
      <c r="E242" s="204"/>
      <c r="F242" s="204"/>
      <c r="G242" s="204"/>
      <c r="H242" s="204"/>
      <c r="I242" s="205"/>
      <c r="J242" s="204"/>
      <c r="K242" s="204"/>
      <c r="L242" s="205"/>
      <c r="M242" s="204"/>
      <c r="N242" s="204"/>
      <c r="O242" s="204"/>
      <c r="P242" s="206"/>
      <c r="Q242" s="208"/>
      <c r="R242" s="207"/>
      <c r="S242" s="207"/>
      <c r="T242" s="67"/>
      <c r="U242" s="67"/>
      <c r="V242" s="67"/>
      <c r="W242" s="67"/>
      <c r="X242" s="70"/>
      <c r="Y242" s="70"/>
      <c r="Z242" s="70"/>
      <c r="AA242" s="212"/>
      <c r="AB242" s="212"/>
      <c r="AC242" s="213"/>
      <c r="AD242" s="213"/>
      <c r="AE242" s="213"/>
      <c r="AF242" s="213"/>
      <c r="AJ242" s="210"/>
    </row>
    <row r="243" spans="1:36" s="209" customFormat="1" x14ac:dyDescent="0.25">
      <c r="A243" s="204"/>
      <c r="B243" s="204"/>
      <c r="C243" s="204"/>
      <c r="D243" s="204"/>
      <c r="E243" s="204"/>
      <c r="F243" s="204"/>
      <c r="G243" s="204"/>
      <c r="H243" s="204"/>
      <c r="I243" s="205"/>
      <c r="J243" s="204"/>
      <c r="K243" s="204"/>
      <c r="L243" s="205"/>
      <c r="M243" s="204"/>
      <c r="N243" s="204"/>
      <c r="O243" s="204"/>
      <c r="P243" s="206"/>
      <c r="Q243" s="208"/>
      <c r="R243" s="207"/>
      <c r="S243" s="207"/>
      <c r="T243" s="67"/>
      <c r="U243" s="67"/>
      <c r="V243" s="67"/>
      <c r="W243" s="67"/>
      <c r="X243" s="70"/>
      <c r="Y243" s="70"/>
      <c r="Z243" s="70"/>
      <c r="AA243" s="212"/>
      <c r="AB243" s="212"/>
      <c r="AC243" s="213"/>
      <c r="AD243" s="213"/>
      <c r="AE243" s="213"/>
      <c r="AF243" s="213"/>
      <c r="AJ243" s="210"/>
    </row>
    <row r="244" spans="1:36" s="209" customFormat="1" x14ac:dyDescent="0.25">
      <c r="A244" s="204"/>
      <c r="B244" s="204"/>
      <c r="C244" s="204"/>
      <c r="D244" s="204"/>
      <c r="E244" s="204"/>
      <c r="F244" s="204"/>
      <c r="G244" s="204"/>
      <c r="H244" s="204"/>
      <c r="I244" s="205"/>
      <c r="J244" s="204"/>
      <c r="K244" s="204"/>
      <c r="L244" s="205"/>
      <c r="M244" s="204"/>
      <c r="N244" s="204"/>
      <c r="O244" s="204"/>
      <c r="P244" s="206"/>
      <c r="Q244" s="208"/>
      <c r="R244" s="207"/>
      <c r="S244" s="207"/>
      <c r="T244" s="67"/>
      <c r="U244" s="67"/>
      <c r="V244" s="67"/>
      <c r="W244" s="67"/>
      <c r="X244" s="70"/>
      <c r="Y244" s="70"/>
      <c r="Z244" s="70"/>
      <c r="AA244" s="212"/>
      <c r="AB244" s="212"/>
      <c r="AC244" s="213"/>
      <c r="AD244" s="213"/>
      <c r="AE244" s="213"/>
      <c r="AF244" s="213"/>
      <c r="AJ244" s="210"/>
    </row>
    <row r="245" spans="1:36" s="209" customFormat="1" x14ac:dyDescent="0.25">
      <c r="A245" s="204"/>
      <c r="B245" s="204"/>
      <c r="C245" s="204"/>
      <c r="D245" s="204"/>
      <c r="E245" s="204"/>
      <c r="F245" s="204"/>
      <c r="G245" s="204"/>
      <c r="H245" s="204"/>
      <c r="I245" s="205"/>
      <c r="J245" s="204"/>
      <c r="K245" s="204"/>
      <c r="L245" s="205"/>
      <c r="M245" s="204"/>
      <c r="N245" s="204"/>
      <c r="O245" s="204"/>
      <c r="P245" s="206"/>
      <c r="Q245" s="208"/>
      <c r="R245" s="207"/>
      <c r="S245" s="207"/>
      <c r="T245" s="67"/>
      <c r="U245" s="67"/>
      <c r="V245" s="67"/>
      <c r="W245" s="67"/>
      <c r="X245" s="70"/>
      <c r="Y245" s="70"/>
      <c r="Z245" s="70"/>
      <c r="AA245" s="212"/>
      <c r="AB245" s="212"/>
      <c r="AC245" s="213"/>
      <c r="AD245" s="213"/>
      <c r="AE245" s="213"/>
      <c r="AF245" s="213"/>
      <c r="AJ245" s="210"/>
    </row>
    <row r="246" spans="1:36" s="209" customFormat="1" x14ac:dyDescent="0.25">
      <c r="A246" s="204"/>
      <c r="B246" s="204"/>
      <c r="C246" s="204"/>
      <c r="D246" s="204"/>
      <c r="E246" s="204"/>
      <c r="F246" s="204"/>
      <c r="G246" s="204"/>
      <c r="H246" s="204"/>
      <c r="I246" s="205"/>
      <c r="J246" s="204"/>
      <c r="K246" s="204"/>
      <c r="L246" s="205"/>
      <c r="M246" s="204"/>
      <c r="N246" s="204"/>
      <c r="O246" s="204"/>
      <c r="P246" s="206"/>
      <c r="Q246" s="208"/>
      <c r="R246" s="207"/>
      <c r="S246" s="207"/>
      <c r="T246" s="67"/>
      <c r="U246" s="67"/>
      <c r="V246" s="67"/>
      <c r="W246" s="67"/>
      <c r="X246" s="70"/>
      <c r="Y246" s="70"/>
      <c r="Z246" s="70"/>
      <c r="AA246" s="212"/>
      <c r="AB246" s="212"/>
      <c r="AC246" s="213"/>
      <c r="AD246" s="213"/>
      <c r="AE246" s="213"/>
      <c r="AF246" s="213"/>
      <c r="AJ246" s="210"/>
    </row>
    <row r="247" spans="1:36" s="209" customFormat="1" x14ac:dyDescent="0.25">
      <c r="A247" s="204"/>
      <c r="B247" s="204"/>
      <c r="C247" s="204"/>
      <c r="D247" s="204"/>
      <c r="E247" s="204"/>
      <c r="F247" s="204"/>
      <c r="G247" s="204"/>
      <c r="H247" s="204"/>
      <c r="I247" s="205"/>
      <c r="J247" s="204"/>
      <c r="K247" s="204"/>
      <c r="L247" s="205"/>
      <c r="M247" s="204"/>
      <c r="N247" s="204"/>
      <c r="O247" s="204"/>
      <c r="P247" s="206"/>
      <c r="Q247" s="208"/>
      <c r="R247" s="207"/>
      <c r="S247" s="207"/>
      <c r="T247" s="67"/>
      <c r="U247" s="67"/>
      <c r="V247" s="67"/>
      <c r="W247" s="67"/>
      <c r="X247" s="70"/>
      <c r="Y247" s="70"/>
      <c r="Z247" s="70"/>
      <c r="AA247" s="212"/>
      <c r="AB247" s="212"/>
      <c r="AC247" s="213"/>
      <c r="AD247" s="213"/>
      <c r="AE247" s="213"/>
      <c r="AF247" s="213"/>
      <c r="AJ247" s="210"/>
    </row>
    <row r="248" spans="1:36" s="209" customFormat="1" x14ac:dyDescent="0.25">
      <c r="A248" s="204"/>
      <c r="B248" s="204"/>
      <c r="C248" s="204"/>
      <c r="D248" s="204"/>
      <c r="E248" s="204"/>
      <c r="F248" s="204"/>
      <c r="G248" s="204"/>
      <c r="H248" s="204"/>
      <c r="I248" s="205"/>
      <c r="J248" s="204"/>
      <c r="K248" s="204"/>
      <c r="L248" s="205"/>
      <c r="M248" s="204"/>
      <c r="N248" s="204"/>
      <c r="O248" s="204"/>
      <c r="P248" s="206"/>
      <c r="Q248" s="208"/>
      <c r="R248" s="207"/>
      <c r="S248" s="207"/>
      <c r="T248" s="67"/>
      <c r="U248" s="67"/>
      <c r="V248" s="67"/>
      <c r="W248" s="67"/>
      <c r="X248" s="70"/>
      <c r="Y248" s="70"/>
      <c r="Z248" s="70"/>
      <c r="AA248" s="212"/>
      <c r="AB248" s="212"/>
      <c r="AC248" s="213"/>
      <c r="AD248" s="213"/>
      <c r="AE248" s="213"/>
      <c r="AF248" s="213"/>
      <c r="AJ248" s="210"/>
    </row>
    <row r="249" spans="1:36" s="209" customFormat="1" x14ac:dyDescent="0.25">
      <c r="A249" s="204"/>
      <c r="B249" s="204"/>
      <c r="C249" s="204"/>
      <c r="D249" s="204"/>
      <c r="E249" s="204"/>
      <c r="F249" s="204"/>
      <c r="G249" s="204"/>
      <c r="H249" s="204"/>
      <c r="I249" s="205"/>
      <c r="J249" s="204"/>
      <c r="K249" s="204"/>
      <c r="L249" s="205"/>
      <c r="M249" s="204"/>
      <c r="N249" s="204"/>
      <c r="O249" s="204"/>
      <c r="P249" s="206"/>
      <c r="Q249" s="208"/>
      <c r="R249" s="207"/>
      <c r="S249" s="207"/>
      <c r="T249" s="67"/>
      <c r="U249" s="67"/>
      <c r="V249" s="67"/>
      <c r="W249" s="67"/>
      <c r="X249" s="70"/>
      <c r="Y249" s="70"/>
      <c r="Z249" s="70"/>
      <c r="AA249" s="212"/>
      <c r="AB249" s="212"/>
      <c r="AC249" s="213"/>
      <c r="AD249" s="213"/>
      <c r="AE249" s="213"/>
      <c r="AF249" s="213"/>
      <c r="AJ249" s="210"/>
    </row>
    <row r="250" spans="1:36" s="209" customFormat="1" x14ac:dyDescent="0.25">
      <c r="A250" s="204"/>
      <c r="B250" s="204"/>
      <c r="C250" s="204"/>
      <c r="D250" s="204"/>
      <c r="E250" s="204"/>
      <c r="F250" s="204"/>
      <c r="G250" s="204"/>
      <c r="H250" s="204"/>
      <c r="I250" s="205"/>
      <c r="J250" s="204"/>
      <c r="K250" s="204"/>
      <c r="L250" s="205"/>
      <c r="M250" s="204"/>
      <c r="N250" s="204"/>
      <c r="O250" s="204"/>
      <c r="P250" s="206"/>
      <c r="Q250" s="208"/>
      <c r="R250" s="207"/>
      <c r="S250" s="207"/>
      <c r="T250" s="67"/>
      <c r="U250" s="67"/>
      <c r="V250" s="67"/>
      <c r="W250" s="67"/>
      <c r="X250" s="70"/>
      <c r="Y250" s="70"/>
      <c r="Z250" s="70"/>
      <c r="AA250" s="212"/>
      <c r="AB250" s="212"/>
      <c r="AC250" s="213"/>
      <c r="AD250" s="213"/>
      <c r="AE250" s="213"/>
      <c r="AF250" s="213"/>
      <c r="AJ250" s="210"/>
    </row>
    <row r="251" spans="1:36" s="209" customFormat="1" x14ac:dyDescent="0.25">
      <c r="A251" s="204"/>
      <c r="B251" s="204"/>
      <c r="C251" s="204"/>
      <c r="D251" s="204"/>
      <c r="E251" s="204"/>
      <c r="F251" s="204"/>
      <c r="G251" s="204"/>
      <c r="H251" s="204"/>
      <c r="I251" s="205"/>
      <c r="J251" s="204"/>
      <c r="K251" s="204"/>
      <c r="L251" s="205"/>
      <c r="M251" s="204"/>
      <c r="N251" s="204"/>
      <c r="O251" s="204"/>
      <c r="P251" s="206"/>
      <c r="Q251" s="208"/>
      <c r="R251" s="207"/>
      <c r="S251" s="207"/>
      <c r="T251" s="67"/>
      <c r="U251" s="67"/>
      <c r="V251" s="67"/>
      <c r="W251" s="67"/>
      <c r="X251" s="70"/>
      <c r="Y251" s="70"/>
      <c r="Z251" s="70"/>
      <c r="AA251" s="212"/>
      <c r="AB251" s="212"/>
      <c r="AC251" s="213"/>
      <c r="AD251" s="213"/>
      <c r="AE251" s="213"/>
      <c r="AF251" s="213"/>
      <c r="AJ251" s="210"/>
    </row>
    <row r="252" spans="1:36" s="209" customFormat="1" x14ac:dyDescent="0.25">
      <c r="A252" s="204"/>
      <c r="B252" s="204"/>
      <c r="C252" s="204"/>
      <c r="D252" s="204"/>
      <c r="E252" s="204"/>
      <c r="F252" s="204"/>
      <c r="G252" s="204"/>
      <c r="H252" s="204"/>
      <c r="I252" s="205"/>
      <c r="J252" s="204"/>
      <c r="K252" s="204"/>
      <c r="L252" s="205"/>
      <c r="M252" s="204"/>
      <c r="N252" s="204"/>
      <c r="O252" s="204"/>
      <c r="P252" s="206"/>
      <c r="Q252" s="208"/>
      <c r="R252" s="207"/>
      <c r="S252" s="207"/>
      <c r="T252" s="67"/>
      <c r="U252" s="67"/>
      <c r="V252" s="67"/>
      <c r="W252" s="67"/>
      <c r="X252" s="70"/>
      <c r="Y252" s="70"/>
      <c r="Z252" s="70"/>
      <c r="AA252" s="212"/>
      <c r="AB252" s="212"/>
      <c r="AC252" s="213"/>
      <c r="AD252" s="213"/>
      <c r="AE252" s="213"/>
      <c r="AF252" s="213"/>
      <c r="AJ252" s="210"/>
    </row>
    <row r="253" spans="1:36" s="209" customFormat="1" x14ac:dyDescent="0.25">
      <c r="A253" s="204"/>
      <c r="B253" s="204"/>
      <c r="C253" s="204"/>
      <c r="D253" s="204"/>
      <c r="E253" s="204"/>
      <c r="F253" s="204"/>
      <c r="G253" s="204"/>
      <c r="H253" s="204"/>
      <c r="I253" s="205"/>
      <c r="J253" s="204"/>
      <c r="K253" s="204"/>
      <c r="L253" s="205"/>
      <c r="M253" s="204"/>
      <c r="N253" s="204"/>
      <c r="O253" s="204"/>
      <c r="P253" s="206"/>
      <c r="Q253" s="208"/>
      <c r="R253" s="207"/>
      <c r="S253" s="207"/>
      <c r="T253" s="67"/>
      <c r="U253" s="67"/>
      <c r="V253" s="67"/>
      <c r="W253" s="67"/>
      <c r="X253" s="70"/>
      <c r="Y253" s="70"/>
      <c r="Z253" s="70"/>
      <c r="AA253" s="212"/>
      <c r="AB253" s="212"/>
      <c r="AC253" s="213"/>
      <c r="AD253" s="213"/>
      <c r="AE253" s="213"/>
      <c r="AF253" s="213"/>
      <c r="AJ253" s="210"/>
    </row>
    <row r="254" spans="1:36" s="209" customFormat="1" x14ac:dyDescent="0.25">
      <c r="A254" s="204"/>
      <c r="B254" s="204"/>
      <c r="C254" s="204"/>
      <c r="D254" s="204"/>
      <c r="E254" s="204"/>
      <c r="F254" s="204"/>
      <c r="G254" s="204"/>
      <c r="H254" s="204"/>
      <c r="I254" s="205"/>
      <c r="J254" s="204"/>
      <c r="K254" s="204"/>
      <c r="L254" s="205"/>
      <c r="M254" s="204"/>
      <c r="N254" s="204"/>
      <c r="O254" s="204"/>
      <c r="P254" s="206"/>
      <c r="Q254" s="208"/>
      <c r="R254" s="207"/>
      <c r="S254" s="207"/>
      <c r="T254" s="67"/>
      <c r="U254" s="67"/>
      <c r="V254" s="67"/>
      <c r="W254" s="67"/>
      <c r="X254" s="70"/>
      <c r="Y254" s="70"/>
      <c r="Z254" s="70"/>
      <c r="AA254" s="212"/>
      <c r="AB254" s="212"/>
      <c r="AC254" s="213"/>
      <c r="AD254" s="213"/>
      <c r="AE254" s="213"/>
      <c r="AF254" s="213"/>
      <c r="AJ254" s="210"/>
    </row>
    <row r="255" spans="1:36" s="209" customFormat="1" x14ac:dyDescent="0.25">
      <c r="A255" s="204"/>
      <c r="B255" s="204"/>
      <c r="C255" s="204"/>
      <c r="D255" s="204"/>
      <c r="E255" s="204"/>
      <c r="F255" s="204"/>
      <c r="G255" s="204"/>
      <c r="H255" s="204"/>
      <c r="I255" s="205"/>
      <c r="J255" s="204"/>
      <c r="K255" s="204"/>
      <c r="L255" s="205"/>
      <c r="M255" s="204"/>
      <c r="N255" s="204"/>
      <c r="O255" s="204"/>
      <c r="P255" s="206"/>
      <c r="Q255" s="208"/>
      <c r="R255" s="207"/>
      <c r="S255" s="207"/>
      <c r="T255" s="67"/>
      <c r="U255" s="67"/>
      <c r="V255" s="67"/>
      <c r="W255" s="67"/>
      <c r="X255" s="70"/>
      <c r="Y255" s="70"/>
      <c r="Z255" s="70"/>
      <c r="AA255" s="212"/>
      <c r="AB255" s="212"/>
      <c r="AC255" s="213"/>
      <c r="AD255" s="213"/>
      <c r="AE255" s="213"/>
      <c r="AF255" s="213"/>
      <c r="AJ255" s="210"/>
    </row>
    <row r="256" spans="1:36" s="209" customFormat="1" x14ac:dyDescent="0.25">
      <c r="A256" s="204"/>
      <c r="B256" s="204"/>
      <c r="C256" s="204"/>
      <c r="D256" s="204"/>
      <c r="E256" s="204"/>
      <c r="F256" s="204"/>
      <c r="G256" s="204"/>
      <c r="H256" s="204"/>
      <c r="I256" s="205"/>
      <c r="J256" s="204"/>
      <c r="K256" s="204"/>
      <c r="L256" s="205"/>
      <c r="M256" s="204"/>
      <c r="N256" s="204"/>
      <c r="O256" s="204"/>
      <c r="P256" s="206"/>
      <c r="Q256" s="208"/>
      <c r="R256" s="207"/>
      <c r="S256" s="207"/>
      <c r="T256" s="67"/>
      <c r="U256" s="67"/>
      <c r="V256" s="67"/>
      <c r="W256" s="67"/>
      <c r="X256" s="70"/>
      <c r="Y256" s="70"/>
      <c r="Z256" s="70"/>
      <c r="AA256" s="212"/>
      <c r="AB256" s="212"/>
      <c r="AC256" s="213"/>
      <c r="AD256" s="213"/>
      <c r="AE256" s="213"/>
      <c r="AF256" s="213"/>
      <c r="AJ256" s="210"/>
    </row>
    <row r="257" spans="1:36" s="209" customFormat="1" x14ac:dyDescent="0.25">
      <c r="A257" s="204"/>
      <c r="B257" s="204"/>
      <c r="C257" s="204"/>
      <c r="D257" s="204"/>
      <c r="E257" s="204"/>
      <c r="F257" s="204"/>
      <c r="G257" s="204"/>
      <c r="H257" s="204"/>
      <c r="I257" s="205"/>
      <c r="J257" s="204"/>
      <c r="K257" s="204"/>
      <c r="L257" s="205"/>
      <c r="M257" s="204"/>
      <c r="N257" s="204"/>
      <c r="O257" s="204"/>
      <c r="P257" s="206"/>
      <c r="Q257" s="208"/>
      <c r="R257" s="207"/>
      <c r="S257" s="207"/>
      <c r="T257" s="67"/>
      <c r="U257" s="67"/>
      <c r="V257" s="67"/>
      <c r="W257" s="67"/>
      <c r="X257" s="70"/>
      <c r="Y257" s="70"/>
      <c r="Z257" s="70"/>
      <c r="AA257" s="212"/>
      <c r="AB257" s="212"/>
      <c r="AC257" s="213"/>
      <c r="AD257" s="213"/>
      <c r="AE257" s="213"/>
      <c r="AF257" s="213"/>
      <c r="AJ257" s="210"/>
    </row>
    <row r="258" spans="1:36" s="209" customFormat="1" x14ac:dyDescent="0.25">
      <c r="A258" s="204"/>
      <c r="B258" s="204"/>
      <c r="C258" s="204"/>
      <c r="D258" s="204"/>
      <c r="E258" s="204"/>
      <c r="F258" s="204"/>
      <c r="G258" s="204"/>
      <c r="H258" s="204"/>
      <c r="I258" s="205"/>
      <c r="J258" s="204"/>
      <c r="K258" s="204"/>
      <c r="L258" s="205"/>
      <c r="M258" s="204"/>
      <c r="N258" s="204"/>
      <c r="O258" s="204"/>
      <c r="P258" s="206"/>
      <c r="Q258" s="208"/>
      <c r="R258" s="207"/>
      <c r="S258" s="207"/>
      <c r="T258" s="67"/>
      <c r="U258" s="67"/>
      <c r="V258" s="67"/>
      <c r="W258" s="67"/>
      <c r="X258" s="70"/>
      <c r="Y258" s="70"/>
      <c r="Z258" s="70"/>
      <c r="AA258" s="212"/>
      <c r="AB258" s="212"/>
      <c r="AC258" s="213"/>
      <c r="AD258" s="213"/>
      <c r="AE258" s="213"/>
      <c r="AF258" s="213"/>
      <c r="AJ258" s="210"/>
    </row>
    <row r="259" spans="1:36" s="209" customFormat="1" x14ac:dyDescent="0.25">
      <c r="A259" s="204"/>
      <c r="B259" s="204"/>
      <c r="C259" s="204"/>
      <c r="D259" s="204"/>
      <c r="E259" s="204"/>
      <c r="F259" s="204"/>
      <c r="G259" s="204"/>
      <c r="H259" s="204"/>
      <c r="I259" s="205"/>
      <c r="J259" s="204"/>
      <c r="K259" s="204"/>
      <c r="L259" s="205"/>
      <c r="M259" s="204"/>
      <c r="N259" s="204"/>
      <c r="O259" s="204"/>
      <c r="P259" s="206"/>
      <c r="Q259" s="208"/>
      <c r="R259" s="207"/>
      <c r="S259" s="207"/>
      <c r="T259" s="67"/>
      <c r="U259" s="67"/>
      <c r="V259" s="67"/>
      <c r="W259" s="67"/>
      <c r="X259" s="70"/>
      <c r="Y259" s="70"/>
      <c r="Z259" s="70"/>
      <c r="AA259" s="212"/>
      <c r="AB259" s="212"/>
      <c r="AC259" s="213"/>
      <c r="AD259" s="213"/>
      <c r="AE259" s="213"/>
      <c r="AF259" s="213"/>
      <c r="AJ259" s="210"/>
    </row>
    <row r="260" spans="1:36" s="209" customFormat="1" x14ac:dyDescent="0.25">
      <c r="A260" s="204"/>
      <c r="B260" s="204"/>
      <c r="C260" s="204"/>
      <c r="D260" s="204"/>
      <c r="E260" s="204"/>
      <c r="F260" s="204"/>
      <c r="G260" s="204"/>
      <c r="H260" s="204"/>
      <c r="I260" s="205"/>
      <c r="J260" s="204"/>
      <c r="K260" s="204"/>
      <c r="L260" s="205"/>
      <c r="M260" s="204"/>
      <c r="N260" s="204"/>
      <c r="O260" s="204"/>
      <c r="P260" s="206"/>
      <c r="Q260" s="208"/>
      <c r="R260" s="207"/>
      <c r="S260" s="207"/>
      <c r="T260" s="67"/>
      <c r="U260" s="67"/>
      <c r="V260" s="67"/>
      <c r="W260" s="67"/>
      <c r="X260" s="70"/>
      <c r="Y260" s="70"/>
      <c r="Z260" s="70"/>
      <c r="AA260" s="212"/>
      <c r="AB260" s="212"/>
      <c r="AC260" s="213"/>
      <c r="AD260" s="213"/>
      <c r="AE260" s="213"/>
      <c r="AF260" s="213"/>
      <c r="AJ260" s="210"/>
    </row>
    <row r="261" spans="1:36" s="209" customFormat="1" x14ac:dyDescent="0.25">
      <c r="A261" s="204"/>
      <c r="B261" s="204"/>
      <c r="C261" s="204"/>
      <c r="D261" s="204"/>
      <c r="E261" s="204"/>
      <c r="F261" s="204"/>
      <c r="G261" s="204"/>
      <c r="H261" s="204"/>
      <c r="I261" s="205"/>
      <c r="J261" s="204"/>
      <c r="K261" s="204"/>
      <c r="L261" s="205"/>
      <c r="M261" s="204"/>
      <c r="N261" s="204"/>
      <c r="O261" s="204"/>
      <c r="P261" s="206"/>
      <c r="Q261" s="208"/>
      <c r="R261" s="207"/>
      <c r="S261" s="207"/>
      <c r="T261" s="67"/>
      <c r="U261" s="67"/>
      <c r="V261" s="67"/>
      <c r="W261" s="67"/>
      <c r="X261" s="70"/>
      <c r="Y261" s="70"/>
      <c r="Z261" s="70"/>
      <c r="AA261" s="212"/>
      <c r="AB261" s="212"/>
      <c r="AC261" s="213"/>
      <c r="AD261" s="213"/>
      <c r="AE261" s="213"/>
      <c r="AF261" s="213"/>
      <c r="AJ261" s="210"/>
    </row>
    <row r="262" spans="1:36" s="209" customFormat="1" x14ac:dyDescent="0.25">
      <c r="A262" s="204"/>
      <c r="B262" s="204"/>
      <c r="C262" s="204"/>
      <c r="D262" s="204"/>
      <c r="E262" s="204"/>
      <c r="F262" s="204"/>
      <c r="G262" s="204"/>
      <c r="H262" s="204"/>
      <c r="I262" s="205"/>
      <c r="J262" s="204"/>
      <c r="K262" s="204"/>
      <c r="L262" s="205"/>
      <c r="M262" s="204"/>
      <c r="N262" s="204"/>
      <c r="O262" s="204"/>
      <c r="P262" s="206"/>
      <c r="Q262" s="208"/>
      <c r="R262" s="207"/>
      <c r="S262" s="207"/>
      <c r="T262" s="67"/>
      <c r="U262" s="67"/>
      <c r="V262" s="67"/>
      <c r="W262" s="67"/>
      <c r="X262" s="70"/>
      <c r="Y262" s="70"/>
      <c r="Z262" s="70"/>
      <c r="AA262" s="212"/>
      <c r="AB262" s="212"/>
      <c r="AC262" s="213"/>
      <c r="AD262" s="213"/>
      <c r="AE262" s="213"/>
      <c r="AF262" s="213"/>
      <c r="AJ262" s="210"/>
    </row>
    <row r="263" spans="1:36" s="209" customFormat="1" x14ac:dyDescent="0.25">
      <c r="A263" s="204"/>
      <c r="B263" s="204"/>
      <c r="C263" s="204"/>
      <c r="D263" s="204"/>
      <c r="E263" s="204"/>
      <c r="F263" s="204"/>
      <c r="G263" s="204"/>
      <c r="H263" s="204"/>
      <c r="I263" s="205"/>
      <c r="J263" s="204"/>
      <c r="K263" s="204"/>
      <c r="L263" s="205"/>
      <c r="M263" s="204"/>
      <c r="N263" s="204"/>
      <c r="O263" s="204"/>
      <c r="P263" s="206"/>
      <c r="Q263" s="208"/>
      <c r="R263" s="207"/>
      <c r="S263" s="207"/>
      <c r="T263" s="67"/>
      <c r="U263" s="67"/>
      <c r="V263" s="67"/>
      <c r="W263" s="67"/>
      <c r="X263" s="70"/>
      <c r="Y263" s="70"/>
      <c r="Z263" s="70"/>
      <c r="AA263" s="212"/>
      <c r="AB263" s="212"/>
      <c r="AC263" s="213"/>
      <c r="AD263" s="213"/>
      <c r="AE263" s="213"/>
      <c r="AF263" s="213"/>
      <c r="AJ263" s="210"/>
    </row>
    <row r="264" spans="1:36" s="209" customFormat="1" x14ac:dyDescent="0.25">
      <c r="A264" s="204"/>
      <c r="B264" s="204"/>
      <c r="C264" s="204"/>
      <c r="D264" s="204"/>
      <c r="E264" s="204"/>
      <c r="F264" s="204"/>
      <c r="G264" s="204"/>
      <c r="H264" s="204"/>
      <c r="I264" s="205"/>
      <c r="J264" s="204"/>
      <c r="K264" s="204"/>
      <c r="L264" s="205"/>
      <c r="M264" s="204"/>
      <c r="N264" s="204"/>
      <c r="O264" s="204"/>
      <c r="P264" s="206"/>
      <c r="Q264" s="208"/>
      <c r="R264" s="207"/>
      <c r="S264" s="207"/>
      <c r="T264" s="67"/>
      <c r="U264" s="67"/>
      <c r="V264" s="67"/>
      <c r="W264" s="67"/>
      <c r="X264" s="70"/>
      <c r="Y264" s="70"/>
      <c r="Z264" s="70"/>
      <c r="AA264" s="212"/>
      <c r="AB264" s="212"/>
      <c r="AC264" s="213"/>
      <c r="AD264" s="213"/>
      <c r="AE264" s="213"/>
      <c r="AF264" s="213"/>
      <c r="AJ264" s="210"/>
    </row>
    <row r="265" spans="1:36" s="209" customFormat="1" x14ac:dyDescent="0.25">
      <c r="A265" s="204"/>
      <c r="B265" s="204"/>
      <c r="C265" s="204"/>
      <c r="D265" s="204"/>
      <c r="E265" s="204"/>
      <c r="F265" s="204"/>
      <c r="G265" s="204"/>
      <c r="H265" s="204"/>
      <c r="I265" s="205"/>
      <c r="J265" s="204"/>
      <c r="K265" s="204"/>
      <c r="L265" s="205"/>
      <c r="M265" s="204"/>
      <c r="N265" s="204"/>
      <c r="O265" s="204"/>
      <c r="P265" s="206"/>
      <c r="Q265" s="208"/>
      <c r="R265" s="207"/>
      <c r="S265" s="207"/>
      <c r="T265" s="67"/>
      <c r="U265" s="67"/>
      <c r="V265" s="67"/>
      <c r="W265" s="67"/>
      <c r="X265" s="70"/>
      <c r="Y265" s="70"/>
      <c r="Z265" s="70"/>
      <c r="AA265" s="212"/>
      <c r="AB265" s="212"/>
      <c r="AC265" s="213"/>
      <c r="AD265" s="213"/>
      <c r="AE265" s="213"/>
      <c r="AF265" s="213"/>
      <c r="AJ265" s="210"/>
    </row>
    <row r="266" spans="1:36" s="209" customFormat="1" x14ac:dyDescent="0.25">
      <c r="A266" s="204"/>
      <c r="B266" s="204"/>
      <c r="C266" s="204"/>
      <c r="D266" s="204"/>
      <c r="E266" s="204"/>
      <c r="F266" s="204"/>
      <c r="G266" s="204"/>
      <c r="H266" s="204"/>
      <c r="I266" s="205"/>
      <c r="J266" s="204"/>
      <c r="K266" s="204"/>
      <c r="L266" s="205"/>
      <c r="M266" s="204"/>
      <c r="N266" s="204"/>
      <c r="O266" s="204"/>
      <c r="P266" s="206"/>
      <c r="Q266" s="208"/>
      <c r="R266" s="207"/>
      <c r="S266" s="207"/>
      <c r="T266" s="67"/>
      <c r="U266" s="67"/>
      <c r="V266" s="67"/>
      <c r="W266" s="67"/>
      <c r="X266" s="70"/>
      <c r="Y266" s="70"/>
      <c r="Z266" s="70"/>
      <c r="AA266" s="212"/>
      <c r="AB266" s="212"/>
      <c r="AC266" s="213"/>
      <c r="AD266" s="213"/>
      <c r="AE266" s="213"/>
      <c r="AF266" s="213"/>
      <c r="AJ266" s="210"/>
    </row>
    <row r="267" spans="1:36" s="209" customFormat="1" x14ac:dyDescent="0.25">
      <c r="A267" s="204"/>
      <c r="B267" s="204"/>
      <c r="C267" s="204"/>
      <c r="D267" s="204"/>
      <c r="E267" s="204"/>
      <c r="F267" s="204"/>
      <c r="G267" s="204"/>
      <c r="H267" s="204"/>
      <c r="I267" s="205"/>
      <c r="J267" s="204"/>
      <c r="K267" s="204"/>
      <c r="L267" s="205"/>
      <c r="M267" s="204"/>
      <c r="N267" s="204"/>
      <c r="O267" s="204"/>
      <c r="P267" s="206"/>
      <c r="Q267" s="208"/>
      <c r="R267" s="207"/>
      <c r="S267" s="207"/>
      <c r="T267" s="67"/>
      <c r="U267" s="67"/>
      <c r="V267" s="67"/>
      <c r="W267" s="67"/>
      <c r="X267" s="70"/>
      <c r="Y267" s="70"/>
      <c r="Z267" s="70"/>
      <c r="AA267" s="212"/>
      <c r="AB267" s="212"/>
      <c r="AC267" s="213"/>
      <c r="AD267" s="213"/>
      <c r="AE267" s="213"/>
      <c r="AF267" s="213"/>
      <c r="AJ267" s="210"/>
    </row>
    <row r="268" spans="1:36" s="209" customFormat="1" x14ac:dyDescent="0.25">
      <c r="A268" s="204"/>
      <c r="B268" s="204"/>
      <c r="C268" s="204"/>
      <c r="D268" s="204"/>
      <c r="E268" s="204"/>
      <c r="F268" s="204"/>
      <c r="G268" s="204"/>
      <c r="H268" s="204"/>
      <c r="I268" s="205"/>
      <c r="J268" s="204"/>
      <c r="K268" s="204"/>
      <c r="L268" s="205"/>
      <c r="M268" s="204"/>
      <c r="N268" s="204"/>
      <c r="O268" s="204"/>
      <c r="P268" s="206"/>
      <c r="Q268" s="208"/>
      <c r="R268" s="207"/>
      <c r="S268" s="207"/>
      <c r="T268" s="67"/>
      <c r="U268" s="67"/>
      <c r="V268" s="67"/>
      <c r="W268" s="67"/>
      <c r="X268" s="70"/>
      <c r="Y268" s="70"/>
      <c r="Z268" s="70"/>
      <c r="AA268" s="212"/>
      <c r="AB268" s="212"/>
      <c r="AC268" s="213"/>
      <c r="AD268" s="213"/>
      <c r="AE268" s="213"/>
      <c r="AF268" s="213"/>
      <c r="AJ268" s="210"/>
    </row>
    <row r="269" spans="1:36" s="209" customFormat="1" x14ac:dyDescent="0.25">
      <c r="A269" s="204"/>
      <c r="B269" s="204"/>
      <c r="C269" s="204"/>
      <c r="D269" s="204"/>
      <c r="E269" s="204"/>
      <c r="F269" s="204"/>
      <c r="G269" s="204"/>
      <c r="H269" s="204"/>
      <c r="I269" s="205"/>
      <c r="J269" s="204"/>
      <c r="K269" s="204"/>
      <c r="L269" s="205"/>
      <c r="M269" s="204"/>
      <c r="N269" s="204"/>
      <c r="O269" s="204"/>
      <c r="P269" s="206"/>
      <c r="Q269" s="208"/>
      <c r="R269" s="207"/>
      <c r="S269" s="207"/>
      <c r="T269" s="67"/>
      <c r="U269" s="67"/>
      <c r="V269" s="67"/>
      <c r="W269" s="67"/>
      <c r="X269" s="70"/>
      <c r="Y269" s="70"/>
      <c r="Z269" s="70"/>
      <c r="AA269" s="212"/>
      <c r="AB269" s="212"/>
      <c r="AC269" s="213"/>
      <c r="AD269" s="213"/>
      <c r="AE269" s="213"/>
      <c r="AF269" s="213"/>
      <c r="AJ269" s="210"/>
    </row>
    <row r="270" spans="1:36" s="209" customFormat="1" x14ac:dyDescent="0.25">
      <c r="A270" s="204"/>
      <c r="B270" s="204"/>
      <c r="C270" s="204"/>
      <c r="D270" s="204"/>
      <c r="E270" s="204"/>
      <c r="F270" s="204"/>
      <c r="G270" s="204"/>
      <c r="H270" s="204"/>
      <c r="I270" s="205"/>
      <c r="J270" s="204"/>
      <c r="K270" s="204"/>
      <c r="L270" s="205"/>
      <c r="M270" s="204"/>
      <c r="N270" s="204"/>
      <c r="O270" s="204"/>
      <c r="P270" s="206"/>
      <c r="Q270" s="208"/>
      <c r="R270" s="207"/>
      <c r="S270" s="207"/>
      <c r="T270" s="67"/>
      <c r="U270" s="67"/>
      <c r="V270" s="67"/>
      <c r="W270" s="67"/>
      <c r="X270" s="70"/>
      <c r="Y270" s="70"/>
      <c r="Z270" s="70"/>
      <c r="AA270" s="212"/>
      <c r="AB270" s="212"/>
      <c r="AC270" s="213"/>
      <c r="AD270" s="213"/>
      <c r="AE270" s="213"/>
      <c r="AF270" s="213"/>
      <c r="AJ270" s="210"/>
    </row>
    <row r="271" spans="1:36" s="209" customFormat="1" x14ac:dyDescent="0.25">
      <c r="A271" s="204"/>
      <c r="B271" s="204"/>
      <c r="C271" s="204"/>
      <c r="D271" s="204"/>
      <c r="E271" s="204"/>
      <c r="F271" s="204"/>
      <c r="G271" s="204"/>
      <c r="H271" s="204"/>
      <c r="I271" s="205"/>
      <c r="J271" s="204"/>
      <c r="K271" s="204"/>
      <c r="L271" s="205"/>
      <c r="M271" s="204"/>
      <c r="N271" s="204"/>
      <c r="O271" s="204"/>
      <c r="P271" s="206"/>
      <c r="Q271" s="208"/>
      <c r="R271" s="207"/>
      <c r="S271" s="207"/>
      <c r="T271" s="67"/>
      <c r="U271" s="67"/>
      <c r="V271" s="67"/>
      <c r="W271" s="67"/>
      <c r="X271" s="70"/>
      <c r="Y271" s="70"/>
      <c r="Z271" s="70"/>
      <c r="AA271" s="212"/>
      <c r="AB271" s="212"/>
      <c r="AC271" s="213"/>
      <c r="AD271" s="213"/>
      <c r="AE271" s="213"/>
      <c r="AF271" s="213"/>
      <c r="AJ271" s="210"/>
    </row>
    <row r="272" spans="1:36" s="209" customFormat="1" x14ac:dyDescent="0.25">
      <c r="A272" s="204"/>
      <c r="B272" s="204"/>
      <c r="C272" s="204"/>
      <c r="D272" s="204"/>
      <c r="E272" s="204"/>
      <c r="F272" s="204"/>
      <c r="G272" s="204"/>
      <c r="H272" s="204"/>
      <c r="I272" s="205"/>
      <c r="J272" s="204"/>
      <c r="K272" s="204"/>
      <c r="L272" s="205"/>
      <c r="M272" s="204"/>
      <c r="N272" s="204"/>
      <c r="O272" s="204"/>
      <c r="P272" s="206"/>
      <c r="Q272" s="208"/>
      <c r="R272" s="207"/>
      <c r="S272" s="207"/>
      <c r="T272" s="67"/>
      <c r="U272" s="67"/>
      <c r="V272" s="67"/>
      <c r="W272" s="67"/>
      <c r="X272" s="70"/>
      <c r="Y272" s="70"/>
      <c r="Z272" s="70"/>
      <c r="AA272" s="212"/>
      <c r="AB272" s="212"/>
      <c r="AC272" s="213"/>
      <c r="AD272" s="213"/>
      <c r="AE272" s="213"/>
      <c r="AF272" s="213"/>
      <c r="AJ272" s="210"/>
    </row>
    <row r="273" spans="1:36" s="209" customFormat="1" x14ac:dyDescent="0.25">
      <c r="A273" s="204"/>
      <c r="B273" s="204"/>
      <c r="C273" s="204"/>
      <c r="D273" s="204"/>
      <c r="E273" s="204"/>
      <c r="F273" s="204"/>
      <c r="G273" s="204"/>
      <c r="H273" s="204"/>
      <c r="I273" s="205"/>
      <c r="J273" s="204"/>
      <c r="K273" s="204"/>
      <c r="L273" s="205"/>
      <c r="M273" s="204"/>
      <c r="N273" s="204"/>
      <c r="O273" s="204"/>
      <c r="P273" s="206"/>
      <c r="Q273" s="208"/>
      <c r="R273" s="207"/>
      <c r="S273" s="207"/>
      <c r="T273" s="67"/>
      <c r="U273" s="67"/>
      <c r="V273" s="67"/>
      <c r="W273" s="67"/>
      <c r="X273" s="70"/>
      <c r="Y273" s="70"/>
      <c r="Z273" s="70"/>
      <c r="AA273" s="212"/>
      <c r="AB273" s="212"/>
      <c r="AC273" s="213"/>
      <c r="AD273" s="213"/>
      <c r="AE273" s="213"/>
      <c r="AF273" s="213"/>
      <c r="AJ273" s="210"/>
    </row>
    <row r="274" spans="1:36" s="209" customFormat="1" x14ac:dyDescent="0.25">
      <c r="A274" s="204"/>
      <c r="B274" s="204"/>
      <c r="C274" s="204"/>
      <c r="D274" s="204"/>
      <c r="E274" s="204"/>
      <c r="F274" s="204"/>
      <c r="G274" s="204"/>
      <c r="H274" s="204"/>
      <c r="I274" s="205"/>
      <c r="J274" s="204"/>
      <c r="K274" s="204"/>
      <c r="L274" s="205"/>
      <c r="M274" s="204"/>
      <c r="N274" s="204"/>
      <c r="O274" s="204"/>
      <c r="P274" s="206"/>
      <c r="Q274" s="208"/>
      <c r="R274" s="207"/>
      <c r="S274" s="207"/>
      <c r="T274" s="67"/>
      <c r="U274" s="67"/>
      <c r="V274" s="67"/>
      <c r="W274" s="67"/>
      <c r="X274" s="70"/>
      <c r="Y274" s="70"/>
      <c r="Z274" s="70"/>
      <c r="AA274" s="212"/>
      <c r="AB274" s="212"/>
      <c r="AC274" s="213"/>
      <c r="AD274" s="213"/>
      <c r="AE274" s="213"/>
      <c r="AF274" s="213"/>
      <c r="AJ274" s="210"/>
    </row>
    <row r="275" spans="1:36" s="209" customFormat="1" x14ac:dyDescent="0.25">
      <c r="A275" s="204"/>
      <c r="B275" s="204"/>
      <c r="C275" s="204"/>
      <c r="D275" s="204"/>
      <c r="E275" s="204"/>
      <c r="F275" s="204"/>
      <c r="G275" s="204"/>
      <c r="H275" s="204"/>
      <c r="I275" s="205"/>
      <c r="J275" s="204"/>
      <c r="K275" s="204"/>
      <c r="L275" s="205"/>
      <c r="M275" s="204"/>
      <c r="N275" s="204"/>
      <c r="O275" s="204"/>
      <c r="P275" s="206"/>
      <c r="Q275" s="208"/>
      <c r="R275" s="207"/>
      <c r="S275" s="207"/>
      <c r="T275" s="67"/>
      <c r="U275" s="67"/>
      <c r="V275" s="67"/>
      <c r="W275" s="67"/>
      <c r="X275" s="70"/>
      <c r="Y275" s="70"/>
      <c r="Z275" s="70"/>
      <c r="AA275" s="212"/>
      <c r="AB275" s="212"/>
      <c r="AC275" s="213"/>
      <c r="AD275" s="213"/>
      <c r="AE275" s="213"/>
      <c r="AF275" s="213"/>
      <c r="AJ275" s="210"/>
    </row>
    <row r="276" spans="1:36" s="209" customFormat="1" x14ac:dyDescent="0.25">
      <c r="A276" s="204"/>
      <c r="B276" s="204"/>
      <c r="C276" s="204"/>
      <c r="D276" s="204"/>
      <c r="E276" s="204"/>
      <c r="F276" s="204"/>
      <c r="G276" s="204"/>
      <c r="H276" s="204"/>
      <c r="I276" s="205"/>
      <c r="J276" s="204"/>
      <c r="K276" s="204"/>
      <c r="L276" s="205"/>
      <c r="M276" s="204"/>
      <c r="N276" s="204"/>
      <c r="O276" s="204"/>
      <c r="P276" s="206"/>
      <c r="Q276" s="208"/>
      <c r="R276" s="207"/>
      <c r="S276" s="207"/>
      <c r="T276" s="67"/>
      <c r="U276" s="67"/>
      <c r="V276" s="67"/>
      <c r="W276" s="67"/>
      <c r="X276" s="70"/>
      <c r="Y276" s="70"/>
      <c r="Z276" s="70"/>
      <c r="AA276" s="212"/>
      <c r="AB276" s="212"/>
      <c r="AC276" s="213"/>
      <c r="AD276" s="213"/>
      <c r="AE276" s="213"/>
      <c r="AF276" s="213"/>
      <c r="AJ276" s="210"/>
    </row>
    <row r="277" spans="1:36" s="209" customFormat="1" x14ac:dyDescent="0.25">
      <c r="A277" s="204"/>
      <c r="B277" s="204"/>
      <c r="C277" s="204"/>
      <c r="D277" s="204"/>
      <c r="E277" s="204"/>
      <c r="F277" s="204"/>
      <c r="G277" s="204"/>
      <c r="H277" s="204"/>
      <c r="I277" s="205"/>
      <c r="J277" s="204"/>
      <c r="K277" s="204"/>
      <c r="L277" s="205"/>
      <c r="M277" s="204"/>
      <c r="N277" s="204"/>
      <c r="O277" s="204"/>
      <c r="P277" s="206"/>
      <c r="Q277" s="208"/>
      <c r="R277" s="207"/>
      <c r="S277" s="207"/>
      <c r="T277" s="67"/>
      <c r="U277" s="67"/>
      <c r="V277" s="67"/>
      <c r="W277" s="67"/>
      <c r="X277" s="70"/>
      <c r="Y277" s="70"/>
      <c r="Z277" s="70"/>
      <c r="AA277" s="212"/>
      <c r="AB277" s="212"/>
      <c r="AC277" s="213"/>
      <c r="AD277" s="213"/>
      <c r="AE277" s="213"/>
      <c r="AF277" s="213"/>
      <c r="AJ277" s="210"/>
    </row>
    <row r="278" spans="1:36" s="209" customFormat="1" x14ac:dyDescent="0.25">
      <c r="A278" s="204"/>
      <c r="B278" s="204"/>
      <c r="C278" s="204"/>
      <c r="D278" s="204"/>
      <c r="E278" s="204"/>
      <c r="F278" s="204"/>
      <c r="G278" s="204"/>
      <c r="H278" s="204"/>
      <c r="I278" s="205"/>
      <c r="J278" s="204"/>
      <c r="K278" s="204"/>
      <c r="L278" s="205"/>
      <c r="M278" s="204"/>
      <c r="N278" s="204"/>
      <c r="O278" s="204"/>
      <c r="P278" s="206"/>
      <c r="Q278" s="208"/>
      <c r="R278" s="207"/>
      <c r="S278" s="207"/>
      <c r="T278" s="67"/>
      <c r="U278" s="67"/>
      <c r="V278" s="67"/>
      <c r="W278" s="67"/>
      <c r="X278" s="70"/>
      <c r="Y278" s="70"/>
      <c r="Z278" s="70"/>
      <c r="AA278" s="212"/>
      <c r="AB278" s="212"/>
      <c r="AC278" s="213"/>
      <c r="AD278" s="213"/>
      <c r="AE278" s="213"/>
      <c r="AF278" s="213"/>
      <c r="AJ278" s="210"/>
    </row>
    <row r="279" spans="1:36" s="209" customFormat="1" x14ac:dyDescent="0.25">
      <c r="A279" s="204"/>
      <c r="B279" s="204"/>
      <c r="C279" s="204"/>
      <c r="D279" s="204"/>
      <c r="E279" s="204"/>
      <c r="F279" s="204"/>
      <c r="G279" s="204"/>
      <c r="H279" s="204"/>
      <c r="I279" s="205"/>
      <c r="J279" s="204"/>
      <c r="K279" s="204"/>
      <c r="L279" s="205"/>
      <c r="M279" s="204"/>
      <c r="N279" s="204"/>
      <c r="O279" s="204"/>
      <c r="P279" s="206"/>
      <c r="Q279" s="208"/>
      <c r="R279" s="207"/>
      <c r="S279" s="207"/>
      <c r="T279" s="67"/>
      <c r="U279" s="67"/>
      <c r="V279" s="67"/>
      <c r="W279" s="67"/>
      <c r="X279" s="70"/>
      <c r="Y279" s="70"/>
      <c r="Z279" s="70"/>
      <c r="AA279" s="212"/>
      <c r="AB279" s="212"/>
      <c r="AC279" s="213"/>
      <c r="AD279" s="213"/>
      <c r="AE279" s="213"/>
      <c r="AF279" s="213"/>
      <c r="AJ279" s="210"/>
    </row>
    <row r="280" spans="1:36" s="209" customFormat="1" x14ac:dyDescent="0.25">
      <c r="A280" s="204"/>
      <c r="B280" s="204"/>
      <c r="C280" s="204"/>
      <c r="D280" s="204"/>
      <c r="E280" s="204"/>
      <c r="F280" s="204"/>
      <c r="G280" s="204"/>
      <c r="H280" s="204"/>
      <c r="I280" s="205"/>
      <c r="J280" s="204"/>
      <c r="K280" s="204"/>
      <c r="L280" s="205"/>
      <c r="M280" s="204"/>
      <c r="N280" s="204"/>
      <c r="O280" s="204"/>
      <c r="P280" s="206"/>
      <c r="Q280" s="208"/>
      <c r="R280" s="207"/>
      <c r="S280" s="207"/>
      <c r="T280" s="67"/>
      <c r="U280" s="67"/>
      <c r="V280" s="67"/>
      <c r="W280" s="67"/>
      <c r="X280" s="70"/>
      <c r="Y280" s="70"/>
      <c r="Z280" s="70"/>
      <c r="AA280" s="212"/>
      <c r="AB280" s="212"/>
      <c r="AC280" s="213"/>
      <c r="AD280" s="213"/>
      <c r="AE280" s="213"/>
      <c r="AF280" s="213"/>
      <c r="AJ280" s="210"/>
    </row>
    <row r="281" spans="1:36" s="209" customFormat="1" x14ac:dyDescent="0.25">
      <c r="A281" s="204"/>
      <c r="B281" s="204"/>
      <c r="C281" s="204"/>
      <c r="D281" s="204"/>
      <c r="E281" s="204"/>
      <c r="F281" s="204"/>
      <c r="G281" s="204"/>
      <c r="H281" s="204"/>
      <c r="I281" s="205"/>
      <c r="J281" s="204"/>
      <c r="K281" s="204"/>
      <c r="L281" s="205"/>
      <c r="M281" s="204"/>
      <c r="N281" s="204"/>
      <c r="O281" s="204"/>
      <c r="P281" s="206"/>
      <c r="Q281" s="208"/>
      <c r="R281" s="207"/>
      <c r="S281" s="207"/>
      <c r="T281" s="67"/>
      <c r="U281" s="67"/>
      <c r="V281" s="67"/>
      <c r="W281" s="67"/>
      <c r="X281" s="70"/>
      <c r="Y281" s="70"/>
      <c r="Z281" s="70"/>
      <c r="AA281" s="212"/>
      <c r="AB281" s="212"/>
      <c r="AC281" s="213"/>
      <c r="AD281" s="213"/>
      <c r="AE281" s="213"/>
      <c r="AF281" s="213"/>
      <c r="AJ281" s="210"/>
    </row>
    <row r="282" spans="1:36" s="209" customFormat="1" x14ac:dyDescent="0.25">
      <c r="A282" s="204"/>
      <c r="B282" s="204"/>
      <c r="C282" s="204"/>
      <c r="D282" s="204"/>
      <c r="E282" s="204"/>
      <c r="F282" s="204"/>
      <c r="G282" s="204"/>
      <c r="H282" s="204"/>
      <c r="I282" s="205"/>
      <c r="J282" s="204"/>
      <c r="K282" s="204"/>
      <c r="L282" s="205"/>
      <c r="M282" s="204"/>
      <c r="N282" s="204"/>
      <c r="O282" s="204"/>
      <c r="P282" s="206"/>
      <c r="Q282" s="208"/>
      <c r="R282" s="207"/>
      <c r="S282" s="207"/>
      <c r="T282" s="67"/>
      <c r="U282" s="67"/>
      <c r="V282" s="67"/>
      <c r="W282" s="67"/>
      <c r="X282" s="70"/>
      <c r="Y282" s="70"/>
      <c r="Z282" s="70"/>
      <c r="AA282" s="212"/>
      <c r="AB282" s="212"/>
      <c r="AC282" s="213"/>
      <c r="AD282" s="213"/>
      <c r="AE282" s="213"/>
      <c r="AF282" s="213"/>
      <c r="AJ282" s="210"/>
    </row>
    <row r="283" spans="1:36" s="209" customFormat="1" x14ac:dyDescent="0.25">
      <c r="A283" s="204"/>
      <c r="B283" s="204"/>
      <c r="C283" s="204"/>
      <c r="D283" s="204"/>
      <c r="E283" s="204"/>
      <c r="F283" s="204"/>
      <c r="G283" s="204"/>
      <c r="H283" s="204"/>
      <c r="I283" s="205"/>
      <c r="J283" s="204"/>
      <c r="K283" s="204"/>
      <c r="L283" s="205"/>
      <c r="M283" s="204"/>
      <c r="N283" s="204"/>
      <c r="O283" s="204"/>
      <c r="P283" s="206"/>
      <c r="Q283" s="208"/>
      <c r="R283" s="207"/>
      <c r="S283" s="207"/>
      <c r="T283" s="67"/>
      <c r="U283" s="67"/>
      <c r="V283" s="67"/>
      <c r="W283" s="67"/>
      <c r="X283" s="70"/>
      <c r="Y283" s="70"/>
      <c r="Z283" s="70"/>
      <c r="AA283" s="212"/>
      <c r="AB283" s="212"/>
      <c r="AC283" s="213"/>
      <c r="AD283" s="213"/>
      <c r="AE283" s="213"/>
      <c r="AF283" s="213"/>
      <c r="AJ283" s="210"/>
    </row>
    <row r="284" spans="1:36" s="209" customFormat="1" x14ac:dyDescent="0.25">
      <c r="A284" s="204"/>
      <c r="B284" s="204"/>
      <c r="C284" s="204"/>
      <c r="D284" s="204"/>
      <c r="E284" s="204"/>
      <c r="F284" s="204"/>
      <c r="G284" s="204"/>
      <c r="H284" s="204"/>
      <c r="I284" s="205"/>
      <c r="J284" s="204"/>
      <c r="K284" s="204"/>
      <c r="L284" s="205"/>
      <c r="M284" s="204"/>
      <c r="N284" s="204"/>
      <c r="O284" s="204"/>
      <c r="P284" s="206"/>
      <c r="Q284" s="208"/>
      <c r="R284" s="207"/>
      <c r="S284" s="207"/>
      <c r="T284" s="67"/>
      <c r="U284" s="67"/>
      <c r="V284" s="67"/>
      <c r="W284" s="67"/>
      <c r="X284" s="70"/>
      <c r="Y284" s="70"/>
      <c r="Z284" s="70"/>
      <c r="AA284" s="212"/>
      <c r="AB284" s="212"/>
      <c r="AC284" s="213"/>
      <c r="AD284" s="213"/>
      <c r="AE284" s="213"/>
      <c r="AF284" s="213"/>
      <c r="AJ284" s="210"/>
    </row>
    <row r="285" spans="1:36" s="209" customFormat="1" x14ac:dyDescent="0.25">
      <c r="A285" s="204"/>
      <c r="B285" s="204"/>
      <c r="C285" s="204"/>
      <c r="D285" s="204"/>
      <c r="E285" s="204"/>
      <c r="F285" s="204"/>
      <c r="G285" s="204"/>
      <c r="H285" s="204"/>
      <c r="I285" s="205"/>
      <c r="J285" s="204"/>
      <c r="K285" s="204"/>
      <c r="L285" s="205"/>
      <c r="M285" s="204"/>
      <c r="N285" s="204"/>
      <c r="O285" s="204"/>
      <c r="P285" s="206"/>
      <c r="Q285" s="208"/>
      <c r="R285" s="207"/>
      <c r="S285" s="207"/>
      <c r="T285" s="67"/>
      <c r="U285" s="67"/>
      <c r="V285" s="67"/>
      <c r="W285" s="67"/>
      <c r="X285" s="70"/>
      <c r="Y285" s="70"/>
      <c r="Z285" s="70"/>
      <c r="AA285" s="212"/>
      <c r="AB285" s="212"/>
      <c r="AC285" s="213"/>
      <c r="AD285" s="213"/>
      <c r="AE285" s="213"/>
      <c r="AF285" s="213"/>
      <c r="AJ285" s="210"/>
    </row>
    <row r="286" spans="1:36" s="209" customFormat="1" x14ac:dyDescent="0.25">
      <c r="A286" s="204"/>
      <c r="B286" s="204"/>
      <c r="C286" s="204"/>
      <c r="D286" s="204"/>
      <c r="E286" s="204"/>
      <c r="F286" s="204"/>
      <c r="G286" s="204"/>
      <c r="H286" s="204"/>
      <c r="I286" s="205"/>
      <c r="J286" s="204"/>
      <c r="K286" s="204"/>
      <c r="L286" s="205"/>
      <c r="M286" s="204"/>
      <c r="N286" s="204"/>
      <c r="O286" s="204"/>
      <c r="P286" s="206"/>
      <c r="Q286" s="208"/>
      <c r="R286" s="207"/>
      <c r="S286" s="207"/>
      <c r="T286" s="67"/>
      <c r="U286" s="67"/>
      <c r="V286" s="67"/>
      <c r="W286" s="67"/>
      <c r="X286" s="70"/>
      <c r="Y286" s="70"/>
      <c r="Z286" s="70"/>
      <c r="AA286" s="212"/>
      <c r="AB286" s="212"/>
      <c r="AC286" s="213"/>
      <c r="AD286" s="213"/>
      <c r="AE286" s="213"/>
      <c r="AF286" s="213"/>
      <c r="AJ286" s="210"/>
    </row>
    <row r="287" spans="1:36" s="209" customFormat="1" x14ac:dyDescent="0.25">
      <c r="A287" s="204"/>
      <c r="B287" s="204"/>
      <c r="C287" s="204"/>
      <c r="D287" s="204"/>
      <c r="E287" s="204"/>
      <c r="F287" s="204"/>
      <c r="G287" s="204"/>
      <c r="H287" s="204"/>
      <c r="I287" s="205"/>
      <c r="J287" s="204"/>
      <c r="K287" s="204"/>
      <c r="L287" s="205"/>
      <c r="M287" s="204"/>
      <c r="N287" s="204"/>
      <c r="O287" s="204"/>
      <c r="P287" s="206"/>
      <c r="Q287" s="208"/>
      <c r="R287" s="207"/>
      <c r="S287" s="207"/>
      <c r="T287" s="67"/>
      <c r="U287" s="67"/>
      <c r="V287" s="67"/>
      <c r="W287" s="67"/>
      <c r="X287" s="70"/>
      <c r="Y287" s="70"/>
      <c r="Z287" s="70"/>
      <c r="AA287" s="212"/>
      <c r="AB287" s="212"/>
      <c r="AC287" s="213"/>
      <c r="AD287" s="213"/>
      <c r="AE287" s="213"/>
      <c r="AF287" s="213"/>
      <c r="AJ287" s="210"/>
    </row>
    <row r="288" spans="1:36" s="209" customFormat="1" x14ac:dyDescent="0.25">
      <c r="A288" s="204"/>
      <c r="B288" s="204"/>
      <c r="C288" s="204"/>
      <c r="D288" s="204"/>
      <c r="E288" s="204"/>
      <c r="F288" s="204"/>
      <c r="G288" s="204"/>
      <c r="H288" s="204"/>
      <c r="I288" s="205"/>
      <c r="J288" s="204"/>
      <c r="K288" s="204"/>
      <c r="L288" s="205"/>
      <c r="M288" s="204"/>
      <c r="N288" s="204"/>
      <c r="O288" s="204"/>
      <c r="P288" s="206"/>
      <c r="Q288" s="208"/>
      <c r="R288" s="207"/>
      <c r="S288" s="207"/>
      <c r="T288" s="67"/>
      <c r="U288" s="67"/>
      <c r="V288" s="67"/>
      <c r="W288" s="67"/>
      <c r="X288" s="70"/>
      <c r="Y288" s="70"/>
      <c r="Z288" s="70"/>
      <c r="AA288" s="212"/>
      <c r="AB288" s="212"/>
      <c r="AC288" s="213"/>
      <c r="AD288" s="213"/>
      <c r="AE288" s="213"/>
      <c r="AF288" s="213"/>
      <c r="AJ288" s="210"/>
    </row>
    <row r="289" spans="1:40" s="209" customFormat="1" x14ac:dyDescent="0.25">
      <c r="A289" s="204"/>
      <c r="B289" s="204"/>
      <c r="C289" s="204"/>
      <c r="D289" s="204"/>
      <c r="E289" s="204"/>
      <c r="F289" s="204"/>
      <c r="G289" s="204"/>
      <c r="H289" s="204"/>
      <c r="I289" s="205"/>
      <c r="J289" s="204"/>
      <c r="K289" s="204"/>
      <c r="L289" s="205"/>
      <c r="M289" s="204"/>
      <c r="N289" s="204"/>
      <c r="O289" s="204"/>
      <c r="P289" s="206"/>
      <c r="Q289" s="208"/>
      <c r="R289" s="207"/>
      <c r="S289" s="207"/>
      <c r="T289" s="67"/>
      <c r="U289" s="67"/>
      <c r="V289" s="67"/>
      <c r="W289" s="67"/>
      <c r="X289" s="70"/>
      <c r="Y289" s="70"/>
      <c r="Z289" s="70"/>
      <c r="AA289" s="212"/>
      <c r="AB289" s="212"/>
      <c r="AC289" s="213"/>
      <c r="AD289" s="213"/>
      <c r="AE289" s="213"/>
      <c r="AF289" s="213"/>
      <c r="AJ289" s="210"/>
    </row>
    <row r="290" spans="1:40" s="209" customFormat="1" x14ac:dyDescent="0.25">
      <c r="A290" s="204"/>
      <c r="B290" s="204"/>
      <c r="C290" s="204"/>
      <c r="D290" s="204"/>
      <c r="E290" s="204"/>
      <c r="F290" s="204"/>
      <c r="G290" s="204"/>
      <c r="H290" s="204"/>
      <c r="I290" s="205"/>
      <c r="J290" s="204"/>
      <c r="K290" s="204"/>
      <c r="L290" s="205"/>
      <c r="M290" s="204"/>
      <c r="N290" s="204"/>
      <c r="O290" s="204"/>
      <c r="P290" s="206"/>
      <c r="Q290" s="208"/>
      <c r="R290" s="207"/>
      <c r="S290" s="207"/>
      <c r="T290" s="67"/>
      <c r="U290" s="67"/>
      <c r="V290" s="67"/>
      <c r="W290" s="67"/>
      <c r="X290" s="70"/>
      <c r="Y290" s="70"/>
      <c r="Z290" s="70"/>
      <c r="AA290" s="212"/>
      <c r="AB290" s="212"/>
      <c r="AC290" s="213"/>
      <c r="AD290" s="213"/>
      <c r="AE290" s="213"/>
      <c r="AF290" s="213"/>
      <c r="AJ290" s="210"/>
    </row>
    <row r="291" spans="1:40" s="209" customFormat="1" x14ac:dyDescent="0.25">
      <c r="A291" s="204"/>
      <c r="B291" s="204"/>
      <c r="C291" s="204"/>
      <c r="D291" s="204"/>
      <c r="E291" s="204"/>
      <c r="F291" s="204"/>
      <c r="G291" s="204"/>
      <c r="H291" s="204"/>
      <c r="I291" s="205"/>
      <c r="J291" s="204"/>
      <c r="K291" s="204"/>
      <c r="L291" s="205"/>
      <c r="M291" s="204"/>
      <c r="N291" s="204"/>
      <c r="O291" s="204"/>
      <c r="P291" s="206"/>
      <c r="Q291" s="208"/>
      <c r="R291" s="207"/>
      <c r="S291" s="207"/>
      <c r="T291" s="67"/>
      <c r="U291" s="67"/>
      <c r="V291" s="67"/>
      <c r="W291" s="67"/>
      <c r="X291" s="70"/>
      <c r="Y291" s="70"/>
      <c r="Z291" s="70"/>
      <c r="AA291" s="212"/>
      <c r="AB291" s="212"/>
      <c r="AC291" s="213"/>
      <c r="AD291" s="213"/>
      <c r="AE291" s="213"/>
      <c r="AF291" s="213"/>
      <c r="AJ291" s="210"/>
    </row>
    <row r="292" spans="1:40" s="209" customFormat="1" x14ac:dyDescent="0.25">
      <c r="A292" s="204"/>
      <c r="B292" s="204"/>
      <c r="C292" s="204"/>
      <c r="D292" s="204"/>
      <c r="E292" s="204"/>
      <c r="F292" s="204"/>
      <c r="G292" s="204"/>
      <c r="H292" s="204"/>
      <c r="I292" s="205"/>
      <c r="J292" s="204"/>
      <c r="K292" s="204"/>
      <c r="L292" s="205"/>
      <c r="M292" s="204"/>
      <c r="N292" s="204"/>
      <c r="O292" s="204"/>
      <c r="P292" s="206"/>
      <c r="Q292" s="208"/>
      <c r="R292" s="207"/>
      <c r="S292" s="207"/>
      <c r="T292" s="67"/>
      <c r="U292" s="67"/>
      <c r="V292" s="67"/>
      <c r="W292" s="67"/>
      <c r="X292" s="70"/>
      <c r="Y292" s="70"/>
      <c r="Z292" s="70"/>
      <c r="AA292" s="212"/>
      <c r="AB292" s="212"/>
      <c r="AC292" s="213"/>
      <c r="AD292" s="213"/>
      <c r="AE292" s="213"/>
      <c r="AF292" s="213"/>
      <c r="AJ292" s="210"/>
    </row>
    <row r="293" spans="1:40" s="209" customFormat="1" x14ac:dyDescent="0.25">
      <c r="A293" s="204"/>
      <c r="B293" s="204"/>
      <c r="C293" s="204"/>
      <c r="D293" s="204"/>
      <c r="E293" s="204"/>
      <c r="F293" s="204"/>
      <c r="G293" s="204"/>
      <c r="H293" s="204"/>
      <c r="I293" s="205"/>
      <c r="J293" s="204"/>
      <c r="K293" s="204"/>
      <c r="L293" s="205"/>
      <c r="M293" s="204"/>
      <c r="N293" s="204"/>
      <c r="O293" s="204"/>
      <c r="P293" s="206"/>
      <c r="Q293" s="208"/>
      <c r="R293" s="207"/>
      <c r="S293" s="207"/>
      <c r="T293" s="67"/>
      <c r="U293" s="67"/>
      <c r="V293" s="67"/>
      <c r="W293" s="67"/>
      <c r="X293" s="70"/>
      <c r="Y293" s="70"/>
      <c r="Z293" s="70"/>
      <c r="AA293" s="212"/>
      <c r="AB293" s="212"/>
      <c r="AC293" s="213"/>
      <c r="AD293" s="213"/>
      <c r="AE293" s="213"/>
      <c r="AF293" s="213"/>
      <c r="AJ293" s="210"/>
    </row>
    <row r="294" spans="1:40" s="209" customFormat="1" x14ac:dyDescent="0.25">
      <c r="A294" s="204"/>
      <c r="B294" s="204"/>
      <c r="C294" s="204"/>
      <c r="D294" s="204"/>
      <c r="E294" s="204"/>
      <c r="F294" s="204"/>
      <c r="G294" s="204"/>
      <c r="H294" s="204"/>
      <c r="I294" s="205"/>
      <c r="J294" s="204"/>
      <c r="K294" s="204"/>
      <c r="L294" s="205"/>
      <c r="M294" s="204"/>
      <c r="N294" s="204"/>
      <c r="O294" s="204"/>
      <c r="P294" s="206"/>
      <c r="Q294" s="208"/>
      <c r="R294" s="207"/>
      <c r="S294" s="207"/>
      <c r="T294" s="67"/>
      <c r="U294" s="67"/>
      <c r="V294" s="67"/>
      <c r="W294" s="67"/>
      <c r="X294" s="70"/>
      <c r="Y294" s="70"/>
      <c r="Z294" s="70"/>
      <c r="AA294" s="212"/>
      <c r="AB294" s="212"/>
      <c r="AC294" s="213"/>
      <c r="AD294" s="213"/>
      <c r="AE294" s="213"/>
      <c r="AF294" s="213"/>
      <c r="AJ294" s="210"/>
    </row>
    <row r="295" spans="1:40" s="209" customFormat="1" x14ac:dyDescent="0.25">
      <c r="A295" s="204"/>
      <c r="B295" s="204"/>
      <c r="C295" s="204"/>
      <c r="D295" s="204"/>
      <c r="E295" s="204"/>
      <c r="F295" s="204"/>
      <c r="G295" s="204"/>
      <c r="H295" s="204"/>
      <c r="I295" s="205"/>
      <c r="J295" s="204"/>
      <c r="K295" s="204"/>
      <c r="L295" s="205"/>
      <c r="M295" s="204"/>
      <c r="N295" s="204"/>
      <c r="O295" s="204"/>
      <c r="P295" s="206"/>
      <c r="Q295" s="208"/>
      <c r="R295" s="207"/>
      <c r="S295" s="207"/>
      <c r="T295" s="67"/>
      <c r="U295" s="67"/>
      <c r="V295" s="67"/>
      <c r="W295" s="67"/>
      <c r="X295" s="70"/>
      <c r="Y295" s="70"/>
      <c r="Z295" s="70"/>
      <c r="AA295" s="212"/>
      <c r="AB295" s="212"/>
      <c r="AC295" s="213"/>
      <c r="AD295" s="213"/>
      <c r="AE295" s="213"/>
      <c r="AF295" s="213"/>
      <c r="AJ295" s="210"/>
    </row>
    <row r="296" spans="1:40" s="209" customFormat="1" x14ac:dyDescent="0.25">
      <c r="A296" s="204"/>
      <c r="B296" s="204"/>
      <c r="C296" s="204"/>
      <c r="D296" s="204"/>
      <c r="E296" s="204"/>
      <c r="F296" s="204"/>
      <c r="G296" s="204"/>
      <c r="H296" s="204"/>
      <c r="I296" s="205"/>
      <c r="J296" s="204"/>
      <c r="K296" s="204"/>
      <c r="L296" s="205"/>
      <c r="M296" s="204"/>
      <c r="N296" s="204"/>
      <c r="O296" s="204"/>
      <c r="P296" s="206"/>
      <c r="Q296" s="208"/>
      <c r="R296" s="207"/>
      <c r="S296" s="207"/>
      <c r="T296" s="67"/>
      <c r="U296" s="67"/>
      <c r="V296" s="67"/>
      <c r="W296" s="67"/>
      <c r="X296" s="70"/>
      <c r="Y296" s="70"/>
      <c r="Z296" s="70"/>
      <c r="AA296" s="212"/>
      <c r="AB296" s="212"/>
      <c r="AC296" s="213"/>
      <c r="AD296" s="213"/>
      <c r="AE296" s="213"/>
      <c r="AF296" s="213"/>
      <c r="AJ296" s="210"/>
    </row>
    <row r="297" spans="1:40" s="209" customFormat="1" x14ac:dyDescent="0.25">
      <c r="A297" s="204"/>
      <c r="B297" s="204"/>
      <c r="C297" s="204"/>
      <c r="D297" s="204"/>
      <c r="E297" s="204"/>
      <c r="F297" s="204"/>
      <c r="G297" s="204"/>
      <c r="H297" s="204"/>
      <c r="I297" s="205"/>
      <c r="J297" s="204"/>
      <c r="K297" s="204"/>
      <c r="L297" s="205"/>
      <c r="M297" s="204"/>
      <c r="N297" s="204"/>
      <c r="O297" s="204"/>
      <c r="P297" s="206"/>
      <c r="Q297" s="208"/>
      <c r="R297" s="207"/>
      <c r="S297" s="207"/>
      <c r="T297" s="67"/>
      <c r="U297" s="67"/>
      <c r="V297" s="67"/>
      <c r="W297" s="67"/>
      <c r="X297" s="70"/>
      <c r="Y297" s="70"/>
      <c r="Z297" s="70"/>
      <c r="AA297" s="212"/>
      <c r="AB297" s="212"/>
      <c r="AC297" s="213"/>
      <c r="AD297" s="213"/>
      <c r="AE297" s="213"/>
      <c r="AF297" s="213"/>
      <c r="AJ297" s="210"/>
    </row>
    <row r="298" spans="1:40" s="209" customFormat="1" x14ac:dyDescent="0.25">
      <c r="A298" s="204"/>
      <c r="B298" s="204"/>
      <c r="C298" s="204"/>
      <c r="D298" s="204"/>
      <c r="E298" s="204"/>
      <c r="F298" s="204"/>
      <c r="G298" s="204"/>
      <c r="H298" s="204"/>
      <c r="I298" s="205"/>
      <c r="J298" s="204"/>
      <c r="K298" s="204"/>
      <c r="L298" s="205"/>
      <c r="M298" s="204"/>
      <c r="N298" s="204"/>
      <c r="O298" s="204"/>
      <c r="P298" s="206"/>
      <c r="Q298" s="208"/>
      <c r="R298" s="207"/>
      <c r="S298" s="207"/>
      <c r="T298" s="67"/>
      <c r="U298" s="67"/>
      <c r="V298" s="67"/>
      <c r="W298" s="67"/>
      <c r="X298" s="70"/>
      <c r="Y298" s="70"/>
      <c r="Z298" s="70"/>
      <c r="AA298" s="212"/>
      <c r="AB298" s="212"/>
      <c r="AC298" s="213"/>
      <c r="AD298" s="213"/>
      <c r="AE298" s="213"/>
      <c r="AF298" s="213"/>
      <c r="AJ298" s="210"/>
    </row>
    <row r="299" spans="1:40" s="209" customFormat="1" x14ac:dyDescent="0.25">
      <c r="A299" s="204"/>
      <c r="B299" s="204"/>
      <c r="C299" s="204"/>
      <c r="D299" s="204"/>
      <c r="E299" s="204"/>
      <c r="F299" s="204"/>
      <c r="G299" s="204"/>
      <c r="H299" s="204"/>
      <c r="I299" s="205"/>
      <c r="J299" s="204"/>
      <c r="K299" s="204"/>
      <c r="L299" s="205"/>
      <c r="M299" s="204"/>
      <c r="N299" s="204"/>
      <c r="O299" s="204"/>
      <c r="P299" s="206"/>
      <c r="Q299" s="208"/>
      <c r="R299" s="207"/>
      <c r="S299" s="207"/>
      <c r="T299" s="67"/>
      <c r="U299" s="67"/>
      <c r="V299" s="67"/>
      <c r="W299" s="67"/>
      <c r="X299" s="70"/>
      <c r="Y299" s="70"/>
      <c r="Z299" s="70"/>
      <c r="AA299" s="212"/>
      <c r="AB299" s="212"/>
      <c r="AC299" s="213"/>
      <c r="AD299" s="213"/>
      <c r="AE299" s="213"/>
      <c r="AF299" s="213"/>
      <c r="AJ299" s="210"/>
    </row>
    <row r="300" spans="1:40" s="146" customFormat="1" ht="14.25" customHeight="1" x14ac:dyDescent="0.25">
      <c r="A300" s="196">
        <v>2215</v>
      </c>
      <c r="B300" s="196" t="s">
        <v>1874</v>
      </c>
      <c r="C300" s="196" t="s">
        <v>1875</v>
      </c>
      <c r="D300" s="196" t="s">
        <v>1876</v>
      </c>
      <c r="E300" s="196" t="s">
        <v>1877</v>
      </c>
      <c r="F300" s="196">
        <v>2001</v>
      </c>
      <c r="G300" s="196"/>
      <c r="H300" s="196" t="s">
        <v>1878</v>
      </c>
      <c r="I300" s="141" t="s">
        <v>1879</v>
      </c>
      <c r="J300" s="142" t="s">
        <v>1880</v>
      </c>
      <c r="K300" s="196" t="s">
        <v>1881</v>
      </c>
      <c r="L300" s="141" t="s">
        <v>1882</v>
      </c>
      <c r="M300" s="196">
        <v>448</v>
      </c>
      <c r="N300" s="196"/>
      <c r="O300" s="196" t="s">
        <v>1883</v>
      </c>
      <c r="P300" s="144">
        <v>384</v>
      </c>
      <c r="Q300" s="145">
        <f t="shared" ref="Q300:Q308" si="14">SUM(T300:X300)</f>
        <v>1.7175</v>
      </c>
      <c r="R300" s="203">
        <v>0.25</v>
      </c>
      <c r="S300" s="203"/>
      <c r="T300" s="151"/>
      <c r="U300" s="151">
        <v>1.2</v>
      </c>
      <c r="V300" s="149">
        <v>0.25</v>
      </c>
      <c r="W300" s="151">
        <f>IF(R300&gt;T300,R300)</f>
        <v>0.25</v>
      </c>
      <c r="X300" s="152">
        <f>(T300+W300)/100*7</f>
        <v>1.7500000000000002E-2</v>
      </c>
      <c r="Y300" s="150">
        <f t="shared" ref="Y300:Y363" si="15">(IF(Z300&gt;AA300,Z300,AA300)*0.08)+1.01</f>
        <v>1.01</v>
      </c>
      <c r="Z300" s="152"/>
      <c r="AA300" s="148"/>
      <c r="AB300" s="148"/>
      <c r="AC300" s="153"/>
      <c r="AD300" s="153"/>
      <c r="AE300" s="153"/>
      <c r="AF300" s="153"/>
      <c r="AJ300" s="147"/>
      <c r="AK300" s="146" t="s">
        <v>51</v>
      </c>
      <c r="AL300" s="146" t="s">
        <v>51</v>
      </c>
      <c r="AM300" s="146" t="s">
        <v>51</v>
      </c>
      <c r="AN300" s="203"/>
    </row>
    <row r="301" spans="1:40" s="146" customFormat="1" ht="14.25" customHeight="1" x14ac:dyDescent="0.25">
      <c r="A301" s="196">
        <v>775</v>
      </c>
      <c r="B301" s="196" t="s">
        <v>1884</v>
      </c>
      <c r="C301" s="196" t="s">
        <v>1885</v>
      </c>
      <c r="D301" s="196" t="s">
        <v>1886</v>
      </c>
      <c r="E301" s="196" t="s">
        <v>1887</v>
      </c>
      <c r="F301" s="196">
        <v>2005</v>
      </c>
      <c r="G301" s="196"/>
      <c r="H301" s="196" t="s">
        <v>1878</v>
      </c>
      <c r="I301" s="141" t="s">
        <v>1879</v>
      </c>
      <c r="J301" s="142" t="s">
        <v>1888</v>
      </c>
      <c r="K301" s="196" t="s">
        <v>1881</v>
      </c>
      <c r="L301" s="141" t="s">
        <v>1889</v>
      </c>
      <c r="M301" s="196">
        <v>272</v>
      </c>
      <c r="N301" s="196"/>
      <c r="O301" s="196" t="s">
        <v>1890</v>
      </c>
      <c r="P301" s="144">
        <v>250</v>
      </c>
      <c r="Q301" s="145">
        <f t="shared" si="14"/>
        <v>1.9742999999999999</v>
      </c>
      <c r="R301" s="203">
        <v>0.49</v>
      </c>
      <c r="S301" s="203"/>
      <c r="T301" s="151"/>
      <c r="U301" s="151">
        <v>1.2</v>
      </c>
      <c r="V301" s="151">
        <v>0.25</v>
      </c>
      <c r="W301" s="151">
        <f t="shared" ref="W301:W308" si="16">IF(R301&gt;T301,R301)</f>
        <v>0.49</v>
      </c>
      <c r="X301" s="152">
        <f t="shared" ref="X301:X363" si="17">(T301+W301)/100*7</f>
        <v>3.4299999999999997E-2</v>
      </c>
      <c r="Y301" s="150">
        <f t="shared" si="15"/>
        <v>1.01</v>
      </c>
      <c r="Z301" s="152"/>
      <c r="AA301" s="148"/>
      <c r="AB301" s="148"/>
      <c r="AC301" s="153"/>
      <c r="AD301" s="153"/>
      <c r="AE301" s="153"/>
      <c r="AF301" s="153"/>
      <c r="AJ301" s="147"/>
      <c r="AK301" s="146" t="s">
        <v>51</v>
      </c>
      <c r="AL301" s="146" t="s">
        <v>51</v>
      </c>
      <c r="AM301" s="146" t="s">
        <v>51</v>
      </c>
      <c r="AN301" s="203"/>
    </row>
    <row r="302" spans="1:40" x14ac:dyDescent="0.25">
      <c r="Y302" s="150">
        <f t="shared" si="15"/>
        <v>1.01</v>
      </c>
      <c r="AC302" s="154"/>
      <c r="AD302" s="154"/>
      <c r="AE302" s="154"/>
      <c r="AF302" s="154"/>
    </row>
    <row r="303" spans="1:40" s="146" customFormat="1" x14ac:dyDescent="0.25">
      <c r="A303" s="196">
        <v>764</v>
      </c>
      <c r="B303" s="196" t="s">
        <v>1901</v>
      </c>
      <c r="C303" s="196" t="s">
        <v>1897</v>
      </c>
      <c r="D303" s="196" t="s">
        <v>1898</v>
      </c>
      <c r="E303" s="196" t="s">
        <v>1899</v>
      </c>
      <c r="F303" s="196">
        <v>1998</v>
      </c>
      <c r="G303" s="196"/>
      <c r="H303" s="196" t="s">
        <v>1878</v>
      </c>
      <c r="I303" s="141" t="s">
        <v>1879</v>
      </c>
      <c r="J303" s="196" t="s">
        <v>1900</v>
      </c>
      <c r="K303" s="196" t="s">
        <v>1881</v>
      </c>
      <c r="L303" s="141" t="s">
        <v>1902</v>
      </c>
      <c r="M303" s="196">
        <v>120</v>
      </c>
      <c r="N303" s="196"/>
      <c r="O303" s="196" t="s">
        <v>1903</v>
      </c>
      <c r="P303" s="144">
        <v>196</v>
      </c>
      <c r="Q303" s="145">
        <f t="shared" si="14"/>
        <v>2.5093000000000001</v>
      </c>
      <c r="R303" s="203">
        <v>0.99</v>
      </c>
      <c r="S303" s="203"/>
      <c r="T303" s="151"/>
      <c r="U303" s="151">
        <v>1.2</v>
      </c>
      <c r="V303" s="151">
        <v>0.25</v>
      </c>
      <c r="W303" s="151">
        <f t="shared" si="16"/>
        <v>0.99</v>
      </c>
      <c r="X303" s="152">
        <f t="shared" si="17"/>
        <v>6.93E-2</v>
      </c>
      <c r="Y303" s="150">
        <f t="shared" si="15"/>
        <v>1.01</v>
      </c>
      <c r="Z303" s="152"/>
      <c r="AA303" s="148"/>
      <c r="AB303" s="148"/>
      <c r="AC303" s="153"/>
      <c r="AD303" s="153"/>
      <c r="AE303" s="153"/>
      <c r="AF303" s="153"/>
      <c r="AJ303" s="147"/>
      <c r="AK303" s="146" t="s">
        <v>51</v>
      </c>
      <c r="AL303" s="146" t="s">
        <v>51</v>
      </c>
      <c r="AM303" s="146" t="s">
        <v>51</v>
      </c>
      <c r="AN303" s="203"/>
    </row>
    <row r="304" spans="1:40" s="146" customFormat="1" x14ac:dyDescent="0.25">
      <c r="A304" s="196">
        <v>632</v>
      </c>
      <c r="B304" s="196" t="s">
        <v>1904</v>
      </c>
      <c r="C304" s="196" t="s">
        <v>1905</v>
      </c>
      <c r="D304" s="196" t="s">
        <v>1906</v>
      </c>
      <c r="E304" s="196" t="s">
        <v>1899</v>
      </c>
      <c r="F304" s="196">
        <v>1998</v>
      </c>
      <c r="G304" s="196"/>
      <c r="H304" s="196" t="s">
        <v>1878</v>
      </c>
      <c r="I304" s="141" t="s">
        <v>1879</v>
      </c>
      <c r="J304" s="196" t="s">
        <v>1907</v>
      </c>
      <c r="K304" s="196" t="s">
        <v>1881</v>
      </c>
      <c r="L304" s="141" t="s">
        <v>1908</v>
      </c>
      <c r="M304" s="196">
        <v>576</v>
      </c>
      <c r="N304" s="196"/>
      <c r="O304" s="196" t="s">
        <v>1909</v>
      </c>
      <c r="P304" s="144">
        <v>580</v>
      </c>
      <c r="Q304" s="145">
        <f t="shared" si="14"/>
        <v>2.2175000000000002</v>
      </c>
      <c r="R304" s="203">
        <v>0.25</v>
      </c>
      <c r="S304" s="203"/>
      <c r="T304" s="151"/>
      <c r="U304" s="151">
        <v>1.7</v>
      </c>
      <c r="V304" s="149">
        <v>0.25</v>
      </c>
      <c r="W304" s="151">
        <f t="shared" si="16"/>
        <v>0.25</v>
      </c>
      <c r="X304" s="152">
        <f t="shared" si="17"/>
        <v>1.7500000000000002E-2</v>
      </c>
      <c r="Y304" s="150">
        <f t="shared" si="15"/>
        <v>1.01</v>
      </c>
      <c r="Z304" s="152"/>
      <c r="AA304" s="148"/>
      <c r="AB304" s="148"/>
      <c r="AC304" s="153"/>
      <c r="AD304" s="153"/>
      <c r="AE304" s="153"/>
      <c r="AF304" s="153"/>
      <c r="AJ304" s="147"/>
      <c r="AK304" s="146" t="s">
        <v>51</v>
      </c>
      <c r="AL304" s="146" t="s">
        <v>51</v>
      </c>
      <c r="AM304" s="146" t="s">
        <v>51</v>
      </c>
      <c r="AN304" s="203"/>
    </row>
    <row r="305" spans="1:40" s="146" customFormat="1" ht="14.25" customHeight="1" x14ac:dyDescent="0.25">
      <c r="A305" s="196">
        <v>2547</v>
      </c>
      <c r="B305" s="196" t="s">
        <v>1910</v>
      </c>
      <c r="C305" s="196" t="s">
        <v>1911</v>
      </c>
      <c r="D305" s="196" t="s">
        <v>1912</v>
      </c>
      <c r="E305" s="196" t="s">
        <v>1913</v>
      </c>
      <c r="F305" s="196">
        <v>2007</v>
      </c>
      <c r="G305" s="196"/>
      <c r="H305" s="196" t="s">
        <v>1878</v>
      </c>
      <c r="I305" s="141" t="s">
        <v>1914</v>
      </c>
      <c r="J305" s="142" t="s">
        <v>1915</v>
      </c>
      <c r="K305" s="196" t="s">
        <v>1881</v>
      </c>
      <c r="L305" s="141" t="s">
        <v>1916</v>
      </c>
      <c r="M305" s="196">
        <v>320</v>
      </c>
      <c r="N305" s="196"/>
      <c r="O305" s="196" t="s">
        <v>1917</v>
      </c>
      <c r="P305" s="144">
        <v>279</v>
      </c>
      <c r="Q305" s="145">
        <f t="shared" si="14"/>
        <v>1.9742999999999999</v>
      </c>
      <c r="R305" s="203">
        <v>0.49</v>
      </c>
      <c r="S305" s="203"/>
      <c r="T305" s="151"/>
      <c r="U305" s="151">
        <v>1.2</v>
      </c>
      <c r="V305" s="151">
        <v>0.25</v>
      </c>
      <c r="W305" s="151">
        <f t="shared" si="16"/>
        <v>0.49</v>
      </c>
      <c r="X305" s="152">
        <f t="shared" si="17"/>
        <v>3.4299999999999997E-2</v>
      </c>
      <c r="Y305" s="150">
        <f t="shared" si="15"/>
        <v>1.01</v>
      </c>
      <c r="Z305" s="152"/>
      <c r="AA305" s="148"/>
      <c r="AB305" s="148"/>
      <c r="AC305" s="153"/>
      <c r="AD305" s="153"/>
      <c r="AE305" s="153"/>
      <c r="AF305" s="153"/>
      <c r="AJ305" s="147"/>
      <c r="AK305" s="146" t="s">
        <v>51</v>
      </c>
      <c r="AL305" s="146" t="s">
        <v>51</v>
      </c>
      <c r="AM305" s="146" t="s">
        <v>51</v>
      </c>
      <c r="AN305" s="203"/>
    </row>
    <row r="306" spans="1:40" s="146" customFormat="1" ht="14.25" customHeight="1" x14ac:dyDescent="0.25">
      <c r="A306" s="196">
        <v>2523</v>
      </c>
      <c r="B306" s="196" t="s">
        <v>1918</v>
      </c>
      <c r="C306" s="196" t="s">
        <v>1919</v>
      </c>
      <c r="D306" s="196" t="s">
        <v>1920</v>
      </c>
      <c r="E306" s="196" t="s">
        <v>1921</v>
      </c>
      <c r="F306" s="196">
        <v>2015</v>
      </c>
      <c r="G306" s="196"/>
      <c r="H306" s="196" t="s">
        <v>1878</v>
      </c>
      <c r="I306" s="141" t="s">
        <v>1879</v>
      </c>
      <c r="J306" s="52" t="s">
        <v>1922</v>
      </c>
      <c r="K306" s="196" t="s">
        <v>1881</v>
      </c>
      <c r="L306" s="141" t="s">
        <v>1923</v>
      </c>
      <c r="M306" s="196">
        <v>352</v>
      </c>
      <c r="N306" s="196"/>
      <c r="O306" s="196" t="s">
        <v>1924</v>
      </c>
      <c r="P306" s="144">
        <v>361</v>
      </c>
      <c r="Q306" s="145">
        <f t="shared" si="14"/>
        <v>1.9742999999999999</v>
      </c>
      <c r="R306" s="203">
        <v>0.49</v>
      </c>
      <c r="S306" s="203"/>
      <c r="T306" s="151"/>
      <c r="U306" s="151">
        <v>1.2</v>
      </c>
      <c r="V306" s="149">
        <v>0.25</v>
      </c>
      <c r="W306" s="151">
        <f t="shared" si="16"/>
        <v>0.49</v>
      </c>
      <c r="X306" s="152">
        <f t="shared" si="17"/>
        <v>3.4299999999999997E-2</v>
      </c>
      <c r="Y306" s="150">
        <f t="shared" si="15"/>
        <v>1.01</v>
      </c>
      <c r="Z306" s="152"/>
      <c r="AA306" s="148"/>
      <c r="AB306" s="148"/>
      <c r="AC306" s="153"/>
      <c r="AD306" s="153"/>
      <c r="AE306" s="153"/>
      <c r="AF306" s="153"/>
      <c r="AJ306" s="147"/>
      <c r="AK306" s="146" t="s">
        <v>51</v>
      </c>
      <c r="AL306" s="146" t="s">
        <v>51</v>
      </c>
      <c r="AM306" s="146" t="s">
        <v>51</v>
      </c>
      <c r="AN306" s="203"/>
    </row>
    <row r="307" spans="1:40" s="146" customFormat="1" ht="12" customHeight="1" x14ac:dyDescent="0.25">
      <c r="A307" s="196">
        <v>2898</v>
      </c>
      <c r="B307" s="196"/>
      <c r="C307" s="196" t="s">
        <v>1926</v>
      </c>
      <c r="D307" s="196" t="s">
        <v>1927</v>
      </c>
      <c r="E307" s="196"/>
      <c r="F307" s="196">
        <v>2004</v>
      </c>
      <c r="G307" s="196"/>
      <c r="H307" s="196" t="s">
        <v>1928</v>
      </c>
      <c r="I307" s="141" t="s">
        <v>1929</v>
      </c>
      <c r="J307" s="142" t="s">
        <v>1930</v>
      </c>
      <c r="K307" s="196" t="s">
        <v>1881</v>
      </c>
      <c r="L307" s="141" t="s">
        <v>1925</v>
      </c>
      <c r="M307" s="196">
        <v>28</v>
      </c>
      <c r="N307" s="196"/>
      <c r="O307" s="196" t="s">
        <v>1931</v>
      </c>
      <c r="P307" s="144">
        <v>314</v>
      </c>
      <c r="Q307" s="145">
        <f t="shared" si="14"/>
        <v>1.9742999999999999</v>
      </c>
      <c r="R307" s="203">
        <v>0.49</v>
      </c>
      <c r="S307" s="203"/>
      <c r="T307" s="151"/>
      <c r="U307" s="151">
        <v>1.2</v>
      </c>
      <c r="V307" s="151">
        <v>0.25</v>
      </c>
      <c r="W307" s="151">
        <f t="shared" si="16"/>
        <v>0.49</v>
      </c>
      <c r="X307" s="152">
        <f t="shared" si="17"/>
        <v>3.4299999999999997E-2</v>
      </c>
      <c r="Y307" s="150">
        <f t="shared" si="15"/>
        <v>1.01</v>
      </c>
      <c r="Z307" s="152"/>
      <c r="AA307" s="148"/>
      <c r="AB307" s="148"/>
      <c r="AC307" s="153"/>
      <c r="AD307" s="153"/>
      <c r="AE307" s="153"/>
      <c r="AF307" s="153"/>
      <c r="AJ307" s="147"/>
      <c r="AK307" s="146" t="s">
        <v>51</v>
      </c>
      <c r="AL307" s="146" t="s">
        <v>51</v>
      </c>
      <c r="AM307" s="146" t="s">
        <v>51</v>
      </c>
      <c r="AN307" s="203"/>
    </row>
    <row r="308" spans="1:40" s="146" customFormat="1" ht="15" customHeight="1" x14ac:dyDescent="0.25">
      <c r="A308" s="196">
        <v>2547</v>
      </c>
      <c r="B308" s="196" t="s">
        <v>1966</v>
      </c>
      <c r="C308" s="196" t="s">
        <v>1967</v>
      </c>
      <c r="D308" s="196" t="s">
        <v>1968</v>
      </c>
      <c r="E308" s="196"/>
      <c r="F308" s="196">
        <v>2007</v>
      </c>
      <c r="G308" s="196"/>
      <c r="H308" s="196" t="s">
        <v>1878</v>
      </c>
      <c r="I308" s="141" t="s">
        <v>1879</v>
      </c>
      <c r="J308" s="52" t="s">
        <v>1969</v>
      </c>
      <c r="K308" s="196" t="s">
        <v>1881</v>
      </c>
      <c r="L308" s="141" t="s">
        <v>1932</v>
      </c>
      <c r="M308" s="196">
        <v>366</v>
      </c>
      <c r="N308" s="196"/>
      <c r="O308" s="196" t="s">
        <v>1933</v>
      </c>
      <c r="P308" s="144">
        <v>279</v>
      </c>
      <c r="Q308" s="145">
        <f t="shared" si="14"/>
        <v>1.7175</v>
      </c>
      <c r="R308" s="203">
        <v>0.25</v>
      </c>
      <c r="S308" s="203"/>
      <c r="T308" s="151"/>
      <c r="U308" s="151">
        <v>1.2</v>
      </c>
      <c r="V308" s="149">
        <v>0.25</v>
      </c>
      <c r="W308" s="151">
        <f t="shared" si="16"/>
        <v>0.25</v>
      </c>
      <c r="X308" s="152">
        <f t="shared" si="17"/>
        <v>1.7500000000000002E-2</v>
      </c>
      <c r="Y308" s="150">
        <f t="shared" si="15"/>
        <v>1.01</v>
      </c>
      <c r="Z308" s="152"/>
      <c r="AA308" s="148"/>
      <c r="AB308" s="148"/>
      <c r="AC308" s="153"/>
      <c r="AD308" s="153"/>
      <c r="AE308" s="153"/>
      <c r="AF308" s="153"/>
      <c r="AJ308" s="147"/>
      <c r="AK308" s="146" t="s">
        <v>51</v>
      </c>
      <c r="AL308" s="146" t="s">
        <v>51</v>
      </c>
      <c r="AM308" s="146" t="s">
        <v>51</v>
      </c>
      <c r="AN308" s="203"/>
    </row>
    <row r="309" spans="1:40" s="146" customFormat="1" x14ac:dyDescent="0.25">
      <c r="A309" s="196">
        <v>1386</v>
      </c>
      <c r="B309" s="196" t="s">
        <v>1971</v>
      </c>
      <c r="C309" s="196" t="s">
        <v>1972</v>
      </c>
      <c r="D309" s="196" t="s">
        <v>1973</v>
      </c>
      <c r="E309" s="196" t="s">
        <v>1974</v>
      </c>
      <c r="F309" s="196">
        <v>2010</v>
      </c>
      <c r="G309" s="196"/>
      <c r="H309" s="196" t="s">
        <v>1928</v>
      </c>
      <c r="I309" s="141" t="s">
        <v>1879</v>
      </c>
      <c r="J309" s="196" t="s">
        <v>1975</v>
      </c>
      <c r="K309" s="196" t="s">
        <v>1881</v>
      </c>
      <c r="L309" s="141" t="s">
        <v>1970</v>
      </c>
      <c r="M309" s="196">
        <v>306</v>
      </c>
      <c r="N309" s="196"/>
      <c r="O309" s="196" t="s">
        <v>1934</v>
      </c>
      <c r="P309" s="144">
        <v>515</v>
      </c>
      <c r="Q309" s="145">
        <f t="shared" ref="Q309:Q372" si="18">SUM(T309:X309)</f>
        <v>4.6143000000000001</v>
      </c>
      <c r="R309" s="203">
        <v>2.4900000000000002</v>
      </c>
      <c r="S309" s="203"/>
      <c r="T309" s="151"/>
      <c r="U309" s="151">
        <v>1.7</v>
      </c>
      <c r="V309" s="151">
        <v>0.25</v>
      </c>
      <c r="W309" s="151">
        <f t="shared" ref="W309:W372" si="19">IF(R309&gt;T309,R309,T309)</f>
        <v>2.4900000000000002</v>
      </c>
      <c r="X309" s="152">
        <f t="shared" si="17"/>
        <v>0.17430000000000001</v>
      </c>
      <c r="Y309" s="150">
        <f t="shared" si="15"/>
        <v>1.01</v>
      </c>
      <c r="Z309" s="152"/>
      <c r="AA309" s="148"/>
      <c r="AB309" s="148"/>
      <c r="AC309" s="153"/>
      <c r="AD309" s="153"/>
      <c r="AE309" s="153"/>
      <c r="AF309" s="153"/>
      <c r="AJ309" s="147"/>
      <c r="AK309" s="146" t="s">
        <v>51</v>
      </c>
      <c r="AL309" s="146" t="s">
        <v>51</v>
      </c>
      <c r="AM309" s="146" t="s">
        <v>51</v>
      </c>
      <c r="AN309" s="203"/>
    </row>
    <row r="310" spans="1:40" s="146" customFormat="1" x14ac:dyDescent="0.25">
      <c r="A310" s="196">
        <v>634</v>
      </c>
      <c r="B310" s="196" t="s">
        <v>1977</v>
      </c>
      <c r="C310" s="196" t="s">
        <v>1978</v>
      </c>
      <c r="D310" s="196" t="s">
        <v>1979</v>
      </c>
      <c r="E310" s="196"/>
      <c r="F310" s="196">
        <v>1999</v>
      </c>
      <c r="G310" s="196"/>
      <c r="H310" s="196" t="s">
        <v>1878</v>
      </c>
      <c r="I310" s="141" t="s">
        <v>1914</v>
      </c>
      <c r="J310" s="196" t="s">
        <v>1980</v>
      </c>
      <c r="K310" s="196" t="s">
        <v>1881</v>
      </c>
      <c r="L310" s="141" t="s">
        <v>1976</v>
      </c>
      <c r="M310" s="196">
        <v>256</v>
      </c>
      <c r="N310" s="196"/>
      <c r="O310" s="196" t="s">
        <v>1935</v>
      </c>
      <c r="P310" s="144">
        <v>214</v>
      </c>
      <c r="Q310" s="145">
        <f t="shared" si="18"/>
        <v>1.8673</v>
      </c>
      <c r="R310" s="203">
        <v>0.39</v>
      </c>
      <c r="S310" s="203"/>
      <c r="T310" s="151"/>
      <c r="U310" s="151">
        <v>1.2</v>
      </c>
      <c r="V310" s="149">
        <v>0.25</v>
      </c>
      <c r="W310" s="151">
        <f t="shared" si="19"/>
        <v>0.39</v>
      </c>
      <c r="X310" s="152">
        <f t="shared" si="17"/>
        <v>2.7300000000000001E-2</v>
      </c>
      <c r="Y310" s="150">
        <f t="shared" si="15"/>
        <v>1.01</v>
      </c>
      <c r="Z310" s="152"/>
      <c r="AA310" s="148"/>
      <c r="AB310" s="148"/>
      <c r="AC310" s="153"/>
      <c r="AD310" s="153"/>
      <c r="AE310" s="153"/>
      <c r="AF310" s="153"/>
      <c r="AJ310" s="147"/>
      <c r="AK310" s="146" t="s">
        <v>51</v>
      </c>
      <c r="AL310" s="146" t="s">
        <v>51</v>
      </c>
      <c r="AM310" s="146" t="s">
        <v>51</v>
      </c>
      <c r="AN310" s="203"/>
    </row>
    <row r="311" spans="1:40" s="146" customFormat="1" ht="15" customHeight="1" x14ac:dyDescent="0.25">
      <c r="A311" s="196">
        <v>1231</v>
      </c>
      <c r="B311" s="196" t="s">
        <v>1982</v>
      </c>
      <c r="C311" s="196" t="s">
        <v>1983</v>
      </c>
      <c r="D311" s="196" t="s">
        <v>1920</v>
      </c>
      <c r="E311" s="196" t="s">
        <v>1984</v>
      </c>
      <c r="F311" s="196">
        <v>1997</v>
      </c>
      <c r="G311" s="196"/>
      <c r="H311" s="196" t="s">
        <v>1878</v>
      </c>
      <c r="I311" s="141" t="s">
        <v>1879</v>
      </c>
      <c r="J311" s="142" t="s">
        <v>1985</v>
      </c>
      <c r="K311" s="196" t="s">
        <v>1881</v>
      </c>
      <c r="L311" s="141" t="s">
        <v>1981</v>
      </c>
      <c r="M311" s="196">
        <v>256</v>
      </c>
      <c r="N311" s="196"/>
      <c r="O311" s="196" t="s">
        <v>1936</v>
      </c>
      <c r="P311" s="144">
        <v>182</v>
      </c>
      <c r="Q311" s="145">
        <f t="shared" si="18"/>
        <v>1.7175</v>
      </c>
      <c r="R311" s="203">
        <v>0.25</v>
      </c>
      <c r="S311" s="203"/>
      <c r="T311" s="151"/>
      <c r="U311" s="151">
        <v>1.2</v>
      </c>
      <c r="V311" s="151">
        <v>0.25</v>
      </c>
      <c r="W311" s="151">
        <f t="shared" si="19"/>
        <v>0.25</v>
      </c>
      <c r="X311" s="152">
        <f t="shared" si="17"/>
        <v>1.7500000000000002E-2</v>
      </c>
      <c r="Y311" s="150">
        <f t="shared" si="15"/>
        <v>1.01</v>
      </c>
      <c r="Z311" s="152"/>
      <c r="AA311" s="148"/>
      <c r="AB311" s="148"/>
      <c r="AC311" s="153"/>
      <c r="AD311" s="153"/>
      <c r="AE311" s="153"/>
      <c r="AF311" s="153"/>
      <c r="AJ311" s="147"/>
      <c r="AK311" s="146" t="s">
        <v>51</v>
      </c>
      <c r="AL311" s="146" t="s">
        <v>51</v>
      </c>
      <c r="AM311" s="146" t="s">
        <v>51</v>
      </c>
      <c r="AN311" s="203"/>
    </row>
    <row r="312" spans="1:40" x14ac:dyDescent="0.25">
      <c r="Y312" s="150">
        <f t="shared" si="15"/>
        <v>1.01</v>
      </c>
    </row>
    <row r="313" spans="1:40" x14ac:dyDescent="0.25">
      <c r="Y313" s="150">
        <f t="shared" si="15"/>
        <v>1.01</v>
      </c>
    </row>
    <row r="314" spans="1:40" s="146" customFormat="1" x14ac:dyDescent="0.25">
      <c r="A314" s="196">
        <v>2851</v>
      </c>
      <c r="B314" s="196" t="s">
        <v>1996</v>
      </c>
      <c r="C314" s="196" t="s">
        <v>1997</v>
      </c>
      <c r="D314" s="196" t="s">
        <v>1998</v>
      </c>
      <c r="E314" s="196" t="s">
        <v>1913</v>
      </c>
      <c r="F314" s="196">
        <v>2007</v>
      </c>
      <c r="G314" s="196"/>
      <c r="H314" s="196" t="s">
        <v>1928</v>
      </c>
      <c r="I314" s="141" t="s">
        <v>1879</v>
      </c>
      <c r="J314" s="196" t="s">
        <v>1999</v>
      </c>
      <c r="K314" s="196" t="s">
        <v>1881</v>
      </c>
      <c r="L314" s="141" t="s">
        <v>2000</v>
      </c>
      <c r="M314" s="196">
        <v>194</v>
      </c>
      <c r="N314" s="196"/>
      <c r="O314" s="196" t="s">
        <v>1939</v>
      </c>
      <c r="P314" s="144">
        <v>346</v>
      </c>
      <c r="Q314" s="145">
        <f t="shared" si="18"/>
        <v>1.8673</v>
      </c>
      <c r="R314" s="203">
        <v>0.39</v>
      </c>
      <c r="S314" s="203"/>
      <c r="T314" s="151"/>
      <c r="U314" s="151">
        <v>1.2</v>
      </c>
      <c r="V314" s="149">
        <v>0.25</v>
      </c>
      <c r="W314" s="151">
        <f t="shared" si="19"/>
        <v>0.39</v>
      </c>
      <c r="X314" s="152">
        <f t="shared" si="17"/>
        <v>2.7300000000000001E-2</v>
      </c>
      <c r="Y314" s="150">
        <f t="shared" si="15"/>
        <v>1.01</v>
      </c>
      <c r="Z314" s="152"/>
      <c r="AA314" s="148"/>
      <c r="AB314" s="148"/>
      <c r="AC314" s="153"/>
      <c r="AD314" s="153"/>
      <c r="AE314" s="153"/>
      <c r="AF314" s="153"/>
      <c r="AJ314" s="147"/>
      <c r="AK314" s="146" t="s">
        <v>51</v>
      </c>
      <c r="AL314" s="146" t="s">
        <v>51</v>
      </c>
      <c r="AM314" s="146" t="s">
        <v>51</v>
      </c>
      <c r="AN314" s="203"/>
    </row>
    <row r="315" spans="1:40" s="146" customFormat="1" ht="14.25" customHeight="1" x14ac:dyDescent="0.25">
      <c r="A315" s="196">
        <v>721</v>
      </c>
      <c r="B315" s="196" t="s">
        <v>2001</v>
      </c>
      <c r="C315" s="196" t="s">
        <v>2002</v>
      </c>
      <c r="D315" s="196" t="s">
        <v>2003</v>
      </c>
      <c r="E315" s="196"/>
      <c r="F315" s="196">
        <v>2007</v>
      </c>
      <c r="G315" s="196"/>
      <c r="H315" s="196" t="s">
        <v>1878</v>
      </c>
      <c r="I315" s="141" t="s">
        <v>1879</v>
      </c>
      <c r="J315" s="142" t="s">
        <v>2004</v>
      </c>
      <c r="K315" s="196" t="s">
        <v>1881</v>
      </c>
      <c r="L315" s="141" t="s">
        <v>2005</v>
      </c>
      <c r="M315" s="196">
        <v>194</v>
      </c>
      <c r="N315" s="196"/>
      <c r="O315" s="196" t="s">
        <v>1940</v>
      </c>
      <c r="P315" s="144">
        <v>328</v>
      </c>
      <c r="Q315" s="145">
        <f t="shared" si="18"/>
        <v>2.5093000000000001</v>
      </c>
      <c r="R315" s="203">
        <v>0.99</v>
      </c>
      <c r="S315" s="203"/>
      <c r="T315" s="151"/>
      <c r="U315" s="151">
        <v>1.2</v>
      </c>
      <c r="V315" s="151">
        <v>0.25</v>
      </c>
      <c r="W315" s="151">
        <f t="shared" si="19"/>
        <v>0.99</v>
      </c>
      <c r="X315" s="152">
        <f t="shared" si="17"/>
        <v>6.93E-2</v>
      </c>
      <c r="Y315" s="150">
        <f t="shared" si="15"/>
        <v>1.01</v>
      </c>
      <c r="Z315" s="152"/>
      <c r="AA315" s="148"/>
      <c r="AB315" s="148"/>
      <c r="AC315" s="153"/>
      <c r="AD315" s="153"/>
      <c r="AE315" s="153"/>
      <c r="AF315" s="153"/>
      <c r="AJ315" s="147"/>
      <c r="AK315" s="146" t="s">
        <v>51</v>
      </c>
      <c r="AL315" s="146" t="s">
        <v>51</v>
      </c>
      <c r="AM315" s="146" t="s">
        <v>51</v>
      </c>
      <c r="AN315" s="203"/>
    </row>
    <row r="316" spans="1:40" s="146" customFormat="1" x14ac:dyDescent="0.25">
      <c r="A316" s="196">
        <v>153</v>
      </c>
      <c r="B316" s="196"/>
      <c r="C316" s="196" t="s">
        <v>2006</v>
      </c>
      <c r="D316" s="196" t="s">
        <v>2007</v>
      </c>
      <c r="E316" s="196"/>
      <c r="F316" s="196">
        <v>1990</v>
      </c>
      <c r="G316" s="196"/>
      <c r="H316" s="196" t="s">
        <v>2008</v>
      </c>
      <c r="I316" s="141" t="s">
        <v>1879</v>
      </c>
      <c r="J316" s="196" t="s">
        <v>2009</v>
      </c>
      <c r="K316" s="196" t="s">
        <v>1881</v>
      </c>
      <c r="L316" s="141" t="s">
        <v>2010</v>
      </c>
      <c r="M316" s="196">
        <v>424</v>
      </c>
      <c r="N316" s="196"/>
      <c r="O316" s="196" t="s">
        <v>1941</v>
      </c>
      <c r="P316" s="144">
        <v>164</v>
      </c>
      <c r="Q316" s="145">
        <f t="shared" si="18"/>
        <v>2.8303000000000003</v>
      </c>
      <c r="R316" s="203">
        <v>1.29</v>
      </c>
      <c r="S316" s="203"/>
      <c r="T316" s="151"/>
      <c r="U316" s="151">
        <v>1.2</v>
      </c>
      <c r="V316" s="149">
        <v>0.25</v>
      </c>
      <c r="W316" s="151">
        <f t="shared" si="19"/>
        <v>1.29</v>
      </c>
      <c r="X316" s="152">
        <f t="shared" si="17"/>
        <v>9.0300000000000005E-2</v>
      </c>
      <c r="Y316" s="150">
        <f t="shared" si="15"/>
        <v>1.01</v>
      </c>
      <c r="Z316" s="152"/>
      <c r="AA316" s="148"/>
      <c r="AB316" s="148"/>
      <c r="AC316" s="153"/>
      <c r="AD316" s="153"/>
      <c r="AE316" s="153"/>
      <c r="AF316" s="153"/>
      <c r="AJ316" s="147"/>
      <c r="AK316" s="146" t="s">
        <v>51</v>
      </c>
      <c r="AL316" s="146" t="s">
        <v>51</v>
      </c>
      <c r="AM316" s="146" t="s">
        <v>51</v>
      </c>
      <c r="AN316" s="203"/>
    </row>
    <row r="317" spans="1:40" x14ac:dyDescent="0.25">
      <c r="Y317" s="150">
        <f t="shared" si="15"/>
        <v>1.01</v>
      </c>
    </row>
    <row r="318" spans="1:40" s="146" customFormat="1" x14ac:dyDescent="0.25">
      <c r="A318" s="196">
        <v>1806</v>
      </c>
      <c r="B318" s="196"/>
      <c r="C318" s="196" t="s">
        <v>2017</v>
      </c>
      <c r="D318" s="196" t="s">
        <v>2018</v>
      </c>
      <c r="E318" s="196" t="s">
        <v>2014</v>
      </c>
      <c r="F318" s="196"/>
      <c r="G318" s="196"/>
      <c r="H318" s="196" t="s">
        <v>1878</v>
      </c>
      <c r="I318" s="141" t="s">
        <v>1929</v>
      </c>
      <c r="J318" s="196" t="s">
        <v>2019</v>
      </c>
      <c r="K318" s="196" t="s">
        <v>1881</v>
      </c>
      <c r="L318" s="141" t="s">
        <v>2020</v>
      </c>
      <c r="M318" s="196">
        <v>320</v>
      </c>
      <c r="N318" s="196"/>
      <c r="O318" s="196" t="s">
        <v>1943</v>
      </c>
      <c r="P318" s="144">
        <v>586</v>
      </c>
      <c r="Q318" s="145">
        <f t="shared" si="18"/>
        <v>5.6843000000000004</v>
      </c>
      <c r="R318" s="203">
        <v>3.49</v>
      </c>
      <c r="S318" s="203"/>
      <c r="T318" s="151"/>
      <c r="U318" s="151">
        <v>1.7</v>
      </c>
      <c r="V318" s="149">
        <v>0.25</v>
      </c>
      <c r="W318" s="151">
        <f t="shared" si="19"/>
        <v>3.49</v>
      </c>
      <c r="X318" s="152">
        <f t="shared" si="17"/>
        <v>0.24430000000000002</v>
      </c>
      <c r="Y318" s="150">
        <f t="shared" si="15"/>
        <v>1.01</v>
      </c>
      <c r="Z318" s="152"/>
      <c r="AA318" s="148"/>
      <c r="AB318" s="148"/>
      <c r="AC318" s="153"/>
      <c r="AD318" s="153"/>
      <c r="AE318" s="153"/>
      <c r="AF318" s="153"/>
      <c r="AJ318" s="147"/>
      <c r="AK318" s="146" t="s">
        <v>51</v>
      </c>
      <c r="AL318" s="146" t="s">
        <v>51</v>
      </c>
      <c r="AM318" s="146" t="s">
        <v>51</v>
      </c>
      <c r="AN318" s="203"/>
    </row>
    <row r="319" spans="1:40" s="146" customFormat="1" x14ac:dyDescent="0.25">
      <c r="A319" s="196">
        <v>972</v>
      </c>
      <c r="B319" s="196" t="s">
        <v>2021</v>
      </c>
      <c r="C319" s="196" t="s">
        <v>2022</v>
      </c>
      <c r="D319" s="196" t="s">
        <v>2023</v>
      </c>
      <c r="E319" s="196"/>
      <c r="F319" s="196">
        <v>1996</v>
      </c>
      <c r="G319" s="196"/>
      <c r="H319" s="196" t="s">
        <v>1878</v>
      </c>
      <c r="I319" s="141" t="s">
        <v>1879</v>
      </c>
      <c r="J319" s="142" t="s">
        <v>2024</v>
      </c>
      <c r="K319" s="196" t="s">
        <v>2025</v>
      </c>
      <c r="L319" s="141" t="s">
        <v>2026</v>
      </c>
      <c r="M319" s="196">
        <v>548</v>
      </c>
      <c r="N319" s="196"/>
      <c r="O319" s="196" t="s">
        <v>1944</v>
      </c>
      <c r="P319" s="144">
        <v>282</v>
      </c>
      <c r="Q319" s="145">
        <f t="shared" si="18"/>
        <v>2.9373</v>
      </c>
      <c r="R319" s="203">
        <v>1.39</v>
      </c>
      <c r="S319" s="203"/>
      <c r="T319" s="151"/>
      <c r="U319" s="151">
        <v>1.2</v>
      </c>
      <c r="V319" s="151">
        <v>0.25</v>
      </c>
      <c r="W319" s="151">
        <f t="shared" si="19"/>
        <v>1.39</v>
      </c>
      <c r="X319" s="152">
        <f t="shared" si="17"/>
        <v>9.7299999999999998E-2</v>
      </c>
      <c r="Y319" s="150">
        <f t="shared" si="15"/>
        <v>1.01</v>
      </c>
      <c r="Z319" s="152"/>
      <c r="AA319" s="148"/>
      <c r="AB319" s="148"/>
      <c r="AC319" s="153"/>
      <c r="AD319" s="153"/>
      <c r="AE319" s="153"/>
      <c r="AF319" s="153"/>
      <c r="AJ319" s="147"/>
      <c r="AK319" s="146" t="s">
        <v>51</v>
      </c>
      <c r="AL319" s="146" t="s">
        <v>51</v>
      </c>
      <c r="AM319" s="146" t="s">
        <v>51</v>
      </c>
      <c r="AN319" s="203"/>
    </row>
    <row r="320" spans="1:40" s="146" customFormat="1" ht="16.5" customHeight="1" x14ac:dyDescent="0.25">
      <c r="A320" s="196">
        <v>697</v>
      </c>
      <c r="B320" s="196" t="s">
        <v>2030</v>
      </c>
      <c r="C320" s="196" t="s">
        <v>2029</v>
      </c>
      <c r="D320" s="196" t="s">
        <v>2031</v>
      </c>
      <c r="E320" s="196" t="s">
        <v>2032</v>
      </c>
      <c r="F320" s="196">
        <v>2005</v>
      </c>
      <c r="G320" s="196"/>
      <c r="H320" s="196" t="s">
        <v>1928</v>
      </c>
      <c r="I320" s="141" t="s">
        <v>1929</v>
      </c>
      <c r="J320" s="142" t="s">
        <v>2033</v>
      </c>
      <c r="K320" s="196" t="s">
        <v>1881</v>
      </c>
      <c r="L320" s="141"/>
      <c r="M320" s="196">
        <v>146</v>
      </c>
      <c r="N320" s="196"/>
      <c r="O320" s="196" t="s">
        <v>1946</v>
      </c>
      <c r="P320" s="144">
        <v>613</v>
      </c>
      <c r="Q320" s="145">
        <f t="shared" si="18"/>
        <v>6.7543000000000006</v>
      </c>
      <c r="R320" s="203">
        <v>4.49</v>
      </c>
      <c r="S320" s="203"/>
      <c r="T320" s="151"/>
      <c r="U320" s="151">
        <v>1.7</v>
      </c>
      <c r="V320" s="149">
        <v>0.25</v>
      </c>
      <c r="W320" s="151">
        <f t="shared" si="19"/>
        <v>4.49</v>
      </c>
      <c r="X320" s="152">
        <f t="shared" si="17"/>
        <v>0.31430000000000002</v>
      </c>
      <c r="Y320" s="150">
        <f t="shared" si="15"/>
        <v>1.01</v>
      </c>
      <c r="Z320" s="152"/>
      <c r="AA320" s="148"/>
      <c r="AB320" s="148"/>
      <c r="AC320" s="153"/>
      <c r="AD320" s="153"/>
      <c r="AE320" s="153"/>
      <c r="AF320" s="153"/>
      <c r="AJ320" s="147"/>
      <c r="AK320" s="146" t="s">
        <v>51</v>
      </c>
      <c r="AL320" s="146" t="s">
        <v>51</v>
      </c>
      <c r="AM320" s="146" t="s">
        <v>51</v>
      </c>
      <c r="AN320" s="203"/>
    </row>
    <row r="321" spans="1:40" s="146" customFormat="1" x14ac:dyDescent="0.25">
      <c r="A321" s="196">
        <v>609</v>
      </c>
      <c r="B321" s="196" t="s">
        <v>2034</v>
      </c>
      <c r="C321" s="196" t="s">
        <v>2035</v>
      </c>
      <c r="D321" s="196" t="s">
        <v>2036</v>
      </c>
      <c r="E321" s="196" t="s">
        <v>1921</v>
      </c>
      <c r="F321" s="196">
        <v>2002</v>
      </c>
      <c r="G321" s="196"/>
      <c r="H321" s="196" t="s">
        <v>1928</v>
      </c>
      <c r="I321" s="141" t="s">
        <v>1929</v>
      </c>
      <c r="J321" s="196" t="s">
        <v>2037</v>
      </c>
      <c r="K321" s="196" t="s">
        <v>1881</v>
      </c>
      <c r="L321" s="141" t="s">
        <v>2038</v>
      </c>
      <c r="M321" s="196">
        <v>82</v>
      </c>
      <c r="N321" s="196"/>
      <c r="O321" s="196" t="s">
        <v>1947</v>
      </c>
      <c r="P321" s="144">
        <v>381</v>
      </c>
      <c r="Q321" s="145">
        <f t="shared" si="18"/>
        <v>2.2953000000000001</v>
      </c>
      <c r="R321" s="203">
        <v>0.79</v>
      </c>
      <c r="S321" s="203"/>
      <c r="T321" s="151"/>
      <c r="U321" s="151">
        <v>1.2</v>
      </c>
      <c r="V321" s="151">
        <v>0.25</v>
      </c>
      <c r="W321" s="151">
        <f t="shared" si="19"/>
        <v>0.79</v>
      </c>
      <c r="X321" s="152">
        <f t="shared" si="17"/>
        <v>5.5300000000000002E-2</v>
      </c>
      <c r="Y321" s="150">
        <f t="shared" si="15"/>
        <v>1.01</v>
      </c>
      <c r="Z321" s="152"/>
      <c r="AA321" s="148"/>
      <c r="AB321" s="148"/>
      <c r="AC321" s="153"/>
      <c r="AD321" s="153"/>
      <c r="AE321" s="153"/>
      <c r="AF321" s="153"/>
      <c r="AJ321" s="147"/>
      <c r="AK321" s="146" t="s">
        <v>51</v>
      </c>
      <c r="AL321" s="146" t="s">
        <v>51</v>
      </c>
      <c r="AM321" s="146" t="s">
        <v>51</v>
      </c>
      <c r="AN321" s="203"/>
    </row>
    <row r="322" spans="1:40" x14ac:dyDescent="0.25">
      <c r="Y322" s="150">
        <f t="shared" si="15"/>
        <v>1.01</v>
      </c>
    </row>
    <row r="323" spans="1:40" s="146" customFormat="1" x14ac:dyDescent="0.25">
      <c r="A323" s="196">
        <v>632</v>
      </c>
      <c r="B323" s="196" t="s">
        <v>2044</v>
      </c>
      <c r="C323" s="196" t="s">
        <v>2045</v>
      </c>
      <c r="D323" s="196" t="s">
        <v>2046</v>
      </c>
      <c r="E323" s="196"/>
      <c r="F323" s="196">
        <v>2006</v>
      </c>
      <c r="G323" s="196"/>
      <c r="H323" s="196" t="s">
        <v>1928</v>
      </c>
      <c r="I323" s="141" t="s">
        <v>1879</v>
      </c>
      <c r="J323" s="196" t="s">
        <v>2047</v>
      </c>
      <c r="K323" s="196" t="s">
        <v>1881</v>
      </c>
      <c r="L323" s="141"/>
      <c r="M323" s="196">
        <v>384</v>
      </c>
      <c r="N323" s="196"/>
      <c r="O323" s="196" t="s">
        <v>1949</v>
      </c>
      <c r="P323" s="144">
        <v>548</v>
      </c>
      <c r="Q323" s="145">
        <f t="shared" si="18"/>
        <v>2.4742999999999999</v>
      </c>
      <c r="R323" s="203">
        <v>0.49</v>
      </c>
      <c r="S323" s="203"/>
      <c r="T323" s="151"/>
      <c r="U323" s="151">
        <v>1.7</v>
      </c>
      <c r="V323" s="151">
        <v>0.25</v>
      </c>
      <c r="W323" s="151">
        <f t="shared" si="19"/>
        <v>0.49</v>
      </c>
      <c r="X323" s="152">
        <f t="shared" si="17"/>
        <v>3.4299999999999997E-2</v>
      </c>
      <c r="Y323" s="150">
        <f t="shared" si="15"/>
        <v>1.01</v>
      </c>
      <c r="Z323" s="152"/>
      <c r="AA323" s="148"/>
      <c r="AB323" s="148"/>
      <c r="AC323" s="153"/>
      <c r="AD323" s="153"/>
      <c r="AE323" s="153"/>
      <c r="AF323" s="153"/>
      <c r="AJ323" s="147"/>
      <c r="AK323" s="146" t="s">
        <v>51</v>
      </c>
      <c r="AL323" s="146" t="s">
        <v>51</v>
      </c>
      <c r="AM323" s="146" t="s">
        <v>51</v>
      </c>
      <c r="AN323" s="203"/>
    </row>
    <row r="324" spans="1:40" s="146" customFormat="1" x14ac:dyDescent="0.25">
      <c r="A324" s="196">
        <v>630</v>
      </c>
      <c r="B324" s="196" t="s">
        <v>2048</v>
      </c>
      <c r="C324" s="196" t="s">
        <v>2049</v>
      </c>
      <c r="D324" s="196" t="s">
        <v>2050</v>
      </c>
      <c r="E324" s="196"/>
      <c r="F324" s="196">
        <v>2003</v>
      </c>
      <c r="G324" s="196"/>
      <c r="H324" s="196" t="s">
        <v>1928</v>
      </c>
      <c r="I324" s="141" t="s">
        <v>1879</v>
      </c>
      <c r="J324" s="196"/>
      <c r="K324" s="196" t="s">
        <v>1881</v>
      </c>
      <c r="L324" s="141" t="s">
        <v>2051</v>
      </c>
      <c r="M324" s="196">
        <v>1586</v>
      </c>
      <c r="N324" s="196"/>
      <c r="O324" s="196" t="s">
        <v>1950</v>
      </c>
      <c r="P324" s="144">
        <v>1685</v>
      </c>
      <c r="Q324" s="145">
        <f t="shared" si="18"/>
        <v>5.2062999999999997</v>
      </c>
      <c r="R324" s="203">
        <v>1.0900000000000001</v>
      </c>
      <c r="S324" s="203"/>
      <c r="T324" s="151"/>
      <c r="U324" s="151">
        <v>3.79</v>
      </c>
      <c r="V324" s="149">
        <v>0.25</v>
      </c>
      <c r="W324" s="151">
        <f t="shared" si="19"/>
        <v>1.0900000000000001</v>
      </c>
      <c r="X324" s="152">
        <f t="shared" si="17"/>
        <v>7.6300000000000007E-2</v>
      </c>
      <c r="Y324" s="150">
        <f t="shared" si="15"/>
        <v>1.01</v>
      </c>
      <c r="Z324" s="152"/>
      <c r="AA324" s="148"/>
      <c r="AB324" s="148"/>
      <c r="AC324" s="153"/>
      <c r="AD324" s="153"/>
      <c r="AE324" s="153"/>
      <c r="AF324" s="153"/>
      <c r="AJ324" s="147"/>
      <c r="AK324" s="146" t="s">
        <v>51</v>
      </c>
      <c r="AL324" s="146" t="s">
        <v>51</v>
      </c>
      <c r="AM324" s="146" t="s">
        <v>51</v>
      </c>
      <c r="AN324" s="203"/>
    </row>
    <row r="325" spans="1:40" s="146" customFormat="1" x14ac:dyDescent="0.25">
      <c r="A325" s="196">
        <v>2571</v>
      </c>
      <c r="B325" s="196" t="s">
        <v>2052</v>
      </c>
      <c r="C325" s="196" t="s">
        <v>2053</v>
      </c>
      <c r="D325" s="196" t="s">
        <v>2054</v>
      </c>
      <c r="E325" s="196" t="s">
        <v>2055</v>
      </c>
      <c r="F325" s="196">
        <v>1957</v>
      </c>
      <c r="G325" s="196"/>
      <c r="H325" s="196" t="s">
        <v>1928</v>
      </c>
      <c r="I325" s="141" t="s">
        <v>1879</v>
      </c>
      <c r="J325" s="196" t="s">
        <v>2056</v>
      </c>
      <c r="K325" s="196" t="s">
        <v>1881</v>
      </c>
      <c r="L325" s="141" t="s">
        <v>2057</v>
      </c>
      <c r="M325" s="196">
        <v>200</v>
      </c>
      <c r="N325" s="196"/>
      <c r="O325" s="196" t="s">
        <v>1951</v>
      </c>
      <c r="P325" s="144">
        <v>238</v>
      </c>
      <c r="Q325" s="145">
        <f t="shared" si="18"/>
        <v>4.1143000000000001</v>
      </c>
      <c r="R325" s="203">
        <v>2.4900000000000002</v>
      </c>
      <c r="S325" s="203"/>
      <c r="T325" s="151"/>
      <c r="U325" s="151">
        <v>1.2</v>
      </c>
      <c r="V325" s="151">
        <v>0.25</v>
      </c>
      <c r="W325" s="151">
        <f t="shared" si="19"/>
        <v>2.4900000000000002</v>
      </c>
      <c r="X325" s="152">
        <f t="shared" si="17"/>
        <v>0.17430000000000001</v>
      </c>
      <c r="Y325" s="150">
        <f t="shared" si="15"/>
        <v>1.01</v>
      </c>
      <c r="Z325" s="152"/>
      <c r="AA325" s="148"/>
      <c r="AB325" s="148"/>
      <c r="AC325" s="153"/>
      <c r="AD325" s="153"/>
      <c r="AE325" s="153"/>
      <c r="AF325" s="153"/>
      <c r="AJ325" s="147"/>
      <c r="AK325" s="146" t="s">
        <v>51</v>
      </c>
      <c r="AL325" s="146" t="s">
        <v>51</v>
      </c>
      <c r="AM325" s="146" t="s">
        <v>51</v>
      </c>
      <c r="AN325" s="203"/>
    </row>
    <row r="326" spans="1:40" s="146" customFormat="1" ht="12.75" customHeight="1" x14ac:dyDescent="0.25">
      <c r="A326" s="196">
        <v>701</v>
      </c>
      <c r="B326" s="196" t="s">
        <v>2058</v>
      </c>
      <c r="C326" s="196" t="s">
        <v>2059</v>
      </c>
      <c r="D326" s="196" t="s">
        <v>2050</v>
      </c>
      <c r="E326" s="196"/>
      <c r="F326" s="196">
        <v>2010</v>
      </c>
      <c r="G326" s="196"/>
      <c r="H326" s="196" t="s">
        <v>1928</v>
      </c>
      <c r="I326" s="141" t="s">
        <v>1879</v>
      </c>
      <c r="J326" s="142" t="s">
        <v>2060</v>
      </c>
      <c r="K326" s="196" t="s">
        <v>1881</v>
      </c>
      <c r="L326" s="141" t="s">
        <v>2061</v>
      </c>
      <c r="M326" s="196">
        <v>144</v>
      </c>
      <c r="N326" s="196"/>
      <c r="O326" s="196" t="s">
        <v>1952</v>
      </c>
      <c r="P326" s="144">
        <v>207</v>
      </c>
      <c r="Q326" s="145">
        <f t="shared" si="18"/>
        <v>1.9742999999999999</v>
      </c>
      <c r="R326" s="203">
        <v>0.49</v>
      </c>
      <c r="S326" s="203"/>
      <c r="T326" s="151"/>
      <c r="U326" s="151">
        <v>1.2</v>
      </c>
      <c r="V326" s="149">
        <v>0.25</v>
      </c>
      <c r="W326" s="151">
        <f t="shared" si="19"/>
        <v>0.49</v>
      </c>
      <c r="X326" s="152">
        <f t="shared" si="17"/>
        <v>3.4299999999999997E-2</v>
      </c>
      <c r="Y326" s="150">
        <f t="shared" si="15"/>
        <v>1.01</v>
      </c>
      <c r="Z326" s="152"/>
      <c r="AA326" s="148"/>
      <c r="AB326" s="148"/>
      <c r="AC326" s="153"/>
      <c r="AD326" s="153"/>
      <c r="AE326" s="153"/>
      <c r="AF326" s="153"/>
      <c r="AJ326" s="147"/>
      <c r="AK326" s="146" t="s">
        <v>51</v>
      </c>
      <c r="AL326" s="146" t="s">
        <v>51</v>
      </c>
      <c r="AM326" s="146" t="s">
        <v>51</v>
      </c>
      <c r="AN326" s="203"/>
    </row>
    <row r="327" spans="1:40" s="146" customFormat="1" x14ac:dyDescent="0.25">
      <c r="A327" s="196">
        <v>182</v>
      </c>
      <c r="B327" s="196" t="s">
        <v>2062</v>
      </c>
      <c r="C327" s="196" t="s">
        <v>2063</v>
      </c>
      <c r="D327" s="196" t="s">
        <v>2064</v>
      </c>
      <c r="E327" s="196"/>
      <c r="F327" s="196">
        <v>1975</v>
      </c>
      <c r="G327" s="196"/>
      <c r="H327" s="196" t="s">
        <v>2008</v>
      </c>
      <c r="I327" s="141" t="s">
        <v>1879</v>
      </c>
      <c r="J327" s="196" t="s">
        <v>2065</v>
      </c>
      <c r="K327" s="196" t="s">
        <v>1881</v>
      </c>
      <c r="L327" s="141"/>
      <c r="M327" s="196">
        <v>252</v>
      </c>
      <c r="N327" s="196"/>
      <c r="O327" s="196" t="s">
        <v>1953</v>
      </c>
      <c r="P327" s="144">
        <v>163</v>
      </c>
      <c r="Q327" s="145">
        <f t="shared" si="18"/>
        <v>4.1143000000000001</v>
      </c>
      <c r="R327" s="203">
        <v>2.4900000000000002</v>
      </c>
      <c r="S327" s="203"/>
      <c r="T327" s="151"/>
      <c r="U327" s="151">
        <v>1.2</v>
      </c>
      <c r="V327" s="151">
        <v>0.25</v>
      </c>
      <c r="W327" s="151">
        <f t="shared" si="19"/>
        <v>2.4900000000000002</v>
      </c>
      <c r="X327" s="152">
        <f t="shared" si="17"/>
        <v>0.17430000000000001</v>
      </c>
      <c r="Y327" s="150">
        <f t="shared" si="15"/>
        <v>1.01</v>
      </c>
      <c r="Z327" s="152"/>
      <c r="AA327" s="148"/>
      <c r="AB327" s="148"/>
      <c r="AC327" s="153"/>
      <c r="AD327" s="153"/>
      <c r="AE327" s="153"/>
      <c r="AF327" s="153"/>
      <c r="AJ327" s="147"/>
      <c r="AK327" s="146" t="s">
        <v>51</v>
      </c>
      <c r="AL327" s="146" t="s">
        <v>51</v>
      </c>
      <c r="AM327" s="146" t="s">
        <v>51</v>
      </c>
      <c r="AN327" s="203"/>
    </row>
    <row r="328" spans="1:40" s="146" customFormat="1" x14ac:dyDescent="0.25">
      <c r="A328" s="196">
        <v>639</v>
      </c>
      <c r="B328" s="196" t="s">
        <v>2066</v>
      </c>
      <c r="C328" s="196" t="s">
        <v>2067</v>
      </c>
      <c r="D328" s="196" t="s">
        <v>2068</v>
      </c>
      <c r="E328" s="196"/>
      <c r="F328" s="196">
        <v>1982</v>
      </c>
      <c r="G328" s="196"/>
      <c r="H328" s="196" t="s">
        <v>1878</v>
      </c>
      <c r="I328" s="141" t="s">
        <v>1879</v>
      </c>
      <c r="J328" s="196" t="s">
        <v>2069</v>
      </c>
      <c r="K328" s="196" t="s">
        <v>1881</v>
      </c>
      <c r="L328" s="141" t="s">
        <v>2070</v>
      </c>
      <c r="M328" s="196">
        <v>112</v>
      </c>
      <c r="N328" s="196"/>
      <c r="O328" s="196" t="s">
        <v>1954</v>
      </c>
      <c r="P328" s="144">
        <v>186</v>
      </c>
      <c r="Q328" s="145">
        <f t="shared" si="18"/>
        <v>1.45</v>
      </c>
      <c r="R328" s="203"/>
      <c r="S328" s="203"/>
      <c r="T328" s="151"/>
      <c r="U328" s="151">
        <v>1.2</v>
      </c>
      <c r="V328" s="149">
        <v>0.25</v>
      </c>
      <c r="W328" s="151">
        <f t="shared" si="19"/>
        <v>0</v>
      </c>
      <c r="X328" s="152">
        <f t="shared" si="17"/>
        <v>0</v>
      </c>
      <c r="Y328" s="150">
        <f t="shared" si="15"/>
        <v>1.01</v>
      </c>
      <c r="Z328" s="152"/>
      <c r="AC328" s="85"/>
      <c r="AD328" s="85"/>
      <c r="AE328" s="85"/>
      <c r="AF328" s="85"/>
      <c r="AJ328" s="203">
        <v>0.78</v>
      </c>
      <c r="AK328" s="146" t="s">
        <v>51</v>
      </c>
      <c r="AL328" s="146" t="s">
        <v>51</v>
      </c>
      <c r="AM328" s="146" t="s">
        <v>51</v>
      </c>
      <c r="AN328" s="203"/>
    </row>
    <row r="329" spans="1:40" s="146" customFormat="1" x14ac:dyDescent="0.25">
      <c r="A329" s="196">
        <v>1325</v>
      </c>
      <c r="B329" s="196" t="s">
        <v>2071</v>
      </c>
      <c r="C329" s="196" t="s">
        <v>2072</v>
      </c>
      <c r="D329" s="196" t="s">
        <v>1876</v>
      </c>
      <c r="E329" s="196" t="s">
        <v>1899</v>
      </c>
      <c r="F329" s="196">
        <v>2011</v>
      </c>
      <c r="G329" s="196"/>
      <c r="H329" s="196" t="s">
        <v>1878</v>
      </c>
      <c r="I329" s="141" t="s">
        <v>1929</v>
      </c>
      <c r="J329" s="196" t="s">
        <v>2073</v>
      </c>
      <c r="K329" s="196" t="s">
        <v>1881</v>
      </c>
      <c r="L329" s="141" t="s">
        <v>2074</v>
      </c>
      <c r="M329" s="196">
        <v>240</v>
      </c>
      <c r="N329" s="196"/>
      <c r="O329" s="196" t="s">
        <v>1955</v>
      </c>
      <c r="P329" s="144">
        <v>232</v>
      </c>
      <c r="Q329" s="145">
        <f t="shared" si="18"/>
        <v>1.8673</v>
      </c>
      <c r="R329" s="203">
        <v>0.39</v>
      </c>
      <c r="S329" s="203"/>
      <c r="T329" s="151"/>
      <c r="U329" s="151">
        <v>1.2</v>
      </c>
      <c r="V329" s="151">
        <v>0.25</v>
      </c>
      <c r="W329" s="151">
        <f t="shared" si="19"/>
        <v>0.39</v>
      </c>
      <c r="X329" s="152">
        <f t="shared" si="17"/>
        <v>2.7300000000000001E-2</v>
      </c>
      <c r="Y329" s="150">
        <f t="shared" si="15"/>
        <v>1.01</v>
      </c>
      <c r="Z329" s="152"/>
      <c r="AA329" s="148"/>
      <c r="AB329" s="148"/>
      <c r="AC329" s="153"/>
      <c r="AD329" s="153"/>
      <c r="AE329" s="153"/>
      <c r="AF329" s="153"/>
      <c r="AJ329" s="147"/>
      <c r="AK329" s="146" t="s">
        <v>51</v>
      </c>
      <c r="AL329" s="146" t="s">
        <v>51</v>
      </c>
      <c r="AM329" s="146" t="s">
        <v>51</v>
      </c>
      <c r="AN329" s="203"/>
    </row>
    <row r="330" spans="1:40" s="146" customFormat="1" x14ac:dyDescent="0.25">
      <c r="A330" s="196">
        <v>2948</v>
      </c>
      <c r="B330" s="196" t="s">
        <v>2075</v>
      </c>
      <c r="C330" s="196" t="s">
        <v>2076</v>
      </c>
      <c r="D330" s="196" t="s">
        <v>2077</v>
      </c>
      <c r="E330" s="196" t="s">
        <v>1921</v>
      </c>
      <c r="F330" s="196">
        <v>2000</v>
      </c>
      <c r="G330" s="196"/>
      <c r="H330" s="196" t="s">
        <v>1878</v>
      </c>
      <c r="I330" s="141" t="s">
        <v>1879</v>
      </c>
      <c r="J330" s="196" t="s">
        <v>2078</v>
      </c>
      <c r="K330" s="196" t="s">
        <v>1881</v>
      </c>
      <c r="L330" s="141" t="s">
        <v>2079</v>
      </c>
      <c r="M330" s="196">
        <v>224</v>
      </c>
      <c r="N330" s="196"/>
      <c r="O330" s="196" t="s">
        <v>1956</v>
      </c>
      <c r="P330" s="144">
        <v>282</v>
      </c>
      <c r="Q330" s="145">
        <f t="shared" si="18"/>
        <v>4.1143000000000001</v>
      </c>
      <c r="R330" s="203">
        <v>2.4900000000000002</v>
      </c>
      <c r="S330" s="203"/>
      <c r="T330" s="151"/>
      <c r="U330" s="151">
        <v>1.2</v>
      </c>
      <c r="V330" s="149">
        <v>0.25</v>
      </c>
      <c r="W330" s="151">
        <f t="shared" si="19"/>
        <v>2.4900000000000002</v>
      </c>
      <c r="X330" s="152">
        <f t="shared" si="17"/>
        <v>0.17430000000000001</v>
      </c>
      <c r="Y330" s="150">
        <f t="shared" si="15"/>
        <v>1.01</v>
      </c>
      <c r="Z330" s="152"/>
      <c r="AA330" s="148"/>
      <c r="AB330" s="148"/>
      <c r="AC330" s="153"/>
      <c r="AD330" s="153"/>
      <c r="AE330" s="153"/>
      <c r="AF330" s="153"/>
      <c r="AJ330" s="147"/>
      <c r="AK330" s="146" t="s">
        <v>51</v>
      </c>
      <c r="AL330" s="146" t="s">
        <v>51</v>
      </c>
      <c r="AM330" s="146" t="s">
        <v>51</v>
      </c>
      <c r="AN330" s="203"/>
    </row>
    <row r="331" spans="1:40" x14ac:dyDescent="0.25">
      <c r="Y331" s="150">
        <f t="shared" si="15"/>
        <v>1.01</v>
      </c>
    </row>
    <row r="332" spans="1:40" s="146" customFormat="1" ht="15" customHeight="1" x14ac:dyDescent="0.25">
      <c r="A332" s="196">
        <v>718</v>
      </c>
      <c r="B332" s="196" t="s">
        <v>2086</v>
      </c>
      <c r="C332" s="196" t="s">
        <v>2087</v>
      </c>
      <c r="D332" s="196" t="s">
        <v>2050</v>
      </c>
      <c r="E332" s="196"/>
      <c r="F332" s="196">
        <v>2002</v>
      </c>
      <c r="G332" s="196"/>
      <c r="H332" s="196" t="s">
        <v>1928</v>
      </c>
      <c r="I332" s="141" t="s">
        <v>1929</v>
      </c>
      <c r="J332" s="142" t="s">
        <v>2088</v>
      </c>
      <c r="K332" s="196" t="s">
        <v>1881</v>
      </c>
      <c r="L332" s="141" t="s">
        <v>2085</v>
      </c>
      <c r="M332" s="196">
        <v>210</v>
      </c>
      <c r="N332" s="196"/>
      <c r="O332" s="196" t="s">
        <v>1958</v>
      </c>
      <c r="P332" s="144">
        <v>729</v>
      </c>
      <c r="Q332" s="145">
        <f t="shared" si="18"/>
        <v>2.6882999999999995</v>
      </c>
      <c r="R332" s="203">
        <v>0.69</v>
      </c>
      <c r="S332" s="203"/>
      <c r="T332" s="151"/>
      <c r="U332" s="151">
        <v>1.7</v>
      </c>
      <c r="V332" s="149">
        <v>0.25</v>
      </c>
      <c r="W332" s="151">
        <f t="shared" si="19"/>
        <v>0.69</v>
      </c>
      <c r="X332" s="152">
        <f t="shared" si="17"/>
        <v>4.8299999999999996E-2</v>
      </c>
      <c r="Y332" s="150">
        <f t="shared" si="15"/>
        <v>1.01</v>
      </c>
      <c r="Z332" s="152"/>
      <c r="AA332" s="148"/>
      <c r="AB332" s="148"/>
      <c r="AC332" s="153"/>
      <c r="AD332" s="153"/>
      <c r="AE332" s="153"/>
      <c r="AF332" s="153"/>
      <c r="AJ332" s="147"/>
      <c r="AK332" s="146" t="s">
        <v>51</v>
      </c>
      <c r="AL332" s="146" t="s">
        <v>51</v>
      </c>
      <c r="AM332" s="146" t="s">
        <v>51</v>
      </c>
      <c r="AN332" s="203"/>
    </row>
    <row r="333" spans="1:40" s="146" customFormat="1" x14ac:dyDescent="0.25">
      <c r="A333" s="196">
        <v>1366</v>
      </c>
      <c r="B333" s="196" t="s">
        <v>2089</v>
      </c>
      <c r="C333" s="196" t="s">
        <v>2090</v>
      </c>
      <c r="D333" s="196" t="s">
        <v>2091</v>
      </c>
      <c r="E333" s="196"/>
      <c r="F333" s="196">
        <v>1960</v>
      </c>
      <c r="G333" s="196"/>
      <c r="H333" s="196" t="s">
        <v>1928</v>
      </c>
      <c r="I333" s="141" t="s">
        <v>1879</v>
      </c>
      <c r="J333" s="196"/>
      <c r="K333" s="196" t="s">
        <v>1881</v>
      </c>
      <c r="L333" s="141"/>
      <c r="M333" s="196">
        <v>162</v>
      </c>
      <c r="N333" s="196"/>
      <c r="O333" s="196" t="s">
        <v>1959</v>
      </c>
      <c r="P333" s="144">
        <v>207</v>
      </c>
      <c r="Q333" s="145">
        <f t="shared" si="18"/>
        <v>1.7175</v>
      </c>
      <c r="R333" s="203">
        <v>0.25</v>
      </c>
      <c r="S333" s="203"/>
      <c r="T333" s="151"/>
      <c r="U333" s="151">
        <v>1.2</v>
      </c>
      <c r="V333" s="151">
        <v>0.25</v>
      </c>
      <c r="W333" s="151">
        <f t="shared" si="19"/>
        <v>0.25</v>
      </c>
      <c r="X333" s="152">
        <f t="shared" si="17"/>
        <v>1.7500000000000002E-2</v>
      </c>
      <c r="Y333" s="150">
        <f t="shared" si="15"/>
        <v>1.01</v>
      </c>
      <c r="Z333" s="152"/>
      <c r="AA333" s="148"/>
      <c r="AB333" s="148"/>
      <c r="AC333" s="153"/>
      <c r="AD333" s="153"/>
      <c r="AE333" s="153"/>
      <c r="AF333" s="153"/>
      <c r="AJ333" s="147"/>
      <c r="AK333" s="146" t="s">
        <v>51</v>
      </c>
      <c r="AL333" s="146" t="s">
        <v>51</v>
      </c>
      <c r="AM333" s="146" t="s">
        <v>51</v>
      </c>
      <c r="AN333" s="203"/>
    </row>
    <row r="334" spans="1:40" s="146" customFormat="1" x14ac:dyDescent="0.25">
      <c r="A334" s="196">
        <v>1327</v>
      </c>
      <c r="B334" s="196" t="s">
        <v>2092</v>
      </c>
      <c r="C334" s="196" t="s">
        <v>2093</v>
      </c>
      <c r="D334" s="196" t="s">
        <v>2054</v>
      </c>
      <c r="E334" s="196" t="s">
        <v>2094</v>
      </c>
      <c r="F334" s="196">
        <v>2008</v>
      </c>
      <c r="G334" s="196"/>
      <c r="H334" s="196" t="s">
        <v>1878</v>
      </c>
      <c r="I334" s="141" t="s">
        <v>1879</v>
      </c>
      <c r="J334" s="196" t="s">
        <v>2095</v>
      </c>
      <c r="K334" s="196" t="s">
        <v>1881</v>
      </c>
      <c r="L334" s="141" t="s">
        <v>2096</v>
      </c>
      <c r="M334" s="196">
        <v>496</v>
      </c>
      <c r="N334" s="196"/>
      <c r="O334" s="196" t="s">
        <v>1960</v>
      </c>
      <c r="P334" s="144">
        <v>472</v>
      </c>
      <c r="Q334" s="145">
        <f t="shared" si="18"/>
        <v>1.8673</v>
      </c>
      <c r="R334" s="203">
        <v>0.39</v>
      </c>
      <c r="S334" s="203"/>
      <c r="T334" s="151"/>
      <c r="U334" s="151">
        <v>1.2</v>
      </c>
      <c r="V334" s="149">
        <v>0.25</v>
      </c>
      <c r="W334" s="151">
        <f t="shared" si="19"/>
        <v>0.39</v>
      </c>
      <c r="X334" s="152">
        <f t="shared" si="17"/>
        <v>2.7300000000000001E-2</v>
      </c>
      <c r="Y334" s="150">
        <f t="shared" si="15"/>
        <v>1.01</v>
      </c>
      <c r="Z334" s="152"/>
      <c r="AA334" s="148"/>
      <c r="AB334" s="148"/>
      <c r="AC334" s="153"/>
      <c r="AD334" s="153"/>
      <c r="AE334" s="153"/>
      <c r="AF334" s="153"/>
      <c r="AJ334" s="147"/>
      <c r="AK334" s="146" t="s">
        <v>51</v>
      </c>
      <c r="AL334" s="146" t="s">
        <v>51</v>
      </c>
      <c r="AM334" s="146" t="s">
        <v>51</v>
      </c>
      <c r="AN334" s="203"/>
    </row>
    <row r="335" spans="1:40" s="146" customFormat="1" x14ac:dyDescent="0.25">
      <c r="A335" s="196">
        <v>701</v>
      </c>
      <c r="B335" s="196" t="s">
        <v>2097</v>
      </c>
      <c r="C335" s="196" t="s">
        <v>2098</v>
      </c>
      <c r="D335" s="196" t="s">
        <v>1886</v>
      </c>
      <c r="E335" s="196"/>
      <c r="F335" s="196">
        <v>2007</v>
      </c>
      <c r="G335" s="196"/>
      <c r="H335" s="196" t="s">
        <v>1878</v>
      </c>
      <c r="I335" s="141" t="s">
        <v>1879</v>
      </c>
      <c r="J335" s="196" t="s">
        <v>2099</v>
      </c>
      <c r="K335" s="196" t="s">
        <v>1881</v>
      </c>
      <c r="L335" s="141" t="s">
        <v>2100</v>
      </c>
      <c r="M335" s="196">
        <v>192</v>
      </c>
      <c r="N335" s="196"/>
      <c r="O335" s="196" t="s">
        <v>1961</v>
      </c>
      <c r="P335" s="144">
        <v>287</v>
      </c>
      <c r="Q335" s="145">
        <f t="shared" si="18"/>
        <v>1.7175</v>
      </c>
      <c r="R335" s="203">
        <v>0.25</v>
      </c>
      <c r="S335" s="203"/>
      <c r="T335" s="151"/>
      <c r="U335" s="151">
        <v>1.2</v>
      </c>
      <c r="V335" s="151">
        <v>0.25</v>
      </c>
      <c r="W335" s="151">
        <f t="shared" si="19"/>
        <v>0.25</v>
      </c>
      <c r="X335" s="152">
        <f t="shared" si="17"/>
        <v>1.7500000000000002E-2</v>
      </c>
      <c r="Y335" s="150">
        <f t="shared" si="15"/>
        <v>1.01</v>
      </c>
      <c r="Z335" s="152"/>
      <c r="AA335" s="148"/>
      <c r="AB335" s="148"/>
      <c r="AC335" s="153"/>
      <c r="AD335" s="153"/>
      <c r="AE335" s="153"/>
      <c r="AF335" s="153"/>
      <c r="AJ335" s="147"/>
      <c r="AK335" s="146" t="s">
        <v>51</v>
      </c>
      <c r="AL335" s="146" t="s">
        <v>51</v>
      </c>
      <c r="AM335" s="146" t="s">
        <v>51</v>
      </c>
      <c r="AN335" s="203"/>
    </row>
    <row r="336" spans="1:40" s="146" customFormat="1" ht="17.25" customHeight="1" x14ac:dyDescent="0.25">
      <c r="A336" s="196">
        <v>2952</v>
      </c>
      <c r="B336" s="196" t="s">
        <v>2101</v>
      </c>
      <c r="C336" s="196" t="s">
        <v>2102</v>
      </c>
      <c r="D336" s="196" t="s">
        <v>2103</v>
      </c>
      <c r="E336" s="196"/>
      <c r="F336" s="196">
        <v>2015</v>
      </c>
      <c r="G336" s="196"/>
      <c r="H336" s="196" t="s">
        <v>1878</v>
      </c>
      <c r="I336" s="141" t="s">
        <v>1879</v>
      </c>
      <c r="J336" s="142" t="s">
        <v>2104</v>
      </c>
      <c r="K336" s="196" t="s">
        <v>1881</v>
      </c>
      <c r="L336" s="141" t="s">
        <v>2105</v>
      </c>
      <c r="M336" s="196">
        <v>290</v>
      </c>
      <c r="N336" s="196"/>
      <c r="O336" s="196" t="s">
        <v>1962</v>
      </c>
      <c r="P336" s="144">
        <v>169</v>
      </c>
      <c r="Q336" s="145">
        <f t="shared" si="18"/>
        <v>2.6162999999999998</v>
      </c>
      <c r="R336" s="203">
        <v>1.0900000000000001</v>
      </c>
      <c r="S336" s="203"/>
      <c r="T336" s="151"/>
      <c r="U336" s="151">
        <v>1.2</v>
      </c>
      <c r="V336" s="149">
        <v>0.25</v>
      </c>
      <c r="W336" s="151">
        <f t="shared" si="19"/>
        <v>1.0900000000000001</v>
      </c>
      <c r="X336" s="152">
        <f t="shared" si="17"/>
        <v>7.6300000000000007E-2</v>
      </c>
      <c r="Y336" s="150">
        <f t="shared" si="15"/>
        <v>1.01</v>
      </c>
      <c r="Z336" s="152"/>
      <c r="AA336" s="148"/>
      <c r="AB336" s="148"/>
      <c r="AC336" s="153"/>
      <c r="AD336" s="153"/>
      <c r="AE336" s="153"/>
      <c r="AF336" s="153"/>
      <c r="AJ336" s="147"/>
      <c r="AK336" s="146" t="s">
        <v>51</v>
      </c>
      <c r="AL336" s="146" t="s">
        <v>51</v>
      </c>
      <c r="AM336" s="146" t="s">
        <v>51</v>
      </c>
      <c r="AN336" s="203"/>
    </row>
    <row r="337" spans="1:40" x14ac:dyDescent="0.25">
      <c r="Y337" s="150">
        <f t="shared" si="15"/>
        <v>1.01</v>
      </c>
    </row>
    <row r="338" spans="1:40" s="146" customFormat="1" x14ac:dyDescent="0.25">
      <c r="A338" s="196">
        <v>8</v>
      </c>
      <c r="B338" s="196" t="s">
        <v>2110</v>
      </c>
      <c r="C338" s="196" t="s">
        <v>2111</v>
      </c>
      <c r="D338" s="196" t="s">
        <v>2112</v>
      </c>
      <c r="E338" s="196" t="s">
        <v>1877</v>
      </c>
      <c r="F338" s="196">
        <v>1985</v>
      </c>
      <c r="G338" s="196"/>
      <c r="H338" s="196" t="s">
        <v>1928</v>
      </c>
      <c r="I338" s="141" t="s">
        <v>1929</v>
      </c>
      <c r="J338" s="196"/>
      <c r="K338" s="196" t="s">
        <v>1881</v>
      </c>
      <c r="L338" s="141" t="s">
        <v>2113</v>
      </c>
      <c r="M338" s="196">
        <v>466</v>
      </c>
      <c r="N338" s="196"/>
      <c r="O338" s="196" t="s">
        <v>1964</v>
      </c>
      <c r="P338" s="144">
        <v>736</v>
      </c>
      <c r="Q338" s="145">
        <f t="shared" si="18"/>
        <v>2.6882999999999995</v>
      </c>
      <c r="R338" s="203">
        <v>0.69</v>
      </c>
      <c r="S338" s="203"/>
      <c r="T338" s="151"/>
      <c r="U338" s="151">
        <v>1.7</v>
      </c>
      <c r="V338" s="149">
        <v>0.25</v>
      </c>
      <c r="W338" s="151">
        <f t="shared" si="19"/>
        <v>0.69</v>
      </c>
      <c r="X338" s="152">
        <f t="shared" si="17"/>
        <v>4.8299999999999996E-2</v>
      </c>
      <c r="Y338" s="150">
        <f t="shared" si="15"/>
        <v>1.01</v>
      </c>
      <c r="Z338" s="152"/>
      <c r="AA338" s="148"/>
      <c r="AB338" s="148"/>
      <c r="AC338" s="153"/>
      <c r="AD338" s="153"/>
      <c r="AE338" s="153"/>
      <c r="AF338" s="153"/>
      <c r="AJ338" s="147"/>
      <c r="AK338" s="146" t="s">
        <v>51</v>
      </c>
      <c r="AL338" s="146" t="s">
        <v>51</v>
      </c>
      <c r="AM338" s="146" t="s">
        <v>51</v>
      </c>
      <c r="AN338" s="203"/>
    </row>
    <row r="339" spans="1:40" s="146" customFormat="1" x14ac:dyDescent="0.25">
      <c r="A339" s="196">
        <v>651</v>
      </c>
      <c r="B339" s="196" t="s">
        <v>2115</v>
      </c>
      <c r="C339" s="196" t="s">
        <v>2114</v>
      </c>
      <c r="D339" s="196" t="s">
        <v>2117</v>
      </c>
      <c r="E339" s="196" t="s">
        <v>1974</v>
      </c>
      <c r="F339" s="196">
        <v>1994</v>
      </c>
      <c r="G339" s="196"/>
      <c r="H339" s="73" t="s">
        <v>2116</v>
      </c>
      <c r="I339" s="141" t="s">
        <v>1929</v>
      </c>
      <c r="J339" s="196" t="s">
        <v>2118</v>
      </c>
      <c r="K339" s="196" t="s">
        <v>1881</v>
      </c>
      <c r="L339" s="141" t="s">
        <v>2119</v>
      </c>
      <c r="M339" s="196">
        <v>32</v>
      </c>
      <c r="N339" s="196"/>
      <c r="O339" s="196" t="s">
        <v>1965</v>
      </c>
      <c r="P339" s="144">
        <v>99</v>
      </c>
      <c r="Q339" s="145">
        <f t="shared" si="18"/>
        <v>1.9315</v>
      </c>
      <c r="R339" s="203">
        <v>0.45</v>
      </c>
      <c r="S339" s="203"/>
      <c r="T339" s="151"/>
      <c r="U339" s="151">
        <v>1.2</v>
      </c>
      <c r="V339" s="151">
        <v>0.25</v>
      </c>
      <c r="W339" s="151">
        <f t="shared" si="19"/>
        <v>0.45</v>
      </c>
      <c r="X339" s="152">
        <f t="shared" si="17"/>
        <v>3.15E-2</v>
      </c>
      <c r="Y339" s="150">
        <f t="shared" si="15"/>
        <v>1.01</v>
      </c>
      <c r="Z339" s="152"/>
      <c r="AA339" s="148"/>
      <c r="AB339" s="148"/>
      <c r="AC339" s="153"/>
      <c r="AD339" s="153"/>
      <c r="AE339" s="153"/>
      <c r="AF339" s="153"/>
      <c r="AJ339" s="147"/>
      <c r="AK339" s="146" t="s">
        <v>51</v>
      </c>
      <c r="AL339" s="146" t="s">
        <v>51</v>
      </c>
      <c r="AM339" s="146" t="s">
        <v>51</v>
      </c>
      <c r="AN339" s="203"/>
    </row>
    <row r="340" spans="1:40" s="146" customFormat="1" x14ac:dyDescent="0.25">
      <c r="A340" s="196">
        <v>691</v>
      </c>
      <c r="B340" s="196" t="s">
        <v>2144</v>
      </c>
      <c r="C340" s="196" t="s">
        <v>2145</v>
      </c>
      <c r="D340" s="196" t="s">
        <v>2146</v>
      </c>
      <c r="E340" s="196"/>
      <c r="F340" s="196"/>
      <c r="G340" s="196"/>
      <c r="H340" s="196" t="s">
        <v>1928</v>
      </c>
      <c r="I340" s="141" t="s">
        <v>1879</v>
      </c>
      <c r="J340" s="196" t="s">
        <v>2147</v>
      </c>
      <c r="K340" s="196" t="s">
        <v>1881</v>
      </c>
      <c r="L340" s="141" t="s">
        <v>2148</v>
      </c>
      <c r="M340" s="196">
        <v>20</v>
      </c>
      <c r="N340" s="196"/>
      <c r="O340" s="196" t="s">
        <v>2120</v>
      </c>
      <c r="P340" s="144">
        <v>410</v>
      </c>
      <c r="Q340" s="145">
        <f t="shared" si="18"/>
        <v>1.9742999999999999</v>
      </c>
      <c r="R340" s="203">
        <v>0.49</v>
      </c>
      <c r="S340" s="203"/>
      <c r="T340" s="151"/>
      <c r="U340" s="151">
        <v>1.2</v>
      </c>
      <c r="V340" s="149">
        <v>0.25</v>
      </c>
      <c r="W340" s="151">
        <f t="shared" si="19"/>
        <v>0.49</v>
      </c>
      <c r="X340" s="152">
        <f t="shared" si="17"/>
        <v>3.4299999999999997E-2</v>
      </c>
      <c r="Y340" s="150">
        <f t="shared" si="15"/>
        <v>1.01</v>
      </c>
      <c r="Z340" s="152"/>
      <c r="AA340" s="148"/>
      <c r="AB340" s="148"/>
      <c r="AC340" s="153"/>
      <c r="AD340" s="153"/>
      <c r="AE340" s="153"/>
      <c r="AF340" s="153"/>
      <c r="AJ340" s="147"/>
      <c r="AK340" s="146" t="s">
        <v>51</v>
      </c>
      <c r="AL340" s="146" t="s">
        <v>51</v>
      </c>
      <c r="AM340" s="146" t="s">
        <v>51</v>
      </c>
      <c r="AN340" s="203"/>
    </row>
    <row r="341" spans="1:40" s="146" customFormat="1" x14ac:dyDescent="0.25">
      <c r="A341" s="196">
        <v>2571</v>
      </c>
      <c r="B341" s="196" t="s">
        <v>2149</v>
      </c>
      <c r="C341" s="196" t="s">
        <v>2150</v>
      </c>
      <c r="D341" s="196" t="s">
        <v>2151</v>
      </c>
      <c r="E341" s="196"/>
      <c r="F341" s="196">
        <v>1980</v>
      </c>
      <c r="G341" s="196"/>
      <c r="H341" s="196" t="s">
        <v>1878</v>
      </c>
      <c r="I341" s="141" t="s">
        <v>1914</v>
      </c>
      <c r="J341" s="196" t="s">
        <v>2152</v>
      </c>
      <c r="K341" s="196" t="s">
        <v>1881</v>
      </c>
      <c r="L341" s="141" t="s">
        <v>2153</v>
      </c>
      <c r="M341" s="196">
        <v>320</v>
      </c>
      <c r="N341" s="196"/>
      <c r="O341" s="196" t="s">
        <v>2121</v>
      </c>
      <c r="P341" s="144">
        <v>273</v>
      </c>
      <c r="Q341" s="145">
        <f t="shared" si="18"/>
        <v>1.7175</v>
      </c>
      <c r="R341" s="203">
        <v>0.25</v>
      </c>
      <c r="S341" s="203"/>
      <c r="T341" s="151"/>
      <c r="U341" s="151">
        <v>1.2</v>
      </c>
      <c r="V341" s="151">
        <v>0.25</v>
      </c>
      <c r="W341" s="151">
        <f t="shared" si="19"/>
        <v>0.25</v>
      </c>
      <c r="X341" s="152">
        <f t="shared" si="17"/>
        <v>1.7500000000000002E-2</v>
      </c>
      <c r="Y341" s="150">
        <f t="shared" si="15"/>
        <v>1.01</v>
      </c>
      <c r="Z341" s="152"/>
      <c r="AA341" s="148"/>
      <c r="AB341" s="148"/>
      <c r="AC341" s="153"/>
      <c r="AD341" s="153"/>
      <c r="AE341" s="153"/>
      <c r="AF341" s="153"/>
      <c r="AJ341" s="147"/>
      <c r="AK341" s="146" t="s">
        <v>51</v>
      </c>
      <c r="AL341" s="146" t="s">
        <v>51</v>
      </c>
      <c r="AM341" s="146" t="s">
        <v>51</v>
      </c>
      <c r="AN341" s="203"/>
    </row>
    <row r="342" spans="1:40" s="146" customFormat="1" x14ac:dyDescent="0.25">
      <c r="A342" s="196">
        <v>1393</v>
      </c>
      <c r="B342" s="196" t="s">
        <v>2154</v>
      </c>
      <c r="C342" s="196" t="s">
        <v>2155</v>
      </c>
      <c r="D342" s="196" t="s">
        <v>2156</v>
      </c>
      <c r="E342" s="196" t="s">
        <v>2157</v>
      </c>
      <c r="F342" s="196">
        <v>1997</v>
      </c>
      <c r="G342" s="196"/>
      <c r="H342" s="196" t="s">
        <v>1878</v>
      </c>
      <c r="I342" s="141" t="s">
        <v>1879</v>
      </c>
      <c r="J342" s="196" t="s">
        <v>2158</v>
      </c>
      <c r="K342" s="196" t="s">
        <v>1881</v>
      </c>
      <c r="L342" s="141" t="s">
        <v>2159</v>
      </c>
      <c r="M342" s="196">
        <v>120</v>
      </c>
      <c r="N342" s="196"/>
      <c r="O342" s="196" t="s">
        <v>2122</v>
      </c>
      <c r="P342" s="144">
        <v>124</v>
      </c>
      <c r="Q342" s="145">
        <f t="shared" si="18"/>
        <v>2.2953000000000001</v>
      </c>
      <c r="R342" s="203">
        <v>0.79</v>
      </c>
      <c r="S342" s="203"/>
      <c r="T342" s="151"/>
      <c r="U342" s="151">
        <v>1.2</v>
      </c>
      <c r="V342" s="149">
        <v>0.25</v>
      </c>
      <c r="W342" s="151">
        <f t="shared" si="19"/>
        <v>0.79</v>
      </c>
      <c r="X342" s="152">
        <f t="shared" si="17"/>
        <v>5.5300000000000002E-2</v>
      </c>
      <c r="Y342" s="150">
        <f t="shared" si="15"/>
        <v>1.01</v>
      </c>
      <c r="Z342" s="152"/>
      <c r="AA342" s="148"/>
      <c r="AB342" s="148"/>
      <c r="AC342" s="153"/>
      <c r="AD342" s="153"/>
      <c r="AE342" s="153"/>
      <c r="AF342" s="153"/>
      <c r="AJ342" s="147"/>
      <c r="AK342" s="146" t="s">
        <v>51</v>
      </c>
      <c r="AL342" s="146" t="s">
        <v>51</v>
      </c>
      <c r="AM342" s="146" t="s">
        <v>51</v>
      </c>
      <c r="AN342" s="203"/>
    </row>
    <row r="343" spans="1:40" s="146" customFormat="1" x14ac:dyDescent="0.25">
      <c r="A343" s="196">
        <v>701</v>
      </c>
      <c r="B343" s="196" t="s">
        <v>2089</v>
      </c>
      <c r="C343" s="196" t="s">
        <v>2160</v>
      </c>
      <c r="D343" s="196" t="s">
        <v>2054</v>
      </c>
      <c r="E343" s="196" t="s">
        <v>2055</v>
      </c>
      <c r="F343" s="196">
        <v>2000</v>
      </c>
      <c r="G343" s="196"/>
      <c r="H343" s="196" t="s">
        <v>1928</v>
      </c>
      <c r="I343" s="141" t="s">
        <v>1879</v>
      </c>
      <c r="J343" s="196" t="s">
        <v>2161</v>
      </c>
      <c r="K343" s="196" t="s">
        <v>1881</v>
      </c>
      <c r="L343" s="141" t="s">
        <v>2162</v>
      </c>
      <c r="M343" s="196">
        <v>226</v>
      </c>
      <c r="N343" s="196"/>
      <c r="O343" s="196" t="s">
        <v>2123</v>
      </c>
      <c r="P343" s="144">
        <v>398</v>
      </c>
      <c r="Q343" s="145">
        <f t="shared" si="18"/>
        <v>2.0385</v>
      </c>
      <c r="R343" s="203">
        <v>0.55000000000000004</v>
      </c>
      <c r="S343" s="203"/>
      <c r="T343" s="151"/>
      <c r="U343" s="151">
        <v>1.2</v>
      </c>
      <c r="V343" s="151">
        <v>0.25</v>
      </c>
      <c r="W343" s="151">
        <f t="shared" si="19"/>
        <v>0.55000000000000004</v>
      </c>
      <c r="X343" s="152">
        <f t="shared" si="17"/>
        <v>3.8500000000000006E-2</v>
      </c>
      <c r="Y343" s="150">
        <f t="shared" si="15"/>
        <v>1.01</v>
      </c>
      <c r="Z343" s="152"/>
      <c r="AA343" s="148"/>
      <c r="AB343" s="148"/>
      <c r="AC343" s="153"/>
      <c r="AD343" s="153"/>
      <c r="AE343" s="153"/>
      <c r="AF343" s="153"/>
      <c r="AJ343" s="147"/>
      <c r="AK343" s="146" t="s">
        <v>51</v>
      </c>
      <c r="AL343" s="146" t="s">
        <v>51</v>
      </c>
      <c r="AM343" s="146" t="s">
        <v>51</v>
      </c>
      <c r="AN343" s="203"/>
    </row>
    <row r="344" spans="1:40" s="146" customFormat="1" ht="15" customHeight="1" x14ac:dyDescent="0.25">
      <c r="A344" s="196">
        <v>844</v>
      </c>
      <c r="B344" s="196" t="s">
        <v>2163</v>
      </c>
      <c r="C344" s="196" t="s">
        <v>2164</v>
      </c>
      <c r="D344" s="196" t="s">
        <v>2165</v>
      </c>
      <c r="E344" s="196"/>
      <c r="F344" s="196"/>
      <c r="G344" s="196"/>
      <c r="H344" s="196" t="s">
        <v>1928</v>
      </c>
      <c r="I344" s="141" t="s">
        <v>1879</v>
      </c>
      <c r="J344" s="142" t="s">
        <v>2166</v>
      </c>
      <c r="K344" s="196" t="s">
        <v>1881</v>
      </c>
      <c r="L344" s="141" t="s">
        <v>2167</v>
      </c>
      <c r="M344" s="196">
        <v>130</v>
      </c>
      <c r="N344" s="196"/>
      <c r="O344" s="196" t="s">
        <v>2124</v>
      </c>
      <c r="P344" s="144">
        <v>562</v>
      </c>
      <c r="Q344" s="145">
        <f t="shared" si="18"/>
        <v>2.9985999999999997</v>
      </c>
      <c r="R344" s="203">
        <v>0.98</v>
      </c>
      <c r="S344" s="203"/>
      <c r="T344" s="151"/>
      <c r="U344" s="151">
        <v>1.7</v>
      </c>
      <c r="V344" s="149">
        <v>0.25</v>
      </c>
      <c r="W344" s="151">
        <f t="shared" si="19"/>
        <v>0.98</v>
      </c>
      <c r="X344" s="152">
        <f t="shared" si="17"/>
        <v>6.8599999999999994E-2</v>
      </c>
      <c r="Y344" s="150">
        <f t="shared" si="15"/>
        <v>1.01</v>
      </c>
      <c r="Z344" s="152"/>
      <c r="AA344" s="148"/>
      <c r="AB344" s="148"/>
      <c r="AC344" s="153"/>
      <c r="AD344" s="153"/>
      <c r="AE344" s="153"/>
      <c r="AF344" s="153"/>
      <c r="AJ344" s="147"/>
      <c r="AK344" s="146" t="s">
        <v>51</v>
      </c>
      <c r="AL344" s="146" t="s">
        <v>51</v>
      </c>
      <c r="AM344" s="146" t="s">
        <v>51</v>
      </c>
      <c r="AN344" s="203"/>
    </row>
    <row r="345" spans="1:40" s="146" customFormat="1" x14ac:dyDescent="0.25">
      <c r="A345" s="196">
        <v>689</v>
      </c>
      <c r="B345" s="196" t="s">
        <v>2168</v>
      </c>
      <c r="C345" s="196" t="s">
        <v>2169</v>
      </c>
      <c r="D345" s="196" t="s">
        <v>2170</v>
      </c>
      <c r="E345" s="196" t="s">
        <v>1974</v>
      </c>
      <c r="F345" s="196">
        <v>2004</v>
      </c>
      <c r="G345" s="196"/>
      <c r="H345" s="196" t="s">
        <v>1928</v>
      </c>
      <c r="I345" s="141" t="s">
        <v>1929</v>
      </c>
      <c r="J345" s="196" t="s">
        <v>2171</v>
      </c>
      <c r="K345" s="196" t="s">
        <v>1881</v>
      </c>
      <c r="L345" s="141" t="s">
        <v>2172</v>
      </c>
      <c r="M345" s="196">
        <v>298</v>
      </c>
      <c r="N345" s="196"/>
      <c r="O345" s="196" t="s">
        <v>2125</v>
      </c>
      <c r="P345" s="144">
        <v>755</v>
      </c>
      <c r="Q345" s="145">
        <f t="shared" si="18"/>
        <v>2.6882999999999995</v>
      </c>
      <c r="R345" s="203">
        <v>0.69</v>
      </c>
      <c r="S345" s="203"/>
      <c r="T345" s="151"/>
      <c r="U345" s="151">
        <v>1.7</v>
      </c>
      <c r="V345" s="151">
        <v>0.25</v>
      </c>
      <c r="W345" s="151">
        <f t="shared" si="19"/>
        <v>0.69</v>
      </c>
      <c r="X345" s="152">
        <f t="shared" si="17"/>
        <v>4.8299999999999996E-2</v>
      </c>
      <c r="Y345" s="150">
        <f t="shared" si="15"/>
        <v>1.01</v>
      </c>
      <c r="Z345" s="152"/>
      <c r="AA345" s="148"/>
      <c r="AB345" s="148"/>
      <c r="AC345" s="153"/>
      <c r="AD345" s="153"/>
      <c r="AE345" s="153"/>
      <c r="AF345" s="153"/>
      <c r="AJ345" s="147"/>
      <c r="AK345" s="146" t="s">
        <v>51</v>
      </c>
      <c r="AL345" s="146" t="s">
        <v>51</v>
      </c>
      <c r="AM345" s="146" t="s">
        <v>51</v>
      </c>
      <c r="AN345" s="203"/>
    </row>
    <row r="346" spans="1:40" x14ac:dyDescent="0.25">
      <c r="Y346" s="150">
        <f t="shared" si="15"/>
        <v>1.01</v>
      </c>
    </row>
    <row r="347" spans="1:40" s="146" customFormat="1" x14ac:dyDescent="0.25">
      <c r="A347" s="196">
        <v>796</v>
      </c>
      <c r="B347" s="196" t="s">
        <v>2179</v>
      </c>
      <c r="C347" s="196" t="s">
        <v>2180</v>
      </c>
      <c r="D347" s="196" t="s">
        <v>1968</v>
      </c>
      <c r="E347" s="196"/>
      <c r="F347" s="196">
        <v>2002</v>
      </c>
      <c r="G347" s="196"/>
      <c r="H347" s="196" t="s">
        <v>1878</v>
      </c>
      <c r="I347" s="141" t="s">
        <v>1879</v>
      </c>
      <c r="J347" s="73" t="s">
        <v>2181</v>
      </c>
      <c r="K347" s="196" t="s">
        <v>1881</v>
      </c>
      <c r="L347" s="141" t="s">
        <v>2182</v>
      </c>
      <c r="M347" s="196">
        <v>592</v>
      </c>
      <c r="N347" s="196"/>
      <c r="O347" s="196" t="s">
        <v>2127</v>
      </c>
      <c r="P347" s="144">
        <v>449</v>
      </c>
      <c r="Q347" s="145">
        <f t="shared" si="18"/>
        <v>1.7175</v>
      </c>
      <c r="R347" s="203">
        <v>0.25</v>
      </c>
      <c r="S347" s="203"/>
      <c r="T347" s="151"/>
      <c r="U347" s="151">
        <v>1.2</v>
      </c>
      <c r="V347" s="151">
        <v>0.25</v>
      </c>
      <c r="W347" s="151">
        <f t="shared" si="19"/>
        <v>0.25</v>
      </c>
      <c r="X347" s="152">
        <f t="shared" si="17"/>
        <v>1.7500000000000002E-2</v>
      </c>
      <c r="Y347" s="150">
        <f t="shared" si="15"/>
        <v>1.01</v>
      </c>
      <c r="Z347" s="152"/>
      <c r="AA347" s="148"/>
      <c r="AB347" s="148"/>
      <c r="AC347" s="153"/>
      <c r="AD347" s="153"/>
      <c r="AE347" s="153"/>
      <c r="AF347" s="153"/>
      <c r="AJ347" s="147"/>
      <c r="AK347" s="146" t="s">
        <v>51</v>
      </c>
      <c r="AL347" s="146" t="s">
        <v>51</v>
      </c>
      <c r="AM347" s="146" t="s">
        <v>51</v>
      </c>
      <c r="AN347" s="203"/>
    </row>
    <row r="348" spans="1:40" s="146" customFormat="1" x14ac:dyDescent="0.25">
      <c r="A348" s="196">
        <v>704</v>
      </c>
      <c r="B348" s="196" t="s">
        <v>2183</v>
      </c>
      <c r="C348" s="196" t="s">
        <v>2184</v>
      </c>
      <c r="D348" s="196" t="s">
        <v>2185</v>
      </c>
      <c r="E348" s="196" t="s">
        <v>2032</v>
      </c>
      <c r="F348" s="196">
        <v>2004</v>
      </c>
      <c r="G348" s="196"/>
      <c r="H348" s="196" t="s">
        <v>1878</v>
      </c>
      <c r="I348" s="141" t="s">
        <v>1879</v>
      </c>
      <c r="J348" s="196"/>
      <c r="K348" s="196" t="s">
        <v>2025</v>
      </c>
      <c r="L348" s="141" t="s">
        <v>2186</v>
      </c>
      <c r="M348" s="196">
        <v>282</v>
      </c>
      <c r="N348" s="196"/>
      <c r="O348" s="196" t="s">
        <v>2128</v>
      </c>
      <c r="P348" s="144">
        <v>175</v>
      </c>
      <c r="Q348" s="145">
        <f t="shared" si="18"/>
        <v>2.4022999999999999</v>
      </c>
      <c r="R348" s="203">
        <v>0.89</v>
      </c>
      <c r="S348" s="203"/>
      <c r="T348" s="151"/>
      <c r="U348" s="151">
        <v>1.2</v>
      </c>
      <c r="V348" s="149">
        <v>0.25</v>
      </c>
      <c r="W348" s="151">
        <f t="shared" si="19"/>
        <v>0.89</v>
      </c>
      <c r="X348" s="152">
        <f t="shared" si="17"/>
        <v>6.2300000000000001E-2</v>
      </c>
      <c r="Y348" s="150">
        <f t="shared" si="15"/>
        <v>1.01</v>
      </c>
      <c r="Z348" s="152"/>
      <c r="AA348" s="148"/>
      <c r="AB348" s="148"/>
      <c r="AC348" s="153"/>
      <c r="AD348" s="153"/>
      <c r="AE348" s="153"/>
      <c r="AF348" s="153"/>
      <c r="AJ348" s="147"/>
      <c r="AK348" s="146" t="s">
        <v>51</v>
      </c>
      <c r="AL348" s="146" t="s">
        <v>51</v>
      </c>
      <c r="AM348" s="146" t="s">
        <v>51</v>
      </c>
      <c r="AN348" s="203"/>
    </row>
    <row r="349" spans="1:40" s="146" customFormat="1" x14ac:dyDescent="0.25">
      <c r="A349" s="196">
        <v>701</v>
      </c>
      <c r="B349" s="196" t="s">
        <v>2187</v>
      </c>
      <c r="C349" s="196" t="s">
        <v>2188</v>
      </c>
      <c r="D349" s="196" t="s">
        <v>2050</v>
      </c>
      <c r="E349" s="196"/>
      <c r="F349" s="196">
        <v>2009</v>
      </c>
      <c r="G349" s="196"/>
      <c r="H349" s="196" t="s">
        <v>1928</v>
      </c>
      <c r="I349" s="141" t="s">
        <v>1879</v>
      </c>
      <c r="J349" s="196" t="s">
        <v>2189</v>
      </c>
      <c r="K349" s="196" t="s">
        <v>1881</v>
      </c>
      <c r="L349" s="141" t="s">
        <v>2190</v>
      </c>
      <c r="M349" s="196">
        <v>146</v>
      </c>
      <c r="N349" s="196"/>
      <c r="O349" s="196" t="s">
        <v>2129</v>
      </c>
      <c r="P349" s="144">
        <v>211</v>
      </c>
      <c r="Q349" s="145">
        <f t="shared" si="18"/>
        <v>1.7175</v>
      </c>
      <c r="R349" s="203">
        <v>0.25</v>
      </c>
      <c r="S349" s="203"/>
      <c r="T349" s="151"/>
      <c r="U349" s="151">
        <v>1.2</v>
      </c>
      <c r="V349" s="151">
        <v>0.25</v>
      </c>
      <c r="W349" s="151">
        <f t="shared" si="19"/>
        <v>0.25</v>
      </c>
      <c r="X349" s="152">
        <f t="shared" si="17"/>
        <v>1.7500000000000002E-2</v>
      </c>
      <c r="Y349" s="150">
        <f t="shared" si="15"/>
        <v>1.01</v>
      </c>
      <c r="Z349" s="152"/>
      <c r="AA349" s="148"/>
      <c r="AB349" s="148"/>
      <c r="AC349" s="153"/>
      <c r="AD349" s="153"/>
      <c r="AE349" s="153"/>
      <c r="AF349" s="153"/>
      <c r="AJ349" s="147"/>
      <c r="AK349" s="146" t="s">
        <v>51</v>
      </c>
      <c r="AL349" s="146" t="s">
        <v>51</v>
      </c>
      <c r="AM349" s="146" t="s">
        <v>51</v>
      </c>
      <c r="AN349" s="203"/>
    </row>
    <row r="350" spans="1:40" s="146" customFormat="1" x14ac:dyDescent="0.25">
      <c r="A350" s="196">
        <v>972</v>
      </c>
      <c r="B350" s="196" t="s">
        <v>2191</v>
      </c>
      <c r="C350" s="196" t="s">
        <v>2192</v>
      </c>
      <c r="D350" s="196" t="s">
        <v>2193</v>
      </c>
      <c r="E350" s="196"/>
      <c r="F350" s="196">
        <v>2010</v>
      </c>
      <c r="G350" s="196"/>
      <c r="H350" s="196" t="s">
        <v>1878</v>
      </c>
      <c r="I350" s="141" t="s">
        <v>1879</v>
      </c>
      <c r="J350" s="196"/>
      <c r="K350" s="196" t="s">
        <v>2025</v>
      </c>
      <c r="L350" s="141" t="s">
        <v>2194</v>
      </c>
      <c r="M350" s="196">
        <v>374</v>
      </c>
      <c r="N350" s="196"/>
      <c r="O350" s="196" t="s">
        <v>2130</v>
      </c>
      <c r="P350" s="144">
        <v>211</v>
      </c>
      <c r="Q350" s="145">
        <f t="shared" si="18"/>
        <v>2.4022999999999999</v>
      </c>
      <c r="R350" s="203">
        <v>0.89</v>
      </c>
      <c r="S350" s="203"/>
      <c r="T350" s="151"/>
      <c r="U350" s="151">
        <v>1.2</v>
      </c>
      <c r="V350" s="149">
        <v>0.25</v>
      </c>
      <c r="W350" s="151">
        <f t="shared" si="19"/>
        <v>0.89</v>
      </c>
      <c r="X350" s="152">
        <f t="shared" si="17"/>
        <v>6.2300000000000001E-2</v>
      </c>
      <c r="Y350" s="150">
        <f t="shared" si="15"/>
        <v>1.01</v>
      </c>
      <c r="Z350" s="152"/>
      <c r="AA350" s="148"/>
      <c r="AB350" s="148"/>
      <c r="AC350" s="153"/>
      <c r="AD350" s="153"/>
      <c r="AE350" s="153"/>
      <c r="AF350" s="153"/>
      <c r="AJ350" s="147"/>
      <c r="AK350" s="146" t="s">
        <v>51</v>
      </c>
      <c r="AL350" s="146" t="s">
        <v>51</v>
      </c>
      <c r="AM350" s="146" t="s">
        <v>51</v>
      </c>
      <c r="AN350" s="203"/>
    </row>
    <row r="351" spans="1:40" s="146" customFormat="1" x14ac:dyDescent="0.25">
      <c r="A351" s="196">
        <v>8</v>
      </c>
      <c r="B351" s="196" t="s">
        <v>2195</v>
      </c>
      <c r="C351" s="196" t="s">
        <v>2196</v>
      </c>
      <c r="D351" s="196" t="s">
        <v>1988</v>
      </c>
      <c r="E351" s="196"/>
      <c r="F351" s="196">
        <v>1996</v>
      </c>
      <c r="G351" s="196"/>
      <c r="H351" s="196" t="s">
        <v>1878</v>
      </c>
      <c r="I351" s="141" t="s">
        <v>1879</v>
      </c>
      <c r="J351" s="196" t="s">
        <v>2197</v>
      </c>
      <c r="K351" s="196" t="s">
        <v>1881</v>
      </c>
      <c r="L351" s="141" t="s">
        <v>2198</v>
      </c>
      <c r="M351" s="196">
        <v>128</v>
      </c>
      <c r="N351" s="196"/>
      <c r="O351" s="196" t="s">
        <v>2131</v>
      </c>
      <c r="P351" s="144">
        <v>88</v>
      </c>
      <c r="Q351" s="145">
        <f t="shared" si="18"/>
        <v>1.9742999999999999</v>
      </c>
      <c r="R351" s="203">
        <v>0.49</v>
      </c>
      <c r="S351" s="203"/>
      <c r="T351" s="151"/>
      <c r="U351" s="151">
        <v>1.2</v>
      </c>
      <c r="V351" s="151">
        <v>0.25</v>
      </c>
      <c r="W351" s="151">
        <f t="shared" si="19"/>
        <v>0.49</v>
      </c>
      <c r="X351" s="152">
        <f t="shared" si="17"/>
        <v>3.4299999999999997E-2</v>
      </c>
      <c r="Y351" s="150">
        <f t="shared" si="15"/>
        <v>1.01</v>
      </c>
      <c r="Z351" s="152"/>
      <c r="AA351" s="148"/>
      <c r="AB351" s="148"/>
      <c r="AC351" s="153"/>
      <c r="AD351" s="153"/>
      <c r="AE351" s="153"/>
      <c r="AF351" s="153"/>
      <c r="AJ351" s="147"/>
      <c r="AK351" s="146" t="s">
        <v>51</v>
      </c>
      <c r="AL351" s="146" t="s">
        <v>51</v>
      </c>
      <c r="AM351" s="146" t="s">
        <v>51</v>
      </c>
      <c r="AN351" s="203"/>
    </row>
    <row r="352" spans="1:40" s="146" customFormat="1" x14ac:dyDescent="0.25">
      <c r="A352" s="196">
        <v>1231</v>
      </c>
      <c r="B352" s="196" t="s">
        <v>2199</v>
      </c>
      <c r="C352" s="196" t="s">
        <v>2200</v>
      </c>
      <c r="D352" s="196" t="s">
        <v>1968</v>
      </c>
      <c r="E352" s="196"/>
      <c r="F352" s="196">
        <v>2005</v>
      </c>
      <c r="G352" s="196"/>
      <c r="H352" s="196" t="s">
        <v>1878</v>
      </c>
      <c r="I352" s="141" t="s">
        <v>1879</v>
      </c>
      <c r="J352" s="196" t="s">
        <v>2201</v>
      </c>
      <c r="K352" s="196" t="s">
        <v>1881</v>
      </c>
      <c r="L352" s="141" t="s">
        <v>2202</v>
      </c>
      <c r="M352" s="196">
        <v>272</v>
      </c>
      <c r="N352" s="196"/>
      <c r="O352" s="196" t="s">
        <v>2132</v>
      </c>
      <c r="P352" s="144">
        <v>283</v>
      </c>
      <c r="Q352" s="145">
        <f t="shared" si="18"/>
        <v>1.8673</v>
      </c>
      <c r="R352" s="203">
        <v>0.39</v>
      </c>
      <c r="S352" s="203"/>
      <c r="T352" s="151"/>
      <c r="U352" s="151">
        <v>1.2</v>
      </c>
      <c r="V352" s="149">
        <v>0.25</v>
      </c>
      <c r="W352" s="151">
        <f t="shared" si="19"/>
        <v>0.39</v>
      </c>
      <c r="X352" s="152">
        <f t="shared" si="17"/>
        <v>2.7300000000000001E-2</v>
      </c>
      <c r="Y352" s="150">
        <f t="shared" si="15"/>
        <v>1.01</v>
      </c>
      <c r="Z352" s="152"/>
      <c r="AA352" s="148"/>
      <c r="AB352" s="148"/>
      <c r="AC352" s="153"/>
      <c r="AD352" s="153"/>
      <c r="AE352" s="153"/>
      <c r="AF352" s="153"/>
      <c r="AJ352" s="147"/>
      <c r="AK352" s="146" t="s">
        <v>51</v>
      </c>
      <c r="AL352" s="146" t="s">
        <v>51</v>
      </c>
      <c r="AM352" s="146" t="s">
        <v>51</v>
      </c>
      <c r="AN352" s="203"/>
    </row>
    <row r="353" spans="1:40" s="146" customFormat="1" x14ac:dyDescent="0.25">
      <c r="A353" s="196">
        <v>2522</v>
      </c>
      <c r="B353" s="196" t="s">
        <v>2203</v>
      </c>
      <c r="C353" s="196" t="s">
        <v>2204</v>
      </c>
      <c r="D353" s="196" t="s">
        <v>1920</v>
      </c>
      <c r="E353" s="196"/>
      <c r="F353" s="196">
        <v>1997</v>
      </c>
      <c r="G353" s="196"/>
      <c r="H353" s="196" t="s">
        <v>1878</v>
      </c>
      <c r="I353" s="141" t="s">
        <v>1879</v>
      </c>
      <c r="J353" s="143" t="s">
        <v>2205</v>
      </c>
      <c r="K353" s="196" t="s">
        <v>1881</v>
      </c>
      <c r="L353" s="141" t="s">
        <v>2206</v>
      </c>
      <c r="M353" s="196">
        <v>768</v>
      </c>
      <c r="N353" s="196"/>
      <c r="O353" s="196" t="s">
        <v>2133</v>
      </c>
      <c r="P353" s="144">
        <v>558</v>
      </c>
      <c r="Q353" s="145">
        <f t="shared" si="18"/>
        <v>2.2175000000000002</v>
      </c>
      <c r="R353" s="203">
        <v>0.25</v>
      </c>
      <c r="S353" s="203"/>
      <c r="T353" s="151"/>
      <c r="U353" s="151">
        <v>1.7</v>
      </c>
      <c r="V353" s="151">
        <v>0.25</v>
      </c>
      <c r="W353" s="151">
        <f t="shared" si="19"/>
        <v>0.25</v>
      </c>
      <c r="X353" s="152">
        <f t="shared" si="17"/>
        <v>1.7500000000000002E-2</v>
      </c>
      <c r="Y353" s="150">
        <f t="shared" si="15"/>
        <v>1.01</v>
      </c>
      <c r="Z353" s="152"/>
      <c r="AA353" s="148"/>
      <c r="AB353" s="148"/>
      <c r="AC353" s="153"/>
      <c r="AD353" s="153"/>
      <c r="AE353" s="153"/>
      <c r="AF353" s="153"/>
      <c r="AJ353" s="147"/>
      <c r="AK353" s="146" t="s">
        <v>51</v>
      </c>
      <c r="AL353" s="146" t="s">
        <v>51</v>
      </c>
      <c r="AM353" s="146" t="s">
        <v>51</v>
      </c>
      <c r="AN353" s="203"/>
    </row>
    <row r="354" spans="1:40" s="146" customFormat="1" x14ac:dyDescent="0.25">
      <c r="A354" s="196">
        <v>637</v>
      </c>
      <c r="B354" s="196" t="s">
        <v>2207</v>
      </c>
      <c r="C354" s="196" t="s">
        <v>2208</v>
      </c>
      <c r="D354" s="196" t="s">
        <v>2209</v>
      </c>
      <c r="E354" s="196"/>
      <c r="F354" s="196">
        <v>1982</v>
      </c>
      <c r="G354" s="196"/>
      <c r="H354" s="196" t="s">
        <v>1878</v>
      </c>
      <c r="I354" s="141" t="s">
        <v>1879</v>
      </c>
      <c r="J354" s="143" t="s">
        <v>2205</v>
      </c>
      <c r="K354" s="196" t="s">
        <v>1881</v>
      </c>
      <c r="L354" s="141" t="s">
        <v>2210</v>
      </c>
      <c r="M354" s="196">
        <v>192</v>
      </c>
      <c r="N354" s="196"/>
      <c r="O354" s="196" t="s">
        <v>2134</v>
      </c>
      <c r="P354" s="144">
        <v>208</v>
      </c>
      <c r="Q354" s="145">
        <f t="shared" si="18"/>
        <v>1.8244999999999998</v>
      </c>
      <c r="R354" s="203">
        <v>0.35</v>
      </c>
      <c r="S354" s="203"/>
      <c r="T354" s="151"/>
      <c r="U354" s="151">
        <v>1.2</v>
      </c>
      <c r="V354" s="149">
        <v>0.25</v>
      </c>
      <c r="W354" s="151">
        <f t="shared" si="19"/>
        <v>0.35</v>
      </c>
      <c r="X354" s="152">
        <f t="shared" si="17"/>
        <v>2.4499999999999997E-2</v>
      </c>
      <c r="Y354" s="150">
        <f t="shared" si="15"/>
        <v>1.01</v>
      </c>
      <c r="Z354" s="152"/>
      <c r="AA354" s="148"/>
      <c r="AB354" s="148"/>
      <c r="AC354" s="153"/>
      <c r="AD354" s="153"/>
      <c r="AE354" s="153"/>
      <c r="AF354" s="153"/>
      <c r="AJ354" s="147"/>
      <c r="AK354" s="146" t="s">
        <v>51</v>
      </c>
      <c r="AL354" s="146" t="s">
        <v>51</v>
      </c>
      <c r="AM354" s="146" t="s">
        <v>51</v>
      </c>
      <c r="AN354" s="203"/>
    </row>
    <row r="355" spans="1:40" s="146" customFormat="1" x14ac:dyDescent="0.25">
      <c r="A355" s="196">
        <v>1327</v>
      </c>
      <c r="B355" s="196" t="s">
        <v>2215</v>
      </c>
      <c r="C355" s="196" t="s">
        <v>2216</v>
      </c>
      <c r="D355" s="196" t="s">
        <v>2054</v>
      </c>
      <c r="E355" s="196"/>
      <c r="F355" s="196">
        <v>2007</v>
      </c>
      <c r="G355" s="196"/>
      <c r="H355" s="196" t="s">
        <v>2217</v>
      </c>
      <c r="I355" s="141" t="s">
        <v>1879</v>
      </c>
      <c r="J355" s="196"/>
      <c r="K355" s="196" t="s">
        <v>1881</v>
      </c>
      <c r="L355" s="141" t="s">
        <v>2218</v>
      </c>
      <c r="M355" s="196">
        <v>598</v>
      </c>
      <c r="N355" s="196"/>
      <c r="O355" s="196" t="s">
        <v>2136</v>
      </c>
      <c r="P355" s="144">
        <v>565</v>
      </c>
      <c r="Q355" s="145">
        <f t="shared" si="18"/>
        <v>3.0093000000000001</v>
      </c>
      <c r="R355" s="203">
        <v>0.99</v>
      </c>
      <c r="S355" s="203"/>
      <c r="T355" s="151"/>
      <c r="U355" s="151">
        <v>1.7</v>
      </c>
      <c r="V355" s="151">
        <v>0.25</v>
      </c>
      <c r="W355" s="151">
        <f t="shared" si="19"/>
        <v>0.99</v>
      </c>
      <c r="X355" s="152">
        <f t="shared" si="17"/>
        <v>6.93E-2</v>
      </c>
      <c r="Y355" s="150">
        <f t="shared" si="15"/>
        <v>1.01</v>
      </c>
      <c r="Z355" s="152"/>
      <c r="AA355" s="148"/>
      <c r="AB355" s="148"/>
      <c r="AC355" s="153"/>
      <c r="AD355" s="153"/>
      <c r="AE355" s="153"/>
      <c r="AF355" s="153"/>
      <c r="AJ355" s="147"/>
      <c r="AK355" s="146" t="s">
        <v>51</v>
      </c>
      <c r="AL355" s="146" t="s">
        <v>51</v>
      </c>
      <c r="AM355" s="146" t="s">
        <v>51</v>
      </c>
      <c r="AN355" s="203"/>
    </row>
    <row r="356" spans="1:40" s="146" customFormat="1" x14ac:dyDescent="0.25">
      <c r="A356" s="196">
        <v>1386</v>
      </c>
      <c r="B356" s="196" t="s">
        <v>2219</v>
      </c>
      <c r="C356" s="196" t="s">
        <v>2220</v>
      </c>
      <c r="D356" s="196" t="s">
        <v>2221</v>
      </c>
      <c r="E356" s="196"/>
      <c r="F356" s="196">
        <v>2004</v>
      </c>
      <c r="G356" s="196"/>
      <c r="H356" s="196" t="s">
        <v>1928</v>
      </c>
      <c r="I356" s="141" t="s">
        <v>1879</v>
      </c>
      <c r="J356" s="196" t="s">
        <v>2222</v>
      </c>
      <c r="K356" s="196" t="s">
        <v>1881</v>
      </c>
      <c r="L356" s="141" t="s">
        <v>2223</v>
      </c>
      <c r="M356" s="196">
        <v>264</v>
      </c>
      <c r="N356" s="196"/>
      <c r="O356" s="196" t="s">
        <v>2137</v>
      </c>
      <c r="P356" s="144">
        <v>391</v>
      </c>
      <c r="Q356" s="145">
        <f t="shared" si="18"/>
        <v>2.6162999999999998</v>
      </c>
      <c r="R356" s="203">
        <v>1.0900000000000001</v>
      </c>
      <c r="S356" s="203"/>
      <c r="T356" s="151"/>
      <c r="U356" s="151">
        <v>1.2</v>
      </c>
      <c r="V356" s="149">
        <v>0.25</v>
      </c>
      <c r="W356" s="151">
        <f t="shared" si="19"/>
        <v>1.0900000000000001</v>
      </c>
      <c r="X356" s="152">
        <f t="shared" si="17"/>
        <v>7.6300000000000007E-2</v>
      </c>
      <c r="Y356" s="150">
        <f t="shared" si="15"/>
        <v>1.01</v>
      </c>
      <c r="Z356" s="152"/>
      <c r="AA356" s="148"/>
      <c r="AB356" s="148"/>
      <c r="AC356" s="153"/>
      <c r="AD356" s="153"/>
      <c r="AE356" s="153"/>
      <c r="AF356" s="153"/>
      <c r="AJ356" s="147"/>
      <c r="AK356" s="146" t="s">
        <v>51</v>
      </c>
      <c r="AL356" s="146" t="s">
        <v>51</v>
      </c>
      <c r="AM356" s="146" t="s">
        <v>51</v>
      </c>
      <c r="AN356" s="203"/>
    </row>
    <row r="357" spans="1:40" s="146" customFormat="1" x14ac:dyDescent="0.25">
      <c r="A357" s="196">
        <v>684</v>
      </c>
      <c r="B357" s="196" t="s">
        <v>2224</v>
      </c>
      <c r="C357" s="196" t="s">
        <v>2225</v>
      </c>
      <c r="D357" s="196" t="s">
        <v>2176</v>
      </c>
      <c r="E357" s="196" t="s">
        <v>1899</v>
      </c>
      <c r="F357" s="196">
        <v>2003</v>
      </c>
      <c r="G357" s="196"/>
      <c r="H357" s="196" t="s">
        <v>1878</v>
      </c>
      <c r="I357" s="141" t="s">
        <v>1879</v>
      </c>
      <c r="J357" s="143" t="s">
        <v>2205</v>
      </c>
      <c r="K357" s="196" t="s">
        <v>1881</v>
      </c>
      <c r="L357" s="141" t="s">
        <v>2226</v>
      </c>
      <c r="M357" s="196">
        <v>256</v>
      </c>
      <c r="N357" s="196"/>
      <c r="O357" s="196" t="s">
        <v>2138</v>
      </c>
      <c r="P357" s="144">
        <v>368</v>
      </c>
      <c r="Q357" s="145">
        <f t="shared" si="18"/>
        <v>1.9315</v>
      </c>
      <c r="R357" s="203">
        <v>0.45</v>
      </c>
      <c r="S357" s="203"/>
      <c r="T357" s="151"/>
      <c r="U357" s="151">
        <v>1.2</v>
      </c>
      <c r="V357" s="151">
        <v>0.25</v>
      </c>
      <c r="W357" s="151">
        <f t="shared" si="19"/>
        <v>0.45</v>
      </c>
      <c r="X357" s="152">
        <f t="shared" si="17"/>
        <v>3.15E-2</v>
      </c>
      <c r="Y357" s="150">
        <f t="shared" si="15"/>
        <v>1.01</v>
      </c>
      <c r="Z357" s="152"/>
      <c r="AA357" s="148"/>
      <c r="AB357" s="148"/>
      <c r="AC357" s="153"/>
      <c r="AD357" s="153"/>
      <c r="AE357" s="153"/>
      <c r="AF357" s="153"/>
      <c r="AJ357" s="147"/>
      <c r="AK357" s="146" t="s">
        <v>51</v>
      </c>
      <c r="AL357" s="146" t="s">
        <v>51</v>
      </c>
      <c r="AM357" s="146" t="s">
        <v>51</v>
      </c>
      <c r="AN357" s="203"/>
    </row>
    <row r="358" spans="1:40" s="146" customFormat="1" x14ac:dyDescent="0.25">
      <c r="A358" s="196">
        <v>2522</v>
      </c>
      <c r="B358" s="196" t="s">
        <v>2228</v>
      </c>
      <c r="C358" s="196" t="s">
        <v>2229</v>
      </c>
      <c r="D358" s="196" t="s">
        <v>1886</v>
      </c>
      <c r="E358" s="196"/>
      <c r="F358" s="196">
        <v>2006</v>
      </c>
      <c r="G358" s="196"/>
      <c r="H358" s="196" t="s">
        <v>1878</v>
      </c>
      <c r="I358" s="141" t="s">
        <v>1879</v>
      </c>
      <c r="J358" s="196"/>
      <c r="K358" s="196" t="s">
        <v>1881</v>
      </c>
      <c r="L358" s="141" t="s">
        <v>2227</v>
      </c>
      <c r="M358" s="196">
        <v>384</v>
      </c>
      <c r="N358" s="196"/>
      <c r="O358" s="196" t="s">
        <v>2139</v>
      </c>
      <c r="P358" s="144">
        <v>347</v>
      </c>
      <c r="Q358" s="145">
        <f t="shared" si="18"/>
        <v>2.1882999999999995</v>
      </c>
      <c r="R358" s="203">
        <v>0.69</v>
      </c>
      <c r="S358" s="203"/>
      <c r="T358" s="151"/>
      <c r="U358" s="151">
        <v>1.2</v>
      </c>
      <c r="V358" s="149">
        <v>0.25</v>
      </c>
      <c r="W358" s="151">
        <f t="shared" si="19"/>
        <v>0.69</v>
      </c>
      <c r="X358" s="152">
        <f t="shared" si="17"/>
        <v>4.8299999999999996E-2</v>
      </c>
      <c r="Y358" s="150">
        <f t="shared" si="15"/>
        <v>1.01</v>
      </c>
      <c r="Z358" s="152"/>
      <c r="AA358" s="148"/>
      <c r="AB358" s="148"/>
      <c r="AC358" s="153"/>
      <c r="AD358" s="153"/>
      <c r="AE358" s="153"/>
      <c r="AF358" s="153"/>
      <c r="AJ358" s="147"/>
      <c r="AK358" s="146" t="s">
        <v>51</v>
      </c>
      <c r="AL358" s="146" t="s">
        <v>51</v>
      </c>
      <c r="AM358" s="146" t="s">
        <v>51</v>
      </c>
      <c r="AN358" s="203"/>
    </row>
    <row r="359" spans="1:40" s="146" customFormat="1" x14ac:dyDescent="0.25">
      <c r="A359" s="196">
        <v>1386</v>
      </c>
      <c r="B359" s="196" t="s">
        <v>2230</v>
      </c>
      <c r="C359" s="196" t="s">
        <v>2231</v>
      </c>
      <c r="D359" s="196" t="s">
        <v>2232</v>
      </c>
      <c r="E359" s="196" t="s">
        <v>2157</v>
      </c>
      <c r="F359" s="196">
        <v>2013</v>
      </c>
      <c r="G359" s="196"/>
      <c r="H359" s="196" t="s">
        <v>1878</v>
      </c>
      <c r="I359" s="141" t="s">
        <v>1879</v>
      </c>
      <c r="J359" s="196"/>
      <c r="K359" s="196" t="s">
        <v>1881</v>
      </c>
      <c r="L359" s="141" t="s">
        <v>2233</v>
      </c>
      <c r="M359" s="196">
        <v>480</v>
      </c>
      <c r="N359" s="196"/>
      <c r="O359" s="196" t="s">
        <v>2140</v>
      </c>
      <c r="P359" s="144">
        <v>395</v>
      </c>
      <c r="Q359" s="145">
        <f t="shared" si="18"/>
        <v>1.7175</v>
      </c>
      <c r="R359" s="203">
        <v>0.25</v>
      </c>
      <c r="S359" s="203"/>
      <c r="T359" s="151"/>
      <c r="U359" s="151">
        <v>1.2</v>
      </c>
      <c r="V359" s="151">
        <v>0.25</v>
      </c>
      <c r="W359" s="151">
        <f t="shared" si="19"/>
        <v>0.25</v>
      </c>
      <c r="X359" s="152">
        <f t="shared" si="17"/>
        <v>1.7500000000000002E-2</v>
      </c>
      <c r="Y359" s="150">
        <f t="shared" si="15"/>
        <v>1.01</v>
      </c>
      <c r="Z359" s="152"/>
      <c r="AA359" s="148"/>
      <c r="AB359" s="148"/>
      <c r="AC359" s="153"/>
      <c r="AD359" s="153"/>
      <c r="AE359" s="153"/>
      <c r="AF359" s="153"/>
      <c r="AJ359" s="147"/>
      <c r="AK359" s="146" t="s">
        <v>51</v>
      </c>
      <c r="AL359" s="146" t="s">
        <v>51</v>
      </c>
      <c r="AM359" s="146" t="s">
        <v>51</v>
      </c>
      <c r="AN359" s="203"/>
    </row>
    <row r="360" spans="1:40" s="146" customFormat="1" x14ac:dyDescent="0.25">
      <c r="A360" s="196">
        <v>632</v>
      </c>
      <c r="B360" s="196" t="s">
        <v>2234</v>
      </c>
      <c r="C360" s="196" t="s">
        <v>2235</v>
      </c>
      <c r="D360" s="196" t="s">
        <v>2236</v>
      </c>
      <c r="E360" s="196"/>
      <c r="F360" s="196">
        <v>2010</v>
      </c>
      <c r="G360" s="196"/>
      <c r="H360" s="196" t="s">
        <v>1878</v>
      </c>
      <c r="I360" s="141" t="s">
        <v>1879</v>
      </c>
      <c r="J360" s="196" t="s">
        <v>2237</v>
      </c>
      <c r="K360" s="196" t="s">
        <v>1881</v>
      </c>
      <c r="L360" s="141" t="s">
        <v>2238</v>
      </c>
      <c r="M360" s="196">
        <v>328</v>
      </c>
      <c r="N360" s="196"/>
      <c r="O360" s="196" t="s">
        <v>2141</v>
      </c>
      <c r="P360" s="144">
        <v>320</v>
      </c>
      <c r="Q360" s="145">
        <f t="shared" si="18"/>
        <v>1.9742999999999999</v>
      </c>
      <c r="R360" s="203">
        <v>0.49</v>
      </c>
      <c r="S360" s="203"/>
      <c r="T360" s="151"/>
      <c r="U360" s="151">
        <v>1.2</v>
      </c>
      <c r="V360" s="149">
        <v>0.25</v>
      </c>
      <c r="W360" s="151">
        <f t="shared" si="19"/>
        <v>0.49</v>
      </c>
      <c r="X360" s="152">
        <f t="shared" si="17"/>
        <v>3.4299999999999997E-2</v>
      </c>
      <c r="Y360" s="150">
        <f t="shared" si="15"/>
        <v>1.01</v>
      </c>
      <c r="Z360" s="152"/>
      <c r="AA360" s="148"/>
      <c r="AB360" s="148"/>
      <c r="AC360" s="153"/>
      <c r="AD360" s="153"/>
      <c r="AE360" s="153"/>
      <c r="AF360" s="153"/>
      <c r="AJ360" s="147"/>
      <c r="AK360" s="146" t="s">
        <v>51</v>
      </c>
      <c r="AL360" s="146" t="s">
        <v>51</v>
      </c>
      <c r="AM360" s="146" t="s">
        <v>51</v>
      </c>
      <c r="AN360" s="203"/>
    </row>
    <row r="361" spans="1:40" s="146" customFormat="1" x14ac:dyDescent="0.25">
      <c r="A361" s="196">
        <v>1324</v>
      </c>
      <c r="B361" s="196" t="s">
        <v>2239</v>
      </c>
      <c r="C361" s="196" t="s">
        <v>2240</v>
      </c>
      <c r="D361" s="196" t="s">
        <v>2209</v>
      </c>
      <c r="E361" s="196"/>
      <c r="F361" s="196">
        <v>2006</v>
      </c>
      <c r="G361" s="196"/>
      <c r="H361" s="196" t="s">
        <v>2217</v>
      </c>
      <c r="I361" s="141" t="s">
        <v>1879</v>
      </c>
      <c r="J361" s="196" t="s">
        <v>2237</v>
      </c>
      <c r="K361" s="196" t="s">
        <v>1881</v>
      </c>
      <c r="L361" s="141" t="s">
        <v>2241</v>
      </c>
      <c r="M361" s="196">
        <v>256</v>
      </c>
      <c r="N361" s="196"/>
      <c r="O361" s="196" t="s">
        <v>2142</v>
      </c>
      <c r="P361" s="144">
        <v>397</v>
      </c>
      <c r="Q361" s="145">
        <f t="shared" si="18"/>
        <v>2.4022999999999999</v>
      </c>
      <c r="R361" s="203">
        <v>0.89</v>
      </c>
      <c r="S361" s="203"/>
      <c r="T361" s="151"/>
      <c r="U361" s="151">
        <v>1.2</v>
      </c>
      <c r="V361" s="151">
        <v>0.25</v>
      </c>
      <c r="W361" s="151">
        <f t="shared" si="19"/>
        <v>0.89</v>
      </c>
      <c r="X361" s="152">
        <f t="shared" si="17"/>
        <v>6.2300000000000001E-2</v>
      </c>
      <c r="Y361" s="150">
        <f t="shared" si="15"/>
        <v>1.01</v>
      </c>
      <c r="Z361" s="152"/>
      <c r="AA361" s="148"/>
      <c r="AB361" s="148"/>
      <c r="AC361" s="153"/>
      <c r="AD361" s="153"/>
      <c r="AE361" s="153"/>
      <c r="AF361" s="153"/>
      <c r="AJ361" s="147"/>
      <c r="AK361" s="146" t="s">
        <v>51</v>
      </c>
      <c r="AL361" s="146" t="s">
        <v>51</v>
      </c>
      <c r="AM361" s="146" t="s">
        <v>51</v>
      </c>
      <c r="AN361" s="203"/>
    </row>
    <row r="362" spans="1:40" s="146" customFormat="1" x14ac:dyDescent="0.25">
      <c r="A362" s="196">
        <v>632</v>
      </c>
      <c r="B362" s="196" t="s">
        <v>2242</v>
      </c>
      <c r="C362" s="196" t="s">
        <v>2243</v>
      </c>
      <c r="D362" s="196" t="s">
        <v>2244</v>
      </c>
      <c r="E362" s="196"/>
      <c r="F362" s="196">
        <v>2003</v>
      </c>
      <c r="G362" s="196"/>
      <c r="H362" s="196" t="s">
        <v>1928</v>
      </c>
      <c r="I362" s="141" t="s">
        <v>1929</v>
      </c>
      <c r="J362" s="196" t="s">
        <v>2237</v>
      </c>
      <c r="K362" s="196" t="s">
        <v>1881</v>
      </c>
      <c r="L362" s="141" t="s">
        <v>2245</v>
      </c>
      <c r="M362" s="196">
        <v>642</v>
      </c>
      <c r="N362" s="196"/>
      <c r="O362" s="196" t="s">
        <v>2143</v>
      </c>
      <c r="P362" s="144">
        <v>762</v>
      </c>
      <c r="Q362" s="145">
        <f t="shared" si="18"/>
        <v>2.3672999999999997</v>
      </c>
      <c r="R362" s="203">
        <v>0.39</v>
      </c>
      <c r="S362" s="203"/>
      <c r="T362" s="151"/>
      <c r="U362" s="151">
        <v>1.7</v>
      </c>
      <c r="V362" s="149">
        <v>0.25</v>
      </c>
      <c r="W362" s="151">
        <f t="shared" si="19"/>
        <v>0.39</v>
      </c>
      <c r="X362" s="152">
        <f t="shared" si="17"/>
        <v>2.7300000000000001E-2</v>
      </c>
      <c r="Y362" s="150">
        <f t="shared" si="15"/>
        <v>1.01</v>
      </c>
      <c r="Z362" s="152"/>
      <c r="AA362" s="148"/>
      <c r="AB362" s="148"/>
      <c r="AC362" s="153"/>
      <c r="AD362" s="153"/>
      <c r="AE362" s="153"/>
      <c r="AF362" s="153"/>
      <c r="AJ362" s="147"/>
      <c r="AK362" s="146" t="s">
        <v>51</v>
      </c>
      <c r="AL362" s="146" t="s">
        <v>51</v>
      </c>
      <c r="AM362" s="146" t="s">
        <v>51</v>
      </c>
      <c r="AN362" s="203"/>
    </row>
    <row r="363" spans="1:40" s="146" customFormat="1" x14ac:dyDescent="0.25">
      <c r="A363" s="196">
        <v>1913</v>
      </c>
      <c r="B363" s="196" t="s">
        <v>2248</v>
      </c>
      <c r="C363" s="196" t="s">
        <v>2249</v>
      </c>
      <c r="D363" s="196" t="s">
        <v>2250</v>
      </c>
      <c r="E363" s="196" t="s">
        <v>2175</v>
      </c>
      <c r="F363" s="196">
        <v>2012</v>
      </c>
      <c r="G363" s="196"/>
      <c r="H363" s="196" t="s">
        <v>1878</v>
      </c>
      <c r="I363" s="141" t="s">
        <v>1879</v>
      </c>
      <c r="J363" s="196"/>
      <c r="K363" s="196" t="s">
        <v>1881</v>
      </c>
      <c r="L363" s="141" t="s">
        <v>2251</v>
      </c>
      <c r="M363" s="196">
        <v>256</v>
      </c>
      <c r="N363" s="196"/>
      <c r="O363" s="196" t="s">
        <v>2246</v>
      </c>
      <c r="P363" s="144">
        <v>248</v>
      </c>
      <c r="Q363" s="145">
        <f t="shared" si="18"/>
        <v>2.9373</v>
      </c>
      <c r="R363" s="203">
        <v>1.39</v>
      </c>
      <c r="S363" s="203"/>
      <c r="T363" s="151"/>
      <c r="U363" s="151">
        <v>1.2</v>
      </c>
      <c r="V363" s="151">
        <v>0.25</v>
      </c>
      <c r="W363" s="151">
        <f t="shared" si="19"/>
        <v>1.39</v>
      </c>
      <c r="X363" s="152">
        <f t="shared" si="17"/>
        <v>9.7299999999999998E-2</v>
      </c>
      <c r="Y363" s="150">
        <f t="shared" si="15"/>
        <v>1.01</v>
      </c>
      <c r="Z363" s="152"/>
      <c r="AA363" s="148"/>
      <c r="AB363" s="148"/>
      <c r="AC363" s="153"/>
      <c r="AD363" s="153"/>
      <c r="AE363" s="153"/>
      <c r="AF363" s="153"/>
      <c r="AJ363" s="147"/>
      <c r="AK363" s="146" t="s">
        <v>51</v>
      </c>
      <c r="AL363" s="146" t="s">
        <v>51</v>
      </c>
      <c r="AM363" s="146" t="s">
        <v>51</v>
      </c>
      <c r="AN363" s="203"/>
    </row>
    <row r="364" spans="1:40" x14ac:dyDescent="0.25">
      <c r="Y364" s="150">
        <f t="shared" ref="Y364:Y427" si="20">(IF(Z364&gt;AA364,Z364,AA364)*0.08)+1.01</f>
        <v>1.01</v>
      </c>
      <c r="AC364" s="154"/>
      <c r="AD364" s="154"/>
      <c r="AE364" s="154"/>
      <c r="AF364" s="154"/>
    </row>
    <row r="365" spans="1:40" s="146" customFormat="1" ht="66" x14ac:dyDescent="0.25">
      <c r="A365" s="196">
        <v>2571</v>
      </c>
      <c r="B365" s="196" t="s">
        <v>2255</v>
      </c>
      <c r="C365" s="196" t="s">
        <v>2256</v>
      </c>
      <c r="D365" s="196" t="s">
        <v>2257</v>
      </c>
      <c r="E365" s="196"/>
      <c r="F365" s="196">
        <v>2005</v>
      </c>
      <c r="G365" s="196"/>
      <c r="H365" s="196" t="s">
        <v>1878</v>
      </c>
      <c r="I365" s="141" t="s">
        <v>1929</v>
      </c>
      <c r="J365" s="52" t="s">
        <v>2258</v>
      </c>
      <c r="K365" s="196" t="s">
        <v>1881</v>
      </c>
      <c r="L365" s="141" t="s">
        <v>2291</v>
      </c>
      <c r="M365" s="196">
        <v>528</v>
      </c>
      <c r="N365" s="196"/>
      <c r="O365" s="196" t="s">
        <v>2259</v>
      </c>
      <c r="P365" s="144">
        <v>394</v>
      </c>
      <c r="Q365" s="145">
        <f t="shared" si="18"/>
        <v>2.5093000000000001</v>
      </c>
      <c r="R365" s="203">
        <v>0.99</v>
      </c>
      <c r="S365" s="203"/>
      <c r="T365" s="151"/>
      <c r="U365" s="151">
        <v>1.2</v>
      </c>
      <c r="V365" s="151">
        <v>0.25</v>
      </c>
      <c r="W365" s="151">
        <f t="shared" si="19"/>
        <v>0.99</v>
      </c>
      <c r="X365" s="152">
        <f t="shared" ref="X365:X428" si="21">(T365+W365)/100*7</f>
        <v>6.93E-2</v>
      </c>
      <c r="Y365" s="150">
        <f t="shared" si="20"/>
        <v>1.01</v>
      </c>
      <c r="Z365" s="152"/>
      <c r="AA365" s="148"/>
      <c r="AB365" s="148"/>
      <c r="AC365" s="153"/>
      <c r="AD365" s="153"/>
      <c r="AE365" s="153"/>
      <c r="AF365" s="153"/>
      <c r="AJ365" s="147"/>
      <c r="AK365" s="146" t="s">
        <v>51</v>
      </c>
      <c r="AL365" s="146" t="s">
        <v>51</v>
      </c>
      <c r="AM365" s="146" t="s">
        <v>51</v>
      </c>
      <c r="AN365" s="203"/>
    </row>
    <row r="366" spans="1:40" s="146" customFormat="1" x14ac:dyDescent="0.25">
      <c r="A366" s="196">
        <v>2514</v>
      </c>
      <c r="B366" s="196" t="s">
        <v>2292</v>
      </c>
      <c r="C366" s="196" t="s">
        <v>2293</v>
      </c>
      <c r="D366" s="196" t="s">
        <v>2294</v>
      </c>
      <c r="E366" s="196"/>
      <c r="F366" s="196">
        <v>2004</v>
      </c>
      <c r="G366" s="196"/>
      <c r="H366" s="196" t="s">
        <v>2295</v>
      </c>
      <c r="I366" s="141" t="s">
        <v>1929</v>
      </c>
      <c r="J366" s="196" t="s">
        <v>2296</v>
      </c>
      <c r="K366" s="196" t="s">
        <v>1881</v>
      </c>
      <c r="L366" s="141" t="s">
        <v>2297</v>
      </c>
      <c r="M366" s="196">
        <v>34</v>
      </c>
      <c r="N366" s="196"/>
      <c r="O366" s="196" t="s">
        <v>2260</v>
      </c>
      <c r="P366" s="144">
        <v>250</v>
      </c>
      <c r="Q366" s="145">
        <f t="shared" si="18"/>
        <v>5.1843000000000004</v>
      </c>
      <c r="R366" s="203">
        <v>3.49</v>
      </c>
      <c r="S366" s="203"/>
      <c r="T366" s="151"/>
      <c r="U366" s="151">
        <v>1.2</v>
      </c>
      <c r="V366" s="149">
        <v>0.25</v>
      </c>
      <c r="W366" s="151">
        <f t="shared" si="19"/>
        <v>3.49</v>
      </c>
      <c r="X366" s="152">
        <f t="shared" si="21"/>
        <v>0.24430000000000002</v>
      </c>
      <c r="Y366" s="150">
        <f t="shared" si="20"/>
        <v>1.01</v>
      </c>
      <c r="Z366" s="152"/>
      <c r="AA366" s="148"/>
      <c r="AB366" s="148"/>
      <c r="AC366" s="153"/>
      <c r="AD366" s="153"/>
      <c r="AE366" s="153"/>
      <c r="AF366" s="153"/>
      <c r="AJ366" s="147"/>
      <c r="AK366" s="146" t="s">
        <v>51</v>
      </c>
      <c r="AL366" s="146" t="s">
        <v>51</v>
      </c>
      <c r="AM366" s="146" t="s">
        <v>51</v>
      </c>
      <c r="AN366" s="203"/>
    </row>
    <row r="367" spans="1:40" s="146" customFormat="1" x14ac:dyDescent="0.25">
      <c r="A367" s="196">
        <v>1327</v>
      </c>
      <c r="B367" s="196" t="s">
        <v>2298</v>
      </c>
      <c r="C367" s="196" t="s">
        <v>2299</v>
      </c>
      <c r="D367" s="196" t="s">
        <v>2300</v>
      </c>
      <c r="E367" s="196"/>
      <c r="F367" s="196">
        <v>1992</v>
      </c>
      <c r="G367" s="196"/>
      <c r="H367" s="196" t="s">
        <v>1878</v>
      </c>
      <c r="I367" s="141" t="s">
        <v>1879</v>
      </c>
      <c r="J367" s="196" t="s">
        <v>2301</v>
      </c>
      <c r="K367" s="196" t="s">
        <v>1881</v>
      </c>
      <c r="L367" s="141" t="s">
        <v>2302</v>
      </c>
      <c r="M367" s="196">
        <v>288</v>
      </c>
      <c r="N367" s="196"/>
      <c r="O367" s="196" t="s">
        <v>2261</v>
      </c>
      <c r="P367" s="144">
        <v>288</v>
      </c>
      <c r="Q367" s="145">
        <f t="shared" si="18"/>
        <v>1.7175</v>
      </c>
      <c r="R367" s="203">
        <v>0.25</v>
      </c>
      <c r="S367" s="203"/>
      <c r="T367" s="151"/>
      <c r="U367" s="151">
        <v>1.2</v>
      </c>
      <c r="V367" s="151">
        <v>0.25</v>
      </c>
      <c r="W367" s="151">
        <f t="shared" si="19"/>
        <v>0.25</v>
      </c>
      <c r="X367" s="152">
        <f t="shared" si="21"/>
        <v>1.7500000000000002E-2</v>
      </c>
      <c r="Y367" s="150">
        <f t="shared" si="20"/>
        <v>1.01</v>
      </c>
      <c r="Z367" s="152"/>
      <c r="AA367" s="148"/>
      <c r="AB367" s="148"/>
      <c r="AC367" s="153"/>
      <c r="AD367" s="153"/>
      <c r="AE367" s="153"/>
      <c r="AF367" s="153"/>
      <c r="AJ367" s="147"/>
      <c r="AK367" s="146" t="s">
        <v>51</v>
      </c>
      <c r="AL367" s="146" t="s">
        <v>51</v>
      </c>
      <c r="AM367" s="146" t="s">
        <v>51</v>
      </c>
      <c r="AN367" s="203"/>
    </row>
    <row r="368" spans="1:40" s="146" customFormat="1" x14ac:dyDescent="0.25">
      <c r="A368" s="196">
        <v>1818</v>
      </c>
      <c r="B368" s="196" t="s">
        <v>2303</v>
      </c>
      <c r="C368" s="196" t="s">
        <v>2304</v>
      </c>
      <c r="D368" s="196" t="s">
        <v>2176</v>
      </c>
      <c r="E368" s="196"/>
      <c r="F368" s="196">
        <v>2001</v>
      </c>
      <c r="G368" s="196"/>
      <c r="H368" s="196" t="s">
        <v>1878</v>
      </c>
      <c r="I368" s="141" t="s">
        <v>1879</v>
      </c>
      <c r="J368" s="196" t="s">
        <v>2305</v>
      </c>
      <c r="K368" s="196" t="s">
        <v>1881</v>
      </c>
      <c r="L368" s="141" t="s">
        <v>2306</v>
      </c>
      <c r="M368" s="196">
        <v>256</v>
      </c>
      <c r="N368" s="196"/>
      <c r="O368" s="196" t="s">
        <v>2262</v>
      </c>
      <c r="P368" s="144">
        <v>326</v>
      </c>
      <c r="Q368" s="145">
        <f t="shared" si="18"/>
        <v>2.1882999999999995</v>
      </c>
      <c r="R368" s="203">
        <v>0.69</v>
      </c>
      <c r="S368" s="203"/>
      <c r="T368" s="151"/>
      <c r="U368" s="151">
        <v>1.2</v>
      </c>
      <c r="V368" s="149">
        <v>0.25</v>
      </c>
      <c r="W368" s="151">
        <f t="shared" si="19"/>
        <v>0.69</v>
      </c>
      <c r="X368" s="152">
        <f t="shared" si="21"/>
        <v>4.8299999999999996E-2</v>
      </c>
      <c r="Y368" s="150">
        <f t="shared" si="20"/>
        <v>1.01</v>
      </c>
      <c r="Z368" s="152"/>
      <c r="AA368" s="148"/>
      <c r="AB368" s="148"/>
      <c r="AC368" s="153"/>
      <c r="AD368" s="153"/>
      <c r="AE368" s="153"/>
      <c r="AF368" s="153"/>
      <c r="AJ368" s="147"/>
      <c r="AK368" s="146" t="s">
        <v>51</v>
      </c>
      <c r="AL368" s="146" t="s">
        <v>51</v>
      </c>
      <c r="AM368" s="146" t="s">
        <v>51</v>
      </c>
      <c r="AN368" s="203"/>
    </row>
    <row r="369" spans="1:40" s="146" customFormat="1" x14ac:dyDescent="0.25">
      <c r="A369" s="196">
        <v>1339</v>
      </c>
      <c r="B369" s="196" t="s">
        <v>2312</v>
      </c>
      <c r="C369" s="196" t="s">
        <v>2313</v>
      </c>
      <c r="D369" s="196" t="s">
        <v>2068</v>
      </c>
      <c r="E369" s="196"/>
      <c r="F369" s="196">
        <v>2000</v>
      </c>
      <c r="G369" s="196"/>
      <c r="H369" s="196" t="s">
        <v>2314</v>
      </c>
      <c r="I369" s="141" t="s">
        <v>1879</v>
      </c>
      <c r="J369" s="196" t="s">
        <v>2315</v>
      </c>
      <c r="K369" s="196" t="s">
        <v>1881</v>
      </c>
      <c r="L369" s="141" t="s">
        <v>2316</v>
      </c>
      <c r="M369" s="196">
        <v>80</v>
      </c>
      <c r="N369" s="196"/>
      <c r="O369" s="196" t="s">
        <v>2264</v>
      </c>
      <c r="P369" s="144">
        <v>194</v>
      </c>
      <c r="Q369" s="145">
        <f t="shared" si="18"/>
        <v>1.7175</v>
      </c>
      <c r="R369" s="203">
        <v>0.25</v>
      </c>
      <c r="S369" s="203"/>
      <c r="T369" s="151"/>
      <c r="U369" s="151">
        <v>1.2</v>
      </c>
      <c r="V369" s="151">
        <v>0.25</v>
      </c>
      <c r="W369" s="151">
        <f t="shared" si="19"/>
        <v>0.25</v>
      </c>
      <c r="X369" s="152">
        <f t="shared" si="21"/>
        <v>1.7500000000000002E-2</v>
      </c>
      <c r="Y369" s="150">
        <f t="shared" si="20"/>
        <v>1.01</v>
      </c>
      <c r="Z369" s="152"/>
      <c r="AA369" s="148"/>
      <c r="AB369" s="148"/>
      <c r="AC369" s="153"/>
      <c r="AD369" s="153"/>
      <c r="AE369" s="153"/>
      <c r="AF369" s="153"/>
      <c r="AJ369" s="147"/>
      <c r="AK369" s="146" t="s">
        <v>51</v>
      </c>
      <c r="AL369" s="146" t="s">
        <v>51</v>
      </c>
      <c r="AM369" s="146" t="s">
        <v>51</v>
      </c>
      <c r="AN369" s="203"/>
    </row>
    <row r="370" spans="1:40" s="146" customFormat="1" x14ac:dyDescent="0.25">
      <c r="A370" s="196">
        <v>796</v>
      </c>
      <c r="B370" s="196" t="s">
        <v>2317</v>
      </c>
      <c r="C370" s="196" t="s">
        <v>2318</v>
      </c>
      <c r="D370" s="196" t="s">
        <v>2319</v>
      </c>
      <c r="E370" s="196"/>
      <c r="F370" s="196">
        <v>2008</v>
      </c>
      <c r="G370" s="196"/>
      <c r="H370" s="196" t="s">
        <v>1878</v>
      </c>
      <c r="I370" s="141" t="s">
        <v>1879</v>
      </c>
      <c r="J370" s="196" t="s">
        <v>2320</v>
      </c>
      <c r="K370" s="196" t="s">
        <v>1881</v>
      </c>
      <c r="L370" s="141"/>
      <c r="M370" s="196">
        <v>544</v>
      </c>
      <c r="N370" s="196"/>
      <c r="O370" s="196" t="s">
        <v>2265</v>
      </c>
      <c r="P370" s="144">
        <v>397</v>
      </c>
      <c r="Q370" s="145">
        <f t="shared" si="18"/>
        <v>1.9636</v>
      </c>
      <c r="R370" s="203">
        <v>0.48</v>
      </c>
      <c r="S370" s="203"/>
      <c r="T370" s="151"/>
      <c r="U370" s="151">
        <v>1.2</v>
      </c>
      <c r="V370" s="149">
        <v>0.25</v>
      </c>
      <c r="W370" s="151">
        <f t="shared" si="19"/>
        <v>0.48</v>
      </c>
      <c r="X370" s="152">
        <f t="shared" si="21"/>
        <v>3.3599999999999998E-2</v>
      </c>
      <c r="Y370" s="150">
        <f t="shared" si="20"/>
        <v>1.01</v>
      </c>
      <c r="Z370" s="152"/>
      <c r="AA370" s="148"/>
      <c r="AB370" s="148"/>
      <c r="AC370" s="153"/>
      <c r="AD370" s="153"/>
      <c r="AE370" s="153"/>
      <c r="AF370" s="153"/>
      <c r="AJ370" s="147"/>
      <c r="AK370" s="146" t="s">
        <v>51</v>
      </c>
      <c r="AL370" s="146" t="s">
        <v>51</v>
      </c>
      <c r="AM370" s="146" t="s">
        <v>51</v>
      </c>
      <c r="AN370" s="203"/>
    </row>
    <row r="371" spans="1:40" s="146" customFormat="1" x14ac:dyDescent="0.25">
      <c r="A371" s="196">
        <v>2522</v>
      </c>
      <c r="B371" s="196" t="s">
        <v>2321</v>
      </c>
      <c r="C371" s="196" t="s">
        <v>2322</v>
      </c>
      <c r="D371" s="196" t="s">
        <v>1912</v>
      </c>
      <c r="E371" s="196" t="s">
        <v>1877</v>
      </c>
      <c r="F371" s="196">
        <v>2006</v>
      </c>
      <c r="G371" s="196"/>
      <c r="H371" s="196" t="s">
        <v>1878</v>
      </c>
      <c r="I371" s="141" t="s">
        <v>1929</v>
      </c>
      <c r="J371" s="143" t="s">
        <v>2323</v>
      </c>
      <c r="K371" s="196" t="s">
        <v>1881</v>
      </c>
      <c r="L371" s="141" t="s">
        <v>2324</v>
      </c>
      <c r="M371" s="196">
        <v>512</v>
      </c>
      <c r="N371" s="196"/>
      <c r="O371" s="196" t="s">
        <v>2266</v>
      </c>
      <c r="P371" s="144">
        <v>399</v>
      </c>
      <c r="Q371" s="145">
        <f t="shared" si="18"/>
        <v>2.5093000000000001</v>
      </c>
      <c r="R371" s="203">
        <v>0.99</v>
      </c>
      <c r="S371" s="203"/>
      <c r="T371" s="151"/>
      <c r="U371" s="151">
        <v>1.2</v>
      </c>
      <c r="V371" s="151">
        <v>0.25</v>
      </c>
      <c r="W371" s="151">
        <f t="shared" si="19"/>
        <v>0.99</v>
      </c>
      <c r="X371" s="152">
        <f t="shared" si="21"/>
        <v>6.93E-2</v>
      </c>
      <c r="Y371" s="150">
        <f t="shared" si="20"/>
        <v>1.01</v>
      </c>
      <c r="Z371" s="152"/>
      <c r="AA371" s="148"/>
      <c r="AB371" s="148"/>
      <c r="AC371" s="153"/>
      <c r="AD371" s="153"/>
      <c r="AE371" s="153"/>
      <c r="AF371" s="153"/>
      <c r="AJ371" s="147"/>
      <c r="AK371" s="146" t="s">
        <v>51</v>
      </c>
      <c r="AL371" s="146" t="s">
        <v>51</v>
      </c>
      <c r="AM371" s="146" t="s">
        <v>51</v>
      </c>
      <c r="AN371" s="203"/>
    </row>
    <row r="372" spans="1:40" s="146" customFormat="1" x14ac:dyDescent="0.25">
      <c r="A372" s="196">
        <v>853</v>
      </c>
      <c r="B372" s="196" t="s">
        <v>2325</v>
      </c>
      <c r="C372" s="196" t="s">
        <v>2326</v>
      </c>
      <c r="D372" s="196" t="s">
        <v>2327</v>
      </c>
      <c r="E372" s="196"/>
      <c r="F372" s="196">
        <v>1993</v>
      </c>
      <c r="G372" s="196"/>
      <c r="H372" s="196" t="s">
        <v>2295</v>
      </c>
      <c r="I372" s="141" t="s">
        <v>1879</v>
      </c>
      <c r="J372" s="196" t="s">
        <v>2328</v>
      </c>
      <c r="K372" s="196" t="s">
        <v>1881</v>
      </c>
      <c r="L372" s="141" t="s">
        <v>2329</v>
      </c>
      <c r="M372" s="196">
        <v>282</v>
      </c>
      <c r="N372" s="196"/>
      <c r="O372" s="196" t="s">
        <v>2267</v>
      </c>
      <c r="P372" s="144">
        <v>389</v>
      </c>
      <c r="Q372" s="145">
        <f t="shared" si="18"/>
        <v>3.0442999999999998</v>
      </c>
      <c r="R372" s="203">
        <v>1.49</v>
      </c>
      <c r="S372" s="203"/>
      <c r="T372" s="151"/>
      <c r="U372" s="151">
        <v>1.2</v>
      </c>
      <c r="V372" s="149">
        <v>0.25</v>
      </c>
      <c r="W372" s="151">
        <f t="shared" si="19"/>
        <v>1.49</v>
      </c>
      <c r="X372" s="152">
        <f t="shared" si="21"/>
        <v>0.1043</v>
      </c>
      <c r="Y372" s="150">
        <f t="shared" si="20"/>
        <v>1.01</v>
      </c>
      <c r="Z372" s="152"/>
      <c r="AA372" s="148"/>
      <c r="AB372" s="148"/>
      <c r="AC372" s="153"/>
      <c r="AD372" s="153"/>
      <c r="AE372" s="153"/>
      <c r="AF372" s="153"/>
      <c r="AJ372" s="147"/>
      <c r="AK372" s="146" t="s">
        <v>51</v>
      </c>
      <c r="AL372" s="146" t="s">
        <v>51</v>
      </c>
      <c r="AM372" s="146" t="s">
        <v>51</v>
      </c>
      <c r="AN372" s="203"/>
    </row>
    <row r="373" spans="1:40" s="146" customFormat="1" x14ac:dyDescent="0.25">
      <c r="A373" s="196">
        <v>796</v>
      </c>
      <c r="B373" s="196" t="s">
        <v>2330</v>
      </c>
      <c r="C373" s="196" t="s">
        <v>2331</v>
      </c>
      <c r="D373" s="196" t="s">
        <v>2054</v>
      </c>
      <c r="E373" s="196"/>
      <c r="F373" s="196">
        <v>2014</v>
      </c>
      <c r="G373" s="196"/>
      <c r="H373" s="196" t="s">
        <v>1878</v>
      </c>
      <c r="I373" s="141" t="s">
        <v>1879</v>
      </c>
      <c r="J373" s="196" t="s">
        <v>2332</v>
      </c>
      <c r="K373" s="196" t="s">
        <v>1881</v>
      </c>
      <c r="L373" s="141" t="s">
        <v>2333</v>
      </c>
      <c r="M373" s="196">
        <v>416</v>
      </c>
      <c r="N373" s="196"/>
      <c r="O373" s="196" t="s">
        <v>2268</v>
      </c>
      <c r="P373" s="144">
        <v>411</v>
      </c>
      <c r="Q373" s="145">
        <f t="shared" ref="Q373:Q436" si="22">SUM(T373:X373)</f>
        <v>2.5093000000000001</v>
      </c>
      <c r="R373" s="203">
        <v>0.99</v>
      </c>
      <c r="S373" s="203"/>
      <c r="T373" s="151"/>
      <c r="U373" s="151">
        <v>1.2</v>
      </c>
      <c r="V373" s="151">
        <v>0.25</v>
      </c>
      <c r="W373" s="151">
        <f t="shared" ref="W373:W436" si="23">IF(R373&gt;T373,R373,T373)</f>
        <v>0.99</v>
      </c>
      <c r="X373" s="152">
        <f t="shared" si="21"/>
        <v>6.93E-2</v>
      </c>
      <c r="Y373" s="150">
        <f t="shared" si="20"/>
        <v>1.01</v>
      </c>
      <c r="Z373" s="152"/>
      <c r="AA373" s="148"/>
      <c r="AB373" s="148"/>
      <c r="AC373" s="153"/>
      <c r="AD373" s="153"/>
      <c r="AE373" s="153"/>
      <c r="AF373" s="153"/>
      <c r="AJ373" s="147"/>
      <c r="AK373" s="146" t="s">
        <v>51</v>
      </c>
      <c r="AL373" s="146" t="s">
        <v>51</v>
      </c>
      <c r="AM373" s="146" t="s">
        <v>51</v>
      </c>
      <c r="AN373" s="203"/>
    </row>
    <row r="374" spans="1:40" s="146" customFormat="1" x14ac:dyDescent="0.25">
      <c r="A374" s="196">
        <v>2522</v>
      </c>
      <c r="B374" s="196" t="s">
        <v>2191</v>
      </c>
      <c r="C374" s="196" t="s">
        <v>2334</v>
      </c>
      <c r="D374" s="196" t="s">
        <v>1912</v>
      </c>
      <c r="E374" s="196" t="s">
        <v>2335</v>
      </c>
      <c r="F374" s="196">
        <v>2012</v>
      </c>
      <c r="G374" s="196"/>
      <c r="H374" s="196" t="s">
        <v>1878</v>
      </c>
      <c r="I374" s="141" t="s">
        <v>1929</v>
      </c>
      <c r="J374" s="196" t="s">
        <v>2336</v>
      </c>
      <c r="K374" s="196" t="s">
        <v>1881</v>
      </c>
      <c r="L374" s="141" t="s">
        <v>2337</v>
      </c>
      <c r="M374" s="196">
        <v>432</v>
      </c>
      <c r="N374" s="196"/>
      <c r="O374" s="196" t="s">
        <v>2269</v>
      </c>
      <c r="P374" s="144">
        <v>378</v>
      </c>
      <c r="Q374" s="145">
        <f t="shared" si="22"/>
        <v>2.6162999999999998</v>
      </c>
      <c r="R374" s="203">
        <v>1.0900000000000001</v>
      </c>
      <c r="S374" s="203"/>
      <c r="T374" s="151"/>
      <c r="U374" s="151">
        <v>1.2</v>
      </c>
      <c r="V374" s="149">
        <v>0.25</v>
      </c>
      <c r="W374" s="151">
        <f t="shared" si="23"/>
        <v>1.0900000000000001</v>
      </c>
      <c r="X374" s="152">
        <f t="shared" si="21"/>
        <v>7.6300000000000007E-2</v>
      </c>
      <c r="Y374" s="150">
        <f t="shared" si="20"/>
        <v>1.01</v>
      </c>
      <c r="Z374" s="152"/>
      <c r="AA374" s="148"/>
      <c r="AB374" s="148"/>
      <c r="AC374" s="153"/>
      <c r="AD374" s="153"/>
      <c r="AE374" s="153"/>
      <c r="AF374" s="153"/>
      <c r="AJ374" s="147"/>
      <c r="AK374" s="146" t="s">
        <v>51</v>
      </c>
      <c r="AL374" s="146" t="s">
        <v>51</v>
      </c>
      <c r="AM374" s="146" t="s">
        <v>51</v>
      </c>
      <c r="AN374" s="203"/>
    </row>
    <row r="375" spans="1:40" s="146" customFormat="1" ht="105.6" x14ac:dyDescent="0.25">
      <c r="A375" s="196">
        <v>4</v>
      </c>
      <c r="B375" s="196" t="s">
        <v>2338</v>
      </c>
      <c r="C375" s="196" t="s">
        <v>2339</v>
      </c>
      <c r="D375" s="196" t="s">
        <v>2340</v>
      </c>
      <c r="E375" s="196" t="s">
        <v>1899</v>
      </c>
      <c r="F375" s="196">
        <v>1996</v>
      </c>
      <c r="G375" s="196"/>
      <c r="H375" s="196" t="s">
        <v>2295</v>
      </c>
      <c r="I375" s="141" t="s">
        <v>1879</v>
      </c>
      <c r="J375" s="142" t="s">
        <v>2341</v>
      </c>
      <c r="K375" s="196" t="s">
        <v>1881</v>
      </c>
      <c r="L375" s="141" t="s">
        <v>2342</v>
      </c>
      <c r="M375" s="196">
        <v>626</v>
      </c>
      <c r="N375" s="196"/>
      <c r="O375" s="196" t="s">
        <v>2270</v>
      </c>
      <c r="P375" s="144">
        <v>958</v>
      </c>
      <c r="Q375" s="145">
        <f t="shared" si="22"/>
        <v>8.3593000000000011</v>
      </c>
      <c r="R375" s="203">
        <v>5.99</v>
      </c>
      <c r="S375" s="203"/>
      <c r="T375" s="151"/>
      <c r="U375" s="151">
        <v>1.7</v>
      </c>
      <c r="V375" s="151">
        <v>0.25</v>
      </c>
      <c r="W375" s="151">
        <f t="shared" si="23"/>
        <v>5.99</v>
      </c>
      <c r="X375" s="152">
        <f t="shared" si="21"/>
        <v>0.41930000000000001</v>
      </c>
      <c r="Y375" s="150">
        <f t="shared" si="20"/>
        <v>1.01</v>
      </c>
      <c r="Z375" s="152"/>
      <c r="AA375" s="148"/>
      <c r="AB375" s="148"/>
      <c r="AC375" s="153"/>
      <c r="AD375" s="153"/>
      <c r="AE375" s="153"/>
      <c r="AF375" s="153"/>
      <c r="AJ375" s="147"/>
      <c r="AK375" s="146" t="s">
        <v>51</v>
      </c>
      <c r="AL375" s="146" t="s">
        <v>51</v>
      </c>
      <c r="AM375" s="146" t="s">
        <v>51</v>
      </c>
      <c r="AN375" s="203"/>
    </row>
    <row r="376" spans="1:40" s="146" customFormat="1" x14ac:dyDescent="0.25">
      <c r="A376" s="196">
        <v>1913</v>
      </c>
      <c r="B376" s="196" t="s">
        <v>2343</v>
      </c>
      <c r="C376" s="196" t="s">
        <v>2344</v>
      </c>
      <c r="D376" s="196" t="s">
        <v>2345</v>
      </c>
      <c r="E376" s="196"/>
      <c r="F376" s="196">
        <v>1999</v>
      </c>
      <c r="G376" s="196"/>
      <c r="H376" s="196" t="s">
        <v>2295</v>
      </c>
      <c r="I376" s="141" t="s">
        <v>1929</v>
      </c>
      <c r="J376" s="143" t="s">
        <v>2346</v>
      </c>
      <c r="K376" s="196" t="s">
        <v>1881</v>
      </c>
      <c r="L376" s="141" t="s">
        <v>2347</v>
      </c>
      <c r="M376" s="196">
        <v>416</v>
      </c>
      <c r="N376" s="196"/>
      <c r="O376" s="196" t="s">
        <v>2271</v>
      </c>
      <c r="P376" s="144">
        <v>681</v>
      </c>
      <c r="Q376" s="145">
        <f t="shared" si="22"/>
        <v>2.4742999999999999</v>
      </c>
      <c r="R376" s="203">
        <v>0.49</v>
      </c>
      <c r="S376" s="203"/>
      <c r="T376" s="151"/>
      <c r="U376" s="151">
        <v>1.7</v>
      </c>
      <c r="V376" s="149">
        <v>0.25</v>
      </c>
      <c r="W376" s="151">
        <f t="shared" si="23"/>
        <v>0.49</v>
      </c>
      <c r="X376" s="152">
        <f t="shared" si="21"/>
        <v>3.4299999999999997E-2</v>
      </c>
      <c r="Y376" s="150">
        <f t="shared" si="20"/>
        <v>1.01</v>
      </c>
      <c r="Z376" s="152"/>
      <c r="AA376" s="148"/>
      <c r="AB376" s="148"/>
      <c r="AC376" s="153"/>
      <c r="AD376" s="153"/>
      <c r="AE376" s="153"/>
      <c r="AF376" s="153"/>
      <c r="AJ376" s="147"/>
      <c r="AK376" s="146" t="s">
        <v>51</v>
      </c>
      <c r="AL376" s="146" t="s">
        <v>51</v>
      </c>
      <c r="AM376" s="146" t="s">
        <v>51</v>
      </c>
      <c r="AN376" s="203"/>
    </row>
    <row r="377" spans="1:40" s="146" customFormat="1" x14ac:dyDescent="0.25">
      <c r="A377" s="196">
        <v>614</v>
      </c>
      <c r="B377" s="196" t="s">
        <v>2348</v>
      </c>
      <c r="C377" s="196" t="s">
        <v>2349</v>
      </c>
      <c r="D377" s="196" t="s">
        <v>2300</v>
      </c>
      <c r="E377" s="196"/>
      <c r="F377" s="196">
        <v>1969</v>
      </c>
      <c r="G377" s="196"/>
      <c r="H377" s="196" t="s">
        <v>2008</v>
      </c>
      <c r="I377" s="141" t="s">
        <v>1879</v>
      </c>
      <c r="J377" s="196" t="s">
        <v>2350</v>
      </c>
      <c r="K377" s="196" t="s">
        <v>1881</v>
      </c>
      <c r="L377" s="141"/>
      <c r="M377" s="196">
        <v>192</v>
      </c>
      <c r="N377" s="196"/>
      <c r="O377" s="196" t="s">
        <v>2272</v>
      </c>
      <c r="P377" s="144">
        <v>140</v>
      </c>
      <c r="Q377" s="145">
        <f t="shared" si="22"/>
        <v>2.5093000000000001</v>
      </c>
      <c r="R377" s="203">
        <v>0.99</v>
      </c>
      <c r="S377" s="203"/>
      <c r="T377" s="151"/>
      <c r="U377" s="151">
        <v>1.2</v>
      </c>
      <c r="V377" s="151">
        <v>0.25</v>
      </c>
      <c r="W377" s="151">
        <f t="shared" si="23"/>
        <v>0.99</v>
      </c>
      <c r="X377" s="152">
        <f t="shared" si="21"/>
        <v>6.93E-2</v>
      </c>
      <c r="Y377" s="150">
        <f t="shared" si="20"/>
        <v>1.01</v>
      </c>
      <c r="Z377" s="152"/>
      <c r="AA377" s="148"/>
      <c r="AB377" s="148"/>
      <c r="AC377" s="153"/>
      <c r="AD377" s="153"/>
      <c r="AE377" s="153"/>
      <c r="AF377" s="153"/>
      <c r="AJ377" s="147"/>
      <c r="AK377" s="146" t="s">
        <v>51</v>
      </c>
      <c r="AL377" s="146" t="s">
        <v>51</v>
      </c>
      <c r="AM377" s="146" t="s">
        <v>51</v>
      </c>
      <c r="AN377" s="203"/>
    </row>
    <row r="378" spans="1:40" s="146" customFormat="1" x14ac:dyDescent="0.25">
      <c r="A378" s="196">
        <v>1327</v>
      </c>
      <c r="B378" s="196" t="s">
        <v>2351</v>
      </c>
      <c r="C378" s="196" t="s">
        <v>2352</v>
      </c>
      <c r="D378" s="196" t="s">
        <v>2353</v>
      </c>
      <c r="E378" s="196"/>
      <c r="F378" s="196">
        <v>1997</v>
      </c>
      <c r="G378" s="196"/>
      <c r="H378" s="196" t="s">
        <v>2295</v>
      </c>
      <c r="I378" s="141" t="s">
        <v>1879</v>
      </c>
      <c r="J378" s="196" t="s">
        <v>2354</v>
      </c>
      <c r="K378" s="196" t="s">
        <v>1881</v>
      </c>
      <c r="L378" s="141" t="s">
        <v>2355</v>
      </c>
      <c r="M378" s="196">
        <v>326</v>
      </c>
      <c r="N378" s="196"/>
      <c r="O378" s="196" t="s">
        <v>2273</v>
      </c>
      <c r="P378" s="144">
        <v>478</v>
      </c>
      <c r="Q378" s="145">
        <f t="shared" si="22"/>
        <v>3.3653000000000004</v>
      </c>
      <c r="R378" s="203">
        <v>1.79</v>
      </c>
      <c r="S378" s="203"/>
      <c r="T378" s="151"/>
      <c r="U378" s="151">
        <v>1.2</v>
      </c>
      <c r="V378" s="149">
        <v>0.25</v>
      </c>
      <c r="W378" s="151">
        <f t="shared" si="23"/>
        <v>1.79</v>
      </c>
      <c r="X378" s="152">
        <f t="shared" si="21"/>
        <v>0.12529999999999999</v>
      </c>
      <c r="Y378" s="150">
        <f t="shared" si="20"/>
        <v>1.01</v>
      </c>
      <c r="Z378" s="152"/>
      <c r="AA378" s="148"/>
      <c r="AB378" s="148"/>
      <c r="AC378" s="153"/>
      <c r="AD378" s="153"/>
      <c r="AE378" s="153"/>
      <c r="AF378" s="153"/>
      <c r="AJ378" s="147"/>
      <c r="AK378" s="146" t="s">
        <v>51</v>
      </c>
      <c r="AL378" s="146" t="s">
        <v>51</v>
      </c>
      <c r="AM378" s="146" t="s">
        <v>51</v>
      </c>
      <c r="AN378" s="203"/>
    </row>
    <row r="379" spans="1:40" s="146" customFormat="1" x14ac:dyDescent="0.25">
      <c r="A379" s="196">
        <v>852</v>
      </c>
      <c r="B379" s="196" t="s">
        <v>2361</v>
      </c>
      <c r="C379" s="196" t="s">
        <v>2362</v>
      </c>
      <c r="D379" s="196" t="s">
        <v>1912</v>
      </c>
      <c r="E379" s="196" t="s">
        <v>1913</v>
      </c>
      <c r="F379" s="196">
        <v>2001</v>
      </c>
      <c r="G379" s="196"/>
      <c r="H379" s="196" t="s">
        <v>1878</v>
      </c>
      <c r="I379" s="141" t="s">
        <v>1879</v>
      </c>
      <c r="J379" s="196" t="s">
        <v>2363</v>
      </c>
      <c r="K379" s="196" t="s">
        <v>1881</v>
      </c>
      <c r="L379" s="141" t="s">
        <v>2364</v>
      </c>
      <c r="M379" s="196">
        <v>224</v>
      </c>
      <c r="N379" s="196"/>
      <c r="O379" s="196" t="s">
        <v>2275</v>
      </c>
      <c r="P379" s="144">
        <v>213</v>
      </c>
      <c r="Q379" s="145">
        <f t="shared" si="22"/>
        <v>1.9742999999999999</v>
      </c>
      <c r="R379" s="203">
        <v>0.49</v>
      </c>
      <c r="S379" s="203"/>
      <c r="T379" s="151"/>
      <c r="U379" s="151">
        <v>1.2</v>
      </c>
      <c r="V379" s="149">
        <v>0.25</v>
      </c>
      <c r="W379" s="151">
        <f t="shared" si="23"/>
        <v>0.49</v>
      </c>
      <c r="X379" s="152">
        <f t="shared" si="21"/>
        <v>3.4299999999999997E-2</v>
      </c>
      <c r="Y379" s="150">
        <f t="shared" si="20"/>
        <v>1.01</v>
      </c>
      <c r="Z379" s="152"/>
      <c r="AA379" s="148"/>
      <c r="AB379" s="148"/>
      <c r="AC379" s="153"/>
      <c r="AD379" s="153"/>
      <c r="AE379" s="153"/>
      <c r="AF379" s="153"/>
      <c r="AJ379" s="147"/>
      <c r="AK379" s="146" t="s">
        <v>51</v>
      </c>
      <c r="AL379" s="146" t="s">
        <v>51</v>
      </c>
      <c r="AM379" s="146" t="s">
        <v>51</v>
      </c>
      <c r="AN379" s="203"/>
    </row>
    <row r="380" spans="1:40" s="146" customFormat="1" x14ac:dyDescent="0.25">
      <c r="A380" s="196">
        <v>2522</v>
      </c>
      <c r="B380" s="196" t="s">
        <v>2366</v>
      </c>
      <c r="C380" s="196" t="s">
        <v>2367</v>
      </c>
      <c r="D380" s="196" t="s">
        <v>2368</v>
      </c>
      <c r="E380" s="196"/>
      <c r="F380" s="196"/>
      <c r="G380" s="196"/>
      <c r="H380" s="196" t="s">
        <v>1878</v>
      </c>
      <c r="I380" s="141" t="s">
        <v>1879</v>
      </c>
      <c r="J380" s="196" t="s">
        <v>2369</v>
      </c>
      <c r="K380" s="196" t="s">
        <v>1881</v>
      </c>
      <c r="L380" s="141" t="s">
        <v>2365</v>
      </c>
      <c r="M380" s="196">
        <v>320</v>
      </c>
      <c r="N380" s="196"/>
      <c r="O380" s="196" t="s">
        <v>2276</v>
      </c>
      <c r="P380" s="144">
        <v>280</v>
      </c>
      <c r="Q380" s="145">
        <f t="shared" si="22"/>
        <v>2.1882999999999995</v>
      </c>
      <c r="R380" s="203">
        <v>0.69</v>
      </c>
      <c r="S380" s="203"/>
      <c r="T380" s="151"/>
      <c r="U380" s="151">
        <v>1.2</v>
      </c>
      <c r="V380" s="151">
        <v>0.25</v>
      </c>
      <c r="W380" s="151">
        <f t="shared" si="23"/>
        <v>0.69</v>
      </c>
      <c r="X380" s="152">
        <f t="shared" si="21"/>
        <v>4.8299999999999996E-2</v>
      </c>
      <c r="Y380" s="150">
        <f t="shared" si="20"/>
        <v>1.01</v>
      </c>
      <c r="Z380" s="152"/>
      <c r="AA380" s="148"/>
      <c r="AB380" s="148"/>
      <c r="AC380" s="153"/>
      <c r="AD380" s="153"/>
      <c r="AE380" s="153"/>
      <c r="AF380" s="153"/>
      <c r="AJ380" s="147"/>
      <c r="AK380" s="146" t="s">
        <v>51</v>
      </c>
      <c r="AL380" s="146" t="s">
        <v>51</v>
      </c>
      <c r="AM380" s="146" t="s">
        <v>51</v>
      </c>
      <c r="AN380" s="203"/>
    </row>
    <row r="381" spans="1:40" s="146" customFormat="1" x14ac:dyDescent="0.25">
      <c r="A381" s="196">
        <v>688</v>
      </c>
      <c r="B381" s="196" t="s">
        <v>2371</v>
      </c>
      <c r="C381" s="196" t="s">
        <v>2372</v>
      </c>
      <c r="D381" s="196" t="s">
        <v>1876</v>
      </c>
      <c r="E381" s="196" t="s">
        <v>1893</v>
      </c>
      <c r="F381" s="196">
        <v>1998</v>
      </c>
      <c r="G381" s="196"/>
      <c r="H381" s="196" t="s">
        <v>1878</v>
      </c>
      <c r="I381" s="141" t="s">
        <v>1879</v>
      </c>
      <c r="J381" s="196" t="s">
        <v>2363</v>
      </c>
      <c r="K381" s="196" t="s">
        <v>1881</v>
      </c>
      <c r="L381" s="141" t="s">
        <v>2370</v>
      </c>
      <c r="M381" s="196">
        <v>400</v>
      </c>
      <c r="N381" s="196"/>
      <c r="O381" s="196" t="s">
        <v>2277</v>
      </c>
      <c r="P381" s="144">
        <v>338</v>
      </c>
      <c r="Q381" s="145">
        <f t="shared" si="22"/>
        <v>1.8673</v>
      </c>
      <c r="R381" s="203">
        <v>0.39</v>
      </c>
      <c r="S381" s="203"/>
      <c r="T381" s="151"/>
      <c r="U381" s="151">
        <v>1.2</v>
      </c>
      <c r="V381" s="149">
        <v>0.25</v>
      </c>
      <c r="W381" s="151">
        <f t="shared" si="23"/>
        <v>0.39</v>
      </c>
      <c r="X381" s="152">
        <f t="shared" si="21"/>
        <v>2.7300000000000001E-2</v>
      </c>
      <c r="Y381" s="150">
        <f t="shared" si="20"/>
        <v>1.01</v>
      </c>
      <c r="Z381" s="152"/>
      <c r="AA381" s="148"/>
      <c r="AB381" s="148"/>
      <c r="AC381" s="153"/>
      <c r="AD381" s="153"/>
      <c r="AE381" s="153"/>
      <c r="AF381" s="153"/>
      <c r="AJ381" s="147"/>
      <c r="AK381" s="146" t="s">
        <v>51</v>
      </c>
      <c r="AL381" s="146" t="s">
        <v>51</v>
      </c>
      <c r="AM381" s="146" t="s">
        <v>51</v>
      </c>
      <c r="AN381" s="203"/>
    </row>
    <row r="382" spans="1:40" s="146" customFormat="1" ht="118.8" x14ac:dyDescent="0.25">
      <c r="A382" s="196">
        <v>1386</v>
      </c>
      <c r="B382" s="196" t="s">
        <v>2377</v>
      </c>
      <c r="C382" s="196" t="s">
        <v>2378</v>
      </c>
      <c r="D382" s="196" t="s">
        <v>2300</v>
      </c>
      <c r="E382" s="196" t="s">
        <v>1913</v>
      </c>
      <c r="F382" s="196">
        <v>2015</v>
      </c>
      <c r="G382" s="196"/>
      <c r="H382" s="196" t="s">
        <v>1878</v>
      </c>
      <c r="I382" s="141" t="s">
        <v>1929</v>
      </c>
      <c r="J382" s="142" t="s">
        <v>2379</v>
      </c>
      <c r="K382" s="196" t="s">
        <v>1881</v>
      </c>
      <c r="L382" s="141" t="s">
        <v>2380</v>
      </c>
      <c r="M382" s="196">
        <v>306</v>
      </c>
      <c r="N382" s="196"/>
      <c r="O382" s="196" t="s">
        <v>2279</v>
      </c>
      <c r="P382" s="144">
        <v>397</v>
      </c>
      <c r="Q382" s="145">
        <f t="shared" si="22"/>
        <v>4.0072999999999999</v>
      </c>
      <c r="R382" s="203">
        <v>2.39</v>
      </c>
      <c r="S382" s="203"/>
      <c r="T382" s="151"/>
      <c r="U382" s="151">
        <v>1.2</v>
      </c>
      <c r="V382" s="151">
        <v>0.25</v>
      </c>
      <c r="W382" s="151">
        <f t="shared" si="23"/>
        <v>2.39</v>
      </c>
      <c r="X382" s="152">
        <f t="shared" si="21"/>
        <v>0.1673</v>
      </c>
      <c r="Y382" s="150">
        <f t="shared" si="20"/>
        <v>1.01</v>
      </c>
      <c r="Z382" s="152"/>
      <c r="AA382" s="148"/>
      <c r="AB382" s="148"/>
      <c r="AC382" s="153"/>
      <c r="AD382" s="153"/>
      <c r="AE382" s="153"/>
      <c r="AF382" s="153"/>
      <c r="AJ382" s="147"/>
      <c r="AK382" s="146" t="s">
        <v>51</v>
      </c>
      <c r="AL382" s="146" t="s">
        <v>51</v>
      </c>
      <c r="AM382" s="146" t="s">
        <v>51</v>
      </c>
      <c r="AN382" s="203"/>
    </row>
    <row r="383" spans="1:40" s="146" customFormat="1" x14ac:dyDescent="0.25">
      <c r="A383" s="196"/>
      <c r="B383" s="196" t="s">
        <v>2381</v>
      </c>
      <c r="C383" s="196" t="s">
        <v>2382</v>
      </c>
      <c r="D383" s="196" t="s">
        <v>2309</v>
      </c>
      <c r="E383" s="196" t="s">
        <v>1913</v>
      </c>
      <c r="F383" s="196">
        <v>2004</v>
      </c>
      <c r="G383" s="196"/>
      <c r="H383" s="196" t="s">
        <v>1878</v>
      </c>
      <c r="I383" s="141" t="s">
        <v>1879</v>
      </c>
      <c r="J383" s="196"/>
      <c r="K383" s="196" t="s">
        <v>1881</v>
      </c>
      <c r="L383" s="141" t="s">
        <v>2383</v>
      </c>
      <c r="M383" s="196">
        <v>394</v>
      </c>
      <c r="N383" s="196"/>
      <c r="O383" s="196" t="s">
        <v>2280</v>
      </c>
      <c r="P383" s="144">
        <v>262</v>
      </c>
      <c r="Q383" s="145">
        <f t="shared" si="22"/>
        <v>2.5093000000000001</v>
      </c>
      <c r="R383" s="203">
        <v>0.99</v>
      </c>
      <c r="S383" s="203"/>
      <c r="T383" s="151"/>
      <c r="U383" s="151">
        <v>1.2</v>
      </c>
      <c r="V383" s="149">
        <v>0.25</v>
      </c>
      <c r="W383" s="151">
        <f t="shared" si="23"/>
        <v>0.99</v>
      </c>
      <c r="X383" s="152">
        <f t="shared" si="21"/>
        <v>6.93E-2</v>
      </c>
      <c r="Y383" s="150">
        <f t="shared" si="20"/>
        <v>1.01</v>
      </c>
      <c r="Z383" s="152"/>
      <c r="AA383" s="148"/>
      <c r="AB383" s="148"/>
      <c r="AC383" s="153"/>
      <c r="AD383" s="153"/>
      <c r="AE383" s="153"/>
      <c r="AF383" s="153"/>
      <c r="AJ383" s="147"/>
      <c r="AK383" s="146" t="s">
        <v>51</v>
      </c>
      <c r="AL383" s="146" t="s">
        <v>51</v>
      </c>
      <c r="AM383" s="146" t="s">
        <v>51</v>
      </c>
      <c r="AN383" s="203"/>
    </row>
    <row r="384" spans="1:40" s="146" customFormat="1" x14ac:dyDescent="0.25">
      <c r="A384" s="196">
        <v>701</v>
      </c>
      <c r="B384" s="196" t="s">
        <v>2384</v>
      </c>
      <c r="C384" s="196" t="s">
        <v>2385</v>
      </c>
      <c r="D384" s="196" t="s">
        <v>2386</v>
      </c>
      <c r="E384" s="196"/>
      <c r="F384" s="196"/>
      <c r="G384" s="196"/>
      <c r="H384" s="196" t="s">
        <v>2295</v>
      </c>
      <c r="I384" s="141" t="s">
        <v>1914</v>
      </c>
      <c r="J384" s="196" t="s">
        <v>2387</v>
      </c>
      <c r="K384" s="196" t="s">
        <v>1881</v>
      </c>
      <c r="L384" s="141"/>
      <c r="M384" s="196">
        <v>226</v>
      </c>
      <c r="N384" s="196"/>
      <c r="O384" s="196" t="s">
        <v>2281</v>
      </c>
      <c r="P384" s="144">
        <v>383</v>
      </c>
      <c r="Q384" s="145">
        <f t="shared" si="22"/>
        <v>1.7175</v>
      </c>
      <c r="R384" s="203">
        <v>0.25</v>
      </c>
      <c r="S384" s="203"/>
      <c r="T384" s="151"/>
      <c r="U384" s="151">
        <v>1.2</v>
      </c>
      <c r="V384" s="151">
        <v>0.25</v>
      </c>
      <c r="W384" s="151">
        <f t="shared" si="23"/>
        <v>0.25</v>
      </c>
      <c r="X384" s="152">
        <f t="shared" si="21"/>
        <v>1.7500000000000002E-2</v>
      </c>
      <c r="Y384" s="150">
        <f t="shared" si="20"/>
        <v>1.01</v>
      </c>
      <c r="Z384" s="152"/>
      <c r="AA384" s="148"/>
      <c r="AB384" s="148"/>
      <c r="AC384" s="153"/>
      <c r="AD384" s="153"/>
      <c r="AE384" s="153"/>
      <c r="AF384" s="153"/>
      <c r="AJ384" s="147"/>
      <c r="AK384" s="146" t="s">
        <v>51</v>
      </c>
      <c r="AL384" s="146" t="s">
        <v>51</v>
      </c>
      <c r="AM384" s="146" t="s">
        <v>51</v>
      </c>
      <c r="AN384" s="203"/>
    </row>
    <row r="385" spans="1:40" s="146" customFormat="1" ht="66" x14ac:dyDescent="0.25">
      <c r="A385" s="196">
        <v>632</v>
      </c>
      <c r="B385" s="196" t="s">
        <v>2388</v>
      </c>
      <c r="C385" s="196" t="s">
        <v>2389</v>
      </c>
      <c r="D385" s="196" t="s">
        <v>2054</v>
      </c>
      <c r="E385" s="196"/>
      <c r="F385" s="196">
        <v>2001</v>
      </c>
      <c r="G385" s="196"/>
      <c r="H385" s="196" t="s">
        <v>2295</v>
      </c>
      <c r="I385" s="141" t="s">
        <v>1879</v>
      </c>
      <c r="J385" s="142" t="s">
        <v>2390</v>
      </c>
      <c r="K385" s="196" t="s">
        <v>1881</v>
      </c>
      <c r="L385" s="141" t="s">
        <v>2391</v>
      </c>
      <c r="M385" s="196">
        <v>642</v>
      </c>
      <c r="N385" s="196"/>
      <c r="O385" s="196" t="s">
        <v>2282</v>
      </c>
      <c r="P385" s="144">
        <v>867</v>
      </c>
      <c r="Q385" s="145">
        <f t="shared" si="22"/>
        <v>3.1162999999999998</v>
      </c>
      <c r="R385" s="203">
        <v>1.0900000000000001</v>
      </c>
      <c r="S385" s="203"/>
      <c r="T385" s="151"/>
      <c r="U385" s="151">
        <v>1.7</v>
      </c>
      <c r="V385" s="149">
        <v>0.25</v>
      </c>
      <c r="W385" s="151">
        <f t="shared" si="23"/>
        <v>1.0900000000000001</v>
      </c>
      <c r="X385" s="152">
        <f t="shared" si="21"/>
        <v>7.6300000000000007E-2</v>
      </c>
      <c r="Y385" s="150">
        <f t="shared" si="20"/>
        <v>1.01</v>
      </c>
      <c r="Z385" s="152"/>
      <c r="AA385" s="148"/>
      <c r="AB385" s="148"/>
      <c r="AC385" s="153"/>
      <c r="AD385" s="153"/>
      <c r="AE385" s="153"/>
      <c r="AF385" s="153"/>
      <c r="AJ385" s="147"/>
      <c r="AK385" s="146" t="s">
        <v>51</v>
      </c>
      <c r="AL385" s="146" t="s">
        <v>51</v>
      </c>
      <c r="AM385" s="146" t="s">
        <v>51</v>
      </c>
      <c r="AN385" s="203"/>
    </row>
    <row r="386" spans="1:40" x14ac:dyDescent="0.25">
      <c r="Y386" s="150">
        <f t="shared" si="20"/>
        <v>1.01</v>
      </c>
    </row>
    <row r="387" spans="1:40" s="146" customFormat="1" x14ac:dyDescent="0.25">
      <c r="A387" s="196">
        <v>1386</v>
      </c>
      <c r="B387" s="196" t="s">
        <v>2397</v>
      </c>
      <c r="C387" s="196" t="s">
        <v>2398</v>
      </c>
      <c r="D387" s="196" t="s">
        <v>2309</v>
      </c>
      <c r="E387" s="196"/>
      <c r="F387" s="196">
        <v>1996</v>
      </c>
      <c r="G387" s="196"/>
      <c r="H387" s="196" t="s">
        <v>1878</v>
      </c>
      <c r="I387" s="141" t="s">
        <v>1879</v>
      </c>
      <c r="J387" s="196"/>
      <c r="K387" s="196" t="s">
        <v>1881</v>
      </c>
      <c r="L387" s="141" t="s">
        <v>2399</v>
      </c>
      <c r="M387" s="196">
        <v>416</v>
      </c>
      <c r="N387" s="196"/>
      <c r="O387" s="196" t="s">
        <v>2284</v>
      </c>
      <c r="P387" s="144">
        <v>279</v>
      </c>
      <c r="Q387" s="145">
        <f t="shared" si="22"/>
        <v>1.9742999999999999</v>
      </c>
      <c r="R387" s="203">
        <v>0.49</v>
      </c>
      <c r="S387" s="203"/>
      <c r="T387" s="151"/>
      <c r="U387" s="151">
        <v>1.2</v>
      </c>
      <c r="V387" s="149">
        <v>0.25</v>
      </c>
      <c r="W387" s="151">
        <f t="shared" si="23"/>
        <v>0.49</v>
      </c>
      <c r="X387" s="152">
        <f t="shared" si="21"/>
        <v>3.4299999999999997E-2</v>
      </c>
      <c r="Y387" s="150">
        <f t="shared" si="20"/>
        <v>1.01</v>
      </c>
      <c r="Z387" s="152"/>
      <c r="AA387" s="148"/>
      <c r="AB387" s="148"/>
      <c r="AC387" s="153"/>
      <c r="AD387" s="153"/>
      <c r="AE387" s="153"/>
      <c r="AF387" s="153"/>
      <c r="AJ387" s="147"/>
      <c r="AK387" s="146" t="s">
        <v>51</v>
      </c>
      <c r="AL387" s="146" t="s">
        <v>51</v>
      </c>
      <c r="AM387" s="146" t="s">
        <v>51</v>
      </c>
      <c r="AN387" s="203"/>
    </row>
    <row r="388" spans="1:40" s="146" customFormat="1" ht="145.19999999999999" x14ac:dyDescent="0.25">
      <c r="A388" s="196">
        <v>1809</v>
      </c>
      <c r="B388" s="196" t="s">
        <v>2400</v>
      </c>
      <c r="C388" s="196" t="s">
        <v>2401</v>
      </c>
      <c r="D388" s="196" t="s">
        <v>2402</v>
      </c>
      <c r="E388" s="196"/>
      <c r="F388" s="196">
        <v>1999</v>
      </c>
      <c r="G388" s="196"/>
      <c r="H388" s="196" t="s">
        <v>2295</v>
      </c>
      <c r="I388" s="141" t="s">
        <v>1879</v>
      </c>
      <c r="J388" s="142" t="s">
        <v>2404</v>
      </c>
      <c r="K388" s="196" t="s">
        <v>1881</v>
      </c>
      <c r="L388" s="141" t="s">
        <v>2403</v>
      </c>
      <c r="M388" s="196">
        <v>162</v>
      </c>
      <c r="N388" s="196"/>
      <c r="O388" s="196" t="s">
        <v>2285</v>
      </c>
      <c r="P388" s="144">
        <v>236</v>
      </c>
      <c r="Q388" s="145">
        <f t="shared" si="22"/>
        <v>1.7175</v>
      </c>
      <c r="R388" s="203">
        <v>0.25</v>
      </c>
      <c r="S388" s="203"/>
      <c r="T388" s="151"/>
      <c r="U388" s="151">
        <v>1.2</v>
      </c>
      <c r="V388" s="151">
        <v>0.25</v>
      </c>
      <c r="W388" s="151">
        <f t="shared" si="23"/>
        <v>0.25</v>
      </c>
      <c r="X388" s="152">
        <f t="shared" si="21"/>
        <v>1.7500000000000002E-2</v>
      </c>
      <c r="Y388" s="150">
        <f t="shared" si="20"/>
        <v>1.01</v>
      </c>
      <c r="Z388" s="152"/>
      <c r="AA388" s="148"/>
      <c r="AB388" s="148"/>
      <c r="AC388" s="153"/>
      <c r="AD388" s="153"/>
      <c r="AE388" s="153"/>
      <c r="AF388" s="153"/>
      <c r="AJ388" s="147"/>
      <c r="AK388" s="146" t="s">
        <v>51</v>
      </c>
      <c r="AL388" s="146" t="s">
        <v>51</v>
      </c>
      <c r="AM388" s="146" t="s">
        <v>51</v>
      </c>
      <c r="AN388" s="203"/>
    </row>
    <row r="389" spans="1:40" s="146" customFormat="1" ht="92.4" x14ac:dyDescent="0.25">
      <c r="A389" s="196">
        <v>2571</v>
      </c>
      <c r="B389" s="196" t="s">
        <v>2405</v>
      </c>
      <c r="C389" s="196" t="s">
        <v>2406</v>
      </c>
      <c r="D389" s="196" t="s">
        <v>2407</v>
      </c>
      <c r="E389" s="196" t="s">
        <v>2094</v>
      </c>
      <c r="F389" s="196">
        <v>2019</v>
      </c>
      <c r="G389" s="196"/>
      <c r="H389" s="196" t="s">
        <v>1878</v>
      </c>
      <c r="I389" s="141" t="s">
        <v>1879</v>
      </c>
      <c r="J389" s="142" t="s">
        <v>2408</v>
      </c>
      <c r="K389" s="196" t="s">
        <v>1881</v>
      </c>
      <c r="L389" s="141" t="s">
        <v>2409</v>
      </c>
      <c r="M389" s="196">
        <v>304</v>
      </c>
      <c r="N389" s="196"/>
      <c r="O389" s="196" t="s">
        <v>2286</v>
      </c>
      <c r="P389" s="144">
        <v>302</v>
      </c>
      <c r="Q389" s="145">
        <f t="shared" si="22"/>
        <v>3.0442999999999998</v>
      </c>
      <c r="R389" s="203">
        <v>1.49</v>
      </c>
      <c r="S389" s="203"/>
      <c r="T389" s="151"/>
      <c r="U389" s="151">
        <v>1.2</v>
      </c>
      <c r="V389" s="149">
        <v>0.25</v>
      </c>
      <c r="W389" s="151">
        <f t="shared" si="23"/>
        <v>1.49</v>
      </c>
      <c r="X389" s="152">
        <f t="shared" si="21"/>
        <v>0.1043</v>
      </c>
      <c r="Y389" s="150">
        <f t="shared" si="20"/>
        <v>1.01</v>
      </c>
      <c r="Z389" s="152"/>
      <c r="AA389" s="148"/>
      <c r="AB389" s="148"/>
      <c r="AC389" s="153"/>
      <c r="AD389" s="153"/>
      <c r="AE389" s="153"/>
      <c r="AF389" s="153"/>
      <c r="AJ389" s="147"/>
      <c r="AK389" s="146" t="s">
        <v>51</v>
      </c>
      <c r="AL389" s="146" t="s">
        <v>51</v>
      </c>
      <c r="AM389" s="146" t="s">
        <v>51</v>
      </c>
      <c r="AN389" s="203"/>
    </row>
    <row r="390" spans="1:40" s="146" customFormat="1" x14ac:dyDescent="0.25">
      <c r="A390" s="196">
        <v>2522</v>
      </c>
      <c r="B390" s="196" t="s">
        <v>2410</v>
      </c>
      <c r="C390" s="196" t="s">
        <v>2411</v>
      </c>
      <c r="D390" s="196" t="s">
        <v>2232</v>
      </c>
      <c r="E390" s="196" t="s">
        <v>2412</v>
      </c>
      <c r="F390" s="196">
        <v>2007</v>
      </c>
      <c r="G390" s="196"/>
      <c r="H390" s="196" t="s">
        <v>1878</v>
      </c>
      <c r="I390" s="141" t="s">
        <v>1929</v>
      </c>
      <c r="J390" s="196"/>
      <c r="K390" s="196" t="s">
        <v>1881</v>
      </c>
      <c r="L390" s="141" t="s">
        <v>2413</v>
      </c>
      <c r="M390" s="196">
        <v>352</v>
      </c>
      <c r="N390" s="196"/>
      <c r="O390" s="196" t="s">
        <v>2287</v>
      </c>
      <c r="P390" s="144">
        <v>332</v>
      </c>
      <c r="Q390" s="145">
        <f t="shared" si="22"/>
        <v>2.5093000000000001</v>
      </c>
      <c r="R390" s="203">
        <v>0.99</v>
      </c>
      <c r="S390" s="203"/>
      <c r="T390" s="151"/>
      <c r="U390" s="151">
        <v>1.2</v>
      </c>
      <c r="V390" s="151">
        <v>0.25</v>
      </c>
      <c r="W390" s="151">
        <f t="shared" si="23"/>
        <v>0.99</v>
      </c>
      <c r="X390" s="152">
        <f t="shared" si="21"/>
        <v>6.93E-2</v>
      </c>
      <c r="Y390" s="150">
        <f t="shared" si="20"/>
        <v>1.01</v>
      </c>
      <c r="Z390" s="152"/>
      <c r="AA390" s="148"/>
      <c r="AB390" s="148"/>
      <c r="AC390" s="153"/>
      <c r="AD390" s="153"/>
      <c r="AE390" s="153"/>
      <c r="AF390" s="153"/>
      <c r="AJ390" s="147"/>
      <c r="AK390" s="146" t="s">
        <v>51</v>
      </c>
      <c r="AL390" s="146" t="s">
        <v>51</v>
      </c>
      <c r="AM390" s="146" t="s">
        <v>51</v>
      </c>
      <c r="AN390" s="203"/>
    </row>
    <row r="391" spans="1:40" s="146" customFormat="1" x14ac:dyDescent="0.25">
      <c r="A391" s="196">
        <v>690</v>
      </c>
      <c r="B391" s="196" t="s">
        <v>2414</v>
      </c>
      <c r="C391" s="196" t="s">
        <v>2415</v>
      </c>
      <c r="D391" s="196" t="s">
        <v>2156</v>
      </c>
      <c r="E391" s="196" t="s">
        <v>1893</v>
      </c>
      <c r="F391" s="196">
        <v>2001</v>
      </c>
      <c r="G391" s="196"/>
      <c r="H391" s="196" t="s">
        <v>1878</v>
      </c>
      <c r="I391" s="141" t="s">
        <v>1879</v>
      </c>
      <c r="J391" s="196"/>
      <c r="K391" s="196" t="s">
        <v>1881</v>
      </c>
      <c r="L391" s="141" t="s">
        <v>2416</v>
      </c>
      <c r="M391" s="196">
        <v>208</v>
      </c>
      <c r="N391" s="196"/>
      <c r="O391" s="196" t="s">
        <v>2288</v>
      </c>
      <c r="P391" s="144">
        <v>205</v>
      </c>
      <c r="Q391" s="145">
        <f t="shared" si="22"/>
        <v>2.2953000000000001</v>
      </c>
      <c r="R391" s="203">
        <v>0.79</v>
      </c>
      <c r="S391" s="203"/>
      <c r="T391" s="151"/>
      <c r="U391" s="151">
        <v>1.2</v>
      </c>
      <c r="V391" s="149">
        <v>0.25</v>
      </c>
      <c r="W391" s="151">
        <f t="shared" si="23"/>
        <v>0.79</v>
      </c>
      <c r="X391" s="152">
        <f t="shared" si="21"/>
        <v>5.5300000000000002E-2</v>
      </c>
      <c r="Y391" s="150">
        <f t="shared" si="20"/>
        <v>1.01</v>
      </c>
      <c r="Z391" s="152"/>
      <c r="AA391" s="148"/>
      <c r="AB391" s="148"/>
      <c r="AC391" s="153"/>
      <c r="AD391" s="153"/>
      <c r="AE391" s="153"/>
      <c r="AF391" s="153"/>
      <c r="AJ391" s="147"/>
      <c r="AK391" s="146" t="s">
        <v>51</v>
      </c>
      <c r="AL391" s="146" t="s">
        <v>51</v>
      </c>
      <c r="AM391" s="146" t="s">
        <v>51</v>
      </c>
      <c r="AN391" s="203"/>
    </row>
    <row r="392" spans="1:40" s="146" customFormat="1" x14ac:dyDescent="0.25">
      <c r="A392" s="196">
        <v>610</v>
      </c>
      <c r="B392" s="196" t="s">
        <v>2417</v>
      </c>
      <c r="C392" s="196" t="s">
        <v>2418</v>
      </c>
      <c r="D392" s="196" t="s">
        <v>2419</v>
      </c>
      <c r="E392" s="196" t="s">
        <v>2055</v>
      </c>
      <c r="F392" s="196">
        <v>1989</v>
      </c>
      <c r="G392" s="196"/>
      <c r="H392" s="196" t="s">
        <v>1878</v>
      </c>
      <c r="I392" s="141" t="s">
        <v>1879</v>
      </c>
      <c r="J392" s="196" t="s">
        <v>2420</v>
      </c>
      <c r="K392" s="196" t="s">
        <v>1881</v>
      </c>
      <c r="L392" s="141" t="s">
        <v>2421</v>
      </c>
      <c r="M392" s="196">
        <v>200</v>
      </c>
      <c r="N392" s="196"/>
      <c r="O392" s="196" t="s">
        <v>2289</v>
      </c>
      <c r="P392" s="144">
        <v>138</v>
      </c>
      <c r="Q392" s="145">
        <f t="shared" si="22"/>
        <v>2.8303000000000003</v>
      </c>
      <c r="R392" s="203">
        <v>1.29</v>
      </c>
      <c r="S392" s="203"/>
      <c r="T392" s="151"/>
      <c r="U392" s="151">
        <v>1.2</v>
      </c>
      <c r="V392" s="151">
        <v>0.25</v>
      </c>
      <c r="W392" s="151">
        <f t="shared" si="23"/>
        <v>1.29</v>
      </c>
      <c r="X392" s="152">
        <f t="shared" si="21"/>
        <v>9.0300000000000005E-2</v>
      </c>
      <c r="Y392" s="150">
        <f t="shared" si="20"/>
        <v>1.01</v>
      </c>
      <c r="Z392" s="152"/>
      <c r="AA392" s="148"/>
      <c r="AB392" s="148"/>
      <c r="AC392" s="153"/>
      <c r="AD392" s="153"/>
      <c r="AE392" s="153"/>
      <c r="AF392" s="153"/>
      <c r="AJ392" s="147"/>
      <c r="AK392" s="146" t="s">
        <v>51</v>
      </c>
      <c r="AL392" s="146" t="s">
        <v>51</v>
      </c>
      <c r="AM392" s="146" t="s">
        <v>51</v>
      </c>
      <c r="AN392" s="203"/>
    </row>
    <row r="393" spans="1:40" s="146" customFormat="1" x14ac:dyDescent="0.25">
      <c r="A393" s="196">
        <v>1386</v>
      </c>
      <c r="B393" s="196" t="s">
        <v>2422</v>
      </c>
      <c r="C393" s="196" t="s">
        <v>2423</v>
      </c>
      <c r="D393" s="196" t="s">
        <v>2424</v>
      </c>
      <c r="E393" s="196" t="s">
        <v>2175</v>
      </c>
      <c r="F393" s="196">
        <v>2010</v>
      </c>
      <c r="G393" s="196"/>
      <c r="H393" s="196" t="s">
        <v>1878</v>
      </c>
      <c r="I393" s="141" t="s">
        <v>1879</v>
      </c>
      <c r="J393" s="196" t="s">
        <v>2425</v>
      </c>
      <c r="K393" s="196" t="s">
        <v>1881</v>
      </c>
      <c r="L393" s="141" t="s">
        <v>2426</v>
      </c>
      <c r="M393" s="196">
        <v>640</v>
      </c>
      <c r="N393" s="196"/>
      <c r="O393" s="196" t="s">
        <v>2290</v>
      </c>
      <c r="P393" s="144">
        <v>519</v>
      </c>
      <c r="Q393" s="145">
        <f t="shared" si="22"/>
        <v>2.2175000000000002</v>
      </c>
      <c r="R393" s="203">
        <v>0.25</v>
      </c>
      <c r="S393" s="203"/>
      <c r="T393" s="151"/>
      <c r="U393" s="151">
        <v>1.7</v>
      </c>
      <c r="V393" s="149">
        <v>0.25</v>
      </c>
      <c r="W393" s="151">
        <f t="shared" si="23"/>
        <v>0.25</v>
      </c>
      <c r="X393" s="152">
        <f t="shared" si="21"/>
        <v>1.7500000000000002E-2</v>
      </c>
      <c r="Y393" s="150">
        <f t="shared" si="20"/>
        <v>1.01</v>
      </c>
      <c r="Z393" s="152"/>
      <c r="AA393" s="148"/>
      <c r="AB393" s="148"/>
      <c r="AC393" s="153"/>
      <c r="AD393" s="153"/>
      <c r="AE393" s="153"/>
      <c r="AF393" s="153"/>
      <c r="AJ393" s="147"/>
    </row>
    <row r="394" spans="1:40" s="146" customFormat="1" x14ac:dyDescent="0.25">
      <c r="A394" s="196">
        <v>1386</v>
      </c>
      <c r="B394" s="196" t="s">
        <v>2422</v>
      </c>
      <c r="C394" s="196" t="s">
        <v>2449</v>
      </c>
      <c r="D394" s="196" t="s">
        <v>2424</v>
      </c>
      <c r="E394" s="196"/>
      <c r="F394" s="196">
        <v>2012</v>
      </c>
      <c r="G394" s="196"/>
      <c r="H394" s="196" t="s">
        <v>1878</v>
      </c>
      <c r="I394" s="141" t="s">
        <v>1879</v>
      </c>
      <c r="J394" s="196" t="s">
        <v>2363</v>
      </c>
      <c r="K394" s="196" t="s">
        <v>1881</v>
      </c>
      <c r="L394" s="141" t="s">
        <v>2450</v>
      </c>
      <c r="M394" s="196">
        <v>736</v>
      </c>
      <c r="N394" s="196"/>
      <c r="O394" s="196" t="s">
        <v>2427</v>
      </c>
      <c r="P394" s="144">
        <v>518</v>
      </c>
      <c r="Q394" s="145">
        <f t="shared" si="22"/>
        <v>2.2175000000000002</v>
      </c>
      <c r="R394" s="203">
        <v>0.25</v>
      </c>
      <c r="S394" s="203"/>
      <c r="T394" s="151"/>
      <c r="U394" s="151">
        <v>1.7</v>
      </c>
      <c r="V394" s="151">
        <v>0.25</v>
      </c>
      <c r="W394" s="151">
        <f t="shared" si="23"/>
        <v>0.25</v>
      </c>
      <c r="X394" s="152">
        <f t="shared" si="21"/>
        <v>1.7500000000000002E-2</v>
      </c>
      <c r="Y394" s="150">
        <f t="shared" si="20"/>
        <v>1.01</v>
      </c>
      <c r="Z394" s="152"/>
      <c r="AA394" s="148"/>
      <c r="AB394" s="148"/>
      <c r="AC394" s="153"/>
      <c r="AD394" s="153"/>
      <c r="AE394" s="153"/>
      <c r="AF394" s="153"/>
      <c r="AJ394" s="147"/>
    </row>
    <row r="395" spans="1:40" s="146" customFormat="1" x14ac:dyDescent="0.25">
      <c r="A395" s="196">
        <v>690</v>
      </c>
      <c r="B395" s="196" t="s">
        <v>2451</v>
      </c>
      <c r="C395" s="196" t="s">
        <v>2452</v>
      </c>
      <c r="D395" s="196" t="s">
        <v>2453</v>
      </c>
      <c r="E395" s="196" t="s">
        <v>1899</v>
      </c>
      <c r="F395" s="196">
        <v>2014</v>
      </c>
      <c r="G395" s="196"/>
      <c r="H395" s="196" t="s">
        <v>1878</v>
      </c>
      <c r="I395" s="141" t="s">
        <v>1879</v>
      </c>
      <c r="J395" s="143" t="s">
        <v>2455</v>
      </c>
      <c r="K395" s="196" t="s">
        <v>1881</v>
      </c>
      <c r="L395" s="141" t="s">
        <v>2454</v>
      </c>
      <c r="M395" s="196">
        <v>416</v>
      </c>
      <c r="N395" s="196"/>
      <c r="O395" s="196" t="s">
        <v>2428</v>
      </c>
      <c r="P395" s="144">
        <v>446</v>
      </c>
      <c r="Q395" s="145">
        <f t="shared" si="22"/>
        <v>2.4022999999999999</v>
      </c>
      <c r="R395" s="203">
        <v>0.89</v>
      </c>
      <c r="S395" s="203"/>
      <c r="T395" s="151"/>
      <c r="U395" s="151">
        <v>1.2</v>
      </c>
      <c r="V395" s="149">
        <v>0.25</v>
      </c>
      <c r="W395" s="151">
        <f t="shared" si="23"/>
        <v>0.89</v>
      </c>
      <c r="X395" s="152">
        <f t="shared" si="21"/>
        <v>6.2300000000000001E-2</v>
      </c>
      <c r="Y395" s="150">
        <f t="shared" si="20"/>
        <v>1.01</v>
      </c>
      <c r="Z395" s="152"/>
      <c r="AA395" s="148"/>
      <c r="AB395" s="148"/>
      <c r="AC395" s="153"/>
      <c r="AD395" s="153"/>
      <c r="AE395" s="153"/>
      <c r="AF395" s="153"/>
      <c r="AJ395" s="147"/>
    </row>
    <row r="396" spans="1:40" x14ac:dyDescent="0.25">
      <c r="Y396" s="150">
        <f t="shared" si="20"/>
        <v>1.01</v>
      </c>
      <c r="AC396" s="154"/>
      <c r="AD396" s="154"/>
      <c r="AE396" s="154"/>
      <c r="AF396" s="154"/>
    </row>
    <row r="397" spans="1:40" s="146" customFormat="1" x14ac:dyDescent="0.25">
      <c r="A397" s="196">
        <v>1365</v>
      </c>
      <c r="B397" s="196" t="s">
        <v>2460</v>
      </c>
      <c r="C397" s="196" t="s">
        <v>2461</v>
      </c>
      <c r="D397" s="196" t="s">
        <v>2402</v>
      </c>
      <c r="E397" s="196"/>
      <c r="F397" s="196"/>
      <c r="G397" s="196"/>
      <c r="H397" s="196" t="s">
        <v>1878</v>
      </c>
      <c r="I397" s="141" t="s">
        <v>1879</v>
      </c>
      <c r="J397" s="196" t="s">
        <v>2463</v>
      </c>
      <c r="K397" s="196" t="s">
        <v>1881</v>
      </c>
      <c r="L397" s="141" t="s">
        <v>2462</v>
      </c>
      <c r="M397" s="196">
        <v>256</v>
      </c>
      <c r="N397" s="196"/>
      <c r="O397" s="196" t="s">
        <v>2430</v>
      </c>
      <c r="P397" s="144">
        <v>284</v>
      </c>
      <c r="Q397" s="145">
        <f t="shared" si="22"/>
        <v>1.7175</v>
      </c>
      <c r="R397" s="203">
        <v>0.25</v>
      </c>
      <c r="S397" s="203"/>
      <c r="T397" s="151"/>
      <c r="U397" s="151">
        <v>1.2</v>
      </c>
      <c r="V397" s="149">
        <v>0.25</v>
      </c>
      <c r="W397" s="151">
        <f t="shared" si="23"/>
        <v>0.25</v>
      </c>
      <c r="X397" s="152">
        <f t="shared" si="21"/>
        <v>1.7500000000000002E-2</v>
      </c>
      <c r="Y397" s="150">
        <f t="shared" si="20"/>
        <v>1.01</v>
      </c>
      <c r="Z397" s="152"/>
      <c r="AA397" s="148"/>
      <c r="AB397" s="148"/>
      <c r="AC397" s="153"/>
      <c r="AD397" s="153"/>
      <c r="AE397" s="153"/>
      <c r="AF397" s="153"/>
      <c r="AJ397" s="147"/>
    </row>
    <row r="398" spans="1:40" s="146" customFormat="1" x14ac:dyDescent="0.25">
      <c r="A398" s="196">
        <v>796</v>
      </c>
      <c r="B398" s="196" t="s">
        <v>2464</v>
      </c>
      <c r="C398" s="196" t="s">
        <v>2465</v>
      </c>
      <c r="D398" s="196" t="s">
        <v>1876</v>
      </c>
      <c r="E398" s="196" t="s">
        <v>1877</v>
      </c>
      <c r="F398" s="196">
        <v>2009</v>
      </c>
      <c r="G398" s="196"/>
      <c r="H398" s="196" t="s">
        <v>1878</v>
      </c>
      <c r="I398" s="141" t="s">
        <v>1879</v>
      </c>
      <c r="J398" s="196"/>
      <c r="K398" s="196" t="s">
        <v>1881</v>
      </c>
      <c r="L398" s="141" t="s">
        <v>2466</v>
      </c>
      <c r="M398" s="196">
        <v>256</v>
      </c>
      <c r="N398" s="196"/>
      <c r="O398" s="196" t="s">
        <v>2431</v>
      </c>
      <c r="P398" s="144">
        <v>278</v>
      </c>
      <c r="Q398" s="145">
        <f t="shared" si="22"/>
        <v>1.9742999999999999</v>
      </c>
      <c r="R398" s="203">
        <v>0.49</v>
      </c>
      <c r="S398" s="203"/>
      <c r="T398" s="151"/>
      <c r="U398" s="151">
        <v>1.2</v>
      </c>
      <c r="V398" s="151">
        <v>0.25</v>
      </c>
      <c r="W398" s="151">
        <f t="shared" si="23"/>
        <v>0.49</v>
      </c>
      <c r="X398" s="152">
        <f t="shared" si="21"/>
        <v>3.4299999999999997E-2</v>
      </c>
      <c r="Y398" s="150">
        <f t="shared" si="20"/>
        <v>1.01</v>
      </c>
      <c r="Z398" s="152"/>
      <c r="AA398" s="148"/>
      <c r="AB398" s="148"/>
      <c r="AC398" s="153"/>
      <c r="AD398" s="153"/>
      <c r="AE398" s="153"/>
      <c r="AF398" s="153"/>
      <c r="AJ398" s="147"/>
    </row>
    <row r="399" spans="1:40" s="146" customFormat="1" x14ac:dyDescent="0.25">
      <c r="A399" s="196">
        <v>1720</v>
      </c>
      <c r="B399" s="196" t="s">
        <v>2467</v>
      </c>
      <c r="C399" s="196" t="s">
        <v>2468</v>
      </c>
      <c r="D399" s="196" t="s">
        <v>2054</v>
      </c>
      <c r="E399" s="196"/>
      <c r="F399" s="196">
        <v>2008</v>
      </c>
      <c r="G399" s="196"/>
      <c r="H399" s="196" t="s">
        <v>1878</v>
      </c>
      <c r="I399" s="141" t="s">
        <v>1879</v>
      </c>
      <c r="J399" s="196"/>
      <c r="K399" s="196" t="s">
        <v>1881</v>
      </c>
      <c r="L399" s="141" t="s">
        <v>2469</v>
      </c>
      <c r="M399" s="196">
        <v>416</v>
      </c>
      <c r="N399" s="196"/>
      <c r="O399" s="196" t="s">
        <v>2432</v>
      </c>
      <c r="P399" s="144">
        <v>409</v>
      </c>
      <c r="Q399" s="145">
        <f t="shared" si="22"/>
        <v>1.9742999999999999</v>
      </c>
      <c r="R399" s="203">
        <v>0.49</v>
      </c>
      <c r="S399" s="203"/>
      <c r="T399" s="151"/>
      <c r="U399" s="151">
        <v>1.2</v>
      </c>
      <c r="V399" s="149">
        <v>0.25</v>
      </c>
      <c r="W399" s="151">
        <f t="shared" si="23"/>
        <v>0.49</v>
      </c>
      <c r="X399" s="152">
        <f t="shared" si="21"/>
        <v>3.4299999999999997E-2</v>
      </c>
      <c r="Y399" s="150">
        <f t="shared" si="20"/>
        <v>1.01</v>
      </c>
      <c r="Z399" s="152"/>
      <c r="AA399" s="148"/>
      <c r="AB399" s="148"/>
      <c r="AC399" s="153"/>
      <c r="AD399" s="153"/>
      <c r="AE399" s="153"/>
      <c r="AF399" s="153"/>
      <c r="AJ399" s="147"/>
    </row>
    <row r="400" spans="1:40" s="146" customFormat="1" x14ac:dyDescent="0.25">
      <c r="A400" s="196">
        <v>688</v>
      </c>
      <c r="B400" s="196" t="s">
        <v>2470</v>
      </c>
      <c r="C400" s="196" t="s">
        <v>2471</v>
      </c>
      <c r="D400" s="196" t="s">
        <v>2472</v>
      </c>
      <c r="E400" s="196"/>
      <c r="F400" s="196"/>
      <c r="G400" s="196"/>
      <c r="H400" s="196" t="s">
        <v>2295</v>
      </c>
      <c r="I400" s="141" t="s">
        <v>1929</v>
      </c>
      <c r="J400" s="196" t="s">
        <v>2473</v>
      </c>
      <c r="K400" s="196" t="s">
        <v>1881</v>
      </c>
      <c r="L400" s="141" t="s">
        <v>2474</v>
      </c>
      <c r="M400" s="196"/>
      <c r="N400" s="196"/>
      <c r="O400" s="196" t="s">
        <v>2433</v>
      </c>
      <c r="P400" s="144">
        <v>465</v>
      </c>
      <c r="Q400" s="145">
        <f t="shared" si="22"/>
        <v>2.7232999999999996</v>
      </c>
      <c r="R400" s="203">
        <v>1.19</v>
      </c>
      <c r="S400" s="203"/>
      <c r="T400" s="151"/>
      <c r="U400" s="151">
        <v>1.2</v>
      </c>
      <c r="V400" s="151">
        <v>0.25</v>
      </c>
      <c r="W400" s="151">
        <f t="shared" si="23"/>
        <v>1.19</v>
      </c>
      <c r="X400" s="152">
        <f t="shared" si="21"/>
        <v>8.3299999999999999E-2</v>
      </c>
      <c r="Y400" s="150">
        <f t="shared" si="20"/>
        <v>1.01</v>
      </c>
      <c r="Z400" s="152"/>
      <c r="AA400" s="148"/>
      <c r="AB400" s="148"/>
      <c r="AC400" s="153"/>
      <c r="AD400" s="153"/>
      <c r="AE400" s="153"/>
      <c r="AF400" s="153"/>
      <c r="AJ400" s="147"/>
    </row>
    <row r="401" spans="1:36" s="146" customFormat="1" x14ac:dyDescent="0.25">
      <c r="A401" s="196">
        <v>632</v>
      </c>
      <c r="B401" s="196" t="s">
        <v>2475</v>
      </c>
      <c r="C401" s="196" t="s">
        <v>2476</v>
      </c>
      <c r="D401" s="196" t="s">
        <v>2477</v>
      </c>
      <c r="E401" s="196" t="s">
        <v>1913</v>
      </c>
      <c r="F401" s="196">
        <v>2003</v>
      </c>
      <c r="G401" s="196"/>
      <c r="H401" s="196" t="s">
        <v>2295</v>
      </c>
      <c r="I401" s="141" t="s">
        <v>1879</v>
      </c>
      <c r="J401" s="143" t="s">
        <v>2205</v>
      </c>
      <c r="K401" s="196" t="s">
        <v>1881</v>
      </c>
      <c r="L401" s="141" t="s">
        <v>2478</v>
      </c>
      <c r="M401" s="196">
        <v>770</v>
      </c>
      <c r="N401" s="196"/>
      <c r="O401" s="196" t="s">
        <v>2434</v>
      </c>
      <c r="P401" s="144">
        <v>1017</v>
      </c>
      <c r="Q401" s="145">
        <f t="shared" si="22"/>
        <v>4.7783000000000007</v>
      </c>
      <c r="R401" s="203">
        <v>0.69</v>
      </c>
      <c r="S401" s="203"/>
      <c r="T401" s="151"/>
      <c r="U401" s="151">
        <v>3.79</v>
      </c>
      <c r="V401" s="149">
        <v>0.25</v>
      </c>
      <c r="W401" s="151">
        <f t="shared" si="23"/>
        <v>0.69</v>
      </c>
      <c r="X401" s="152">
        <f t="shared" si="21"/>
        <v>4.8299999999999996E-2</v>
      </c>
      <c r="Y401" s="150">
        <f t="shared" si="20"/>
        <v>1.01</v>
      </c>
      <c r="Z401" s="152"/>
      <c r="AA401" s="148"/>
      <c r="AB401" s="148"/>
      <c r="AC401" s="153"/>
      <c r="AD401" s="153"/>
      <c r="AE401" s="153"/>
      <c r="AF401" s="153"/>
      <c r="AJ401" s="147"/>
    </row>
    <row r="402" spans="1:36" s="146" customFormat="1" x14ac:dyDescent="0.25">
      <c r="A402" s="196">
        <v>688</v>
      </c>
      <c r="B402" s="196" t="s">
        <v>2479</v>
      </c>
      <c r="C402" s="196" t="s">
        <v>2480</v>
      </c>
      <c r="D402" s="196" t="s">
        <v>2481</v>
      </c>
      <c r="E402" s="196"/>
      <c r="F402" s="196">
        <v>2009</v>
      </c>
      <c r="G402" s="196"/>
      <c r="H402" s="196" t="s">
        <v>1878</v>
      </c>
      <c r="I402" s="141" t="s">
        <v>1879</v>
      </c>
      <c r="J402" s="196"/>
      <c r="K402" s="196" t="s">
        <v>1881</v>
      </c>
      <c r="L402" s="141" t="s">
        <v>2482</v>
      </c>
      <c r="M402" s="196">
        <v>576</v>
      </c>
      <c r="N402" s="196"/>
      <c r="O402" s="196" t="s">
        <v>2435</v>
      </c>
      <c r="P402" s="144">
        <v>711</v>
      </c>
      <c r="Q402" s="145">
        <f t="shared" si="22"/>
        <v>3.4373</v>
      </c>
      <c r="R402" s="203">
        <v>1.39</v>
      </c>
      <c r="S402" s="203"/>
      <c r="T402" s="151"/>
      <c r="U402" s="151">
        <v>1.7</v>
      </c>
      <c r="V402" s="151">
        <v>0.25</v>
      </c>
      <c r="W402" s="151">
        <f t="shared" si="23"/>
        <v>1.39</v>
      </c>
      <c r="X402" s="152">
        <f t="shared" si="21"/>
        <v>9.7299999999999998E-2</v>
      </c>
      <c r="Y402" s="150">
        <f t="shared" si="20"/>
        <v>1.01</v>
      </c>
      <c r="Z402" s="152"/>
      <c r="AA402" s="148"/>
      <c r="AB402" s="148"/>
      <c r="AC402" s="153"/>
      <c r="AD402" s="153"/>
      <c r="AE402" s="153"/>
      <c r="AF402" s="153"/>
      <c r="AJ402" s="147"/>
    </row>
    <row r="403" spans="1:36" s="146" customFormat="1" x14ac:dyDescent="0.25">
      <c r="A403" s="196">
        <v>614</v>
      </c>
      <c r="B403" s="196" t="s">
        <v>2483</v>
      </c>
      <c r="C403" s="196" t="s">
        <v>2484</v>
      </c>
      <c r="D403" s="196" t="s">
        <v>2300</v>
      </c>
      <c r="E403" s="196"/>
      <c r="F403" s="196">
        <v>1966</v>
      </c>
      <c r="G403" s="196"/>
      <c r="H403" s="196" t="s">
        <v>2008</v>
      </c>
      <c r="I403" s="141" t="s">
        <v>1879</v>
      </c>
      <c r="J403" s="196" t="s">
        <v>2420</v>
      </c>
      <c r="K403" s="196" t="s">
        <v>1881</v>
      </c>
      <c r="L403" s="141"/>
      <c r="M403" s="196">
        <v>190</v>
      </c>
      <c r="N403" s="196"/>
      <c r="O403" s="196" t="s">
        <v>2436</v>
      </c>
      <c r="P403" s="144">
        <v>136</v>
      </c>
      <c r="Q403" s="145">
        <f t="shared" si="22"/>
        <v>2.1882999999999995</v>
      </c>
      <c r="R403" s="203">
        <v>0.69</v>
      </c>
      <c r="S403" s="203"/>
      <c r="T403" s="151"/>
      <c r="U403" s="151">
        <v>1.2</v>
      </c>
      <c r="V403" s="149">
        <v>0.25</v>
      </c>
      <c r="W403" s="151">
        <f t="shared" si="23"/>
        <v>0.69</v>
      </c>
      <c r="X403" s="152">
        <f t="shared" si="21"/>
        <v>4.8299999999999996E-2</v>
      </c>
      <c r="Y403" s="150">
        <f t="shared" si="20"/>
        <v>1.01</v>
      </c>
      <c r="Z403" s="152"/>
      <c r="AA403" s="148"/>
      <c r="AB403" s="148"/>
      <c r="AC403" s="153"/>
      <c r="AD403" s="153"/>
      <c r="AE403" s="153"/>
      <c r="AF403" s="153"/>
      <c r="AJ403" s="147"/>
    </row>
    <row r="404" spans="1:36" s="146" customFormat="1" x14ac:dyDescent="0.25">
      <c r="A404" s="196">
        <v>690</v>
      </c>
      <c r="B404" s="196" t="s">
        <v>2485</v>
      </c>
      <c r="C404" s="196" t="s">
        <v>2486</v>
      </c>
      <c r="D404" s="196" t="s">
        <v>2487</v>
      </c>
      <c r="E404" s="196"/>
      <c r="F404" s="196">
        <v>2000</v>
      </c>
      <c r="G404" s="196"/>
      <c r="H404" s="196" t="s">
        <v>2295</v>
      </c>
      <c r="I404" s="141" t="s">
        <v>1879</v>
      </c>
      <c r="J404" s="196" t="s">
        <v>2488</v>
      </c>
      <c r="K404" s="196" t="s">
        <v>1881</v>
      </c>
      <c r="L404" s="141" t="s">
        <v>2489</v>
      </c>
      <c r="M404" s="196">
        <v>226</v>
      </c>
      <c r="N404" s="196"/>
      <c r="O404" s="196" t="s">
        <v>2437</v>
      </c>
      <c r="P404" s="144">
        <v>384</v>
      </c>
      <c r="Q404" s="145">
        <f t="shared" si="22"/>
        <v>2.6162999999999998</v>
      </c>
      <c r="R404" s="203">
        <v>1.0900000000000001</v>
      </c>
      <c r="S404" s="203"/>
      <c r="T404" s="151"/>
      <c r="U404" s="151">
        <v>1.2</v>
      </c>
      <c r="V404" s="151">
        <v>0.25</v>
      </c>
      <c r="W404" s="151">
        <f t="shared" si="23"/>
        <v>1.0900000000000001</v>
      </c>
      <c r="X404" s="152">
        <f t="shared" si="21"/>
        <v>7.6300000000000007E-2</v>
      </c>
      <c r="Y404" s="150">
        <f t="shared" si="20"/>
        <v>1.01</v>
      </c>
      <c r="Z404" s="152"/>
      <c r="AA404" s="148"/>
      <c r="AB404" s="148"/>
      <c r="AC404" s="153"/>
      <c r="AD404" s="153"/>
      <c r="AE404" s="153"/>
      <c r="AF404" s="153"/>
      <c r="AJ404" s="147"/>
    </row>
    <row r="405" spans="1:36" s="146" customFormat="1" x14ac:dyDescent="0.25">
      <c r="A405" s="196">
        <v>169</v>
      </c>
      <c r="B405" s="196" t="s">
        <v>2490</v>
      </c>
      <c r="C405" s="196" t="s">
        <v>2491</v>
      </c>
      <c r="D405" s="196" t="s">
        <v>2209</v>
      </c>
      <c r="E405" s="196"/>
      <c r="F405" s="196">
        <v>1990</v>
      </c>
      <c r="G405" s="196"/>
      <c r="H405" s="196" t="s">
        <v>1878</v>
      </c>
      <c r="I405" s="141" t="s">
        <v>1879</v>
      </c>
      <c r="J405" s="196"/>
      <c r="K405" s="196" t="s">
        <v>1881</v>
      </c>
      <c r="L405" s="141" t="s">
        <v>2492</v>
      </c>
      <c r="M405" s="196">
        <v>240</v>
      </c>
      <c r="N405" s="196"/>
      <c r="O405" s="196" t="s">
        <v>2438</v>
      </c>
      <c r="P405" s="144">
        <v>207</v>
      </c>
      <c r="Q405" s="145">
        <f t="shared" si="22"/>
        <v>1.8244999999999998</v>
      </c>
      <c r="R405" s="203">
        <v>0.35</v>
      </c>
      <c r="S405" s="203"/>
      <c r="T405" s="151"/>
      <c r="U405" s="151">
        <v>1.2</v>
      </c>
      <c r="V405" s="149">
        <v>0.25</v>
      </c>
      <c r="W405" s="151">
        <f t="shared" si="23"/>
        <v>0.35</v>
      </c>
      <c r="X405" s="152">
        <f t="shared" si="21"/>
        <v>2.4499999999999997E-2</v>
      </c>
      <c r="Y405" s="150">
        <f t="shared" si="20"/>
        <v>1.01</v>
      </c>
      <c r="Z405" s="152"/>
      <c r="AA405" s="148"/>
      <c r="AB405" s="148"/>
      <c r="AC405" s="153"/>
      <c r="AD405" s="153"/>
      <c r="AE405" s="153"/>
      <c r="AF405" s="153"/>
      <c r="AJ405" s="147"/>
    </row>
    <row r="406" spans="1:36" s="146" customFormat="1" x14ac:dyDescent="0.25">
      <c r="A406" s="196">
        <v>688</v>
      </c>
      <c r="B406" s="196" t="s">
        <v>2493</v>
      </c>
      <c r="C406" s="196" t="s">
        <v>2494</v>
      </c>
      <c r="D406" s="196" t="s">
        <v>1912</v>
      </c>
      <c r="E406" s="196" t="s">
        <v>1899</v>
      </c>
      <c r="F406" s="196">
        <v>1984</v>
      </c>
      <c r="G406" s="196"/>
      <c r="H406" s="196" t="s">
        <v>1878</v>
      </c>
      <c r="I406" s="141" t="s">
        <v>1914</v>
      </c>
      <c r="J406" s="196"/>
      <c r="K406" s="196" t="s">
        <v>1881</v>
      </c>
      <c r="L406" s="141" t="s">
        <v>2495</v>
      </c>
      <c r="M406" s="196">
        <v>192</v>
      </c>
      <c r="N406" s="196"/>
      <c r="O406" s="196" t="s">
        <v>2439</v>
      </c>
      <c r="P406" s="144">
        <v>144</v>
      </c>
      <c r="Q406" s="145">
        <f t="shared" si="22"/>
        <v>1.7175</v>
      </c>
      <c r="R406" s="203">
        <v>0.25</v>
      </c>
      <c r="S406" s="203"/>
      <c r="T406" s="151"/>
      <c r="U406" s="151">
        <v>1.2</v>
      </c>
      <c r="V406" s="151">
        <v>0.25</v>
      </c>
      <c r="W406" s="151">
        <f t="shared" si="23"/>
        <v>0.25</v>
      </c>
      <c r="X406" s="152">
        <f t="shared" si="21"/>
        <v>1.7500000000000002E-2</v>
      </c>
      <c r="Y406" s="150">
        <f t="shared" si="20"/>
        <v>1.01</v>
      </c>
      <c r="Z406" s="152"/>
      <c r="AA406" s="148"/>
      <c r="AB406" s="148"/>
      <c r="AC406" s="153"/>
      <c r="AD406" s="153"/>
      <c r="AE406" s="153"/>
      <c r="AF406" s="153"/>
      <c r="AJ406" s="147"/>
    </row>
    <row r="407" spans="1:36" s="146" customFormat="1" x14ac:dyDescent="0.25">
      <c r="A407" s="196">
        <v>2522</v>
      </c>
      <c r="B407" s="196" t="s">
        <v>2496</v>
      </c>
      <c r="C407" s="196" t="s">
        <v>2497</v>
      </c>
      <c r="D407" s="196" t="s">
        <v>1876</v>
      </c>
      <c r="E407" s="196" t="s">
        <v>1984</v>
      </c>
      <c r="F407" s="196">
        <v>2012</v>
      </c>
      <c r="G407" s="196"/>
      <c r="H407" s="196" t="s">
        <v>1878</v>
      </c>
      <c r="I407" s="141" t="s">
        <v>1879</v>
      </c>
      <c r="J407" s="143" t="s">
        <v>2205</v>
      </c>
      <c r="K407" s="196" t="s">
        <v>1881</v>
      </c>
      <c r="L407" s="141" t="s">
        <v>2498</v>
      </c>
      <c r="M407" s="196">
        <v>384</v>
      </c>
      <c r="N407" s="196"/>
      <c r="O407" s="196" t="s">
        <v>2440</v>
      </c>
      <c r="P407" s="144">
        <v>316</v>
      </c>
      <c r="Q407" s="145">
        <f t="shared" si="22"/>
        <v>2.0813000000000001</v>
      </c>
      <c r="R407" s="203">
        <v>0.59</v>
      </c>
      <c r="S407" s="203"/>
      <c r="T407" s="151"/>
      <c r="U407" s="151">
        <v>1.2</v>
      </c>
      <c r="V407" s="149">
        <v>0.25</v>
      </c>
      <c r="W407" s="151">
        <f t="shared" si="23"/>
        <v>0.59</v>
      </c>
      <c r="X407" s="152">
        <f t="shared" si="21"/>
        <v>4.1299999999999996E-2</v>
      </c>
      <c r="Y407" s="150">
        <f t="shared" si="20"/>
        <v>1.01</v>
      </c>
      <c r="Z407" s="152"/>
      <c r="AA407" s="148"/>
      <c r="AB407" s="148"/>
      <c r="AC407" s="153"/>
      <c r="AD407" s="153"/>
      <c r="AE407" s="153"/>
      <c r="AF407" s="153"/>
      <c r="AJ407" s="147"/>
    </row>
    <row r="408" spans="1:36" s="146" customFormat="1" x14ac:dyDescent="0.25">
      <c r="A408" s="196">
        <v>2952</v>
      </c>
      <c r="B408" s="196" t="s">
        <v>2499</v>
      </c>
      <c r="C408" s="196" t="s">
        <v>2500</v>
      </c>
      <c r="D408" s="196" t="s">
        <v>2091</v>
      </c>
      <c r="E408" s="196"/>
      <c r="F408" s="196">
        <v>2005</v>
      </c>
      <c r="G408" s="196"/>
      <c r="H408" s="196" t="s">
        <v>2295</v>
      </c>
      <c r="I408" s="141" t="s">
        <v>1929</v>
      </c>
      <c r="J408" s="196"/>
      <c r="K408" s="196" t="s">
        <v>1881</v>
      </c>
      <c r="L408" s="141" t="s">
        <v>2501</v>
      </c>
      <c r="M408" s="196">
        <v>146</v>
      </c>
      <c r="N408" s="196"/>
      <c r="O408" s="196" t="s">
        <v>2441</v>
      </c>
      <c r="P408" s="144">
        <v>307</v>
      </c>
      <c r="Q408" s="145">
        <f t="shared" si="22"/>
        <v>2.5093000000000001</v>
      </c>
      <c r="R408" s="203">
        <v>0.99</v>
      </c>
      <c r="S408" s="203"/>
      <c r="T408" s="151"/>
      <c r="U408" s="151">
        <v>1.2</v>
      </c>
      <c r="V408" s="151">
        <v>0.25</v>
      </c>
      <c r="W408" s="151">
        <f t="shared" si="23"/>
        <v>0.99</v>
      </c>
      <c r="X408" s="152">
        <f t="shared" si="21"/>
        <v>6.93E-2</v>
      </c>
      <c r="Y408" s="150">
        <f t="shared" si="20"/>
        <v>1.01</v>
      </c>
      <c r="Z408" s="152"/>
      <c r="AA408" s="148"/>
      <c r="AB408" s="148"/>
      <c r="AC408" s="153"/>
      <c r="AD408" s="153"/>
      <c r="AE408" s="153"/>
      <c r="AF408" s="153"/>
      <c r="AJ408" s="147"/>
    </row>
    <row r="409" spans="1:36" s="146" customFormat="1" x14ac:dyDescent="0.25">
      <c r="A409" s="196">
        <v>633</v>
      </c>
      <c r="B409" s="196" t="s">
        <v>2503</v>
      </c>
      <c r="C409" s="196" t="s">
        <v>2504</v>
      </c>
      <c r="D409" s="196" t="s">
        <v>2054</v>
      </c>
      <c r="E409" s="196"/>
      <c r="F409" s="196">
        <v>2003</v>
      </c>
      <c r="G409" s="196"/>
      <c r="H409" s="196" t="s">
        <v>2295</v>
      </c>
      <c r="I409" s="141" t="s">
        <v>1879</v>
      </c>
      <c r="J409" s="196" t="s">
        <v>2505</v>
      </c>
      <c r="K409" s="196" t="s">
        <v>1881</v>
      </c>
      <c r="L409" s="141" t="s">
        <v>2502</v>
      </c>
      <c r="M409" s="196">
        <v>610</v>
      </c>
      <c r="N409" s="196"/>
      <c r="O409" s="196" t="s">
        <v>2442</v>
      </c>
      <c r="P409" s="144">
        <v>556</v>
      </c>
      <c r="Q409" s="145">
        <f t="shared" si="22"/>
        <v>2.4742999999999999</v>
      </c>
      <c r="R409" s="203">
        <v>0.49</v>
      </c>
      <c r="S409" s="203"/>
      <c r="T409" s="151"/>
      <c r="U409" s="151">
        <v>1.7</v>
      </c>
      <c r="V409" s="149">
        <v>0.25</v>
      </c>
      <c r="W409" s="151">
        <f t="shared" si="23"/>
        <v>0.49</v>
      </c>
      <c r="X409" s="152">
        <f t="shared" si="21"/>
        <v>3.4299999999999997E-2</v>
      </c>
      <c r="Y409" s="150">
        <f t="shared" si="20"/>
        <v>1.01</v>
      </c>
      <c r="Z409" s="152"/>
      <c r="AA409" s="148"/>
      <c r="AB409" s="148"/>
      <c r="AC409" s="153"/>
      <c r="AD409" s="153"/>
      <c r="AE409" s="153"/>
      <c r="AF409" s="153"/>
      <c r="AJ409" s="147"/>
    </row>
    <row r="410" spans="1:36" s="146" customFormat="1" x14ac:dyDescent="0.25">
      <c r="A410" s="196">
        <v>591</v>
      </c>
      <c r="B410" s="196" t="s">
        <v>2506</v>
      </c>
      <c r="C410" s="196" t="s">
        <v>2507</v>
      </c>
      <c r="D410" s="196" t="s">
        <v>2257</v>
      </c>
      <c r="E410" s="196"/>
      <c r="F410" s="196">
        <v>1988</v>
      </c>
      <c r="G410" s="196"/>
      <c r="H410" s="196" t="s">
        <v>1878</v>
      </c>
      <c r="I410" s="141" t="s">
        <v>1879</v>
      </c>
      <c r="J410" s="196" t="s">
        <v>2508</v>
      </c>
      <c r="K410" s="196" t="s">
        <v>1881</v>
      </c>
      <c r="L410" s="141" t="s">
        <v>2509</v>
      </c>
      <c r="M410" s="196">
        <v>240</v>
      </c>
      <c r="N410" s="196"/>
      <c r="O410" s="196" t="s">
        <v>2443</v>
      </c>
      <c r="P410" s="144">
        <v>165</v>
      </c>
      <c r="Q410" s="145">
        <f t="shared" si="22"/>
        <v>3.5792999999999999</v>
      </c>
      <c r="R410" s="203">
        <v>1.99</v>
      </c>
      <c r="S410" s="203"/>
      <c r="T410" s="151"/>
      <c r="U410" s="151">
        <v>1.2</v>
      </c>
      <c r="V410" s="151">
        <v>0.25</v>
      </c>
      <c r="W410" s="151">
        <f t="shared" si="23"/>
        <v>1.99</v>
      </c>
      <c r="X410" s="152">
        <f t="shared" si="21"/>
        <v>0.13930000000000001</v>
      </c>
      <c r="Y410" s="150">
        <f t="shared" si="20"/>
        <v>1.01</v>
      </c>
      <c r="Z410" s="152"/>
      <c r="AA410" s="148"/>
      <c r="AB410" s="148"/>
      <c r="AC410" s="153"/>
      <c r="AD410" s="153"/>
      <c r="AE410" s="153"/>
      <c r="AF410" s="153"/>
      <c r="AJ410" s="147"/>
    </row>
    <row r="411" spans="1:36" s="146" customFormat="1" x14ac:dyDescent="0.25">
      <c r="A411" s="196">
        <v>2851</v>
      </c>
      <c r="B411" s="196" t="s">
        <v>2510</v>
      </c>
      <c r="C411" s="196" t="s">
        <v>2511</v>
      </c>
      <c r="D411" s="196" t="s">
        <v>2512</v>
      </c>
      <c r="E411" s="196" t="s">
        <v>1913</v>
      </c>
      <c r="F411" s="196">
        <v>2013</v>
      </c>
      <c r="G411" s="196"/>
      <c r="H411" s="196" t="s">
        <v>2295</v>
      </c>
      <c r="I411" s="141" t="s">
        <v>1879</v>
      </c>
      <c r="J411" s="196" t="s">
        <v>2513</v>
      </c>
      <c r="K411" s="196" t="s">
        <v>1881</v>
      </c>
      <c r="L411" s="141" t="s">
        <v>2514</v>
      </c>
      <c r="M411" s="196">
        <v>450</v>
      </c>
      <c r="N411" s="196"/>
      <c r="O411" s="196" t="s">
        <v>2444</v>
      </c>
      <c r="P411" s="144">
        <v>717</v>
      </c>
      <c r="Q411" s="145">
        <f t="shared" si="22"/>
        <v>2.7953000000000001</v>
      </c>
      <c r="R411" s="203">
        <v>0.79</v>
      </c>
      <c r="S411" s="203"/>
      <c r="T411" s="151"/>
      <c r="U411" s="151">
        <v>1.7</v>
      </c>
      <c r="V411" s="149">
        <v>0.25</v>
      </c>
      <c r="W411" s="151">
        <f t="shared" si="23"/>
        <v>0.79</v>
      </c>
      <c r="X411" s="152">
        <f t="shared" si="21"/>
        <v>5.5300000000000002E-2</v>
      </c>
      <c r="Y411" s="150">
        <f t="shared" si="20"/>
        <v>1.01</v>
      </c>
      <c r="Z411" s="152"/>
      <c r="AA411" s="148"/>
      <c r="AB411" s="148"/>
      <c r="AC411" s="153"/>
      <c r="AD411" s="153"/>
      <c r="AE411" s="153"/>
      <c r="AF411" s="153"/>
      <c r="AJ411" s="147"/>
    </row>
    <row r="412" spans="1:36" s="146" customFormat="1" x14ac:dyDescent="0.25">
      <c r="A412" s="196">
        <v>632</v>
      </c>
      <c r="B412" s="196" t="s">
        <v>2515</v>
      </c>
      <c r="C412" s="196" t="s">
        <v>2516</v>
      </c>
      <c r="D412" s="196" t="s">
        <v>2517</v>
      </c>
      <c r="E412" s="196" t="s">
        <v>2518</v>
      </c>
      <c r="F412" s="196">
        <v>2001</v>
      </c>
      <c r="G412" s="196"/>
      <c r="H412" s="196" t="s">
        <v>1878</v>
      </c>
      <c r="I412" s="141" t="s">
        <v>1879</v>
      </c>
      <c r="J412" s="196" t="s">
        <v>2513</v>
      </c>
      <c r="K412" s="196" t="s">
        <v>1881</v>
      </c>
      <c r="L412" s="141" t="s">
        <v>2519</v>
      </c>
      <c r="M412" s="196">
        <v>704</v>
      </c>
      <c r="N412" s="196"/>
      <c r="O412" s="196" t="s">
        <v>2445</v>
      </c>
      <c r="P412" s="144">
        <v>611</v>
      </c>
      <c r="Q412" s="145">
        <f t="shared" si="22"/>
        <v>2.2175000000000002</v>
      </c>
      <c r="R412" s="203">
        <v>0.25</v>
      </c>
      <c r="S412" s="203"/>
      <c r="T412" s="151"/>
      <c r="U412" s="151">
        <v>1.7</v>
      </c>
      <c r="V412" s="151">
        <v>0.25</v>
      </c>
      <c r="W412" s="151">
        <f t="shared" si="23"/>
        <v>0.25</v>
      </c>
      <c r="X412" s="152">
        <f t="shared" si="21"/>
        <v>1.7500000000000002E-2</v>
      </c>
      <c r="Y412" s="150">
        <f t="shared" si="20"/>
        <v>1.01</v>
      </c>
      <c r="Z412" s="152"/>
      <c r="AA412" s="148"/>
      <c r="AB412" s="148"/>
      <c r="AC412" s="153"/>
      <c r="AD412" s="153"/>
      <c r="AE412" s="153"/>
      <c r="AF412" s="153"/>
      <c r="AJ412" s="147"/>
    </row>
    <row r="413" spans="1:36" s="146" customFormat="1" x14ac:dyDescent="0.25">
      <c r="A413" s="196">
        <v>710</v>
      </c>
      <c r="B413" s="196"/>
      <c r="C413" s="196" t="s">
        <v>2520</v>
      </c>
      <c r="D413" s="196" t="s">
        <v>2521</v>
      </c>
      <c r="E413" s="196"/>
      <c r="F413" s="196">
        <v>2001</v>
      </c>
      <c r="G413" s="196"/>
      <c r="H413" s="196" t="s">
        <v>2217</v>
      </c>
      <c r="I413" s="141" t="s">
        <v>1879</v>
      </c>
      <c r="J413" s="196"/>
      <c r="K413" s="196" t="s">
        <v>2522</v>
      </c>
      <c r="L413" s="141" t="s">
        <v>2523</v>
      </c>
      <c r="M413" s="196">
        <v>578</v>
      </c>
      <c r="N413" s="196"/>
      <c r="O413" s="196" t="s">
        <v>2446</v>
      </c>
      <c r="P413" s="144">
        <v>291</v>
      </c>
      <c r="Q413" s="145">
        <f t="shared" si="22"/>
        <v>1.7175</v>
      </c>
      <c r="R413" s="203">
        <v>0.25</v>
      </c>
      <c r="S413" s="203"/>
      <c r="T413" s="151"/>
      <c r="U413" s="151">
        <v>1.2</v>
      </c>
      <c r="V413" s="149">
        <v>0.25</v>
      </c>
      <c r="W413" s="151">
        <f t="shared" si="23"/>
        <v>0.25</v>
      </c>
      <c r="X413" s="152">
        <f t="shared" si="21"/>
        <v>1.7500000000000002E-2</v>
      </c>
      <c r="Y413" s="150">
        <f t="shared" si="20"/>
        <v>1.01</v>
      </c>
      <c r="Z413" s="152"/>
      <c r="AA413" s="148"/>
      <c r="AB413" s="148"/>
      <c r="AC413" s="153"/>
      <c r="AD413" s="153"/>
      <c r="AE413" s="153"/>
      <c r="AF413" s="153"/>
      <c r="AJ413" s="147"/>
    </row>
    <row r="414" spans="1:36" s="146" customFormat="1" ht="66" x14ac:dyDescent="0.25">
      <c r="A414" s="196">
        <v>688</v>
      </c>
      <c r="B414" s="196" t="s">
        <v>2524</v>
      </c>
      <c r="C414" s="196" t="s">
        <v>2525</v>
      </c>
      <c r="D414" s="196" t="s">
        <v>1912</v>
      </c>
      <c r="E414" s="196"/>
      <c r="F414" s="196">
        <v>1993</v>
      </c>
      <c r="G414" s="196"/>
      <c r="H414" s="196" t="s">
        <v>1878</v>
      </c>
      <c r="I414" s="141" t="s">
        <v>1879</v>
      </c>
      <c r="J414" s="52" t="s">
        <v>2527</v>
      </c>
      <c r="K414" s="196" t="s">
        <v>1881</v>
      </c>
      <c r="L414" s="141" t="s">
        <v>2526</v>
      </c>
      <c r="M414" s="196">
        <v>288</v>
      </c>
      <c r="N414" s="196"/>
      <c r="O414" s="196" t="s">
        <v>2447</v>
      </c>
      <c r="P414" s="144">
        <v>236</v>
      </c>
      <c r="Q414" s="145">
        <f t="shared" si="22"/>
        <v>2.7232999999999996</v>
      </c>
      <c r="R414" s="203">
        <v>1.19</v>
      </c>
      <c r="S414" s="203"/>
      <c r="T414" s="151"/>
      <c r="U414" s="151">
        <v>1.2</v>
      </c>
      <c r="V414" s="151">
        <v>0.25</v>
      </c>
      <c r="W414" s="151">
        <f t="shared" si="23"/>
        <v>1.19</v>
      </c>
      <c r="X414" s="152">
        <f t="shared" si="21"/>
        <v>8.3299999999999999E-2</v>
      </c>
      <c r="Y414" s="150">
        <f t="shared" si="20"/>
        <v>1.01</v>
      </c>
      <c r="Z414" s="152"/>
      <c r="AA414" s="148"/>
      <c r="AB414" s="148"/>
      <c r="AC414" s="153"/>
      <c r="AD414" s="153"/>
      <c r="AE414" s="153"/>
      <c r="AF414" s="153"/>
      <c r="AJ414" s="147"/>
    </row>
    <row r="415" spans="1:36" s="146" customFormat="1" x14ac:dyDescent="0.25">
      <c r="A415" s="196">
        <v>633</v>
      </c>
      <c r="B415" s="196" t="s">
        <v>2528</v>
      </c>
      <c r="C415" s="196" t="s">
        <v>2529</v>
      </c>
      <c r="D415" s="196" t="s">
        <v>2530</v>
      </c>
      <c r="E415" s="196" t="s">
        <v>2531</v>
      </c>
      <c r="F415" s="196">
        <v>2016</v>
      </c>
      <c r="G415" s="196"/>
      <c r="H415" s="196" t="s">
        <v>1878</v>
      </c>
      <c r="I415" s="141" t="s">
        <v>1929</v>
      </c>
      <c r="J415" s="196"/>
      <c r="K415" s="196" t="s">
        <v>1881</v>
      </c>
      <c r="L415" s="141" t="s">
        <v>2532</v>
      </c>
      <c r="M415" s="196">
        <v>320</v>
      </c>
      <c r="N415" s="196"/>
      <c r="O415" s="196" t="s">
        <v>2448</v>
      </c>
      <c r="P415" s="144">
        <v>345</v>
      </c>
      <c r="Q415" s="145">
        <f t="shared" si="22"/>
        <v>2.5093000000000001</v>
      </c>
      <c r="R415" s="203">
        <v>0.99</v>
      </c>
      <c r="S415" s="203"/>
      <c r="T415" s="151"/>
      <c r="U415" s="151">
        <v>1.2</v>
      </c>
      <c r="V415" s="149">
        <v>0.25</v>
      </c>
      <c r="W415" s="151">
        <f t="shared" si="23"/>
        <v>0.99</v>
      </c>
      <c r="X415" s="152">
        <f t="shared" si="21"/>
        <v>6.93E-2</v>
      </c>
      <c r="Y415" s="150">
        <f t="shared" si="20"/>
        <v>1.01</v>
      </c>
      <c r="Z415" s="152"/>
      <c r="AA415" s="148"/>
      <c r="AB415" s="148"/>
      <c r="AC415" s="153"/>
      <c r="AD415" s="153"/>
      <c r="AE415" s="153"/>
      <c r="AF415" s="153"/>
      <c r="AJ415" s="147"/>
    </row>
    <row r="416" spans="1:36" s="146" customFormat="1" x14ac:dyDescent="0.25">
      <c r="A416" s="196">
        <v>632</v>
      </c>
      <c r="B416" s="196" t="s">
        <v>2467</v>
      </c>
      <c r="C416" s="196" t="s">
        <v>2533</v>
      </c>
      <c r="D416" s="196" t="s">
        <v>2257</v>
      </c>
      <c r="E416" s="196"/>
      <c r="F416" s="196">
        <v>2007</v>
      </c>
      <c r="G416" s="196"/>
      <c r="H416" s="196" t="s">
        <v>1878</v>
      </c>
      <c r="I416" s="141" t="s">
        <v>1879</v>
      </c>
      <c r="J416" s="196"/>
      <c r="K416" s="196" t="s">
        <v>1881</v>
      </c>
      <c r="L416" s="141" t="s">
        <v>2534</v>
      </c>
      <c r="M416" s="196">
        <v>704</v>
      </c>
      <c r="N416" s="196"/>
      <c r="O416" s="196" t="s">
        <v>2535</v>
      </c>
      <c r="P416" s="144">
        <v>520</v>
      </c>
      <c r="Q416" s="145">
        <f t="shared" si="22"/>
        <v>2.4742999999999999</v>
      </c>
      <c r="R416" s="203">
        <v>0.49</v>
      </c>
      <c r="S416" s="203"/>
      <c r="T416" s="151"/>
      <c r="U416" s="151">
        <v>1.7</v>
      </c>
      <c r="V416" s="151">
        <v>0.25</v>
      </c>
      <c r="W416" s="151">
        <f t="shared" si="23"/>
        <v>0.49</v>
      </c>
      <c r="X416" s="152">
        <f t="shared" si="21"/>
        <v>3.4299999999999997E-2</v>
      </c>
      <c r="Y416" s="150">
        <f t="shared" si="20"/>
        <v>1.01</v>
      </c>
      <c r="Z416" s="152"/>
      <c r="AA416" s="148"/>
      <c r="AB416" s="148"/>
      <c r="AC416" s="153"/>
      <c r="AD416" s="153"/>
      <c r="AE416" s="153"/>
      <c r="AF416" s="153"/>
      <c r="AJ416" s="147"/>
    </row>
    <row r="417" spans="1:36" s="146" customFormat="1" x14ac:dyDescent="0.25">
      <c r="A417" s="196"/>
      <c r="B417" s="196" t="s">
        <v>2562</v>
      </c>
      <c r="C417" s="196" t="s">
        <v>2563</v>
      </c>
      <c r="D417" s="196"/>
      <c r="E417" s="196" t="s">
        <v>1913</v>
      </c>
      <c r="F417" s="196">
        <v>2017</v>
      </c>
      <c r="G417" s="196"/>
      <c r="H417" s="196" t="s">
        <v>1878</v>
      </c>
      <c r="I417" s="141" t="s">
        <v>1929</v>
      </c>
      <c r="J417" s="196"/>
      <c r="K417" s="196" t="s">
        <v>1881</v>
      </c>
      <c r="L417" s="141" t="s">
        <v>2564</v>
      </c>
      <c r="M417" s="196">
        <v>200</v>
      </c>
      <c r="N417" s="196"/>
      <c r="O417" s="196" t="s">
        <v>2536</v>
      </c>
      <c r="P417" s="144">
        <v>229</v>
      </c>
      <c r="Q417" s="145">
        <f t="shared" si="22"/>
        <v>2.5093000000000001</v>
      </c>
      <c r="R417" s="203">
        <v>0.99</v>
      </c>
      <c r="S417" s="203"/>
      <c r="T417" s="151"/>
      <c r="U417" s="151">
        <v>1.2</v>
      </c>
      <c r="V417" s="149">
        <v>0.25</v>
      </c>
      <c r="W417" s="151">
        <f t="shared" si="23"/>
        <v>0.99</v>
      </c>
      <c r="X417" s="152">
        <f t="shared" si="21"/>
        <v>6.93E-2</v>
      </c>
      <c r="Y417" s="150">
        <f t="shared" si="20"/>
        <v>1.01</v>
      </c>
      <c r="Z417" s="152"/>
      <c r="AA417" s="148"/>
      <c r="AB417" s="148"/>
      <c r="AC417" s="153"/>
      <c r="AD417" s="153"/>
      <c r="AE417" s="153"/>
      <c r="AF417" s="153"/>
      <c r="AJ417" s="147"/>
    </row>
    <row r="418" spans="1:36" s="146" customFormat="1" ht="66" x14ac:dyDescent="0.25">
      <c r="A418" s="196">
        <v>2522</v>
      </c>
      <c r="B418" s="196" t="s">
        <v>2565</v>
      </c>
      <c r="C418" s="196" t="s">
        <v>2566</v>
      </c>
      <c r="D418" s="196" t="s">
        <v>1876</v>
      </c>
      <c r="E418" s="196" t="s">
        <v>1921</v>
      </c>
      <c r="F418" s="196">
        <v>2013</v>
      </c>
      <c r="G418" s="196"/>
      <c r="H418" s="196" t="s">
        <v>1878</v>
      </c>
      <c r="I418" s="141" t="s">
        <v>1879</v>
      </c>
      <c r="J418" s="52" t="s">
        <v>2527</v>
      </c>
      <c r="K418" s="196" t="s">
        <v>1881</v>
      </c>
      <c r="L418" s="141" t="s">
        <v>2567</v>
      </c>
      <c r="M418" s="196">
        <v>368</v>
      </c>
      <c r="N418" s="196"/>
      <c r="O418" s="196" t="s">
        <v>2537</v>
      </c>
      <c r="P418" s="144">
        <v>318</v>
      </c>
      <c r="Q418" s="145">
        <f t="shared" si="22"/>
        <v>1.9742999999999999</v>
      </c>
      <c r="R418" s="203">
        <v>0.49</v>
      </c>
      <c r="S418" s="203"/>
      <c r="T418" s="151"/>
      <c r="U418" s="151">
        <v>1.2</v>
      </c>
      <c r="V418" s="151">
        <v>0.25</v>
      </c>
      <c r="W418" s="151">
        <f t="shared" si="23"/>
        <v>0.49</v>
      </c>
      <c r="X418" s="152">
        <f t="shared" si="21"/>
        <v>3.4299999999999997E-2</v>
      </c>
      <c r="Y418" s="150">
        <f t="shared" si="20"/>
        <v>1.01</v>
      </c>
      <c r="Z418" s="152"/>
      <c r="AA418" s="148"/>
      <c r="AB418" s="148"/>
      <c r="AC418" s="153"/>
      <c r="AD418" s="153"/>
      <c r="AE418" s="153"/>
      <c r="AF418" s="153"/>
      <c r="AJ418" s="147"/>
    </row>
    <row r="419" spans="1:36" s="146" customFormat="1" x14ac:dyDescent="0.25">
      <c r="A419" s="196">
        <v>1913</v>
      </c>
      <c r="B419" s="196" t="s">
        <v>2568</v>
      </c>
      <c r="C419" s="196" t="s">
        <v>2569</v>
      </c>
      <c r="D419" s="196" t="s">
        <v>2209</v>
      </c>
      <c r="E419" s="196"/>
      <c r="F419" s="196">
        <v>2001</v>
      </c>
      <c r="G419" s="196"/>
      <c r="H419" s="196" t="s">
        <v>1878</v>
      </c>
      <c r="I419" s="141" t="s">
        <v>1879</v>
      </c>
      <c r="J419" s="196" t="s">
        <v>2570</v>
      </c>
      <c r="K419" s="196" t="s">
        <v>1881</v>
      </c>
      <c r="L419" s="141" t="s">
        <v>2571</v>
      </c>
      <c r="M419" s="196">
        <v>576</v>
      </c>
      <c r="N419" s="196"/>
      <c r="O419" s="196" t="s">
        <v>2538</v>
      </c>
      <c r="P419" s="144">
        <v>445</v>
      </c>
      <c r="Q419" s="145">
        <f t="shared" si="22"/>
        <v>1.8673</v>
      </c>
      <c r="R419" s="203">
        <v>0.39</v>
      </c>
      <c r="S419" s="203"/>
      <c r="T419" s="151"/>
      <c r="U419" s="151">
        <v>1.2</v>
      </c>
      <c r="V419" s="149">
        <v>0.25</v>
      </c>
      <c r="W419" s="151">
        <f t="shared" si="23"/>
        <v>0.39</v>
      </c>
      <c r="X419" s="152">
        <f t="shared" si="21"/>
        <v>2.7300000000000001E-2</v>
      </c>
      <c r="Y419" s="150">
        <f t="shared" si="20"/>
        <v>1.01</v>
      </c>
      <c r="Z419" s="152"/>
      <c r="AA419" s="148"/>
      <c r="AB419" s="148"/>
      <c r="AC419" s="153"/>
      <c r="AD419" s="153"/>
      <c r="AE419" s="153"/>
      <c r="AF419" s="153"/>
      <c r="AJ419" s="147"/>
    </row>
    <row r="420" spans="1:36" s="146" customFormat="1" ht="66" x14ac:dyDescent="0.25">
      <c r="A420" s="196">
        <v>688</v>
      </c>
      <c r="B420" s="196" t="s">
        <v>2572</v>
      </c>
      <c r="C420" s="196" t="s">
        <v>2573</v>
      </c>
      <c r="D420" s="196" t="s">
        <v>1876</v>
      </c>
      <c r="E420" s="196"/>
      <c r="F420" s="196">
        <v>2009</v>
      </c>
      <c r="G420" s="196"/>
      <c r="H420" s="196" t="s">
        <v>1878</v>
      </c>
      <c r="I420" s="141" t="s">
        <v>1879</v>
      </c>
      <c r="J420" s="52" t="s">
        <v>2527</v>
      </c>
      <c r="K420" s="196" t="s">
        <v>1881</v>
      </c>
      <c r="L420" s="141" t="s">
        <v>2574</v>
      </c>
      <c r="M420" s="196">
        <v>560</v>
      </c>
      <c r="N420" s="196"/>
      <c r="O420" s="196" t="s">
        <v>2539</v>
      </c>
      <c r="P420" s="144">
        <v>755</v>
      </c>
      <c r="Q420" s="145">
        <f t="shared" si="22"/>
        <v>3.2232999999999996</v>
      </c>
      <c r="R420" s="203">
        <v>1.19</v>
      </c>
      <c r="S420" s="203"/>
      <c r="T420" s="151"/>
      <c r="U420" s="151">
        <v>1.7</v>
      </c>
      <c r="V420" s="151">
        <v>0.25</v>
      </c>
      <c r="W420" s="151">
        <f t="shared" si="23"/>
        <v>1.19</v>
      </c>
      <c r="X420" s="152">
        <f t="shared" si="21"/>
        <v>8.3299999999999999E-2</v>
      </c>
      <c r="Y420" s="150">
        <f t="shared" si="20"/>
        <v>1.01</v>
      </c>
      <c r="Z420" s="152"/>
      <c r="AA420" s="148"/>
      <c r="AB420" s="148"/>
      <c r="AC420" s="153"/>
      <c r="AD420" s="153"/>
      <c r="AE420" s="153"/>
      <c r="AF420" s="153"/>
      <c r="AJ420" s="147"/>
    </row>
    <row r="421" spans="1:36" s="146" customFormat="1" x14ac:dyDescent="0.25">
      <c r="A421" s="196">
        <v>2522</v>
      </c>
      <c r="B421" s="196" t="s">
        <v>2575</v>
      </c>
      <c r="C421" s="196" t="s">
        <v>2576</v>
      </c>
      <c r="D421" s="196" t="s">
        <v>2300</v>
      </c>
      <c r="E421" s="196" t="s">
        <v>1877</v>
      </c>
      <c r="F421" s="196">
        <v>2005</v>
      </c>
      <c r="G421" s="196"/>
      <c r="H421" s="196" t="s">
        <v>1878</v>
      </c>
      <c r="I421" s="141" t="s">
        <v>1879</v>
      </c>
      <c r="J421" s="196"/>
      <c r="K421" s="196" t="s">
        <v>1881</v>
      </c>
      <c r="L421" s="141" t="s">
        <v>2577</v>
      </c>
      <c r="M421" s="196">
        <v>320</v>
      </c>
      <c r="N421" s="196"/>
      <c r="O421" s="196" t="s">
        <v>2540</v>
      </c>
      <c r="P421" s="144">
        <v>298</v>
      </c>
      <c r="Q421" s="145">
        <f t="shared" si="22"/>
        <v>1.7175</v>
      </c>
      <c r="R421" s="203">
        <v>0.25</v>
      </c>
      <c r="S421" s="203"/>
      <c r="T421" s="151"/>
      <c r="U421" s="151">
        <v>1.2</v>
      </c>
      <c r="V421" s="149">
        <v>0.25</v>
      </c>
      <c r="W421" s="151">
        <f t="shared" si="23"/>
        <v>0.25</v>
      </c>
      <c r="X421" s="152">
        <f t="shared" si="21"/>
        <v>1.7500000000000002E-2</v>
      </c>
      <c r="Y421" s="150">
        <f t="shared" si="20"/>
        <v>1.01</v>
      </c>
      <c r="Z421" s="152"/>
      <c r="AA421" s="148"/>
      <c r="AB421" s="148"/>
      <c r="AC421" s="153"/>
      <c r="AD421" s="153"/>
      <c r="AE421" s="153"/>
      <c r="AF421" s="153"/>
      <c r="AJ421" s="147"/>
    </row>
    <row r="422" spans="1:36" s="146" customFormat="1" ht="39.6" x14ac:dyDescent="0.25">
      <c r="A422" s="196">
        <v>632</v>
      </c>
      <c r="B422" s="196" t="s">
        <v>2578</v>
      </c>
      <c r="C422" s="196" t="s">
        <v>2579</v>
      </c>
      <c r="D422" s="196" t="s">
        <v>1912</v>
      </c>
      <c r="E422" s="196"/>
      <c r="F422" s="196">
        <v>1990</v>
      </c>
      <c r="G422" s="196"/>
      <c r="H422" s="196" t="s">
        <v>1878</v>
      </c>
      <c r="I422" s="141" t="s">
        <v>1879</v>
      </c>
      <c r="J422" s="142" t="s">
        <v>2580</v>
      </c>
      <c r="K422" s="196" t="s">
        <v>1881</v>
      </c>
      <c r="L422" s="141" t="s">
        <v>2581</v>
      </c>
      <c r="M422" s="196">
        <v>320</v>
      </c>
      <c r="N422" s="196"/>
      <c r="O422" s="196" t="s">
        <v>2541</v>
      </c>
      <c r="P422" s="144">
        <v>280</v>
      </c>
      <c r="Q422" s="145">
        <f t="shared" si="22"/>
        <v>1.7175</v>
      </c>
      <c r="R422" s="203">
        <v>0.25</v>
      </c>
      <c r="S422" s="203"/>
      <c r="T422" s="151"/>
      <c r="U422" s="151">
        <v>1.2</v>
      </c>
      <c r="V422" s="151">
        <v>0.25</v>
      </c>
      <c r="W422" s="151">
        <f t="shared" si="23"/>
        <v>0.25</v>
      </c>
      <c r="X422" s="152">
        <f t="shared" si="21"/>
        <v>1.7500000000000002E-2</v>
      </c>
      <c r="Y422" s="150">
        <f t="shared" si="20"/>
        <v>1.01</v>
      </c>
      <c r="Z422" s="152"/>
      <c r="AA422" s="148"/>
      <c r="AB422" s="148"/>
      <c r="AC422" s="153"/>
      <c r="AD422" s="153"/>
      <c r="AE422" s="153"/>
      <c r="AF422" s="153"/>
      <c r="AJ422" s="147"/>
    </row>
    <row r="423" spans="1:36" s="146" customFormat="1" x14ac:dyDescent="0.25">
      <c r="A423" s="196">
        <v>2522</v>
      </c>
      <c r="B423" s="196" t="s">
        <v>2582</v>
      </c>
      <c r="C423" s="196" t="s">
        <v>2583</v>
      </c>
      <c r="D423" s="196" t="s">
        <v>2584</v>
      </c>
      <c r="E423" s="196" t="s">
        <v>1921</v>
      </c>
      <c r="F423" s="196">
        <v>2007</v>
      </c>
      <c r="G423" s="196"/>
      <c r="H423" s="196" t="s">
        <v>1878</v>
      </c>
      <c r="I423" s="141" t="s">
        <v>1879</v>
      </c>
      <c r="J423" s="196" t="s">
        <v>2585</v>
      </c>
      <c r="K423" s="196" t="s">
        <v>1881</v>
      </c>
      <c r="L423" s="141" t="s">
        <v>2586</v>
      </c>
      <c r="M423" s="196">
        <v>384</v>
      </c>
      <c r="N423" s="196"/>
      <c r="O423" s="196" t="s">
        <v>2542</v>
      </c>
      <c r="P423" s="144">
        <v>292</v>
      </c>
      <c r="Q423" s="145">
        <f t="shared" si="22"/>
        <v>2.5093000000000001</v>
      </c>
      <c r="R423" s="203">
        <v>0.99</v>
      </c>
      <c r="S423" s="203"/>
      <c r="T423" s="151"/>
      <c r="U423" s="151">
        <v>1.2</v>
      </c>
      <c r="V423" s="149">
        <v>0.25</v>
      </c>
      <c r="W423" s="151">
        <f t="shared" si="23"/>
        <v>0.99</v>
      </c>
      <c r="X423" s="152">
        <f t="shared" si="21"/>
        <v>6.93E-2</v>
      </c>
      <c r="Y423" s="150">
        <f t="shared" si="20"/>
        <v>1.01</v>
      </c>
      <c r="Z423" s="152"/>
      <c r="AA423" s="148"/>
      <c r="AB423" s="148"/>
      <c r="AC423" s="153"/>
      <c r="AD423" s="153"/>
      <c r="AE423" s="153"/>
      <c r="AF423" s="153"/>
      <c r="AJ423" s="147"/>
    </row>
    <row r="424" spans="1:36" s="146" customFormat="1" x14ac:dyDescent="0.25">
      <c r="A424" s="196">
        <v>852</v>
      </c>
      <c r="B424" s="196" t="s">
        <v>2587</v>
      </c>
      <c r="C424" s="196" t="s">
        <v>2588</v>
      </c>
      <c r="D424" s="196" t="s">
        <v>2589</v>
      </c>
      <c r="E424" s="196" t="s">
        <v>1984</v>
      </c>
      <c r="F424" s="196">
        <v>2001</v>
      </c>
      <c r="G424" s="196"/>
      <c r="H424" s="196" t="s">
        <v>1878</v>
      </c>
      <c r="I424" s="141" t="s">
        <v>1929</v>
      </c>
      <c r="J424" s="196"/>
      <c r="K424" s="196" t="s">
        <v>1881</v>
      </c>
      <c r="L424" s="141" t="s">
        <v>2590</v>
      </c>
      <c r="M424" s="196">
        <v>192</v>
      </c>
      <c r="N424" s="196"/>
      <c r="O424" s="196" t="s">
        <v>2543</v>
      </c>
      <c r="P424" s="144">
        <v>279</v>
      </c>
      <c r="Q424" s="145">
        <f t="shared" si="22"/>
        <v>4.1143000000000001</v>
      </c>
      <c r="R424" s="203">
        <v>2.4900000000000002</v>
      </c>
      <c r="S424" s="203"/>
      <c r="T424" s="151"/>
      <c r="U424" s="151">
        <v>1.2</v>
      </c>
      <c r="V424" s="151">
        <v>0.25</v>
      </c>
      <c r="W424" s="151">
        <f t="shared" si="23"/>
        <v>2.4900000000000002</v>
      </c>
      <c r="X424" s="152">
        <f t="shared" si="21"/>
        <v>0.17430000000000001</v>
      </c>
      <c r="Y424" s="150">
        <f t="shared" si="20"/>
        <v>1.01</v>
      </c>
      <c r="Z424" s="152"/>
      <c r="AA424" s="148"/>
      <c r="AB424" s="148"/>
      <c r="AC424" s="153"/>
      <c r="AD424" s="153"/>
      <c r="AE424" s="153"/>
      <c r="AF424" s="153"/>
      <c r="AJ424" s="147"/>
    </row>
    <row r="425" spans="1:36" s="146" customFormat="1" x14ac:dyDescent="0.25">
      <c r="A425" s="196">
        <v>2522</v>
      </c>
      <c r="B425" s="196" t="s">
        <v>2591</v>
      </c>
      <c r="C425" s="196" t="s">
        <v>2592</v>
      </c>
      <c r="D425" s="196" t="s">
        <v>1979</v>
      </c>
      <c r="E425" s="196"/>
      <c r="F425" s="196">
        <v>2014</v>
      </c>
      <c r="G425" s="196"/>
      <c r="H425" s="196" t="s">
        <v>1878</v>
      </c>
      <c r="I425" s="141" t="s">
        <v>1879</v>
      </c>
      <c r="J425" s="196"/>
      <c r="K425" s="196" t="s">
        <v>1881</v>
      </c>
      <c r="L425" s="141" t="s">
        <v>2593</v>
      </c>
      <c r="M425" s="196">
        <v>320</v>
      </c>
      <c r="N425" s="196"/>
      <c r="O425" s="196" t="s">
        <v>2544</v>
      </c>
      <c r="P425" s="144">
        <v>263</v>
      </c>
      <c r="Q425" s="145">
        <f t="shared" si="22"/>
        <v>3.6863000000000001</v>
      </c>
      <c r="R425" s="203">
        <v>2.09</v>
      </c>
      <c r="S425" s="203"/>
      <c r="T425" s="151"/>
      <c r="U425" s="151">
        <v>1.2</v>
      </c>
      <c r="V425" s="149">
        <v>0.25</v>
      </c>
      <c r="W425" s="151">
        <f t="shared" si="23"/>
        <v>2.09</v>
      </c>
      <c r="X425" s="152">
        <f t="shared" si="21"/>
        <v>0.14629999999999999</v>
      </c>
      <c r="Y425" s="150">
        <f t="shared" si="20"/>
        <v>1.01</v>
      </c>
      <c r="Z425" s="152"/>
      <c r="AA425" s="148"/>
      <c r="AB425" s="148"/>
      <c r="AC425" s="153"/>
      <c r="AD425" s="153"/>
      <c r="AE425" s="153"/>
      <c r="AF425" s="153"/>
      <c r="AJ425" s="147"/>
    </row>
    <row r="426" spans="1:36" s="146" customFormat="1" x14ac:dyDescent="0.25">
      <c r="A426" s="196">
        <v>796</v>
      </c>
      <c r="B426" s="196" t="s">
        <v>2199</v>
      </c>
      <c r="C426" s="196" t="s">
        <v>2594</v>
      </c>
      <c r="D426" s="196" t="s">
        <v>2257</v>
      </c>
      <c r="E426" s="196"/>
      <c r="F426" s="196">
        <v>2000</v>
      </c>
      <c r="G426" s="196"/>
      <c r="H426" s="196" t="s">
        <v>1878</v>
      </c>
      <c r="I426" s="141" t="s">
        <v>1879</v>
      </c>
      <c r="J426" s="196"/>
      <c r="K426" s="196" t="s">
        <v>1881</v>
      </c>
      <c r="L426" s="141" t="s">
        <v>2595</v>
      </c>
      <c r="M426" s="196">
        <v>464</v>
      </c>
      <c r="N426" s="196"/>
      <c r="O426" s="196" t="s">
        <v>2545</v>
      </c>
      <c r="P426" s="144">
        <v>451</v>
      </c>
      <c r="Q426" s="145">
        <f t="shared" si="22"/>
        <v>1.7175</v>
      </c>
      <c r="R426" s="203">
        <v>0.25</v>
      </c>
      <c r="S426" s="203"/>
      <c r="T426" s="151"/>
      <c r="U426" s="151">
        <v>1.2</v>
      </c>
      <c r="V426" s="151">
        <v>0.25</v>
      </c>
      <c r="W426" s="151">
        <f t="shared" si="23"/>
        <v>0.25</v>
      </c>
      <c r="X426" s="152">
        <f t="shared" si="21"/>
        <v>1.7500000000000002E-2</v>
      </c>
      <c r="Y426" s="150">
        <f t="shared" si="20"/>
        <v>1.01</v>
      </c>
      <c r="Z426" s="152"/>
      <c r="AA426" s="148"/>
      <c r="AB426" s="148"/>
      <c r="AC426" s="153"/>
      <c r="AD426" s="153"/>
      <c r="AE426" s="153"/>
      <c r="AF426" s="153"/>
      <c r="AJ426" s="147"/>
    </row>
    <row r="427" spans="1:36" s="146" customFormat="1" x14ac:dyDescent="0.25">
      <c r="A427" s="196">
        <v>692</v>
      </c>
      <c r="B427" s="196" t="s">
        <v>2596</v>
      </c>
      <c r="C427" s="196" t="s">
        <v>2597</v>
      </c>
      <c r="D427" s="196" t="s">
        <v>1912</v>
      </c>
      <c r="E427" s="196"/>
      <c r="F427" s="196">
        <v>1994</v>
      </c>
      <c r="G427" s="196"/>
      <c r="H427" s="196" t="s">
        <v>1878</v>
      </c>
      <c r="I427" s="141" t="s">
        <v>1879</v>
      </c>
      <c r="J427" s="196" t="s">
        <v>2570</v>
      </c>
      <c r="K427" s="196" t="s">
        <v>1881</v>
      </c>
      <c r="L427" s="141" t="s">
        <v>2598</v>
      </c>
      <c r="M427" s="196">
        <v>416</v>
      </c>
      <c r="N427" s="196"/>
      <c r="O427" s="196" t="s">
        <v>2546</v>
      </c>
      <c r="P427" s="144">
        <v>276</v>
      </c>
      <c r="Q427" s="145">
        <f t="shared" si="22"/>
        <v>1.7175</v>
      </c>
      <c r="R427" s="203">
        <v>0.25</v>
      </c>
      <c r="S427" s="203"/>
      <c r="T427" s="151"/>
      <c r="U427" s="151">
        <v>1.2</v>
      </c>
      <c r="V427" s="149">
        <v>0.25</v>
      </c>
      <c r="W427" s="151">
        <f t="shared" si="23"/>
        <v>0.25</v>
      </c>
      <c r="X427" s="152">
        <f t="shared" si="21"/>
        <v>1.7500000000000002E-2</v>
      </c>
      <c r="Y427" s="150">
        <f t="shared" si="20"/>
        <v>1.01</v>
      </c>
      <c r="Z427" s="152"/>
      <c r="AA427" s="148"/>
      <c r="AB427" s="148"/>
      <c r="AC427" s="153"/>
      <c r="AD427" s="153"/>
      <c r="AE427" s="153"/>
      <c r="AF427" s="153"/>
      <c r="AJ427" s="147"/>
    </row>
    <row r="428" spans="1:36" s="146" customFormat="1" x14ac:dyDescent="0.25">
      <c r="A428" s="196">
        <v>2522</v>
      </c>
      <c r="B428" s="196" t="s">
        <v>2599</v>
      </c>
      <c r="C428" s="196" t="s">
        <v>2600</v>
      </c>
      <c r="D428" s="196" t="s">
        <v>2036</v>
      </c>
      <c r="E428" s="196"/>
      <c r="F428" s="196">
        <v>1997</v>
      </c>
      <c r="G428" s="196"/>
      <c r="H428" s="196" t="s">
        <v>2295</v>
      </c>
      <c r="I428" s="141" t="s">
        <v>1879</v>
      </c>
      <c r="J428" s="196" t="s">
        <v>2350</v>
      </c>
      <c r="K428" s="196" t="s">
        <v>1881</v>
      </c>
      <c r="L428" s="141" t="s">
        <v>2601</v>
      </c>
      <c r="M428" s="196">
        <v>578</v>
      </c>
      <c r="N428" s="196"/>
      <c r="O428" s="196" t="s">
        <v>2547</v>
      </c>
      <c r="P428" s="144">
        <v>562</v>
      </c>
      <c r="Q428" s="145">
        <f t="shared" si="22"/>
        <v>2.4742999999999999</v>
      </c>
      <c r="R428" s="203">
        <v>0.49</v>
      </c>
      <c r="S428" s="203"/>
      <c r="T428" s="151"/>
      <c r="U428" s="151">
        <v>1.7</v>
      </c>
      <c r="V428" s="151">
        <v>0.25</v>
      </c>
      <c r="W428" s="151">
        <f t="shared" si="23"/>
        <v>0.49</v>
      </c>
      <c r="X428" s="152">
        <f t="shared" si="21"/>
        <v>3.4299999999999997E-2</v>
      </c>
      <c r="Y428" s="150">
        <f t="shared" ref="Y428:Y491" si="24">(IF(Z428&gt;AA428,Z428,AA428)*0.08)+1.01</f>
        <v>1.01</v>
      </c>
      <c r="Z428" s="152"/>
      <c r="AA428" s="148"/>
      <c r="AB428" s="148"/>
      <c r="AC428" s="153"/>
      <c r="AD428" s="153"/>
      <c r="AE428" s="153"/>
      <c r="AF428" s="153"/>
      <c r="AJ428" s="147"/>
    </row>
    <row r="429" spans="1:36" s="146" customFormat="1" x14ac:dyDescent="0.25">
      <c r="A429" s="196">
        <v>2522</v>
      </c>
      <c r="B429" s="196" t="s">
        <v>2602</v>
      </c>
      <c r="C429" s="196" t="s">
        <v>2603</v>
      </c>
      <c r="D429" s="196" t="s">
        <v>2232</v>
      </c>
      <c r="E429" s="196" t="s">
        <v>1913</v>
      </c>
      <c r="F429" s="196">
        <v>1999</v>
      </c>
      <c r="G429" s="196"/>
      <c r="H429" s="196" t="s">
        <v>1878</v>
      </c>
      <c r="I429" s="141" t="s">
        <v>1879</v>
      </c>
      <c r="J429" s="196" t="s">
        <v>2604</v>
      </c>
      <c r="K429" s="196" t="s">
        <v>1881</v>
      </c>
      <c r="L429" s="141" t="s">
        <v>2605</v>
      </c>
      <c r="M429" s="196">
        <v>416</v>
      </c>
      <c r="N429" s="196"/>
      <c r="O429" s="196" t="s">
        <v>2548</v>
      </c>
      <c r="P429" s="144">
        <v>356</v>
      </c>
      <c r="Q429" s="145">
        <f t="shared" si="22"/>
        <v>1.7175</v>
      </c>
      <c r="R429" s="203">
        <v>0.25</v>
      </c>
      <c r="S429" s="203"/>
      <c r="T429" s="151"/>
      <c r="U429" s="151">
        <v>1.2</v>
      </c>
      <c r="V429" s="149">
        <v>0.25</v>
      </c>
      <c r="W429" s="151">
        <f t="shared" si="23"/>
        <v>0.25</v>
      </c>
      <c r="X429" s="152">
        <f t="shared" ref="X429:X492" si="25">(T429+W429)/100*7</f>
        <v>1.7500000000000002E-2</v>
      </c>
      <c r="Y429" s="150">
        <f t="shared" si="24"/>
        <v>1.01</v>
      </c>
      <c r="Z429" s="152"/>
      <c r="AA429" s="148"/>
      <c r="AB429" s="148"/>
      <c r="AC429" s="153"/>
      <c r="AD429" s="153"/>
      <c r="AE429" s="153"/>
      <c r="AF429" s="153"/>
      <c r="AJ429" s="147"/>
    </row>
    <row r="430" spans="1:36" s="146" customFormat="1" x14ac:dyDescent="0.25">
      <c r="A430" s="196">
        <v>632</v>
      </c>
      <c r="B430" s="196" t="s">
        <v>1904</v>
      </c>
      <c r="C430" s="196" t="s">
        <v>1905</v>
      </c>
      <c r="D430" s="196" t="s">
        <v>2517</v>
      </c>
      <c r="E430" s="196" t="s">
        <v>2606</v>
      </c>
      <c r="F430" s="196">
        <v>1999</v>
      </c>
      <c r="G430" s="196"/>
      <c r="H430" s="196" t="s">
        <v>1878</v>
      </c>
      <c r="I430" s="141" t="s">
        <v>1879</v>
      </c>
      <c r="J430" s="196" t="s">
        <v>2604</v>
      </c>
      <c r="K430" s="196" t="s">
        <v>1881</v>
      </c>
      <c r="L430" s="141" t="s">
        <v>1908</v>
      </c>
      <c r="M430" s="196">
        <v>576</v>
      </c>
      <c r="N430" s="196"/>
      <c r="O430" s="196" t="s">
        <v>2549</v>
      </c>
      <c r="P430" s="144">
        <v>580</v>
      </c>
      <c r="Q430" s="145">
        <f t="shared" si="22"/>
        <v>2.2175000000000002</v>
      </c>
      <c r="R430" s="203">
        <v>0.25</v>
      </c>
      <c r="S430" s="203"/>
      <c r="T430" s="151"/>
      <c r="U430" s="151">
        <v>1.7</v>
      </c>
      <c r="V430" s="151">
        <v>0.25</v>
      </c>
      <c r="W430" s="151">
        <f t="shared" si="23"/>
        <v>0.25</v>
      </c>
      <c r="X430" s="152">
        <f t="shared" si="25"/>
        <v>1.7500000000000002E-2</v>
      </c>
      <c r="Y430" s="150">
        <f t="shared" si="24"/>
        <v>1.01</v>
      </c>
      <c r="Z430" s="152"/>
      <c r="AA430" s="148"/>
      <c r="AB430" s="148"/>
      <c r="AC430" s="153"/>
      <c r="AD430" s="153"/>
      <c r="AE430" s="153"/>
      <c r="AF430" s="153"/>
      <c r="AJ430" s="147"/>
    </row>
    <row r="431" spans="1:36" s="146" customFormat="1" ht="92.4" x14ac:dyDescent="0.25">
      <c r="A431" s="196">
        <v>688</v>
      </c>
      <c r="B431" s="196" t="s">
        <v>2607</v>
      </c>
      <c r="C431" s="196" t="s">
        <v>2608</v>
      </c>
      <c r="D431" s="196" t="s">
        <v>2609</v>
      </c>
      <c r="E431" s="196"/>
      <c r="F431" s="196">
        <v>1985</v>
      </c>
      <c r="G431" s="196"/>
      <c r="H431" s="196" t="s">
        <v>2295</v>
      </c>
      <c r="I431" s="141" t="s">
        <v>1879</v>
      </c>
      <c r="J431" s="142" t="s">
        <v>2610</v>
      </c>
      <c r="K431" s="196" t="s">
        <v>1881</v>
      </c>
      <c r="L431" s="141" t="s">
        <v>2611</v>
      </c>
      <c r="M431" s="196">
        <v>370</v>
      </c>
      <c r="N431" s="196"/>
      <c r="O431" s="196" t="s">
        <v>2550</v>
      </c>
      <c r="P431" s="144">
        <v>450</v>
      </c>
      <c r="Q431" s="145">
        <f t="shared" si="22"/>
        <v>2.5093000000000001</v>
      </c>
      <c r="R431" s="203">
        <v>0.99</v>
      </c>
      <c r="S431" s="203"/>
      <c r="T431" s="151"/>
      <c r="U431" s="151">
        <v>1.2</v>
      </c>
      <c r="V431" s="149">
        <v>0.25</v>
      </c>
      <c r="W431" s="151">
        <f t="shared" si="23"/>
        <v>0.99</v>
      </c>
      <c r="X431" s="152">
        <f t="shared" si="25"/>
        <v>6.93E-2</v>
      </c>
      <c r="Y431" s="150">
        <f t="shared" si="24"/>
        <v>1.01</v>
      </c>
      <c r="Z431" s="152"/>
      <c r="AA431" s="148"/>
      <c r="AB431" s="148"/>
      <c r="AC431" s="153"/>
      <c r="AD431" s="153"/>
      <c r="AE431" s="153"/>
      <c r="AF431" s="153"/>
      <c r="AJ431" s="147"/>
    </row>
    <row r="432" spans="1:36" s="146" customFormat="1" x14ac:dyDescent="0.25">
      <c r="A432" s="196">
        <v>632</v>
      </c>
      <c r="B432" s="196" t="s">
        <v>2612</v>
      </c>
      <c r="C432" s="196" t="s">
        <v>2613</v>
      </c>
      <c r="D432" s="196" t="s">
        <v>2054</v>
      </c>
      <c r="E432" s="196"/>
      <c r="F432" s="196">
        <v>2011</v>
      </c>
      <c r="G432" s="196"/>
      <c r="H432" s="196" t="s">
        <v>1878</v>
      </c>
      <c r="I432" s="141" t="s">
        <v>1879</v>
      </c>
      <c r="J432" s="196"/>
      <c r="K432" s="196" t="s">
        <v>1881</v>
      </c>
      <c r="L432" s="141" t="s">
        <v>2614</v>
      </c>
      <c r="M432" s="196">
        <v>608</v>
      </c>
      <c r="N432" s="196"/>
      <c r="O432" s="196" t="s">
        <v>2551</v>
      </c>
      <c r="P432" s="144">
        <v>449</v>
      </c>
      <c r="Q432" s="145">
        <f t="shared" si="22"/>
        <v>2.1882999999999995</v>
      </c>
      <c r="R432" s="203">
        <v>0.69</v>
      </c>
      <c r="S432" s="203"/>
      <c r="T432" s="151"/>
      <c r="U432" s="151">
        <v>1.2</v>
      </c>
      <c r="V432" s="151">
        <v>0.25</v>
      </c>
      <c r="W432" s="151">
        <f t="shared" si="23"/>
        <v>0.69</v>
      </c>
      <c r="X432" s="152">
        <f t="shared" si="25"/>
        <v>4.8299999999999996E-2</v>
      </c>
      <c r="Y432" s="150">
        <f t="shared" si="24"/>
        <v>1.01</v>
      </c>
      <c r="Z432" s="152"/>
      <c r="AA432" s="148"/>
      <c r="AB432" s="148"/>
      <c r="AC432" s="153"/>
      <c r="AD432" s="153"/>
      <c r="AE432" s="153"/>
      <c r="AF432" s="153"/>
      <c r="AJ432" s="147"/>
    </row>
    <row r="433" spans="1:36" s="146" customFormat="1" x14ac:dyDescent="0.25">
      <c r="A433" s="196">
        <v>2956</v>
      </c>
      <c r="B433" s="196" t="s">
        <v>2615</v>
      </c>
      <c r="C433" s="196" t="s">
        <v>2616</v>
      </c>
      <c r="D433" s="196" t="s">
        <v>2007</v>
      </c>
      <c r="E433" s="196"/>
      <c r="F433" s="196">
        <v>1987</v>
      </c>
      <c r="G433" s="196"/>
      <c r="H433" s="196" t="s">
        <v>2008</v>
      </c>
      <c r="I433" s="141" t="s">
        <v>1879</v>
      </c>
      <c r="J433" s="196"/>
      <c r="K433" s="196" t="s">
        <v>1881</v>
      </c>
      <c r="L433" s="141" t="s">
        <v>2617</v>
      </c>
      <c r="M433" s="196">
        <v>48</v>
      </c>
      <c r="N433" s="196"/>
      <c r="O433" s="196" t="s">
        <v>2552</v>
      </c>
      <c r="P433" s="144">
        <v>22</v>
      </c>
      <c r="Q433" s="145">
        <f t="shared" si="22"/>
        <v>1.7175</v>
      </c>
      <c r="R433" s="203">
        <v>0.25</v>
      </c>
      <c r="S433" s="203"/>
      <c r="T433" s="151"/>
      <c r="U433" s="151">
        <v>1.2</v>
      </c>
      <c r="V433" s="149">
        <v>0.25</v>
      </c>
      <c r="W433" s="151">
        <f t="shared" si="23"/>
        <v>0.25</v>
      </c>
      <c r="X433" s="152">
        <f t="shared" si="25"/>
        <v>1.7500000000000002E-2</v>
      </c>
      <c r="Y433" s="150">
        <f t="shared" si="24"/>
        <v>1.01</v>
      </c>
      <c r="Z433" s="152"/>
      <c r="AA433" s="148"/>
      <c r="AB433" s="148"/>
      <c r="AC433" s="153"/>
      <c r="AD433" s="153"/>
      <c r="AE433" s="153"/>
      <c r="AF433" s="153"/>
      <c r="AJ433" s="147"/>
    </row>
    <row r="434" spans="1:36" s="146" customFormat="1" x14ac:dyDescent="0.25">
      <c r="A434" s="196">
        <v>701</v>
      </c>
      <c r="B434" s="196" t="s">
        <v>2618</v>
      </c>
      <c r="C434" s="196" t="s">
        <v>2619</v>
      </c>
      <c r="D434" s="196" t="s">
        <v>2394</v>
      </c>
      <c r="E434" s="196"/>
      <c r="F434" s="196">
        <v>2003</v>
      </c>
      <c r="G434" s="196"/>
      <c r="H434" s="196" t="s">
        <v>2295</v>
      </c>
      <c r="I434" s="141" t="s">
        <v>1929</v>
      </c>
      <c r="J434" s="143" t="s">
        <v>2205</v>
      </c>
      <c r="K434" s="196" t="s">
        <v>1881</v>
      </c>
      <c r="L434" s="141" t="s">
        <v>2620</v>
      </c>
      <c r="M434" s="196">
        <v>226</v>
      </c>
      <c r="N434" s="196"/>
      <c r="O434" s="196" t="s">
        <v>2553</v>
      </c>
      <c r="P434" s="144">
        <v>644</v>
      </c>
      <c r="Q434" s="145">
        <f t="shared" si="22"/>
        <v>2.2603</v>
      </c>
      <c r="R434" s="203">
        <v>0.28999999999999998</v>
      </c>
      <c r="S434" s="203"/>
      <c r="T434" s="151"/>
      <c r="U434" s="151">
        <v>1.7</v>
      </c>
      <c r="V434" s="151">
        <v>0.25</v>
      </c>
      <c r="W434" s="151">
        <f t="shared" si="23"/>
        <v>0.28999999999999998</v>
      </c>
      <c r="X434" s="152">
        <f t="shared" si="25"/>
        <v>2.0299999999999999E-2</v>
      </c>
      <c r="Y434" s="150">
        <f t="shared" si="24"/>
        <v>1.01</v>
      </c>
      <c r="Z434" s="152"/>
      <c r="AA434" s="148"/>
      <c r="AB434" s="148"/>
      <c r="AC434" s="153"/>
      <c r="AD434" s="153"/>
      <c r="AE434" s="153"/>
      <c r="AF434" s="153"/>
      <c r="AJ434" s="147"/>
    </row>
    <row r="435" spans="1:36" s="146" customFormat="1" x14ac:dyDescent="0.25">
      <c r="A435" s="196">
        <v>632</v>
      </c>
      <c r="B435" s="196" t="s">
        <v>2621</v>
      </c>
      <c r="C435" s="196" t="s">
        <v>2622</v>
      </c>
      <c r="D435" s="196" t="s">
        <v>2054</v>
      </c>
      <c r="E435" s="196"/>
      <c r="F435" s="196">
        <v>2010</v>
      </c>
      <c r="G435" s="196"/>
      <c r="H435" s="196" t="s">
        <v>2295</v>
      </c>
      <c r="I435" s="141" t="s">
        <v>1879</v>
      </c>
      <c r="J435" s="196"/>
      <c r="K435" s="196" t="s">
        <v>1881</v>
      </c>
      <c r="L435" s="141" t="s">
        <v>2623</v>
      </c>
      <c r="M435" s="196">
        <v>498</v>
      </c>
      <c r="N435" s="196"/>
      <c r="O435" s="196" t="s">
        <v>2554</v>
      </c>
      <c r="P435" s="144">
        <v>565</v>
      </c>
      <c r="Q435" s="145">
        <f t="shared" si="22"/>
        <v>2.9022999999999999</v>
      </c>
      <c r="R435" s="203">
        <v>0.89</v>
      </c>
      <c r="S435" s="203"/>
      <c r="T435" s="151"/>
      <c r="U435" s="151">
        <v>1.7</v>
      </c>
      <c r="V435" s="149">
        <v>0.25</v>
      </c>
      <c r="W435" s="151">
        <f t="shared" si="23"/>
        <v>0.89</v>
      </c>
      <c r="X435" s="152">
        <f t="shared" si="25"/>
        <v>6.2300000000000001E-2</v>
      </c>
      <c r="Y435" s="150">
        <f t="shared" si="24"/>
        <v>1.01</v>
      </c>
      <c r="Z435" s="152"/>
      <c r="AA435" s="148"/>
      <c r="AB435" s="148"/>
      <c r="AC435" s="153"/>
      <c r="AD435" s="153"/>
      <c r="AE435" s="153"/>
      <c r="AF435" s="153"/>
      <c r="AJ435" s="147"/>
    </row>
    <row r="436" spans="1:36" s="146" customFormat="1" x14ac:dyDescent="0.25">
      <c r="A436" s="196">
        <v>1395</v>
      </c>
      <c r="B436" s="196" t="s">
        <v>2510</v>
      </c>
      <c r="C436" s="196" t="s">
        <v>2624</v>
      </c>
      <c r="D436" s="196" t="s">
        <v>2512</v>
      </c>
      <c r="E436" s="196" t="s">
        <v>2627</v>
      </c>
      <c r="F436" s="196">
        <v>2011</v>
      </c>
      <c r="G436" s="196"/>
      <c r="H436" s="196" t="s">
        <v>1878</v>
      </c>
      <c r="I436" s="141" t="s">
        <v>1879</v>
      </c>
      <c r="J436" s="196"/>
      <c r="K436" s="196" t="s">
        <v>1881</v>
      </c>
      <c r="L436" s="141" t="s">
        <v>2626</v>
      </c>
      <c r="M436" s="196">
        <v>418</v>
      </c>
      <c r="N436" s="196"/>
      <c r="O436" s="196" t="s">
        <v>2556</v>
      </c>
      <c r="P436" s="144">
        <v>589</v>
      </c>
      <c r="Q436" s="145">
        <f t="shared" si="22"/>
        <v>2.2175000000000002</v>
      </c>
      <c r="R436" s="203">
        <v>0.25</v>
      </c>
      <c r="S436" s="203"/>
      <c r="T436" s="151"/>
      <c r="U436" s="151">
        <v>1.7</v>
      </c>
      <c r="V436" s="151">
        <v>0.25</v>
      </c>
      <c r="W436" s="151">
        <f t="shared" si="23"/>
        <v>0.25</v>
      </c>
      <c r="X436" s="152">
        <f t="shared" si="25"/>
        <v>1.7500000000000002E-2</v>
      </c>
      <c r="Y436" s="150">
        <f t="shared" si="24"/>
        <v>1.01</v>
      </c>
      <c r="Z436" s="152"/>
      <c r="AA436" s="148"/>
      <c r="AB436" s="148"/>
      <c r="AC436" s="153"/>
      <c r="AD436" s="153"/>
      <c r="AE436" s="153"/>
      <c r="AF436" s="153"/>
      <c r="AJ436" s="147"/>
    </row>
    <row r="437" spans="1:36" s="146" customFormat="1" x14ac:dyDescent="0.25">
      <c r="A437" s="196">
        <v>1395</v>
      </c>
      <c r="B437" s="196" t="s">
        <v>2510</v>
      </c>
      <c r="C437" s="196" t="s">
        <v>2624</v>
      </c>
      <c r="D437" s="196" t="s">
        <v>2512</v>
      </c>
      <c r="E437" s="196" t="s">
        <v>2628</v>
      </c>
      <c r="F437" s="196">
        <v>2011</v>
      </c>
      <c r="G437" s="196"/>
      <c r="H437" s="196" t="s">
        <v>1878</v>
      </c>
      <c r="I437" s="141" t="s">
        <v>1879</v>
      </c>
      <c r="J437" s="196"/>
      <c r="K437" s="196" t="s">
        <v>1881</v>
      </c>
      <c r="L437" s="141" t="s">
        <v>2626</v>
      </c>
      <c r="M437" s="196">
        <v>418</v>
      </c>
      <c r="N437" s="196"/>
      <c r="O437" s="196" t="s">
        <v>2556</v>
      </c>
      <c r="P437" s="144">
        <v>589</v>
      </c>
      <c r="Q437" s="145">
        <f t="shared" ref="Q437:Q500" si="26">SUM(T437:X437)</f>
        <v>2.2175000000000002</v>
      </c>
      <c r="R437" s="203">
        <v>0.25</v>
      </c>
      <c r="S437" s="203"/>
      <c r="T437" s="151"/>
      <c r="U437" s="151">
        <v>1.7</v>
      </c>
      <c r="V437" s="149">
        <v>0.25</v>
      </c>
      <c r="W437" s="151">
        <f t="shared" ref="W437:W500" si="27">IF(R437&gt;T437,R437,T437)</f>
        <v>0.25</v>
      </c>
      <c r="X437" s="152">
        <f t="shared" si="25"/>
        <v>1.7500000000000002E-2</v>
      </c>
      <c r="Y437" s="150">
        <f t="shared" si="24"/>
        <v>1.01</v>
      </c>
      <c r="Z437" s="152"/>
      <c r="AA437" s="148"/>
      <c r="AB437" s="148"/>
      <c r="AC437" s="153"/>
      <c r="AD437" s="153"/>
      <c r="AE437" s="153"/>
      <c r="AF437" s="153"/>
      <c r="AJ437" s="147"/>
    </row>
    <row r="438" spans="1:36" s="146" customFormat="1" x14ac:dyDescent="0.25">
      <c r="A438" s="196">
        <v>796</v>
      </c>
      <c r="B438" s="196" t="s">
        <v>2629</v>
      </c>
      <c r="C438" s="196" t="s">
        <v>2630</v>
      </c>
      <c r="D438" s="196" t="s">
        <v>1876</v>
      </c>
      <c r="E438" s="196"/>
      <c r="F438" s="196">
        <v>2012</v>
      </c>
      <c r="G438" s="196"/>
      <c r="H438" s="196" t="s">
        <v>1878</v>
      </c>
      <c r="I438" s="141" t="s">
        <v>1879</v>
      </c>
      <c r="J438" s="196"/>
      <c r="K438" s="196" t="s">
        <v>1881</v>
      </c>
      <c r="L438" s="141" t="s">
        <v>2631</v>
      </c>
      <c r="M438" s="196">
        <v>560</v>
      </c>
      <c r="N438" s="196"/>
      <c r="O438" s="196" t="s">
        <v>2557</v>
      </c>
      <c r="P438" s="144">
        <v>398</v>
      </c>
      <c r="Q438" s="145">
        <f t="shared" si="26"/>
        <v>1.7175</v>
      </c>
      <c r="R438" s="203">
        <v>0.25</v>
      </c>
      <c r="S438" s="203"/>
      <c r="T438" s="151"/>
      <c r="U438" s="151">
        <v>1.2</v>
      </c>
      <c r="V438" s="151">
        <v>0.25</v>
      </c>
      <c r="W438" s="151">
        <f t="shared" si="27"/>
        <v>0.25</v>
      </c>
      <c r="X438" s="152">
        <f t="shared" si="25"/>
        <v>1.7500000000000002E-2</v>
      </c>
      <c r="Y438" s="150">
        <f t="shared" si="24"/>
        <v>1.01</v>
      </c>
      <c r="Z438" s="152"/>
      <c r="AA438" s="148"/>
      <c r="AB438" s="148"/>
      <c r="AC438" s="153"/>
      <c r="AD438" s="153"/>
      <c r="AE438" s="153"/>
      <c r="AF438" s="153"/>
      <c r="AJ438" s="147"/>
    </row>
    <row r="439" spans="1:36" s="146" customFormat="1" x14ac:dyDescent="0.25">
      <c r="A439" s="196">
        <v>796</v>
      </c>
      <c r="B439" s="196" t="s">
        <v>1991</v>
      </c>
      <c r="C439" s="196" t="s">
        <v>2632</v>
      </c>
      <c r="D439" s="196" t="s">
        <v>1993</v>
      </c>
      <c r="E439" s="196" t="s">
        <v>1913</v>
      </c>
      <c r="F439" s="196">
        <v>2006</v>
      </c>
      <c r="G439" s="196"/>
      <c r="H439" s="196" t="s">
        <v>1878</v>
      </c>
      <c r="I439" s="141" t="s">
        <v>1879</v>
      </c>
      <c r="J439" s="196"/>
      <c r="K439" s="196" t="s">
        <v>1881</v>
      </c>
      <c r="L439" s="141" t="s">
        <v>2633</v>
      </c>
      <c r="M439" s="196">
        <v>384</v>
      </c>
      <c r="N439" s="196"/>
      <c r="O439" s="196" t="s">
        <v>2558</v>
      </c>
      <c r="P439" s="144">
        <v>298</v>
      </c>
      <c r="Q439" s="145">
        <f t="shared" si="26"/>
        <v>1.7603</v>
      </c>
      <c r="R439" s="203">
        <v>0.28999999999999998</v>
      </c>
      <c r="S439" s="203"/>
      <c r="T439" s="151"/>
      <c r="U439" s="151">
        <v>1.2</v>
      </c>
      <c r="V439" s="149">
        <v>0.25</v>
      </c>
      <c r="W439" s="151">
        <f t="shared" si="27"/>
        <v>0.28999999999999998</v>
      </c>
      <c r="X439" s="152">
        <f t="shared" si="25"/>
        <v>2.0299999999999999E-2</v>
      </c>
      <c r="Y439" s="150">
        <f t="shared" si="24"/>
        <v>1.01</v>
      </c>
      <c r="Z439" s="152"/>
      <c r="AA439" s="148"/>
      <c r="AB439" s="148"/>
      <c r="AC439" s="153"/>
      <c r="AD439" s="153"/>
      <c r="AE439" s="153"/>
      <c r="AF439" s="153"/>
      <c r="AJ439" s="147"/>
    </row>
    <row r="440" spans="1:36" s="146" customFormat="1" x14ac:dyDescent="0.25">
      <c r="A440" s="196">
        <v>2522</v>
      </c>
      <c r="B440" s="196" t="s">
        <v>2634</v>
      </c>
      <c r="C440" s="196" t="s">
        <v>2635</v>
      </c>
      <c r="D440" s="196" t="s">
        <v>2636</v>
      </c>
      <c r="E440" s="196"/>
      <c r="F440" s="196">
        <v>2010</v>
      </c>
      <c r="G440" s="196"/>
      <c r="H440" s="196" t="s">
        <v>1878</v>
      </c>
      <c r="I440" s="141" t="s">
        <v>1879</v>
      </c>
      <c r="J440" s="196"/>
      <c r="K440" s="196" t="s">
        <v>1881</v>
      </c>
      <c r="L440" s="141" t="s">
        <v>2637</v>
      </c>
      <c r="M440" s="196">
        <v>320</v>
      </c>
      <c r="N440" s="196"/>
      <c r="O440" s="196" t="s">
        <v>2559</v>
      </c>
      <c r="P440" s="144">
        <v>188</v>
      </c>
      <c r="Q440" s="145">
        <f t="shared" si="26"/>
        <v>1.7175</v>
      </c>
      <c r="R440" s="203">
        <v>0.25</v>
      </c>
      <c r="S440" s="203"/>
      <c r="T440" s="151"/>
      <c r="U440" s="151">
        <v>1.2</v>
      </c>
      <c r="V440" s="151">
        <v>0.25</v>
      </c>
      <c r="W440" s="151">
        <f t="shared" si="27"/>
        <v>0.25</v>
      </c>
      <c r="X440" s="152">
        <f t="shared" si="25"/>
        <v>1.7500000000000002E-2</v>
      </c>
      <c r="Y440" s="150">
        <f t="shared" si="24"/>
        <v>1.01</v>
      </c>
      <c r="Z440" s="152"/>
      <c r="AA440" s="148"/>
      <c r="AB440" s="148"/>
      <c r="AC440" s="153"/>
      <c r="AD440" s="153"/>
      <c r="AE440" s="153"/>
      <c r="AF440" s="153"/>
      <c r="AJ440" s="147"/>
    </row>
    <row r="441" spans="1:36" s="146" customFormat="1" x14ac:dyDescent="0.25">
      <c r="A441" s="196">
        <v>968</v>
      </c>
      <c r="B441" s="196" t="s">
        <v>2638</v>
      </c>
      <c r="C441" s="196" t="s">
        <v>2639</v>
      </c>
      <c r="D441" s="196" t="s">
        <v>2640</v>
      </c>
      <c r="E441" s="196"/>
      <c r="F441" s="196">
        <v>2000</v>
      </c>
      <c r="G441" s="196"/>
      <c r="H441" s="196" t="s">
        <v>2295</v>
      </c>
      <c r="I441" s="141" t="s">
        <v>1879</v>
      </c>
      <c r="J441" s="196"/>
      <c r="K441" s="196" t="s">
        <v>2025</v>
      </c>
      <c r="L441" s="141" t="s">
        <v>2641</v>
      </c>
      <c r="M441" s="196">
        <v>362</v>
      </c>
      <c r="N441" s="196"/>
      <c r="O441" s="196" t="s">
        <v>2560</v>
      </c>
      <c r="P441" s="144">
        <v>680</v>
      </c>
      <c r="Q441" s="145">
        <f t="shared" si="26"/>
        <v>2.7953000000000001</v>
      </c>
      <c r="R441" s="203">
        <v>0.79</v>
      </c>
      <c r="S441" s="203"/>
      <c r="T441" s="151"/>
      <c r="U441" s="151">
        <v>1.7</v>
      </c>
      <c r="V441" s="149">
        <v>0.25</v>
      </c>
      <c r="W441" s="151">
        <f t="shared" si="27"/>
        <v>0.79</v>
      </c>
      <c r="X441" s="152">
        <f t="shared" si="25"/>
        <v>5.5300000000000002E-2</v>
      </c>
      <c r="Y441" s="150">
        <f t="shared" si="24"/>
        <v>1.01</v>
      </c>
      <c r="Z441" s="152"/>
      <c r="AA441" s="148"/>
      <c r="AB441" s="148"/>
      <c r="AC441" s="153"/>
      <c r="AD441" s="153"/>
      <c r="AE441" s="153"/>
      <c r="AF441" s="153"/>
      <c r="AJ441" s="147"/>
    </row>
    <row r="442" spans="1:36" s="146" customFormat="1" ht="132" x14ac:dyDescent="0.25">
      <c r="A442" s="196">
        <v>765</v>
      </c>
      <c r="B442" s="196" t="s">
        <v>2642</v>
      </c>
      <c r="C442" s="196" t="s">
        <v>2643</v>
      </c>
      <c r="D442" s="196" t="s">
        <v>2644</v>
      </c>
      <c r="E442" s="196"/>
      <c r="F442" s="196">
        <v>1987</v>
      </c>
      <c r="G442" s="196"/>
      <c r="H442" s="196" t="s">
        <v>2295</v>
      </c>
      <c r="I442" s="141" t="s">
        <v>1929</v>
      </c>
      <c r="J442" s="142" t="s">
        <v>2645</v>
      </c>
      <c r="K442" s="196" t="s">
        <v>1881</v>
      </c>
      <c r="L442" s="141" t="s">
        <v>2646</v>
      </c>
      <c r="M442" s="196">
        <v>98</v>
      </c>
      <c r="N442" s="196"/>
      <c r="O442" s="196" t="s">
        <v>2561</v>
      </c>
      <c r="P442" s="144">
        <v>120</v>
      </c>
      <c r="Q442" s="145">
        <f t="shared" si="26"/>
        <v>2.7232999999999996</v>
      </c>
      <c r="R442" s="203">
        <v>1.19</v>
      </c>
      <c r="S442" s="203"/>
      <c r="T442" s="151"/>
      <c r="U442" s="151">
        <v>1.2</v>
      </c>
      <c r="V442" s="151">
        <v>0.25</v>
      </c>
      <c r="W442" s="151">
        <f t="shared" si="27"/>
        <v>1.19</v>
      </c>
      <c r="X442" s="152">
        <f t="shared" si="25"/>
        <v>8.3299999999999999E-2</v>
      </c>
      <c r="Y442" s="150">
        <f t="shared" si="24"/>
        <v>1.01</v>
      </c>
      <c r="Z442" s="152"/>
      <c r="AA442" s="148"/>
      <c r="AB442" s="148"/>
      <c r="AC442" s="153"/>
      <c r="AD442" s="153"/>
      <c r="AE442" s="153"/>
      <c r="AF442" s="153"/>
      <c r="AJ442" s="147"/>
    </row>
    <row r="443" spans="1:36" s="146" customFormat="1" x14ac:dyDescent="0.25">
      <c r="A443" s="196">
        <v>765</v>
      </c>
      <c r="B443" s="196" t="s">
        <v>2647</v>
      </c>
      <c r="C443" s="196" t="s">
        <v>2648</v>
      </c>
      <c r="D443" s="196" t="s">
        <v>2649</v>
      </c>
      <c r="E443" s="196" t="s">
        <v>1899</v>
      </c>
      <c r="F443" s="196">
        <v>2015</v>
      </c>
      <c r="G443" s="196"/>
      <c r="H443" s="196" t="s">
        <v>1878</v>
      </c>
      <c r="I443" s="141" t="s">
        <v>1929</v>
      </c>
      <c r="J443" s="196" t="s">
        <v>2650</v>
      </c>
      <c r="K443" s="196" t="s">
        <v>1881</v>
      </c>
      <c r="L443" s="141" t="s">
        <v>2651</v>
      </c>
      <c r="M443" s="196">
        <v>240</v>
      </c>
      <c r="N443" s="196"/>
      <c r="O443" s="196" t="s">
        <v>2652</v>
      </c>
      <c r="P443" s="144">
        <v>334</v>
      </c>
      <c r="Q443" s="145">
        <f t="shared" si="26"/>
        <v>3.1513</v>
      </c>
      <c r="R443" s="203">
        <v>1.59</v>
      </c>
      <c r="S443" s="203"/>
      <c r="T443" s="151"/>
      <c r="U443" s="151">
        <v>1.2</v>
      </c>
      <c r="V443" s="149">
        <v>0.25</v>
      </c>
      <c r="W443" s="151">
        <f t="shared" si="27"/>
        <v>1.59</v>
      </c>
      <c r="X443" s="152">
        <f t="shared" si="25"/>
        <v>0.11130000000000001</v>
      </c>
      <c r="Y443" s="150">
        <f t="shared" si="24"/>
        <v>1.01</v>
      </c>
      <c r="Z443" s="152"/>
      <c r="AA443" s="148"/>
      <c r="AB443" s="148"/>
      <c r="AC443" s="153"/>
      <c r="AD443" s="153"/>
      <c r="AE443" s="153"/>
      <c r="AF443" s="153"/>
      <c r="AJ443" s="147"/>
    </row>
    <row r="444" spans="1:36" s="146" customFormat="1" ht="132" x14ac:dyDescent="0.25">
      <c r="A444" s="196">
        <v>765</v>
      </c>
      <c r="B444" s="196" t="s">
        <v>2669</v>
      </c>
      <c r="C444" s="196" t="s">
        <v>2670</v>
      </c>
      <c r="D444" s="196" t="s">
        <v>2671</v>
      </c>
      <c r="E444" s="196"/>
      <c r="F444" s="196">
        <v>1989</v>
      </c>
      <c r="G444" s="196"/>
      <c r="H444" s="196" t="s">
        <v>1878</v>
      </c>
      <c r="I444" s="141" t="s">
        <v>1879</v>
      </c>
      <c r="J444" s="142" t="s">
        <v>2672</v>
      </c>
      <c r="K444" s="196" t="s">
        <v>1881</v>
      </c>
      <c r="L444" s="141" t="s">
        <v>2673</v>
      </c>
      <c r="M444" s="196">
        <v>296</v>
      </c>
      <c r="N444" s="196"/>
      <c r="O444" s="196" t="s">
        <v>2653</v>
      </c>
      <c r="P444" s="144">
        <v>277</v>
      </c>
      <c r="Q444" s="145">
        <f t="shared" si="26"/>
        <v>3.1513</v>
      </c>
      <c r="R444" s="203">
        <v>1.59</v>
      </c>
      <c r="S444" s="203"/>
      <c r="T444" s="151"/>
      <c r="U444" s="151">
        <v>1.2</v>
      </c>
      <c r="V444" s="151">
        <v>0.25</v>
      </c>
      <c r="W444" s="151">
        <f t="shared" si="27"/>
        <v>1.59</v>
      </c>
      <c r="X444" s="152">
        <f t="shared" si="25"/>
        <v>0.11130000000000001</v>
      </c>
      <c r="Y444" s="150">
        <f t="shared" si="24"/>
        <v>1.01</v>
      </c>
      <c r="Z444" s="152"/>
      <c r="AA444" s="148"/>
      <c r="AB444" s="148"/>
      <c r="AC444" s="153"/>
      <c r="AD444" s="153"/>
      <c r="AE444" s="153"/>
      <c r="AF444" s="153"/>
      <c r="AJ444" s="147"/>
    </row>
    <row r="445" spans="1:36" x14ac:dyDescent="0.25">
      <c r="Y445" s="150">
        <f t="shared" si="24"/>
        <v>1.01</v>
      </c>
    </row>
    <row r="446" spans="1:36" s="146" customFormat="1" x14ac:dyDescent="0.25">
      <c r="A446" s="196">
        <v>1303</v>
      </c>
      <c r="B446" s="196"/>
      <c r="C446" s="196" t="s">
        <v>2678</v>
      </c>
      <c r="D446" s="196" t="s">
        <v>2679</v>
      </c>
      <c r="E446" s="196"/>
      <c r="F446" s="196">
        <v>2005</v>
      </c>
      <c r="G446" s="196"/>
      <c r="H446" s="196" t="s">
        <v>2295</v>
      </c>
      <c r="I446" s="141" t="s">
        <v>1929</v>
      </c>
      <c r="J446" s="196"/>
      <c r="K446" s="196" t="s">
        <v>1881</v>
      </c>
      <c r="L446" s="141"/>
      <c r="M446" s="196">
        <v>50</v>
      </c>
      <c r="N446" s="196"/>
      <c r="O446" s="196" t="s">
        <v>2655</v>
      </c>
      <c r="P446" s="144">
        <v>438</v>
      </c>
      <c r="Q446" s="145">
        <f t="shared" si="26"/>
        <v>2.2953000000000001</v>
      </c>
      <c r="R446" s="203">
        <v>0.79</v>
      </c>
      <c r="S446" s="203"/>
      <c r="T446" s="151"/>
      <c r="U446" s="151">
        <v>1.2</v>
      </c>
      <c r="V446" s="151">
        <v>0.25</v>
      </c>
      <c r="W446" s="151">
        <f t="shared" si="27"/>
        <v>0.79</v>
      </c>
      <c r="X446" s="152">
        <f t="shared" si="25"/>
        <v>5.5300000000000002E-2</v>
      </c>
      <c r="Y446" s="150">
        <f t="shared" si="24"/>
        <v>1.01</v>
      </c>
      <c r="Z446" s="152"/>
      <c r="AA446" s="148"/>
      <c r="AB446" s="148"/>
      <c r="AC446" s="153"/>
      <c r="AD446" s="153"/>
      <c r="AE446" s="153"/>
      <c r="AF446" s="153"/>
      <c r="AJ446" s="147"/>
    </row>
    <row r="447" spans="1:36" s="146" customFormat="1" x14ac:dyDescent="0.25">
      <c r="A447" s="196">
        <v>796</v>
      </c>
      <c r="B447" s="196" t="s">
        <v>2680</v>
      </c>
      <c r="C447" s="196" t="s">
        <v>2681</v>
      </c>
      <c r="D447" s="196" t="s">
        <v>1988</v>
      </c>
      <c r="E447" s="196" t="s">
        <v>2518</v>
      </c>
      <c r="F447" s="196">
        <v>2009</v>
      </c>
      <c r="G447" s="196"/>
      <c r="H447" s="196" t="s">
        <v>1878</v>
      </c>
      <c r="I447" s="141" t="s">
        <v>1879</v>
      </c>
      <c r="J447" s="196"/>
      <c r="K447" s="196" t="s">
        <v>1881</v>
      </c>
      <c r="L447" s="141" t="s">
        <v>2682</v>
      </c>
      <c r="M447" s="196">
        <v>560</v>
      </c>
      <c r="N447" s="196"/>
      <c r="O447" s="196" t="s">
        <v>2656</v>
      </c>
      <c r="P447" s="144">
        <v>341</v>
      </c>
      <c r="Q447" s="145">
        <f t="shared" si="26"/>
        <v>3.3653000000000004</v>
      </c>
      <c r="R447" s="203">
        <v>1.79</v>
      </c>
      <c r="S447" s="203"/>
      <c r="T447" s="151"/>
      <c r="U447" s="151">
        <v>1.2</v>
      </c>
      <c r="V447" s="149">
        <v>0.25</v>
      </c>
      <c r="W447" s="151">
        <f t="shared" si="27"/>
        <v>1.79</v>
      </c>
      <c r="X447" s="152">
        <f t="shared" si="25"/>
        <v>0.12529999999999999</v>
      </c>
      <c r="Y447" s="150">
        <f t="shared" si="24"/>
        <v>1.01</v>
      </c>
      <c r="Z447" s="152"/>
      <c r="AA447" s="148"/>
      <c r="AB447" s="148"/>
      <c r="AC447" s="153"/>
      <c r="AD447" s="153"/>
      <c r="AE447" s="153"/>
      <c r="AF447" s="153"/>
      <c r="AJ447" s="147"/>
    </row>
    <row r="448" spans="1:36" s="146" customFormat="1" x14ac:dyDescent="0.25">
      <c r="A448" s="196">
        <v>852</v>
      </c>
      <c r="B448" s="196" t="s">
        <v>2683</v>
      </c>
      <c r="C448" s="196" t="s">
        <v>2588</v>
      </c>
      <c r="D448" s="196" t="s">
        <v>2300</v>
      </c>
      <c r="E448" s="196"/>
      <c r="F448" s="196">
        <v>2001</v>
      </c>
      <c r="G448" s="196"/>
      <c r="H448" s="196" t="s">
        <v>1878</v>
      </c>
      <c r="I448" s="141" t="s">
        <v>1929</v>
      </c>
      <c r="J448" s="196"/>
      <c r="K448" s="196" t="s">
        <v>1881</v>
      </c>
      <c r="L448" s="141" t="s">
        <v>2684</v>
      </c>
      <c r="M448" s="196">
        <v>160</v>
      </c>
      <c r="N448" s="196"/>
      <c r="O448" s="196" t="s">
        <v>2657</v>
      </c>
      <c r="P448" s="144">
        <v>154</v>
      </c>
      <c r="Q448" s="145">
        <f t="shared" si="26"/>
        <v>4.5423</v>
      </c>
      <c r="R448" s="203">
        <v>2.89</v>
      </c>
      <c r="S448" s="203"/>
      <c r="T448" s="151"/>
      <c r="U448" s="151">
        <v>1.2</v>
      </c>
      <c r="V448" s="151">
        <v>0.25</v>
      </c>
      <c r="W448" s="151">
        <f t="shared" si="27"/>
        <v>2.89</v>
      </c>
      <c r="X448" s="152">
        <f t="shared" si="25"/>
        <v>0.20230000000000001</v>
      </c>
      <c r="Y448" s="150">
        <f t="shared" si="24"/>
        <v>1.01</v>
      </c>
      <c r="Z448" s="152"/>
      <c r="AA448" s="148"/>
      <c r="AB448" s="148"/>
      <c r="AC448" s="153"/>
      <c r="AD448" s="153"/>
      <c r="AE448" s="153"/>
      <c r="AF448" s="153"/>
      <c r="AJ448" s="147"/>
    </row>
    <row r="449" spans="1:36" s="146" customFormat="1" x14ac:dyDescent="0.25">
      <c r="A449" s="196">
        <v>8</v>
      </c>
      <c r="B449" s="196" t="s">
        <v>2686</v>
      </c>
      <c r="C449" s="196" t="s">
        <v>2687</v>
      </c>
      <c r="D449" s="196" t="s">
        <v>2688</v>
      </c>
      <c r="E449" s="196"/>
      <c r="F449" s="196">
        <v>1993</v>
      </c>
      <c r="G449" s="196"/>
      <c r="H449" s="196" t="s">
        <v>2295</v>
      </c>
      <c r="I449" s="141" t="s">
        <v>1879</v>
      </c>
      <c r="J449" s="196" t="s">
        <v>2505</v>
      </c>
      <c r="K449" s="196" t="s">
        <v>1881</v>
      </c>
      <c r="L449" s="141" t="s">
        <v>2685</v>
      </c>
      <c r="M449" s="196">
        <v>738</v>
      </c>
      <c r="N449" s="196"/>
      <c r="O449" s="196" t="s">
        <v>2658</v>
      </c>
      <c r="P449" s="144">
        <v>866</v>
      </c>
      <c r="Q449" s="145">
        <f t="shared" si="26"/>
        <v>2.2603</v>
      </c>
      <c r="R449" s="203">
        <v>0.28999999999999998</v>
      </c>
      <c r="S449" s="203"/>
      <c r="T449" s="151"/>
      <c r="U449" s="151">
        <v>1.7</v>
      </c>
      <c r="V449" s="149">
        <v>0.25</v>
      </c>
      <c r="W449" s="151">
        <f t="shared" si="27"/>
        <v>0.28999999999999998</v>
      </c>
      <c r="X449" s="152">
        <f t="shared" si="25"/>
        <v>2.0299999999999999E-2</v>
      </c>
      <c r="Y449" s="150">
        <f t="shared" si="24"/>
        <v>1.01</v>
      </c>
      <c r="Z449" s="152"/>
      <c r="AA449" s="148"/>
      <c r="AB449" s="148"/>
      <c r="AC449" s="153"/>
      <c r="AD449" s="153"/>
      <c r="AE449" s="153"/>
      <c r="AF449" s="153"/>
      <c r="AJ449" s="147"/>
    </row>
    <row r="450" spans="1:36" s="146" customFormat="1" x14ac:dyDescent="0.25">
      <c r="A450" s="196">
        <v>968</v>
      </c>
      <c r="B450" s="196" t="s">
        <v>2691</v>
      </c>
      <c r="C450" s="196" t="s">
        <v>2690</v>
      </c>
      <c r="D450" s="196"/>
      <c r="E450" s="196"/>
      <c r="F450" s="196">
        <v>2002</v>
      </c>
      <c r="G450" s="196"/>
      <c r="H450" s="196" t="s">
        <v>2295</v>
      </c>
      <c r="I450" s="141" t="s">
        <v>1929</v>
      </c>
      <c r="J450" s="196"/>
      <c r="K450" s="196" t="s">
        <v>2025</v>
      </c>
      <c r="L450" s="141" t="s">
        <v>2689</v>
      </c>
      <c r="M450" s="196">
        <v>310</v>
      </c>
      <c r="N450" s="196"/>
      <c r="O450" s="196" t="s">
        <v>2659</v>
      </c>
      <c r="P450" s="144">
        <v>508</v>
      </c>
      <c r="Q450" s="145">
        <f t="shared" si="26"/>
        <v>4.0792999999999999</v>
      </c>
      <c r="R450" s="203">
        <v>1.99</v>
      </c>
      <c r="S450" s="203"/>
      <c r="T450" s="151"/>
      <c r="U450" s="151">
        <v>1.7</v>
      </c>
      <c r="V450" s="151">
        <v>0.25</v>
      </c>
      <c r="W450" s="151">
        <f t="shared" si="27"/>
        <v>1.99</v>
      </c>
      <c r="X450" s="152">
        <f t="shared" si="25"/>
        <v>0.13930000000000001</v>
      </c>
      <c r="Y450" s="150">
        <f t="shared" si="24"/>
        <v>1.01</v>
      </c>
      <c r="Z450" s="152"/>
      <c r="AA450" s="148"/>
      <c r="AB450" s="148"/>
      <c r="AC450" s="153"/>
      <c r="AD450" s="153"/>
      <c r="AE450" s="153"/>
      <c r="AF450" s="153"/>
      <c r="AJ450" s="147"/>
    </row>
    <row r="451" spans="1:36" s="146" customFormat="1" x14ac:dyDescent="0.25">
      <c r="A451" s="196">
        <v>1395</v>
      </c>
      <c r="B451" s="196" t="s">
        <v>2692</v>
      </c>
      <c r="C451" s="196" t="s">
        <v>2693</v>
      </c>
      <c r="D451" s="196" t="s">
        <v>1988</v>
      </c>
      <c r="E451" s="196" t="s">
        <v>2375</v>
      </c>
      <c r="F451" s="196">
        <v>2010</v>
      </c>
      <c r="G451" s="196"/>
      <c r="H451" s="196" t="s">
        <v>1878</v>
      </c>
      <c r="I451" s="141" t="s">
        <v>1879</v>
      </c>
      <c r="J451" s="196"/>
      <c r="K451" s="196" t="s">
        <v>1881</v>
      </c>
      <c r="L451" s="141" t="s">
        <v>2694</v>
      </c>
      <c r="M451" s="196">
        <v>368</v>
      </c>
      <c r="N451" s="196"/>
      <c r="O451" s="196" t="s">
        <v>2660</v>
      </c>
      <c r="P451" s="144">
        <v>278</v>
      </c>
      <c r="Q451" s="145">
        <f t="shared" si="26"/>
        <v>1.7175</v>
      </c>
      <c r="R451" s="203">
        <v>0.25</v>
      </c>
      <c r="S451" s="203"/>
      <c r="T451" s="151"/>
      <c r="U451" s="151">
        <v>1.2</v>
      </c>
      <c r="V451" s="149">
        <v>0.25</v>
      </c>
      <c r="W451" s="151">
        <f t="shared" si="27"/>
        <v>0.25</v>
      </c>
      <c r="X451" s="152">
        <f t="shared" si="25"/>
        <v>1.7500000000000002E-2</v>
      </c>
      <c r="Y451" s="150">
        <f t="shared" si="24"/>
        <v>1.01</v>
      </c>
      <c r="Z451" s="152"/>
      <c r="AA451" s="148"/>
      <c r="AB451" s="148"/>
      <c r="AC451" s="153"/>
      <c r="AD451" s="153"/>
      <c r="AE451" s="153"/>
      <c r="AF451" s="153"/>
      <c r="AJ451" s="147"/>
    </row>
    <row r="452" spans="1:36" s="146" customFormat="1" x14ac:dyDescent="0.25">
      <c r="A452" s="196">
        <v>692</v>
      </c>
      <c r="B452" s="196" t="s">
        <v>2695</v>
      </c>
      <c r="C452" s="196" t="s">
        <v>2696</v>
      </c>
      <c r="D452" s="196" t="s">
        <v>2609</v>
      </c>
      <c r="E452" s="196"/>
      <c r="F452" s="196">
        <v>1995</v>
      </c>
      <c r="G452" s="196"/>
      <c r="H452" s="196" t="s">
        <v>1878</v>
      </c>
      <c r="I452" s="141" t="s">
        <v>1879</v>
      </c>
      <c r="J452" s="196"/>
      <c r="K452" s="196" t="s">
        <v>1881</v>
      </c>
      <c r="L452" s="141" t="s">
        <v>2697</v>
      </c>
      <c r="M452" s="196">
        <v>144</v>
      </c>
      <c r="N452" s="196"/>
      <c r="O452" s="196" t="s">
        <v>2661</v>
      </c>
      <c r="P452" s="144">
        <v>106</v>
      </c>
      <c r="Q452" s="145">
        <f t="shared" si="26"/>
        <v>1.7175</v>
      </c>
      <c r="R452" s="203">
        <v>0.25</v>
      </c>
      <c r="S452" s="203"/>
      <c r="T452" s="151"/>
      <c r="U452" s="151">
        <v>1.2</v>
      </c>
      <c r="V452" s="151">
        <v>0.25</v>
      </c>
      <c r="W452" s="151">
        <f t="shared" si="27"/>
        <v>0.25</v>
      </c>
      <c r="X452" s="152">
        <f t="shared" si="25"/>
        <v>1.7500000000000002E-2</v>
      </c>
      <c r="Y452" s="150">
        <f t="shared" si="24"/>
        <v>1.01</v>
      </c>
      <c r="Z452" s="152"/>
      <c r="AA452" s="148"/>
      <c r="AB452" s="148"/>
      <c r="AC452" s="153"/>
      <c r="AD452" s="153"/>
      <c r="AE452" s="153"/>
      <c r="AF452" s="153"/>
      <c r="AJ452" s="147"/>
    </row>
    <row r="453" spans="1:36" s="146" customFormat="1" x14ac:dyDescent="0.25">
      <c r="A453" s="196">
        <v>775</v>
      </c>
      <c r="B453" s="196" t="s">
        <v>2698</v>
      </c>
      <c r="C453" s="196" t="s">
        <v>2699</v>
      </c>
      <c r="D453" s="196" t="s">
        <v>1876</v>
      </c>
      <c r="E453" s="196"/>
      <c r="F453" s="196">
        <v>2006</v>
      </c>
      <c r="G453" s="196"/>
      <c r="H453" s="196" t="s">
        <v>1878</v>
      </c>
      <c r="I453" s="141" t="s">
        <v>1929</v>
      </c>
      <c r="J453" s="196"/>
      <c r="K453" s="196" t="s">
        <v>1881</v>
      </c>
      <c r="L453" s="141" t="s">
        <v>2700</v>
      </c>
      <c r="M453" s="196">
        <v>320</v>
      </c>
      <c r="N453" s="196"/>
      <c r="O453" s="196" t="s">
        <v>2662</v>
      </c>
      <c r="P453" s="144">
        <v>267</v>
      </c>
      <c r="Q453" s="145">
        <f t="shared" si="26"/>
        <v>2.2953000000000001</v>
      </c>
      <c r="R453" s="203">
        <v>0.79</v>
      </c>
      <c r="S453" s="203"/>
      <c r="T453" s="151"/>
      <c r="U453" s="151">
        <v>1.2</v>
      </c>
      <c r="V453" s="149">
        <v>0.25</v>
      </c>
      <c r="W453" s="151">
        <f t="shared" si="27"/>
        <v>0.79</v>
      </c>
      <c r="X453" s="152">
        <f t="shared" si="25"/>
        <v>5.5300000000000002E-2</v>
      </c>
      <c r="Y453" s="150">
        <f t="shared" si="24"/>
        <v>1.01</v>
      </c>
      <c r="Z453" s="152"/>
      <c r="AA453" s="148"/>
      <c r="AB453" s="148"/>
      <c r="AC453" s="153"/>
      <c r="AD453" s="153"/>
      <c r="AE453" s="153"/>
      <c r="AF453" s="153"/>
      <c r="AJ453" s="147"/>
    </row>
    <row r="454" spans="1:36" s="146" customFormat="1" x14ac:dyDescent="0.25">
      <c r="A454" s="196">
        <v>775</v>
      </c>
      <c r="B454" s="196" t="s">
        <v>2701</v>
      </c>
      <c r="C454" s="196" t="s">
        <v>2702</v>
      </c>
      <c r="D454" s="196" t="s">
        <v>2703</v>
      </c>
      <c r="E454" s="196" t="s">
        <v>1913</v>
      </c>
      <c r="F454" s="196">
        <v>2012</v>
      </c>
      <c r="G454" s="196"/>
      <c r="H454" s="196" t="s">
        <v>2295</v>
      </c>
      <c r="I454" s="141" t="s">
        <v>1929</v>
      </c>
      <c r="J454" s="196"/>
      <c r="K454" s="196" t="s">
        <v>1881</v>
      </c>
      <c r="L454" s="141" t="s">
        <v>2704</v>
      </c>
      <c r="M454" s="196">
        <v>434</v>
      </c>
      <c r="N454" s="196"/>
      <c r="O454" s="196" t="s">
        <v>2663</v>
      </c>
      <c r="P454" s="144">
        <v>595</v>
      </c>
      <c r="Q454" s="145">
        <f t="shared" si="26"/>
        <v>3.4373</v>
      </c>
      <c r="R454" s="203">
        <v>1.39</v>
      </c>
      <c r="S454" s="203"/>
      <c r="T454" s="151"/>
      <c r="U454" s="151">
        <v>1.7</v>
      </c>
      <c r="V454" s="151">
        <v>0.25</v>
      </c>
      <c r="W454" s="151">
        <f t="shared" si="27"/>
        <v>1.39</v>
      </c>
      <c r="X454" s="152">
        <f t="shared" si="25"/>
        <v>9.7299999999999998E-2</v>
      </c>
      <c r="Y454" s="150">
        <f t="shared" si="24"/>
        <v>1.01</v>
      </c>
      <c r="Z454" s="152"/>
      <c r="AA454" s="148"/>
      <c r="AB454" s="148"/>
      <c r="AC454" s="153"/>
      <c r="AD454" s="153"/>
      <c r="AE454" s="153"/>
      <c r="AF454" s="153"/>
      <c r="AJ454" s="147"/>
    </row>
    <row r="455" spans="1:36" s="146" customFormat="1" x14ac:dyDescent="0.25">
      <c r="A455" s="196">
        <v>968</v>
      </c>
      <c r="B455" s="196" t="s">
        <v>2705</v>
      </c>
      <c r="C455" s="196" t="s">
        <v>2706</v>
      </c>
      <c r="D455" s="196" t="s">
        <v>1979</v>
      </c>
      <c r="E455" s="196"/>
      <c r="F455" s="196">
        <v>2013</v>
      </c>
      <c r="G455" s="196"/>
      <c r="H455" s="196" t="s">
        <v>1878</v>
      </c>
      <c r="I455" s="141" t="s">
        <v>1879</v>
      </c>
      <c r="J455" s="196" t="s">
        <v>2650</v>
      </c>
      <c r="K455" s="196" t="s">
        <v>1881</v>
      </c>
      <c r="L455" s="141" t="s">
        <v>2707</v>
      </c>
      <c r="M455" s="196">
        <v>96</v>
      </c>
      <c r="N455" s="196"/>
      <c r="O455" s="196" t="s">
        <v>2664</v>
      </c>
      <c r="P455" s="144">
        <v>99</v>
      </c>
      <c r="Q455" s="145">
        <f t="shared" si="26"/>
        <v>1.9315</v>
      </c>
      <c r="R455" s="203">
        <v>0.45</v>
      </c>
      <c r="S455" s="203"/>
      <c r="T455" s="151"/>
      <c r="U455" s="151">
        <v>1.2</v>
      </c>
      <c r="V455" s="149">
        <v>0.25</v>
      </c>
      <c r="W455" s="151">
        <f t="shared" si="27"/>
        <v>0.45</v>
      </c>
      <c r="X455" s="152">
        <f t="shared" si="25"/>
        <v>3.15E-2</v>
      </c>
      <c r="Y455" s="150">
        <f t="shared" si="24"/>
        <v>1.01</v>
      </c>
      <c r="Z455" s="152"/>
      <c r="AA455" s="148"/>
      <c r="AB455" s="148"/>
      <c r="AC455" s="153"/>
      <c r="AD455" s="153"/>
      <c r="AE455" s="153"/>
      <c r="AF455" s="153"/>
      <c r="AJ455" s="147"/>
    </row>
    <row r="456" spans="1:36" s="146" customFormat="1" x14ac:dyDescent="0.25">
      <c r="A456" s="196">
        <v>2571</v>
      </c>
      <c r="B456" s="196" t="s">
        <v>2708</v>
      </c>
      <c r="C456" s="196" t="s">
        <v>2709</v>
      </c>
      <c r="D456" s="196" t="s">
        <v>2710</v>
      </c>
      <c r="E456" s="196"/>
      <c r="F456" s="196">
        <v>2000</v>
      </c>
      <c r="G456" s="196"/>
      <c r="H456" s="196" t="s">
        <v>1878</v>
      </c>
      <c r="I456" s="141" t="s">
        <v>1879</v>
      </c>
      <c r="J456" s="196" t="s">
        <v>2363</v>
      </c>
      <c r="K456" s="196" t="s">
        <v>1881</v>
      </c>
      <c r="L456" s="141" t="s">
        <v>2711</v>
      </c>
      <c r="M456" s="196">
        <v>256</v>
      </c>
      <c r="N456" s="196"/>
      <c r="O456" s="196" t="s">
        <v>2665</v>
      </c>
      <c r="P456" s="144">
        <v>253</v>
      </c>
      <c r="Q456" s="145">
        <f t="shared" si="26"/>
        <v>1.7175</v>
      </c>
      <c r="R456" s="203">
        <v>0.25</v>
      </c>
      <c r="S456" s="203"/>
      <c r="T456" s="151"/>
      <c r="U456" s="151">
        <v>1.2</v>
      </c>
      <c r="V456" s="151">
        <v>0.25</v>
      </c>
      <c r="W456" s="151">
        <f t="shared" si="27"/>
        <v>0.25</v>
      </c>
      <c r="X456" s="152">
        <f t="shared" si="25"/>
        <v>1.7500000000000002E-2</v>
      </c>
      <c r="Y456" s="150">
        <f t="shared" si="24"/>
        <v>1.01</v>
      </c>
      <c r="Z456" s="152"/>
      <c r="AA456" s="148"/>
      <c r="AB456" s="148"/>
      <c r="AC456" s="153"/>
      <c r="AD456" s="153"/>
      <c r="AE456" s="153"/>
      <c r="AF456" s="153"/>
      <c r="AJ456" s="147"/>
    </row>
    <row r="457" spans="1:36" s="146" customFormat="1" x14ac:dyDescent="0.25">
      <c r="A457" s="196">
        <v>634</v>
      </c>
      <c r="B457" s="196" t="s">
        <v>2712</v>
      </c>
      <c r="C457" s="196" t="s">
        <v>2713</v>
      </c>
      <c r="D457" s="196" t="s">
        <v>2209</v>
      </c>
      <c r="E457" s="196" t="s">
        <v>1877</v>
      </c>
      <c r="F457" s="196">
        <v>2006</v>
      </c>
      <c r="G457" s="196"/>
      <c r="H457" s="196" t="s">
        <v>1878</v>
      </c>
      <c r="I457" s="141" t="s">
        <v>1879</v>
      </c>
      <c r="J457" s="196"/>
      <c r="K457" s="196" t="s">
        <v>1881</v>
      </c>
      <c r="L457" s="141" t="s">
        <v>2714</v>
      </c>
      <c r="M457" s="196">
        <v>560</v>
      </c>
      <c r="N457" s="196"/>
      <c r="O457" s="196" t="s">
        <v>2666</v>
      </c>
      <c r="P457" s="144">
        <v>458</v>
      </c>
      <c r="Q457" s="145">
        <f t="shared" si="26"/>
        <v>2.6162999999999998</v>
      </c>
      <c r="R457" s="203">
        <v>1.0900000000000001</v>
      </c>
      <c r="S457" s="203"/>
      <c r="T457" s="151"/>
      <c r="U457" s="151">
        <v>1.2</v>
      </c>
      <c r="V457" s="149">
        <v>0.25</v>
      </c>
      <c r="W457" s="151">
        <f t="shared" si="27"/>
        <v>1.0900000000000001</v>
      </c>
      <c r="X457" s="152">
        <f t="shared" si="25"/>
        <v>7.6300000000000007E-2</v>
      </c>
      <c r="Y457" s="150">
        <f t="shared" si="24"/>
        <v>1.01</v>
      </c>
      <c r="Z457" s="152"/>
      <c r="AA457" s="148"/>
      <c r="AB457" s="148"/>
      <c r="AC457" s="153"/>
      <c r="AD457" s="153"/>
      <c r="AE457" s="153"/>
      <c r="AF457" s="153"/>
      <c r="AJ457" s="147"/>
    </row>
    <row r="458" spans="1:36" s="146" customFormat="1" x14ac:dyDescent="0.25">
      <c r="A458" s="196">
        <v>692</v>
      </c>
      <c r="B458" s="196" t="s">
        <v>2715</v>
      </c>
      <c r="C458" s="196" t="s">
        <v>2716</v>
      </c>
      <c r="D458" s="196" t="s">
        <v>1993</v>
      </c>
      <c r="E458" s="196" t="s">
        <v>1877</v>
      </c>
      <c r="F458" s="196">
        <v>2016</v>
      </c>
      <c r="G458" s="196"/>
      <c r="H458" s="196" t="s">
        <v>1878</v>
      </c>
      <c r="I458" s="141" t="s">
        <v>1879</v>
      </c>
      <c r="J458" s="143" t="s">
        <v>2717</v>
      </c>
      <c r="K458" s="196" t="s">
        <v>1881</v>
      </c>
      <c r="L458" s="141" t="s">
        <v>2718</v>
      </c>
      <c r="M458" s="196">
        <v>448</v>
      </c>
      <c r="N458" s="196"/>
      <c r="O458" s="196" t="s">
        <v>2667</v>
      </c>
      <c r="P458" s="144">
        <v>399</v>
      </c>
      <c r="Q458" s="145">
        <f t="shared" si="26"/>
        <v>1.9742999999999999</v>
      </c>
      <c r="R458" s="203">
        <v>0.49</v>
      </c>
      <c r="S458" s="203"/>
      <c r="T458" s="151"/>
      <c r="U458" s="151">
        <v>1.2</v>
      </c>
      <c r="V458" s="151">
        <v>0.25</v>
      </c>
      <c r="W458" s="151">
        <f t="shared" si="27"/>
        <v>0.49</v>
      </c>
      <c r="X458" s="152">
        <f t="shared" si="25"/>
        <v>3.4299999999999997E-2</v>
      </c>
      <c r="Y458" s="150">
        <f t="shared" si="24"/>
        <v>1.01</v>
      </c>
      <c r="Z458" s="152"/>
      <c r="AA458" s="148"/>
      <c r="AB458" s="148"/>
      <c r="AC458" s="153"/>
      <c r="AD458" s="153"/>
      <c r="AE458" s="153"/>
      <c r="AF458" s="153"/>
      <c r="AJ458" s="147"/>
    </row>
    <row r="459" spans="1:36" s="146" customFormat="1" x14ac:dyDescent="0.25">
      <c r="A459" s="196">
        <v>765</v>
      </c>
      <c r="B459" s="196" t="s">
        <v>2719</v>
      </c>
      <c r="C459" s="196" t="s">
        <v>2720</v>
      </c>
      <c r="D459" s="196" t="s">
        <v>2054</v>
      </c>
      <c r="E459" s="196"/>
      <c r="F459" s="196">
        <v>2011</v>
      </c>
      <c r="G459" s="196"/>
      <c r="H459" s="196" t="s">
        <v>1878</v>
      </c>
      <c r="I459" s="141" t="s">
        <v>1879</v>
      </c>
      <c r="J459" s="196" t="s">
        <v>2650</v>
      </c>
      <c r="K459" s="196" t="s">
        <v>1881</v>
      </c>
      <c r="L459" s="141" t="s">
        <v>2721</v>
      </c>
      <c r="M459" s="196">
        <v>160</v>
      </c>
      <c r="N459" s="196"/>
      <c r="O459" s="196" t="s">
        <v>2668</v>
      </c>
      <c r="P459" s="144">
        <v>165</v>
      </c>
      <c r="Q459" s="145">
        <f t="shared" si="26"/>
        <v>9.571299999999999</v>
      </c>
      <c r="R459" s="203">
        <v>7.59</v>
      </c>
      <c r="S459" s="203"/>
      <c r="T459" s="151"/>
      <c r="U459" s="151">
        <v>1.2</v>
      </c>
      <c r="V459" s="149">
        <v>0.25</v>
      </c>
      <c r="W459" s="151">
        <f t="shared" si="27"/>
        <v>7.59</v>
      </c>
      <c r="X459" s="152">
        <f t="shared" si="25"/>
        <v>0.53129999999999999</v>
      </c>
      <c r="Y459" s="150">
        <f t="shared" si="24"/>
        <v>1.01</v>
      </c>
      <c r="Z459" s="152"/>
      <c r="AA459" s="148"/>
      <c r="AB459" s="148"/>
      <c r="AC459" s="153"/>
      <c r="AD459" s="153"/>
      <c r="AE459" s="153"/>
      <c r="AF459" s="153"/>
      <c r="AJ459" s="147"/>
    </row>
    <row r="460" spans="1:36" s="146" customFormat="1" x14ac:dyDescent="0.25">
      <c r="A460" s="196">
        <v>2571</v>
      </c>
      <c r="B460" s="196" t="s">
        <v>2723</v>
      </c>
      <c r="C460" s="196" t="s">
        <v>2724</v>
      </c>
      <c r="D460" s="196" t="s">
        <v>2725</v>
      </c>
      <c r="E460" s="196"/>
      <c r="F460" s="196">
        <v>2002</v>
      </c>
      <c r="G460" s="196"/>
      <c r="H460" s="196" t="s">
        <v>1878</v>
      </c>
      <c r="I460" s="141" t="s">
        <v>1879</v>
      </c>
      <c r="J460" s="196" t="s">
        <v>2726</v>
      </c>
      <c r="K460" s="196" t="s">
        <v>1881</v>
      </c>
      <c r="L460" s="141" t="s">
        <v>2727</v>
      </c>
      <c r="M460" s="196">
        <v>174</v>
      </c>
      <c r="N460" s="196"/>
      <c r="O460" s="196" t="s">
        <v>2722</v>
      </c>
      <c r="P460" s="144">
        <v>193</v>
      </c>
      <c r="Q460" s="145">
        <f t="shared" si="26"/>
        <v>5.0773000000000001</v>
      </c>
      <c r="R460" s="203">
        <v>3.39</v>
      </c>
      <c r="S460" s="203"/>
      <c r="T460" s="151"/>
      <c r="U460" s="151">
        <v>1.2</v>
      </c>
      <c r="V460" s="151">
        <v>0.25</v>
      </c>
      <c r="W460" s="151">
        <f t="shared" si="27"/>
        <v>3.39</v>
      </c>
      <c r="X460" s="152">
        <f t="shared" si="25"/>
        <v>0.23730000000000001</v>
      </c>
      <c r="Y460" s="150">
        <f t="shared" si="24"/>
        <v>1.01</v>
      </c>
      <c r="Z460" s="152"/>
      <c r="AA460" s="148"/>
      <c r="AB460" s="148"/>
      <c r="AC460" s="153"/>
      <c r="AD460" s="153"/>
      <c r="AE460" s="153"/>
      <c r="AF460" s="153"/>
      <c r="AJ460" s="147"/>
    </row>
    <row r="461" spans="1:36" s="146" customFormat="1" x14ac:dyDescent="0.25">
      <c r="A461" s="196">
        <v>2522</v>
      </c>
      <c r="B461" s="196" t="s">
        <v>2728</v>
      </c>
      <c r="C461" s="196" t="s">
        <v>2729</v>
      </c>
      <c r="D461" s="196" t="s">
        <v>1920</v>
      </c>
      <c r="E461" s="196" t="s">
        <v>1921</v>
      </c>
      <c r="F461" s="196">
        <v>2008</v>
      </c>
      <c r="G461" s="196"/>
      <c r="H461" s="196" t="s">
        <v>1878</v>
      </c>
      <c r="I461" s="141" t="s">
        <v>1879</v>
      </c>
      <c r="J461" s="196" t="s">
        <v>2730</v>
      </c>
      <c r="K461" s="196" t="s">
        <v>1881</v>
      </c>
      <c r="L461" s="141" t="s">
        <v>2731</v>
      </c>
      <c r="M461" s="196">
        <v>528</v>
      </c>
      <c r="N461" s="196"/>
      <c r="O461" s="196" t="s">
        <v>2744</v>
      </c>
      <c r="P461" s="144">
        <v>447</v>
      </c>
      <c r="Q461" s="145">
        <f t="shared" si="26"/>
        <v>1.7175</v>
      </c>
      <c r="R461" s="203">
        <v>0.25</v>
      </c>
      <c r="S461" s="203"/>
      <c r="T461" s="151"/>
      <c r="U461" s="151">
        <v>1.2</v>
      </c>
      <c r="V461" s="149">
        <v>0.25</v>
      </c>
      <c r="W461" s="151">
        <f t="shared" si="27"/>
        <v>0.25</v>
      </c>
      <c r="X461" s="152">
        <f t="shared" si="25"/>
        <v>1.7500000000000002E-2</v>
      </c>
      <c r="Y461" s="150">
        <f t="shared" si="24"/>
        <v>1.01</v>
      </c>
      <c r="Z461" s="152"/>
      <c r="AA461" s="148"/>
      <c r="AB461" s="148"/>
      <c r="AC461" s="153"/>
      <c r="AD461" s="153"/>
      <c r="AE461" s="153"/>
      <c r="AF461" s="153"/>
      <c r="AJ461" s="147"/>
    </row>
    <row r="462" spans="1:36" s="146" customFormat="1" ht="39.6" x14ac:dyDescent="0.25">
      <c r="A462" s="196">
        <v>2518</v>
      </c>
      <c r="B462" s="196" t="s">
        <v>2732</v>
      </c>
      <c r="C462" s="196" t="s">
        <v>2733</v>
      </c>
      <c r="D462" s="196" t="s">
        <v>2221</v>
      </c>
      <c r="E462" s="196"/>
      <c r="F462" s="196">
        <v>2003</v>
      </c>
      <c r="G462" s="196"/>
      <c r="H462" s="196" t="s">
        <v>2734</v>
      </c>
      <c r="I462" s="141" t="s">
        <v>1879</v>
      </c>
      <c r="J462" s="52" t="s">
        <v>2726</v>
      </c>
      <c r="K462" s="196" t="s">
        <v>1881</v>
      </c>
      <c r="L462" s="141" t="s">
        <v>2735</v>
      </c>
      <c r="M462" s="196">
        <v>226</v>
      </c>
      <c r="N462" s="196"/>
      <c r="O462" s="196" t="s">
        <v>2745</v>
      </c>
      <c r="P462" s="144">
        <v>344</v>
      </c>
      <c r="Q462" s="145">
        <f t="shared" si="26"/>
        <v>1.8673</v>
      </c>
      <c r="R462" s="203">
        <v>0.39</v>
      </c>
      <c r="S462" s="203"/>
      <c r="T462" s="151"/>
      <c r="U462" s="151">
        <v>1.2</v>
      </c>
      <c r="V462" s="151">
        <v>0.25</v>
      </c>
      <c r="W462" s="151">
        <f t="shared" si="27"/>
        <v>0.39</v>
      </c>
      <c r="X462" s="152">
        <f t="shared" si="25"/>
        <v>2.7300000000000001E-2</v>
      </c>
      <c r="Y462" s="150">
        <f t="shared" si="24"/>
        <v>1.01</v>
      </c>
      <c r="Z462" s="152"/>
      <c r="AA462" s="148"/>
      <c r="AB462" s="148"/>
      <c r="AC462" s="153"/>
      <c r="AD462" s="153"/>
      <c r="AE462" s="153"/>
      <c r="AF462" s="153"/>
      <c r="AJ462" s="147"/>
    </row>
    <row r="463" spans="1:36" s="146" customFormat="1" x14ac:dyDescent="0.25">
      <c r="A463" s="196">
        <v>614</v>
      </c>
      <c r="B463" s="196" t="s">
        <v>2736</v>
      </c>
      <c r="C463" s="196" t="s">
        <v>2737</v>
      </c>
      <c r="D463" s="196" t="s">
        <v>2300</v>
      </c>
      <c r="E463" s="196" t="s">
        <v>2738</v>
      </c>
      <c r="F463" s="196">
        <v>1968</v>
      </c>
      <c r="G463" s="196"/>
      <c r="H463" s="196" t="s">
        <v>2008</v>
      </c>
      <c r="I463" s="141" t="s">
        <v>1879</v>
      </c>
      <c r="J463" s="196" t="s">
        <v>2739</v>
      </c>
      <c r="K463" s="196" t="s">
        <v>1881</v>
      </c>
      <c r="L463" s="141"/>
      <c r="M463" s="196">
        <v>158</v>
      </c>
      <c r="N463" s="196"/>
      <c r="O463" s="196" t="s">
        <v>2746</v>
      </c>
      <c r="P463" s="144">
        <v>122</v>
      </c>
      <c r="Q463" s="145">
        <f t="shared" si="26"/>
        <v>1.9742999999999999</v>
      </c>
      <c r="R463" s="203">
        <v>0.49</v>
      </c>
      <c r="S463" s="203"/>
      <c r="T463" s="151"/>
      <c r="U463" s="151">
        <v>1.2</v>
      </c>
      <c r="V463" s="149">
        <v>0.25</v>
      </c>
      <c r="W463" s="151">
        <f t="shared" si="27"/>
        <v>0.49</v>
      </c>
      <c r="X463" s="152">
        <f t="shared" si="25"/>
        <v>3.4299999999999997E-2</v>
      </c>
      <c r="Y463" s="150">
        <f t="shared" si="24"/>
        <v>1.01</v>
      </c>
      <c r="Z463" s="152"/>
      <c r="AA463" s="148"/>
      <c r="AB463" s="148"/>
      <c r="AC463" s="153"/>
      <c r="AD463" s="153"/>
      <c r="AE463" s="153"/>
      <c r="AF463" s="153"/>
      <c r="AJ463" s="147"/>
    </row>
    <row r="464" spans="1:36" s="146" customFormat="1" x14ac:dyDescent="0.25">
      <c r="A464" s="196">
        <v>651</v>
      </c>
      <c r="B464" s="196" t="s">
        <v>2740</v>
      </c>
      <c r="C464" s="196" t="s">
        <v>2741</v>
      </c>
      <c r="D464" s="196" t="s">
        <v>2742</v>
      </c>
      <c r="E464" s="196" t="s">
        <v>1913</v>
      </c>
      <c r="F464" s="196">
        <v>1999</v>
      </c>
      <c r="G464" s="196"/>
      <c r="H464" s="196" t="s">
        <v>2314</v>
      </c>
      <c r="I464" s="141" t="s">
        <v>1929</v>
      </c>
      <c r="J464" s="196"/>
      <c r="K464" s="196" t="s">
        <v>1881</v>
      </c>
      <c r="L464" s="141" t="s">
        <v>2743</v>
      </c>
      <c r="M464" s="196">
        <v>32</v>
      </c>
      <c r="N464" s="196"/>
      <c r="O464" s="196" t="s">
        <v>2747</v>
      </c>
      <c r="P464" s="144">
        <v>116</v>
      </c>
      <c r="Q464" s="145">
        <f t="shared" si="26"/>
        <v>1.7175</v>
      </c>
      <c r="R464" s="203">
        <v>0.25</v>
      </c>
      <c r="S464" s="203"/>
      <c r="T464" s="151"/>
      <c r="U464" s="151">
        <v>1.2</v>
      </c>
      <c r="V464" s="151">
        <v>0.25</v>
      </c>
      <c r="W464" s="151">
        <f t="shared" si="27"/>
        <v>0.25</v>
      </c>
      <c r="X464" s="152">
        <f t="shared" si="25"/>
        <v>1.7500000000000002E-2</v>
      </c>
      <c r="Y464" s="150">
        <f t="shared" si="24"/>
        <v>1.01</v>
      </c>
      <c r="Z464" s="152"/>
      <c r="AA464" s="148"/>
      <c r="AB464" s="148"/>
      <c r="AC464" s="153"/>
      <c r="AD464" s="153"/>
      <c r="AE464" s="153"/>
      <c r="AF464" s="153"/>
      <c r="AJ464" s="147"/>
    </row>
    <row r="465" spans="1:36" s="146" customFormat="1" x14ac:dyDescent="0.25">
      <c r="A465" s="196">
        <v>632</v>
      </c>
      <c r="B465" s="196" t="s">
        <v>2774</v>
      </c>
      <c r="C465" s="196" t="s">
        <v>2775</v>
      </c>
      <c r="D465" s="196" t="s">
        <v>1920</v>
      </c>
      <c r="E465" s="196"/>
      <c r="F465" s="196">
        <v>1998</v>
      </c>
      <c r="G465" s="196"/>
      <c r="H465" s="196" t="s">
        <v>1878</v>
      </c>
      <c r="I465" s="141" t="s">
        <v>1879</v>
      </c>
      <c r="J465" s="196" t="s">
        <v>2776</v>
      </c>
      <c r="K465" s="196" t="s">
        <v>1881</v>
      </c>
      <c r="L465" s="141" t="s">
        <v>2777</v>
      </c>
      <c r="M465" s="196">
        <v>1006</v>
      </c>
      <c r="N465" s="196"/>
      <c r="O465" s="196" t="s">
        <v>2748</v>
      </c>
      <c r="P465" s="144">
        <v>639</v>
      </c>
      <c r="Q465" s="145">
        <f t="shared" si="26"/>
        <v>2.3245</v>
      </c>
      <c r="R465" s="203">
        <v>0.35</v>
      </c>
      <c r="S465" s="203"/>
      <c r="T465" s="151"/>
      <c r="U465" s="151">
        <v>1.7</v>
      </c>
      <c r="V465" s="149">
        <v>0.25</v>
      </c>
      <c r="W465" s="151">
        <f t="shared" si="27"/>
        <v>0.35</v>
      </c>
      <c r="X465" s="152">
        <f t="shared" si="25"/>
        <v>2.4499999999999997E-2</v>
      </c>
      <c r="Y465" s="150">
        <f t="shared" si="24"/>
        <v>1.01</v>
      </c>
      <c r="Z465" s="152"/>
      <c r="AA465" s="148"/>
      <c r="AB465" s="148"/>
      <c r="AC465" s="153"/>
      <c r="AD465" s="153"/>
      <c r="AE465" s="153"/>
      <c r="AF465" s="153"/>
      <c r="AJ465" s="147"/>
    </row>
    <row r="466" spans="1:36" s="146" customFormat="1" x14ac:dyDescent="0.25">
      <c r="A466" s="196">
        <v>2434</v>
      </c>
      <c r="B466" s="196"/>
      <c r="C466" s="196" t="s">
        <v>2778</v>
      </c>
      <c r="D466" s="196" t="s">
        <v>2779</v>
      </c>
      <c r="E466" s="196"/>
      <c r="F466" s="196">
        <v>2005</v>
      </c>
      <c r="G466" s="196"/>
      <c r="H466" s="196" t="s">
        <v>2314</v>
      </c>
      <c r="I466" s="141" t="s">
        <v>1879</v>
      </c>
      <c r="J466" s="143"/>
      <c r="K466" s="196" t="s">
        <v>1881</v>
      </c>
      <c r="L466" s="141" t="s">
        <v>2780</v>
      </c>
      <c r="M466" s="196">
        <v>242</v>
      </c>
      <c r="N466" s="196"/>
      <c r="O466" s="196" t="s">
        <v>2749</v>
      </c>
      <c r="P466" s="144">
        <v>452</v>
      </c>
      <c r="Q466" s="145">
        <f t="shared" si="26"/>
        <v>1.9742999999999999</v>
      </c>
      <c r="R466" s="203">
        <v>0.49</v>
      </c>
      <c r="S466" s="203"/>
      <c r="T466" s="151"/>
      <c r="U466" s="151">
        <v>1.2</v>
      </c>
      <c r="V466" s="151">
        <v>0.25</v>
      </c>
      <c r="W466" s="151">
        <f t="shared" si="27"/>
        <v>0.49</v>
      </c>
      <c r="X466" s="152">
        <f t="shared" si="25"/>
        <v>3.4299999999999997E-2</v>
      </c>
      <c r="Y466" s="150">
        <f t="shared" si="24"/>
        <v>1.01</v>
      </c>
      <c r="Z466" s="152"/>
      <c r="AA466" s="148"/>
      <c r="AB466" s="148"/>
      <c r="AC466" s="153"/>
      <c r="AD466" s="153"/>
      <c r="AE466" s="153"/>
      <c r="AF466" s="153"/>
      <c r="AJ466" s="147"/>
    </row>
    <row r="467" spans="1:36" s="146" customFormat="1" x14ac:dyDescent="0.25">
      <c r="A467" s="196">
        <v>618</v>
      </c>
      <c r="B467" s="196"/>
      <c r="C467" s="196" t="s">
        <v>2781</v>
      </c>
      <c r="D467" s="196" t="s">
        <v>2077</v>
      </c>
      <c r="E467" s="196"/>
      <c r="F467" s="196">
        <v>1997</v>
      </c>
      <c r="G467" s="196"/>
      <c r="H467" s="196" t="s">
        <v>1878</v>
      </c>
      <c r="I467" s="141" t="s">
        <v>1879</v>
      </c>
      <c r="J467" s="196" t="s">
        <v>2782</v>
      </c>
      <c r="K467" s="196" t="s">
        <v>1881</v>
      </c>
      <c r="L467" s="141" t="s">
        <v>2783</v>
      </c>
      <c r="M467" s="196">
        <v>122</v>
      </c>
      <c r="N467" s="196"/>
      <c r="O467" s="196" t="s">
        <v>2750</v>
      </c>
      <c r="P467" s="144">
        <v>302</v>
      </c>
      <c r="Q467" s="145">
        <f t="shared" si="26"/>
        <v>1.7175</v>
      </c>
      <c r="R467" s="203">
        <v>0.25</v>
      </c>
      <c r="S467" s="203"/>
      <c r="T467" s="151"/>
      <c r="U467" s="151">
        <v>1.2</v>
      </c>
      <c r="V467" s="149">
        <v>0.25</v>
      </c>
      <c r="W467" s="151">
        <f t="shared" si="27"/>
        <v>0.25</v>
      </c>
      <c r="X467" s="152">
        <f t="shared" si="25"/>
        <v>1.7500000000000002E-2</v>
      </c>
      <c r="Y467" s="150">
        <f t="shared" si="24"/>
        <v>1.01</v>
      </c>
      <c r="Z467" s="152"/>
      <c r="AA467" s="148"/>
      <c r="AB467" s="148"/>
      <c r="AC467" s="153"/>
      <c r="AD467" s="153"/>
      <c r="AE467" s="153"/>
      <c r="AF467" s="153"/>
      <c r="AJ467" s="147"/>
    </row>
    <row r="468" spans="1:36" s="146" customFormat="1" x14ac:dyDescent="0.25">
      <c r="A468" s="196">
        <v>1315</v>
      </c>
      <c r="B468" s="196" t="s">
        <v>2784</v>
      </c>
      <c r="C468" s="196" t="s">
        <v>2785</v>
      </c>
      <c r="D468" s="196" t="s">
        <v>2156</v>
      </c>
      <c r="E468" s="196" t="s">
        <v>2175</v>
      </c>
      <c r="F468" s="196">
        <v>2002</v>
      </c>
      <c r="G468" s="196"/>
      <c r="H468" s="196" t="s">
        <v>1878</v>
      </c>
      <c r="I468" s="141" t="s">
        <v>1879</v>
      </c>
      <c r="J468" s="196" t="s">
        <v>2786</v>
      </c>
      <c r="K468" s="196" t="s">
        <v>1881</v>
      </c>
      <c r="L468" s="141" t="s">
        <v>2787</v>
      </c>
      <c r="M468" s="196">
        <v>272</v>
      </c>
      <c r="N468" s="196"/>
      <c r="O468" s="196" t="s">
        <v>2751</v>
      </c>
      <c r="P468" s="144">
        <v>296</v>
      </c>
      <c r="Q468" s="145">
        <f t="shared" si="26"/>
        <v>1.7175</v>
      </c>
      <c r="R468" s="203">
        <v>0.25</v>
      </c>
      <c r="S468" s="203"/>
      <c r="T468" s="151"/>
      <c r="U468" s="151">
        <v>1.2</v>
      </c>
      <c r="V468" s="151">
        <v>0.25</v>
      </c>
      <c r="W468" s="151">
        <f t="shared" si="27"/>
        <v>0.25</v>
      </c>
      <c r="X468" s="152">
        <f t="shared" si="25"/>
        <v>1.7500000000000002E-2</v>
      </c>
      <c r="Y468" s="150">
        <f t="shared" si="24"/>
        <v>1.01</v>
      </c>
      <c r="Z468" s="152"/>
      <c r="AA468" s="148"/>
      <c r="AB468" s="148"/>
      <c r="AC468" s="153"/>
      <c r="AD468" s="153"/>
      <c r="AE468" s="153"/>
      <c r="AF468" s="153"/>
      <c r="AJ468" s="147"/>
    </row>
    <row r="469" spans="1:36" s="146" customFormat="1" x14ac:dyDescent="0.25">
      <c r="A469" s="196">
        <v>565</v>
      </c>
      <c r="B469" s="196" t="s">
        <v>2788</v>
      </c>
      <c r="C469" s="196" t="s">
        <v>2789</v>
      </c>
      <c r="D469" s="196" t="s">
        <v>2790</v>
      </c>
      <c r="E469" s="196"/>
      <c r="F469" s="196">
        <v>2009</v>
      </c>
      <c r="G469" s="196"/>
      <c r="H469" s="196" t="s">
        <v>2314</v>
      </c>
      <c r="I469" s="141" t="s">
        <v>1879</v>
      </c>
      <c r="J469" s="143" t="s">
        <v>2791</v>
      </c>
      <c r="K469" s="196" t="s">
        <v>1881</v>
      </c>
      <c r="L469" s="141" t="s">
        <v>2792</v>
      </c>
      <c r="M469" s="196">
        <v>264</v>
      </c>
      <c r="N469" s="196"/>
      <c r="O469" s="196" t="s">
        <v>2752</v>
      </c>
      <c r="P469" s="144">
        <v>505</v>
      </c>
      <c r="Q469" s="145">
        <f t="shared" si="26"/>
        <v>3.6513</v>
      </c>
      <c r="R469" s="203">
        <v>1.59</v>
      </c>
      <c r="S469" s="203"/>
      <c r="T469" s="151"/>
      <c r="U469" s="151">
        <v>1.7</v>
      </c>
      <c r="V469" s="149">
        <v>0.25</v>
      </c>
      <c r="W469" s="151">
        <f t="shared" si="27"/>
        <v>1.59</v>
      </c>
      <c r="X469" s="152">
        <f t="shared" si="25"/>
        <v>0.11130000000000001</v>
      </c>
      <c r="Y469" s="150">
        <f t="shared" si="24"/>
        <v>1.01</v>
      </c>
      <c r="Z469" s="152"/>
      <c r="AA469" s="148"/>
      <c r="AB469" s="148"/>
      <c r="AC469" s="153"/>
      <c r="AD469" s="153"/>
      <c r="AE469" s="153"/>
      <c r="AF469" s="153"/>
      <c r="AJ469" s="147"/>
    </row>
    <row r="470" spans="1:36" s="146" customFormat="1" x14ac:dyDescent="0.25">
      <c r="A470" s="196">
        <v>1984</v>
      </c>
      <c r="B470" s="196" t="s">
        <v>2793</v>
      </c>
      <c r="C470" s="196" t="s">
        <v>2794</v>
      </c>
      <c r="D470" s="196" t="s">
        <v>2054</v>
      </c>
      <c r="E470" s="196"/>
      <c r="F470" s="196">
        <v>2005</v>
      </c>
      <c r="G470" s="196"/>
      <c r="H470" s="196" t="s">
        <v>2734</v>
      </c>
      <c r="I470" s="141" t="s">
        <v>1929</v>
      </c>
      <c r="J470" s="196"/>
      <c r="K470" s="196" t="s">
        <v>1881</v>
      </c>
      <c r="L470" s="141" t="s">
        <v>2795</v>
      </c>
      <c r="M470" s="196">
        <v>76</v>
      </c>
      <c r="N470" s="196"/>
      <c r="O470" s="196" t="s">
        <v>2753</v>
      </c>
      <c r="P470" s="144">
        <v>238</v>
      </c>
      <c r="Q470" s="145">
        <f t="shared" si="26"/>
        <v>4.1143000000000001</v>
      </c>
      <c r="R470" s="203">
        <v>2.4900000000000002</v>
      </c>
      <c r="S470" s="203"/>
      <c r="T470" s="151"/>
      <c r="U470" s="151">
        <v>1.2</v>
      </c>
      <c r="V470" s="151">
        <v>0.25</v>
      </c>
      <c r="W470" s="151">
        <f t="shared" si="27"/>
        <v>2.4900000000000002</v>
      </c>
      <c r="X470" s="152">
        <f t="shared" si="25"/>
        <v>0.17430000000000001</v>
      </c>
      <c r="Y470" s="150">
        <f t="shared" si="24"/>
        <v>1.01</v>
      </c>
      <c r="Z470" s="152"/>
      <c r="AA470" s="148"/>
      <c r="AB470" s="148"/>
      <c r="AC470" s="153"/>
      <c r="AD470" s="153"/>
      <c r="AE470" s="153"/>
      <c r="AF470" s="153"/>
      <c r="AJ470" s="147"/>
    </row>
    <row r="471" spans="1:36" s="146" customFormat="1" x14ac:dyDescent="0.25">
      <c r="A471" s="196">
        <v>1984</v>
      </c>
      <c r="B471" s="196" t="s">
        <v>2796</v>
      </c>
      <c r="C471" s="196" t="s">
        <v>2797</v>
      </c>
      <c r="D471" s="196" t="s">
        <v>2054</v>
      </c>
      <c r="E471" s="196"/>
      <c r="F471" s="196">
        <v>2004</v>
      </c>
      <c r="G471" s="196"/>
      <c r="H471" s="196" t="s">
        <v>2734</v>
      </c>
      <c r="I471" s="141" t="s">
        <v>1929</v>
      </c>
      <c r="J471" s="196"/>
      <c r="K471" s="196" t="s">
        <v>1881</v>
      </c>
      <c r="L471" s="141" t="s">
        <v>2798</v>
      </c>
      <c r="M471" s="196">
        <v>92</v>
      </c>
      <c r="N471" s="196"/>
      <c r="O471" s="196" t="s">
        <v>2754</v>
      </c>
      <c r="P471" s="144">
        <v>266</v>
      </c>
      <c r="Q471" s="145">
        <f t="shared" si="26"/>
        <v>3.0442999999999998</v>
      </c>
      <c r="R471" s="203">
        <v>1.49</v>
      </c>
      <c r="S471" s="203"/>
      <c r="T471" s="151"/>
      <c r="U471" s="151">
        <v>1.2</v>
      </c>
      <c r="V471" s="149">
        <v>0.25</v>
      </c>
      <c r="W471" s="151">
        <f t="shared" si="27"/>
        <v>1.49</v>
      </c>
      <c r="X471" s="152">
        <f t="shared" si="25"/>
        <v>0.1043</v>
      </c>
      <c r="Y471" s="150">
        <f t="shared" si="24"/>
        <v>1.01</v>
      </c>
      <c r="Z471" s="152"/>
      <c r="AA471" s="148"/>
      <c r="AB471" s="148"/>
      <c r="AC471" s="153"/>
      <c r="AD471" s="153"/>
      <c r="AE471" s="153"/>
      <c r="AF471" s="153"/>
      <c r="AJ471" s="147"/>
    </row>
    <row r="472" spans="1:36" s="146" customFormat="1" x14ac:dyDescent="0.25">
      <c r="A472" s="196">
        <v>1984</v>
      </c>
      <c r="B472" s="196" t="s">
        <v>2793</v>
      </c>
      <c r="C472" s="196" t="s">
        <v>2799</v>
      </c>
      <c r="D472" s="196" t="s">
        <v>2054</v>
      </c>
      <c r="E472" s="196"/>
      <c r="F472" s="196">
        <v>2006</v>
      </c>
      <c r="G472" s="196"/>
      <c r="H472" s="196" t="s">
        <v>2734</v>
      </c>
      <c r="I472" s="141" t="s">
        <v>1929</v>
      </c>
      <c r="J472" s="196"/>
      <c r="K472" s="196" t="s">
        <v>1881</v>
      </c>
      <c r="L472" s="141" t="s">
        <v>2800</v>
      </c>
      <c r="M472" s="196">
        <v>76</v>
      </c>
      <c r="N472" s="196"/>
      <c r="O472" s="196" t="s">
        <v>2755</v>
      </c>
      <c r="P472" s="144">
        <v>238</v>
      </c>
      <c r="Q472" s="145">
        <f t="shared" si="26"/>
        <v>3.7932999999999995</v>
      </c>
      <c r="R472" s="203">
        <v>2.19</v>
      </c>
      <c r="S472" s="203"/>
      <c r="T472" s="151"/>
      <c r="U472" s="151">
        <v>1.2</v>
      </c>
      <c r="V472" s="151">
        <v>0.25</v>
      </c>
      <c r="W472" s="151">
        <f t="shared" si="27"/>
        <v>2.19</v>
      </c>
      <c r="X472" s="152">
        <f t="shared" si="25"/>
        <v>0.15329999999999999</v>
      </c>
      <c r="Y472" s="150">
        <f t="shared" si="24"/>
        <v>1.01</v>
      </c>
      <c r="Z472" s="152"/>
      <c r="AA472" s="148"/>
      <c r="AB472" s="148"/>
      <c r="AC472" s="153"/>
      <c r="AD472" s="153"/>
      <c r="AE472" s="153"/>
      <c r="AF472" s="153"/>
      <c r="AJ472" s="147"/>
    </row>
    <row r="473" spans="1:36" s="146" customFormat="1" x14ac:dyDescent="0.25">
      <c r="A473" s="196">
        <v>1984</v>
      </c>
      <c r="B473" s="196" t="s">
        <v>2801</v>
      </c>
      <c r="C473" s="196" t="s">
        <v>2802</v>
      </c>
      <c r="D473" s="196" t="s">
        <v>2054</v>
      </c>
      <c r="E473" s="196"/>
      <c r="F473" s="196">
        <v>2004</v>
      </c>
      <c r="G473" s="196"/>
      <c r="H473" s="196" t="s">
        <v>2734</v>
      </c>
      <c r="I473" s="141" t="s">
        <v>1929</v>
      </c>
      <c r="J473" s="142"/>
      <c r="K473" s="196" t="s">
        <v>1881</v>
      </c>
      <c r="L473" s="141" t="s">
        <v>2803</v>
      </c>
      <c r="M473" s="196">
        <v>92</v>
      </c>
      <c r="N473" s="196"/>
      <c r="O473" s="196" t="s">
        <v>2756</v>
      </c>
      <c r="P473" s="144">
        <v>261</v>
      </c>
      <c r="Q473" s="145">
        <f t="shared" si="26"/>
        <v>3.5792999999999999</v>
      </c>
      <c r="R473" s="203">
        <v>1.99</v>
      </c>
      <c r="S473" s="203"/>
      <c r="T473" s="151"/>
      <c r="U473" s="151">
        <v>1.2</v>
      </c>
      <c r="V473" s="149">
        <v>0.25</v>
      </c>
      <c r="W473" s="151">
        <f t="shared" si="27"/>
        <v>1.99</v>
      </c>
      <c r="X473" s="152">
        <f t="shared" si="25"/>
        <v>0.13930000000000001</v>
      </c>
      <c r="Y473" s="150">
        <f t="shared" si="24"/>
        <v>1.01</v>
      </c>
      <c r="Z473" s="152"/>
      <c r="AA473" s="148"/>
      <c r="AB473" s="148"/>
      <c r="AC473" s="153"/>
      <c r="AD473" s="153"/>
      <c r="AE473" s="153"/>
      <c r="AF473" s="153"/>
      <c r="AJ473" s="147"/>
    </row>
    <row r="474" spans="1:36" s="146" customFormat="1" x14ac:dyDescent="0.25">
      <c r="A474" s="196">
        <v>1984</v>
      </c>
      <c r="B474" s="196" t="s">
        <v>2804</v>
      </c>
      <c r="C474" s="196" t="s">
        <v>2805</v>
      </c>
      <c r="D474" s="196" t="s">
        <v>2054</v>
      </c>
      <c r="E474" s="196"/>
      <c r="F474" s="196">
        <v>2006</v>
      </c>
      <c r="G474" s="196"/>
      <c r="H474" s="196" t="s">
        <v>2734</v>
      </c>
      <c r="I474" s="141" t="s">
        <v>1929</v>
      </c>
      <c r="J474" s="143"/>
      <c r="K474" s="196" t="s">
        <v>1881</v>
      </c>
      <c r="L474" s="141" t="s">
        <v>2806</v>
      </c>
      <c r="M474" s="196">
        <v>76</v>
      </c>
      <c r="N474" s="196"/>
      <c r="O474" s="196" t="s">
        <v>2757</v>
      </c>
      <c r="P474" s="144">
        <v>234</v>
      </c>
      <c r="Q474" s="145">
        <f t="shared" si="26"/>
        <v>4.3282999999999996</v>
      </c>
      <c r="R474" s="203">
        <v>2.69</v>
      </c>
      <c r="S474" s="203"/>
      <c r="T474" s="151"/>
      <c r="U474" s="151">
        <v>1.2</v>
      </c>
      <c r="V474" s="151">
        <v>0.25</v>
      </c>
      <c r="W474" s="151">
        <f t="shared" si="27"/>
        <v>2.69</v>
      </c>
      <c r="X474" s="152">
        <f t="shared" si="25"/>
        <v>0.1883</v>
      </c>
      <c r="Y474" s="150">
        <f t="shared" si="24"/>
        <v>1.01</v>
      </c>
      <c r="Z474" s="152"/>
      <c r="AA474" s="148"/>
      <c r="AB474" s="148"/>
      <c r="AC474" s="153"/>
      <c r="AD474" s="153"/>
      <c r="AE474" s="153"/>
      <c r="AF474" s="153"/>
      <c r="AJ474" s="147"/>
    </row>
    <row r="475" spans="1:36" s="146" customFormat="1" x14ac:dyDescent="0.25">
      <c r="A475" s="196">
        <v>1984</v>
      </c>
      <c r="B475" s="196" t="s">
        <v>2793</v>
      </c>
      <c r="C475" s="196" t="s">
        <v>2807</v>
      </c>
      <c r="D475" s="196" t="s">
        <v>2054</v>
      </c>
      <c r="E475" s="196"/>
      <c r="F475" s="196">
        <v>2006</v>
      </c>
      <c r="G475" s="196"/>
      <c r="H475" s="196" t="s">
        <v>2734</v>
      </c>
      <c r="I475" s="141" t="s">
        <v>1929</v>
      </c>
      <c r="J475" s="196"/>
      <c r="K475" s="196" t="s">
        <v>1881</v>
      </c>
      <c r="L475" s="141" t="s">
        <v>2808</v>
      </c>
      <c r="M475" s="196">
        <v>76</v>
      </c>
      <c r="N475" s="196"/>
      <c r="O475" s="196" t="s">
        <v>2758</v>
      </c>
      <c r="P475" s="144">
        <v>236</v>
      </c>
      <c r="Q475" s="145">
        <f t="shared" si="26"/>
        <v>4.3282999999999996</v>
      </c>
      <c r="R475" s="203">
        <v>2.69</v>
      </c>
      <c r="S475" s="203"/>
      <c r="T475" s="151"/>
      <c r="U475" s="151">
        <v>1.2</v>
      </c>
      <c r="V475" s="149">
        <v>0.25</v>
      </c>
      <c r="W475" s="151">
        <f t="shared" si="27"/>
        <v>2.69</v>
      </c>
      <c r="X475" s="152">
        <f t="shared" si="25"/>
        <v>0.1883</v>
      </c>
      <c r="Y475" s="150">
        <f t="shared" si="24"/>
        <v>1.01</v>
      </c>
      <c r="Z475" s="152"/>
      <c r="AA475" s="148"/>
      <c r="AB475" s="148"/>
      <c r="AC475" s="153"/>
      <c r="AD475" s="153"/>
      <c r="AE475" s="153"/>
      <c r="AF475" s="153"/>
      <c r="AJ475" s="147"/>
    </row>
    <row r="476" spans="1:36" s="146" customFormat="1" x14ac:dyDescent="0.25">
      <c r="A476" s="196">
        <v>1984</v>
      </c>
      <c r="B476" s="196" t="s">
        <v>2801</v>
      </c>
      <c r="C476" s="196" t="s">
        <v>2809</v>
      </c>
      <c r="D476" s="196" t="s">
        <v>2054</v>
      </c>
      <c r="E476" s="196"/>
      <c r="F476" s="196">
        <v>2004</v>
      </c>
      <c r="G476" s="196"/>
      <c r="H476" s="196" t="s">
        <v>2734</v>
      </c>
      <c r="I476" s="141" t="s">
        <v>1929</v>
      </c>
      <c r="J476" s="196"/>
      <c r="K476" s="196" t="s">
        <v>1881</v>
      </c>
      <c r="L476" s="141" t="s">
        <v>2810</v>
      </c>
      <c r="M476" s="196">
        <v>92</v>
      </c>
      <c r="N476" s="196"/>
      <c r="O476" s="196" t="s">
        <v>2759</v>
      </c>
      <c r="P476" s="144">
        <v>263</v>
      </c>
      <c r="Q476" s="145">
        <f t="shared" si="26"/>
        <v>4.3282999999999996</v>
      </c>
      <c r="R476" s="203">
        <v>2.69</v>
      </c>
      <c r="S476" s="203"/>
      <c r="T476" s="151"/>
      <c r="U476" s="151">
        <v>1.2</v>
      </c>
      <c r="V476" s="151">
        <v>0.25</v>
      </c>
      <c r="W476" s="151">
        <f t="shared" si="27"/>
        <v>2.69</v>
      </c>
      <c r="X476" s="152">
        <f t="shared" si="25"/>
        <v>0.1883</v>
      </c>
      <c r="Y476" s="150">
        <f t="shared" si="24"/>
        <v>1.01</v>
      </c>
      <c r="Z476" s="152"/>
      <c r="AA476" s="148"/>
      <c r="AB476" s="148"/>
      <c r="AC476" s="153"/>
      <c r="AD476" s="153"/>
      <c r="AE476" s="153"/>
      <c r="AF476" s="153"/>
      <c r="AJ476" s="147"/>
    </row>
    <row r="477" spans="1:36" s="146" customFormat="1" x14ac:dyDescent="0.25">
      <c r="A477" s="196">
        <v>1984</v>
      </c>
      <c r="B477" s="196" t="s">
        <v>2801</v>
      </c>
      <c r="C477" s="196" t="s">
        <v>2811</v>
      </c>
      <c r="D477" s="196" t="s">
        <v>2054</v>
      </c>
      <c r="E477" s="196"/>
      <c r="F477" s="196">
        <v>2004</v>
      </c>
      <c r="G477" s="196"/>
      <c r="H477" s="196" t="s">
        <v>2734</v>
      </c>
      <c r="I477" s="141" t="s">
        <v>1929</v>
      </c>
      <c r="J477" s="196"/>
      <c r="K477" s="196" t="s">
        <v>1881</v>
      </c>
      <c r="L477" s="141" t="s">
        <v>2812</v>
      </c>
      <c r="M477" s="196">
        <v>92</v>
      </c>
      <c r="N477" s="196"/>
      <c r="O477" s="196" t="s">
        <v>2760</v>
      </c>
      <c r="P477" s="144">
        <v>266</v>
      </c>
      <c r="Q477" s="145">
        <f t="shared" si="26"/>
        <v>4.3282999999999996</v>
      </c>
      <c r="R477" s="203">
        <v>2.69</v>
      </c>
      <c r="S477" s="203"/>
      <c r="T477" s="151"/>
      <c r="U477" s="151">
        <v>1.2</v>
      </c>
      <c r="V477" s="149">
        <v>0.25</v>
      </c>
      <c r="W477" s="151">
        <f t="shared" si="27"/>
        <v>2.69</v>
      </c>
      <c r="X477" s="152">
        <f t="shared" si="25"/>
        <v>0.1883</v>
      </c>
      <c r="Y477" s="150">
        <f t="shared" si="24"/>
        <v>1.01</v>
      </c>
      <c r="Z477" s="152"/>
      <c r="AA477" s="148"/>
      <c r="AB477" s="148"/>
      <c r="AC477" s="153"/>
      <c r="AD477" s="153"/>
      <c r="AE477" s="153"/>
      <c r="AF477" s="153"/>
      <c r="AJ477" s="147"/>
    </row>
    <row r="478" spans="1:36" s="146" customFormat="1" x14ac:dyDescent="0.25">
      <c r="A478" s="196">
        <v>2706</v>
      </c>
      <c r="B478" s="196"/>
      <c r="C478" s="196" t="s">
        <v>2813</v>
      </c>
      <c r="D478" s="196" t="s">
        <v>2814</v>
      </c>
      <c r="E478" s="196"/>
      <c r="F478" s="196">
        <v>2006</v>
      </c>
      <c r="G478" s="196"/>
      <c r="H478" s="196" t="s">
        <v>2314</v>
      </c>
      <c r="I478" s="141" t="s">
        <v>1879</v>
      </c>
      <c r="J478" s="196" t="s">
        <v>2815</v>
      </c>
      <c r="K478" s="196" t="s">
        <v>1881</v>
      </c>
      <c r="L478" s="141" t="s">
        <v>2816</v>
      </c>
      <c r="M478" s="196">
        <v>192</v>
      </c>
      <c r="N478" s="196"/>
      <c r="O478" s="196" t="s">
        <v>2761</v>
      </c>
      <c r="P478" s="144">
        <v>682</v>
      </c>
      <c r="Q478" s="145">
        <f t="shared" si="26"/>
        <v>4.0792999999999999</v>
      </c>
      <c r="R478" s="203">
        <v>1.99</v>
      </c>
      <c r="S478" s="203"/>
      <c r="T478" s="151"/>
      <c r="U478" s="151">
        <v>1.7</v>
      </c>
      <c r="V478" s="151">
        <v>0.25</v>
      </c>
      <c r="W478" s="151">
        <f t="shared" si="27"/>
        <v>1.99</v>
      </c>
      <c r="X478" s="152">
        <f t="shared" si="25"/>
        <v>0.13930000000000001</v>
      </c>
      <c r="Y478" s="150">
        <f t="shared" si="24"/>
        <v>1.01</v>
      </c>
      <c r="Z478" s="152"/>
      <c r="AA478" s="148"/>
      <c r="AB478" s="148"/>
      <c r="AC478" s="153"/>
      <c r="AD478" s="153"/>
      <c r="AE478" s="153"/>
      <c r="AF478" s="153"/>
      <c r="AJ478" s="147"/>
    </row>
    <row r="479" spans="1:36" s="146" customFormat="1" x14ac:dyDescent="0.25">
      <c r="A479" s="196">
        <v>1312</v>
      </c>
      <c r="B479" s="196"/>
      <c r="C479" s="196" t="s">
        <v>2817</v>
      </c>
      <c r="D479" s="196" t="s">
        <v>2818</v>
      </c>
      <c r="E479" s="196"/>
      <c r="F479" s="196">
        <v>1985</v>
      </c>
      <c r="G479" s="196"/>
      <c r="H479" s="196" t="s">
        <v>2734</v>
      </c>
      <c r="I479" s="141" t="s">
        <v>1879</v>
      </c>
      <c r="J479" s="196" t="s">
        <v>2604</v>
      </c>
      <c r="K479" s="196" t="s">
        <v>1881</v>
      </c>
      <c r="L479" s="141" t="s">
        <v>2819</v>
      </c>
      <c r="M479" s="196">
        <v>258</v>
      </c>
      <c r="N479" s="196"/>
      <c r="O479" s="196" t="s">
        <v>2762</v>
      </c>
      <c r="P479" s="144">
        <v>579</v>
      </c>
      <c r="Q479" s="145">
        <f t="shared" si="26"/>
        <v>2.2175000000000002</v>
      </c>
      <c r="R479" s="203">
        <v>0.25</v>
      </c>
      <c r="S479" s="203"/>
      <c r="T479" s="151"/>
      <c r="U479" s="151">
        <v>1.7</v>
      </c>
      <c r="V479" s="149">
        <v>0.25</v>
      </c>
      <c r="W479" s="151">
        <f t="shared" si="27"/>
        <v>0.25</v>
      </c>
      <c r="X479" s="152">
        <f t="shared" si="25"/>
        <v>1.7500000000000002E-2</v>
      </c>
      <c r="Y479" s="150">
        <f t="shared" si="24"/>
        <v>1.01</v>
      </c>
      <c r="Z479" s="152"/>
      <c r="AA479" s="148"/>
      <c r="AB479" s="148"/>
      <c r="AC479" s="153"/>
      <c r="AD479" s="153"/>
      <c r="AE479" s="153"/>
      <c r="AF479" s="153"/>
      <c r="AJ479" s="147"/>
    </row>
    <row r="480" spans="1:36" s="146" customFormat="1" x14ac:dyDescent="0.25">
      <c r="A480" s="196">
        <v>690</v>
      </c>
      <c r="B480" s="196" t="s">
        <v>2820</v>
      </c>
      <c r="C480" s="196" t="s">
        <v>2821</v>
      </c>
      <c r="D480" s="196" t="s">
        <v>2822</v>
      </c>
      <c r="E480" s="196"/>
      <c r="F480" s="196">
        <v>2004</v>
      </c>
      <c r="G480" s="196"/>
      <c r="H480" s="196" t="s">
        <v>1878</v>
      </c>
      <c r="I480" s="141" t="s">
        <v>1929</v>
      </c>
      <c r="J480" s="196"/>
      <c r="K480" s="196" t="s">
        <v>1881</v>
      </c>
      <c r="L480" s="141" t="s">
        <v>2823</v>
      </c>
      <c r="M480" s="196">
        <v>208</v>
      </c>
      <c r="N480" s="196"/>
      <c r="O480" s="196" t="s">
        <v>2763</v>
      </c>
      <c r="P480" s="144">
        <v>305</v>
      </c>
      <c r="Q480" s="145">
        <f t="shared" si="26"/>
        <v>1.9742999999999999</v>
      </c>
      <c r="R480" s="203">
        <v>0.49</v>
      </c>
      <c r="S480" s="203"/>
      <c r="T480" s="151"/>
      <c r="U480" s="151">
        <v>1.2</v>
      </c>
      <c r="V480" s="151">
        <v>0.25</v>
      </c>
      <c r="W480" s="151">
        <f t="shared" si="27"/>
        <v>0.49</v>
      </c>
      <c r="X480" s="152">
        <f t="shared" si="25"/>
        <v>3.4299999999999997E-2</v>
      </c>
      <c r="Y480" s="150">
        <f t="shared" si="24"/>
        <v>1.01</v>
      </c>
      <c r="Z480" s="152"/>
      <c r="AA480" s="148"/>
      <c r="AB480" s="148"/>
      <c r="AC480" s="153"/>
      <c r="AD480" s="153"/>
      <c r="AE480" s="153"/>
      <c r="AF480" s="153"/>
      <c r="AJ480" s="147"/>
    </row>
    <row r="481" spans="1:36" s="146" customFormat="1" x14ac:dyDescent="0.25">
      <c r="A481" s="196">
        <v>691</v>
      </c>
      <c r="B481" s="196" t="s">
        <v>2824</v>
      </c>
      <c r="C481" s="196" t="s">
        <v>2825</v>
      </c>
      <c r="D481" s="196" t="s">
        <v>2826</v>
      </c>
      <c r="E481" s="196"/>
      <c r="F481" s="196">
        <v>2002</v>
      </c>
      <c r="G481" s="196"/>
      <c r="H481" s="196" t="s">
        <v>2734</v>
      </c>
      <c r="I481" s="141" t="s">
        <v>1879</v>
      </c>
      <c r="J481" s="196"/>
      <c r="K481" s="196" t="s">
        <v>1881</v>
      </c>
      <c r="L481" s="141" t="s">
        <v>2827</v>
      </c>
      <c r="M481" s="196">
        <v>162</v>
      </c>
      <c r="N481" s="196"/>
      <c r="O481" s="196" t="s">
        <v>2764</v>
      </c>
      <c r="P481" s="144">
        <v>311</v>
      </c>
      <c r="Q481" s="145">
        <f t="shared" si="26"/>
        <v>1.9742999999999999</v>
      </c>
      <c r="R481" s="203">
        <v>0.49</v>
      </c>
      <c r="S481" s="203"/>
      <c r="T481" s="151"/>
      <c r="U481" s="151">
        <v>1.2</v>
      </c>
      <c r="V481" s="149">
        <v>0.25</v>
      </c>
      <c r="W481" s="151">
        <f t="shared" si="27"/>
        <v>0.49</v>
      </c>
      <c r="X481" s="152">
        <f t="shared" si="25"/>
        <v>3.4299999999999997E-2</v>
      </c>
      <c r="Y481" s="150">
        <f t="shared" si="24"/>
        <v>1.01</v>
      </c>
      <c r="Z481" s="152"/>
      <c r="AA481" s="148"/>
      <c r="AB481" s="148"/>
      <c r="AC481" s="153"/>
      <c r="AD481" s="153"/>
      <c r="AE481" s="153"/>
      <c r="AF481" s="153"/>
      <c r="AJ481" s="147"/>
    </row>
    <row r="482" spans="1:36" s="146" customFormat="1" ht="39.6" x14ac:dyDescent="0.25">
      <c r="A482" s="196">
        <v>690</v>
      </c>
      <c r="B482" s="196" t="s">
        <v>2828</v>
      </c>
      <c r="C482" s="196" t="s">
        <v>2829</v>
      </c>
      <c r="D482" s="196" t="s">
        <v>2822</v>
      </c>
      <c r="E482" s="196"/>
      <c r="F482" s="196">
        <v>2000</v>
      </c>
      <c r="G482" s="196"/>
      <c r="H482" s="196" t="s">
        <v>1878</v>
      </c>
      <c r="I482" s="141" t="s">
        <v>1879</v>
      </c>
      <c r="J482" s="142" t="s">
        <v>2359</v>
      </c>
      <c r="K482" s="196" t="s">
        <v>1881</v>
      </c>
      <c r="L482" s="141" t="s">
        <v>2830</v>
      </c>
      <c r="M482" s="196">
        <v>176</v>
      </c>
      <c r="N482" s="196"/>
      <c r="O482" s="196" t="s">
        <v>2765</v>
      </c>
      <c r="P482" s="144">
        <v>263</v>
      </c>
      <c r="Q482" s="145">
        <f t="shared" si="26"/>
        <v>1.8673</v>
      </c>
      <c r="R482" s="203">
        <v>0.39</v>
      </c>
      <c r="S482" s="203"/>
      <c r="T482" s="151"/>
      <c r="U482" s="151">
        <v>1.2</v>
      </c>
      <c r="V482" s="151">
        <v>0.25</v>
      </c>
      <c r="W482" s="151">
        <f t="shared" si="27"/>
        <v>0.39</v>
      </c>
      <c r="X482" s="152">
        <f t="shared" si="25"/>
        <v>2.7300000000000001E-2</v>
      </c>
      <c r="Y482" s="150">
        <f t="shared" si="24"/>
        <v>1.01</v>
      </c>
      <c r="Z482" s="152"/>
      <c r="AA482" s="148"/>
      <c r="AB482" s="148"/>
      <c r="AC482" s="153"/>
      <c r="AD482" s="153"/>
      <c r="AE482" s="153"/>
      <c r="AF482" s="153"/>
      <c r="AJ482" s="147"/>
    </row>
    <row r="483" spans="1:36" s="146" customFormat="1" x14ac:dyDescent="0.25">
      <c r="A483" s="196">
        <v>690</v>
      </c>
      <c r="B483" s="196" t="s">
        <v>2820</v>
      </c>
      <c r="C483" s="196" t="s">
        <v>2831</v>
      </c>
      <c r="D483" s="196" t="s">
        <v>2822</v>
      </c>
      <c r="E483" s="196"/>
      <c r="F483" s="196">
        <v>2008</v>
      </c>
      <c r="G483" s="196"/>
      <c r="H483" s="196" t="s">
        <v>1878</v>
      </c>
      <c r="I483" s="141" t="s">
        <v>1879</v>
      </c>
      <c r="J483" s="196"/>
      <c r="K483" s="196" t="s">
        <v>1881</v>
      </c>
      <c r="L483" s="141" t="s">
        <v>2832</v>
      </c>
      <c r="M483" s="196">
        <v>208</v>
      </c>
      <c r="N483" s="196"/>
      <c r="O483" s="196" t="s">
        <v>2766</v>
      </c>
      <c r="P483" s="144">
        <v>336</v>
      </c>
      <c r="Q483" s="145">
        <f t="shared" si="26"/>
        <v>1.7709999999999999</v>
      </c>
      <c r="R483" s="203">
        <v>0.3</v>
      </c>
      <c r="S483" s="203"/>
      <c r="T483" s="151"/>
      <c r="U483" s="151">
        <v>1.2</v>
      </c>
      <c r="V483" s="149">
        <v>0.25</v>
      </c>
      <c r="W483" s="151">
        <f t="shared" si="27"/>
        <v>0.3</v>
      </c>
      <c r="X483" s="152">
        <f t="shared" si="25"/>
        <v>2.1000000000000001E-2</v>
      </c>
      <c r="Y483" s="150">
        <f t="shared" si="24"/>
        <v>1.01</v>
      </c>
      <c r="Z483" s="152"/>
      <c r="AA483" s="148"/>
      <c r="AB483" s="148"/>
      <c r="AC483" s="153"/>
      <c r="AD483" s="153"/>
      <c r="AE483" s="153"/>
      <c r="AF483" s="153"/>
      <c r="AJ483" s="147"/>
    </row>
    <row r="484" spans="1:36" x14ac:dyDescent="0.25">
      <c r="Y484" s="150">
        <f t="shared" si="24"/>
        <v>1.01</v>
      </c>
      <c r="AC484" s="154"/>
      <c r="AD484" s="154"/>
      <c r="AE484" s="154"/>
      <c r="AF484" s="154"/>
    </row>
    <row r="485" spans="1:36" s="146" customFormat="1" ht="39.6" x14ac:dyDescent="0.25">
      <c r="A485" s="196">
        <v>690</v>
      </c>
      <c r="B485" s="196" t="s">
        <v>2838</v>
      </c>
      <c r="C485" s="196" t="s">
        <v>2839</v>
      </c>
      <c r="D485" s="196" t="s">
        <v>2822</v>
      </c>
      <c r="E485" s="196"/>
      <c r="F485" s="196">
        <v>2003</v>
      </c>
      <c r="G485" s="196"/>
      <c r="H485" s="196" t="s">
        <v>1878</v>
      </c>
      <c r="I485" s="141" t="s">
        <v>1929</v>
      </c>
      <c r="J485" s="142" t="s">
        <v>2359</v>
      </c>
      <c r="K485" s="196" t="s">
        <v>1881</v>
      </c>
      <c r="L485" s="141" t="s">
        <v>2840</v>
      </c>
      <c r="M485" s="196">
        <v>192</v>
      </c>
      <c r="N485" s="196"/>
      <c r="O485" s="196" t="s">
        <v>2768</v>
      </c>
      <c r="P485" s="144">
        <v>288</v>
      </c>
      <c r="Q485" s="145">
        <f t="shared" si="26"/>
        <v>1.9742999999999999</v>
      </c>
      <c r="R485" s="203">
        <v>0.49</v>
      </c>
      <c r="S485" s="203"/>
      <c r="T485" s="151"/>
      <c r="U485" s="151">
        <v>1.2</v>
      </c>
      <c r="V485" s="149">
        <v>0.25</v>
      </c>
      <c r="W485" s="151">
        <f t="shared" si="27"/>
        <v>0.49</v>
      </c>
      <c r="X485" s="152">
        <f t="shared" si="25"/>
        <v>3.4299999999999997E-2</v>
      </c>
      <c r="Y485" s="150">
        <f t="shared" si="24"/>
        <v>1.01</v>
      </c>
      <c r="Z485" s="152"/>
      <c r="AA485" s="148"/>
      <c r="AB485" s="148"/>
      <c r="AC485" s="153"/>
      <c r="AD485" s="153"/>
      <c r="AE485" s="153"/>
      <c r="AF485" s="153"/>
      <c r="AJ485" s="147"/>
    </row>
    <row r="486" spans="1:36" s="146" customFormat="1" x14ac:dyDescent="0.25">
      <c r="A486" s="196">
        <v>691</v>
      </c>
      <c r="B486" s="196" t="s">
        <v>2841</v>
      </c>
      <c r="C486" s="196" t="s">
        <v>2842</v>
      </c>
      <c r="D486" s="196" t="s">
        <v>2676</v>
      </c>
      <c r="E486" s="196"/>
      <c r="F486" s="196">
        <v>2006</v>
      </c>
      <c r="G486" s="196"/>
      <c r="H486" s="196" t="s">
        <v>2734</v>
      </c>
      <c r="I486" s="141" t="s">
        <v>1929</v>
      </c>
      <c r="J486" s="142"/>
      <c r="K486" s="196" t="s">
        <v>1881</v>
      </c>
      <c r="L486" s="141" t="s">
        <v>2843</v>
      </c>
      <c r="M486" s="196">
        <v>90</v>
      </c>
      <c r="N486" s="196"/>
      <c r="O486" s="196" t="s">
        <v>2769</v>
      </c>
      <c r="P486" s="144">
        <v>355</v>
      </c>
      <c r="Q486" s="145">
        <f t="shared" si="26"/>
        <v>4.5423</v>
      </c>
      <c r="R486" s="203">
        <v>2.89</v>
      </c>
      <c r="S486" s="203"/>
      <c r="T486" s="151"/>
      <c r="U486" s="151">
        <v>1.2</v>
      </c>
      <c r="V486" s="151">
        <v>0.25</v>
      </c>
      <c r="W486" s="151">
        <f t="shared" si="27"/>
        <v>2.89</v>
      </c>
      <c r="X486" s="152">
        <f t="shared" si="25"/>
        <v>0.20230000000000001</v>
      </c>
      <c r="Y486" s="150">
        <f t="shared" si="24"/>
        <v>1.01</v>
      </c>
      <c r="Z486" s="152"/>
      <c r="AA486" s="148"/>
      <c r="AB486" s="148"/>
      <c r="AC486" s="153"/>
      <c r="AD486" s="153"/>
      <c r="AE486" s="153"/>
      <c r="AF486" s="153"/>
      <c r="AJ486" s="147"/>
    </row>
    <row r="487" spans="1:36" s="146" customFormat="1" ht="52.8" x14ac:dyDescent="0.25">
      <c r="A487" s="196">
        <v>1395</v>
      </c>
      <c r="B487" s="196" t="s">
        <v>2844</v>
      </c>
      <c r="C487" s="196" t="s">
        <v>2845</v>
      </c>
      <c r="D487" s="196" t="s">
        <v>2232</v>
      </c>
      <c r="E487" s="196" t="s">
        <v>1913</v>
      </c>
      <c r="F487" s="196">
        <v>2014</v>
      </c>
      <c r="G487" s="196"/>
      <c r="H487" s="196" t="s">
        <v>1878</v>
      </c>
      <c r="I487" s="141" t="s">
        <v>1929</v>
      </c>
      <c r="J487" s="142" t="s">
        <v>2846</v>
      </c>
      <c r="K487" s="196" t="s">
        <v>1881</v>
      </c>
      <c r="L487" s="141" t="s">
        <v>2847</v>
      </c>
      <c r="M487" s="196">
        <v>272</v>
      </c>
      <c r="N487" s="196"/>
      <c r="O487" s="196" t="s">
        <v>2770</v>
      </c>
      <c r="P487" s="144">
        <v>257</v>
      </c>
      <c r="Q487" s="145">
        <f t="shared" si="26"/>
        <v>2.4022999999999999</v>
      </c>
      <c r="R487" s="203">
        <v>0.89</v>
      </c>
      <c r="S487" s="203"/>
      <c r="T487" s="151"/>
      <c r="U487" s="151">
        <v>1.2</v>
      </c>
      <c r="V487" s="149">
        <v>0.25</v>
      </c>
      <c r="W487" s="151">
        <f t="shared" si="27"/>
        <v>0.89</v>
      </c>
      <c r="X487" s="152">
        <f t="shared" si="25"/>
        <v>6.2300000000000001E-2</v>
      </c>
      <c r="Y487" s="150">
        <f t="shared" si="24"/>
        <v>1.01</v>
      </c>
      <c r="Z487" s="152"/>
      <c r="AA487" s="148"/>
      <c r="AB487" s="148"/>
      <c r="AC487" s="153"/>
      <c r="AD487" s="153"/>
      <c r="AE487" s="153"/>
      <c r="AF487" s="153"/>
      <c r="AJ487" s="147"/>
    </row>
    <row r="488" spans="1:36" s="146" customFormat="1" ht="26.4" x14ac:dyDescent="0.25">
      <c r="A488" s="196">
        <v>1231</v>
      </c>
      <c r="B488" s="196" t="s">
        <v>2848</v>
      </c>
      <c r="C488" s="196" t="s">
        <v>2849</v>
      </c>
      <c r="D488" s="196" t="s">
        <v>2850</v>
      </c>
      <c r="E488" s="196"/>
      <c r="F488" s="196">
        <v>2002</v>
      </c>
      <c r="G488" s="196"/>
      <c r="H488" s="196" t="s">
        <v>2734</v>
      </c>
      <c r="I488" s="141" t="s">
        <v>1929</v>
      </c>
      <c r="J488" s="142" t="s">
        <v>2851</v>
      </c>
      <c r="K488" s="196" t="s">
        <v>1881</v>
      </c>
      <c r="L488" s="141" t="s">
        <v>2852</v>
      </c>
      <c r="M488" s="196">
        <v>274</v>
      </c>
      <c r="N488" s="196"/>
      <c r="O488" s="196" t="s">
        <v>2771</v>
      </c>
      <c r="P488" s="144">
        <v>400</v>
      </c>
      <c r="Q488" s="145">
        <f t="shared" si="26"/>
        <v>2.1882999999999995</v>
      </c>
      <c r="R488" s="203">
        <v>0.69</v>
      </c>
      <c r="S488" s="203"/>
      <c r="T488" s="151"/>
      <c r="U488" s="151">
        <v>1.2</v>
      </c>
      <c r="V488" s="151">
        <v>0.25</v>
      </c>
      <c r="W488" s="151">
        <f t="shared" si="27"/>
        <v>0.69</v>
      </c>
      <c r="X488" s="152">
        <f t="shared" si="25"/>
        <v>4.8299999999999996E-2</v>
      </c>
      <c r="Y488" s="150">
        <f t="shared" si="24"/>
        <v>1.01</v>
      </c>
      <c r="Z488" s="152"/>
      <c r="AA488" s="148"/>
      <c r="AB488" s="148"/>
      <c r="AC488" s="153"/>
      <c r="AD488" s="153"/>
      <c r="AE488" s="153"/>
      <c r="AF488" s="153"/>
      <c r="AJ488" s="147"/>
    </row>
    <row r="489" spans="1:36" s="146" customFormat="1" ht="79.2" x14ac:dyDescent="0.25">
      <c r="A489" s="196">
        <v>691</v>
      </c>
      <c r="B489" s="196" t="s">
        <v>2853</v>
      </c>
      <c r="C489" s="196" t="s">
        <v>2854</v>
      </c>
      <c r="D489" s="196" t="s">
        <v>2855</v>
      </c>
      <c r="E489" s="196"/>
      <c r="F489" s="196"/>
      <c r="G489" s="196"/>
      <c r="H489" s="196" t="s">
        <v>2734</v>
      </c>
      <c r="I489" s="141" t="s">
        <v>1879</v>
      </c>
      <c r="J489" s="142" t="s">
        <v>2856</v>
      </c>
      <c r="K489" s="196" t="s">
        <v>1881</v>
      </c>
      <c r="L489" s="141"/>
      <c r="M489" s="196">
        <v>258</v>
      </c>
      <c r="N489" s="196"/>
      <c r="O489" s="196" t="s">
        <v>2772</v>
      </c>
      <c r="P489" s="144">
        <v>588</v>
      </c>
      <c r="Q489" s="145">
        <f t="shared" si="26"/>
        <v>3.7582999999999998</v>
      </c>
      <c r="R489" s="203">
        <v>1.69</v>
      </c>
      <c r="S489" s="203"/>
      <c r="T489" s="151"/>
      <c r="U489" s="151">
        <v>1.7</v>
      </c>
      <c r="V489" s="149">
        <v>0.25</v>
      </c>
      <c r="W489" s="151">
        <f t="shared" si="27"/>
        <v>1.69</v>
      </c>
      <c r="X489" s="152">
        <f t="shared" si="25"/>
        <v>0.11829999999999999</v>
      </c>
      <c r="Y489" s="150">
        <f t="shared" si="24"/>
        <v>1.01</v>
      </c>
      <c r="Z489" s="152"/>
      <c r="AA489" s="148"/>
      <c r="AB489" s="148"/>
      <c r="AC489" s="153"/>
      <c r="AD489" s="153"/>
      <c r="AE489" s="153"/>
      <c r="AF489" s="153"/>
      <c r="AJ489" s="147"/>
    </row>
    <row r="490" spans="1:36" s="146" customFormat="1" ht="39.6" x14ac:dyDescent="0.25">
      <c r="A490" s="196">
        <v>796</v>
      </c>
      <c r="B490" s="196" t="s">
        <v>2867</v>
      </c>
      <c r="C490" s="196" t="s">
        <v>2868</v>
      </c>
      <c r="D490" s="196" t="s">
        <v>1993</v>
      </c>
      <c r="E490" s="196"/>
      <c r="F490" s="196">
        <v>2008</v>
      </c>
      <c r="G490" s="196"/>
      <c r="H490" s="196" t="s">
        <v>1878</v>
      </c>
      <c r="I490" s="141" t="s">
        <v>1879</v>
      </c>
      <c r="J490" s="52" t="s">
        <v>2205</v>
      </c>
      <c r="K490" s="196" t="s">
        <v>1881</v>
      </c>
      <c r="L490" s="141" t="s">
        <v>2869</v>
      </c>
      <c r="M490" s="196">
        <v>608</v>
      </c>
      <c r="N490" s="196"/>
      <c r="O490" s="196" t="s">
        <v>2773</v>
      </c>
      <c r="P490" s="144">
        <v>477</v>
      </c>
      <c r="Q490" s="145">
        <f t="shared" si="26"/>
        <v>1.8673</v>
      </c>
      <c r="R490" s="203">
        <v>0.39</v>
      </c>
      <c r="S490" s="203"/>
      <c r="T490" s="151"/>
      <c r="U490" s="151">
        <v>1.2</v>
      </c>
      <c r="V490" s="151">
        <v>0.25</v>
      </c>
      <c r="W490" s="151">
        <f t="shared" si="27"/>
        <v>0.39</v>
      </c>
      <c r="X490" s="152">
        <f t="shared" si="25"/>
        <v>2.7300000000000001E-2</v>
      </c>
      <c r="Y490" s="150">
        <f t="shared" si="24"/>
        <v>1.01</v>
      </c>
      <c r="Z490" s="152"/>
      <c r="AA490" s="148"/>
      <c r="AB490" s="148"/>
      <c r="AC490" s="153"/>
      <c r="AD490" s="153"/>
      <c r="AE490" s="153"/>
      <c r="AF490" s="153"/>
      <c r="AJ490" s="147"/>
    </row>
    <row r="491" spans="1:36" s="146" customFormat="1" x14ac:dyDescent="0.25">
      <c r="A491" s="196">
        <v>689</v>
      </c>
      <c r="B491" s="196" t="s">
        <v>2870</v>
      </c>
      <c r="C491" s="196" t="s">
        <v>2871</v>
      </c>
      <c r="D491" s="196" t="s">
        <v>2609</v>
      </c>
      <c r="E491" s="196" t="s">
        <v>2872</v>
      </c>
      <c r="F491" s="196">
        <v>1993</v>
      </c>
      <c r="G491" s="196"/>
      <c r="H491" s="196" t="s">
        <v>1878</v>
      </c>
      <c r="I491" s="141" t="s">
        <v>1879</v>
      </c>
      <c r="J491" s="196"/>
      <c r="K491" s="196" t="s">
        <v>1881</v>
      </c>
      <c r="L491" s="141" t="s">
        <v>2873</v>
      </c>
      <c r="M491" s="196">
        <v>288</v>
      </c>
      <c r="N491" s="196"/>
      <c r="O491" s="196" t="s">
        <v>2857</v>
      </c>
      <c r="P491" s="144">
        <v>186</v>
      </c>
      <c r="Q491" s="145">
        <f t="shared" si="26"/>
        <v>1.8244999999999998</v>
      </c>
      <c r="R491" s="203">
        <v>0.35</v>
      </c>
      <c r="S491" s="203"/>
      <c r="T491" s="151"/>
      <c r="U491" s="151">
        <v>1.2</v>
      </c>
      <c r="V491" s="149">
        <v>0.25</v>
      </c>
      <c r="W491" s="151">
        <f t="shared" si="27"/>
        <v>0.35</v>
      </c>
      <c r="X491" s="152">
        <f t="shared" si="25"/>
        <v>2.4499999999999997E-2</v>
      </c>
      <c r="Y491" s="150">
        <f t="shared" si="24"/>
        <v>1.01</v>
      </c>
      <c r="Z491" s="152"/>
      <c r="AA491" s="148"/>
      <c r="AB491" s="148"/>
      <c r="AC491" s="153"/>
      <c r="AD491" s="153"/>
      <c r="AE491" s="153"/>
      <c r="AF491" s="153"/>
      <c r="AJ491" s="147"/>
    </row>
    <row r="492" spans="1:36" s="146" customFormat="1" x14ac:dyDescent="0.25">
      <c r="A492" s="196">
        <v>690</v>
      </c>
      <c r="B492" s="196" t="s">
        <v>2874</v>
      </c>
      <c r="C492" s="196" t="s">
        <v>2875</v>
      </c>
      <c r="D492" s="196" t="s">
        <v>2236</v>
      </c>
      <c r="E492" s="196"/>
      <c r="F492" s="196">
        <v>1998</v>
      </c>
      <c r="G492" s="196"/>
      <c r="H492" s="196" t="s">
        <v>1878</v>
      </c>
      <c r="I492" s="141" t="s">
        <v>1879</v>
      </c>
      <c r="J492" s="196"/>
      <c r="K492" s="196" t="s">
        <v>1881</v>
      </c>
      <c r="L492" s="141" t="s">
        <v>2876</v>
      </c>
      <c r="M492" s="196">
        <v>160</v>
      </c>
      <c r="N492" s="196"/>
      <c r="O492" s="196" t="s">
        <v>2858</v>
      </c>
      <c r="P492" s="144">
        <v>168</v>
      </c>
      <c r="Q492" s="145">
        <f t="shared" si="26"/>
        <v>1.8244999999999998</v>
      </c>
      <c r="R492" s="203">
        <v>0.35</v>
      </c>
      <c r="S492" s="203"/>
      <c r="T492" s="151"/>
      <c r="U492" s="151">
        <v>1.2</v>
      </c>
      <c r="V492" s="151">
        <v>0.25</v>
      </c>
      <c r="W492" s="151">
        <f t="shared" si="27"/>
        <v>0.35</v>
      </c>
      <c r="X492" s="152">
        <f t="shared" si="25"/>
        <v>2.4499999999999997E-2</v>
      </c>
      <c r="Y492" s="150">
        <f t="shared" ref="Y492:Y555" si="28">(IF(Z492&gt;AA492,Z492,AA492)*0.08)+1.01</f>
        <v>1.01</v>
      </c>
      <c r="Z492" s="152"/>
      <c r="AA492" s="148"/>
      <c r="AB492" s="148"/>
      <c r="AC492" s="153"/>
      <c r="AD492" s="153"/>
      <c r="AE492" s="153"/>
      <c r="AF492" s="153"/>
      <c r="AJ492" s="147"/>
    </row>
    <row r="493" spans="1:36" s="146" customFormat="1" x14ac:dyDescent="0.25">
      <c r="A493" s="196">
        <v>796</v>
      </c>
      <c r="B493" s="196" t="s">
        <v>2877</v>
      </c>
      <c r="C493" s="196" t="s">
        <v>2878</v>
      </c>
      <c r="D493" s="196" t="s">
        <v>1988</v>
      </c>
      <c r="E493" s="196"/>
      <c r="F493" s="196">
        <v>2008</v>
      </c>
      <c r="G493" s="196"/>
      <c r="H493" s="196" t="s">
        <v>1878</v>
      </c>
      <c r="I493" s="141" t="s">
        <v>1879</v>
      </c>
      <c r="J493" s="196" t="s">
        <v>2879</v>
      </c>
      <c r="K493" s="196" t="s">
        <v>1881</v>
      </c>
      <c r="L493" s="141" t="s">
        <v>2880</v>
      </c>
      <c r="M493" s="196">
        <v>320</v>
      </c>
      <c r="N493" s="196"/>
      <c r="O493" s="196" t="s">
        <v>2859</v>
      </c>
      <c r="P493" s="144">
        <v>236</v>
      </c>
      <c r="Q493" s="145">
        <f t="shared" si="26"/>
        <v>1.9742999999999999</v>
      </c>
      <c r="R493" s="203">
        <v>0.49</v>
      </c>
      <c r="S493" s="203"/>
      <c r="T493" s="151"/>
      <c r="U493" s="151">
        <v>1.2</v>
      </c>
      <c r="V493" s="149">
        <v>0.25</v>
      </c>
      <c r="W493" s="151">
        <f t="shared" si="27"/>
        <v>0.49</v>
      </c>
      <c r="X493" s="152">
        <f t="shared" ref="X493:X556" si="29">(T493+W493)/100*7</f>
        <v>3.4299999999999997E-2</v>
      </c>
      <c r="Y493" s="150">
        <f t="shared" si="28"/>
        <v>1.01</v>
      </c>
      <c r="Z493" s="152"/>
      <c r="AA493" s="148"/>
      <c r="AB493" s="148"/>
      <c r="AC493" s="153"/>
      <c r="AD493" s="153"/>
      <c r="AE493" s="153"/>
      <c r="AF493" s="153"/>
      <c r="AJ493" s="147"/>
    </row>
    <row r="494" spans="1:36" s="146" customFormat="1" x14ac:dyDescent="0.25">
      <c r="A494" s="196">
        <v>689</v>
      </c>
      <c r="B494" s="196" t="s">
        <v>2881</v>
      </c>
      <c r="C494" s="196" t="s">
        <v>2882</v>
      </c>
      <c r="D494" s="196" t="s">
        <v>2883</v>
      </c>
      <c r="E494" s="196"/>
      <c r="F494" s="196">
        <v>2008</v>
      </c>
      <c r="G494" s="196"/>
      <c r="H494" s="196" t="s">
        <v>1878</v>
      </c>
      <c r="I494" s="141" t="s">
        <v>1929</v>
      </c>
      <c r="J494" s="196" t="s">
        <v>2884</v>
      </c>
      <c r="K494" s="196" t="s">
        <v>1881</v>
      </c>
      <c r="L494" s="141" t="s">
        <v>2885</v>
      </c>
      <c r="M494" s="196">
        <v>236</v>
      </c>
      <c r="N494" s="196"/>
      <c r="O494" s="196" t="s">
        <v>2860</v>
      </c>
      <c r="P494" s="144">
        <v>240</v>
      </c>
      <c r="Q494" s="145">
        <f t="shared" si="26"/>
        <v>5.1843000000000004</v>
      </c>
      <c r="R494" s="203">
        <v>3.49</v>
      </c>
      <c r="S494" s="203"/>
      <c r="T494" s="151"/>
      <c r="U494" s="151">
        <v>1.2</v>
      </c>
      <c r="V494" s="151">
        <v>0.25</v>
      </c>
      <c r="W494" s="151">
        <f t="shared" si="27"/>
        <v>3.49</v>
      </c>
      <c r="X494" s="152">
        <f t="shared" si="29"/>
        <v>0.24430000000000002</v>
      </c>
      <c r="Y494" s="150">
        <f t="shared" si="28"/>
        <v>1.01</v>
      </c>
      <c r="Z494" s="152"/>
      <c r="AA494" s="148"/>
      <c r="AB494" s="148"/>
      <c r="AC494" s="153"/>
      <c r="AD494" s="153"/>
      <c r="AE494" s="153"/>
      <c r="AF494" s="153"/>
      <c r="AJ494" s="147"/>
    </row>
    <row r="495" spans="1:36" s="146" customFormat="1" x14ac:dyDescent="0.25">
      <c r="A495" s="196">
        <v>690</v>
      </c>
      <c r="B495" s="196" t="s">
        <v>2886</v>
      </c>
      <c r="C495" s="196" t="s">
        <v>2887</v>
      </c>
      <c r="D495" s="196" t="s">
        <v>2300</v>
      </c>
      <c r="E495" s="196"/>
      <c r="F495" s="196">
        <v>2006</v>
      </c>
      <c r="G495" s="196"/>
      <c r="H495" s="196" t="s">
        <v>1878</v>
      </c>
      <c r="I495" s="141" t="s">
        <v>1879</v>
      </c>
      <c r="J495" s="143"/>
      <c r="K495" s="196" t="s">
        <v>1881</v>
      </c>
      <c r="L495" s="141" t="s">
        <v>2888</v>
      </c>
      <c r="M495" s="196">
        <v>192</v>
      </c>
      <c r="N495" s="196"/>
      <c r="O495" s="196" t="s">
        <v>2861</v>
      </c>
      <c r="P495" s="144">
        <v>219</v>
      </c>
      <c r="Q495" s="145">
        <f t="shared" si="26"/>
        <v>1.8673</v>
      </c>
      <c r="R495" s="203">
        <v>0.39</v>
      </c>
      <c r="S495" s="203"/>
      <c r="T495" s="151"/>
      <c r="U495" s="151">
        <v>1.2</v>
      </c>
      <c r="V495" s="149">
        <v>0.25</v>
      </c>
      <c r="W495" s="151">
        <f t="shared" si="27"/>
        <v>0.39</v>
      </c>
      <c r="X495" s="152">
        <f t="shared" si="29"/>
        <v>2.7300000000000001E-2</v>
      </c>
      <c r="Y495" s="150">
        <f t="shared" si="28"/>
        <v>1.01</v>
      </c>
      <c r="Z495" s="152"/>
      <c r="AA495" s="148"/>
      <c r="AB495" s="148"/>
      <c r="AC495" s="153"/>
      <c r="AD495" s="153"/>
      <c r="AE495" s="153"/>
      <c r="AF495" s="153"/>
      <c r="AJ495" s="147"/>
    </row>
    <row r="496" spans="1:36" s="146" customFormat="1" x14ac:dyDescent="0.25">
      <c r="A496" s="196">
        <v>796</v>
      </c>
      <c r="B496" s="196" t="s">
        <v>2889</v>
      </c>
      <c r="C496" s="196" t="s">
        <v>2890</v>
      </c>
      <c r="D496" s="196" t="s">
        <v>2054</v>
      </c>
      <c r="E496" s="196" t="s">
        <v>2032</v>
      </c>
      <c r="F496" s="196">
        <v>2008</v>
      </c>
      <c r="G496" s="196"/>
      <c r="H496" s="196" t="s">
        <v>1878</v>
      </c>
      <c r="I496" s="141" t="s">
        <v>1879</v>
      </c>
      <c r="J496" s="196"/>
      <c r="K496" s="196" t="s">
        <v>1881</v>
      </c>
      <c r="L496" s="141" t="s">
        <v>2891</v>
      </c>
      <c r="M496" s="196">
        <v>336</v>
      </c>
      <c r="N496" s="196"/>
      <c r="O496" s="196" t="s">
        <v>2862</v>
      </c>
      <c r="P496" s="144">
        <v>254</v>
      </c>
      <c r="Q496" s="145">
        <f t="shared" si="26"/>
        <v>1.8673</v>
      </c>
      <c r="R496" s="203">
        <v>0.39</v>
      </c>
      <c r="S496" s="203"/>
      <c r="T496" s="151"/>
      <c r="U496" s="151">
        <v>1.2</v>
      </c>
      <c r="V496" s="151">
        <v>0.25</v>
      </c>
      <c r="W496" s="151">
        <f t="shared" si="27"/>
        <v>0.39</v>
      </c>
      <c r="X496" s="152">
        <f t="shared" si="29"/>
        <v>2.7300000000000001E-2</v>
      </c>
      <c r="Y496" s="150">
        <f t="shared" si="28"/>
        <v>1.01</v>
      </c>
      <c r="Z496" s="152"/>
      <c r="AA496" s="148"/>
      <c r="AB496" s="148"/>
      <c r="AC496" s="153"/>
      <c r="AD496" s="153"/>
      <c r="AE496" s="153"/>
      <c r="AF496" s="153"/>
      <c r="AJ496" s="147"/>
    </row>
    <row r="497" spans="1:36" s="146" customFormat="1" x14ac:dyDescent="0.25">
      <c r="A497" s="196">
        <v>294</v>
      </c>
      <c r="B497" s="196" t="s">
        <v>2892</v>
      </c>
      <c r="C497" s="196" t="s">
        <v>2893</v>
      </c>
      <c r="D497" s="196" t="s">
        <v>2209</v>
      </c>
      <c r="E497" s="196" t="s">
        <v>1877</v>
      </c>
      <c r="F497" s="196">
        <v>1999</v>
      </c>
      <c r="G497" s="196"/>
      <c r="H497" s="196" t="s">
        <v>2314</v>
      </c>
      <c r="I497" s="141" t="s">
        <v>1879</v>
      </c>
      <c r="J497" s="196"/>
      <c r="K497" s="196" t="s">
        <v>1881</v>
      </c>
      <c r="L497" s="141" t="s">
        <v>2894</v>
      </c>
      <c r="M497" s="196">
        <v>440</v>
      </c>
      <c r="N497" s="196"/>
      <c r="O497" s="196" t="s">
        <v>2863</v>
      </c>
      <c r="P497" s="144">
        <v>590</v>
      </c>
      <c r="Q497" s="145">
        <f t="shared" si="26"/>
        <v>2.6882999999999995</v>
      </c>
      <c r="R497" s="203">
        <v>0.69</v>
      </c>
      <c r="S497" s="203"/>
      <c r="T497" s="151"/>
      <c r="U497" s="151">
        <v>1.7</v>
      </c>
      <c r="V497" s="149">
        <v>0.25</v>
      </c>
      <c r="W497" s="151">
        <f t="shared" si="27"/>
        <v>0.69</v>
      </c>
      <c r="X497" s="152">
        <f t="shared" si="29"/>
        <v>4.8299999999999996E-2</v>
      </c>
      <c r="Y497" s="150">
        <f t="shared" si="28"/>
        <v>1.01</v>
      </c>
      <c r="Z497" s="152"/>
      <c r="AA497" s="148"/>
      <c r="AB497" s="148"/>
      <c r="AC497" s="153"/>
      <c r="AD497" s="153"/>
      <c r="AE497" s="153"/>
      <c r="AF497" s="153"/>
      <c r="AJ497" s="147"/>
    </row>
    <row r="498" spans="1:36" s="146" customFormat="1" x14ac:dyDescent="0.25">
      <c r="A498" s="196">
        <v>8</v>
      </c>
      <c r="B498" s="196" t="s">
        <v>2895</v>
      </c>
      <c r="C498" s="196" t="s">
        <v>2896</v>
      </c>
      <c r="D498" s="196" t="s">
        <v>2897</v>
      </c>
      <c r="E498" s="196" t="s">
        <v>2358</v>
      </c>
      <c r="F498" s="196">
        <v>2004</v>
      </c>
      <c r="G498" s="196"/>
      <c r="H498" s="196" t="s">
        <v>2734</v>
      </c>
      <c r="I498" s="141" t="s">
        <v>1879</v>
      </c>
      <c r="J498" s="196"/>
      <c r="K498" s="196" t="s">
        <v>1881</v>
      </c>
      <c r="L498" s="141" t="s">
        <v>2898</v>
      </c>
      <c r="M498" s="196">
        <v>224</v>
      </c>
      <c r="N498" s="196"/>
      <c r="O498" s="196" t="s">
        <v>2864</v>
      </c>
      <c r="P498" s="144">
        <v>405</v>
      </c>
      <c r="Q498" s="145">
        <f t="shared" si="26"/>
        <v>1.7175</v>
      </c>
      <c r="R498" s="203">
        <v>0.25</v>
      </c>
      <c r="S498" s="203"/>
      <c r="T498" s="151"/>
      <c r="U498" s="151">
        <v>1.2</v>
      </c>
      <c r="V498" s="151">
        <v>0.25</v>
      </c>
      <c r="W498" s="151">
        <f t="shared" si="27"/>
        <v>0.25</v>
      </c>
      <c r="X498" s="152">
        <f t="shared" si="29"/>
        <v>1.7500000000000002E-2</v>
      </c>
      <c r="Y498" s="150">
        <f t="shared" si="28"/>
        <v>1.01</v>
      </c>
      <c r="Z498" s="152"/>
      <c r="AA498" s="148"/>
      <c r="AB498" s="148"/>
      <c r="AC498" s="153"/>
      <c r="AD498" s="153"/>
      <c r="AE498" s="153"/>
      <c r="AF498" s="153"/>
      <c r="AJ498" s="147"/>
    </row>
    <row r="499" spans="1:36" s="146" customFormat="1" x14ac:dyDescent="0.25">
      <c r="A499" s="196">
        <v>67</v>
      </c>
      <c r="B499" s="196" t="s">
        <v>2899</v>
      </c>
      <c r="C499" s="196" t="s">
        <v>2900</v>
      </c>
      <c r="D499" s="196" t="s">
        <v>2901</v>
      </c>
      <c r="E499" s="196"/>
      <c r="F499" s="196">
        <v>1959</v>
      </c>
      <c r="G499" s="196"/>
      <c r="H499" s="196" t="s">
        <v>2734</v>
      </c>
      <c r="I499" s="141" t="s">
        <v>1879</v>
      </c>
      <c r="J499" s="196" t="s">
        <v>2902</v>
      </c>
      <c r="K499" s="196" t="s">
        <v>1881</v>
      </c>
      <c r="L499" s="141"/>
      <c r="M499" s="196">
        <v>282</v>
      </c>
      <c r="N499" s="196"/>
      <c r="O499" s="196" t="s">
        <v>2865</v>
      </c>
      <c r="P499" s="144">
        <v>472</v>
      </c>
      <c r="Q499" s="145">
        <f t="shared" si="26"/>
        <v>1.9742999999999999</v>
      </c>
      <c r="R499" s="203">
        <v>0.49</v>
      </c>
      <c r="S499" s="203"/>
      <c r="T499" s="151"/>
      <c r="U499" s="151">
        <v>1.2</v>
      </c>
      <c r="V499" s="149">
        <v>0.25</v>
      </c>
      <c r="W499" s="151">
        <f t="shared" si="27"/>
        <v>0.49</v>
      </c>
      <c r="X499" s="152">
        <f t="shared" si="29"/>
        <v>3.4299999999999997E-2</v>
      </c>
      <c r="Y499" s="150">
        <f t="shared" si="28"/>
        <v>1.01</v>
      </c>
      <c r="Z499" s="152"/>
      <c r="AA499" s="148"/>
      <c r="AB499" s="148"/>
      <c r="AC499" s="153"/>
      <c r="AD499" s="153"/>
      <c r="AE499" s="153"/>
      <c r="AF499" s="153"/>
      <c r="AJ499" s="147"/>
    </row>
    <row r="500" spans="1:36" s="146" customFormat="1" x14ac:dyDescent="0.25">
      <c r="A500" s="196">
        <v>1396</v>
      </c>
      <c r="B500" s="196" t="s">
        <v>2912</v>
      </c>
      <c r="C500" s="196" t="s">
        <v>2913</v>
      </c>
      <c r="D500" s="196" t="s">
        <v>2609</v>
      </c>
      <c r="E500" s="196"/>
      <c r="F500" s="196">
        <v>2010</v>
      </c>
      <c r="G500" s="196"/>
      <c r="H500" s="196" t="s">
        <v>2734</v>
      </c>
      <c r="I500" s="141" t="s">
        <v>1879</v>
      </c>
      <c r="J500" s="196"/>
      <c r="K500" s="196" t="s">
        <v>1881</v>
      </c>
      <c r="L500" s="141" t="s">
        <v>2914</v>
      </c>
      <c r="M500" s="196">
        <v>352</v>
      </c>
      <c r="N500" s="196"/>
      <c r="O500" s="196" t="s">
        <v>2866</v>
      </c>
      <c r="P500" s="144">
        <v>510</v>
      </c>
      <c r="Q500" s="145">
        <f t="shared" si="26"/>
        <v>2.3672999999999997</v>
      </c>
      <c r="R500" s="203">
        <v>0.39</v>
      </c>
      <c r="S500" s="203"/>
      <c r="T500" s="151"/>
      <c r="U500" s="151">
        <v>1.7</v>
      </c>
      <c r="V500" s="151">
        <v>0.25</v>
      </c>
      <c r="W500" s="151">
        <f t="shared" si="27"/>
        <v>0.39</v>
      </c>
      <c r="X500" s="152">
        <f t="shared" si="29"/>
        <v>2.7300000000000001E-2</v>
      </c>
      <c r="Y500" s="150">
        <f t="shared" si="28"/>
        <v>1.01</v>
      </c>
      <c r="Z500" s="152"/>
      <c r="AA500" s="148"/>
      <c r="AB500" s="148"/>
      <c r="AC500" s="153"/>
      <c r="AD500" s="153"/>
      <c r="AE500" s="153"/>
      <c r="AF500" s="153"/>
      <c r="AJ500" s="147"/>
    </row>
    <row r="501" spans="1:36" s="146" customFormat="1" x14ac:dyDescent="0.25">
      <c r="A501" s="196">
        <v>2508</v>
      </c>
      <c r="B501" s="196"/>
      <c r="C501" s="196" t="s">
        <v>1182</v>
      </c>
      <c r="D501" s="196" t="s">
        <v>2915</v>
      </c>
      <c r="E501" s="196"/>
      <c r="F501" s="196"/>
      <c r="G501" s="196"/>
      <c r="H501" s="196" t="s">
        <v>1878</v>
      </c>
      <c r="I501" s="141" t="s">
        <v>1879</v>
      </c>
      <c r="J501" s="143"/>
      <c r="K501" s="196" t="s">
        <v>1881</v>
      </c>
      <c r="L501" s="141" t="s">
        <v>2916</v>
      </c>
      <c r="M501" s="196">
        <v>892</v>
      </c>
      <c r="N501" s="196"/>
      <c r="O501" s="196" t="s">
        <v>2903</v>
      </c>
      <c r="P501" s="144">
        <v>742</v>
      </c>
      <c r="Q501" s="145">
        <f t="shared" ref="Q501:Q564" si="30">SUM(T501:X501)</f>
        <v>3.1162999999999998</v>
      </c>
      <c r="R501" s="203">
        <v>1.0900000000000001</v>
      </c>
      <c r="S501" s="203"/>
      <c r="T501" s="151"/>
      <c r="U501" s="151">
        <v>1.7</v>
      </c>
      <c r="V501" s="149">
        <v>0.25</v>
      </c>
      <c r="W501" s="151">
        <f t="shared" ref="W501:W564" si="31">IF(R501&gt;T501,R501,T501)</f>
        <v>1.0900000000000001</v>
      </c>
      <c r="X501" s="152">
        <f t="shared" si="29"/>
        <v>7.6300000000000007E-2</v>
      </c>
      <c r="Y501" s="150">
        <f t="shared" si="28"/>
        <v>1.01</v>
      </c>
      <c r="Z501" s="152"/>
      <c r="AA501" s="148"/>
      <c r="AB501" s="148"/>
      <c r="AC501" s="153"/>
      <c r="AD501" s="153"/>
      <c r="AE501" s="153"/>
      <c r="AF501" s="153"/>
      <c r="AJ501" s="147"/>
    </row>
    <row r="502" spans="1:36" x14ac:dyDescent="0.25">
      <c r="Y502" s="150">
        <f t="shared" si="28"/>
        <v>1.01</v>
      </c>
      <c r="AC502" s="154"/>
      <c r="AD502" s="154"/>
      <c r="AE502" s="154"/>
      <c r="AF502" s="154"/>
    </row>
    <row r="503" spans="1:36" s="146" customFormat="1" x14ac:dyDescent="0.25">
      <c r="A503" s="196">
        <v>689</v>
      </c>
      <c r="B503" s="196" t="s">
        <v>2920</v>
      </c>
      <c r="C503" s="196" t="s">
        <v>2921</v>
      </c>
      <c r="D503" s="196" t="s">
        <v>2013</v>
      </c>
      <c r="E503" s="196" t="s">
        <v>2922</v>
      </c>
      <c r="F503" s="196">
        <v>2009</v>
      </c>
      <c r="G503" s="196"/>
      <c r="H503" s="196" t="s">
        <v>1878</v>
      </c>
      <c r="I503" s="141" t="s">
        <v>1879</v>
      </c>
      <c r="J503" s="196"/>
      <c r="K503" s="196" t="s">
        <v>1881</v>
      </c>
      <c r="L503" s="141" t="s">
        <v>2923</v>
      </c>
      <c r="M503" s="196">
        <v>384</v>
      </c>
      <c r="N503" s="196"/>
      <c r="O503" s="196" t="s">
        <v>2905</v>
      </c>
      <c r="P503" s="144">
        <v>521</v>
      </c>
      <c r="Q503" s="145">
        <f t="shared" si="30"/>
        <v>2.2175000000000002</v>
      </c>
      <c r="R503" s="203">
        <v>0.25</v>
      </c>
      <c r="S503" s="203"/>
      <c r="T503" s="151"/>
      <c r="U503" s="151">
        <v>1.7</v>
      </c>
      <c r="V503" s="149">
        <v>0.25</v>
      </c>
      <c r="W503" s="151">
        <f t="shared" si="31"/>
        <v>0.25</v>
      </c>
      <c r="X503" s="152">
        <f t="shared" si="29"/>
        <v>1.7500000000000002E-2</v>
      </c>
      <c r="Y503" s="150">
        <f t="shared" si="28"/>
        <v>1.01</v>
      </c>
      <c r="Z503" s="152"/>
      <c r="AA503" s="148"/>
      <c r="AB503" s="148"/>
      <c r="AC503" s="153"/>
      <c r="AD503" s="153"/>
      <c r="AE503" s="153"/>
      <c r="AF503" s="153"/>
      <c r="AJ503" s="147"/>
    </row>
    <row r="504" spans="1:36" s="146" customFormat="1" x14ac:dyDescent="0.25">
      <c r="A504" s="196">
        <v>2522</v>
      </c>
      <c r="B504" s="196" t="s">
        <v>2924</v>
      </c>
      <c r="C504" s="196" t="s">
        <v>2925</v>
      </c>
      <c r="D504" s="196" t="s">
        <v>2926</v>
      </c>
      <c r="E504" s="196"/>
      <c r="F504" s="196">
        <v>2017</v>
      </c>
      <c r="G504" s="196"/>
      <c r="H504" s="196" t="s">
        <v>1878</v>
      </c>
      <c r="I504" s="141" t="s">
        <v>1929</v>
      </c>
      <c r="J504" s="196"/>
      <c r="K504" s="196" t="s">
        <v>1881</v>
      </c>
      <c r="L504" s="141" t="s">
        <v>2927</v>
      </c>
      <c r="M504" s="196">
        <v>384</v>
      </c>
      <c r="N504" s="196"/>
      <c r="O504" s="196" t="s">
        <v>2906</v>
      </c>
      <c r="P504" s="144">
        <v>477</v>
      </c>
      <c r="Q504" s="145">
        <f t="shared" si="30"/>
        <v>3.5792999999999999</v>
      </c>
      <c r="R504" s="203">
        <v>1.99</v>
      </c>
      <c r="S504" s="203"/>
      <c r="T504" s="151"/>
      <c r="U504" s="151">
        <v>1.2</v>
      </c>
      <c r="V504" s="151">
        <v>0.25</v>
      </c>
      <c r="W504" s="151">
        <f t="shared" si="31"/>
        <v>1.99</v>
      </c>
      <c r="X504" s="152">
        <f t="shared" si="29"/>
        <v>0.13930000000000001</v>
      </c>
      <c r="Y504" s="150">
        <f t="shared" si="28"/>
        <v>1.01</v>
      </c>
      <c r="Z504" s="152"/>
      <c r="AA504" s="148"/>
      <c r="AB504" s="148"/>
      <c r="AC504" s="153"/>
      <c r="AD504" s="153"/>
      <c r="AE504" s="153"/>
      <c r="AF504" s="153"/>
      <c r="AJ504" s="147"/>
    </row>
    <row r="505" spans="1:36" s="146" customFormat="1" x14ac:dyDescent="0.25">
      <c r="A505" s="196">
        <v>2518</v>
      </c>
      <c r="B505" s="196" t="s">
        <v>2931</v>
      </c>
      <c r="C505" s="196" t="s">
        <v>2932</v>
      </c>
      <c r="D505" s="196" t="s">
        <v>2933</v>
      </c>
      <c r="E505" s="196" t="s">
        <v>1877</v>
      </c>
      <c r="F505" s="196">
        <v>2007</v>
      </c>
      <c r="G505" s="196"/>
      <c r="H505" s="196" t="s">
        <v>1878</v>
      </c>
      <c r="I505" s="141" t="s">
        <v>1879</v>
      </c>
      <c r="J505" s="196"/>
      <c r="K505" s="196" t="s">
        <v>1881</v>
      </c>
      <c r="L505" s="141" t="s">
        <v>2934</v>
      </c>
      <c r="M505" s="196">
        <v>334</v>
      </c>
      <c r="N505" s="196"/>
      <c r="O505" s="196" t="s">
        <v>2908</v>
      </c>
      <c r="P505" s="144">
        <v>281</v>
      </c>
      <c r="Q505" s="145">
        <f t="shared" si="30"/>
        <v>2.6162999999999998</v>
      </c>
      <c r="R505" s="203">
        <v>1.0900000000000001</v>
      </c>
      <c r="S505" s="203"/>
      <c r="T505" s="151"/>
      <c r="U505" s="151">
        <v>1.2</v>
      </c>
      <c r="V505" s="149">
        <v>0.25</v>
      </c>
      <c r="W505" s="151">
        <f t="shared" si="31"/>
        <v>1.0900000000000001</v>
      </c>
      <c r="X505" s="152">
        <f t="shared" si="29"/>
        <v>7.6300000000000007E-2</v>
      </c>
      <c r="Y505" s="150">
        <f t="shared" si="28"/>
        <v>1.01</v>
      </c>
      <c r="Z505" s="152"/>
      <c r="AA505" s="148"/>
      <c r="AB505" s="148"/>
      <c r="AC505" s="153"/>
      <c r="AD505" s="153"/>
      <c r="AE505" s="153"/>
      <c r="AF505" s="153"/>
      <c r="AJ505" s="147"/>
    </row>
    <row r="506" spans="1:36" s="146" customFormat="1" x14ac:dyDescent="0.25">
      <c r="A506" s="196">
        <v>1339</v>
      </c>
      <c r="B506" s="196" t="s">
        <v>2935</v>
      </c>
      <c r="C506" s="196" t="s">
        <v>2936</v>
      </c>
      <c r="D506" s="196" t="s">
        <v>2609</v>
      </c>
      <c r="E506" s="196" t="s">
        <v>2937</v>
      </c>
      <c r="F506" s="196">
        <v>2004</v>
      </c>
      <c r="G506" s="196"/>
      <c r="H506" s="196" t="s">
        <v>2314</v>
      </c>
      <c r="I506" s="141" t="s">
        <v>1879</v>
      </c>
      <c r="J506" s="143"/>
      <c r="K506" s="196" t="s">
        <v>1881</v>
      </c>
      <c r="L506" s="141" t="s">
        <v>2938</v>
      </c>
      <c r="M506" s="196">
        <v>272</v>
      </c>
      <c r="N506" s="196"/>
      <c r="O506" s="196" t="s">
        <v>2909</v>
      </c>
      <c r="P506" s="144">
        <v>337</v>
      </c>
      <c r="Q506" s="145">
        <f t="shared" si="30"/>
        <v>1.7175</v>
      </c>
      <c r="R506" s="203">
        <v>0.25</v>
      </c>
      <c r="S506" s="203"/>
      <c r="T506" s="151"/>
      <c r="U506" s="151">
        <v>1.2</v>
      </c>
      <c r="V506" s="151">
        <v>0.25</v>
      </c>
      <c r="W506" s="151">
        <f t="shared" si="31"/>
        <v>0.25</v>
      </c>
      <c r="X506" s="152">
        <f t="shared" si="29"/>
        <v>1.7500000000000002E-2</v>
      </c>
      <c r="Y506" s="150">
        <f t="shared" si="28"/>
        <v>1.01</v>
      </c>
      <c r="Z506" s="152"/>
      <c r="AA506" s="148"/>
      <c r="AB506" s="148"/>
      <c r="AC506" s="153"/>
      <c r="AD506" s="153"/>
      <c r="AE506" s="153"/>
      <c r="AF506" s="153"/>
      <c r="AJ506" s="147"/>
    </row>
    <row r="507" spans="1:36" s="146" customFormat="1" x14ac:dyDescent="0.25">
      <c r="A507" s="196">
        <v>926</v>
      </c>
      <c r="B507" s="196" t="s">
        <v>2939</v>
      </c>
      <c r="C507" s="196" t="s">
        <v>2940</v>
      </c>
      <c r="D507" s="196" t="s">
        <v>2941</v>
      </c>
      <c r="E507" s="196" t="s">
        <v>2518</v>
      </c>
      <c r="F507" s="196">
        <v>1988</v>
      </c>
      <c r="G507" s="196"/>
      <c r="H507" s="196" t="s">
        <v>2734</v>
      </c>
      <c r="I507" s="141" t="s">
        <v>1879</v>
      </c>
      <c r="J507" s="196"/>
      <c r="K507" s="196" t="s">
        <v>1881</v>
      </c>
      <c r="L507" s="141"/>
      <c r="M507" s="196">
        <v>256</v>
      </c>
      <c r="N507" s="196"/>
      <c r="O507" s="196" t="s">
        <v>2910</v>
      </c>
      <c r="P507" s="144">
        <v>595</v>
      </c>
      <c r="Q507" s="145">
        <f t="shared" si="30"/>
        <v>2.2175000000000002</v>
      </c>
      <c r="R507" s="203">
        <v>0.25</v>
      </c>
      <c r="S507" s="203"/>
      <c r="T507" s="151"/>
      <c r="U507" s="151">
        <v>1.7</v>
      </c>
      <c r="V507" s="149">
        <v>0.25</v>
      </c>
      <c r="W507" s="151">
        <f t="shared" si="31"/>
        <v>0.25</v>
      </c>
      <c r="X507" s="152">
        <f t="shared" si="29"/>
        <v>1.7500000000000002E-2</v>
      </c>
      <c r="Y507" s="150">
        <f t="shared" si="28"/>
        <v>1.01</v>
      </c>
      <c r="Z507" s="152"/>
      <c r="AA507" s="148"/>
      <c r="AB507" s="148"/>
      <c r="AC507" s="153"/>
      <c r="AD507" s="153"/>
      <c r="AE507" s="153"/>
      <c r="AF507" s="153"/>
      <c r="AJ507" s="147"/>
    </row>
    <row r="508" spans="1:36" s="146" customFormat="1" x14ac:dyDescent="0.25">
      <c r="A508" s="196">
        <v>958</v>
      </c>
      <c r="B508" s="196" t="s">
        <v>2942</v>
      </c>
      <c r="C508" s="196" t="s">
        <v>2943</v>
      </c>
      <c r="D508" s="196"/>
      <c r="E508" s="196" t="s">
        <v>1913</v>
      </c>
      <c r="F508" s="196">
        <v>2010</v>
      </c>
      <c r="G508" s="196"/>
      <c r="H508" s="196" t="s">
        <v>2314</v>
      </c>
      <c r="I508" s="141" t="s">
        <v>1929</v>
      </c>
      <c r="J508" s="196"/>
      <c r="K508" s="196" t="s">
        <v>1881</v>
      </c>
      <c r="L508" s="141" t="s">
        <v>2944</v>
      </c>
      <c r="M508" s="196">
        <v>408</v>
      </c>
      <c r="N508" s="196"/>
      <c r="O508" s="196" t="s">
        <v>2911</v>
      </c>
      <c r="P508" s="144">
        <v>1115</v>
      </c>
      <c r="Q508" s="145">
        <f t="shared" si="30"/>
        <v>6.2763</v>
      </c>
      <c r="R508" s="203">
        <v>2.09</v>
      </c>
      <c r="S508" s="203"/>
      <c r="T508" s="151"/>
      <c r="U508" s="151">
        <v>3.79</v>
      </c>
      <c r="V508" s="151">
        <v>0.25</v>
      </c>
      <c r="W508" s="151">
        <f t="shared" si="31"/>
        <v>2.09</v>
      </c>
      <c r="X508" s="152">
        <f t="shared" si="29"/>
        <v>0.14629999999999999</v>
      </c>
      <c r="Y508" s="150">
        <f t="shared" si="28"/>
        <v>1.01</v>
      </c>
      <c r="Z508" s="152"/>
      <c r="AA508" s="148"/>
      <c r="AB508" s="148"/>
      <c r="AC508" s="153"/>
      <c r="AD508" s="153"/>
      <c r="AE508" s="153"/>
      <c r="AF508" s="153"/>
      <c r="AJ508" s="147"/>
    </row>
    <row r="509" spans="1:36" s="146" customFormat="1" x14ac:dyDescent="0.25">
      <c r="A509" s="196">
        <v>2851</v>
      </c>
      <c r="B509" s="196" t="s">
        <v>2961</v>
      </c>
      <c r="C509" s="196" t="s">
        <v>2962</v>
      </c>
      <c r="D509" s="196" t="s">
        <v>2897</v>
      </c>
      <c r="E509" s="196" t="s">
        <v>1899</v>
      </c>
      <c r="F509" s="196">
        <v>1998</v>
      </c>
      <c r="G509" s="196"/>
      <c r="H509" s="196" t="s">
        <v>2963</v>
      </c>
      <c r="I509" s="141" t="s">
        <v>1879</v>
      </c>
      <c r="J509" s="196"/>
      <c r="K509" s="196" t="s">
        <v>1881</v>
      </c>
      <c r="L509" s="141" t="s">
        <v>2964</v>
      </c>
      <c r="M509" s="196">
        <v>352</v>
      </c>
      <c r="N509" s="196"/>
      <c r="O509" s="196" t="s">
        <v>2945</v>
      </c>
      <c r="P509" s="144">
        <v>581</v>
      </c>
      <c r="Q509" s="145">
        <f t="shared" si="30"/>
        <v>2.4742999999999999</v>
      </c>
      <c r="R509" s="203">
        <v>0.49</v>
      </c>
      <c r="S509" s="203"/>
      <c r="T509" s="151"/>
      <c r="U509" s="151">
        <v>1.7</v>
      </c>
      <c r="V509" s="149">
        <v>0.25</v>
      </c>
      <c r="W509" s="151">
        <f t="shared" si="31"/>
        <v>0.49</v>
      </c>
      <c r="X509" s="152">
        <f t="shared" si="29"/>
        <v>3.4299999999999997E-2</v>
      </c>
      <c r="Y509" s="150">
        <f t="shared" si="28"/>
        <v>1.01</v>
      </c>
      <c r="Z509" s="152"/>
      <c r="AA509" s="148"/>
      <c r="AB509" s="148"/>
      <c r="AC509" s="153"/>
      <c r="AD509" s="153"/>
      <c r="AE509" s="153"/>
      <c r="AF509" s="153"/>
      <c r="AJ509" s="147"/>
    </row>
    <row r="510" spans="1:36" s="146" customFormat="1" x14ac:dyDescent="0.25">
      <c r="A510" s="196">
        <v>690</v>
      </c>
      <c r="B510" s="196" t="s">
        <v>2965</v>
      </c>
      <c r="C510" s="196" t="s">
        <v>2966</v>
      </c>
      <c r="D510" s="196" t="s">
        <v>2822</v>
      </c>
      <c r="E510" s="196"/>
      <c r="F510" s="196">
        <v>1999</v>
      </c>
      <c r="G510" s="196"/>
      <c r="H510" s="196" t="s">
        <v>2314</v>
      </c>
      <c r="I510" s="141" t="s">
        <v>1879</v>
      </c>
      <c r="J510" s="196" t="s">
        <v>2967</v>
      </c>
      <c r="K510" s="196" t="s">
        <v>1881</v>
      </c>
      <c r="L510" s="141" t="s">
        <v>2968</v>
      </c>
      <c r="M510" s="196">
        <v>176</v>
      </c>
      <c r="N510" s="196"/>
      <c r="O510" s="196" t="s">
        <v>2946</v>
      </c>
      <c r="P510" s="144">
        <v>256</v>
      </c>
      <c r="Q510" s="145">
        <f t="shared" si="30"/>
        <v>1.7175</v>
      </c>
      <c r="R510" s="203">
        <v>0.25</v>
      </c>
      <c r="S510" s="203"/>
      <c r="T510" s="151"/>
      <c r="U510" s="151">
        <v>1.2</v>
      </c>
      <c r="V510" s="151">
        <v>0.25</v>
      </c>
      <c r="W510" s="151">
        <f t="shared" si="31"/>
        <v>0.25</v>
      </c>
      <c r="X510" s="152">
        <f t="shared" si="29"/>
        <v>1.7500000000000002E-2</v>
      </c>
      <c r="Y510" s="150">
        <f t="shared" si="28"/>
        <v>1.01</v>
      </c>
      <c r="Z510" s="152"/>
      <c r="AA510" s="148"/>
      <c r="AB510" s="148"/>
      <c r="AC510" s="153"/>
      <c r="AD510" s="153"/>
      <c r="AE510" s="153"/>
      <c r="AF510" s="153"/>
      <c r="AJ510" s="147"/>
    </row>
    <row r="511" spans="1:36" s="146" customFormat="1" x14ac:dyDescent="0.25">
      <c r="A511" s="196">
        <v>1321</v>
      </c>
      <c r="B511" s="196" t="s">
        <v>2969</v>
      </c>
      <c r="C511" s="196" t="s">
        <v>2970</v>
      </c>
      <c r="D511" s="196" t="s">
        <v>2971</v>
      </c>
      <c r="E511" s="196"/>
      <c r="F511" s="196">
        <v>1995</v>
      </c>
      <c r="G511" s="196"/>
      <c r="H511" s="196" t="s">
        <v>2963</v>
      </c>
      <c r="I511" s="141" t="s">
        <v>1879</v>
      </c>
      <c r="J511" s="196" t="s">
        <v>2973</v>
      </c>
      <c r="K511" s="196" t="s">
        <v>1881</v>
      </c>
      <c r="L511" s="141" t="s">
        <v>2972</v>
      </c>
      <c r="M511" s="196">
        <v>130</v>
      </c>
      <c r="N511" s="196"/>
      <c r="O511" s="196" t="s">
        <v>2947</v>
      </c>
      <c r="P511" s="144">
        <v>241</v>
      </c>
      <c r="Q511" s="145">
        <f t="shared" si="30"/>
        <v>2.2953000000000001</v>
      </c>
      <c r="R511" s="203">
        <v>0.79</v>
      </c>
      <c r="S511" s="203"/>
      <c r="T511" s="151"/>
      <c r="U511" s="151">
        <v>1.2</v>
      </c>
      <c r="V511" s="149">
        <v>0.25</v>
      </c>
      <c r="W511" s="151">
        <f t="shared" si="31"/>
        <v>0.79</v>
      </c>
      <c r="X511" s="152">
        <f t="shared" si="29"/>
        <v>5.5300000000000002E-2</v>
      </c>
      <c r="Y511" s="150">
        <f t="shared" si="28"/>
        <v>1.01</v>
      </c>
      <c r="Z511" s="152"/>
      <c r="AA511" s="148"/>
      <c r="AB511" s="148"/>
      <c r="AC511" s="153"/>
      <c r="AD511" s="153"/>
      <c r="AE511" s="153"/>
      <c r="AF511" s="153"/>
      <c r="AJ511" s="147"/>
    </row>
    <row r="512" spans="1:36" s="146" customFormat="1" x14ac:dyDescent="0.25">
      <c r="A512" s="196">
        <v>1386</v>
      </c>
      <c r="B512" s="196" t="s">
        <v>2974</v>
      </c>
      <c r="C512" s="196" t="s">
        <v>2975</v>
      </c>
      <c r="D512" s="196" t="s">
        <v>2976</v>
      </c>
      <c r="E512" s="196"/>
      <c r="F512" s="196">
        <v>2016</v>
      </c>
      <c r="G512" s="196"/>
      <c r="H512" s="196" t="s">
        <v>2963</v>
      </c>
      <c r="I512" s="141" t="s">
        <v>1929</v>
      </c>
      <c r="J512" s="196"/>
      <c r="K512" s="196" t="s">
        <v>1881</v>
      </c>
      <c r="L512" s="141" t="s">
        <v>2977</v>
      </c>
      <c r="M512" s="196">
        <v>142</v>
      </c>
      <c r="N512" s="196"/>
      <c r="O512" s="196" t="s">
        <v>2948</v>
      </c>
      <c r="P512" s="144">
        <v>243</v>
      </c>
      <c r="Q512" s="145">
        <f t="shared" si="30"/>
        <v>4.4352999999999998</v>
      </c>
      <c r="R512" s="203">
        <v>2.79</v>
      </c>
      <c r="S512" s="203"/>
      <c r="T512" s="151"/>
      <c r="U512" s="151">
        <v>1.2</v>
      </c>
      <c r="V512" s="151">
        <v>0.25</v>
      </c>
      <c r="W512" s="151">
        <f t="shared" si="31"/>
        <v>2.79</v>
      </c>
      <c r="X512" s="152">
        <f t="shared" si="29"/>
        <v>0.1953</v>
      </c>
      <c r="Y512" s="150">
        <f t="shared" si="28"/>
        <v>1.01</v>
      </c>
      <c r="Z512" s="152"/>
      <c r="AA512" s="148"/>
      <c r="AB512" s="148"/>
      <c r="AC512" s="153"/>
      <c r="AD512" s="153"/>
      <c r="AE512" s="153"/>
      <c r="AF512" s="153"/>
      <c r="AJ512" s="147"/>
    </row>
    <row r="513" spans="1:36" s="146" customFormat="1" x14ac:dyDescent="0.25">
      <c r="A513" s="196">
        <v>765</v>
      </c>
      <c r="B513" s="196" t="s">
        <v>2978</v>
      </c>
      <c r="C513" s="196" t="s">
        <v>2979</v>
      </c>
      <c r="D513" s="196" t="s">
        <v>2980</v>
      </c>
      <c r="E513" s="196" t="s">
        <v>1913</v>
      </c>
      <c r="F513" s="196">
        <v>2004</v>
      </c>
      <c r="G513" s="196"/>
      <c r="H513" s="196" t="s">
        <v>1878</v>
      </c>
      <c r="I513" s="141" t="s">
        <v>1879</v>
      </c>
      <c r="J513" s="52"/>
      <c r="K513" s="196" t="s">
        <v>1881</v>
      </c>
      <c r="L513" s="141" t="s">
        <v>2981</v>
      </c>
      <c r="M513" s="196">
        <v>198</v>
      </c>
      <c r="N513" s="196"/>
      <c r="O513" s="196" t="s">
        <v>2949</v>
      </c>
      <c r="P513" s="144">
        <v>215</v>
      </c>
      <c r="Q513" s="145">
        <f t="shared" si="30"/>
        <v>2.2953000000000001</v>
      </c>
      <c r="R513" s="203">
        <v>0.79</v>
      </c>
      <c r="S513" s="203"/>
      <c r="T513" s="151"/>
      <c r="U513" s="151">
        <v>1.2</v>
      </c>
      <c r="V513" s="149">
        <v>0.25</v>
      </c>
      <c r="W513" s="151">
        <f t="shared" si="31"/>
        <v>0.79</v>
      </c>
      <c r="X513" s="152">
        <f t="shared" si="29"/>
        <v>5.5300000000000002E-2</v>
      </c>
      <c r="Y513" s="150">
        <f t="shared" si="28"/>
        <v>1.01</v>
      </c>
      <c r="Z513" s="152"/>
      <c r="AA513" s="148"/>
      <c r="AB513" s="148"/>
      <c r="AC513" s="153"/>
      <c r="AD513" s="153"/>
      <c r="AE513" s="153"/>
      <c r="AF513" s="153"/>
      <c r="AJ513" s="147"/>
    </row>
    <row r="514" spans="1:36" s="146" customFormat="1" x14ac:dyDescent="0.25">
      <c r="A514" s="196">
        <v>634</v>
      </c>
      <c r="B514" s="196"/>
      <c r="C514" s="196" t="s">
        <v>2988</v>
      </c>
      <c r="D514" s="196" t="s">
        <v>1920</v>
      </c>
      <c r="E514" s="196"/>
      <c r="F514" s="196">
        <v>1986</v>
      </c>
      <c r="G514" s="196"/>
      <c r="H514" s="196" t="s">
        <v>1878</v>
      </c>
      <c r="I514" s="141" t="s">
        <v>1879</v>
      </c>
      <c r="J514" s="196"/>
      <c r="K514" s="196" t="s">
        <v>1881</v>
      </c>
      <c r="L514" s="141" t="s">
        <v>2989</v>
      </c>
      <c r="M514" s="196">
        <v>208</v>
      </c>
      <c r="N514" s="196"/>
      <c r="O514" s="196" t="s">
        <v>2952</v>
      </c>
      <c r="P514" s="144">
        <v>121</v>
      </c>
      <c r="Q514" s="145">
        <f t="shared" si="30"/>
        <v>3.2582999999999998</v>
      </c>
      <c r="R514" s="203">
        <v>1.69</v>
      </c>
      <c r="S514" s="203"/>
      <c r="T514" s="151"/>
      <c r="U514" s="151">
        <v>1.2</v>
      </c>
      <c r="V514" s="151">
        <v>0.25</v>
      </c>
      <c r="W514" s="151">
        <f t="shared" si="31"/>
        <v>1.69</v>
      </c>
      <c r="X514" s="152">
        <f t="shared" si="29"/>
        <v>0.11829999999999999</v>
      </c>
      <c r="Y514" s="150">
        <f t="shared" si="28"/>
        <v>1.01</v>
      </c>
      <c r="Z514" s="152"/>
      <c r="AA514" s="148"/>
      <c r="AB514" s="148"/>
      <c r="AC514" s="153"/>
      <c r="AD514" s="153"/>
      <c r="AE514" s="153"/>
      <c r="AF514" s="153"/>
      <c r="AJ514" s="147"/>
    </row>
    <row r="515" spans="1:36" s="146" customFormat="1" ht="26.4" x14ac:dyDescent="0.25">
      <c r="A515" s="196">
        <v>1386</v>
      </c>
      <c r="B515" s="196" t="s">
        <v>2990</v>
      </c>
      <c r="C515" s="196" t="s">
        <v>2991</v>
      </c>
      <c r="D515" s="196" t="s">
        <v>1920</v>
      </c>
      <c r="E515" s="196" t="s">
        <v>2992</v>
      </c>
      <c r="F515" s="196">
        <v>2012</v>
      </c>
      <c r="G515" s="196"/>
      <c r="H515" s="196" t="s">
        <v>1878</v>
      </c>
      <c r="I515" s="141" t="s">
        <v>1879</v>
      </c>
      <c r="J515" s="52" t="s">
        <v>2237</v>
      </c>
      <c r="K515" s="196" t="s">
        <v>1881</v>
      </c>
      <c r="L515" s="141"/>
      <c r="M515" s="196">
        <v>720</v>
      </c>
      <c r="N515" s="196"/>
      <c r="O515" s="196" t="s">
        <v>2953</v>
      </c>
      <c r="P515" s="144">
        <v>516</v>
      </c>
      <c r="Q515" s="145">
        <f t="shared" si="30"/>
        <v>2.2175000000000002</v>
      </c>
      <c r="R515" s="203">
        <v>0.25</v>
      </c>
      <c r="S515" s="203"/>
      <c r="T515" s="151"/>
      <c r="U515" s="151">
        <v>1.7</v>
      </c>
      <c r="V515" s="149">
        <v>0.25</v>
      </c>
      <c r="W515" s="151">
        <f t="shared" si="31"/>
        <v>0.25</v>
      </c>
      <c r="X515" s="152">
        <f t="shared" si="29"/>
        <v>1.7500000000000002E-2</v>
      </c>
      <c r="Y515" s="150">
        <f t="shared" si="28"/>
        <v>1.01</v>
      </c>
      <c r="Z515" s="152"/>
      <c r="AA515" s="148"/>
      <c r="AB515" s="148"/>
      <c r="AC515" s="153"/>
      <c r="AD515" s="153"/>
      <c r="AE515" s="153"/>
      <c r="AF515" s="153"/>
      <c r="AJ515" s="147"/>
    </row>
    <row r="516" spans="1:36" s="146" customFormat="1" x14ac:dyDescent="0.25">
      <c r="A516" s="196">
        <v>632</v>
      </c>
      <c r="B516" s="196" t="s">
        <v>2993</v>
      </c>
      <c r="C516" s="196" t="s">
        <v>2994</v>
      </c>
      <c r="D516" s="196" t="s">
        <v>2054</v>
      </c>
      <c r="E516" s="196"/>
      <c r="F516" s="196">
        <v>2002</v>
      </c>
      <c r="G516" s="196"/>
      <c r="H516" s="196" t="s">
        <v>2963</v>
      </c>
      <c r="I516" s="141" t="s">
        <v>1879</v>
      </c>
      <c r="J516" s="196" t="s">
        <v>2237</v>
      </c>
      <c r="K516" s="196" t="s">
        <v>1881</v>
      </c>
      <c r="L516" s="141" t="s">
        <v>2995</v>
      </c>
      <c r="M516" s="196">
        <v>704</v>
      </c>
      <c r="N516" s="196"/>
      <c r="O516" s="196" t="s">
        <v>2954</v>
      </c>
      <c r="P516" s="144">
        <v>947</v>
      </c>
      <c r="Q516" s="145">
        <f t="shared" si="30"/>
        <v>2.4742999999999999</v>
      </c>
      <c r="R516" s="203">
        <v>0.49</v>
      </c>
      <c r="S516" s="203"/>
      <c r="T516" s="151"/>
      <c r="U516" s="151">
        <v>1.7</v>
      </c>
      <c r="V516" s="151">
        <v>0.25</v>
      </c>
      <c r="W516" s="151">
        <f t="shared" si="31"/>
        <v>0.49</v>
      </c>
      <c r="X516" s="152">
        <f t="shared" si="29"/>
        <v>3.4299999999999997E-2</v>
      </c>
      <c r="Y516" s="150">
        <f t="shared" si="28"/>
        <v>1.01</v>
      </c>
      <c r="Z516" s="152"/>
      <c r="AA516" s="148"/>
      <c r="AB516" s="148"/>
      <c r="AC516" s="153"/>
      <c r="AD516" s="153"/>
      <c r="AE516" s="153"/>
      <c r="AF516" s="153"/>
      <c r="AJ516" s="147"/>
    </row>
    <row r="517" spans="1:36" s="146" customFormat="1" x14ac:dyDescent="0.25">
      <c r="A517" s="196">
        <v>634</v>
      </c>
      <c r="B517" s="196" t="s">
        <v>3001</v>
      </c>
      <c r="C517" s="196" t="s">
        <v>3002</v>
      </c>
      <c r="D517" s="196" t="s">
        <v>2300</v>
      </c>
      <c r="E517" s="196"/>
      <c r="F517" s="196">
        <v>1997</v>
      </c>
      <c r="G517" s="196"/>
      <c r="H517" s="196" t="s">
        <v>1878</v>
      </c>
      <c r="I517" s="141" t="s">
        <v>1879</v>
      </c>
      <c r="J517" s="52"/>
      <c r="K517" s="196" t="s">
        <v>1881</v>
      </c>
      <c r="L517" s="141" t="s">
        <v>3003</v>
      </c>
      <c r="M517" s="196">
        <v>544</v>
      </c>
      <c r="N517" s="196"/>
      <c r="O517" s="196" t="s">
        <v>2955</v>
      </c>
      <c r="P517" s="144">
        <v>351</v>
      </c>
      <c r="Q517" s="145">
        <f t="shared" si="30"/>
        <v>4.5423</v>
      </c>
      <c r="R517" s="203">
        <v>2.89</v>
      </c>
      <c r="S517" s="203"/>
      <c r="T517" s="151"/>
      <c r="U517" s="151">
        <v>1.2</v>
      </c>
      <c r="V517" s="149">
        <v>0.25</v>
      </c>
      <c r="W517" s="151">
        <f t="shared" si="31"/>
        <v>2.89</v>
      </c>
      <c r="X517" s="152">
        <f t="shared" si="29"/>
        <v>0.20230000000000001</v>
      </c>
      <c r="Y517" s="150">
        <f t="shared" si="28"/>
        <v>1.01</v>
      </c>
      <c r="Z517" s="152"/>
      <c r="AA517" s="148"/>
      <c r="AB517" s="148"/>
      <c r="AC517" s="153"/>
      <c r="AD517" s="153"/>
      <c r="AE517" s="153"/>
      <c r="AF517" s="153"/>
      <c r="AJ517" s="147"/>
    </row>
    <row r="518" spans="1:36" s="146" customFormat="1" x14ac:dyDescent="0.25">
      <c r="A518" s="196">
        <v>701</v>
      </c>
      <c r="B518" s="196" t="s">
        <v>3004</v>
      </c>
      <c r="C518" s="196" t="s">
        <v>3005</v>
      </c>
      <c r="D518" s="196" t="s">
        <v>2300</v>
      </c>
      <c r="E518" s="196" t="s">
        <v>1984</v>
      </c>
      <c r="F518" s="196">
        <v>2007</v>
      </c>
      <c r="G518" s="196"/>
      <c r="H518" s="196" t="s">
        <v>1878</v>
      </c>
      <c r="I518" s="141" t="s">
        <v>1879</v>
      </c>
      <c r="J518" s="196" t="s">
        <v>3006</v>
      </c>
      <c r="K518" s="196" t="s">
        <v>1881</v>
      </c>
      <c r="L518" s="141" t="s">
        <v>3007</v>
      </c>
      <c r="M518" s="196">
        <v>304</v>
      </c>
      <c r="N518" s="196"/>
      <c r="O518" s="196" t="s">
        <v>2956</v>
      </c>
      <c r="P518" s="144">
        <v>372</v>
      </c>
      <c r="Q518" s="145">
        <f t="shared" si="30"/>
        <v>1.9742999999999999</v>
      </c>
      <c r="R518" s="203">
        <v>0.49</v>
      </c>
      <c r="S518" s="203"/>
      <c r="T518" s="151"/>
      <c r="U518" s="151">
        <v>1.2</v>
      </c>
      <c r="V518" s="151">
        <v>0.25</v>
      </c>
      <c r="W518" s="151">
        <f t="shared" si="31"/>
        <v>0.49</v>
      </c>
      <c r="X518" s="152">
        <f t="shared" si="29"/>
        <v>3.4299999999999997E-2</v>
      </c>
      <c r="Y518" s="150">
        <f t="shared" si="28"/>
        <v>1.01</v>
      </c>
      <c r="Z518" s="152"/>
      <c r="AA518" s="148"/>
      <c r="AB518" s="148"/>
      <c r="AC518" s="153"/>
      <c r="AD518" s="153"/>
      <c r="AE518" s="153"/>
      <c r="AF518" s="153"/>
      <c r="AJ518" s="147"/>
    </row>
    <row r="519" spans="1:36" s="146" customFormat="1" ht="66" x14ac:dyDescent="0.25">
      <c r="A519" s="196">
        <v>775</v>
      </c>
      <c r="B519" s="196" t="s">
        <v>3008</v>
      </c>
      <c r="C519" s="196" t="s">
        <v>3009</v>
      </c>
      <c r="D519" s="196" t="s">
        <v>3010</v>
      </c>
      <c r="E519" s="196" t="s">
        <v>3011</v>
      </c>
      <c r="F519" s="196">
        <v>1999</v>
      </c>
      <c r="G519" s="196"/>
      <c r="H519" s="196" t="s">
        <v>1878</v>
      </c>
      <c r="I519" s="141" t="s">
        <v>1879</v>
      </c>
      <c r="J519" s="52" t="s">
        <v>3012</v>
      </c>
      <c r="K519" s="196" t="s">
        <v>1881</v>
      </c>
      <c r="L519" s="141" t="s">
        <v>3013</v>
      </c>
      <c r="M519" s="196">
        <v>576</v>
      </c>
      <c r="N519" s="196"/>
      <c r="O519" s="196" t="s">
        <v>2957</v>
      </c>
      <c r="P519" s="144">
        <v>560</v>
      </c>
      <c r="Q519" s="145">
        <f t="shared" si="30"/>
        <v>2.2603</v>
      </c>
      <c r="R519" s="203">
        <v>0.28999999999999998</v>
      </c>
      <c r="S519" s="203"/>
      <c r="T519" s="151"/>
      <c r="U519" s="151">
        <v>1.7</v>
      </c>
      <c r="V519" s="149">
        <v>0.25</v>
      </c>
      <c r="W519" s="151">
        <f t="shared" si="31"/>
        <v>0.28999999999999998</v>
      </c>
      <c r="X519" s="152">
        <f t="shared" si="29"/>
        <v>2.0299999999999999E-2</v>
      </c>
      <c r="Y519" s="150">
        <f t="shared" si="28"/>
        <v>1.01</v>
      </c>
      <c r="Z519" s="152"/>
      <c r="AA519" s="148"/>
      <c r="AB519" s="148"/>
      <c r="AC519" s="153"/>
      <c r="AD519" s="153"/>
      <c r="AE519" s="153"/>
      <c r="AF519" s="153"/>
      <c r="AJ519" s="147"/>
    </row>
    <row r="520" spans="1:36" s="146" customFormat="1" x14ac:dyDescent="0.25">
      <c r="A520" s="196">
        <v>701</v>
      </c>
      <c r="B520" s="196" t="s">
        <v>3014</v>
      </c>
      <c r="C520" s="196" t="s">
        <v>3015</v>
      </c>
      <c r="D520" s="196" t="s">
        <v>3017</v>
      </c>
      <c r="E520" s="196" t="s">
        <v>3016</v>
      </c>
      <c r="F520" s="196">
        <v>1978</v>
      </c>
      <c r="G520" s="196"/>
      <c r="H520" s="196" t="s">
        <v>2963</v>
      </c>
      <c r="I520" s="141" t="s">
        <v>1879</v>
      </c>
      <c r="J520" s="196" t="s">
        <v>3018</v>
      </c>
      <c r="K520" s="196" t="s">
        <v>1881</v>
      </c>
      <c r="L520" s="141" t="s">
        <v>3019</v>
      </c>
      <c r="M520" s="196">
        <v>162</v>
      </c>
      <c r="N520" s="196"/>
      <c r="O520" s="196" t="s">
        <v>2958</v>
      </c>
      <c r="P520" s="144">
        <v>242</v>
      </c>
      <c r="Q520" s="145">
        <f t="shared" si="30"/>
        <v>1.7175</v>
      </c>
      <c r="R520" s="203">
        <v>0.25</v>
      </c>
      <c r="S520" s="203"/>
      <c r="T520" s="151"/>
      <c r="U520" s="151">
        <v>1.2</v>
      </c>
      <c r="V520" s="151">
        <v>0.25</v>
      </c>
      <c r="W520" s="151">
        <f t="shared" si="31"/>
        <v>0.25</v>
      </c>
      <c r="X520" s="152">
        <f t="shared" si="29"/>
        <v>1.7500000000000002E-2</v>
      </c>
      <c r="Y520" s="150">
        <f t="shared" si="28"/>
        <v>1.01</v>
      </c>
      <c r="Z520" s="152"/>
      <c r="AA520" s="148"/>
      <c r="AB520" s="148"/>
      <c r="AC520" s="153"/>
      <c r="AD520" s="153"/>
      <c r="AE520" s="153"/>
      <c r="AF520" s="153"/>
      <c r="AJ520" s="147"/>
    </row>
    <row r="521" spans="1:36" s="146" customFormat="1" x14ac:dyDescent="0.25">
      <c r="A521" s="196">
        <v>1386</v>
      </c>
      <c r="B521" s="196" t="s">
        <v>3020</v>
      </c>
      <c r="C521" s="196" t="s">
        <v>3021</v>
      </c>
      <c r="D521" s="196" t="s">
        <v>3022</v>
      </c>
      <c r="E521" s="196"/>
      <c r="F521" s="196">
        <v>1997</v>
      </c>
      <c r="G521" s="196"/>
      <c r="H521" s="196" t="s">
        <v>2963</v>
      </c>
      <c r="I521" s="141" t="s">
        <v>1879</v>
      </c>
      <c r="J521" s="196"/>
      <c r="K521" s="196" t="s">
        <v>1881</v>
      </c>
      <c r="L521" s="141" t="s">
        <v>3023</v>
      </c>
      <c r="M521" s="196">
        <v>146</v>
      </c>
      <c r="N521" s="196"/>
      <c r="O521" s="196" t="s">
        <v>2959</v>
      </c>
      <c r="P521" s="144">
        <v>304</v>
      </c>
      <c r="Q521" s="145">
        <f t="shared" si="30"/>
        <v>1.8673</v>
      </c>
      <c r="R521" s="203">
        <v>0.39</v>
      </c>
      <c r="S521" s="203"/>
      <c r="T521" s="151"/>
      <c r="U521" s="151">
        <v>1.2</v>
      </c>
      <c r="V521" s="149">
        <v>0.25</v>
      </c>
      <c r="W521" s="151">
        <f t="shared" si="31"/>
        <v>0.39</v>
      </c>
      <c r="X521" s="152">
        <f t="shared" si="29"/>
        <v>2.7300000000000001E-2</v>
      </c>
      <c r="Y521" s="150">
        <f t="shared" si="28"/>
        <v>1.01</v>
      </c>
      <c r="Z521" s="152"/>
      <c r="AA521" s="148"/>
      <c r="AB521" s="148"/>
      <c r="AC521" s="153"/>
      <c r="AD521" s="153"/>
      <c r="AE521" s="153"/>
      <c r="AF521" s="153"/>
      <c r="AJ521" s="147"/>
    </row>
    <row r="522" spans="1:36" s="146" customFormat="1" x14ac:dyDescent="0.25">
      <c r="A522" s="196">
        <v>2002</v>
      </c>
      <c r="B522" s="196" t="s">
        <v>3024</v>
      </c>
      <c r="C522" s="196" t="s">
        <v>3025</v>
      </c>
      <c r="D522" s="196" t="s">
        <v>3026</v>
      </c>
      <c r="E522" s="196" t="s">
        <v>1877</v>
      </c>
      <c r="F522" s="196">
        <v>2009</v>
      </c>
      <c r="G522" s="196"/>
      <c r="H522" s="196" t="s">
        <v>1878</v>
      </c>
      <c r="I522" s="141" t="s">
        <v>1879</v>
      </c>
      <c r="J522" s="196"/>
      <c r="K522" s="196" t="s">
        <v>1881</v>
      </c>
      <c r="L522" s="141" t="s">
        <v>3027</v>
      </c>
      <c r="M522" s="196">
        <v>336</v>
      </c>
      <c r="N522" s="196"/>
      <c r="O522" s="196" t="s">
        <v>2960</v>
      </c>
      <c r="P522" s="144">
        <v>371</v>
      </c>
      <c r="Q522" s="145">
        <f t="shared" si="30"/>
        <v>1.7175</v>
      </c>
      <c r="R522" s="203">
        <v>0.25</v>
      </c>
      <c r="S522" s="203"/>
      <c r="T522" s="151"/>
      <c r="U522" s="151">
        <v>1.2</v>
      </c>
      <c r="V522" s="151">
        <v>0.25</v>
      </c>
      <c r="W522" s="151">
        <f t="shared" si="31"/>
        <v>0.25</v>
      </c>
      <c r="X522" s="152">
        <f t="shared" si="29"/>
        <v>1.7500000000000002E-2</v>
      </c>
      <c r="Y522" s="150">
        <f t="shared" si="28"/>
        <v>1.01</v>
      </c>
      <c r="Z522" s="152"/>
      <c r="AA522" s="148"/>
      <c r="AB522" s="148"/>
      <c r="AC522" s="153"/>
      <c r="AD522" s="153"/>
      <c r="AE522" s="153"/>
      <c r="AF522" s="153"/>
      <c r="AJ522" s="147"/>
    </row>
    <row r="523" spans="1:36" s="146" customFormat="1" x14ac:dyDescent="0.25">
      <c r="A523" s="196">
        <v>1386</v>
      </c>
      <c r="B523" s="196" t="s">
        <v>3032</v>
      </c>
      <c r="C523" s="196" t="s">
        <v>3033</v>
      </c>
      <c r="D523" s="196" t="s">
        <v>2300</v>
      </c>
      <c r="E523" s="196" t="s">
        <v>2335</v>
      </c>
      <c r="F523" s="196">
        <v>1997</v>
      </c>
      <c r="G523" s="196"/>
      <c r="H523" s="196" t="s">
        <v>1878</v>
      </c>
      <c r="I523" s="141" t="s">
        <v>1879</v>
      </c>
      <c r="J523" s="143" t="s">
        <v>2205</v>
      </c>
      <c r="K523" s="196" t="s">
        <v>1881</v>
      </c>
      <c r="L523" s="141" t="s">
        <v>3034</v>
      </c>
      <c r="M523" s="196">
        <v>288</v>
      </c>
      <c r="N523" s="196"/>
      <c r="O523" s="196" t="s">
        <v>2997</v>
      </c>
      <c r="P523" s="144">
        <v>234</v>
      </c>
      <c r="Q523" s="145">
        <f t="shared" si="30"/>
        <v>1.8244999999999998</v>
      </c>
      <c r="R523" s="203">
        <v>0.35</v>
      </c>
      <c r="S523" s="203"/>
      <c r="T523" s="151"/>
      <c r="U523" s="151">
        <v>1.2</v>
      </c>
      <c r="V523" s="149">
        <v>0.25</v>
      </c>
      <c r="W523" s="151">
        <f t="shared" si="31"/>
        <v>0.35</v>
      </c>
      <c r="X523" s="152">
        <f t="shared" si="29"/>
        <v>2.4499999999999997E-2</v>
      </c>
      <c r="Y523" s="150">
        <f t="shared" si="28"/>
        <v>1.01</v>
      </c>
      <c r="Z523" s="152"/>
      <c r="AA523" s="148"/>
      <c r="AB523" s="148"/>
      <c r="AC523" s="153"/>
      <c r="AD523" s="153"/>
      <c r="AE523" s="153"/>
      <c r="AF523" s="153"/>
      <c r="AJ523" s="147"/>
    </row>
    <row r="524" spans="1:36" s="146" customFormat="1" x14ac:dyDescent="0.25">
      <c r="A524" s="196">
        <v>763</v>
      </c>
      <c r="B524" s="196" t="s">
        <v>3035</v>
      </c>
      <c r="C524" s="196" t="s">
        <v>3036</v>
      </c>
      <c r="D524" s="196" t="s">
        <v>2300</v>
      </c>
      <c r="E524" s="196"/>
      <c r="F524" s="196">
        <v>2018</v>
      </c>
      <c r="G524" s="196"/>
      <c r="H524" s="196" t="s">
        <v>1878</v>
      </c>
      <c r="I524" s="141" t="s">
        <v>1929</v>
      </c>
      <c r="J524" s="196"/>
      <c r="K524" s="196" t="s">
        <v>1881</v>
      </c>
      <c r="L524" s="141" t="s">
        <v>3037</v>
      </c>
      <c r="M524" s="196">
        <v>508</v>
      </c>
      <c r="N524" s="196"/>
      <c r="O524" s="196" t="s">
        <v>2998</v>
      </c>
      <c r="P524" s="144">
        <v>841</v>
      </c>
      <c r="Q524" s="145">
        <f t="shared" si="30"/>
        <v>5.1493000000000002</v>
      </c>
      <c r="R524" s="203">
        <v>2.99</v>
      </c>
      <c r="S524" s="203"/>
      <c r="T524" s="151"/>
      <c r="U524" s="151">
        <v>1.7</v>
      </c>
      <c r="V524" s="151">
        <v>0.25</v>
      </c>
      <c r="W524" s="151">
        <f t="shared" si="31"/>
        <v>2.99</v>
      </c>
      <c r="X524" s="152">
        <f t="shared" si="29"/>
        <v>0.20930000000000001</v>
      </c>
      <c r="Y524" s="150">
        <f t="shared" si="28"/>
        <v>1.01</v>
      </c>
      <c r="Z524" s="152"/>
      <c r="AA524" s="148"/>
      <c r="AB524" s="148"/>
      <c r="AC524" s="153"/>
      <c r="AD524" s="153"/>
      <c r="AE524" s="153"/>
      <c r="AF524" s="153"/>
      <c r="AJ524" s="147"/>
    </row>
    <row r="525" spans="1:36" s="146" customFormat="1" x14ac:dyDescent="0.25">
      <c r="A525" s="196">
        <v>1809</v>
      </c>
      <c r="B525" s="196" t="s">
        <v>3051</v>
      </c>
      <c r="C525" s="196" t="s">
        <v>3052</v>
      </c>
      <c r="D525" s="196" t="s">
        <v>2609</v>
      </c>
      <c r="E525" s="196" t="s">
        <v>3053</v>
      </c>
      <c r="F525" s="196">
        <v>2009</v>
      </c>
      <c r="G525" s="196"/>
      <c r="H525" s="196" t="s">
        <v>2963</v>
      </c>
      <c r="I525" s="141" t="s">
        <v>1879</v>
      </c>
      <c r="J525" s="143" t="s">
        <v>3054</v>
      </c>
      <c r="K525" s="196" t="s">
        <v>1881</v>
      </c>
      <c r="L525" s="141" t="s">
        <v>3055</v>
      </c>
      <c r="M525" s="196">
        <v>258</v>
      </c>
      <c r="N525" s="196"/>
      <c r="O525" s="196" t="s">
        <v>3000</v>
      </c>
      <c r="P525" s="144">
        <v>433</v>
      </c>
      <c r="Q525" s="145">
        <f t="shared" si="30"/>
        <v>1.9315</v>
      </c>
      <c r="R525" s="203">
        <v>0.45</v>
      </c>
      <c r="S525" s="203"/>
      <c r="T525" s="151"/>
      <c r="U525" s="151">
        <v>1.2</v>
      </c>
      <c r="V525" s="149">
        <v>0.25</v>
      </c>
      <c r="W525" s="151">
        <f t="shared" si="31"/>
        <v>0.45</v>
      </c>
      <c r="X525" s="152">
        <f t="shared" si="29"/>
        <v>3.15E-2</v>
      </c>
      <c r="Y525" s="150">
        <f t="shared" si="28"/>
        <v>1.01</v>
      </c>
      <c r="Z525" s="152"/>
      <c r="AA525" s="148"/>
      <c r="AB525" s="148"/>
      <c r="AC525" s="153"/>
      <c r="AD525" s="153"/>
      <c r="AE525" s="153"/>
      <c r="AF525" s="153"/>
      <c r="AJ525" s="147"/>
    </row>
    <row r="526" spans="1:36" s="146" customFormat="1" x14ac:dyDescent="0.25">
      <c r="A526" s="196">
        <v>1809</v>
      </c>
      <c r="B526" s="196"/>
      <c r="C526" s="196" t="s">
        <v>3056</v>
      </c>
      <c r="D526" s="196" t="s">
        <v>3057</v>
      </c>
      <c r="E526" s="196"/>
      <c r="F526" s="196">
        <v>2010</v>
      </c>
      <c r="G526" s="196"/>
      <c r="H526" s="196" t="s">
        <v>2963</v>
      </c>
      <c r="I526" s="141" t="s">
        <v>1929</v>
      </c>
      <c r="J526" s="142"/>
      <c r="K526" s="196" t="s">
        <v>1881</v>
      </c>
      <c r="L526" s="141" t="s">
        <v>3058</v>
      </c>
      <c r="M526" s="196">
        <v>298</v>
      </c>
      <c r="N526" s="196"/>
      <c r="O526" s="196" t="s">
        <v>3041</v>
      </c>
      <c r="P526" s="144">
        <v>476</v>
      </c>
      <c r="Q526" s="145">
        <f t="shared" si="30"/>
        <v>3.6863000000000001</v>
      </c>
      <c r="R526" s="203">
        <v>2.09</v>
      </c>
      <c r="S526" s="203"/>
      <c r="T526" s="151"/>
      <c r="U526" s="151">
        <v>1.2</v>
      </c>
      <c r="V526" s="151">
        <v>0.25</v>
      </c>
      <c r="W526" s="151">
        <f t="shared" si="31"/>
        <v>2.09</v>
      </c>
      <c r="X526" s="152">
        <f t="shared" si="29"/>
        <v>0.14629999999999999</v>
      </c>
      <c r="Y526" s="150">
        <f t="shared" si="28"/>
        <v>1.01</v>
      </c>
      <c r="Z526" s="152"/>
      <c r="AA526" s="148"/>
      <c r="AB526" s="148"/>
      <c r="AC526" s="153"/>
      <c r="AD526" s="153"/>
      <c r="AE526" s="153"/>
      <c r="AF526" s="153"/>
      <c r="AJ526" s="147"/>
    </row>
    <row r="527" spans="1:36" s="146" customFormat="1" x14ac:dyDescent="0.25">
      <c r="A527" s="196">
        <v>632</v>
      </c>
      <c r="B527" s="196" t="s">
        <v>3059</v>
      </c>
      <c r="C527" s="196" t="s">
        <v>3060</v>
      </c>
      <c r="D527" s="196" t="s">
        <v>1920</v>
      </c>
      <c r="E527" s="196" t="s">
        <v>1913</v>
      </c>
      <c r="F527" s="196">
        <v>2006</v>
      </c>
      <c r="G527" s="196"/>
      <c r="H527" s="196" t="s">
        <v>1878</v>
      </c>
      <c r="I527" s="141" t="s">
        <v>1879</v>
      </c>
      <c r="J527" s="196"/>
      <c r="K527" s="196" t="s">
        <v>1881</v>
      </c>
      <c r="L527" s="141" t="s">
        <v>3061</v>
      </c>
      <c r="M527" s="196">
        <v>512</v>
      </c>
      <c r="N527" s="196"/>
      <c r="O527" s="196" t="s">
        <v>3042</v>
      </c>
      <c r="P527" s="144">
        <v>440</v>
      </c>
      <c r="Q527" s="145">
        <f t="shared" si="30"/>
        <v>1.7603</v>
      </c>
      <c r="R527" s="203">
        <v>0.28999999999999998</v>
      </c>
      <c r="S527" s="203"/>
      <c r="T527" s="151"/>
      <c r="U527" s="151">
        <v>1.2</v>
      </c>
      <c r="V527" s="149">
        <v>0.25</v>
      </c>
      <c r="W527" s="151">
        <f t="shared" si="31"/>
        <v>0.28999999999999998</v>
      </c>
      <c r="X527" s="152">
        <f t="shared" si="29"/>
        <v>2.0299999999999999E-2</v>
      </c>
      <c r="Y527" s="150">
        <f t="shared" si="28"/>
        <v>1.01</v>
      </c>
      <c r="Z527" s="152"/>
      <c r="AA527" s="148"/>
      <c r="AB527" s="148"/>
      <c r="AC527" s="153"/>
      <c r="AD527" s="153"/>
      <c r="AE527" s="153"/>
      <c r="AF527" s="153"/>
      <c r="AJ527" s="147"/>
    </row>
    <row r="528" spans="1:36" s="146" customFormat="1" x14ac:dyDescent="0.25">
      <c r="A528" s="196">
        <v>2522</v>
      </c>
      <c r="B528" s="196" t="s">
        <v>3062</v>
      </c>
      <c r="C528" s="196" t="s">
        <v>3063</v>
      </c>
      <c r="D528" s="196" t="s">
        <v>2300</v>
      </c>
      <c r="E528" s="196" t="s">
        <v>1921</v>
      </c>
      <c r="F528" s="196">
        <v>2007</v>
      </c>
      <c r="G528" s="196"/>
      <c r="H528" s="196" t="s">
        <v>1878</v>
      </c>
      <c r="I528" s="141" t="s">
        <v>1879</v>
      </c>
      <c r="J528" s="143" t="s">
        <v>3054</v>
      </c>
      <c r="K528" s="196" t="s">
        <v>1881</v>
      </c>
      <c r="L528" s="141" t="s">
        <v>3064</v>
      </c>
      <c r="M528" s="196">
        <v>384</v>
      </c>
      <c r="N528" s="196"/>
      <c r="O528" s="196" t="s">
        <v>3043</v>
      </c>
      <c r="P528" s="144">
        <v>349</v>
      </c>
      <c r="Q528" s="145">
        <f t="shared" si="30"/>
        <v>1.7603</v>
      </c>
      <c r="R528" s="203">
        <v>0.28999999999999998</v>
      </c>
      <c r="S528" s="203"/>
      <c r="T528" s="151"/>
      <c r="U528" s="151">
        <v>1.2</v>
      </c>
      <c r="V528" s="151">
        <v>0.25</v>
      </c>
      <c r="W528" s="151">
        <f t="shared" si="31"/>
        <v>0.28999999999999998</v>
      </c>
      <c r="X528" s="152">
        <f t="shared" si="29"/>
        <v>2.0299999999999999E-2</v>
      </c>
      <c r="Y528" s="150">
        <f t="shared" si="28"/>
        <v>1.01</v>
      </c>
      <c r="Z528" s="152"/>
      <c r="AA528" s="148"/>
      <c r="AB528" s="148"/>
      <c r="AC528" s="153"/>
      <c r="AD528" s="153"/>
      <c r="AE528" s="153"/>
      <c r="AF528" s="153"/>
      <c r="AJ528" s="147"/>
    </row>
    <row r="529" spans="1:36" s="146" customFormat="1" x14ac:dyDescent="0.25">
      <c r="A529" s="196">
        <v>2522</v>
      </c>
      <c r="B529" s="196" t="s">
        <v>3065</v>
      </c>
      <c r="C529" s="196" t="s">
        <v>3066</v>
      </c>
      <c r="D529" s="196" t="s">
        <v>2209</v>
      </c>
      <c r="E529" s="196" t="s">
        <v>3067</v>
      </c>
      <c r="F529" s="196">
        <v>2010</v>
      </c>
      <c r="G529" s="196"/>
      <c r="H529" s="196" t="s">
        <v>1878</v>
      </c>
      <c r="I529" s="141" t="s">
        <v>1879</v>
      </c>
      <c r="J529" s="143"/>
      <c r="K529" s="196" t="s">
        <v>1881</v>
      </c>
      <c r="L529" s="141" t="s">
        <v>3068</v>
      </c>
      <c r="M529" s="196">
        <v>700</v>
      </c>
      <c r="N529" s="196"/>
      <c r="O529" s="196" t="s">
        <v>3044</v>
      </c>
      <c r="P529" s="144">
        <v>421</v>
      </c>
      <c r="Q529" s="145">
        <f t="shared" si="30"/>
        <v>1.7603</v>
      </c>
      <c r="R529" s="203">
        <v>0.28999999999999998</v>
      </c>
      <c r="S529" s="203"/>
      <c r="T529" s="151"/>
      <c r="U529" s="151">
        <v>1.2</v>
      </c>
      <c r="V529" s="149">
        <v>0.25</v>
      </c>
      <c r="W529" s="151">
        <f t="shared" si="31"/>
        <v>0.28999999999999998</v>
      </c>
      <c r="X529" s="152">
        <f t="shared" si="29"/>
        <v>2.0299999999999999E-2</v>
      </c>
      <c r="Y529" s="150">
        <f t="shared" si="28"/>
        <v>1.01</v>
      </c>
      <c r="Z529" s="152"/>
      <c r="AA529" s="148"/>
      <c r="AB529" s="148"/>
      <c r="AC529" s="153"/>
      <c r="AD529" s="153"/>
      <c r="AE529" s="153"/>
      <c r="AF529" s="153"/>
      <c r="AJ529" s="147"/>
    </row>
    <row r="530" spans="1:36" s="146" customFormat="1" x14ac:dyDescent="0.25">
      <c r="A530" s="196">
        <v>1327</v>
      </c>
      <c r="B530" s="196" t="s">
        <v>3069</v>
      </c>
      <c r="C530" s="196" t="s">
        <v>3070</v>
      </c>
      <c r="D530" s="196" t="s">
        <v>2818</v>
      </c>
      <c r="E530" s="196"/>
      <c r="F530" s="196">
        <v>2008</v>
      </c>
      <c r="G530" s="196"/>
      <c r="H530" s="196" t="s">
        <v>2963</v>
      </c>
      <c r="I530" s="141" t="s">
        <v>1879</v>
      </c>
      <c r="J530" s="196"/>
      <c r="K530" s="196" t="s">
        <v>1881</v>
      </c>
      <c r="L530" s="141" t="s">
        <v>3071</v>
      </c>
      <c r="M530" s="196">
        <v>290</v>
      </c>
      <c r="N530" s="196"/>
      <c r="O530" s="196" t="s">
        <v>3045</v>
      </c>
      <c r="P530" s="144">
        <v>478</v>
      </c>
      <c r="Q530" s="145">
        <f t="shared" si="30"/>
        <v>1.9742999999999999</v>
      </c>
      <c r="R530" s="203">
        <v>0.49</v>
      </c>
      <c r="S530" s="203"/>
      <c r="T530" s="151"/>
      <c r="U530" s="151">
        <v>1.2</v>
      </c>
      <c r="V530" s="151">
        <v>0.25</v>
      </c>
      <c r="W530" s="151">
        <f t="shared" si="31"/>
        <v>0.49</v>
      </c>
      <c r="X530" s="152">
        <f t="shared" si="29"/>
        <v>3.4299999999999997E-2</v>
      </c>
      <c r="Y530" s="150">
        <f t="shared" si="28"/>
        <v>1.01</v>
      </c>
      <c r="Z530" s="152"/>
      <c r="AA530" s="148"/>
      <c r="AB530" s="148"/>
      <c r="AC530" s="153"/>
      <c r="AD530" s="153"/>
      <c r="AE530" s="153"/>
      <c r="AF530" s="153"/>
      <c r="AJ530" s="147"/>
    </row>
    <row r="531" spans="1:36" s="146" customFormat="1" x14ac:dyDescent="0.25">
      <c r="A531" s="196">
        <v>632</v>
      </c>
      <c r="B531" s="196" t="s">
        <v>3072</v>
      </c>
      <c r="C531" s="196" t="s">
        <v>3073</v>
      </c>
      <c r="D531" s="196" t="s">
        <v>2054</v>
      </c>
      <c r="E531" s="196"/>
      <c r="F531" s="196">
        <v>2004</v>
      </c>
      <c r="G531" s="196"/>
      <c r="H531" s="196" t="s">
        <v>1878</v>
      </c>
      <c r="I531" s="141" t="s">
        <v>1879</v>
      </c>
      <c r="J531" s="196"/>
      <c r="K531" s="196" t="s">
        <v>1881</v>
      </c>
      <c r="L531" s="141" t="s">
        <v>3074</v>
      </c>
      <c r="M531" s="196">
        <v>544</v>
      </c>
      <c r="N531" s="196"/>
      <c r="O531" s="196" t="s">
        <v>3046</v>
      </c>
      <c r="P531" s="144">
        <v>404</v>
      </c>
      <c r="Q531" s="145">
        <f t="shared" si="30"/>
        <v>3.0442999999999998</v>
      </c>
      <c r="R531" s="203">
        <v>1.49</v>
      </c>
      <c r="S531" s="203"/>
      <c r="T531" s="151"/>
      <c r="U531" s="151">
        <v>1.2</v>
      </c>
      <c r="V531" s="149">
        <v>0.25</v>
      </c>
      <c r="W531" s="151">
        <f t="shared" si="31"/>
        <v>1.49</v>
      </c>
      <c r="X531" s="152">
        <f t="shared" si="29"/>
        <v>0.1043</v>
      </c>
      <c r="Y531" s="150">
        <f t="shared" si="28"/>
        <v>1.01</v>
      </c>
      <c r="Z531" s="152"/>
      <c r="AA531" s="148"/>
      <c r="AB531" s="148"/>
      <c r="AC531" s="153"/>
      <c r="AD531" s="153"/>
      <c r="AE531" s="153"/>
      <c r="AF531" s="153"/>
      <c r="AJ531" s="147"/>
    </row>
    <row r="532" spans="1:36" s="146" customFormat="1" x14ac:dyDescent="0.25">
      <c r="A532" s="196">
        <v>689</v>
      </c>
      <c r="B532" s="196" t="s">
        <v>3075</v>
      </c>
      <c r="C532" s="196" t="s">
        <v>3076</v>
      </c>
      <c r="D532" s="196" t="s">
        <v>3077</v>
      </c>
      <c r="E532" s="196" t="s">
        <v>1913</v>
      </c>
      <c r="F532" s="196">
        <v>2005</v>
      </c>
      <c r="G532" s="196"/>
      <c r="H532" s="196" t="s">
        <v>1878</v>
      </c>
      <c r="I532" s="141" t="s">
        <v>1879</v>
      </c>
      <c r="J532" s="143" t="s">
        <v>3078</v>
      </c>
      <c r="K532" s="196" t="s">
        <v>1881</v>
      </c>
      <c r="L532" s="141" t="s">
        <v>3079</v>
      </c>
      <c r="M532" s="196">
        <v>448</v>
      </c>
      <c r="N532" s="196"/>
      <c r="O532" s="196" t="s">
        <v>3047</v>
      </c>
      <c r="P532" s="144">
        <v>298</v>
      </c>
      <c r="Q532" s="145">
        <f t="shared" si="30"/>
        <v>1.9742999999999999</v>
      </c>
      <c r="R532" s="203">
        <v>0.49</v>
      </c>
      <c r="S532" s="203"/>
      <c r="T532" s="151"/>
      <c r="U532" s="151">
        <v>1.2</v>
      </c>
      <c r="V532" s="151">
        <v>0.25</v>
      </c>
      <c r="W532" s="151">
        <f t="shared" si="31"/>
        <v>0.49</v>
      </c>
      <c r="X532" s="152">
        <f t="shared" si="29"/>
        <v>3.4299999999999997E-2</v>
      </c>
      <c r="Y532" s="150">
        <f t="shared" si="28"/>
        <v>1.01</v>
      </c>
      <c r="Z532" s="152"/>
      <c r="AA532" s="148"/>
      <c r="AB532" s="148"/>
      <c r="AC532" s="153"/>
      <c r="AD532" s="153"/>
      <c r="AE532" s="153"/>
      <c r="AF532" s="153"/>
      <c r="AJ532" s="147"/>
    </row>
    <row r="533" spans="1:36" s="146" customFormat="1" x14ac:dyDescent="0.25">
      <c r="A533" s="196">
        <v>796</v>
      </c>
      <c r="B533" s="196" t="s">
        <v>3080</v>
      </c>
      <c r="C533" s="196" t="s">
        <v>3081</v>
      </c>
      <c r="D533" s="196" t="s">
        <v>2209</v>
      </c>
      <c r="E533" s="196" t="s">
        <v>1877</v>
      </c>
      <c r="F533" s="196">
        <v>2000</v>
      </c>
      <c r="G533" s="196"/>
      <c r="H533" s="196" t="s">
        <v>1878</v>
      </c>
      <c r="I533" s="141" t="s">
        <v>1879</v>
      </c>
      <c r="J533" s="196"/>
      <c r="K533" s="196" t="s">
        <v>1881</v>
      </c>
      <c r="L533" s="141" t="s">
        <v>3082</v>
      </c>
      <c r="M533" s="196">
        <v>224</v>
      </c>
      <c r="N533" s="196"/>
      <c r="O533" s="196" t="s">
        <v>3048</v>
      </c>
      <c r="P533" s="144">
        <v>203</v>
      </c>
      <c r="Q533" s="145">
        <f t="shared" si="30"/>
        <v>1.7175</v>
      </c>
      <c r="R533" s="203">
        <v>0.25</v>
      </c>
      <c r="S533" s="203"/>
      <c r="T533" s="151"/>
      <c r="U533" s="151">
        <v>1.2</v>
      </c>
      <c r="V533" s="149">
        <v>0.25</v>
      </c>
      <c r="W533" s="151">
        <f t="shared" si="31"/>
        <v>0.25</v>
      </c>
      <c r="X533" s="152">
        <f t="shared" si="29"/>
        <v>1.7500000000000002E-2</v>
      </c>
      <c r="Y533" s="150">
        <f t="shared" si="28"/>
        <v>1.01</v>
      </c>
      <c r="Z533" s="152"/>
      <c r="AA533" s="148"/>
      <c r="AB533" s="148"/>
      <c r="AC533" s="153"/>
      <c r="AD533" s="153"/>
      <c r="AE533" s="153"/>
      <c r="AF533" s="153"/>
      <c r="AJ533" s="147"/>
    </row>
    <row r="534" spans="1:36" s="146" customFormat="1" x14ac:dyDescent="0.25">
      <c r="A534" s="196">
        <v>767</v>
      </c>
      <c r="B534" s="196" t="s">
        <v>3083</v>
      </c>
      <c r="C534" s="196" t="s">
        <v>3084</v>
      </c>
      <c r="D534" s="196" t="s">
        <v>2257</v>
      </c>
      <c r="E534" s="196"/>
      <c r="F534" s="196">
        <v>2009</v>
      </c>
      <c r="G534" s="196"/>
      <c r="H534" s="196" t="s">
        <v>1878</v>
      </c>
      <c r="I534" s="141" t="s">
        <v>1879</v>
      </c>
      <c r="J534" s="196"/>
      <c r="K534" s="196" t="s">
        <v>1881</v>
      </c>
      <c r="L534" s="141" t="s">
        <v>3085</v>
      </c>
      <c r="M534" s="196">
        <v>380</v>
      </c>
      <c r="N534" s="196"/>
      <c r="O534" s="196" t="s">
        <v>3049</v>
      </c>
      <c r="P534" s="144">
        <v>323</v>
      </c>
      <c r="Q534" s="145">
        <f t="shared" si="30"/>
        <v>1.7175</v>
      </c>
      <c r="R534" s="203">
        <v>0.25</v>
      </c>
      <c r="S534" s="203"/>
      <c r="T534" s="151"/>
      <c r="U534" s="151">
        <v>1.2</v>
      </c>
      <c r="V534" s="151">
        <v>0.25</v>
      </c>
      <c r="W534" s="151">
        <f t="shared" si="31"/>
        <v>0.25</v>
      </c>
      <c r="X534" s="152">
        <f t="shared" si="29"/>
        <v>1.7500000000000002E-2</v>
      </c>
      <c r="Y534" s="150">
        <f t="shared" si="28"/>
        <v>1.01</v>
      </c>
      <c r="Z534" s="152"/>
      <c r="AA534" s="148"/>
      <c r="AB534" s="148"/>
      <c r="AC534" s="153"/>
      <c r="AD534" s="153"/>
      <c r="AE534" s="153"/>
      <c r="AF534" s="153"/>
      <c r="AJ534" s="147"/>
    </row>
    <row r="535" spans="1:36" s="146" customFormat="1" x14ac:dyDescent="0.25">
      <c r="A535" s="196">
        <v>1386</v>
      </c>
      <c r="B535" s="196" t="s">
        <v>2422</v>
      </c>
      <c r="C535" s="196" t="s">
        <v>2423</v>
      </c>
      <c r="D535" s="196" t="s">
        <v>2424</v>
      </c>
      <c r="E535" s="196" t="s">
        <v>2375</v>
      </c>
      <c r="F535" s="196">
        <v>2010</v>
      </c>
      <c r="G535" s="196"/>
      <c r="H535" s="196" t="s">
        <v>1878</v>
      </c>
      <c r="I535" s="141" t="s">
        <v>1879</v>
      </c>
      <c r="J535" s="196" t="s">
        <v>3006</v>
      </c>
      <c r="K535" s="196" t="s">
        <v>1881</v>
      </c>
      <c r="L535" s="141" t="s">
        <v>2426</v>
      </c>
      <c r="M535" s="196">
        <v>640</v>
      </c>
      <c r="N535" s="196"/>
      <c r="O535" s="196" t="s">
        <v>3050</v>
      </c>
      <c r="P535" s="144">
        <v>508</v>
      </c>
      <c r="Q535" s="145">
        <f t="shared" si="30"/>
        <v>2.2175000000000002</v>
      </c>
      <c r="R535" s="203">
        <v>0.25</v>
      </c>
      <c r="S535" s="203"/>
      <c r="T535" s="151"/>
      <c r="U535" s="151">
        <v>1.7</v>
      </c>
      <c r="V535" s="149">
        <v>0.25</v>
      </c>
      <c r="W535" s="151">
        <f t="shared" si="31"/>
        <v>0.25</v>
      </c>
      <c r="X535" s="152">
        <f t="shared" si="29"/>
        <v>1.7500000000000002E-2</v>
      </c>
      <c r="Y535" s="150">
        <f t="shared" si="28"/>
        <v>1.01</v>
      </c>
      <c r="Z535" s="152"/>
      <c r="AA535" s="148"/>
      <c r="AB535" s="148"/>
      <c r="AC535" s="153"/>
      <c r="AD535" s="153"/>
      <c r="AE535" s="153"/>
      <c r="AF535" s="153"/>
      <c r="AJ535" s="147"/>
    </row>
    <row r="536" spans="1:36" s="146" customFormat="1" x14ac:dyDescent="0.25">
      <c r="A536" s="196">
        <v>1386</v>
      </c>
      <c r="B536" s="196" t="s">
        <v>3096</v>
      </c>
      <c r="C536" s="196" t="s">
        <v>3097</v>
      </c>
      <c r="D536" s="196" t="s">
        <v>2407</v>
      </c>
      <c r="E536" s="196" t="s">
        <v>2094</v>
      </c>
      <c r="F536" s="196">
        <v>2019</v>
      </c>
      <c r="G536" s="196"/>
      <c r="H536" s="196" t="s">
        <v>1878</v>
      </c>
      <c r="I536" s="141" t="s">
        <v>1879</v>
      </c>
      <c r="J536" s="196" t="s">
        <v>3098</v>
      </c>
      <c r="K536" s="196" t="s">
        <v>1881</v>
      </c>
      <c r="L536" s="141" t="s">
        <v>3099</v>
      </c>
      <c r="M536" s="196">
        <v>304</v>
      </c>
      <c r="N536" s="196"/>
      <c r="O536" s="196" t="s">
        <v>3086</v>
      </c>
      <c r="P536" s="144">
        <v>302</v>
      </c>
      <c r="Q536" s="145">
        <f t="shared" si="30"/>
        <v>1.9742999999999999</v>
      </c>
      <c r="R536" s="203">
        <v>0.49</v>
      </c>
      <c r="S536" s="203"/>
      <c r="T536" s="151"/>
      <c r="U536" s="151">
        <v>1.2</v>
      </c>
      <c r="V536" s="151">
        <v>0.25</v>
      </c>
      <c r="W536" s="151">
        <f t="shared" si="31"/>
        <v>0.49</v>
      </c>
      <c r="X536" s="152">
        <f t="shared" si="29"/>
        <v>3.4299999999999997E-2</v>
      </c>
      <c r="Y536" s="150">
        <f t="shared" si="28"/>
        <v>1.01</v>
      </c>
      <c r="Z536" s="152"/>
      <c r="AA536" s="148"/>
      <c r="AB536" s="148"/>
      <c r="AC536" s="153"/>
      <c r="AD536" s="153"/>
      <c r="AE536" s="153"/>
      <c r="AF536" s="153"/>
      <c r="AJ536" s="147"/>
    </row>
    <row r="537" spans="1:36" s="146" customFormat="1" x14ac:dyDescent="0.25">
      <c r="A537" s="196">
        <v>2851</v>
      </c>
      <c r="B537" s="196" t="s">
        <v>3100</v>
      </c>
      <c r="C537" s="196" t="s">
        <v>3101</v>
      </c>
      <c r="D537" s="196" t="s">
        <v>1988</v>
      </c>
      <c r="E537" s="196" t="s">
        <v>1921</v>
      </c>
      <c r="F537" s="196">
        <v>2004</v>
      </c>
      <c r="G537" s="196"/>
      <c r="H537" s="196" t="s">
        <v>2314</v>
      </c>
      <c r="I537" s="141" t="s">
        <v>1929</v>
      </c>
      <c r="J537" s="196"/>
      <c r="K537" s="196" t="s">
        <v>1881</v>
      </c>
      <c r="L537" s="141" t="s">
        <v>3102</v>
      </c>
      <c r="M537" s="196">
        <v>120</v>
      </c>
      <c r="N537" s="196"/>
      <c r="O537" s="196" t="s">
        <v>3087</v>
      </c>
      <c r="P537" s="144">
        <v>198</v>
      </c>
      <c r="Q537" s="145">
        <f t="shared" si="30"/>
        <v>1.8673</v>
      </c>
      <c r="R537" s="203">
        <v>0.39</v>
      </c>
      <c r="S537" s="203"/>
      <c r="T537" s="151"/>
      <c r="U537" s="151">
        <v>1.2</v>
      </c>
      <c r="V537" s="149">
        <v>0.25</v>
      </c>
      <c r="W537" s="151">
        <f t="shared" si="31"/>
        <v>0.39</v>
      </c>
      <c r="X537" s="152">
        <f t="shared" si="29"/>
        <v>2.7300000000000001E-2</v>
      </c>
      <c r="Y537" s="150">
        <f t="shared" si="28"/>
        <v>1.01</v>
      </c>
      <c r="Z537" s="152"/>
      <c r="AA537" s="148"/>
      <c r="AB537" s="148"/>
      <c r="AC537" s="153"/>
      <c r="AD537" s="153"/>
      <c r="AE537" s="153"/>
      <c r="AF537" s="153"/>
      <c r="AJ537" s="147"/>
    </row>
    <row r="538" spans="1:36" s="146" customFormat="1" x14ac:dyDescent="0.25">
      <c r="A538" s="196">
        <v>1395</v>
      </c>
      <c r="B538" s="196" t="s">
        <v>3103</v>
      </c>
      <c r="C538" s="196" t="s">
        <v>3104</v>
      </c>
      <c r="D538" s="196" t="s">
        <v>2368</v>
      </c>
      <c r="E538" s="196"/>
      <c r="F538" s="196">
        <v>2009</v>
      </c>
      <c r="G538" s="196"/>
      <c r="H538" s="196" t="s">
        <v>2314</v>
      </c>
      <c r="I538" s="141" t="s">
        <v>1929</v>
      </c>
      <c r="J538" s="142"/>
      <c r="K538" s="196" t="s">
        <v>1881</v>
      </c>
      <c r="L538" s="141" t="s">
        <v>3105</v>
      </c>
      <c r="M538" s="196">
        <v>240</v>
      </c>
      <c r="N538" s="196"/>
      <c r="O538" s="196" t="s">
        <v>3088</v>
      </c>
      <c r="P538" s="144">
        <v>342</v>
      </c>
      <c r="Q538" s="145">
        <f t="shared" si="30"/>
        <v>1.7175</v>
      </c>
      <c r="R538" s="203">
        <v>0.25</v>
      </c>
      <c r="S538" s="203"/>
      <c r="T538" s="151"/>
      <c r="U538" s="151">
        <v>1.2</v>
      </c>
      <c r="V538" s="151">
        <v>0.25</v>
      </c>
      <c r="W538" s="151">
        <f t="shared" si="31"/>
        <v>0.25</v>
      </c>
      <c r="X538" s="152">
        <f t="shared" si="29"/>
        <v>1.7500000000000002E-2</v>
      </c>
      <c r="Y538" s="150">
        <f t="shared" si="28"/>
        <v>1.01</v>
      </c>
      <c r="Z538" s="152"/>
      <c r="AA538" s="148"/>
      <c r="AB538" s="148"/>
      <c r="AC538" s="153"/>
      <c r="AD538" s="153"/>
      <c r="AE538" s="153"/>
      <c r="AF538" s="153"/>
      <c r="AJ538" s="147"/>
    </row>
    <row r="539" spans="1:36" s="146" customFormat="1" x14ac:dyDescent="0.25">
      <c r="A539" s="196">
        <v>796</v>
      </c>
      <c r="B539" s="196" t="s">
        <v>3106</v>
      </c>
      <c r="C539" s="196" t="s">
        <v>3107</v>
      </c>
      <c r="D539" s="196" t="s">
        <v>2407</v>
      </c>
      <c r="E539" s="196" t="s">
        <v>2094</v>
      </c>
      <c r="F539" s="196">
        <v>2019</v>
      </c>
      <c r="G539" s="196"/>
      <c r="H539" s="196" t="s">
        <v>1878</v>
      </c>
      <c r="I539" s="141" t="s">
        <v>1879</v>
      </c>
      <c r="J539" s="196"/>
      <c r="K539" s="196" t="s">
        <v>1881</v>
      </c>
      <c r="L539" s="141" t="s">
        <v>3108</v>
      </c>
      <c r="M539" s="196">
        <v>304</v>
      </c>
      <c r="N539" s="196"/>
      <c r="O539" s="196" t="s">
        <v>3089</v>
      </c>
      <c r="P539" s="144">
        <v>303</v>
      </c>
      <c r="Q539" s="145">
        <f t="shared" si="30"/>
        <v>3.5792999999999999</v>
      </c>
      <c r="R539" s="203">
        <v>1.99</v>
      </c>
      <c r="S539" s="203"/>
      <c r="T539" s="151"/>
      <c r="U539" s="151">
        <v>1.2</v>
      </c>
      <c r="V539" s="149">
        <v>0.25</v>
      </c>
      <c r="W539" s="151">
        <f t="shared" si="31"/>
        <v>1.99</v>
      </c>
      <c r="X539" s="152">
        <f t="shared" si="29"/>
        <v>0.13930000000000001</v>
      </c>
      <c r="Y539" s="150">
        <f t="shared" si="28"/>
        <v>1.01</v>
      </c>
      <c r="Z539" s="152"/>
      <c r="AA539" s="148"/>
      <c r="AB539" s="148"/>
      <c r="AC539" s="153"/>
      <c r="AD539" s="153"/>
      <c r="AE539" s="153"/>
      <c r="AF539" s="153"/>
      <c r="AJ539" s="147"/>
    </row>
    <row r="540" spans="1:36" s="146" customFormat="1" x14ac:dyDescent="0.25">
      <c r="A540" s="196">
        <v>1321</v>
      </c>
      <c r="B540" s="196" t="s">
        <v>3109</v>
      </c>
      <c r="C540" s="196" t="s">
        <v>3110</v>
      </c>
      <c r="D540" s="196" t="s">
        <v>1912</v>
      </c>
      <c r="E540" s="196" t="s">
        <v>1913</v>
      </c>
      <c r="F540" s="196">
        <v>2012</v>
      </c>
      <c r="G540" s="196"/>
      <c r="H540" s="196" t="s">
        <v>1878</v>
      </c>
      <c r="I540" s="141" t="s">
        <v>1879</v>
      </c>
      <c r="J540" s="142"/>
      <c r="K540" s="196" t="s">
        <v>1881</v>
      </c>
      <c r="L540" s="141" t="s">
        <v>3111</v>
      </c>
      <c r="M540" s="196">
        <v>224</v>
      </c>
      <c r="N540" s="196"/>
      <c r="O540" s="196" t="s">
        <v>3090</v>
      </c>
      <c r="P540" s="144">
        <v>197</v>
      </c>
      <c r="Q540" s="145">
        <f t="shared" si="30"/>
        <v>1.9742999999999999</v>
      </c>
      <c r="R540" s="203">
        <v>0.49</v>
      </c>
      <c r="S540" s="203"/>
      <c r="T540" s="151"/>
      <c r="U540" s="151">
        <v>1.2</v>
      </c>
      <c r="V540" s="151">
        <v>0.25</v>
      </c>
      <c r="W540" s="151">
        <f t="shared" si="31"/>
        <v>0.49</v>
      </c>
      <c r="X540" s="152">
        <f t="shared" si="29"/>
        <v>3.4299999999999997E-2</v>
      </c>
      <c r="Y540" s="150">
        <f t="shared" si="28"/>
        <v>1.01</v>
      </c>
      <c r="Z540" s="152"/>
      <c r="AA540" s="148"/>
      <c r="AB540" s="148"/>
      <c r="AC540" s="153"/>
      <c r="AD540" s="153"/>
      <c r="AE540" s="153"/>
      <c r="AF540" s="153"/>
      <c r="AJ540" s="147"/>
    </row>
    <row r="541" spans="1:36" s="146" customFormat="1" x14ac:dyDescent="0.25">
      <c r="A541" s="196">
        <v>2522</v>
      </c>
      <c r="B541" s="196" t="s">
        <v>2575</v>
      </c>
      <c r="C541" s="196" t="s">
        <v>3112</v>
      </c>
      <c r="D541" s="196" t="s">
        <v>2300</v>
      </c>
      <c r="E541" s="196"/>
      <c r="F541" s="196">
        <v>2001</v>
      </c>
      <c r="G541" s="196"/>
      <c r="H541" s="196" t="s">
        <v>1878</v>
      </c>
      <c r="I541" s="141" t="s">
        <v>1879</v>
      </c>
      <c r="J541" s="196"/>
      <c r="K541" s="196" t="s">
        <v>1881</v>
      </c>
      <c r="L541" s="141" t="s">
        <v>3113</v>
      </c>
      <c r="M541" s="196">
        <v>400</v>
      </c>
      <c r="N541" s="196"/>
      <c r="O541" s="196" t="s">
        <v>3091</v>
      </c>
      <c r="P541" s="144">
        <v>368</v>
      </c>
      <c r="Q541" s="145">
        <f t="shared" si="30"/>
        <v>1.7175</v>
      </c>
      <c r="R541" s="203">
        <v>0.25</v>
      </c>
      <c r="S541" s="203"/>
      <c r="T541" s="151"/>
      <c r="U541" s="151">
        <v>1.2</v>
      </c>
      <c r="V541" s="149">
        <v>0.25</v>
      </c>
      <c r="W541" s="151">
        <f t="shared" si="31"/>
        <v>0.25</v>
      </c>
      <c r="X541" s="152">
        <f t="shared" si="29"/>
        <v>1.7500000000000002E-2</v>
      </c>
      <c r="Y541" s="150">
        <f t="shared" si="28"/>
        <v>1.01</v>
      </c>
      <c r="Z541" s="152"/>
      <c r="AA541" s="148"/>
      <c r="AB541" s="148"/>
      <c r="AC541" s="153"/>
      <c r="AD541" s="153"/>
      <c r="AE541" s="153"/>
      <c r="AF541" s="153"/>
      <c r="AJ541" s="147"/>
    </row>
    <row r="542" spans="1:36" s="146" customFormat="1" x14ac:dyDescent="0.25">
      <c r="A542" s="196">
        <v>1394</v>
      </c>
      <c r="B542" s="196" t="s">
        <v>3114</v>
      </c>
      <c r="C542" s="196" t="s">
        <v>3115</v>
      </c>
      <c r="D542" s="196" t="s">
        <v>3116</v>
      </c>
      <c r="E542" s="196" t="s">
        <v>1913</v>
      </c>
      <c r="F542" s="196">
        <v>2002</v>
      </c>
      <c r="G542" s="196"/>
      <c r="H542" s="196" t="s">
        <v>1878</v>
      </c>
      <c r="I542" s="141" t="s">
        <v>1879</v>
      </c>
      <c r="J542" s="196"/>
      <c r="K542" s="196" t="s">
        <v>1881</v>
      </c>
      <c r="L542" s="141" t="s">
        <v>3117</v>
      </c>
      <c r="M542" s="196">
        <v>188</v>
      </c>
      <c r="N542" s="196"/>
      <c r="O542" s="196" t="s">
        <v>3092</v>
      </c>
      <c r="P542" s="144">
        <v>555</v>
      </c>
      <c r="Q542" s="145">
        <f t="shared" si="30"/>
        <v>2.2175000000000002</v>
      </c>
      <c r="R542" s="203">
        <v>0.25</v>
      </c>
      <c r="S542" s="203"/>
      <c r="T542" s="151"/>
      <c r="U542" s="151">
        <v>1.7</v>
      </c>
      <c r="V542" s="151">
        <v>0.25</v>
      </c>
      <c r="W542" s="151">
        <f t="shared" si="31"/>
        <v>0.25</v>
      </c>
      <c r="X542" s="152">
        <f t="shared" si="29"/>
        <v>1.7500000000000002E-2</v>
      </c>
      <c r="Y542" s="150">
        <f t="shared" si="28"/>
        <v>1.01</v>
      </c>
      <c r="Z542" s="152"/>
      <c r="AA542" s="148"/>
      <c r="AB542" s="148"/>
      <c r="AC542" s="153"/>
      <c r="AD542" s="153"/>
      <c r="AE542" s="153"/>
      <c r="AF542" s="153"/>
      <c r="AJ542" s="147"/>
    </row>
    <row r="543" spans="1:36" s="146" customFormat="1" x14ac:dyDescent="0.25">
      <c r="A543" s="196">
        <v>1395</v>
      </c>
      <c r="B543" s="196" t="s">
        <v>3118</v>
      </c>
      <c r="C543" s="196" t="s">
        <v>3119</v>
      </c>
      <c r="D543" s="196" t="s">
        <v>2054</v>
      </c>
      <c r="E543" s="196"/>
      <c r="F543" s="196">
        <v>2016</v>
      </c>
      <c r="G543" s="196"/>
      <c r="H543" s="196" t="s">
        <v>1878</v>
      </c>
      <c r="I543" s="141" t="s">
        <v>1879</v>
      </c>
      <c r="J543" s="196"/>
      <c r="K543" s="196" t="s">
        <v>1881</v>
      </c>
      <c r="L543" s="141" t="s">
        <v>3120</v>
      </c>
      <c r="M543" s="196">
        <v>368</v>
      </c>
      <c r="N543" s="196"/>
      <c r="O543" s="196" t="s">
        <v>3093</v>
      </c>
      <c r="P543" s="144">
        <v>371</v>
      </c>
      <c r="Q543" s="145">
        <f t="shared" si="30"/>
        <v>3.5792999999999999</v>
      </c>
      <c r="R543" s="203">
        <v>1.99</v>
      </c>
      <c r="S543" s="203"/>
      <c r="T543" s="151"/>
      <c r="U543" s="151">
        <v>1.2</v>
      </c>
      <c r="V543" s="149">
        <v>0.25</v>
      </c>
      <c r="W543" s="151">
        <f t="shared" si="31"/>
        <v>1.99</v>
      </c>
      <c r="X543" s="152">
        <f t="shared" si="29"/>
        <v>0.13930000000000001</v>
      </c>
      <c r="Y543" s="150">
        <f t="shared" si="28"/>
        <v>1.01</v>
      </c>
      <c r="Z543" s="152"/>
      <c r="AA543" s="148"/>
      <c r="AB543" s="148"/>
      <c r="AC543" s="153"/>
      <c r="AD543" s="153"/>
      <c r="AE543" s="153"/>
      <c r="AF543" s="153"/>
      <c r="AJ543" s="147"/>
    </row>
    <row r="544" spans="1:36" s="146" customFormat="1" x14ac:dyDescent="0.25">
      <c r="A544" s="196">
        <v>1327</v>
      </c>
      <c r="B544" s="196" t="s">
        <v>3121</v>
      </c>
      <c r="C544" s="196" t="s">
        <v>3122</v>
      </c>
      <c r="D544" s="196" t="s">
        <v>2309</v>
      </c>
      <c r="E544" s="196"/>
      <c r="F544" s="196">
        <v>2001</v>
      </c>
      <c r="G544" s="196"/>
      <c r="H544" s="196" t="s">
        <v>1878</v>
      </c>
      <c r="I544" s="141" t="s">
        <v>1879</v>
      </c>
      <c r="J544" s="196"/>
      <c r="K544" s="196" t="s">
        <v>1881</v>
      </c>
      <c r="L544" s="141" t="s">
        <v>3123</v>
      </c>
      <c r="M544" s="196">
        <v>592</v>
      </c>
      <c r="N544" s="196"/>
      <c r="O544" s="196" t="s">
        <v>3094</v>
      </c>
      <c r="P544" s="144">
        <v>325</v>
      </c>
      <c r="Q544" s="145">
        <f t="shared" si="30"/>
        <v>1.8673</v>
      </c>
      <c r="R544" s="203">
        <v>0.39</v>
      </c>
      <c r="S544" s="203"/>
      <c r="T544" s="151"/>
      <c r="U544" s="151">
        <v>1.2</v>
      </c>
      <c r="V544" s="151">
        <v>0.25</v>
      </c>
      <c r="W544" s="151">
        <f t="shared" si="31"/>
        <v>0.39</v>
      </c>
      <c r="X544" s="152">
        <f t="shared" si="29"/>
        <v>2.7300000000000001E-2</v>
      </c>
      <c r="Y544" s="150">
        <f t="shared" si="28"/>
        <v>1.01</v>
      </c>
      <c r="Z544" s="152"/>
      <c r="AA544" s="148"/>
      <c r="AB544" s="148"/>
      <c r="AC544" s="153"/>
      <c r="AD544" s="153"/>
      <c r="AE544" s="153"/>
      <c r="AF544" s="153"/>
      <c r="AJ544" s="147"/>
    </row>
    <row r="545" spans="1:36" s="146" customFormat="1" x14ac:dyDescent="0.25">
      <c r="A545" s="196">
        <v>1386</v>
      </c>
      <c r="B545" s="196" t="s">
        <v>3134</v>
      </c>
      <c r="C545" s="196" t="s">
        <v>3135</v>
      </c>
      <c r="D545" s="196" t="s">
        <v>3136</v>
      </c>
      <c r="E545" s="196"/>
      <c r="F545" s="196">
        <v>2012</v>
      </c>
      <c r="G545" s="196"/>
      <c r="H545" s="196" t="s">
        <v>2963</v>
      </c>
      <c r="I545" s="141" t="s">
        <v>1879</v>
      </c>
      <c r="J545" s="196"/>
      <c r="K545" s="196" t="s">
        <v>1881</v>
      </c>
      <c r="L545" s="141" t="s">
        <v>3137</v>
      </c>
      <c r="M545" s="196">
        <v>274</v>
      </c>
      <c r="N545" s="196"/>
      <c r="O545" s="196" t="s">
        <v>3095</v>
      </c>
      <c r="P545" s="144">
        <v>515</v>
      </c>
      <c r="Q545" s="145">
        <f t="shared" si="30"/>
        <v>2.9022999999999999</v>
      </c>
      <c r="R545" s="203">
        <v>0.89</v>
      </c>
      <c r="S545" s="203"/>
      <c r="T545" s="151"/>
      <c r="U545" s="151">
        <v>1.7</v>
      </c>
      <c r="V545" s="149">
        <v>0.25</v>
      </c>
      <c r="W545" s="151">
        <f t="shared" si="31"/>
        <v>0.89</v>
      </c>
      <c r="X545" s="152">
        <f t="shared" si="29"/>
        <v>6.2300000000000001E-2</v>
      </c>
      <c r="Y545" s="150">
        <f t="shared" si="28"/>
        <v>1.01</v>
      </c>
      <c r="Z545" s="152"/>
      <c r="AA545" s="148"/>
      <c r="AB545" s="148"/>
      <c r="AC545" s="153"/>
      <c r="AD545" s="153"/>
      <c r="AE545" s="153"/>
      <c r="AF545" s="153"/>
      <c r="AJ545" s="147"/>
    </row>
    <row r="546" spans="1:36" s="146" customFormat="1" x14ac:dyDescent="0.25">
      <c r="A546" s="196">
        <v>1386</v>
      </c>
      <c r="B546" s="196" t="s">
        <v>3138</v>
      </c>
      <c r="C546" s="196" t="s">
        <v>3139</v>
      </c>
      <c r="D546" s="196" t="s">
        <v>3140</v>
      </c>
      <c r="E546" s="196" t="s">
        <v>3141</v>
      </c>
      <c r="F546" s="196"/>
      <c r="G546" s="196"/>
      <c r="H546" s="196" t="s">
        <v>1878</v>
      </c>
      <c r="I546" s="141" t="s">
        <v>1879</v>
      </c>
      <c r="J546" s="196"/>
      <c r="K546" s="196" t="s">
        <v>1881</v>
      </c>
      <c r="L546" s="141" t="s">
        <v>3142</v>
      </c>
      <c r="M546" s="196">
        <v>320</v>
      </c>
      <c r="N546" s="196"/>
      <c r="O546" s="196" t="s">
        <v>3124</v>
      </c>
      <c r="P546" s="144">
        <v>282</v>
      </c>
      <c r="Q546" s="145">
        <f t="shared" si="30"/>
        <v>3.2582999999999998</v>
      </c>
      <c r="R546" s="203">
        <v>1.69</v>
      </c>
      <c r="S546" s="203"/>
      <c r="T546" s="151"/>
      <c r="U546" s="151">
        <v>1.2</v>
      </c>
      <c r="V546" s="151">
        <v>0.25</v>
      </c>
      <c r="W546" s="151">
        <f t="shared" si="31"/>
        <v>1.69</v>
      </c>
      <c r="X546" s="152">
        <f t="shared" si="29"/>
        <v>0.11829999999999999</v>
      </c>
      <c r="Y546" s="150">
        <f t="shared" si="28"/>
        <v>1.01</v>
      </c>
      <c r="Z546" s="152"/>
      <c r="AA546" s="148"/>
      <c r="AB546" s="148"/>
      <c r="AC546" s="153"/>
      <c r="AD546" s="153"/>
      <c r="AE546" s="153"/>
      <c r="AF546" s="153"/>
      <c r="AJ546" s="147"/>
    </row>
    <row r="547" spans="1:36" s="146" customFormat="1" x14ac:dyDescent="0.25">
      <c r="A547" s="196">
        <v>1386</v>
      </c>
      <c r="B547" s="196" t="s">
        <v>3143</v>
      </c>
      <c r="C547" s="196" t="s">
        <v>3144</v>
      </c>
      <c r="D547" s="196" t="s">
        <v>2609</v>
      </c>
      <c r="E547" s="196" t="s">
        <v>3145</v>
      </c>
      <c r="F547" s="196">
        <v>2009</v>
      </c>
      <c r="G547" s="196"/>
      <c r="H547" s="196" t="s">
        <v>1878</v>
      </c>
      <c r="I547" s="141" t="s">
        <v>1879</v>
      </c>
      <c r="J547" s="196"/>
      <c r="K547" s="196" t="s">
        <v>1881</v>
      </c>
      <c r="L547" s="141" t="s">
        <v>3146</v>
      </c>
      <c r="M547" s="196">
        <v>416</v>
      </c>
      <c r="N547" s="196"/>
      <c r="O547" s="196" t="s">
        <v>3125</v>
      </c>
      <c r="P547" s="144">
        <v>368</v>
      </c>
      <c r="Q547" s="145">
        <f t="shared" si="30"/>
        <v>1.7175</v>
      </c>
      <c r="R547" s="203">
        <v>0.25</v>
      </c>
      <c r="S547" s="203"/>
      <c r="T547" s="151"/>
      <c r="U547" s="151">
        <v>1.2</v>
      </c>
      <c r="V547" s="149">
        <v>0.25</v>
      </c>
      <c r="W547" s="151">
        <f t="shared" si="31"/>
        <v>0.25</v>
      </c>
      <c r="X547" s="152">
        <f t="shared" si="29"/>
        <v>1.7500000000000002E-2</v>
      </c>
      <c r="Y547" s="150">
        <f t="shared" si="28"/>
        <v>1.01</v>
      </c>
      <c r="Z547" s="152"/>
      <c r="AA547" s="148"/>
      <c r="AB547" s="148"/>
      <c r="AC547" s="153"/>
      <c r="AD547" s="153"/>
      <c r="AE547" s="153"/>
      <c r="AF547" s="153"/>
      <c r="AJ547" s="147"/>
    </row>
    <row r="548" spans="1:36" s="146" customFormat="1" x14ac:dyDescent="0.25">
      <c r="A548" s="196">
        <v>2571</v>
      </c>
      <c r="B548" s="196" t="s">
        <v>3147</v>
      </c>
      <c r="C548" s="196" t="s">
        <v>3148</v>
      </c>
      <c r="D548" s="196" t="s">
        <v>3149</v>
      </c>
      <c r="E548" s="196"/>
      <c r="F548" s="196">
        <v>2012</v>
      </c>
      <c r="G548" s="196"/>
      <c r="H548" s="196" t="s">
        <v>1878</v>
      </c>
      <c r="I548" s="141" t="s">
        <v>1879</v>
      </c>
      <c r="J548" s="196"/>
      <c r="K548" s="196" t="s">
        <v>1881</v>
      </c>
      <c r="L548" s="141" t="s">
        <v>3150</v>
      </c>
      <c r="M548" s="196">
        <v>288</v>
      </c>
      <c r="N548" s="196"/>
      <c r="O548" s="196" t="s">
        <v>3126</v>
      </c>
      <c r="P548" s="144">
        <v>169</v>
      </c>
      <c r="Q548" s="145">
        <f t="shared" si="30"/>
        <v>1.8673</v>
      </c>
      <c r="R548" s="203">
        <v>0.39</v>
      </c>
      <c r="S548" s="203"/>
      <c r="T548" s="151"/>
      <c r="U548" s="151">
        <v>1.2</v>
      </c>
      <c r="V548" s="151">
        <v>0.25</v>
      </c>
      <c r="W548" s="151">
        <f t="shared" si="31"/>
        <v>0.39</v>
      </c>
      <c r="X548" s="152">
        <f t="shared" si="29"/>
        <v>2.7300000000000001E-2</v>
      </c>
      <c r="Y548" s="150">
        <f t="shared" si="28"/>
        <v>1.01</v>
      </c>
      <c r="Z548" s="152"/>
      <c r="AA548" s="148"/>
      <c r="AB548" s="148"/>
      <c r="AC548" s="153"/>
      <c r="AD548" s="153"/>
      <c r="AE548" s="153"/>
      <c r="AF548" s="153"/>
      <c r="AJ548" s="147"/>
    </row>
    <row r="549" spans="1:36" s="146" customFormat="1" x14ac:dyDescent="0.25">
      <c r="A549" s="196">
        <v>689</v>
      </c>
      <c r="B549" s="196" t="s">
        <v>3151</v>
      </c>
      <c r="C549" s="196" t="s">
        <v>3152</v>
      </c>
      <c r="D549" s="196" t="s">
        <v>2209</v>
      </c>
      <c r="E549" s="196"/>
      <c r="F549" s="196">
        <v>2002</v>
      </c>
      <c r="G549" s="196"/>
      <c r="H549" s="196" t="s">
        <v>1878</v>
      </c>
      <c r="I549" s="141" t="s">
        <v>1879</v>
      </c>
      <c r="J549" s="196"/>
      <c r="K549" s="196" t="s">
        <v>1881</v>
      </c>
      <c r="L549" s="141" t="s">
        <v>3153</v>
      </c>
      <c r="M549" s="196">
        <v>256</v>
      </c>
      <c r="N549" s="196"/>
      <c r="O549" s="196" t="s">
        <v>3127</v>
      </c>
      <c r="P549" s="144">
        <v>205</v>
      </c>
      <c r="Q549" s="145">
        <f t="shared" si="30"/>
        <v>2.1882999999999995</v>
      </c>
      <c r="R549" s="203">
        <v>0.69</v>
      </c>
      <c r="S549" s="203"/>
      <c r="T549" s="151"/>
      <c r="U549" s="151">
        <v>1.2</v>
      </c>
      <c r="V549" s="149">
        <v>0.25</v>
      </c>
      <c r="W549" s="151">
        <f t="shared" si="31"/>
        <v>0.69</v>
      </c>
      <c r="X549" s="152">
        <f t="shared" si="29"/>
        <v>4.8299999999999996E-2</v>
      </c>
      <c r="Y549" s="150">
        <f t="shared" si="28"/>
        <v>1.01</v>
      </c>
      <c r="Z549" s="152"/>
      <c r="AA549" s="148"/>
      <c r="AB549" s="148"/>
      <c r="AC549" s="153"/>
      <c r="AD549" s="153"/>
      <c r="AE549" s="153"/>
      <c r="AF549" s="153"/>
      <c r="AJ549" s="147"/>
    </row>
    <row r="550" spans="1:36" s="146" customFormat="1" x14ac:dyDescent="0.25">
      <c r="A550" s="196">
        <v>632</v>
      </c>
      <c r="B550" s="196" t="s">
        <v>3154</v>
      </c>
      <c r="C550" s="196" t="s">
        <v>3155</v>
      </c>
      <c r="D550" s="196" t="s">
        <v>2209</v>
      </c>
      <c r="E550" s="196"/>
      <c r="F550" s="196">
        <v>2005</v>
      </c>
      <c r="G550" s="196"/>
      <c r="H550" s="196" t="s">
        <v>1878</v>
      </c>
      <c r="I550" s="141" t="s">
        <v>1879</v>
      </c>
      <c r="J550" s="196" t="s">
        <v>2237</v>
      </c>
      <c r="K550" s="196" t="s">
        <v>1881</v>
      </c>
      <c r="L550" s="141" t="s">
        <v>3156</v>
      </c>
      <c r="M550" s="196">
        <v>384</v>
      </c>
      <c r="N550" s="196"/>
      <c r="O550" s="196" t="s">
        <v>3128</v>
      </c>
      <c r="P550" s="144">
        <v>361</v>
      </c>
      <c r="Q550" s="145">
        <f t="shared" si="30"/>
        <v>1.9742999999999999</v>
      </c>
      <c r="R550" s="203">
        <v>0.49</v>
      </c>
      <c r="S550" s="203"/>
      <c r="T550" s="151"/>
      <c r="U550" s="151">
        <v>1.2</v>
      </c>
      <c r="V550" s="151">
        <v>0.25</v>
      </c>
      <c r="W550" s="151">
        <f t="shared" si="31"/>
        <v>0.49</v>
      </c>
      <c r="X550" s="152">
        <f t="shared" si="29"/>
        <v>3.4299999999999997E-2</v>
      </c>
      <c r="Y550" s="150">
        <f t="shared" si="28"/>
        <v>1.01</v>
      </c>
      <c r="Z550" s="152"/>
      <c r="AA550" s="148"/>
      <c r="AB550" s="148"/>
      <c r="AC550" s="153"/>
      <c r="AD550" s="153"/>
      <c r="AE550" s="153"/>
      <c r="AF550" s="153"/>
      <c r="AJ550" s="147"/>
    </row>
    <row r="551" spans="1:36" s="146" customFormat="1" x14ac:dyDescent="0.25">
      <c r="A551" s="196">
        <v>689</v>
      </c>
      <c r="B551" s="196" t="s">
        <v>3157</v>
      </c>
      <c r="C551" s="196" t="s">
        <v>3158</v>
      </c>
      <c r="D551" s="196" t="s">
        <v>2209</v>
      </c>
      <c r="E551" s="196" t="s">
        <v>1921</v>
      </c>
      <c r="F551" s="196">
        <v>2007</v>
      </c>
      <c r="G551" s="196"/>
      <c r="H551" s="196" t="s">
        <v>1878</v>
      </c>
      <c r="I551" s="141" t="s">
        <v>1879</v>
      </c>
      <c r="J551" s="143" t="s">
        <v>3159</v>
      </c>
      <c r="K551" s="196" t="s">
        <v>1881</v>
      </c>
      <c r="L551" s="141" t="s">
        <v>3160</v>
      </c>
      <c r="M551" s="196">
        <v>798</v>
      </c>
      <c r="N551" s="196"/>
      <c r="O551" s="196" t="s">
        <v>3129</v>
      </c>
      <c r="P551" s="144">
        <v>642</v>
      </c>
      <c r="Q551" s="145">
        <f t="shared" si="30"/>
        <v>2.4742999999999999</v>
      </c>
      <c r="R551" s="203">
        <v>0.49</v>
      </c>
      <c r="S551" s="203"/>
      <c r="T551" s="151"/>
      <c r="U551" s="151">
        <v>1.7</v>
      </c>
      <c r="V551" s="149">
        <v>0.25</v>
      </c>
      <c r="W551" s="151">
        <f t="shared" si="31"/>
        <v>0.49</v>
      </c>
      <c r="X551" s="152">
        <f t="shared" si="29"/>
        <v>3.4299999999999997E-2</v>
      </c>
      <c r="Y551" s="150">
        <f t="shared" si="28"/>
        <v>1.01</v>
      </c>
      <c r="Z551" s="152"/>
      <c r="AA551" s="148"/>
      <c r="AB551" s="148"/>
      <c r="AC551" s="153"/>
      <c r="AD551" s="153"/>
      <c r="AE551" s="153"/>
      <c r="AF551" s="153"/>
      <c r="AJ551" s="147"/>
    </row>
    <row r="552" spans="1:36" s="146" customFormat="1" x14ac:dyDescent="0.25">
      <c r="A552" s="196">
        <v>1809</v>
      </c>
      <c r="B552" s="196" t="s">
        <v>3161</v>
      </c>
      <c r="C552" s="196" t="s">
        <v>3162</v>
      </c>
      <c r="D552" s="196" t="s">
        <v>2300</v>
      </c>
      <c r="E552" s="196" t="s">
        <v>2175</v>
      </c>
      <c r="F552" s="196">
        <v>2005</v>
      </c>
      <c r="G552" s="196"/>
      <c r="H552" s="196" t="s">
        <v>1878</v>
      </c>
      <c r="I552" s="141" t="s">
        <v>1879</v>
      </c>
      <c r="J552" s="196"/>
      <c r="K552" s="196" t="s">
        <v>1881</v>
      </c>
      <c r="L552" s="141" t="s">
        <v>3163</v>
      </c>
      <c r="M552" s="196">
        <v>192</v>
      </c>
      <c r="N552" s="196"/>
      <c r="O552" s="196" t="s">
        <v>3130</v>
      </c>
      <c r="P552" s="144">
        <v>221</v>
      </c>
      <c r="Q552" s="145">
        <f t="shared" si="30"/>
        <v>1.7175</v>
      </c>
      <c r="R552" s="203">
        <v>0.25</v>
      </c>
      <c r="S552" s="203"/>
      <c r="T552" s="151"/>
      <c r="U552" s="151">
        <v>1.2</v>
      </c>
      <c r="V552" s="151">
        <v>0.25</v>
      </c>
      <c r="W552" s="151">
        <f t="shared" si="31"/>
        <v>0.25</v>
      </c>
      <c r="X552" s="152">
        <f t="shared" si="29"/>
        <v>1.7500000000000002E-2</v>
      </c>
      <c r="Y552" s="150">
        <f t="shared" si="28"/>
        <v>1.01</v>
      </c>
      <c r="Z552" s="152"/>
      <c r="AA552" s="148"/>
      <c r="AB552" s="148"/>
      <c r="AC552" s="153"/>
      <c r="AD552" s="153"/>
      <c r="AE552" s="153"/>
      <c r="AF552" s="153"/>
      <c r="AJ552" s="147"/>
    </row>
    <row r="553" spans="1:36" s="146" customFormat="1" x14ac:dyDescent="0.25">
      <c r="A553" s="196">
        <v>689</v>
      </c>
      <c r="B553" s="196" t="s">
        <v>3164</v>
      </c>
      <c r="C553" s="196" t="s">
        <v>3165</v>
      </c>
      <c r="D553" s="196" t="s">
        <v>2209</v>
      </c>
      <c r="E553" s="196"/>
      <c r="F553" s="196">
        <v>1996</v>
      </c>
      <c r="G553" s="196"/>
      <c r="H553" s="196" t="s">
        <v>1878</v>
      </c>
      <c r="I553" s="141" t="s">
        <v>1879</v>
      </c>
      <c r="J553" s="196"/>
      <c r="K553" s="196" t="s">
        <v>1881</v>
      </c>
      <c r="L553" s="141" t="s">
        <v>3166</v>
      </c>
      <c r="M553" s="196">
        <v>288</v>
      </c>
      <c r="N553" s="196"/>
      <c r="O553" s="196" t="s">
        <v>3131</v>
      </c>
      <c r="P553" s="144">
        <v>193</v>
      </c>
      <c r="Q553" s="145">
        <f t="shared" si="30"/>
        <v>1.8673</v>
      </c>
      <c r="R553" s="203">
        <v>0.39</v>
      </c>
      <c r="S553" s="203"/>
      <c r="T553" s="151"/>
      <c r="U553" s="151">
        <v>1.2</v>
      </c>
      <c r="V553" s="149">
        <v>0.25</v>
      </c>
      <c r="W553" s="151">
        <f t="shared" si="31"/>
        <v>0.39</v>
      </c>
      <c r="X553" s="152">
        <f t="shared" si="29"/>
        <v>2.7300000000000001E-2</v>
      </c>
      <c r="Y553" s="150">
        <f t="shared" si="28"/>
        <v>1.01</v>
      </c>
      <c r="Z553" s="152"/>
      <c r="AA553" s="148"/>
      <c r="AB553" s="148"/>
      <c r="AC553" s="153"/>
      <c r="AD553" s="153"/>
      <c r="AE553" s="153"/>
      <c r="AF553" s="153"/>
      <c r="AJ553" s="147"/>
    </row>
    <row r="554" spans="1:36" s="146" customFormat="1" x14ac:dyDescent="0.25">
      <c r="A554" s="196">
        <v>632</v>
      </c>
      <c r="B554" s="196" t="s">
        <v>3167</v>
      </c>
      <c r="C554" s="196" t="s">
        <v>3168</v>
      </c>
      <c r="D554" s="196" t="s">
        <v>1199</v>
      </c>
      <c r="E554" s="196" t="s">
        <v>1877</v>
      </c>
      <c r="F554" s="196">
        <v>1997</v>
      </c>
      <c r="G554" s="196"/>
      <c r="H554" s="196" t="s">
        <v>1878</v>
      </c>
      <c r="I554" s="141" t="s">
        <v>1879</v>
      </c>
      <c r="J554" s="143"/>
      <c r="K554" s="196" t="s">
        <v>1881</v>
      </c>
      <c r="L554" s="141" t="s">
        <v>3169</v>
      </c>
      <c r="M554" s="196">
        <v>614</v>
      </c>
      <c r="N554" s="196"/>
      <c r="O554" s="196" t="s">
        <v>3132</v>
      </c>
      <c r="P554" s="144">
        <v>834</v>
      </c>
      <c r="Q554" s="145">
        <f t="shared" si="30"/>
        <v>2.2175000000000002</v>
      </c>
      <c r="R554" s="203">
        <v>0.25</v>
      </c>
      <c r="S554" s="203"/>
      <c r="T554" s="151"/>
      <c r="U554" s="151">
        <v>1.7</v>
      </c>
      <c r="V554" s="151">
        <v>0.25</v>
      </c>
      <c r="W554" s="151">
        <f t="shared" si="31"/>
        <v>0.25</v>
      </c>
      <c r="X554" s="152">
        <f t="shared" si="29"/>
        <v>1.7500000000000002E-2</v>
      </c>
      <c r="Y554" s="150">
        <f t="shared" si="28"/>
        <v>1.01</v>
      </c>
      <c r="Z554" s="152"/>
      <c r="AA554" s="148"/>
      <c r="AB554" s="148"/>
      <c r="AC554" s="153"/>
      <c r="AD554" s="153"/>
      <c r="AE554" s="153"/>
      <c r="AF554" s="153"/>
      <c r="AJ554" s="147"/>
    </row>
    <row r="555" spans="1:36" s="146" customFormat="1" x14ac:dyDescent="0.25">
      <c r="A555" s="196">
        <v>796</v>
      </c>
      <c r="B555" s="196" t="s">
        <v>3186</v>
      </c>
      <c r="C555" s="196" t="s">
        <v>3187</v>
      </c>
      <c r="D555" s="196" t="s">
        <v>2257</v>
      </c>
      <c r="E555" s="196" t="s">
        <v>1921</v>
      </c>
      <c r="F555" s="196">
        <v>2006</v>
      </c>
      <c r="G555" s="196"/>
      <c r="H555" s="196" t="s">
        <v>1878</v>
      </c>
      <c r="I555" s="141" t="s">
        <v>1879</v>
      </c>
      <c r="J555" s="196"/>
      <c r="K555" s="196" t="s">
        <v>1881</v>
      </c>
      <c r="L555" s="141" t="s">
        <v>3188</v>
      </c>
      <c r="M555" s="196">
        <v>544</v>
      </c>
      <c r="N555" s="196"/>
      <c r="O555" s="196" t="s">
        <v>3133</v>
      </c>
      <c r="P555" s="144">
        <v>358</v>
      </c>
      <c r="Q555" s="145">
        <f t="shared" si="30"/>
        <v>1.8673</v>
      </c>
      <c r="R555" s="203">
        <v>0.39</v>
      </c>
      <c r="S555" s="203"/>
      <c r="T555" s="151"/>
      <c r="U555" s="151">
        <v>1.2</v>
      </c>
      <c r="V555" s="149">
        <v>0.25</v>
      </c>
      <c r="W555" s="151">
        <f t="shared" si="31"/>
        <v>0.39</v>
      </c>
      <c r="X555" s="152">
        <f t="shared" si="29"/>
        <v>2.7300000000000001E-2</v>
      </c>
      <c r="Y555" s="150">
        <f t="shared" si="28"/>
        <v>1.01</v>
      </c>
      <c r="Z555" s="152"/>
      <c r="AA555" s="148"/>
      <c r="AB555" s="148"/>
      <c r="AC555" s="153"/>
      <c r="AD555" s="153"/>
      <c r="AE555" s="153"/>
      <c r="AF555" s="153"/>
      <c r="AJ555" s="147"/>
    </row>
    <row r="556" spans="1:36" s="146" customFormat="1" x14ac:dyDescent="0.25">
      <c r="A556" s="196">
        <v>632</v>
      </c>
      <c r="B556" s="196" t="s">
        <v>3189</v>
      </c>
      <c r="C556" s="196" t="s">
        <v>3190</v>
      </c>
      <c r="D556" s="196" t="s">
        <v>2424</v>
      </c>
      <c r="E556" s="196" t="s">
        <v>1877</v>
      </c>
      <c r="F556" s="196">
        <v>2017</v>
      </c>
      <c r="G556" s="196"/>
      <c r="H556" s="196" t="s">
        <v>1878</v>
      </c>
      <c r="I556" s="141" t="s">
        <v>1929</v>
      </c>
      <c r="J556" s="196" t="s">
        <v>3191</v>
      </c>
      <c r="K556" s="196" t="s">
        <v>1881</v>
      </c>
      <c r="L556" s="141" t="s">
        <v>3192</v>
      </c>
      <c r="M556" s="196">
        <v>432</v>
      </c>
      <c r="N556" s="196"/>
      <c r="O556" s="196" t="s">
        <v>3170</v>
      </c>
      <c r="P556" s="144">
        <v>362</v>
      </c>
      <c r="Q556" s="145">
        <f t="shared" si="30"/>
        <v>2.5093000000000001</v>
      </c>
      <c r="R556" s="203">
        <v>0.99</v>
      </c>
      <c r="S556" s="203"/>
      <c r="T556" s="151"/>
      <c r="U556" s="151">
        <v>1.2</v>
      </c>
      <c r="V556" s="151">
        <v>0.25</v>
      </c>
      <c r="W556" s="151">
        <f t="shared" si="31"/>
        <v>0.99</v>
      </c>
      <c r="X556" s="152">
        <f t="shared" si="29"/>
        <v>6.93E-2</v>
      </c>
      <c r="Y556" s="150">
        <f t="shared" ref="Y556:Y619" si="32">(IF(Z556&gt;AA556,Z556,AA556)*0.08)+1.01</f>
        <v>1.01</v>
      </c>
      <c r="Z556" s="152"/>
      <c r="AA556" s="148"/>
      <c r="AB556" s="148"/>
      <c r="AC556" s="153"/>
      <c r="AD556" s="153"/>
      <c r="AE556" s="153"/>
      <c r="AF556" s="153"/>
      <c r="AJ556" s="147"/>
    </row>
    <row r="557" spans="1:36" s="146" customFormat="1" x14ac:dyDescent="0.25">
      <c r="A557" s="196">
        <v>631</v>
      </c>
      <c r="B557" s="196" t="s">
        <v>3197</v>
      </c>
      <c r="C557" s="196" t="s">
        <v>3198</v>
      </c>
      <c r="D557" s="196" t="s">
        <v>3199</v>
      </c>
      <c r="E557" s="196"/>
      <c r="F557" s="196">
        <v>2005</v>
      </c>
      <c r="G557" s="196"/>
      <c r="H557" s="196" t="s">
        <v>1878</v>
      </c>
      <c r="I557" s="141" t="s">
        <v>1879</v>
      </c>
      <c r="J557" s="196"/>
      <c r="K557" s="196" t="s">
        <v>1881</v>
      </c>
      <c r="L557" s="141" t="s">
        <v>3200</v>
      </c>
      <c r="M557" s="196">
        <v>336</v>
      </c>
      <c r="N557" s="196"/>
      <c r="O557" s="196" t="s">
        <v>3172</v>
      </c>
      <c r="P557" s="144">
        <v>228</v>
      </c>
      <c r="Q557" s="145">
        <f t="shared" si="30"/>
        <v>5.7193000000000005</v>
      </c>
      <c r="R557" s="203">
        <v>3.99</v>
      </c>
      <c r="S557" s="203"/>
      <c r="T557" s="151"/>
      <c r="U557" s="151">
        <v>1.2</v>
      </c>
      <c r="V557" s="149">
        <v>0.25</v>
      </c>
      <c r="W557" s="151">
        <f t="shared" si="31"/>
        <v>3.99</v>
      </c>
      <c r="X557" s="152">
        <f t="shared" ref="X557:X620" si="33">(T557+W557)/100*7</f>
        <v>0.27930000000000005</v>
      </c>
      <c r="Y557" s="150">
        <f t="shared" si="32"/>
        <v>1.01</v>
      </c>
      <c r="Z557" s="152"/>
      <c r="AA557" s="148"/>
      <c r="AB557" s="148"/>
      <c r="AC557" s="153"/>
      <c r="AD557" s="153"/>
      <c r="AE557" s="153"/>
      <c r="AF557" s="153"/>
      <c r="AJ557" s="147"/>
    </row>
    <row r="558" spans="1:36" s="146" customFormat="1" x14ac:dyDescent="0.25">
      <c r="A558" s="196">
        <v>767</v>
      </c>
      <c r="B558" s="196" t="s">
        <v>3201</v>
      </c>
      <c r="C558" s="196" t="s">
        <v>3084</v>
      </c>
      <c r="D558" s="196" t="s">
        <v>2309</v>
      </c>
      <c r="E558" s="196" t="s">
        <v>2375</v>
      </c>
      <c r="F558" s="196">
        <v>2000</v>
      </c>
      <c r="G558" s="196"/>
      <c r="H558" s="196" t="s">
        <v>1878</v>
      </c>
      <c r="I558" s="141" t="s">
        <v>1879</v>
      </c>
      <c r="J558" s="196" t="s">
        <v>3202</v>
      </c>
      <c r="K558" s="196" t="s">
        <v>1881</v>
      </c>
      <c r="L558" s="141" t="s">
        <v>3203</v>
      </c>
      <c r="M558" s="196">
        <v>284</v>
      </c>
      <c r="N558" s="196"/>
      <c r="O558" s="196" t="s">
        <v>3173</v>
      </c>
      <c r="P558" s="144">
        <v>244</v>
      </c>
      <c r="Q558" s="145">
        <f t="shared" si="30"/>
        <v>1.7175</v>
      </c>
      <c r="R558" s="203">
        <v>0.25</v>
      </c>
      <c r="S558" s="203"/>
      <c r="T558" s="151"/>
      <c r="U558" s="151">
        <v>1.2</v>
      </c>
      <c r="V558" s="151">
        <v>0.25</v>
      </c>
      <c r="W558" s="151">
        <f t="shared" si="31"/>
        <v>0.25</v>
      </c>
      <c r="X558" s="152">
        <f t="shared" si="33"/>
        <v>1.7500000000000002E-2</v>
      </c>
      <c r="Y558" s="150">
        <f t="shared" si="32"/>
        <v>1.01</v>
      </c>
      <c r="Z558" s="152"/>
      <c r="AA558" s="148"/>
      <c r="AB558" s="148"/>
      <c r="AC558" s="153"/>
      <c r="AD558" s="153"/>
      <c r="AE558" s="153"/>
      <c r="AF558" s="153"/>
      <c r="AJ558" s="147"/>
    </row>
    <row r="559" spans="1:36" s="146" customFormat="1" x14ac:dyDescent="0.25">
      <c r="A559" s="196">
        <v>1809</v>
      </c>
      <c r="B559" s="196" t="s">
        <v>2820</v>
      </c>
      <c r="C559" s="196" t="s">
        <v>3204</v>
      </c>
      <c r="D559" s="196" t="s">
        <v>2822</v>
      </c>
      <c r="E559" s="196"/>
      <c r="F559" s="196">
        <v>1999</v>
      </c>
      <c r="G559" s="196"/>
      <c r="H559" s="196" t="s">
        <v>1878</v>
      </c>
      <c r="I559" s="141" t="s">
        <v>1879</v>
      </c>
      <c r="J559" s="196" t="s">
        <v>3006</v>
      </c>
      <c r="K559" s="196" t="s">
        <v>1881</v>
      </c>
      <c r="L559" s="141" t="s">
        <v>3205</v>
      </c>
      <c r="M559" s="196">
        <v>192</v>
      </c>
      <c r="N559" s="196"/>
      <c r="O559" s="196" t="s">
        <v>3174</v>
      </c>
      <c r="P559" s="144">
        <v>285</v>
      </c>
      <c r="Q559" s="145">
        <f t="shared" si="30"/>
        <v>1.7175</v>
      </c>
      <c r="R559" s="203">
        <v>0.25</v>
      </c>
      <c r="S559" s="203"/>
      <c r="T559" s="151"/>
      <c r="U559" s="151">
        <v>1.2</v>
      </c>
      <c r="V559" s="149">
        <v>0.25</v>
      </c>
      <c r="W559" s="151">
        <f t="shared" si="31"/>
        <v>0.25</v>
      </c>
      <c r="X559" s="152">
        <f t="shared" si="33"/>
        <v>1.7500000000000002E-2</v>
      </c>
      <c r="Y559" s="150">
        <f t="shared" si="32"/>
        <v>1.01</v>
      </c>
      <c r="Z559" s="152"/>
      <c r="AA559" s="148"/>
      <c r="AB559" s="148"/>
      <c r="AC559" s="153"/>
      <c r="AD559" s="153"/>
      <c r="AE559" s="153"/>
      <c r="AF559" s="153"/>
      <c r="AJ559" s="147"/>
    </row>
    <row r="560" spans="1:36" s="146" customFormat="1" x14ac:dyDescent="0.25">
      <c r="A560" s="196">
        <v>2522</v>
      </c>
      <c r="B560" s="196" t="s">
        <v>3206</v>
      </c>
      <c r="C560" s="196" t="s">
        <v>3207</v>
      </c>
      <c r="D560" s="196" t="s">
        <v>3208</v>
      </c>
      <c r="E560" s="196" t="s">
        <v>1877</v>
      </c>
      <c r="F560" s="196">
        <v>2010</v>
      </c>
      <c r="G560" s="196"/>
      <c r="H560" s="196" t="s">
        <v>2963</v>
      </c>
      <c r="I560" s="141" t="s">
        <v>1929</v>
      </c>
      <c r="J560" s="196"/>
      <c r="K560" s="196" t="s">
        <v>1881</v>
      </c>
      <c r="L560" s="141" t="s">
        <v>3209</v>
      </c>
      <c r="M560" s="196">
        <v>290</v>
      </c>
      <c r="N560" s="196"/>
      <c r="O560" s="196" t="s">
        <v>3175</v>
      </c>
      <c r="P560" s="144">
        <v>405</v>
      </c>
      <c r="Q560" s="145">
        <f t="shared" si="30"/>
        <v>4.1143000000000001</v>
      </c>
      <c r="R560" s="203">
        <v>2.4900000000000002</v>
      </c>
      <c r="S560" s="203"/>
      <c r="T560" s="151"/>
      <c r="U560" s="151">
        <v>1.2</v>
      </c>
      <c r="V560" s="151">
        <v>0.25</v>
      </c>
      <c r="W560" s="151">
        <f t="shared" si="31"/>
        <v>2.4900000000000002</v>
      </c>
      <c r="X560" s="152">
        <f t="shared" si="33"/>
        <v>0.17430000000000001</v>
      </c>
      <c r="Y560" s="150">
        <f t="shared" si="32"/>
        <v>1.01</v>
      </c>
      <c r="Z560" s="152"/>
      <c r="AA560" s="148"/>
      <c r="AB560" s="148"/>
      <c r="AC560" s="153"/>
      <c r="AD560" s="153"/>
      <c r="AE560" s="153"/>
      <c r="AF560" s="153"/>
      <c r="AJ560" s="147"/>
    </row>
    <row r="561" spans="1:36" s="146" customFormat="1" x14ac:dyDescent="0.25">
      <c r="A561" s="196">
        <v>1304</v>
      </c>
      <c r="B561" s="196" t="s">
        <v>3210</v>
      </c>
      <c r="C561" s="196" t="s">
        <v>3211</v>
      </c>
      <c r="D561" s="196" t="s">
        <v>3212</v>
      </c>
      <c r="E561" s="196"/>
      <c r="F561" s="196">
        <v>2009</v>
      </c>
      <c r="G561" s="196"/>
      <c r="H561" s="196" t="s">
        <v>2963</v>
      </c>
      <c r="I561" s="141" t="s">
        <v>1929</v>
      </c>
      <c r="J561" s="196" t="s">
        <v>3213</v>
      </c>
      <c r="K561" s="196" t="s">
        <v>1881</v>
      </c>
      <c r="L561" s="141" t="s">
        <v>3214</v>
      </c>
      <c r="M561" s="196">
        <v>210</v>
      </c>
      <c r="N561" s="196"/>
      <c r="O561" s="196" t="s">
        <v>3176</v>
      </c>
      <c r="P561" s="144">
        <v>477</v>
      </c>
      <c r="Q561" s="145">
        <f t="shared" si="30"/>
        <v>3.6863000000000001</v>
      </c>
      <c r="R561" s="203">
        <v>2.09</v>
      </c>
      <c r="S561" s="203"/>
      <c r="T561" s="151"/>
      <c r="U561" s="151">
        <v>1.2</v>
      </c>
      <c r="V561" s="149">
        <v>0.25</v>
      </c>
      <c r="W561" s="151">
        <f t="shared" si="31"/>
        <v>2.09</v>
      </c>
      <c r="X561" s="152">
        <f t="shared" si="33"/>
        <v>0.14629999999999999</v>
      </c>
      <c r="Y561" s="150">
        <f t="shared" si="32"/>
        <v>1.01</v>
      </c>
      <c r="Z561" s="152"/>
      <c r="AA561" s="148"/>
      <c r="AB561" s="148"/>
      <c r="AC561" s="153"/>
      <c r="AD561" s="153"/>
      <c r="AE561" s="153"/>
      <c r="AF561" s="153"/>
      <c r="AJ561" s="147"/>
    </row>
    <row r="562" spans="1:36" s="146" customFormat="1" x14ac:dyDescent="0.25">
      <c r="A562" s="196">
        <v>796</v>
      </c>
      <c r="B562" s="196" t="s">
        <v>3215</v>
      </c>
      <c r="C562" s="196" t="s">
        <v>3216</v>
      </c>
      <c r="D562" s="196" t="s">
        <v>3010</v>
      </c>
      <c r="E562" s="196"/>
      <c r="F562" s="196">
        <v>2008</v>
      </c>
      <c r="G562" s="196"/>
      <c r="H562" s="196" t="s">
        <v>1878</v>
      </c>
      <c r="I562" s="141" t="s">
        <v>1879</v>
      </c>
      <c r="J562" s="196"/>
      <c r="K562" s="196" t="s">
        <v>1881</v>
      </c>
      <c r="L562" s="141" t="s">
        <v>3217</v>
      </c>
      <c r="M562" s="196">
        <v>448</v>
      </c>
      <c r="N562" s="196"/>
      <c r="O562" s="196" t="s">
        <v>3177</v>
      </c>
      <c r="P562" s="144">
        <v>378</v>
      </c>
      <c r="Q562" s="145">
        <f t="shared" si="30"/>
        <v>3.0442999999999998</v>
      </c>
      <c r="R562" s="203">
        <v>1.49</v>
      </c>
      <c r="S562" s="203"/>
      <c r="T562" s="151"/>
      <c r="U562" s="151">
        <v>1.2</v>
      </c>
      <c r="V562" s="151">
        <v>0.25</v>
      </c>
      <c r="W562" s="151">
        <f t="shared" si="31"/>
        <v>1.49</v>
      </c>
      <c r="X562" s="152">
        <f t="shared" si="33"/>
        <v>0.1043</v>
      </c>
      <c r="Y562" s="150">
        <f t="shared" si="32"/>
        <v>1.01</v>
      </c>
      <c r="Z562" s="152"/>
      <c r="AA562" s="148"/>
      <c r="AB562" s="148"/>
      <c r="AC562" s="153"/>
      <c r="AD562" s="153"/>
      <c r="AE562" s="153"/>
      <c r="AF562" s="153"/>
      <c r="AJ562" s="147"/>
    </row>
    <row r="563" spans="1:36" s="146" customFormat="1" x14ac:dyDescent="0.25">
      <c r="A563" s="196">
        <v>692</v>
      </c>
      <c r="B563" s="196" t="s">
        <v>3218</v>
      </c>
      <c r="C563" s="196" t="s">
        <v>3219</v>
      </c>
      <c r="D563" s="196" t="s">
        <v>2419</v>
      </c>
      <c r="E563" s="196"/>
      <c r="F563" s="196">
        <v>1997</v>
      </c>
      <c r="G563" s="196"/>
      <c r="H563" s="196" t="s">
        <v>1878</v>
      </c>
      <c r="I563" s="141" t="s">
        <v>1879</v>
      </c>
      <c r="J563" s="196"/>
      <c r="K563" s="196" t="s">
        <v>1881</v>
      </c>
      <c r="L563" s="141" t="s">
        <v>3220</v>
      </c>
      <c r="M563" s="196">
        <v>504</v>
      </c>
      <c r="N563" s="196"/>
      <c r="O563" s="196" t="s">
        <v>3178</v>
      </c>
      <c r="P563" s="144">
        <v>339</v>
      </c>
      <c r="Q563" s="145">
        <f t="shared" si="30"/>
        <v>1.9742999999999999</v>
      </c>
      <c r="R563" s="203">
        <v>0.49</v>
      </c>
      <c r="S563" s="203"/>
      <c r="T563" s="151"/>
      <c r="U563" s="151">
        <v>1.2</v>
      </c>
      <c r="V563" s="149">
        <v>0.25</v>
      </c>
      <c r="W563" s="151">
        <f t="shared" si="31"/>
        <v>0.49</v>
      </c>
      <c r="X563" s="152">
        <f t="shared" si="33"/>
        <v>3.4299999999999997E-2</v>
      </c>
      <c r="Y563" s="150">
        <f t="shared" si="32"/>
        <v>1.01</v>
      </c>
      <c r="Z563" s="152"/>
      <c r="AA563" s="148"/>
      <c r="AB563" s="148"/>
      <c r="AC563" s="153"/>
      <c r="AD563" s="153"/>
      <c r="AE563" s="153"/>
      <c r="AF563" s="153"/>
      <c r="AJ563" s="147"/>
    </row>
    <row r="564" spans="1:36" s="146" customFormat="1" x14ac:dyDescent="0.25">
      <c r="A564" s="196">
        <v>2663</v>
      </c>
      <c r="B564" s="196"/>
      <c r="C564" s="196" t="s">
        <v>3222</v>
      </c>
      <c r="D564" s="196" t="s">
        <v>3223</v>
      </c>
      <c r="E564" s="196"/>
      <c r="F564" s="196">
        <v>1984</v>
      </c>
      <c r="G564" s="196"/>
      <c r="H564" s="196" t="s">
        <v>2963</v>
      </c>
      <c r="I564" s="141" t="s">
        <v>1879</v>
      </c>
      <c r="J564" s="196"/>
      <c r="K564" s="196" t="s">
        <v>1881</v>
      </c>
      <c r="L564" s="141"/>
      <c r="M564" s="196"/>
      <c r="N564" s="196"/>
      <c r="O564" s="196" t="s">
        <v>3180</v>
      </c>
      <c r="P564" s="144">
        <v>955</v>
      </c>
      <c r="Q564" s="145">
        <f t="shared" si="30"/>
        <v>2.2175000000000002</v>
      </c>
      <c r="R564" s="203">
        <v>0.25</v>
      </c>
      <c r="S564" s="203"/>
      <c r="T564" s="151"/>
      <c r="U564" s="151">
        <v>1.7</v>
      </c>
      <c r="V564" s="149">
        <v>0.25</v>
      </c>
      <c r="W564" s="151">
        <f t="shared" si="31"/>
        <v>0.25</v>
      </c>
      <c r="X564" s="152">
        <f t="shared" si="33"/>
        <v>1.7500000000000002E-2</v>
      </c>
      <c r="Y564" s="150">
        <f t="shared" si="32"/>
        <v>1.01</v>
      </c>
      <c r="Z564" s="152"/>
      <c r="AA564" s="148"/>
      <c r="AB564" s="148"/>
      <c r="AC564" s="153"/>
      <c r="AD564" s="153"/>
      <c r="AE564" s="153"/>
      <c r="AF564" s="153"/>
      <c r="AJ564" s="147"/>
    </row>
    <row r="565" spans="1:36" s="146" customFormat="1" x14ac:dyDescent="0.25">
      <c r="A565" s="196">
        <v>632</v>
      </c>
      <c r="B565" s="196" t="s">
        <v>3224</v>
      </c>
      <c r="C565" s="196" t="s">
        <v>3225</v>
      </c>
      <c r="D565" s="196" t="s">
        <v>2054</v>
      </c>
      <c r="E565" s="196"/>
      <c r="F565" s="196">
        <v>1994</v>
      </c>
      <c r="G565" s="196"/>
      <c r="H565" s="196" t="s">
        <v>2963</v>
      </c>
      <c r="I565" s="141" t="s">
        <v>1879</v>
      </c>
      <c r="J565" s="196"/>
      <c r="K565" s="196" t="s">
        <v>1881</v>
      </c>
      <c r="L565" s="141" t="s">
        <v>3226</v>
      </c>
      <c r="M565" s="196">
        <v>690</v>
      </c>
      <c r="N565" s="196"/>
      <c r="O565" s="196" t="s">
        <v>3181</v>
      </c>
      <c r="P565" s="144">
        <v>753</v>
      </c>
      <c r="Q565" s="145">
        <f t="shared" ref="Q565:Q628" si="34">SUM(T565:X565)</f>
        <v>3.1162999999999998</v>
      </c>
      <c r="R565" s="203">
        <v>1.0900000000000001</v>
      </c>
      <c r="S565" s="203"/>
      <c r="T565" s="151"/>
      <c r="U565" s="151">
        <v>1.7</v>
      </c>
      <c r="V565" s="151">
        <v>0.25</v>
      </c>
      <c r="W565" s="151">
        <f t="shared" ref="W565:W628" si="35">IF(R565&gt;T565,R565,T565)</f>
        <v>1.0900000000000001</v>
      </c>
      <c r="X565" s="152">
        <f t="shared" si="33"/>
        <v>7.6300000000000007E-2</v>
      </c>
      <c r="Y565" s="150">
        <f t="shared" si="32"/>
        <v>1.01</v>
      </c>
      <c r="Z565" s="152"/>
      <c r="AA565" s="148"/>
      <c r="AB565" s="148"/>
      <c r="AC565" s="153"/>
      <c r="AD565" s="153"/>
      <c r="AE565" s="153"/>
      <c r="AF565" s="153"/>
      <c r="AJ565" s="147"/>
    </row>
    <row r="566" spans="1:36" s="146" customFormat="1" x14ac:dyDescent="0.25">
      <c r="A566" s="196">
        <v>689</v>
      </c>
      <c r="B566" s="196" t="s">
        <v>3227</v>
      </c>
      <c r="C566" s="196" t="s">
        <v>3228</v>
      </c>
      <c r="D566" s="196" t="s">
        <v>3229</v>
      </c>
      <c r="E566" s="196"/>
      <c r="F566" s="196">
        <v>2005</v>
      </c>
      <c r="G566" s="196"/>
      <c r="H566" s="196" t="s">
        <v>2963</v>
      </c>
      <c r="I566" s="141" t="s">
        <v>1879</v>
      </c>
      <c r="J566" s="196" t="s">
        <v>3202</v>
      </c>
      <c r="K566" s="196" t="s">
        <v>1881</v>
      </c>
      <c r="L566" s="141" t="s">
        <v>3230</v>
      </c>
      <c r="M566" s="196">
        <v>282</v>
      </c>
      <c r="N566" s="196"/>
      <c r="O566" s="196" t="s">
        <v>3182</v>
      </c>
      <c r="P566" s="144">
        <v>605</v>
      </c>
      <c r="Q566" s="145">
        <f t="shared" si="34"/>
        <v>2.4742999999999999</v>
      </c>
      <c r="R566" s="203">
        <v>0.49</v>
      </c>
      <c r="S566" s="203"/>
      <c r="T566" s="151"/>
      <c r="U566" s="151">
        <v>1.7</v>
      </c>
      <c r="V566" s="149">
        <v>0.25</v>
      </c>
      <c r="W566" s="151">
        <f t="shared" si="35"/>
        <v>0.49</v>
      </c>
      <c r="X566" s="152">
        <f t="shared" si="33"/>
        <v>3.4299999999999997E-2</v>
      </c>
      <c r="Y566" s="150">
        <f t="shared" si="32"/>
        <v>1.01</v>
      </c>
      <c r="Z566" s="152"/>
      <c r="AA566" s="148"/>
      <c r="AB566" s="148"/>
      <c r="AC566" s="153"/>
      <c r="AD566" s="153"/>
      <c r="AE566" s="153"/>
      <c r="AF566" s="153"/>
      <c r="AJ566" s="147"/>
    </row>
    <row r="567" spans="1:36" s="146" customFormat="1" x14ac:dyDescent="0.25">
      <c r="A567" s="196">
        <v>1720</v>
      </c>
      <c r="B567" s="196" t="s">
        <v>2467</v>
      </c>
      <c r="C567" s="196" t="s">
        <v>3231</v>
      </c>
      <c r="D567" s="196" t="s">
        <v>2054</v>
      </c>
      <c r="E567" s="196"/>
      <c r="F567" s="196">
        <v>2007</v>
      </c>
      <c r="G567" s="196"/>
      <c r="H567" s="196" t="s">
        <v>1878</v>
      </c>
      <c r="I567" s="141" t="s">
        <v>1879</v>
      </c>
      <c r="J567" s="196"/>
      <c r="K567" s="196" t="s">
        <v>1881</v>
      </c>
      <c r="L567" s="141" t="s">
        <v>3232</v>
      </c>
      <c r="M567" s="196">
        <v>416</v>
      </c>
      <c r="N567" s="196"/>
      <c r="O567" s="196" t="s">
        <v>3183</v>
      </c>
      <c r="P567" s="144">
        <v>414</v>
      </c>
      <c r="Q567" s="145">
        <f t="shared" si="34"/>
        <v>1.7175</v>
      </c>
      <c r="R567" s="203">
        <v>0.25</v>
      </c>
      <c r="S567" s="203"/>
      <c r="T567" s="151"/>
      <c r="U567" s="151">
        <v>1.2</v>
      </c>
      <c r="V567" s="151">
        <v>0.25</v>
      </c>
      <c r="W567" s="151">
        <f t="shared" si="35"/>
        <v>0.25</v>
      </c>
      <c r="X567" s="152">
        <f t="shared" si="33"/>
        <v>1.7500000000000002E-2</v>
      </c>
      <c r="Y567" s="150">
        <f t="shared" si="32"/>
        <v>1.01</v>
      </c>
      <c r="Z567" s="152"/>
      <c r="AA567" s="148"/>
      <c r="AB567" s="148"/>
      <c r="AC567" s="153"/>
      <c r="AD567" s="153"/>
      <c r="AE567" s="153"/>
      <c r="AF567" s="153"/>
      <c r="AJ567" s="147"/>
    </row>
    <row r="568" spans="1:36" s="146" customFormat="1" x14ac:dyDescent="0.25">
      <c r="A568" s="196">
        <v>632</v>
      </c>
      <c r="B568" s="196" t="s">
        <v>3233</v>
      </c>
      <c r="C568" s="196" t="s">
        <v>3234</v>
      </c>
      <c r="D568" s="196" t="s">
        <v>2257</v>
      </c>
      <c r="E568" s="196"/>
      <c r="F568" s="196">
        <v>2011</v>
      </c>
      <c r="G568" s="196"/>
      <c r="H568" s="196" t="s">
        <v>1878</v>
      </c>
      <c r="I568" s="141" t="s">
        <v>1879</v>
      </c>
      <c r="J568" s="196" t="s">
        <v>3202</v>
      </c>
      <c r="K568" s="196" t="s">
        <v>1881</v>
      </c>
      <c r="L568" s="141" t="s">
        <v>3235</v>
      </c>
      <c r="M568" s="196">
        <v>800</v>
      </c>
      <c r="N568" s="196"/>
      <c r="O568" s="196" t="s">
        <v>3184</v>
      </c>
      <c r="P568" s="144">
        <v>584</v>
      </c>
      <c r="Q568" s="145">
        <f t="shared" si="34"/>
        <v>2.2175000000000002</v>
      </c>
      <c r="R568" s="203">
        <v>0.25</v>
      </c>
      <c r="S568" s="203"/>
      <c r="T568" s="151"/>
      <c r="U568" s="151">
        <v>1.7</v>
      </c>
      <c r="V568" s="149">
        <v>0.25</v>
      </c>
      <c r="W568" s="151">
        <f t="shared" si="35"/>
        <v>0.25</v>
      </c>
      <c r="X568" s="152">
        <f t="shared" si="33"/>
        <v>1.7500000000000002E-2</v>
      </c>
      <c r="Y568" s="150">
        <f t="shared" si="32"/>
        <v>1.01</v>
      </c>
      <c r="Z568" s="152"/>
      <c r="AA568" s="148"/>
      <c r="AB568" s="148"/>
      <c r="AC568" s="153"/>
      <c r="AD568" s="153"/>
      <c r="AE568" s="153"/>
      <c r="AF568" s="153"/>
      <c r="AJ568" s="147"/>
    </row>
    <row r="569" spans="1:36" s="146" customFormat="1" x14ac:dyDescent="0.25">
      <c r="A569" s="196">
        <v>1809</v>
      </c>
      <c r="B569" s="196"/>
      <c r="C569" s="196" t="s">
        <v>3239</v>
      </c>
      <c r="D569" s="196" t="s">
        <v>2822</v>
      </c>
      <c r="E569" s="196"/>
      <c r="F569" s="196">
        <v>2006</v>
      </c>
      <c r="G569" s="196"/>
      <c r="H569" s="196" t="s">
        <v>2314</v>
      </c>
      <c r="I569" s="141" t="s">
        <v>1929</v>
      </c>
      <c r="J569" s="196"/>
      <c r="K569" s="196" t="s">
        <v>1881</v>
      </c>
      <c r="L569" s="141" t="s">
        <v>3240</v>
      </c>
      <c r="M569" s="196">
        <v>352</v>
      </c>
      <c r="N569" s="196"/>
      <c r="O569" s="196" t="s">
        <v>3185</v>
      </c>
      <c r="P569" s="144">
        <v>443</v>
      </c>
      <c r="Q569" s="145">
        <f t="shared" si="34"/>
        <v>1.8673</v>
      </c>
      <c r="R569" s="203">
        <v>0.39</v>
      </c>
      <c r="S569" s="203"/>
      <c r="T569" s="151"/>
      <c r="U569" s="151">
        <v>1.2</v>
      </c>
      <c r="V569" s="151">
        <v>0.25</v>
      </c>
      <c r="W569" s="151">
        <f t="shared" si="35"/>
        <v>0.39</v>
      </c>
      <c r="X569" s="152">
        <f t="shared" si="33"/>
        <v>2.7300000000000001E-2</v>
      </c>
      <c r="Y569" s="150">
        <f t="shared" si="32"/>
        <v>1.01</v>
      </c>
      <c r="Z569" s="152"/>
      <c r="AA569" s="148"/>
      <c r="AB569" s="148"/>
      <c r="AC569" s="153"/>
      <c r="AD569" s="153"/>
      <c r="AE569" s="153"/>
      <c r="AF569" s="153"/>
      <c r="AJ569" s="147"/>
    </row>
    <row r="570" spans="1:36" s="146" customFormat="1" x14ac:dyDescent="0.25">
      <c r="A570" s="196">
        <v>632</v>
      </c>
      <c r="B570" s="196" t="s">
        <v>3241</v>
      </c>
      <c r="C570" s="196" t="s">
        <v>3242</v>
      </c>
      <c r="D570" s="196" t="s">
        <v>3010</v>
      </c>
      <c r="E570" s="196" t="s">
        <v>1913</v>
      </c>
      <c r="F570" s="196">
        <v>2004</v>
      </c>
      <c r="G570" s="196"/>
      <c r="H570" s="196" t="s">
        <v>1878</v>
      </c>
      <c r="I570" s="141" t="s">
        <v>1879</v>
      </c>
      <c r="J570" s="196" t="s">
        <v>3006</v>
      </c>
      <c r="K570" s="196" t="s">
        <v>1881</v>
      </c>
      <c r="L570" s="141" t="s">
        <v>3243</v>
      </c>
      <c r="M570" s="196">
        <v>720</v>
      </c>
      <c r="N570" s="196"/>
      <c r="O570" s="196" t="s">
        <v>3236</v>
      </c>
      <c r="P570" s="144">
        <v>602</v>
      </c>
      <c r="Q570" s="145">
        <f t="shared" si="34"/>
        <v>2.2603</v>
      </c>
      <c r="R570" s="203">
        <v>0.28999999999999998</v>
      </c>
      <c r="S570" s="203"/>
      <c r="T570" s="151"/>
      <c r="U570" s="151">
        <v>1.7</v>
      </c>
      <c r="V570" s="149">
        <v>0.25</v>
      </c>
      <c r="W570" s="151">
        <f t="shared" si="35"/>
        <v>0.28999999999999998</v>
      </c>
      <c r="X570" s="152">
        <f t="shared" si="33"/>
        <v>2.0299999999999999E-2</v>
      </c>
      <c r="Y570" s="150">
        <f t="shared" si="32"/>
        <v>1.01</v>
      </c>
      <c r="Z570" s="152"/>
      <c r="AA570" s="148"/>
      <c r="AB570" s="148"/>
      <c r="AC570" s="153"/>
      <c r="AD570" s="153"/>
      <c r="AE570" s="153"/>
      <c r="AF570" s="153"/>
      <c r="AJ570" s="147"/>
    </row>
    <row r="571" spans="1:36" s="146" customFormat="1" x14ac:dyDescent="0.25">
      <c r="A571" s="196">
        <v>632</v>
      </c>
      <c r="B571" s="196" t="s">
        <v>3248</v>
      </c>
      <c r="C571" s="196" t="s">
        <v>3249</v>
      </c>
      <c r="D571" s="196" t="s">
        <v>2054</v>
      </c>
      <c r="E571" s="196"/>
      <c r="F571" s="196">
        <v>2008</v>
      </c>
      <c r="G571" s="196"/>
      <c r="H571" s="196" t="s">
        <v>1878</v>
      </c>
      <c r="I571" s="141" t="s">
        <v>1879</v>
      </c>
      <c r="J571" s="196" t="s">
        <v>3006</v>
      </c>
      <c r="K571" s="196" t="s">
        <v>1881</v>
      </c>
      <c r="L571" s="141" t="s">
        <v>3250</v>
      </c>
      <c r="M571" s="196">
        <v>1008</v>
      </c>
      <c r="N571" s="196"/>
      <c r="O571" s="196" t="s">
        <v>3238</v>
      </c>
      <c r="P571" s="144">
        <v>710</v>
      </c>
      <c r="Q571" s="145">
        <f t="shared" si="34"/>
        <v>2.2175000000000002</v>
      </c>
      <c r="R571" s="203">
        <v>0.25</v>
      </c>
      <c r="S571" s="203"/>
      <c r="T571" s="151"/>
      <c r="U571" s="151">
        <v>1.7</v>
      </c>
      <c r="V571" s="151">
        <v>0.25</v>
      </c>
      <c r="W571" s="151">
        <f t="shared" si="35"/>
        <v>0.25</v>
      </c>
      <c r="X571" s="152">
        <f t="shared" si="33"/>
        <v>1.7500000000000002E-2</v>
      </c>
      <c r="Y571" s="150">
        <f t="shared" si="32"/>
        <v>1.01</v>
      </c>
      <c r="Z571" s="152"/>
      <c r="AA571" s="148"/>
      <c r="AB571" s="148"/>
      <c r="AC571" s="153"/>
      <c r="AD571" s="153"/>
      <c r="AE571" s="153"/>
      <c r="AF571" s="153"/>
      <c r="AJ571" s="147"/>
    </row>
    <row r="572" spans="1:36" s="146" customFormat="1" x14ac:dyDescent="0.25">
      <c r="A572" s="196">
        <v>2571</v>
      </c>
      <c r="B572" s="196" t="s">
        <v>3256</v>
      </c>
      <c r="C572" s="196" t="s">
        <v>3257</v>
      </c>
      <c r="D572" s="196" t="s">
        <v>2036</v>
      </c>
      <c r="E572" s="196" t="s">
        <v>2094</v>
      </c>
      <c r="F572" s="196">
        <v>1999</v>
      </c>
      <c r="G572" s="196"/>
      <c r="H572" s="196" t="s">
        <v>2963</v>
      </c>
      <c r="I572" s="141" t="s">
        <v>1879</v>
      </c>
      <c r="J572" s="196" t="s">
        <v>2237</v>
      </c>
      <c r="K572" s="196" t="s">
        <v>1881</v>
      </c>
      <c r="L572" s="141" t="s">
        <v>3258</v>
      </c>
      <c r="M572" s="196">
        <v>338</v>
      </c>
      <c r="N572" s="196"/>
      <c r="O572" s="196" t="s">
        <v>3251</v>
      </c>
      <c r="P572" s="144">
        <v>399</v>
      </c>
      <c r="Q572" s="145">
        <f t="shared" si="34"/>
        <v>1.8673</v>
      </c>
      <c r="R572" s="203">
        <v>0.39</v>
      </c>
      <c r="S572" s="203"/>
      <c r="T572" s="151"/>
      <c r="U572" s="151">
        <v>1.2</v>
      </c>
      <c r="V572" s="149">
        <v>0.25</v>
      </c>
      <c r="W572" s="151">
        <f t="shared" si="35"/>
        <v>0.39</v>
      </c>
      <c r="X572" s="152">
        <f t="shared" si="33"/>
        <v>2.7300000000000001E-2</v>
      </c>
      <c r="Y572" s="150">
        <f t="shared" si="32"/>
        <v>1.01</v>
      </c>
      <c r="Z572" s="152"/>
      <c r="AA572" s="148"/>
      <c r="AB572" s="148"/>
      <c r="AC572" s="153"/>
      <c r="AD572" s="153"/>
      <c r="AE572" s="153"/>
      <c r="AF572" s="153"/>
      <c r="AJ572" s="147"/>
    </row>
    <row r="573" spans="1:36" s="146" customFormat="1" x14ac:dyDescent="0.25">
      <c r="A573" s="196">
        <v>701</v>
      </c>
      <c r="B573" s="196" t="s">
        <v>3259</v>
      </c>
      <c r="C573" s="196" t="s">
        <v>3260</v>
      </c>
      <c r="D573" s="196" t="s">
        <v>1979</v>
      </c>
      <c r="E573" s="196"/>
      <c r="F573" s="196">
        <v>2004</v>
      </c>
      <c r="G573" s="196"/>
      <c r="H573" s="196" t="s">
        <v>1878</v>
      </c>
      <c r="I573" s="141" t="s">
        <v>1879</v>
      </c>
      <c r="J573" s="196"/>
      <c r="K573" s="196" t="s">
        <v>1881</v>
      </c>
      <c r="L573" s="141" t="s">
        <v>3261</v>
      </c>
      <c r="M573" s="196">
        <v>256</v>
      </c>
      <c r="N573" s="196"/>
      <c r="O573" s="196" t="s">
        <v>3252</v>
      </c>
      <c r="P573" s="144">
        <v>239</v>
      </c>
      <c r="Q573" s="145">
        <f t="shared" si="34"/>
        <v>1.8673</v>
      </c>
      <c r="R573" s="203">
        <v>0.39</v>
      </c>
      <c r="S573" s="203"/>
      <c r="T573" s="151"/>
      <c r="U573" s="151">
        <v>1.2</v>
      </c>
      <c r="V573" s="151">
        <v>0.25</v>
      </c>
      <c r="W573" s="151">
        <f t="shared" si="35"/>
        <v>0.39</v>
      </c>
      <c r="X573" s="152">
        <f t="shared" si="33"/>
        <v>2.7300000000000001E-2</v>
      </c>
      <c r="Y573" s="150">
        <f t="shared" si="32"/>
        <v>1.01</v>
      </c>
      <c r="Z573" s="152"/>
      <c r="AA573" s="148"/>
      <c r="AB573" s="148"/>
      <c r="AC573" s="153"/>
      <c r="AD573" s="153"/>
      <c r="AE573" s="153"/>
      <c r="AF573" s="153"/>
      <c r="AJ573" s="147"/>
    </row>
    <row r="574" spans="1:36" s="146" customFormat="1" x14ac:dyDescent="0.25">
      <c r="A574" s="196">
        <v>1386</v>
      </c>
      <c r="B574" s="196" t="s">
        <v>3262</v>
      </c>
      <c r="C574" s="196" t="s">
        <v>3263</v>
      </c>
      <c r="D574" s="196" t="s">
        <v>2609</v>
      </c>
      <c r="E574" s="196" t="s">
        <v>2157</v>
      </c>
      <c r="F574" s="196">
        <v>2007</v>
      </c>
      <c r="G574" s="196"/>
      <c r="H574" s="196" t="s">
        <v>1878</v>
      </c>
      <c r="I574" s="141" t="s">
        <v>1879</v>
      </c>
      <c r="J574" s="196" t="s">
        <v>2237</v>
      </c>
      <c r="K574" s="196" t="s">
        <v>1881</v>
      </c>
      <c r="L574" s="141" t="s">
        <v>3264</v>
      </c>
      <c r="M574" s="196">
        <v>560</v>
      </c>
      <c r="N574" s="196"/>
      <c r="O574" s="196" t="s">
        <v>3253</v>
      </c>
      <c r="P574" s="144">
        <v>413</v>
      </c>
      <c r="Q574" s="145">
        <f t="shared" si="34"/>
        <v>1.7175</v>
      </c>
      <c r="R574" s="203">
        <v>0.25</v>
      </c>
      <c r="S574" s="203"/>
      <c r="T574" s="151"/>
      <c r="U574" s="151">
        <v>1.2</v>
      </c>
      <c r="V574" s="149">
        <v>0.25</v>
      </c>
      <c r="W574" s="151">
        <f t="shared" si="35"/>
        <v>0.25</v>
      </c>
      <c r="X574" s="152">
        <f t="shared" si="33"/>
        <v>1.7500000000000002E-2</v>
      </c>
      <c r="Y574" s="150">
        <f t="shared" si="32"/>
        <v>1.01</v>
      </c>
      <c r="Z574" s="152"/>
      <c r="AA574" s="148"/>
      <c r="AB574" s="148"/>
      <c r="AC574" s="153"/>
      <c r="AD574" s="153"/>
      <c r="AE574" s="153"/>
      <c r="AF574" s="153"/>
      <c r="AJ574" s="147"/>
    </row>
    <row r="575" spans="1:36" s="146" customFormat="1" x14ac:dyDescent="0.25">
      <c r="A575" s="196">
        <v>2522</v>
      </c>
      <c r="B575" s="196" t="s">
        <v>3265</v>
      </c>
      <c r="C575" s="196" t="s">
        <v>3266</v>
      </c>
      <c r="D575" s="196" t="s">
        <v>1920</v>
      </c>
      <c r="E575" s="196" t="s">
        <v>1913</v>
      </c>
      <c r="F575" s="196">
        <v>2004</v>
      </c>
      <c r="G575" s="196"/>
      <c r="H575" s="196" t="s">
        <v>1878</v>
      </c>
      <c r="I575" s="141" t="s">
        <v>1879</v>
      </c>
      <c r="J575" s="196" t="s">
        <v>3006</v>
      </c>
      <c r="K575" s="196" t="s">
        <v>1881</v>
      </c>
      <c r="L575" s="141" t="s">
        <v>3267</v>
      </c>
      <c r="M575" s="196">
        <v>480</v>
      </c>
      <c r="N575" s="196"/>
      <c r="O575" s="196" t="s">
        <v>3254</v>
      </c>
      <c r="P575" s="144">
        <v>415</v>
      </c>
      <c r="Q575" s="145">
        <f t="shared" si="34"/>
        <v>1.7603</v>
      </c>
      <c r="R575" s="203">
        <v>0.28999999999999998</v>
      </c>
      <c r="S575" s="203"/>
      <c r="T575" s="151"/>
      <c r="U575" s="151">
        <v>1.2</v>
      </c>
      <c r="V575" s="151">
        <v>0.25</v>
      </c>
      <c r="W575" s="151">
        <f t="shared" si="35"/>
        <v>0.28999999999999998</v>
      </c>
      <c r="X575" s="152">
        <f t="shared" si="33"/>
        <v>2.0299999999999999E-2</v>
      </c>
      <c r="Y575" s="150">
        <f t="shared" si="32"/>
        <v>1.01</v>
      </c>
      <c r="Z575" s="152"/>
      <c r="AA575" s="148"/>
      <c r="AB575" s="148"/>
      <c r="AC575" s="153"/>
      <c r="AD575" s="153"/>
      <c r="AE575" s="153"/>
      <c r="AF575" s="153"/>
      <c r="AJ575" s="147"/>
    </row>
    <row r="576" spans="1:36" s="146" customFormat="1" x14ac:dyDescent="0.25">
      <c r="A576" s="196">
        <v>1809</v>
      </c>
      <c r="B576" s="196" t="s">
        <v>3305</v>
      </c>
      <c r="C576" s="196" t="s">
        <v>3306</v>
      </c>
      <c r="D576" s="196" t="s">
        <v>2822</v>
      </c>
      <c r="E576" s="196"/>
      <c r="F576" s="196">
        <v>2005</v>
      </c>
      <c r="G576" s="196"/>
      <c r="H576" s="196" t="s">
        <v>2314</v>
      </c>
      <c r="I576" s="141" t="s">
        <v>1879</v>
      </c>
      <c r="J576" s="196" t="s">
        <v>3303</v>
      </c>
      <c r="K576" s="196" t="s">
        <v>1881</v>
      </c>
      <c r="L576" s="141" t="s">
        <v>3307</v>
      </c>
      <c r="M576" s="196">
        <v>160</v>
      </c>
      <c r="N576" s="196"/>
      <c r="O576" s="196" t="s">
        <v>3271</v>
      </c>
      <c r="P576" s="144">
        <v>237</v>
      </c>
      <c r="Q576" s="145">
        <f t="shared" si="34"/>
        <v>1.8673</v>
      </c>
      <c r="R576" s="203">
        <v>0.39</v>
      </c>
      <c r="S576" s="203"/>
      <c r="T576" s="151"/>
      <c r="U576" s="151">
        <v>1.2</v>
      </c>
      <c r="V576" s="149">
        <v>0.25</v>
      </c>
      <c r="W576" s="151">
        <f t="shared" si="35"/>
        <v>0.39</v>
      </c>
      <c r="X576" s="152">
        <f t="shared" si="33"/>
        <v>2.7300000000000001E-2</v>
      </c>
      <c r="Y576" s="150">
        <f t="shared" si="32"/>
        <v>1.01</v>
      </c>
      <c r="Z576" s="152"/>
      <c r="AA576" s="148"/>
      <c r="AB576" s="148"/>
      <c r="AC576" s="153"/>
      <c r="AD576" s="153"/>
      <c r="AE576" s="153"/>
      <c r="AF576" s="153"/>
      <c r="AJ576" s="147"/>
    </row>
    <row r="577" spans="1:36" s="146" customFormat="1" x14ac:dyDescent="0.25">
      <c r="A577" s="196">
        <v>632</v>
      </c>
      <c r="B577" s="196" t="s">
        <v>3308</v>
      </c>
      <c r="C577" s="196" t="s">
        <v>3309</v>
      </c>
      <c r="D577" s="196" t="s">
        <v>2609</v>
      </c>
      <c r="E577" s="196"/>
      <c r="F577" s="196">
        <v>1997</v>
      </c>
      <c r="G577" s="196"/>
      <c r="H577" s="196" t="s">
        <v>1878</v>
      </c>
      <c r="I577" s="141" t="s">
        <v>1879</v>
      </c>
      <c r="J577" s="196" t="s">
        <v>2237</v>
      </c>
      <c r="K577" s="196" t="s">
        <v>1881</v>
      </c>
      <c r="L577" s="141" t="s">
        <v>3310</v>
      </c>
      <c r="M577" s="196">
        <v>462</v>
      </c>
      <c r="N577" s="196"/>
      <c r="O577" s="196" t="s">
        <v>3272</v>
      </c>
      <c r="P577" s="144">
        <v>381</v>
      </c>
      <c r="Q577" s="145">
        <f t="shared" si="34"/>
        <v>1.8673</v>
      </c>
      <c r="R577" s="203">
        <v>0.39</v>
      </c>
      <c r="S577" s="203"/>
      <c r="T577" s="151"/>
      <c r="U577" s="151">
        <v>1.2</v>
      </c>
      <c r="V577" s="151">
        <v>0.25</v>
      </c>
      <c r="W577" s="151">
        <f t="shared" si="35"/>
        <v>0.39</v>
      </c>
      <c r="X577" s="152">
        <f t="shared" si="33"/>
        <v>2.7300000000000001E-2</v>
      </c>
      <c r="Y577" s="150">
        <f t="shared" si="32"/>
        <v>1.01</v>
      </c>
      <c r="Z577" s="152"/>
      <c r="AA577" s="148"/>
      <c r="AB577" s="148"/>
      <c r="AC577" s="153"/>
      <c r="AD577" s="153"/>
      <c r="AE577" s="153"/>
      <c r="AF577" s="153"/>
      <c r="AJ577" s="147"/>
    </row>
    <row r="578" spans="1:36" s="146" customFormat="1" x14ac:dyDescent="0.25">
      <c r="A578" s="196">
        <v>1809</v>
      </c>
      <c r="B578" s="196" t="s">
        <v>2414</v>
      </c>
      <c r="C578" s="196" t="s">
        <v>3311</v>
      </c>
      <c r="D578" s="196" t="s">
        <v>3312</v>
      </c>
      <c r="E578" s="196"/>
      <c r="F578" s="196">
        <v>2002</v>
      </c>
      <c r="G578" s="196"/>
      <c r="H578" s="196" t="s">
        <v>2963</v>
      </c>
      <c r="I578" s="141" t="s">
        <v>1879</v>
      </c>
      <c r="J578" s="196" t="s">
        <v>3303</v>
      </c>
      <c r="K578" s="196" t="s">
        <v>1881</v>
      </c>
      <c r="L578" s="141" t="s">
        <v>3313</v>
      </c>
      <c r="M578" s="196">
        <v>210</v>
      </c>
      <c r="N578" s="196"/>
      <c r="O578" s="196" t="s">
        <v>3273</v>
      </c>
      <c r="P578" s="144">
        <v>315</v>
      </c>
      <c r="Q578" s="145">
        <f t="shared" si="34"/>
        <v>2.4022999999999999</v>
      </c>
      <c r="R578" s="203">
        <v>0.89</v>
      </c>
      <c r="S578" s="203"/>
      <c r="T578" s="151"/>
      <c r="U578" s="151">
        <v>1.2</v>
      </c>
      <c r="V578" s="149">
        <v>0.25</v>
      </c>
      <c r="W578" s="151">
        <f t="shared" si="35"/>
        <v>0.89</v>
      </c>
      <c r="X578" s="152">
        <f t="shared" si="33"/>
        <v>6.2300000000000001E-2</v>
      </c>
      <c r="Y578" s="150">
        <f t="shared" si="32"/>
        <v>1.01</v>
      </c>
      <c r="Z578" s="152"/>
      <c r="AA578" s="148"/>
      <c r="AB578" s="148"/>
      <c r="AC578" s="153"/>
      <c r="AD578" s="153"/>
      <c r="AE578" s="153"/>
      <c r="AF578" s="153"/>
      <c r="AJ578" s="147"/>
    </row>
    <row r="579" spans="1:36" s="146" customFormat="1" x14ac:dyDescent="0.25">
      <c r="A579" s="196">
        <v>2522</v>
      </c>
      <c r="B579" s="196" t="s">
        <v>2242</v>
      </c>
      <c r="C579" s="196" t="s">
        <v>3314</v>
      </c>
      <c r="D579" s="196" t="s">
        <v>2609</v>
      </c>
      <c r="E579" s="196" t="s">
        <v>3053</v>
      </c>
      <c r="F579" s="196">
        <v>2006</v>
      </c>
      <c r="G579" s="196"/>
      <c r="H579" s="196" t="s">
        <v>1878</v>
      </c>
      <c r="I579" s="141" t="s">
        <v>1879</v>
      </c>
      <c r="J579" s="196" t="s">
        <v>3303</v>
      </c>
      <c r="K579" s="196" t="s">
        <v>1881</v>
      </c>
      <c r="L579" s="141" t="s">
        <v>3315</v>
      </c>
      <c r="M579" s="196">
        <v>240</v>
      </c>
      <c r="N579" s="196"/>
      <c r="O579" s="196" t="s">
        <v>3274</v>
      </c>
      <c r="P579" s="144">
        <v>215</v>
      </c>
      <c r="Q579" s="145">
        <f t="shared" si="34"/>
        <v>1.7175</v>
      </c>
      <c r="R579" s="203">
        <v>0.25</v>
      </c>
      <c r="S579" s="203"/>
      <c r="T579" s="151"/>
      <c r="U579" s="151">
        <v>1.2</v>
      </c>
      <c r="V579" s="151">
        <v>0.25</v>
      </c>
      <c r="W579" s="151">
        <f t="shared" si="35"/>
        <v>0.25</v>
      </c>
      <c r="X579" s="152">
        <f t="shared" si="33"/>
        <v>1.7500000000000002E-2</v>
      </c>
      <c r="Y579" s="150">
        <f t="shared" si="32"/>
        <v>1.01</v>
      </c>
      <c r="Z579" s="152"/>
      <c r="AA579" s="148"/>
      <c r="AB579" s="148"/>
      <c r="AC579" s="153"/>
      <c r="AD579" s="153"/>
      <c r="AE579" s="153"/>
      <c r="AF579" s="153"/>
      <c r="AJ579" s="147"/>
    </row>
    <row r="580" spans="1:36" s="146" customFormat="1" x14ac:dyDescent="0.25">
      <c r="A580" s="196">
        <v>1315</v>
      </c>
      <c r="B580" s="196" t="s">
        <v>3316</v>
      </c>
      <c r="C580" s="196" t="s">
        <v>3317</v>
      </c>
      <c r="D580" s="196" t="s">
        <v>2257</v>
      </c>
      <c r="E580" s="196"/>
      <c r="F580" s="196">
        <v>2006</v>
      </c>
      <c r="G580" s="196"/>
      <c r="H580" s="196" t="s">
        <v>1878</v>
      </c>
      <c r="I580" s="141" t="s">
        <v>1879</v>
      </c>
      <c r="J580" s="143" t="s">
        <v>3318</v>
      </c>
      <c r="K580" s="196" t="s">
        <v>1881</v>
      </c>
      <c r="L580" s="141" t="s">
        <v>3319</v>
      </c>
      <c r="M580" s="196">
        <v>320</v>
      </c>
      <c r="N580" s="196"/>
      <c r="O580" s="196" t="s">
        <v>3275</v>
      </c>
      <c r="P580" s="144">
        <v>246</v>
      </c>
      <c r="Q580" s="145">
        <f t="shared" si="34"/>
        <v>2.2953000000000001</v>
      </c>
      <c r="R580" s="203">
        <v>0.79</v>
      </c>
      <c r="S580" s="203"/>
      <c r="T580" s="151"/>
      <c r="U580" s="151">
        <v>1.2</v>
      </c>
      <c r="V580" s="149">
        <v>0.25</v>
      </c>
      <c r="W580" s="151">
        <f t="shared" si="35"/>
        <v>0.79</v>
      </c>
      <c r="X580" s="152">
        <f t="shared" si="33"/>
        <v>5.5300000000000002E-2</v>
      </c>
      <c r="Y580" s="150">
        <f t="shared" si="32"/>
        <v>1.01</v>
      </c>
      <c r="Z580" s="152"/>
      <c r="AA580" s="148"/>
      <c r="AB580" s="148"/>
      <c r="AC580" s="153"/>
      <c r="AD580" s="153"/>
      <c r="AE580" s="153"/>
      <c r="AF580" s="153"/>
      <c r="AJ580" s="147"/>
    </row>
    <row r="581" spans="1:36" s="146" customFormat="1" x14ac:dyDescent="0.25">
      <c r="A581" s="196">
        <v>796</v>
      </c>
      <c r="B581" s="196" t="s">
        <v>3320</v>
      </c>
      <c r="C581" s="196" t="s">
        <v>3321</v>
      </c>
      <c r="D581" s="196" t="s">
        <v>2209</v>
      </c>
      <c r="E581" s="196" t="s">
        <v>1877</v>
      </c>
      <c r="F581" s="196">
        <v>2011</v>
      </c>
      <c r="G581" s="196"/>
      <c r="H581" s="196" t="s">
        <v>1878</v>
      </c>
      <c r="I581" s="141" t="s">
        <v>1879</v>
      </c>
      <c r="J581" s="196" t="s">
        <v>3303</v>
      </c>
      <c r="K581" s="196" t="s">
        <v>1881</v>
      </c>
      <c r="L581" s="141" t="s">
        <v>3322</v>
      </c>
      <c r="M581" s="196">
        <v>544</v>
      </c>
      <c r="N581" s="196"/>
      <c r="O581" s="196" t="s">
        <v>3276</v>
      </c>
      <c r="P581" s="144">
        <v>443</v>
      </c>
      <c r="Q581" s="145">
        <f t="shared" si="34"/>
        <v>1.7175</v>
      </c>
      <c r="R581" s="203">
        <v>0.25</v>
      </c>
      <c r="S581" s="203"/>
      <c r="T581" s="151"/>
      <c r="U581" s="151">
        <v>1.2</v>
      </c>
      <c r="V581" s="151">
        <v>0.25</v>
      </c>
      <c r="W581" s="151">
        <f t="shared" si="35"/>
        <v>0.25</v>
      </c>
      <c r="X581" s="152">
        <f t="shared" si="33"/>
        <v>1.7500000000000002E-2</v>
      </c>
      <c r="Y581" s="150">
        <f t="shared" si="32"/>
        <v>1.01</v>
      </c>
      <c r="Z581" s="152"/>
      <c r="AA581" s="148"/>
      <c r="AB581" s="148"/>
      <c r="AC581" s="153"/>
      <c r="AD581" s="153"/>
      <c r="AE581" s="153"/>
      <c r="AF581" s="153"/>
      <c r="AJ581" s="147"/>
    </row>
    <row r="582" spans="1:36" s="146" customFormat="1" x14ac:dyDescent="0.25">
      <c r="A582" s="196">
        <v>690</v>
      </c>
      <c r="B582" s="196" t="s">
        <v>3323</v>
      </c>
      <c r="C582" s="196" t="s">
        <v>3324</v>
      </c>
      <c r="D582" s="196" t="s">
        <v>2530</v>
      </c>
      <c r="E582" s="196"/>
      <c r="F582" s="196">
        <v>2003</v>
      </c>
      <c r="G582" s="196"/>
      <c r="H582" s="196" t="s">
        <v>2963</v>
      </c>
      <c r="I582" s="141" t="s">
        <v>1879</v>
      </c>
      <c r="J582" s="196" t="s">
        <v>2237</v>
      </c>
      <c r="K582" s="196" t="s">
        <v>1881</v>
      </c>
      <c r="L582" s="141" t="s">
        <v>3325</v>
      </c>
      <c r="M582" s="196">
        <v>162</v>
      </c>
      <c r="N582" s="196"/>
      <c r="O582" s="196" t="s">
        <v>3277</v>
      </c>
      <c r="P582" s="144">
        <v>293</v>
      </c>
      <c r="Q582" s="145">
        <f t="shared" si="34"/>
        <v>2.2953000000000001</v>
      </c>
      <c r="R582" s="203">
        <v>0.79</v>
      </c>
      <c r="S582" s="203"/>
      <c r="T582" s="151"/>
      <c r="U582" s="151">
        <v>1.2</v>
      </c>
      <c r="V582" s="149">
        <v>0.25</v>
      </c>
      <c r="W582" s="151">
        <f t="shared" si="35"/>
        <v>0.79</v>
      </c>
      <c r="X582" s="152">
        <f t="shared" si="33"/>
        <v>5.5300000000000002E-2</v>
      </c>
      <c r="Y582" s="150">
        <f t="shared" si="32"/>
        <v>1.01</v>
      </c>
      <c r="Z582" s="152"/>
      <c r="AA582" s="148"/>
      <c r="AB582" s="148"/>
      <c r="AC582" s="153"/>
      <c r="AD582" s="153"/>
      <c r="AE582" s="153"/>
      <c r="AF582" s="153"/>
      <c r="AJ582" s="147"/>
    </row>
    <row r="583" spans="1:36" s="146" customFormat="1" x14ac:dyDescent="0.25">
      <c r="A583" s="196">
        <v>632</v>
      </c>
      <c r="B583" s="196" t="s">
        <v>3326</v>
      </c>
      <c r="C583" s="196" t="s">
        <v>3327</v>
      </c>
      <c r="D583" s="196" t="s">
        <v>2209</v>
      </c>
      <c r="E583" s="196" t="s">
        <v>2032</v>
      </c>
      <c r="F583" s="196">
        <v>1988</v>
      </c>
      <c r="G583" s="196"/>
      <c r="H583" s="196" t="s">
        <v>1878</v>
      </c>
      <c r="I583" s="141" t="s">
        <v>1879</v>
      </c>
      <c r="J583" s="196" t="s">
        <v>3328</v>
      </c>
      <c r="K583" s="196" t="s">
        <v>1881</v>
      </c>
      <c r="L583" s="141" t="s">
        <v>3329</v>
      </c>
      <c r="M583" s="196">
        <v>384</v>
      </c>
      <c r="N583" s="196"/>
      <c r="O583" s="196" t="s">
        <v>3278</v>
      </c>
      <c r="P583" s="144">
        <v>208</v>
      </c>
      <c r="Q583" s="145">
        <f t="shared" si="34"/>
        <v>1.8673</v>
      </c>
      <c r="R583" s="203">
        <v>0.39</v>
      </c>
      <c r="S583" s="203"/>
      <c r="T583" s="151"/>
      <c r="U583" s="151">
        <v>1.2</v>
      </c>
      <c r="V583" s="151">
        <v>0.25</v>
      </c>
      <c r="W583" s="151">
        <f t="shared" si="35"/>
        <v>0.39</v>
      </c>
      <c r="X583" s="152">
        <f t="shared" si="33"/>
        <v>2.7300000000000001E-2</v>
      </c>
      <c r="Y583" s="150">
        <f t="shared" si="32"/>
        <v>1.01</v>
      </c>
      <c r="Z583" s="152"/>
      <c r="AA583" s="148"/>
      <c r="AB583" s="148"/>
      <c r="AC583" s="153"/>
      <c r="AD583" s="153"/>
      <c r="AE583" s="153"/>
      <c r="AF583" s="153"/>
      <c r="AJ583" s="147"/>
    </row>
    <row r="584" spans="1:36" s="146" customFormat="1" x14ac:dyDescent="0.25">
      <c r="A584" s="196">
        <v>796</v>
      </c>
      <c r="B584" s="196" t="s">
        <v>3330</v>
      </c>
      <c r="C584" s="196" t="s">
        <v>3331</v>
      </c>
      <c r="D584" s="196" t="s">
        <v>3332</v>
      </c>
      <c r="E584" s="196"/>
      <c r="F584" s="196"/>
      <c r="G584" s="196"/>
      <c r="H584" s="196" t="s">
        <v>2963</v>
      </c>
      <c r="I584" s="141" t="s">
        <v>1879</v>
      </c>
      <c r="J584" s="196" t="s">
        <v>2237</v>
      </c>
      <c r="K584" s="196" t="s">
        <v>1881</v>
      </c>
      <c r="L584" s="141" t="s">
        <v>3333</v>
      </c>
      <c r="M584" s="196">
        <v>290</v>
      </c>
      <c r="N584" s="196"/>
      <c r="O584" s="196" t="s">
        <v>3279</v>
      </c>
      <c r="P584" s="144">
        <v>424</v>
      </c>
      <c r="Q584" s="145">
        <f t="shared" si="34"/>
        <v>1.9315</v>
      </c>
      <c r="R584" s="203">
        <v>0.45</v>
      </c>
      <c r="S584" s="203"/>
      <c r="T584" s="151"/>
      <c r="U584" s="151">
        <v>1.2</v>
      </c>
      <c r="V584" s="149">
        <v>0.25</v>
      </c>
      <c r="W584" s="151">
        <f t="shared" si="35"/>
        <v>0.45</v>
      </c>
      <c r="X584" s="152">
        <f t="shared" si="33"/>
        <v>3.15E-2</v>
      </c>
      <c r="Y584" s="150">
        <f t="shared" si="32"/>
        <v>1.01</v>
      </c>
      <c r="Z584" s="152"/>
      <c r="AA584" s="148"/>
      <c r="AB584" s="148"/>
      <c r="AC584" s="153"/>
      <c r="AD584" s="153"/>
      <c r="AE584" s="153"/>
      <c r="AF584" s="153"/>
      <c r="AJ584" s="147"/>
    </row>
    <row r="585" spans="1:36" s="146" customFormat="1" x14ac:dyDescent="0.25">
      <c r="A585" s="196">
        <v>2952</v>
      </c>
      <c r="B585" s="196" t="s">
        <v>3334</v>
      </c>
      <c r="C585" s="196" t="s">
        <v>3335</v>
      </c>
      <c r="D585" s="196" t="s">
        <v>2209</v>
      </c>
      <c r="E585" s="196"/>
      <c r="F585" s="196">
        <v>2000</v>
      </c>
      <c r="G585" s="196"/>
      <c r="H585" s="196" t="s">
        <v>1878</v>
      </c>
      <c r="I585" s="141" t="s">
        <v>1879</v>
      </c>
      <c r="J585" s="196" t="s">
        <v>3336</v>
      </c>
      <c r="K585" s="196" t="s">
        <v>1881</v>
      </c>
      <c r="L585" s="141" t="s">
        <v>3337</v>
      </c>
      <c r="M585" s="196">
        <v>400</v>
      </c>
      <c r="N585" s="196"/>
      <c r="O585" s="196" t="s">
        <v>3280</v>
      </c>
      <c r="P585" s="144">
        <v>352</v>
      </c>
      <c r="Q585" s="145">
        <f t="shared" si="34"/>
        <v>1.7175</v>
      </c>
      <c r="R585" s="203">
        <v>0.25</v>
      </c>
      <c r="S585" s="203"/>
      <c r="T585" s="151"/>
      <c r="U585" s="151">
        <v>1.2</v>
      </c>
      <c r="V585" s="151">
        <v>0.25</v>
      </c>
      <c r="W585" s="151">
        <f t="shared" si="35"/>
        <v>0.25</v>
      </c>
      <c r="X585" s="152">
        <f t="shared" si="33"/>
        <v>1.7500000000000002E-2</v>
      </c>
      <c r="Y585" s="150">
        <f t="shared" si="32"/>
        <v>1.01</v>
      </c>
      <c r="Z585" s="152"/>
      <c r="AA585" s="148"/>
      <c r="AB585" s="148"/>
      <c r="AC585" s="153"/>
      <c r="AD585" s="153"/>
      <c r="AE585" s="153"/>
      <c r="AF585" s="153"/>
      <c r="AJ585" s="147"/>
    </row>
    <row r="586" spans="1:36" s="146" customFormat="1" x14ac:dyDescent="0.25">
      <c r="A586" s="196">
        <v>1304</v>
      </c>
      <c r="B586" s="196" t="s">
        <v>3338</v>
      </c>
      <c r="C586" s="196" t="s">
        <v>3339</v>
      </c>
      <c r="D586" s="196" t="s">
        <v>3116</v>
      </c>
      <c r="E586" s="196" t="s">
        <v>1877</v>
      </c>
      <c r="F586" s="196">
        <v>1996</v>
      </c>
      <c r="G586" s="196"/>
      <c r="H586" s="196" t="s">
        <v>2963</v>
      </c>
      <c r="I586" s="141" t="s">
        <v>1879</v>
      </c>
      <c r="J586" s="196" t="s">
        <v>2237</v>
      </c>
      <c r="K586" s="196" t="s">
        <v>1881</v>
      </c>
      <c r="L586" s="141" t="s">
        <v>3340</v>
      </c>
      <c r="M586" s="196">
        <v>122</v>
      </c>
      <c r="N586" s="196"/>
      <c r="O586" s="196" t="s">
        <v>3281</v>
      </c>
      <c r="P586" s="144">
        <v>239</v>
      </c>
      <c r="Q586" s="145">
        <f t="shared" si="34"/>
        <v>2.1882999999999995</v>
      </c>
      <c r="R586" s="203">
        <v>0.69</v>
      </c>
      <c r="S586" s="203"/>
      <c r="T586" s="151"/>
      <c r="U586" s="151">
        <v>1.2</v>
      </c>
      <c r="V586" s="149">
        <v>0.25</v>
      </c>
      <c r="W586" s="151">
        <f t="shared" si="35"/>
        <v>0.69</v>
      </c>
      <c r="X586" s="152">
        <f t="shared" si="33"/>
        <v>4.8299999999999996E-2</v>
      </c>
      <c r="Y586" s="150">
        <f t="shared" si="32"/>
        <v>1.01</v>
      </c>
      <c r="Z586" s="152"/>
      <c r="AA586" s="148"/>
      <c r="AB586" s="148"/>
      <c r="AC586" s="153"/>
      <c r="AD586" s="153"/>
      <c r="AE586" s="153"/>
      <c r="AF586" s="153"/>
      <c r="AJ586" s="147"/>
    </row>
    <row r="587" spans="1:36" s="146" customFormat="1" x14ac:dyDescent="0.25">
      <c r="A587" s="196">
        <v>1315</v>
      </c>
      <c r="B587" s="196" t="s">
        <v>2784</v>
      </c>
      <c r="C587" s="196" t="s">
        <v>3341</v>
      </c>
      <c r="D587" s="196" t="s">
        <v>3342</v>
      </c>
      <c r="E587" s="196" t="s">
        <v>1899</v>
      </c>
      <c r="F587" s="196">
        <v>1999</v>
      </c>
      <c r="G587" s="196"/>
      <c r="H587" s="196" t="s">
        <v>2963</v>
      </c>
      <c r="I587" s="141" t="s">
        <v>1879</v>
      </c>
      <c r="J587" s="196" t="s">
        <v>3303</v>
      </c>
      <c r="K587" s="196" t="s">
        <v>1881</v>
      </c>
      <c r="L587" s="141" t="s">
        <v>3343</v>
      </c>
      <c r="M587" s="196">
        <v>226</v>
      </c>
      <c r="N587" s="196"/>
      <c r="O587" s="196" t="s">
        <v>3282</v>
      </c>
      <c r="P587" s="144">
        <v>415</v>
      </c>
      <c r="Q587" s="145">
        <f t="shared" si="34"/>
        <v>2.2953000000000001</v>
      </c>
      <c r="R587" s="203">
        <v>0.79</v>
      </c>
      <c r="S587" s="203"/>
      <c r="T587" s="151"/>
      <c r="U587" s="151">
        <v>1.2</v>
      </c>
      <c r="V587" s="151">
        <v>0.25</v>
      </c>
      <c r="W587" s="151">
        <f t="shared" si="35"/>
        <v>0.79</v>
      </c>
      <c r="X587" s="152">
        <f t="shared" si="33"/>
        <v>5.5300000000000002E-2</v>
      </c>
      <c r="Y587" s="150">
        <f t="shared" si="32"/>
        <v>1.01</v>
      </c>
      <c r="Z587" s="152"/>
      <c r="AA587" s="148"/>
      <c r="AB587" s="148"/>
      <c r="AC587" s="153"/>
      <c r="AD587" s="153"/>
      <c r="AE587" s="153"/>
      <c r="AF587" s="153"/>
      <c r="AJ587" s="147"/>
    </row>
    <row r="588" spans="1:36" s="146" customFormat="1" x14ac:dyDescent="0.25">
      <c r="A588" s="196">
        <v>1315</v>
      </c>
      <c r="B588" s="196" t="s">
        <v>3344</v>
      </c>
      <c r="C588" s="196" t="s">
        <v>3345</v>
      </c>
      <c r="D588" s="196" t="s">
        <v>3116</v>
      </c>
      <c r="E588" s="196" t="s">
        <v>1913</v>
      </c>
      <c r="F588" s="196">
        <v>2000</v>
      </c>
      <c r="G588" s="196"/>
      <c r="H588" s="196" t="s">
        <v>2314</v>
      </c>
      <c r="I588" s="141" t="s">
        <v>1879</v>
      </c>
      <c r="J588" s="196"/>
      <c r="K588" s="196" t="s">
        <v>1881</v>
      </c>
      <c r="L588" s="141" t="s">
        <v>3346</v>
      </c>
      <c r="M588" s="196">
        <v>192</v>
      </c>
      <c r="N588" s="196"/>
      <c r="O588" s="196" t="s">
        <v>3283</v>
      </c>
      <c r="P588" s="144">
        <v>304</v>
      </c>
      <c r="Q588" s="145">
        <f t="shared" si="34"/>
        <v>2.5093000000000001</v>
      </c>
      <c r="R588" s="203">
        <v>0.99</v>
      </c>
      <c r="S588" s="203"/>
      <c r="T588" s="151"/>
      <c r="U588" s="151">
        <v>1.2</v>
      </c>
      <c r="V588" s="149">
        <v>0.25</v>
      </c>
      <c r="W588" s="151">
        <f t="shared" si="35"/>
        <v>0.99</v>
      </c>
      <c r="X588" s="152">
        <f t="shared" si="33"/>
        <v>6.93E-2</v>
      </c>
      <c r="Y588" s="150">
        <f t="shared" si="32"/>
        <v>1.01</v>
      </c>
      <c r="Z588" s="152"/>
      <c r="AA588" s="148"/>
      <c r="AB588" s="148"/>
      <c r="AC588" s="153"/>
      <c r="AD588" s="153"/>
      <c r="AE588" s="153"/>
      <c r="AF588" s="153"/>
      <c r="AJ588" s="147"/>
    </row>
    <row r="589" spans="1:36" s="146" customFormat="1" x14ac:dyDescent="0.25">
      <c r="A589" s="196">
        <v>1395</v>
      </c>
      <c r="B589" s="196" t="s">
        <v>3347</v>
      </c>
      <c r="C589" s="196" t="s">
        <v>3348</v>
      </c>
      <c r="D589" s="196" t="s">
        <v>2300</v>
      </c>
      <c r="E589" s="196" t="s">
        <v>1899</v>
      </c>
      <c r="F589" s="196">
        <v>2009</v>
      </c>
      <c r="G589" s="196"/>
      <c r="H589" s="196" t="s">
        <v>1878</v>
      </c>
      <c r="I589" s="141" t="s">
        <v>1879</v>
      </c>
      <c r="J589" s="196" t="s">
        <v>2237</v>
      </c>
      <c r="K589" s="196" t="s">
        <v>1881</v>
      </c>
      <c r="L589" s="141" t="s">
        <v>3349</v>
      </c>
      <c r="M589" s="196">
        <v>304</v>
      </c>
      <c r="N589" s="196"/>
      <c r="O589" s="196" t="s">
        <v>3284</v>
      </c>
      <c r="P589" s="144">
        <v>251</v>
      </c>
      <c r="Q589" s="145">
        <f t="shared" si="34"/>
        <v>1.7175</v>
      </c>
      <c r="R589" s="203">
        <v>0.25</v>
      </c>
      <c r="S589" s="203"/>
      <c r="T589" s="151"/>
      <c r="U589" s="151">
        <v>1.2</v>
      </c>
      <c r="V589" s="151">
        <v>0.25</v>
      </c>
      <c r="W589" s="151">
        <f t="shared" si="35"/>
        <v>0.25</v>
      </c>
      <c r="X589" s="152">
        <f t="shared" si="33"/>
        <v>1.7500000000000002E-2</v>
      </c>
      <c r="Y589" s="150">
        <f t="shared" si="32"/>
        <v>1.01</v>
      </c>
      <c r="Z589" s="152"/>
      <c r="AA589" s="148"/>
      <c r="AB589" s="148"/>
      <c r="AC589" s="153"/>
      <c r="AD589" s="153"/>
      <c r="AE589" s="153"/>
      <c r="AF589" s="153"/>
      <c r="AJ589" s="147"/>
    </row>
    <row r="590" spans="1:36" s="146" customFormat="1" x14ac:dyDescent="0.25">
      <c r="A590" s="196">
        <v>1809</v>
      </c>
      <c r="B590" s="196" t="s">
        <v>3350</v>
      </c>
      <c r="C590" s="196" t="s">
        <v>3351</v>
      </c>
      <c r="D590" s="196" t="s">
        <v>3116</v>
      </c>
      <c r="E590" s="196" t="s">
        <v>1913</v>
      </c>
      <c r="F590" s="196">
        <v>2005</v>
      </c>
      <c r="G590" s="196"/>
      <c r="H590" s="196" t="s">
        <v>2963</v>
      </c>
      <c r="I590" s="141" t="s">
        <v>1929</v>
      </c>
      <c r="J590" s="196"/>
      <c r="K590" s="196" t="s">
        <v>1881</v>
      </c>
      <c r="L590" s="141" t="s">
        <v>3352</v>
      </c>
      <c r="M590" s="196">
        <v>154</v>
      </c>
      <c r="N590" s="196"/>
      <c r="O590" s="196" t="s">
        <v>3285</v>
      </c>
      <c r="P590" s="144">
        <v>273</v>
      </c>
      <c r="Q590" s="145">
        <f t="shared" si="34"/>
        <v>2.0813000000000001</v>
      </c>
      <c r="R590" s="203">
        <v>0.59</v>
      </c>
      <c r="S590" s="203"/>
      <c r="T590" s="151"/>
      <c r="U590" s="151">
        <v>1.2</v>
      </c>
      <c r="V590" s="149">
        <v>0.25</v>
      </c>
      <c r="W590" s="151">
        <f t="shared" si="35"/>
        <v>0.59</v>
      </c>
      <c r="X590" s="152">
        <f t="shared" si="33"/>
        <v>4.1299999999999996E-2</v>
      </c>
      <c r="Y590" s="150">
        <f t="shared" si="32"/>
        <v>1.01</v>
      </c>
      <c r="Z590" s="152"/>
      <c r="AA590" s="148"/>
      <c r="AB590" s="148"/>
      <c r="AC590" s="153"/>
      <c r="AD590" s="153"/>
      <c r="AE590" s="153"/>
      <c r="AF590" s="153"/>
      <c r="AJ590" s="147"/>
    </row>
    <row r="591" spans="1:36" s="146" customFormat="1" x14ac:dyDescent="0.25">
      <c r="A591" s="196">
        <v>1386</v>
      </c>
      <c r="B591" s="196" t="s">
        <v>3353</v>
      </c>
      <c r="C591" s="196" t="s">
        <v>3354</v>
      </c>
      <c r="D591" s="196" t="s">
        <v>2257</v>
      </c>
      <c r="E591" s="196"/>
      <c r="F591" s="196">
        <v>2007</v>
      </c>
      <c r="G591" s="196"/>
      <c r="H591" s="196" t="s">
        <v>1878</v>
      </c>
      <c r="I591" s="141" t="s">
        <v>1879</v>
      </c>
      <c r="J591" s="196" t="s">
        <v>3303</v>
      </c>
      <c r="K591" s="196" t="s">
        <v>1881</v>
      </c>
      <c r="L591" s="141" t="s">
        <v>3355</v>
      </c>
      <c r="M591" s="196">
        <v>384</v>
      </c>
      <c r="N591" s="196"/>
      <c r="O591" s="196" t="s">
        <v>3286</v>
      </c>
      <c r="P591" s="144">
        <v>343</v>
      </c>
      <c r="Q591" s="145">
        <f t="shared" si="34"/>
        <v>1.8244999999999998</v>
      </c>
      <c r="R591" s="203">
        <v>0.35</v>
      </c>
      <c r="S591" s="203"/>
      <c r="T591" s="151"/>
      <c r="U591" s="151">
        <v>1.2</v>
      </c>
      <c r="V591" s="151">
        <v>0.25</v>
      </c>
      <c r="W591" s="151">
        <f t="shared" si="35"/>
        <v>0.35</v>
      </c>
      <c r="X591" s="152">
        <f t="shared" si="33"/>
        <v>2.4499999999999997E-2</v>
      </c>
      <c r="Y591" s="150">
        <f t="shared" si="32"/>
        <v>1.01</v>
      </c>
      <c r="Z591" s="152"/>
      <c r="AA591" s="148"/>
      <c r="AB591" s="148"/>
      <c r="AC591" s="153"/>
      <c r="AD591" s="153"/>
      <c r="AE591" s="153"/>
      <c r="AF591" s="153"/>
      <c r="AJ591" s="147"/>
    </row>
    <row r="592" spans="1:36" s="146" customFormat="1" x14ac:dyDescent="0.25">
      <c r="A592" s="196">
        <v>2522</v>
      </c>
      <c r="B592" s="196" t="s">
        <v>3356</v>
      </c>
      <c r="C592" s="196" t="s">
        <v>3357</v>
      </c>
      <c r="D592" s="196" t="s">
        <v>2054</v>
      </c>
      <c r="E592" s="196"/>
      <c r="F592" s="196">
        <v>2009</v>
      </c>
      <c r="G592" s="196"/>
      <c r="H592" s="196" t="s">
        <v>1878</v>
      </c>
      <c r="I592" s="141" t="s">
        <v>1929</v>
      </c>
      <c r="J592" s="196"/>
      <c r="K592" s="196" t="s">
        <v>1881</v>
      </c>
      <c r="L592" s="141" t="s">
        <v>3358</v>
      </c>
      <c r="M592" s="196">
        <v>432</v>
      </c>
      <c r="N592" s="196"/>
      <c r="O592" s="196" t="s">
        <v>3287</v>
      </c>
      <c r="P592" s="144">
        <v>426</v>
      </c>
      <c r="Q592" s="145">
        <f t="shared" si="34"/>
        <v>2.4022999999999999</v>
      </c>
      <c r="R592" s="203">
        <v>0.89</v>
      </c>
      <c r="S592" s="203"/>
      <c r="T592" s="151"/>
      <c r="U592" s="151">
        <v>1.2</v>
      </c>
      <c r="V592" s="149">
        <v>0.25</v>
      </c>
      <c r="W592" s="151">
        <f t="shared" si="35"/>
        <v>0.89</v>
      </c>
      <c r="X592" s="152">
        <f t="shared" si="33"/>
        <v>6.2300000000000001E-2</v>
      </c>
      <c r="Y592" s="150">
        <f t="shared" si="32"/>
        <v>1.01</v>
      </c>
      <c r="Z592" s="152"/>
      <c r="AA592" s="148"/>
      <c r="AB592" s="148"/>
      <c r="AC592" s="153"/>
      <c r="AD592" s="153"/>
      <c r="AE592" s="153"/>
      <c r="AF592" s="153"/>
      <c r="AJ592" s="147"/>
    </row>
    <row r="593" spans="1:36" s="146" customFormat="1" x14ac:dyDescent="0.25">
      <c r="A593" s="196">
        <v>1386</v>
      </c>
      <c r="B593" s="196" t="s">
        <v>2242</v>
      </c>
      <c r="C593" s="196" t="s">
        <v>3359</v>
      </c>
      <c r="D593" s="196" t="s">
        <v>2609</v>
      </c>
      <c r="E593" s="196" t="s">
        <v>3360</v>
      </c>
      <c r="F593" s="196">
        <v>1995</v>
      </c>
      <c r="G593" s="196"/>
      <c r="H593" s="196" t="s">
        <v>1878</v>
      </c>
      <c r="I593" s="141" t="s">
        <v>1879</v>
      </c>
      <c r="J593" s="196" t="s">
        <v>3303</v>
      </c>
      <c r="K593" s="196" t="s">
        <v>1881</v>
      </c>
      <c r="L593" s="141" t="s">
        <v>3361</v>
      </c>
      <c r="M593" s="196">
        <v>768</v>
      </c>
      <c r="N593" s="196"/>
      <c r="O593" s="196" t="s">
        <v>3288</v>
      </c>
      <c r="P593" s="144">
        <v>482</v>
      </c>
      <c r="Q593" s="145">
        <f t="shared" si="34"/>
        <v>1.7175</v>
      </c>
      <c r="R593" s="203">
        <v>0.25</v>
      </c>
      <c r="S593" s="203"/>
      <c r="T593" s="151"/>
      <c r="U593" s="151">
        <v>1.2</v>
      </c>
      <c r="V593" s="151">
        <v>0.25</v>
      </c>
      <c r="W593" s="151">
        <f t="shared" si="35"/>
        <v>0.25</v>
      </c>
      <c r="X593" s="152">
        <f t="shared" si="33"/>
        <v>1.7500000000000002E-2</v>
      </c>
      <c r="Y593" s="150">
        <f t="shared" si="32"/>
        <v>1.01</v>
      </c>
      <c r="Z593" s="152"/>
      <c r="AA593" s="148"/>
      <c r="AB593" s="148"/>
      <c r="AC593" s="153"/>
      <c r="AD593" s="153"/>
      <c r="AE593" s="153"/>
      <c r="AF593" s="153"/>
      <c r="AJ593" s="147"/>
    </row>
    <row r="594" spans="1:36" s="146" customFormat="1" x14ac:dyDescent="0.25">
      <c r="A594" s="196">
        <v>2514</v>
      </c>
      <c r="B594" s="196" t="s">
        <v>3362</v>
      </c>
      <c r="C594" s="196" t="s">
        <v>3363</v>
      </c>
      <c r="D594" s="196" t="s">
        <v>3364</v>
      </c>
      <c r="E594" s="196"/>
      <c r="F594" s="196">
        <v>1998</v>
      </c>
      <c r="G594" s="196"/>
      <c r="H594" s="196" t="s">
        <v>2963</v>
      </c>
      <c r="I594" s="141" t="s">
        <v>1929</v>
      </c>
      <c r="J594" s="196"/>
      <c r="K594" s="196" t="s">
        <v>1881</v>
      </c>
      <c r="L594" s="141" t="s">
        <v>3365</v>
      </c>
      <c r="M594" s="196">
        <v>50</v>
      </c>
      <c r="N594" s="196"/>
      <c r="O594" s="196" t="s">
        <v>3289</v>
      </c>
      <c r="P594" s="144">
        <v>294</v>
      </c>
      <c r="Q594" s="145">
        <f t="shared" si="34"/>
        <v>2.8303000000000003</v>
      </c>
      <c r="R594" s="203">
        <v>1.29</v>
      </c>
      <c r="S594" s="203"/>
      <c r="T594" s="151"/>
      <c r="U594" s="151">
        <v>1.2</v>
      </c>
      <c r="V594" s="149">
        <v>0.25</v>
      </c>
      <c r="W594" s="151">
        <f t="shared" si="35"/>
        <v>1.29</v>
      </c>
      <c r="X594" s="152">
        <f t="shared" si="33"/>
        <v>9.0300000000000005E-2</v>
      </c>
      <c r="Y594" s="150">
        <f t="shared" si="32"/>
        <v>1.01</v>
      </c>
      <c r="Z594" s="152"/>
      <c r="AA594" s="148"/>
      <c r="AB594" s="148"/>
      <c r="AC594" s="153"/>
      <c r="AD594" s="153"/>
      <c r="AE594" s="153"/>
      <c r="AF594" s="153"/>
      <c r="AJ594" s="147"/>
    </row>
    <row r="595" spans="1:36" s="146" customFormat="1" x14ac:dyDescent="0.25">
      <c r="A595" s="196">
        <v>2522</v>
      </c>
      <c r="B595" s="196" t="s">
        <v>3369</v>
      </c>
      <c r="C595" s="196" t="s">
        <v>3370</v>
      </c>
      <c r="D595" s="196" t="s">
        <v>2209</v>
      </c>
      <c r="E595" s="196" t="s">
        <v>2175</v>
      </c>
      <c r="F595" s="196">
        <v>2000</v>
      </c>
      <c r="G595" s="196"/>
      <c r="H595" s="196" t="s">
        <v>2963</v>
      </c>
      <c r="I595" s="141" t="s">
        <v>1879</v>
      </c>
      <c r="J595" s="196" t="s">
        <v>3371</v>
      </c>
      <c r="K595" s="196" t="s">
        <v>1881</v>
      </c>
      <c r="L595" s="141"/>
      <c r="M595" s="196">
        <v>386</v>
      </c>
      <c r="N595" s="196"/>
      <c r="O595" s="196" t="s">
        <v>3290</v>
      </c>
      <c r="P595" s="144">
        <v>590</v>
      </c>
      <c r="Q595" s="145">
        <f t="shared" si="34"/>
        <v>2.2175000000000002</v>
      </c>
      <c r="R595" s="203">
        <v>0.25</v>
      </c>
      <c r="S595" s="203"/>
      <c r="T595" s="151"/>
      <c r="U595" s="151">
        <v>1.7</v>
      </c>
      <c r="V595" s="151">
        <v>0.25</v>
      </c>
      <c r="W595" s="151">
        <f t="shared" si="35"/>
        <v>0.25</v>
      </c>
      <c r="X595" s="152">
        <f t="shared" si="33"/>
        <v>1.7500000000000002E-2</v>
      </c>
      <c r="Y595" s="150">
        <f t="shared" si="32"/>
        <v>1.01</v>
      </c>
      <c r="Z595" s="152"/>
      <c r="AA595" s="148"/>
      <c r="AB595" s="148"/>
      <c r="AC595" s="153"/>
      <c r="AD595" s="153"/>
      <c r="AE595" s="153"/>
      <c r="AF595" s="153"/>
      <c r="AJ595" s="147"/>
    </row>
    <row r="596" spans="1:36" s="146" customFormat="1" x14ac:dyDescent="0.25">
      <c r="A596" s="196">
        <v>632</v>
      </c>
      <c r="B596" s="196" t="s">
        <v>3059</v>
      </c>
      <c r="C596" s="196" t="s">
        <v>3372</v>
      </c>
      <c r="D596" s="196" t="s">
        <v>2822</v>
      </c>
      <c r="E596" s="196"/>
      <c r="F596" s="196" t="s">
        <v>3373</v>
      </c>
      <c r="G596" s="196"/>
      <c r="H596" s="196" t="s">
        <v>2963</v>
      </c>
      <c r="I596" s="141" t="s">
        <v>1879</v>
      </c>
      <c r="J596" s="196" t="s">
        <v>3303</v>
      </c>
      <c r="K596" s="196" t="s">
        <v>1881</v>
      </c>
      <c r="L596" s="141" t="s">
        <v>3374</v>
      </c>
      <c r="M596" s="196">
        <v>674</v>
      </c>
      <c r="N596" s="196"/>
      <c r="O596" s="196" t="s">
        <v>3291</v>
      </c>
      <c r="P596" s="144">
        <v>812</v>
      </c>
      <c r="Q596" s="145">
        <f t="shared" si="34"/>
        <v>3.1162999999999998</v>
      </c>
      <c r="R596" s="203">
        <v>1.0900000000000001</v>
      </c>
      <c r="S596" s="203"/>
      <c r="T596" s="151"/>
      <c r="U596" s="151">
        <v>1.7</v>
      </c>
      <c r="V596" s="149">
        <v>0.25</v>
      </c>
      <c r="W596" s="151">
        <f t="shared" si="35"/>
        <v>1.0900000000000001</v>
      </c>
      <c r="X596" s="152">
        <f t="shared" si="33"/>
        <v>7.6300000000000007E-2</v>
      </c>
      <c r="Y596" s="150">
        <f t="shared" si="32"/>
        <v>1.01</v>
      </c>
      <c r="Z596" s="152"/>
      <c r="AA596" s="148"/>
      <c r="AB596" s="148"/>
      <c r="AC596" s="153"/>
      <c r="AD596" s="153"/>
      <c r="AE596" s="153"/>
      <c r="AF596" s="153"/>
      <c r="AJ596" s="147"/>
    </row>
    <row r="597" spans="1:36" s="146" customFormat="1" x14ac:dyDescent="0.25">
      <c r="A597" s="196">
        <v>1315</v>
      </c>
      <c r="B597" s="196" t="s">
        <v>3375</v>
      </c>
      <c r="C597" s="196" t="s">
        <v>3376</v>
      </c>
      <c r="D597" s="196" t="s">
        <v>3312</v>
      </c>
      <c r="E597" s="196"/>
      <c r="F597" s="196">
        <v>2008</v>
      </c>
      <c r="G597" s="196"/>
      <c r="H597" s="196" t="s">
        <v>2963</v>
      </c>
      <c r="I597" s="141" t="s">
        <v>1879</v>
      </c>
      <c r="J597" s="196" t="s">
        <v>2237</v>
      </c>
      <c r="K597" s="196" t="s">
        <v>1881</v>
      </c>
      <c r="L597" s="141" t="s">
        <v>3377</v>
      </c>
      <c r="M597" s="196">
        <v>258</v>
      </c>
      <c r="N597" s="196"/>
      <c r="O597" s="196" t="s">
        <v>3292</v>
      </c>
      <c r="P597" s="144">
        <v>471</v>
      </c>
      <c r="Q597" s="145">
        <f t="shared" si="34"/>
        <v>2.6162999999999998</v>
      </c>
      <c r="R597" s="203">
        <v>1.0900000000000001</v>
      </c>
      <c r="S597" s="203"/>
      <c r="T597" s="151"/>
      <c r="U597" s="151">
        <v>1.2</v>
      </c>
      <c r="V597" s="151">
        <v>0.25</v>
      </c>
      <c r="W597" s="151">
        <f t="shared" si="35"/>
        <v>1.0900000000000001</v>
      </c>
      <c r="X597" s="152">
        <f t="shared" si="33"/>
        <v>7.6300000000000007E-2</v>
      </c>
      <c r="Y597" s="150">
        <f t="shared" si="32"/>
        <v>1.01</v>
      </c>
      <c r="Z597" s="152"/>
      <c r="AA597" s="148"/>
      <c r="AB597" s="148"/>
      <c r="AC597" s="153"/>
      <c r="AD597" s="153"/>
      <c r="AE597" s="153"/>
      <c r="AF597" s="153"/>
      <c r="AJ597" s="147"/>
    </row>
    <row r="598" spans="1:36" s="146" customFormat="1" x14ac:dyDescent="0.25">
      <c r="A598" s="196">
        <v>2022</v>
      </c>
      <c r="B598" s="196" t="s">
        <v>3378</v>
      </c>
      <c r="C598" s="196" t="s">
        <v>3379</v>
      </c>
      <c r="D598" s="196" t="s">
        <v>3380</v>
      </c>
      <c r="E598" s="196" t="s">
        <v>1913</v>
      </c>
      <c r="F598" s="196">
        <v>1999</v>
      </c>
      <c r="G598" s="196"/>
      <c r="H598" s="196" t="s">
        <v>2963</v>
      </c>
      <c r="I598" s="141" t="s">
        <v>1929</v>
      </c>
      <c r="J598" s="196"/>
      <c r="K598" s="196" t="s">
        <v>1881</v>
      </c>
      <c r="L598" s="141" t="s">
        <v>3381</v>
      </c>
      <c r="M598" s="196">
        <v>182</v>
      </c>
      <c r="N598" s="196"/>
      <c r="O598" s="196" t="s">
        <v>3293</v>
      </c>
      <c r="P598" s="144">
        <v>311</v>
      </c>
      <c r="Q598" s="145">
        <f t="shared" si="34"/>
        <v>2.2953000000000001</v>
      </c>
      <c r="R598" s="203">
        <v>0.79</v>
      </c>
      <c r="S598" s="203"/>
      <c r="T598" s="151"/>
      <c r="U598" s="151">
        <v>1.2</v>
      </c>
      <c r="V598" s="149">
        <v>0.25</v>
      </c>
      <c r="W598" s="151">
        <f t="shared" si="35"/>
        <v>0.79</v>
      </c>
      <c r="X598" s="152">
        <f t="shared" si="33"/>
        <v>5.5300000000000002E-2</v>
      </c>
      <c r="Y598" s="150">
        <f t="shared" si="32"/>
        <v>1.01</v>
      </c>
      <c r="Z598" s="152"/>
      <c r="AA598" s="148"/>
      <c r="AB598" s="148"/>
      <c r="AC598" s="153"/>
      <c r="AD598" s="153"/>
      <c r="AE598" s="153"/>
      <c r="AF598" s="153"/>
      <c r="AJ598" s="147"/>
    </row>
    <row r="599" spans="1:36" s="146" customFormat="1" x14ac:dyDescent="0.25">
      <c r="A599" s="196">
        <v>796</v>
      </c>
      <c r="B599" s="196" t="s">
        <v>3382</v>
      </c>
      <c r="C599" s="196" t="s">
        <v>3383</v>
      </c>
      <c r="D599" s="196" t="s">
        <v>1876</v>
      </c>
      <c r="E599" s="196"/>
      <c r="F599" s="196">
        <v>2016</v>
      </c>
      <c r="G599" s="196"/>
      <c r="H599" s="196" t="s">
        <v>1878</v>
      </c>
      <c r="I599" s="141" t="s">
        <v>1879</v>
      </c>
      <c r="J599" s="196" t="s">
        <v>3384</v>
      </c>
      <c r="K599" s="196" t="s">
        <v>1881</v>
      </c>
      <c r="L599" s="141" t="s">
        <v>3385</v>
      </c>
      <c r="M599" s="196">
        <v>304</v>
      </c>
      <c r="N599" s="196"/>
      <c r="O599" s="196" t="s">
        <v>3294</v>
      </c>
      <c r="P599" s="144">
        <v>293</v>
      </c>
      <c r="Q599" s="145">
        <f t="shared" si="34"/>
        <v>2.0813000000000001</v>
      </c>
      <c r="R599" s="203">
        <v>0.59</v>
      </c>
      <c r="S599" s="203"/>
      <c r="T599" s="151"/>
      <c r="U599" s="151">
        <v>1.2</v>
      </c>
      <c r="V599" s="151">
        <v>0.25</v>
      </c>
      <c r="W599" s="151">
        <f t="shared" si="35"/>
        <v>0.59</v>
      </c>
      <c r="X599" s="152">
        <f t="shared" si="33"/>
        <v>4.1299999999999996E-2</v>
      </c>
      <c r="Y599" s="150">
        <f t="shared" si="32"/>
        <v>1.01</v>
      </c>
      <c r="Z599" s="152"/>
      <c r="AA599" s="148"/>
      <c r="AB599" s="148"/>
      <c r="AC599" s="153"/>
      <c r="AD599" s="153"/>
      <c r="AE599" s="153"/>
      <c r="AF599" s="153"/>
      <c r="AJ599" s="147"/>
    </row>
    <row r="600" spans="1:36" s="146" customFormat="1" x14ac:dyDescent="0.25">
      <c r="A600" s="196">
        <v>1395</v>
      </c>
      <c r="B600" s="196" t="s">
        <v>3386</v>
      </c>
      <c r="C600" s="196" t="s">
        <v>3387</v>
      </c>
      <c r="D600" s="196" t="s">
        <v>3388</v>
      </c>
      <c r="E600" s="196"/>
      <c r="F600" s="196">
        <v>2012</v>
      </c>
      <c r="G600" s="196"/>
      <c r="H600" s="196" t="s">
        <v>2314</v>
      </c>
      <c r="I600" s="141" t="s">
        <v>1929</v>
      </c>
      <c r="J600" s="196"/>
      <c r="K600" s="196" t="s">
        <v>1881</v>
      </c>
      <c r="L600" s="141" t="s">
        <v>3389</v>
      </c>
      <c r="M600" s="196">
        <v>240</v>
      </c>
      <c r="N600" s="196"/>
      <c r="O600" s="196" t="s">
        <v>3295</v>
      </c>
      <c r="P600" s="144">
        <v>289</v>
      </c>
      <c r="Q600" s="145">
        <f t="shared" si="34"/>
        <v>3.4722999999999997</v>
      </c>
      <c r="R600" s="203">
        <v>1.89</v>
      </c>
      <c r="S600" s="203"/>
      <c r="T600" s="151"/>
      <c r="U600" s="151">
        <v>1.2</v>
      </c>
      <c r="V600" s="149">
        <v>0.25</v>
      </c>
      <c r="W600" s="151">
        <f t="shared" si="35"/>
        <v>1.89</v>
      </c>
      <c r="X600" s="152">
        <f t="shared" si="33"/>
        <v>0.1323</v>
      </c>
      <c r="Y600" s="150">
        <f t="shared" si="32"/>
        <v>1.01</v>
      </c>
      <c r="Z600" s="152"/>
      <c r="AA600" s="148"/>
      <c r="AB600" s="148"/>
      <c r="AC600" s="153"/>
      <c r="AD600" s="153"/>
      <c r="AE600" s="153"/>
      <c r="AF600" s="153"/>
      <c r="AJ600" s="147"/>
    </row>
    <row r="601" spans="1:36" s="146" customFormat="1" ht="105.6" x14ac:dyDescent="0.25">
      <c r="A601" s="196">
        <v>2522</v>
      </c>
      <c r="B601" s="196" t="s">
        <v>3390</v>
      </c>
      <c r="C601" s="196" t="s">
        <v>3391</v>
      </c>
      <c r="D601" s="196" t="s">
        <v>2257</v>
      </c>
      <c r="E601" s="196" t="s">
        <v>1921</v>
      </c>
      <c r="F601" s="196">
        <v>2007</v>
      </c>
      <c r="G601" s="196"/>
      <c r="H601" s="196" t="s">
        <v>1878</v>
      </c>
      <c r="I601" s="141" t="s">
        <v>1879</v>
      </c>
      <c r="J601" s="142" t="s">
        <v>3392</v>
      </c>
      <c r="K601" s="196" t="s">
        <v>1881</v>
      </c>
      <c r="L601" s="141" t="s">
        <v>3393</v>
      </c>
      <c r="M601" s="196">
        <v>480</v>
      </c>
      <c r="N601" s="196"/>
      <c r="O601" s="196" t="s">
        <v>3296</v>
      </c>
      <c r="P601" s="144">
        <v>317</v>
      </c>
      <c r="Q601" s="145">
        <f t="shared" si="34"/>
        <v>3.1513</v>
      </c>
      <c r="R601" s="203">
        <v>1.59</v>
      </c>
      <c r="S601" s="203"/>
      <c r="T601" s="151"/>
      <c r="U601" s="151">
        <v>1.2</v>
      </c>
      <c r="V601" s="151">
        <v>0.25</v>
      </c>
      <c r="W601" s="151">
        <f t="shared" si="35"/>
        <v>1.59</v>
      </c>
      <c r="X601" s="152">
        <f t="shared" si="33"/>
        <v>0.11130000000000001</v>
      </c>
      <c r="Y601" s="150">
        <f t="shared" si="32"/>
        <v>1.01</v>
      </c>
      <c r="Z601" s="152"/>
      <c r="AA601" s="148"/>
      <c r="AB601" s="148"/>
      <c r="AC601" s="153"/>
      <c r="AD601" s="153"/>
      <c r="AE601" s="153"/>
      <c r="AF601" s="153"/>
      <c r="AJ601" s="147"/>
    </row>
    <row r="602" spans="1:36" s="146" customFormat="1" x14ac:dyDescent="0.25">
      <c r="A602" s="196">
        <v>2522</v>
      </c>
      <c r="B602" s="196" t="s">
        <v>3394</v>
      </c>
      <c r="C602" s="196" t="s">
        <v>3395</v>
      </c>
      <c r="D602" s="196" t="s">
        <v>2424</v>
      </c>
      <c r="E602" s="196"/>
      <c r="F602" s="196">
        <v>2009</v>
      </c>
      <c r="G602" s="196"/>
      <c r="H602" s="196" t="s">
        <v>2963</v>
      </c>
      <c r="I602" s="141" t="s">
        <v>1929</v>
      </c>
      <c r="J602" s="196"/>
      <c r="K602" s="196" t="s">
        <v>1881</v>
      </c>
      <c r="L602" s="141" t="s">
        <v>3396</v>
      </c>
      <c r="M602" s="196">
        <v>258</v>
      </c>
      <c r="N602" s="196"/>
      <c r="O602" s="196" t="s">
        <v>3297</v>
      </c>
      <c r="P602" s="144">
        <v>453</v>
      </c>
      <c r="Q602" s="145">
        <f t="shared" si="34"/>
        <v>2.6162999999999998</v>
      </c>
      <c r="R602" s="203">
        <v>1.0900000000000001</v>
      </c>
      <c r="S602" s="203"/>
      <c r="T602" s="151"/>
      <c r="U602" s="151">
        <v>1.2</v>
      </c>
      <c r="V602" s="149">
        <v>0.25</v>
      </c>
      <c r="W602" s="151">
        <f t="shared" si="35"/>
        <v>1.0900000000000001</v>
      </c>
      <c r="X602" s="152">
        <f t="shared" si="33"/>
        <v>7.6300000000000007E-2</v>
      </c>
      <c r="Y602" s="150">
        <f t="shared" si="32"/>
        <v>1.01</v>
      </c>
      <c r="Z602" s="152"/>
      <c r="AA602" s="148"/>
      <c r="AB602" s="148"/>
      <c r="AC602" s="153"/>
      <c r="AD602" s="153"/>
      <c r="AE602" s="153"/>
      <c r="AF602" s="153"/>
      <c r="AJ602" s="147"/>
    </row>
    <row r="603" spans="1:36" s="146" customFormat="1" x14ac:dyDescent="0.25">
      <c r="A603" s="196">
        <v>852</v>
      </c>
      <c r="B603" s="196" t="s">
        <v>3397</v>
      </c>
      <c r="C603" s="196" t="s">
        <v>3398</v>
      </c>
      <c r="D603" s="196" t="s">
        <v>2257</v>
      </c>
      <c r="E603" s="196"/>
      <c r="F603" s="196">
        <v>2014</v>
      </c>
      <c r="G603" s="196"/>
      <c r="H603" s="196" t="s">
        <v>1878</v>
      </c>
      <c r="I603" s="141" t="s">
        <v>1879</v>
      </c>
      <c r="J603" s="196" t="s">
        <v>3303</v>
      </c>
      <c r="K603" s="196" t="s">
        <v>1881</v>
      </c>
      <c r="L603" s="141" t="s">
        <v>3399</v>
      </c>
      <c r="M603" s="196">
        <v>416</v>
      </c>
      <c r="N603" s="196"/>
      <c r="O603" s="196" t="s">
        <v>3298</v>
      </c>
      <c r="P603" s="144">
        <v>394</v>
      </c>
      <c r="Q603" s="145">
        <f t="shared" si="34"/>
        <v>2.1882999999999995</v>
      </c>
      <c r="R603" s="203">
        <v>0.69</v>
      </c>
      <c r="S603" s="203"/>
      <c r="T603" s="151"/>
      <c r="U603" s="151">
        <v>1.2</v>
      </c>
      <c r="V603" s="151">
        <v>0.25</v>
      </c>
      <c r="W603" s="151">
        <f t="shared" si="35"/>
        <v>0.69</v>
      </c>
      <c r="X603" s="152">
        <f t="shared" si="33"/>
        <v>4.8299999999999996E-2</v>
      </c>
      <c r="Y603" s="150">
        <f t="shared" si="32"/>
        <v>1.01</v>
      </c>
      <c r="Z603" s="152"/>
      <c r="AA603" s="148"/>
      <c r="AB603" s="148"/>
      <c r="AC603" s="153"/>
      <c r="AD603" s="153"/>
      <c r="AE603" s="153"/>
      <c r="AF603" s="153"/>
      <c r="AJ603" s="147"/>
    </row>
    <row r="604" spans="1:36" s="146" customFormat="1" x14ac:dyDescent="0.25">
      <c r="A604" s="196">
        <v>632</v>
      </c>
      <c r="B604" s="196" t="s">
        <v>3400</v>
      </c>
      <c r="C604" s="196" t="s">
        <v>3401</v>
      </c>
      <c r="D604" s="196" t="s">
        <v>2257</v>
      </c>
      <c r="E604" s="196"/>
      <c r="F604" s="196">
        <v>2010</v>
      </c>
      <c r="G604" s="196"/>
      <c r="H604" s="196" t="s">
        <v>1878</v>
      </c>
      <c r="I604" s="141" t="s">
        <v>1879</v>
      </c>
      <c r="J604" s="196" t="s">
        <v>3303</v>
      </c>
      <c r="K604" s="196" t="s">
        <v>1881</v>
      </c>
      <c r="L604" s="141" t="s">
        <v>3402</v>
      </c>
      <c r="M604" s="196">
        <v>782</v>
      </c>
      <c r="N604" s="196"/>
      <c r="O604" s="196" t="s">
        <v>3299</v>
      </c>
      <c r="P604" s="144">
        <v>586</v>
      </c>
      <c r="Q604" s="145">
        <f t="shared" si="34"/>
        <v>2.2603</v>
      </c>
      <c r="R604" s="203">
        <v>0.28999999999999998</v>
      </c>
      <c r="S604" s="203"/>
      <c r="T604" s="151"/>
      <c r="U604" s="151">
        <v>1.7</v>
      </c>
      <c r="V604" s="149">
        <v>0.25</v>
      </c>
      <c r="W604" s="151">
        <f t="shared" si="35"/>
        <v>0.28999999999999998</v>
      </c>
      <c r="X604" s="152">
        <f t="shared" si="33"/>
        <v>2.0299999999999999E-2</v>
      </c>
      <c r="Y604" s="150">
        <f t="shared" si="32"/>
        <v>1.01</v>
      </c>
      <c r="Z604" s="152"/>
      <c r="AA604" s="148"/>
      <c r="AB604" s="148"/>
      <c r="AC604" s="153"/>
      <c r="AD604" s="153"/>
      <c r="AE604" s="153"/>
      <c r="AF604" s="153"/>
      <c r="AJ604" s="147"/>
    </row>
    <row r="605" spans="1:36" s="146" customFormat="1" x14ac:dyDescent="0.25">
      <c r="A605" s="196">
        <v>1394</v>
      </c>
      <c r="B605" s="196" t="s">
        <v>3403</v>
      </c>
      <c r="C605" s="196" t="s">
        <v>3404</v>
      </c>
      <c r="D605" s="196" t="s">
        <v>1979</v>
      </c>
      <c r="E605" s="196"/>
      <c r="F605" s="196">
        <v>2006</v>
      </c>
      <c r="G605" s="196"/>
      <c r="H605" s="196" t="s">
        <v>1878</v>
      </c>
      <c r="I605" s="141" t="s">
        <v>1879</v>
      </c>
      <c r="J605" s="196" t="s">
        <v>3303</v>
      </c>
      <c r="K605" s="196" t="s">
        <v>1881</v>
      </c>
      <c r="L605" s="141" t="s">
        <v>3405</v>
      </c>
      <c r="M605" s="196">
        <v>120</v>
      </c>
      <c r="N605" s="196"/>
      <c r="O605" s="196" t="s">
        <v>3300</v>
      </c>
      <c r="P605" s="144">
        <v>191</v>
      </c>
      <c r="Q605" s="145">
        <f t="shared" si="34"/>
        <v>2.4022999999999999</v>
      </c>
      <c r="R605" s="203">
        <v>0.89</v>
      </c>
      <c r="S605" s="203"/>
      <c r="T605" s="151"/>
      <c r="U605" s="151">
        <v>1.2</v>
      </c>
      <c r="V605" s="151">
        <v>0.25</v>
      </c>
      <c r="W605" s="151">
        <f t="shared" si="35"/>
        <v>0.89</v>
      </c>
      <c r="X605" s="152">
        <f t="shared" si="33"/>
        <v>6.2300000000000001E-2</v>
      </c>
      <c r="Y605" s="150">
        <f t="shared" si="32"/>
        <v>1.01</v>
      </c>
      <c r="Z605" s="152"/>
      <c r="AA605" s="148"/>
      <c r="AB605" s="148"/>
      <c r="AC605" s="153"/>
      <c r="AD605" s="153"/>
      <c r="AE605" s="153"/>
      <c r="AF605" s="153"/>
      <c r="AJ605" s="147"/>
    </row>
    <row r="606" spans="1:36" s="146" customFormat="1" x14ac:dyDescent="0.25">
      <c r="A606" s="196">
        <v>2522</v>
      </c>
      <c r="B606" s="196" t="s">
        <v>3406</v>
      </c>
      <c r="C606" s="196" t="s">
        <v>3407</v>
      </c>
      <c r="D606" s="196" t="s">
        <v>2609</v>
      </c>
      <c r="E606" s="196"/>
      <c r="F606" s="196">
        <v>2012</v>
      </c>
      <c r="G606" s="196"/>
      <c r="H606" s="196" t="s">
        <v>2314</v>
      </c>
      <c r="I606" s="141" t="s">
        <v>1879</v>
      </c>
      <c r="J606" s="196" t="s">
        <v>3303</v>
      </c>
      <c r="K606" s="196" t="s">
        <v>1881</v>
      </c>
      <c r="L606" s="141"/>
      <c r="M606" s="196">
        <v>400</v>
      </c>
      <c r="N606" s="196"/>
      <c r="O606" s="196" t="s">
        <v>3366</v>
      </c>
      <c r="P606" s="144">
        <v>458</v>
      </c>
      <c r="Q606" s="145">
        <f t="shared" si="34"/>
        <v>1.7175</v>
      </c>
      <c r="R606" s="203">
        <v>0.25</v>
      </c>
      <c r="S606" s="203"/>
      <c r="T606" s="151"/>
      <c r="U606" s="151">
        <v>1.2</v>
      </c>
      <c r="V606" s="149">
        <v>0.25</v>
      </c>
      <c r="W606" s="151">
        <f t="shared" si="35"/>
        <v>0.25</v>
      </c>
      <c r="X606" s="152">
        <f t="shared" si="33"/>
        <v>1.7500000000000002E-2</v>
      </c>
      <c r="Y606" s="150">
        <f t="shared" si="32"/>
        <v>1.01</v>
      </c>
      <c r="Z606" s="152"/>
      <c r="AA606" s="148"/>
      <c r="AB606" s="148"/>
      <c r="AC606" s="153"/>
      <c r="AD606" s="153"/>
      <c r="AE606" s="153"/>
      <c r="AF606" s="153"/>
      <c r="AJ606" s="147"/>
    </row>
    <row r="607" spans="1:36" s="146" customFormat="1" x14ac:dyDescent="0.25">
      <c r="A607" s="196">
        <v>689</v>
      </c>
      <c r="B607" s="196" t="s">
        <v>3411</v>
      </c>
      <c r="C607" s="196" t="s">
        <v>3412</v>
      </c>
      <c r="D607" s="196" t="s">
        <v>3413</v>
      </c>
      <c r="E607" s="196"/>
      <c r="F607" s="196">
        <v>2009</v>
      </c>
      <c r="G607" s="196"/>
      <c r="H607" s="196" t="s">
        <v>2314</v>
      </c>
      <c r="I607" s="141" t="s">
        <v>1879</v>
      </c>
      <c r="J607" s="143" t="s">
        <v>3318</v>
      </c>
      <c r="K607" s="196" t="s">
        <v>1881</v>
      </c>
      <c r="L607" s="141" t="s">
        <v>3414</v>
      </c>
      <c r="M607" s="196">
        <v>400</v>
      </c>
      <c r="N607" s="196"/>
      <c r="O607" s="196" t="s">
        <v>3368</v>
      </c>
      <c r="P607" s="144">
        <v>347</v>
      </c>
      <c r="Q607" s="145">
        <f t="shared" si="34"/>
        <v>1.8673</v>
      </c>
      <c r="R607" s="203">
        <v>0.39</v>
      </c>
      <c r="S607" s="203"/>
      <c r="T607" s="151"/>
      <c r="U607" s="151">
        <v>1.2</v>
      </c>
      <c r="V607" s="151">
        <v>0.25</v>
      </c>
      <c r="W607" s="151">
        <f t="shared" si="35"/>
        <v>0.39</v>
      </c>
      <c r="X607" s="152">
        <f t="shared" si="33"/>
        <v>2.7300000000000001E-2</v>
      </c>
      <c r="Y607" s="150">
        <f t="shared" si="32"/>
        <v>1.01</v>
      </c>
      <c r="Z607" s="152"/>
      <c r="AA607" s="148"/>
      <c r="AB607" s="148"/>
      <c r="AC607" s="153"/>
      <c r="AD607" s="153"/>
      <c r="AE607" s="153"/>
      <c r="AF607" s="153"/>
      <c r="AJ607" s="147"/>
    </row>
    <row r="608" spans="1:36" s="146" customFormat="1" x14ac:dyDescent="0.25">
      <c r="A608" s="196">
        <v>1395</v>
      </c>
      <c r="B608" s="196" t="s">
        <v>3451</v>
      </c>
      <c r="C608" s="196" t="s">
        <v>3452</v>
      </c>
      <c r="D608" s="196" t="s">
        <v>1920</v>
      </c>
      <c r="E608" s="196" t="s">
        <v>1974</v>
      </c>
      <c r="F608" s="196">
        <v>1998</v>
      </c>
      <c r="G608" s="196"/>
      <c r="H608" s="196" t="s">
        <v>1878</v>
      </c>
      <c r="I608" s="141" t="s">
        <v>1879</v>
      </c>
      <c r="J608" s="196" t="s">
        <v>3453</v>
      </c>
      <c r="K608" s="196" t="s">
        <v>1881</v>
      </c>
      <c r="L608" s="141" t="s">
        <v>3454</v>
      </c>
      <c r="M608" s="196">
        <v>384</v>
      </c>
      <c r="N608" s="196"/>
      <c r="O608" s="196" t="s">
        <v>3416</v>
      </c>
      <c r="P608" s="144">
        <v>294</v>
      </c>
      <c r="Q608" s="145">
        <f t="shared" si="34"/>
        <v>1.7175</v>
      </c>
      <c r="R608" s="203">
        <v>0.25</v>
      </c>
      <c r="S608" s="203"/>
      <c r="T608" s="151"/>
      <c r="U608" s="151">
        <v>1.2</v>
      </c>
      <c r="V608" s="149">
        <v>0.25</v>
      </c>
      <c r="W608" s="151">
        <f t="shared" si="35"/>
        <v>0.25</v>
      </c>
      <c r="X608" s="152">
        <f t="shared" si="33"/>
        <v>1.7500000000000002E-2</v>
      </c>
      <c r="Y608" s="150">
        <f t="shared" si="32"/>
        <v>1.01</v>
      </c>
      <c r="Z608" s="152"/>
      <c r="AA608" s="148"/>
      <c r="AB608" s="148"/>
      <c r="AC608" s="153"/>
      <c r="AD608" s="153"/>
      <c r="AE608" s="153"/>
      <c r="AF608" s="153"/>
      <c r="AJ608" s="147"/>
    </row>
    <row r="609" spans="1:36" s="146" customFormat="1" x14ac:dyDescent="0.25">
      <c r="A609" s="196">
        <v>1320</v>
      </c>
      <c r="B609" s="196" t="s">
        <v>3455</v>
      </c>
      <c r="C609" s="196" t="s">
        <v>3456</v>
      </c>
      <c r="D609" s="196" t="s">
        <v>1979</v>
      </c>
      <c r="E609" s="196"/>
      <c r="F609" s="196">
        <v>1987</v>
      </c>
      <c r="G609" s="196"/>
      <c r="H609" s="196" t="s">
        <v>1878</v>
      </c>
      <c r="I609" s="141" t="s">
        <v>1879</v>
      </c>
      <c r="J609" s="196" t="s">
        <v>3453</v>
      </c>
      <c r="K609" s="196" t="s">
        <v>1881</v>
      </c>
      <c r="L609" s="141" t="s">
        <v>3457</v>
      </c>
      <c r="M609" s="196">
        <v>128</v>
      </c>
      <c r="N609" s="196"/>
      <c r="O609" s="196" t="s">
        <v>3417</v>
      </c>
      <c r="P609" s="144">
        <v>318</v>
      </c>
      <c r="Q609" s="145">
        <f t="shared" si="34"/>
        <v>1.7175</v>
      </c>
      <c r="R609" s="203">
        <v>0.25</v>
      </c>
      <c r="S609" s="203"/>
      <c r="T609" s="151"/>
      <c r="U609" s="151">
        <v>1.2</v>
      </c>
      <c r="V609" s="151">
        <v>0.25</v>
      </c>
      <c r="W609" s="151">
        <f t="shared" si="35"/>
        <v>0.25</v>
      </c>
      <c r="X609" s="152">
        <f t="shared" si="33"/>
        <v>1.7500000000000002E-2</v>
      </c>
      <c r="Y609" s="150">
        <f t="shared" si="32"/>
        <v>1.01</v>
      </c>
      <c r="Z609" s="152"/>
      <c r="AA609" s="148"/>
      <c r="AB609" s="148"/>
      <c r="AC609" s="153"/>
      <c r="AD609" s="153"/>
      <c r="AE609" s="153"/>
      <c r="AF609" s="153"/>
      <c r="AJ609" s="147"/>
    </row>
    <row r="610" spans="1:36" s="146" customFormat="1" x14ac:dyDescent="0.25">
      <c r="A610" s="196">
        <v>968</v>
      </c>
      <c r="B610" s="196" t="s">
        <v>3458</v>
      </c>
      <c r="C610" s="196" t="s">
        <v>3459</v>
      </c>
      <c r="D610" s="196" t="s">
        <v>3413</v>
      </c>
      <c r="E610" s="196"/>
      <c r="F610" s="196">
        <v>2012</v>
      </c>
      <c r="G610" s="196"/>
      <c r="H610" s="196" t="s">
        <v>1878</v>
      </c>
      <c r="I610" s="141" t="s">
        <v>1879</v>
      </c>
      <c r="J610" s="196" t="s">
        <v>2237</v>
      </c>
      <c r="K610" s="196" t="s">
        <v>2025</v>
      </c>
      <c r="L610" s="141" t="s">
        <v>3460</v>
      </c>
      <c r="M610" s="196">
        <v>570</v>
      </c>
      <c r="N610" s="196"/>
      <c r="O610" s="196" t="s">
        <v>3418</v>
      </c>
      <c r="P610" s="144">
        <v>450</v>
      </c>
      <c r="Q610" s="145">
        <f t="shared" si="34"/>
        <v>3.0442999999999998</v>
      </c>
      <c r="R610" s="203">
        <v>1.49</v>
      </c>
      <c r="S610" s="203"/>
      <c r="T610" s="151"/>
      <c r="U610" s="151">
        <v>1.2</v>
      </c>
      <c r="V610" s="149">
        <v>0.25</v>
      </c>
      <c r="W610" s="151">
        <f t="shared" si="35"/>
        <v>1.49</v>
      </c>
      <c r="X610" s="152">
        <f t="shared" si="33"/>
        <v>0.1043</v>
      </c>
      <c r="Y610" s="150">
        <f t="shared" si="32"/>
        <v>1.01</v>
      </c>
      <c r="Z610" s="152"/>
      <c r="AA610" s="148"/>
      <c r="AB610" s="148"/>
      <c r="AC610" s="153"/>
      <c r="AD610" s="153"/>
      <c r="AE610" s="153"/>
      <c r="AF610" s="153"/>
      <c r="AJ610" s="147"/>
    </row>
    <row r="611" spans="1:36" s="146" customFormat="1" x14ac:dyDescent="0.25">
      <c r="A611" s="196">
        <v>1030</v>
      </c>
      <c r="B611" s="196" t="s">
        <v>3461</v>
      </c>
      <c r="C611" s="196" t="s">
        <v>3462</v>
      </c>
      <c r="D611" s="196" t="s">
        <v>3463</v>
      </c>
      <c r="E611" s="196"/>
      <c r="F611" s="196">
        <v>1965</v>
      </c>
      <c r="G611" s="196"/>
      <c r="H611" s="196" t="s">
        <v>1878</v>
      </c>
      <c r="I611" s="141" t="s">
        <v>1879</v>
      </c>
      <c r="J611" s="196" t="s">
        <v>2237</v>
      </c>
      <c r="K611" s="196" t="s">
        <v>3464</v>
      </c>
      <c r="L611" s="141"/>
      <c r="M611" s="196">
        <v>124</v>
      </c>
      <c r="N611" s="196"/>
      <c r="O611" s="196" t="s">
        <v>3419</v>
      </c>
      <c r="P611" s="144">
        <v>164</v>
      </c>
      <c r="Q611" s="145">
        <f t="shared" si="34"/>
        <v>3.5792999999999999</v>
      </c>
      <c r="R611" s="203">
        <v>1.99</v>
      </c>
      <c r="S611" s="203"/>
      <c r="T611" s="151"/>
      <c r="U611" s="151">
        <v>1.2</v>
      </c>
      <c r="V611" s="151">
        <v>0.25</v>
      </c>
      <c r="W611" s="151">
        <f t="shared" si="35"/>
        <v>1.99</v>
      </c>
      <c r="X611" s="152">
        <f t="shared" si="33"/>
        <v>0.13930000000000001</v>
      </c>
      <c r="Y611" s="150">
        <f t="shared" si="32"/>
        <v>1.01</v>
      </c>
      <c r="Z611" s="152"/>
      <c r="AA611" s="148"/>
      <c r="AB611" s="148"/>
      <c r="AC611" s="153"/>
      <c r="AD611" s="153"/>
      <c r="AE611" s="153"/>
      <c r="AF611" s="153"/>
      <c r="AJ611" s="147"/>
    </row>
    <row r="612" spans="1:36" s="146" customFormat="1" x14ac:dyDescent="0.25">
      <c r="A612" s="196">
        <v>2547</v>
      </c>
      <c r="B612" s="196" t="s">
        <v>3465</v>
      </c>
      <c r="C612" s="196" t="s">
        <v>3466</v>
      </c>
      <c r="D612" s="196" t="s">
        <v>2232</v>
      </c>
      <c r="E612" s="196"/>
      <c r="F612" s="196">
        <v>1997</v>
      </c>
      <c r="G612" s="196"/>
      <c r="H612" s="196" t="s">
        <v>1878</v>
      </c>
      <c r="I612" s="141" t="s">
        <v>1879</v>
      </c>
      <c r="J612" s="196" t="s">
        <v>2237</v>
      </c>
      <c r="K612" s="196" t="s">
        <v>1881</v>
      </c>
      <c r="L612" s="141" t="s">
        <v>3467</v>
      </c>
      <c r="M612" s="196">
        <v>256</v>
      </c>
      <c r="N612" s="196"/>
      <c r="O612" s="196" t="s">
        <v>3420</v>
      </c>
      <c r="P612" s="144">
        <v>266</v>
      </c>
      <c r="Q612" s="145">
        <f t="shared" si="34"/>
        <v>1.7175</v>
      </c>
      <c r="R612" s="203">
        <v>0.25</v>
      </c>
      <c r="S612" s="203"/>
      <c r="T612" s="151"/>
      <c r="U612" s="151">
        <v>1.2</v>
      </c>
      <c r="V612" s="149">
        <v>0.25</v>
      </c>
      <c r="W612" s="151">
        <f t="shared" si="35"/>
        <v>0.25</v>
      </c>
      <c r="X612" s="152">
        <f t="shared" si="33"/>
        <v>1.7500000000000002E-2</v>
      </c>
      <c r="Y612" s="150">
        <f t="shared" si="32"/>
        <v>1.01</v>
      </c>
      <c r="Z612" s="152"/>
      <c r="AA612" s="148"/>
      <c r="AB612" s="148"/>
      <c r="AC612" s="153"/>
      <c r="AD612" s="153"/>
      <c r="AE612" s="153"/>
      <c r="AF612" s="153"/>
      <c r="AJ612" s="147"/>
    </row>
    <row r="613" spans="1:36" s="146" customFormat="1" x14ac:dyDescent="0.25">
      <c r="A613" s="196">
        <v>796</v>
      </c>
      <c r="B613" s="196" t="s">
        <v>3468</v>
      </c>
      <c r="C613" s="196" t="s">
        <v>3469</v>
      </c>
      <c r="D613" s="196" t="s">
        <v>3470</v>
      </c>
      <c r="E613" s="196"/>
      <c r="F613" s="196">
        <v>2006</v>
      </c>
      <c r="G613" s="196"/>
      <c r="H613" s="196" t="s">
        <v>1878</v>
      </c>
      <c r="I613" s="141" t="s">
        <v>1879</v>
      </c>
      <c r="J613" s="196" t="s">
        <v>3453</v>
      </c>
      <c r="K613" s="196" t="s">
        <v>1881</v>
      </c>
      <c r="L613" s="141" t="s">
        <v>3471</v>
      </c>
      <c r="M613" s="196">
        <v>192</v>
      </c>
      <c r="N613" s="196"/>
      <c r="O613" s="196" t="s">
        <v>3421</v>
      </c>
      <c r="P613" s="144">
        <v>207</v>
      </c>
      <c r="Q613" s="145">
        <f t="shared" si="34"/>
        <v>2.2953000000000001</v>
      </c>
      <c r="R613" s="203">
        <v>0.79</v>
      </c>
      <c r="S613" s="203"/>
      <c r="T613" s="151"/>
      <c r="U613" s="151">
        <v>1.2</v>
      </c>
      <c r="V613" s="151">
        <v>0.25</v>
      </c>
      <c r="W613" s="151">
        <f t="shared" si="35"/>
        <v>0.79</v>
      </c>
      <c r="X613" s="152">
        <f t="shared" si="33"/>
        <v>5.5300000000000002E-2</v>
      </c>
      <c r="Y613" s="150">
        <f t="shared" si="32"/>
        <v>1.01</v>
      </c>
      <c r="Z613" s="152"/>
      <c r="AA613" s="148"/>
      <c r="AB613" s="148"/>
      <c r="AC613" s="153"/>
      <c r="AD613" s="153"/>
      <c r="AE613" s="153"/>
      <c r="AF613" s="153"/>
      <c r="AJ613" s="147"/>
    </row>
    <row r="614" spans="1:36" s="146" customFormat="1" x14ac:dyDescent="0.25">
      <c r="A614" s="196">
        <v>631</v>
      </c>
      <c r="B614" s="196" t="s">
        <v>3472</v>
      </c>
      <c r="C614" s="196" t="s">
        <v>3473</v>
      </c>
      <c r="D614" s="196" t="s">
        <v>1912</v>
      </c>
      <c r="E614" s="196" t="s">
        <v>2375</v>
      </c>
      <c r="F614" s="196">
        <v>2012</v>
      </c>
      <c r="G614" s="196"/>
      <c r="H614" s="196" t="s">
        <v>1878</v>
      </c>
      <c r="I614" s="141" t="s">
        <v>1879</v>
      </c>
      <c r="J614" s="196" t="s">
        <v>3303</v>
      </c>
      <c r="K614" s="196" t="s">
        <v>1881</v>
      </c>
      <c r="L614" s="141" t="s">
        <v>3474</v>
      </c>
      <c r="M614" s="196">
        <v>608</v>
      </c>
      <c r="N614" s="196"/>
      <c r="O614" s="196" t="s">
        <v>3422</v>
      </c>
      <c r="P614" s="144">
        <v>626</v>
      </c>
      <c r="Q614" s="145">
        <f t="shared" si="34"/>
        <v>2.2175000000000002</v>
      </c>
      <c r="R614" s="203">
        <v>0.25</v>
      </c>
      <c r="S614" s="203"/>
      <c r="T614" s="151"/>
      <c r="U614" s="151">
        <v>1.7</v>
      </c>
      <c r="V614" s="149">
        <v>0.25</v>
      </c>
      <c r="W614" s="151">
        <f t="shared" si="35"/>
        <v>0.25</v>
      </c>
      <c r="X614" s="152">
        <f t="shared" si="33"/>
        <v>1.7500000000000002E-2</v>
      </c>
      <c r="Y614" s="150">
        <f t="shared" si="32"/>
        <v>1.01</v>
      </c>
      <c r="Z614" s="152"/>
      <c r="AA614" s="148"/>
      <c r="AB614" s="148"/>
      <c r="AC614" s="153"/>
      <c r="AD614" s="153"/>
      <c r="AE614" s="153"/>
      <c r="AF614" s="153"/>
      <c r="AJ614" s="147"/>
    </row>
    <row r="615" spans="1:36" x14ac:dyDescent="0.25">
      <c r="Y615" s="150">
        <f t="shared" si="32"/>
        <v>1.01</v>
      </c>
    </row>
    <row r="616" spans="1:36" s="146" customFormat="1" x14ac:dyDescent="0.25">
      <c r="A616" s="196">
        <v>718</v>
      </c>
      <c r="B616" s="196" t="s">
        <v>3479</v>
      </c>
      <c r="C616" s="196" t="s">
        <v>3480</v>
      </c>
      <c r="D616" s="196" t="s">
        <v>2068</v>
      </c>
      <c r="E616" s="196"/>
      <c r="F616" s="196">
        <v>2000</v>
      </c>
      <c r="G616" s="196"/>
      <c r="H616" s="196" t="s">
        <v>2295</v>
      </c>
      <c r="I616" s="141" t="s">
        <v>1879</v>
      </c>
      <c r="J616" s="196" t="s">
        <v>2237</v>
      </c>
      <c r="K616" s="196" t="s">
        <v>1881</v>
      </c>
      <c r="L616" s="141" t="s">
        <v>3481</v>
      </c>
      <c r="M616" s="196">
        <v>210</v>
      </c>
      <c r="N616" s="196"/>
      <c r="O616" s="196" t="s">
        <v>3424</v>
      </c>
      <c r="P616" s="144">
        <v>1044</v>
      </c>
      <c r="Q616" s="145">
        <f t="shared" si="34"/>
        <v>5.6343000000000005</v>
      </c>
      <c r="R616" s="203">
        <v>1.49</v>
      </c>
      <c r="S616" s="203"/>
      <c r="T616" s="151"/>
      <c r="U616" s="151">
        <v>3.79</v>
      </c>
      <c r="V616" s="149">
        <v>0.25</v>
      </c>
      <c r="W616" s="151">
        <f t="shared" si="35"/>
        <v>1.49</v>
      </c>
      <c r="X616" s="152">
        <f t="shared" si="33"/>
        <v>0.1043</v>
      </c>
      <c r="Y616" s="150">
        <f t="shared" si="32"/>
        <v>1.01</v>
      </c>
      <c r="Z616" s="152"/>
      <c r="AA616" s="148"/>
      <c r="AB616" s="148"/>
      <c r="AC616" s="153"/>
      <c r="AD616" s="153"/>
      <c r="AE616" s="153"/>
      <c r="AF616" s="153"/>
      <c r="AJ616" s="147"/>
    </row>
    <row r="617" spans="1:36" s="146" customFormat="1" x14ac:dyDescent="0.25">
      <c r="A617" s="196">
        <v>2707</v>
      </c>
      <c r="B617" s="196"/>
      <c r="C617" s="196" t="s">
        <v>3482</v>
      </c>
      <c r="D617" s="196" t="s">
        <v>2309</v>
      </c>
      <c r="E617" s="196"/>
      <c r="F617" s="196"/>
      <c r="G617" s="196"/>
      <c r="H617" s="196" t="s">
        <v>2295</v>
      </c>
      <c r="I617" s="141" t="s">
        <v>1879</v>
      </c>
      <c r="J617" s="196" t="s">
        <v>3453</v>
      </c>
      <c r="K617" s="196" t="s">
        <v>1881</v>
      </c>
      <c r="L617" s="141" t="s">
        <v>3483</v>
      </c>
      <c r="M617" s="196">
        <v>370</v>
      </c>
      <c r="N617" s="196"/>
      <c r="O617" s="196" t="s">
        <v>3425</v>
      </c>
      <c r="P617" s="144">
        <v>1640</v>
      </c>
      <c r="Q617" s="145">
        <f t="shared" si="34"/>
        <v>4.3075000000000001</v>
      </c>
      <c r="R617" s="203">
        <v>0.25</v>
      </c>
      <c r="S617" s="203"/>
      <c r="T617" s="151"/>
      <c r="U617" s="151">
        <v>3.79</v>
      </c>
      <c r="V617" s="151">
        <v>0.25</v>
      </c>
      <c r="W617" s="151">
        <f t="shared" si="35"/>
        <v>0.25</v>
      </c>
      <c r="X617" s="152">
        <f t="shared" si="33"/>
        <v>1.7500000000000002E-2</v>
      </c>
      <c r="Y617" s="150">
        <f t="shared" si="32"/>
        <v>1.01</v>
      </c>
      <c r="Z617" s="152"/>
      <c r="AA617" s="148"/>
      <c r="AB617" s="148"/>
      <c r="AC617" s="153"/>
      <c r="AD617" s="153"/>
      <c r="AE617" s="153"/>
      <c r="AF617" s="153"/>
      <c r="AJ617" s="147"/>
    </row>
    <row r="618" spans="1:36" s="146" customFormat="1" x14ac:dyDescent="0.25">
      <c r="A618" s="196">
        <v>735</v>
      </c>
      <c r="B618" s="196" t="s">
        <v>3484</v>
      </c>
      <c r="C618" s="196" t="s">
        <v>3485</v>
      </c>
      <c r="D618" s="196" t="s">
        <v>1912</v>
      </c>
      <c r="E618" s="196" t="s">
        <v>1913</v>
      </c>
      <c r="F618" s="196">
        <v>1989</v>
      </c>
      <c r="G618" s="196"/>
      <c r="H618" s="196" t="s">
        <v>1878</v>
      </c>
      <c r="I618" s="141" t="s">
        <v>1879</v>
      </c>
      <c r="J618" s="196" t="s">
        <v>3486</v>
      </c>
      <c r="K618" s="196" t="s">
        <v>1881</v>
      </c>
      <c r="L618" s="141" t="s">
        <v>3487</v>
      </c>
      <c r="M618" s="196">
        <v>160</v>
      </c>
      <c r="N618" s="196"/>
      <c r="O618" s="196" t="s">
        <v>3426</v>
      </c>
      <c r="P618" s="144">
        <v>103</v>
      </c>
      <c r="Q618" s="145">
        <f t="shared" si="34"/>
        <v>3.3653000000000004</v>
      </c>
      <c r="R618" s="203">
        <v>1.79</v>
      </c>
      <c r="S618" s="203"/>
      <c r="T618" s="151"/>
      <c r="U618" s="151">
        <v>1.2</v>
      </c>
      <c r="V618" s="149">
        <v>0.25</v>
      </c>
      <c r="W618" s="151">
        <f t="shared" si="35"/>
        <v>1.79</v>
      </c>
      <c r="X618" s="152">
        <f t="shared" si="33"/>
        <v>0.12529999999999999</v>
      </c>
      <c r="Y618" s="150">
        <f t="shared" si="32"/>
        <v>1.01</v>
      </c>
      <c r="Z618" s="152"/>
      <c r="AA618" s="148"/>
      <c r="AB618" s="148"/>
      <c r="AC618" s="153"/>
      <c r="AD618" s="153"/>
      <c r="AE618" s="153"/>
      <c r="AF618" s="153"/>
      <c r="AJ618" s="147"/>
    </row>
    <row r="619" spans="1:36" s="146" customFormat="1" x14ac:dyDescent="0.25">
      <c r="A619" s="196">
        <v>735</v>
      </c>
      <c r="B619" s="196" t="s">
        <v>3488</v>
      </c>
      <c r="C619" s="196" t="s">
        <v>3489</v>
      </c>
      <c r="D619" s="196" t="s">
        <v>1912</v>
      </c>
      <c r="E619" s="196" t="s">
        <v>1913</v>
      </c>
      <c r="F619" s="196">
        <v>1991</v>
      </c>
      <c r="G619" s="196"/>
      <c r="H619" s="196" t="s">
        <v>1878</v>
      </c>
      <c r="I619" s="141" t="s">
        <v>1879</v>
      </c>
      <c r="J619" s="196" t="s">
        <v>3486</v>
      </c>
      <c r="K619" s="196" t="s">
        <v>1881</v>
      </c>
      <c r="L619" s="141" t="s">
        <v>3490</v>
      </c>
      <c r="M619" s="196">
        <v>224</v>
      </c>
      <c r="N619" s="196"/>
      <c r="O619" s="196" t="s">
        <v>3427</v>
      </c>
      <c r="P619" s="144">
        <v>151</v>
      </c>
      <c r="Q619" s="145">
        <f t="shared" si="34"/>
        <v>33.539299999999997</v>
      </c>
      <c r="R619" s="203">
        <v>29.99</v>
      </c>
      <c r="S619" s="203"/>
      <c r="T619" s="151"/>
      <c r="U619" s="151">
        <v>1.2</v>
      </c>
      <c r="V619" s="151">
        <v>0.25</v>
      </c>
      <c r="W619" s="151">
        <f t="shared" si="35"/>
        <v>29.99</v>
      </c>
      <c r="X619" s="152">
        <f t="shared" si="33"/>
        <v>2.0992999999999999</v>
      </c>
      <c r="Y619" s="150">
        <f t="shared" si="32"/>
        <v>1.01</v>
      </c>
      <c r="Z619" s="152"/>
      <c r="AA619" s="148"/>
      <c r="AB619" s="148"/>
      <c r="AC619" s="153"/>
      <c r="AD619" s="153"/>
      <c r="AE619" s="153"/>
      <c r="AF619" s="153"/>
      <c r="AJ619" s="147"/>
    </row>
    <row r="620" spans="1:36" s="146" customFormat="1" x14ac:dyDescent="0.25">
      <c r="A620" s="196">
        <v>853</v>
      </c>
      <c r="B620" s="196"/>
      <c r="C620" s="196" t="s">
        <v>3491</v>
      </c>
      <c r="D620" s="196" t="s">
        <v>3492</v>
      </c>
      <c r="E620" s="196"/>
      <c r="F620" s="196">
        <v>1996</v>
      </c>
      <c r="G620" s="196"/>
      <c r="H620" s="196" t="s">
        <v>2217</v>
      </c>
      <c r="I620" s="141" t="s">
        <v>1879</v>
      </c>
      <c r="J620" s="196"/>
      <c r="K620" s="196" t="s">
        <v>1881</v>
      </c>
      <c r="L620" s="141" t="s">
        <v>3493</v>
      </c>
      <c r="M620" s="196">
        <v>30</v>
      </c>
      <c r="N620" s="196"/>
      <c r="O620" s="196" t="s">
        <v>3428</v>
      </c>
      <c r="P620" s="144">
        <v>88</v>
      </c>
      <c r="Q620" s="145">
        <f t="shared" si="34"/>
        <v>1.7175</v>
      </c>
      <c r="R620" s="203">
        <v>0.25</v>
      </c>
      <c r="S620" s="203"/>
      <c r="T620" s="151"/>
      <c r="U620" s="151">
        <v>1.2</v>
      </c>
      <c r="V620" s="149">
        <v>0.25</v>
      </c>
      <c r="W620" s="151">
        <f t="shared" si="35"/>
        <v>0.25</v>
      </c>
      <c r="X620" s="152">
        <f t="shared" si="33"/>
        <v>1.7500000000000002E-2</v>
      </c>
      <c r="Y620" s="150">
        <f t="shared" ref="Y620:Y683" si="36">(IF(Z620&gt;AA620,Z620,AA620)*0.08)+1.01</f>
        <v>1.01</v>
      </c>
      <c r="Z620" s="152"/>
      <c r="AA620" s="148"/>
      <c r="AB620" s="148"/>
      <c r="AC620" s="153"/>
      <c r="AD620" s="153"/>
      <c r="AE620" s="153"/>
      <c r="AF620" s="153"/>
      <c r="AJ620" s="147"/>
    </row>
    <row r="621" spans="1:36" s="146" customFormat="1" x14ac:dyDescent="0.25">
      <c r="A621" s="196">
        <v>2565</v>
      </c>
      <c r="B621" s="196" t="s">
        <v>3494</v>
      </c>
      <c r="C621" s="196" t="s">
        <v>3495</v>
      </c>
      <c r="D621" s="196" t="s">
        <v>2835</v>
      </c>
      <c r="E621" s="196" t="s">
        <v>2375</v>
      </c>
      <c r="F621" s="196">
        <v>1974</v>
      </c>
      <c r="G621" s="196"/>
      <c r="H621" s="196" t="s">
        <v>2008</v>
      </c>
      <c r="I621" s="141" t="s">
        <v>1879</v>
      </c>
      <c r="J621" s="196" t="s">
        <v>3496</v>
      </c>
      <c r="K621" s="196" t="s">
        <v>1881</v>
      </c>
      <c r="L621" s="141"/>
      <c r="M621" s="196">
        <v>176</v>
      </c>
      <c r="N621" s="196"/>
      <c r="O621" s="196" t="s">
        <v>3429</v>
      </c>
      <c r="P621" s="144">
        <v>123</v>
      </c>
      <c r="Q621" s="145">
        <f t="shared" si="34"/>
        <v>2.1882999999999995</v>
      </c>
      <c r="R621" s="203">
        <v>0.69</v>
      </c>
      <c r="S621" s="203"/>
      <c r="T621" s="151"/>
      <c r="U621" s="151">
        <v>1.2</v>
      </c>
      <c r="V621" s="151">
        <v>0.25</v>
      </c>
      <c r="W621" s="151">
        <f t="shared" si="35"/>
        <v>0.69</v>
      </c>
      <c r="X621" s="152">
        <f t="shared" ref="X621:X684" si="37">(T621+W621)/100*7</f>
        <v>4.8299999999999996E-2</v>
      </c>
      <c r="Y621" s="150">
        <f t="shared" si="36"/>
        <v>1.01</v>
      </c>
      <c r="Z621" s="152"/>
      <c r="AA621" s="148"/>
      <c r="AB621" s="148"/>
      <c r="AC621" s="153"/>
      <c r="AD621" s="153"/>
      <c r="AE621" s="153"/>
      <c r="AF621" s="153"/>
      <c r="AJ621" s="147"/>
    </row>
    <row r="622" spans="1:36" s="146" customFormat="1" x14ac:dyDescent="0.25">
      <c r="A622" s="196">
        <v>651</v>
      </c>
      <c r="B622" s="196" t="s">
        <v>3497</v>
      </c>
      <c r="C622" s="196" t="s">
        <v>3498</v>
      </c>
      <c r="D622" s="196" t="s">
        <v>3499</v>
      </c>
      <c r="E622" s="196"/>
      <c r="F622" s="196">
        <v>2000</v>
      </c>
      <c r="G622" s="196"/>
      <c r="H622" s="196" t="s">
        <v>1878</v>
      </c>
      <c r="I622" s="141" t="s">
        <v>1879</v>
      </c>
      <c r="J622" s="196" t="s">
        <v>2237</v>
      </c>
      <c r="K622" s="196" t="s">
        <v>1881</v>
      </c>
      <c r="L622" s="141" t="s">
        <v>3500</v>
      </c>
      <c r="M622" s="196">
        <v>32</v>
      </c>
      <c r="N622" s="196"/>
      <c r="O622" s="196" t="s">
        <v>3430</v>
      </c>
      <c r="P622" s="144">
        <v>100</v>
      </c>
      <c r="Q622" s="145">
        <f t="shared" si="34"/>
        <v>4.9702999999999999</v>
      </c>
      <c r="R622" s="203">
        <v>3.29</v>
      </c>
      <c r="S622" s="203"/>
      <c r="T622" s="151"/>
      <c r="U622" s="151">
        <v>1.2</v>
      </c>
      <c r="V622" s="149">
        <v>0.25</v>
      </c>
      <c r="W622" s="151">
        <f t="shared" si="35"/>
        <v>3.29</v>
      </c>
      <c r="X622" s="152">
        <f t="shared" si="37"/>
        <v>0.2303</v>
      </c>
      <c r="Y622" s="150">
        <f t="shared" si="36"/>
        <v>1.01</v>
      </c>
      <c r="Z622" s="152"/>
      <c r="AA622" s="148"/>
      <c r="AB622" s="148"/>
      <c r="AC622" s="153"/>
      <c r="AD622" s="153"/>
      <c r="AE622" s="153"/>
      <c r="AF622" s="153"/>
      <c r="AJ622" s="147"/>
    </row>
    <row r="623" spans="1:36" s="146" customFormat="1" x14ac:dyDescent="0.25">
      <c r="A623" s="196">
        <v>651</v>
      </c>
      <c r="B623" s="196" t="s">
        <v>3501</v>
      </c>
      <c r="C623" s="196" t="s">
        <v>3502</v>
      </c>
      <c r="D623" s="196" t="s">
        <v>3499</v>
      </c>
      <c r="E623" s="196"/>
      <c r="F623" s="196">
        <v>1997</v>
      </c>
      <c r="G623" s="196"/>
      <c r="H623" s="196" t="s">
        <v>1878</v>
      </c>
      <c r="I623" s="141" t="s">
        <v>1879</v>
      </c>
      <c r="J623" s="196" t="s">
        <v>2237</v>
      </c>
      <c r="K623" s="196" t="s">
        <v>1881</v>
      </c>
      <c r="L623" s="141" t="s">
        <v>3503</v>
      </c>
      <c r="M623" s="196">
        <v>32</v>
      </c>
      <c r="N623" s="196"/>
      <c r="O623" s="196" t="s">
        <v>3431</v>
      </c>
      <c r="P623" s="144">
        <v>112</v>
      </c>
      <c r="Q623" s="145">
        <f t="shared" si="34"/>
        <v>1.8673</v>
      </c>
      <c r="R623" s="203">
        <v>0.39</v>
      </c>
      <c r="S623" s="203"/>
      <c r="T623" s="151"/>
      <c r="U623" s="151">
        <v>1.2</v>
      </c>
      <c r="V623" s="151">
        <v>0.25</v>
      </c>
      <c r="W623" s="151">
        <f t="shared" si="35"/>
        <v>0.39</v>
      </c>
      <c r="X623" s="152">
        <f t="shared" si="37"/>
        <v>2.7300000000000001E-2</v>
      </c>
      <c r="Y623" s="150">
        <f t="shared" si="36"/>
        <v>1.01</v>
      </c>
      <c r="Z623" s="152"/>
      <c r="AA623" s="148"/>
      <c r="AB623" s="148"/>
      <c r="AC623" s="153"/>
      <c r="AD623" s="153"/>
      <c r="AE623" s="153"/>
      <c r="AF623" s="153"/>
      <c r="AJ623" s="147"/>
    </row>
    <row r="624" spans="1:36" s="146" customFormat="1" x14ac:dyDescent="0.25">
      <c r="A624" s="196">
        <v>651</v>
      </c>
      <c r="B624" s="196" t="s">
        <v>3504</v>
      </c>
      <c r="C624" s="196" t="s">
        <v>3505</v>
      </c>
      <c r="D624" s="196" t="s">
        <v>3499</v>
      </c>
      <c r="E624" s="196"/>
      <c r="F624" s="196">
        <v>1998</v>
      </c>
      <c r="G624" s="196"/>
      <c r="H624" s="196" t="s">
        <v>1878</v>
      </c>
      <c r="I624" s="141" t="s">
        <v>1879</v>
      </c>
      <c r="J624" s="196" t="s">
        <v>2237</v>
      </c>
      <c r="K624" s="196" t="s">
        <v>1881</v>
      </c>
      <c r="L624" s="141" t="s">
        <v>3506</v>
      </c>
      <c r="M624" s="196">
        <v>32</v>
      </c>
      <c r="N624" s="196"/>
      <c r="O624" s="196" t="s">
        <v>3432</v>
      </c>
      <c r="P624" s="144">
        <v>89</v>
      </c>
      <c r="Q624" s="145">
        <f t="shared" si="34"/>
        <v>2.2953000000000001</v>
      </c>
      <c r="R624" s="203">
        <v>0.79</v>
      </c>
      <c r="S624" s="203"/>
      <c r="T624" s="151"/>
      <c r="U624" s="151">
        <v>1.2</v>
      </c>
      <c r="V624" s="149">
        <v>0.25</v>
      </c>
      <c r="W624" s="151">
        <f t="shared" si="35"/>
        <v>0.79</v>
      </c>
      <c r="X624" s="152">
        <f t="shared" si="37"/>
        <v>5.5300000000000002E-2</v>
      </c>
      <c r="Y624" s="150">
        <f t="shared" si="36"/>
        <v>1.01</v>
      </c>
      <c r="Z624" s="152"/>
      <c r="AA624" s="148"/>
      <c r="AB624" s="148"/>
      <c r="AC624" s="153"/>
      <c r="AD624" s="153"/>
      <c r="AE624" s="153"/>
      <c r="AF624" s="153"/>
      <c r="AJ624" s="147"/>
    </row>
    <row r="625" spans="1:36" s="146" customFormat="1" x14ac:dyDescent="0.25">
      <c r="A625" s="196">
        <v>718</v>
      </c>
      <c r="B625" s="196" t="s">
        <v>3507</v>
      </c>
      <c r="C625" s="196" t="s">
        <v>3508</v>
      </c>
      <c r="D625" s="196" t="s">
        <v>3509</v>
      </c>
      <c r="E625" s="196" t="s">
        <v>2518</v>
      </c>
      <c r="F625" s="196">
        <v>1995</v>
      </c>
      <c r="G625" s="196"/>
      <c r="H625" s="196" t="s">
        <v>1878</v>
      </c>
      <c r="I625" s="141" t="s">
        <v>1879</v>
      </c>
      <c r="J625" s="196" t="s">
        <v>2237</v>
      </c>
      <c r="K625" s="196" t="s">
        <v>1881</v>
      </c>
      <c r="L625" s="141" t="s">
        <v>3510</v>
      </c>
      <c r="M625" s="196">
        <v>112</v>
      </c>
      <c r="N625" s="196"/>
      <c r="O625" s="196" t="s">
        <v>3433</v>
      </c>
      <c r="P625" s="144">
        <v>245</v>
      </c>
      <c r="Q625" s="145">
        <f t="shared" si="34"/>
        <v>2.4022999999999999</v>
      </c>
      <c r="R625" s="203">
        <v>0.89</v>
      </c>
      <c r="S625" s="203"/>
      <c r="T625" s="151"/>
      <c r="U625" s="151">
        <v>1.2</v>
      </c>
      <c r="V625" s="151">
        <v>0.25</v>
      </c>
      <c r="W625" s="151">
        <f t="shared" si="35"/>
        <v>0.89</v>
      </c>
      <c r="X625" s="152">
        <f t="shared" si="37"/>
        <v>6.2300000000000001E-2</v>
      </c>
      <c r="Y625" s="150">
        <f t="shared" si="36"/>
        <v>1.01</v>
      </c>
      <c r="Z625" s="152"/>
      <c r="AA625" s="148"/>
      <c r="AB625" s="148"/>
      <c r="AC625" s="153"/>
      <c r="AD625" s="153"/>
      <c r="AE625" s="153"/>
      <c r="AF625" s="153"/>
      <c r="AJ625" s="147"/>
    </row>
    <row r="626" spans="1:36" s="146" customFormat="1" x14ac:dyDescent="0.25">
      <c r="A626" s="196">
        <v>1809</v>
      </c>
      <c r="B626" s="196" t="s">
        <v>3511</v>
      </c>
      <c r="C626" s="196" t="s">
        <v>3512</v>
      </c>
      <c r="D626" s="196" t="s">
        <v>2402</v>
      </c>
      <c r="E626" s="196"/>
      <c r="F626" s="196">
        <v>2008</v>
      </c>
      <c r="G626" s="196"/>
      <c r="H626" s="196" t="s">
        <v>1878</v>
      </c>
      <c r="I626" s="141" t="s">
        <v>1879</v>
      </c>
      <c r="J626" s="196" t="s">
        <v>2237</v>
      </c>
      <c r="K626" s="196" t="s">
        <v>1881</v>
      </c>
      <c r="L626" s="141" t="s">
        <v>3513</v>
      </c>
      <c r="M626" s="196">
        <v>320</v>
      </c>
      <c r="N626" s="196"/>
      <c r="O626" s="196" t="s">
        <v>3434</v>
      </c>
      <c r="P626" s="144">
        <v>476</v>
      </c>
      <c r="Q626" s="145">
        <f t="shared" si="34"/>
        <v>1.8673</v>
      </c>
      <c r="R626" s="203">
        <v>0.39</v>
      </c>
      <c r="S626" s="203"/>
      <c r="T626" s="151"/>
      <c r="U626" s="151">
        <v>1.2</v>
      </c>
      <c r="V626" s="149">
        <v>0.25</v>
      </c>
      <c r="W626" s="151">
        <f t="shared" si="35"/>
        <v>0.39</v>
      </c>
      <c r="X626" s="152">
        <f t="shared" si="37"/>
        <v>2.7300000000000001E-2</v>
      </c>
      <c r="Y626" s="150">
        <f t="shared" si="36"/>
        <v>1.01</v>
      </c>
      <c r="Z626" s="152"/>
      <c r="AA626" s="148"/>
      <c r="AB626" s="148"/>
      <c r="AC626" s="153"/>
      <c r="AD626" s="153"/>
      <c r="AE626" s="153"/>
      <c r="AF626" s="153"/>
      <c r="AJ626" s="147"/>
    </row>
    <row r="627" spans="1:36" s="146" customFormat="1" x14ac:dyDescent="0.25">
      <c r="A627" s="196">
        <v>2514</v>
      </c>
      <c r="B627" s="196" t="s">
        <v>3514</v>
      </c>
      <c r="C627" s="196" t="s">
        <v>3515</v>
      </c>
      <c r="D627" s="196" t="s">
        <v>3312</v>
      </c>
      <c r="E627" s="196"/>
      <c r="F627" s="196">
        <v>2004</v>
      </c>
      <c r="G627" s="196"/>
      <c r="H627" s="196" t="s">
        <v>2295</v>
      </c>
      <c r="I627" s="141" t="s">
        <v>1879</v>
      </c>
      <c r="J627" s="196" t="s">
        <v>2237</v>
      </c>
      <c r="K627" s="196" t="s">
        <v>1881</v>
      </c>
      <c r="L627" s="141" t="s">
        <v>3516</v>
      </c>
      <c r="M627" s="196">
        <v>178</v>
      </c>
      <c r="N627" s="196"/>
      <c r="O627" s="196" t="s">
        <v>3435</v>
      </c>
      <c r="P627" s="144">
        <v>266</v>
      </c>
      <c r="Q627" s="145">
        <f t="shared" si="34"/>
        <v>3.3653000000000004</v>
      </c>
      <c r="R627" s="203">
        <v>1.79</v>
      </c>
      <c r="S627" s="203"/>
      <c r="T627" s="151"/>
      <c r="U627" s="151">
        <v>1.2</v>
      </c>
      <c r="V627" s="151">
        <v>0.25</v>
      </c>
      <c r="W627" s="151">
        <f t="shared" si="35"/>
        <v>1.79</v>
      </c>
      <c r="X627" s="152">
        <f t="shared" si="37"/>
        <v>0.12529999999999999</v>
      </c>
      <c r="Y627" s="150">
        <f t="shared" si="36"/>
        <v>1.01</v>
      </c>
      <c r="Z627" s="152"/>
      <c r="AA627" s="148"/>
      <c r="AB627" s="148"/>
      <c r="AC627" s="153"/>
      <c r="AD627" s="153"/>
      <c r="AE627" s="153"/>
      <c r="AF627" s="153"/>
      <c r="AJ627" s="147"/>
    </row>
    <row r="628" spans="1:36" s="146" customFormat="1" x14ac:dyDescent="0.25">
      <c r="A628" s="196">
        <v>2571</v>
      </c>
      <c r="B628" s="196" t="s">
        <v>3517</v>
      </c>
      <c r="C628" s="196" t="s">
        <v>3518</v>
      </c>
      <c r="D628" s="196" t="s">
        <v>2644</v>
      </c>
      <c r="E628" s="196"/>
      <c r="F628" s="196">
        <v>1998</v>
      </c>
      <c r="G628" s="196"/>
      <c r="H628" s="196" t="s">
        <v>1878</v>
      </c>
      <c r="I628" s="141" t="s">
        <v>1879</v>
      </c>
      <c r="J628" s="196" t="s">
        <v>3303</v>
      </c>
      <c r="K628" s="196" t="s">
        <v>1881</v>
      </c>
      <c r="L628" s="141" t="s">
        <v>3519</v>
      </c>
      <c r="M628" s="196">
        <v>288</v>
      </c>
      <c r="N628" s="196"/>
      <c r="O628" s="196" t="s">
        <v>3436</v>
      </c>
      <c r="P628" s="144">
        <v>246</v>
      </c>
      <c r="Q628" s="145">
        <f t="shared" si="34"/>
        <v>1.7175</v>
      </c>
      <c r="R628" s="203">
        <v>0.25</v>
      </c>
      <c r="S628" s="203"/>
      <c r="T628" s="151"/>
      <c r="U628" s="151">
        <v>1.2</v>
      </c>
      <c r="V628" s="149">
        <v>0.25</v>
      </c>
      <c r="W628" s="151">
        <f t="shared" si="35"/>
        <v>0.25</v>
      </c>
      <c r="X628" s="152">
        <f t="shared" si="37"/>
        <v>1.7500000000000002E-2</v>
      </c>
      <c r="Y628" s="150">
        <f t="shared" si="36"/>
        <v>1.01</v>
      </c>
      <c r="Z628" s="152"/>
      <c r="AA628" s="148"/>
      <c r="AB628" s="148"/>
      <c r="AC628" s="153"/>
      <c r="AD628" s="153"/>
      <c r="AE628" s="153"/>
      <c r="AF628" s="153"/>
      <c r="AJ628" s="147"/>
    </row>
    <row r="629" spans="1:36" s="146" customFormat="1" x14ac:dyDescent="0.25">
      <c r="A629" s="196">
        <v>2571</v>
      </c>
      <c r="B629" s="196" t="s">
        <v>3517</v>
      </c>
      <c r="C629" s="196" t="s">
        <v>3520</v>
      </c>
      <c r="D629" s="196" t="s">
        <v>2644</v>
      </c>
      <c r="E629" s="196"/>
      <c r="F629" s="196">
        <v>2005</v>
      </c>
      <c r="G629" s="196"/>
      <c r="H629" s="196" t="s">
        <v>1878</v>
      </c>
      <c r="I629" s="141" t="s">
        <v>1879</v>
      </c>
      <c r="J629" s="196" t="s">
        <v>3303</v>
      </c>
      <c r="K629" s="196" t="s">
        <v>1881</v>
      </c>
      <c r="L629" s="141" t="s">
        <v>3521</v>
      </c>
      <c r="M629" s="196">
        <v>288</v>
      </c>
      <c r="N629" s="196"/>
      <c r="O629" s="196" t="s">
        <v>3437</v>
      </c>
      <c r="P629" s="144">
        <v>248</v>
      </c>
      <c r="Q629" s="145">
        <f t="shared" ref="Q629:Q691" si="38">SUM(T629:X629)</f>
        <v>1.9100999999999999</v>
      </c>
      <c r="R629" s="203">
        <v>0.43</v>
      </c>
      <c r="S629" s="203"/>
      <c r="T629" s="151"/>
      <c r="U629" s="151">
        <v>1.2</v>
      </c>
      <c r="V629" s="151">
        <v>0.25</v>
      </c>
      <c r="W629" s="151">
        <f t="shared" ref="W629:W691" si="39">IF(R629&gt;T629,R629,T629)</f>
        <v>0.43</v>
      </c>
      <c r="X629" s="152">
        <f t="shared" si="37"/>
        <v>3.0100000000000002E-2</v>
      </c>
      <c r="Y629" s="150">
        <f t="shared" si="36"/>
        <v>1.01</v>
      </c>
      <c r="Z629" s="152"/>
      <c r="AA629" s="148"/>
      <c r="AB629" s="148"/>
      <c r="AC629" s="153"/>
      <c r="AD629" s="153"/>
      <c r="AE629" s="153"/>
      <c r="AF629" s="153"/>
      <c r="AJ629" s="147"/>
    </row>
    <row r="630" spans="1:36" s="146" customFormat="1" x14ac:dyDescent="0.25">
      <c r="A630" s="196">
        <v>2514</v>
      </c>
      <c r="B630" s="196" t="s">
        <v>3522</v>
      </c>
      <c r="C630" s="196" t="s">
        <v>3523</v>
      </c>
      <c r="D630" s="196" t="s">
        <v>3524</v>
      </c>
      <c r="E630" s="196" t="s">
        <v>1899</v>
      </c>
      <c r="F630" s="196">
        <v>2010</v>
      </c>
      <c r="G630" s="196"/>
      <c r="H630" s="196" t="s">
        <v>2217</v>
      </c>
      <c r="I630" s="141" t="s">
        <v>1879</v>
      </c>
      <c r="J630" s="196" t="s">
        <v>2237</v>
      </c>
      <c r="K630" s="196" t="s">
        <v>1881</v>
      </c>
      <c r="L630" s="141" t="s">
        <v>3525</v>
      </c>
      <c r="M630" s="196">
        <v>126</v>
      </c>
      <c r="N630" s="196"/>
      <c r="O630" s="196" t="s">
        <v>3438</v>
      </c>
      <c r="P630" s="144">
        <v>249</v>
      </c>
      <c r="Q630" s="145">
        <f t="shared" si="38"/>
        <v>4.4352999999999998</v>
      </c>
      <c r="R630" s="203">
        <v>2.79</v>
      </c>
      <c r="S630" s="203"/>
      <c r="T630" s="151"/>
      <c r="U630" s="151">
        <v>1.2</v>
      </c>
      <c r="V630" s="149">
        <v>0.25</v>
      </c>
      <c r="W630" s="151">
        <f t="shared" si="39"/>
        <v>2.79</v>
      </c>
      <c r="X630" s="152">
        <f t="shared" si="37"/>
        <v>0.1953</v>
      </c>
      <c r="Y630" s="150">
        <f t="shared" si="36"/>
        <v>1.01</v>
      </c>
      <c r="Z630" s="152"/>
      <c r="AA630" s="148"/>
      <c r="AB630" s="148"/>
      <c r="AC630" s="153"/>
      <c r="AD630" s="153"/>
      <c r="AE630" s="153"/>
      <c r="AF630" s="153"/>
      <c r="AJ630" s="147"/>
    </row>
    <row r="631" spans="1:36" s="146" customFormat="1" x14ac:dyDescent="0.25">
      <c r="A631" s="196">
        <v>1927</v>
      </c>
      <c r="B631" s="196" t="s">
        <v>3526</v>
      </c>
      <c r="C631" s="196" t="s">
        <v>3527</v>
      </c>
      <c r="D631" s="196" t="s">
        <v>2077</v>
      </c>
      <c r="E631" s="196"/>
      <c r="F631" s="196">
        <v>2003</v>
      </c>
      <c r="G631" s="196"/>
      <c r="H631" s="196" t="s">
        <v>1878</v>
      </c>
      <c r="I631" s="141" t="s">
        <v>1879</v>
      </c>
      <c r="J631" s="196" t="s">
        <v>2237</v>
      </c>
      <c r="K631" s="196" t="s">
        <v>1881</v>
      </c>
      <c r="L631" s="141" t="s">
        <v>3528</v>
      </c>
      <c r="M631" s="196">
        <v>128</v>
      </c>
      <c r="N631" s="196"/>
      <c r="O631" s="196" t="s">
        <v>3439</v>
      </c>
      <c r="P631" s="144">
        <v>186</v>
      </c>
      <c r="Q631" s="145">
        <f t="shared" si="38"/>
        <v>2.2953000000000001</v>
      </c>
      <c r="R631" s="203">
        <v>0.79</v>
      </c>
      <c r="S631" s="203"/>
      <c r="T631" s="151"/>
      <c r="U631" s="151">
        <v>1.2</v>
      </c>
      <c r="V631" s="151">
        <v>0.25</v>
      </c>
      <c r="W631" s="151">
        <f t="shared" si="39"/>
        <v>0.79</v>
      </c>
      <c r="X631" s="152">
        <f t="shared" si="37"/>
        <v>5.5300000000000002E-2</v>
      </c>
      <c r="Y631" s="150">
        <f t="shared" si="36"/>
        <v>1.01</v>
      </c>
      <c r="Z631" s="152"/>
      <c r="AA631" s="148"/>
      <c r="AB631" s="148"/>
      <c r="AC631" s="153"/>
      <c r="AD631" s="153"/>
      <c r="AE631" s="153"/>
      <c r="AF631" s="153"/>
      <c r="AJ631" s="147"/>
    </row>
    <row r="632" spans="1:36" s="146" customFormat="1" x14ac:dyDescent="0.25">
      <c r="A632" s="196">
        <v>1030</v>
      </c>
      <c r="B632" s="196" t="s">
        <v>3529</v>
      </c>
      <c r="C632" s="196" t="s">
        <v>3530</v>
      </c>
      <c r="D632" s="196"/>
      <c r="E632" s="196"/>
      <c r="F632" s="196">
        <v>1991</v>
      </c>
      <c r="G632" s="196"/>
      <c r="H632" s="196" t="s">
        <v>1878</v>
      </c>
      <c r="I632" s="141" t="s">
        <v>1929</v>
      </c>
      <c r="J632" s="196" t="s">
        <v>2237</v>
      </c>
      <c r="K632" s="196" t="s">
        <v>1881</v>
      </c>
      <c r="L632" s="141" t="s">
        <v>3531</v>
      </c>
      <c r="M632" s="196">
        <v>156</v>
      </c>
      <c r="N632" s="196"/>
      <c r="O632" s="196" t="s">
        <v>3440</v>
      </c>
      <c r="P632" s="144">
        <v>244</v>
      </c>
      <c r="Q632" s="145">
        <f t="shared" si="38"/>
        <v>5.5053000000000001</v>
      </c>
      <c r="R632" s="203">
        <v>3.79</v>
      </c>
      <c r="S632" s="203"/>
      <c r="T632" s="151"/>
      <c r="U632" s="151">
        <v>1.2</v>
      </c>
      <c r="V632" s="149">
        <v>0.25</v>
      </c>
      <c r="W632" s="151">
        <f t="shared" si="39"/>
        <v>3.79</v>
      </c>
      <c r="X632" s="152">
        <f t="shared" si="37"/>
        <v>0.26530000000000004</v>
      </c>
      <c r="Y632" s="150">
        <f t="shared" si="36"/>
        <v>1.01</v>
      </c>
      <c r="Z632" s="152"/>
      <c r="AA632" s="148"/>
      <c r="AB632" s="148"/>
      <c r="AC632" s="153"/>
      <c r="AD632" s="153"/>
      <c r="AE632" s="153"/>
      <c r="AF632" s="153"/>
      <c r="AJ632" s="147"/>
    </row>
    <row r="633" spans="1:36" s="146" customFormat="1" x14ac:dyDescent="0.25">
      <c r="A633" s="196">
        <v>2952</v>
      </c>
      <c r="B633" s="196" t="s">
        <v>3532</v>
      </c>
      <c r="C633" s="196" t="s">
        <v>3533</v>
      </c>
      <c r="D633" s="196" t="s">
        <v>1920</v>
      </c>
      <c r="E633" s="196"/>
      <c r="F633" s="196">
        <v>2004</v>
      </c>
      <c r="G633" s="196"/>
      <c r="H633" s="196" t="s">
        <v>1878</v>
      </c>
      <c r="I633" s="141" t="s">
        <v>1879</v>
      </c>
      <c r="J633" s="196" t="s">
        <v>3303</v>
      </c>
      <c r="K633" s="196" t="s">
        <v>1881</v>
      </c>
      <c r="L633" s="141" t="s">
        <v>3534</v>
      </c>
      <c r="M633" s="196">
        <v>352</v>
      </c>
      <c r="N633" s="196"/>
      <c r="O633" s="196" t="s">
        <v>3441</v>
      </c>
      <c r="P633" s="144">
        <v>305</v>
      </c>
      <c r="Q633" s="145">
        <f t="shared" si="38"/>
        <v>1.7175</v>
      </c>
      <c r="R633" s="203">
        <v>0.25</v>
      </c>
      <c r="S633" s="203"/>
      <c r="T633" s="151"/>
      <c r="U633" s="151">
        <v>1.2</v>
      </c>
      <c r="V633" s="151">
        <v>0.25</v>
      </c>
      <c r="W633" s="151">
        <f t="shared" si="39"/>
        <v>0.25</v>
      </c>
      <c r="X633" s="152">
        <f t="shared" si="37"/>
        <v>1.7500000000000002E-2</v>
      </c>
      <c r="Y633" s="150">
        <f t="shared" si="36"/>
        <v>1.01</v>
      </c>
      <c r="Z633" s="152"/>
      <c r="AA633" s="148"/>
      <c r="AB633" s="148"/>
      <c r="AC633" s="153"/>
      <c r="AD633" s="153"/>
      <c r="AE633" s="153"/>
      <c r="AF633" s="153"/>
      <c r="AJ633" s="147"/>
    </row>
    <row r="634" spans="1:36" s="146" customFormat="1" ht="105.6" x14ac:dyDescent="0.25">
      <c r="A634" s="196">
        <v>2514</v>
      </c>
      <c r="B634" s="196" t="s">
        <v>3593</v>
      </c>
      <c r="C634" s="196" t="s">
        <v>3592</v>
      </c>
      <c r="D634" s="196" t="s">
        <v>3594</v>
      </c>
      <c r="E634" s="196"/>
      <c r="F634" s="196">
        <v>2008</v>
      </c>
      <c r="G634" s="196"/>
      <c r="H634" s="196" t="s">
        <v>2295</v>
      </c>
      <c r="I634" s="141" t="s">
        <v>1929</v>
      </c>
      <c r="J634" s="142" t="s">
        <v>3595</v>
      </c>
      <c r="K634" s="196" t="s">
        <v>1881</v>
      </c>
      <c r="L634" s="141"/>
      <c r="M634" s="196">
        <v>62</v>
      </c>
      <c r="N634" s="196"/>
      <c r="O634" s="196" t="s">
        <v>3442</v>
      </c>
      <c r="P634" s="144">
        <v>242</v>
      </c>
      <c r="Q634" s="145">
        <f t="shared" si="38"/>
        <v>2.7232999999999996</v>
      </c>
      <c r="R634" s="203">
        <v>1.19</v>
      </c>
      <c r="S634" s="203"/>
      <c r="T634" s="151"/>
      <c r="U634" s="151">
        <v>1.2</v>
      </c>
      <c r="V634" s="149">
        <v>0.25</v>
      </c>
      <c r="W634" s="151">
        <f t="shared" si="39"/>
        <v>1.19</v>
      </c>
      <c r="X634" s="152">
        <f t="shared" si="37"/>
        <v>8.3299999999999999E-2</v>
      </c>
      <c r="Y634" s="150">
        <f t="shared" si="36"/>
        <v>1.01</v>
      </c>
      <c r="Z634" s="152"/>
      <c r="AA634" s="148"/>
      <c r="AB634" s="148"/>
      <c r="AC634" s="153"/>
      <c r="AD634" s="153"/>
      <c r="AE634" s="153"/>
      <c r="AF634" s="153"/>
      <c r="AJ634" s="147"/>
    </row>
    <row r="635" spans="1:36" s="146" customFormat="1" x14ac:dyDescent="0.25">
      <c r="A635" s="196">
        <v>721</v>
      </c>
      <c r="B635" s="196" t="s">
        <v>3596</v>
      </c>
      <c r="C635" s="196" t="s">
        <v>3597</v>
      </c>
      <c r="D635" s="196" t="s">
        <v>2294</v>
      </c>
      <c r="E635" s="196"/>
      <c r="F635" s="196">
        <v>2005</v>
      </c>
      <c r="G635" s="196"/>
      <c r="H635" s="196" t="s">
        <v>1878</v>
      </c>
      <c r="I635" s="141" t="s">
        <v>1879</v>
      </c>
      <c r="J635" s="196" t="s">
        <v>3303</v>
      </c>
      <c r="K635" s="196" t="s">
        <v>1881</v>
      </c>
      <c r="L635" s="141" t="s">
        <v>3598</v>
      </c>
      <c r="M635" s="196">
        <v>32</v>
      </c>
      <c r="N635" s="196"/>
      <c r="O635" s="196" t="s">
        <v>3443</v>
      </c>
      <c r="P635" s="144">
        <v>127</v>
      </c>
      <c r="Q635" s="145">
        <f t="shared" si="38"/>
        <v>5.7193000000000005</v>
      </c>
      <c r="R635" s="203">
        <v>3.99</v>
      </c>
      <c r="S635" s="203"/>
      <c r="T635" s="151"/>
      <c r="U635" s="151">
        <v>1.2</v>
      </c>
      <c r="V635" s="151">
        <v>0.25</v>
      </c>
      <c r="W635" s="151">
        <f t="shared" si="39"/>
        <v>3.99</v>
      </c>
      <c r="X635" s="152">
        <f t="shared" si="37"/>
        <v>0.27930000000000005</v>
      </c>
      <c r="Y635" s="150">
        <f t="shared" si="36"/>
        <v>1.01</v>
      </c>
      <c r="Z635" s="152"/>
      <c r="AA635" s="148"/>
      <c r="AB635" s="148"/>
      <c r="AC635" s="153"/>
      <c r="AD635" s="153"/>
      <c r="AE635" s="153"/>
      <c r="AF635" s="153"/>
      <c r="AJ635" s="147"/>
    </row>
    <row r="636" spans="1:36" s="146" customFormat="1" x14ac:dyDescent="0.25">
      <c r="A636" s="196">
        <v>767</v>
      </c>
      <c r="B636" s="196" t="s">
        <v>3599</v>
      </c>
      <c r="C636" s="196" t="s">
        <v>3600</v>
      </c>
      <c r="D636" s="196" t="s">
        <v>2300</v>
      </c>
      <c r="E636" s="196"/>
      <c r="F636" s="196">
        <v>1991</v>
      </c>
      <c r="G636" s="196"/>
      <c r="H636" s="196" t="s">
        <v>2008</v>
      </c>
      <c r="I636" s="141" t="s">
        <v>1879</v>
      </c>
      <c r="J636" s="196" t="s">
        <v>3006</v>
      </c>
      <c r="K636" s="196" t="s">
        <v>1881</v>
      </c>
      <c r="L636" s="141" t="s">
        <v>3601</v>
      </c>
      <c r="M636" s="196">
        <v>160</v>
      </c>
      <c r="N636" s="196"/>
      <c r="O636" s="196" t="s">
        <v>3444</v>
      </c>
      <c r="P636" s="144">
        <v>115</v>
      </c>
      <c r="Q636" s="145">
        <f t="shared" si="38"/>
        <v>2.4022999999999999</v>
      </c>
      <c r="R636" s="203">
        <v>0.89</v>
      </c>
      <c r="S636" s="203"/>
      <c r="T636" s="151"/>
      <c r="U636" s="151">
        <v>1.2</v>
      </c>
      <c r="V636" s="149">
        <v>0.25</v>
      </c>
      <c r="W636" s="151">
        <f t="shared" si="39"/>
        <v>0.89</v>
      </c>
      <c r="X636" s="152">
        <f t="shared" si="37"/>
        <v>6.2300000000000001E-2</v>
      </c>
      <c r="Y636" s="150">
        <f t="shared" si="36"/>
        <v>1.01</v>
      </c>
      <c r="Z636" s="152"/>
      <c r="AA636" s="148"/>
      <c r="AB636" s="148"/>
      <c r="AC636" s="153"/>
      <c r="AD636" s="153"/>
      <c r="AE636" s="153"/>
      <c r="AF636" s="153"/>
      <c r="AJ636" s="147"/>
    </row>
    <row r="637" spans="1:36" s="146" customFormat="1" x14ac:dyDescent="0.25">
      <c r="A637" s="196">
        <v>1348</v>
      </c>
      <c r="B637" s="196" t="s">
        <v>3602</v>
      </c>
      <c r="C637" s="196" t="s">
        <v>3603</v>
      </c>
      <c r="D637" s="196" t="s">
        <v>2300</v>
      </c>
      <c r="E637" s="196"/>
      <c r="F637" s="196">
        <v>1966</v>
      </c>
      <c r="G637" s="196"/>
      <c r="H637" s="196" t="s">
        <v>2008</v>
      </c>
      <c r="I637" s="141" t="s">
        <v>1879</v>
      </c>
      <c r="J637" s="196" t="s">
        <v>3303</v>
      </c>
      <c r="K637" s="196" t="s">
        <v>1881</v>
      </c>
      <c r="L637" s="141"/>
      <c r="M637" s="196">
        <v>178</v>
      </c>
      <c r="N637" s="196"/>
      <c r="O637" s="196" t="s">
        <v>3445</v>
      </c>
      <c r="P637" s="144">
        <v>127</v>
      </c>
      <c r="Q637" s="145">
        <f t="shared" si="38"/>
        <v>2.5093000000000001</v>
      </c>
      <c r="R637" s="203">
        <v>0.99</v>
      </c>
      <c r="S637" s="203"/>
      <c r="T637" s="151"/>
      <c r="U637" s="151">
        <v>1.2</v>
      </c>
      <c r="V637" s="151">
        <v>0.25</v>
      </c>
      <c r="W637" s="151">
        <f t="shared" si="39"/>
        <v>0.99</v>
      </c>
      <c r="X637" s="152">
        <f t="shared" si="37"/>
        <v>6.93E-2</v>
      </c>
      <c r="Y637" s="150">
        <f t="shared" si="36"/>
        <v>1.01</v>
      </c>
      <c r="Z637" s="152"/>
      <c r="AA637" s="148"/>
      <c r="AB637" s="148"/>
      <c r="AC637" s="153"/>
      <c r="AD637" s="153"/>
      <c r="AE637" s="153"/>
      <c r="AF637" s="153"/>
      <c r="AJ637" s="147"/>
    </row>
    <row r="638" spans="1:36" s="146" customFormat="1" x14ac:dyDescent="0.25">
      <c r="A638" s="196">
        <v>721</v>
      </c>
      <c r="B638" s="196" t="s">
        <v>3604</v>
      </c>
      <c r="C638" s="196" t="s">
        <v>3605</v>
      </c>
      <c r="D638" s="196" t="s">
        <v>3606</v>
      </c>
      <c r="E638" s="196"/>
      <c r="F638" s="196">
        <v>2001</v>
      </c>
      <c r="G638" s="196"/>
      <c r="H638" s="196" t="s">
        <v>1878</v>
      </c>
      <c r="I638" s="141" t="s">
        <v>1879</v>
      </c>
      <c r="J638" s="196" t="s">
        <v>3303</v>
      </c>
      <c r="K638" s="196" t="s">
        <v>1881</v>
      </c>
      <c r="L638" s="141" t="s">
        <v>3607</v>
      </c>
      <c r="M638" s="196">
        <v>64</v>
      </c>
      <c r="N638" s="196"/>
      <c r="O638" s="196" t="s">
        <v>3446</v>
      </c>
      <c r="P638" s="144">
        <v>127</v>
      </c>
      <c r="Q638" s="145">
        <f t="shared" si="38"/>
        <v>5.0773000000000001</v>
      </c>
      <c r="R638" s="203">
        <v>3.39</v>
      </c>
      <c r="S638" s="203"/>
      <c r="T638" s="151"/>
      <c r="U638" s="151">
        <v>1.2</v>
      </c>
      <c r="V638" s="149">
        <v>0.25</v>
      </c>
      <c r="W638" s="151">
        <f t="shared" si="39"/>
        <v>3.39</v>
      </c>
      <c r="X638" s="152">
        <f t="shared" si="37"/>
        <v>0.23730000000000001</v>
      </c>
      <c r="Y638" s="150">
        <f t="shared" si="36"/>
        <v>1.01</v>
      </c>
      <c r="Z638" s="152"/>
      <c r="AA638" s="148"/>
      <c r="AB638" s="148"/>
      <c r="AC638" s="153"/>
      <c r="AD638" s="153"/>
      <c r="AE638" s="153"/>
      <c r="AF638" s="153"/>
      <c r="AJ638" s="147"/>
    </row>
    <row r="639" spans="1:36" s="146" customFormat="1" x14ac:dyDescent="0.25">
      <c r="A639" s="196">
        <v>2514</v>
      </c>
      <c r="B639" s="196" t="s">
        <v>3611</v>
      </c>
      <c r="C639" s="196" t="s">
        <v>3612</v>
      </c>
      <c r="D639" s="196" t="s">
        <v>3613</v>
      </c>
      <c r="E639" s="196"/>
      <c r="F639" s="196"/>
      <c r="G639" s="196"/>
      <c r="H639" s="196" t="s">
        <v>2295</v>
      </c>
      <c r="I639" s="141" t="s">
        <v>1929</v>
      </c>
      <c r="J639" s="196" t="s">
        <v>2237</v>
      </c>
      <c r="K639" s="196" t="s">
        <v>1881</v>
      </c>
      <c r="L639" s="141" t="s">
        <v>3614</v>
      </c>
      <c r="M639" s="196">
        <v>126</v>
      </c>
      <c r="N639" s="196"/>
      <c r="O639" s="196" t="s">
        <v>3536</v>
      </c>
      <c r="P639" s="144">
        <v>591</v>
      </c>
      <c r="Q639" s="145">
        <f t="shared" si="38"/>
        <v>3.9722999999999997</v>
      </c>
      <c r="R639" s="203">
        <v>1.89</v>
      </c>
      <c r="S639" s="203"/>
      <c r="T639" s="151"/>
      <c r="U639" s="151">
        <v>1.7</v>
      </c>
      <c r="V639" s="149">
        <v>0.25</v>
      </c>
      <c r="W639" s="151">
        <f t="shared" si="39"/>
        <v>1.89</v>
      </c>
      <c r="X639" s="152">
        <f t="shared" si="37"/>
        <v>0.1323</v>
      </c>
      <c r="Y639" s="150">
        <f t="shared" si="36"/>
        <v>1.01</v>
      </c>
      <c r="Z639" s="152"/>
      <c r="AA639" s="148"/>
      <c r="AB639" s="148"/>
      <c r="AC639" s="153"/>
      <c r="AD639" s="153"/>
      <c r="AE639" s="153"/>
      <c r="AF639" s="153"/>
      <c r="AJ639" s="147"/>
    </row>
    <row r="640" spans="1:36" s="146" customFormat="1" ht="66" x14ac:dyDescent="0.25">
      <c r="A640" s="196">
        <v>721</v>
      </c>
      <c r="B640" s="196"/>
      <c r="C640" s="196" t="s">
        <v>3615</v>
      </c>
      <c r="D640" s="196" t="s">
        <v>1979</v>
      </c>
      <c r="E640" s="196"/>
      <c r="F640" s="196">
        <v>2011</v>
      </c>
      <c r="G640" s="196"/>
      <c r="H640" s="196" t="s">
        <v>2295</v>
      </c>
      <c r="I640" s="141" t="s">
        <v>1929</v>
      </c>
      <c r="J640" s="142" t="s">
        <v>3616</v>
      </c>
      <c r="K640" s="196" t="s">
        <v>1881</v>
      </c>
      <c r="L640" s="141" t="s">
        <v>3617</v>
      </c>
      <c r="M640" s="196">
        <v>162</v>
      </c>
      <c r="N640" s="196"/>
      <c r="O640" s="196" t="s">
        <v>3537</v>
      </c>
      <c r="P640" s="144">
        <v>865</v>
      </c>
      <c r="Q640" s="145">
        <f t="shared" si="38"/>
        <v>5.1493000000000002</v>
      </c>
      <c r="R640" s="203">
        <v>2.99</v>
      </c>
      <c r="S640" s="203"/>
      <c r="T640" s="151"/>
      <c r="U640" s="151">
        <v>1.7</v>
      </c>
      <c r="V640" s="151">
        <v>0.25</v>
      </c>
      <c r="W640" s="151">
        <f t="shared" si="39"/>
        <v>2.99</v>
      </c>
      <c r="X640" s="152">
        <f t="shared" si="37"/>
        <v>0.20930000000000001</v>
      </c>
      <c r="Y640" s="150">
        <f t="shared" si="36"/>
        <v>1.01</v>
      </c>
      <c r="Z640" s="152"/>
      <c r="AA640" s="148"/>
      <c r="AB640" s="148"/>
      <c r="AC640" s="153"/>
      <c r="AD640" s="153"/>
      <c r="AE640" s="153"/>
      <c r="AF640" s="153"/>
      <c r="AJ640" s="147"/>
    </row>
    <row r="641" spans="1:36" s="146" customFormat="1" x14ac:dyDescent="0.25">
      <c r="A641" s="196">
        <v>865</v>
      </c>
      <c r="B641" s="196" t="s">
        <v>3618</v>
      </c>
      <c r="C641" s="196" t="s">
        <v>3619</v>
      </c>
      <c r="D641" s="196" t="s">
        <v>3620</v>
      </c>
      <c r="E641" s="196"/>
      <c r="F641" s="196">
        <v>1998</v>
      </c>
      <c r="G641" s="196"/>
      <c r="H641" s="196" t="s">
        <v>1878</v>
      </c>
      <c r="I641" s="141" t="s">
        <v>1879</v>
      </c>
      <c r="J641" s="196" t="s">
        <v>3621</v>
      </c>
      <c r="K641" s="196" t="s">
        <v>1881</v>
      </c>
      <c r="L641" s="141" t="s">
        <v>3622</v>
      </c>
      <c r="M641" s="196">
        <v>196</v>
      </c>
      <c r="N641" s="196"/>
      <c r="O641" s="196" t="s">
        <v>3538</v>
      </c>
      <c r="P641" s="144">
        <v>291</v>
      </c>
      <c r="Q641" s="145">
        <f t="shared" si="38"/>
        <v>2.7232999999999996</v>
      </c>
      <c r="R641" s="203">
        <v>1.19</v>
      </c>
      <c r="S641" s="203"/>
      <c r="T641" s="151"/>
      <c r="U641" s="151">
        <v>1.2</v>
      </c>
      <c r="V641" s="149">
        <v>0.25</v>
      </c>
      <c r="W641" s="151">
        <f t="shared" si="39"/>
        <v>1.19</v>
      </c>
      <c r="X641" s="152">
        <f t="shared" si="37"/>
        <v>8.3299999999999999E-2</v>
      </c>
      <c r="Y641" s="150">
        <f t="shared" si="36"/>
        <v>1.01</v>
      </c>
      <c r="Z641" s="152"/>
      <c r="AA641" s="148"/>
      <c r="AB641" s="148"/>
      <c r="AC641" s="153"/>
      <c r="AD641" s="153"/>
      <c r="AE641" s="153"/>
      <c r="AF641" s="153"/>
      <c r="AJ641" s="147"/>
    </row>
    <row r="642" spans="1:36" s="146" customFormat="1" x14ac:dyDescent="0.25">
      <c r="A642" s="196">
        <v>721</v>
      </c>
      <c r="B642" s="196" t="s">
        <v>3623</v>
      </c>
      <c r="C642" s="196" t="s">
        <v>3624</v>
      </c>
      <c r="D642" s="196" t="s">
        <v>3625</v>
      </c>
      <c r="E642" s="196"/>
      <c r="F642" s="196">
        <v>2001</v>
      </c>
      <c r="G642" s="196"/>
      <c r="H642" s="196" t="s">
        <v>1878</v>
      </c>
      <c r="I642" s="141" t="s">
        <v>1879</v>
      </c>
      <c r="J642" s="196" t="s">
        <v>3303</v>
      </c>
      <c r="K642" s="196" t="s">
        <v>1881</v>
      </c>
      <c r="L642" s="141" t="s">
        <v>3626</v>
      </c>
      <c r="M642" s="196">
        <v>96</v>
      </c>
      <c r="N642" s="196"/>
      <c r="O642" s="196" t="s">
        <v>3539</v>
      </c>
      <c r="P642" s="144">
        <v>184</v>
      </c>
      <c r="Q642" s="145">
        <f t="shared" si="38"/>
        <v>1.9742999999999999</v>
      </c>
      <c r="R642" s="203">
        <v>0.49</v>
      </c>
      <c r="S642" s="203"/>
      <c r="T642" s="151"/>
      <c r="U642" s="151">
        <v>1.2</v>
      </c>
      <c r="V642" s="151">
        <v>0.25</v>
      </c>
      <c r="W642" s="151">
        <f t="shared" si="39"/>
        <v>0.49</v>
      </c>
      <c r="X642" s="152">
        <f t="shared" si="37"/>
        <v>3.4299999999999997E-2</v>
      </c>
      <c r="Y642" s="150">
        <f t="shared" si="36"/>
        <v>1.01</v>
      </c>
      <c r="Z642" s="152"/>
      <c r="AA642" s="148"/>
      <c r="AB642" s="148"/>
      <c r="AC642" s="153"/>
      <c r="AD642" s="153"/>
      <c r="AE642" s="153"/>
      <c r="AF642" s="153"/>
      <c r="AJ642" s="147"/>
    </row>
    <row r="643" spans="1:36" s="146" customFormat="1" x14ac:dyDescent="0.25">
      <c r="A643" s="196">
        <v>632</v>
      </c>
      <c r="B643" s="196" t="s">
        <v>3631</v>
      </c>
      <c r="C643" s="196" t="s">
        <v>3632</v>
      </c>
      <c r="D643" s="196" t="s">
        <v>2054</v>
      </c>
      <c r="E643" s="196"/>
      <c r="F643" s="196">
        <v>2004</v>
      </c>
      <c r="G643" s="196"/>
      <c r="H643" s="196" t="s">
        <v>1878</v>
      </c>
      <c r="I643" s="141" t="s">
        <v>1879</v>
      </c>
      <c r="J643" s="196" t="s">
        <v>3303</v>
      </c>
      <c r="K643" s="196" t="s">
        <v>1881</v>
      </c>
      <c r="L643" s="141" t="s">
        <v>3633</v>
      </c>
      <c r="M643" s="196">
        <v>1040</v>
      </c>
      <c r="N643" s="196"/>
      <c r="O643" s="196" t="s">
        <v>3541</v>
      </c>
      <c r="P643" s="144">
        <v>758</v>
      </c>
      <c r="Q643" s="145">
        <f t="shared" si="38"/>
        <v>2.5813000000000001</v>
      </c>
      <c r="R643" s="203">
        <v>0.59</v>
      </c>
      <c r="S643" s="203"/>
      <c r="T643" s="151"/>
      <c r="U643" s="151">
        <v>1.7</v>
      </c>
      <c r="V643" s="149">
        <v>0.25</v>
      </c>
      <c r="W643" s="151">
        <f t="shared" si="39"/>
        <v>0.59</v>
      </c>
      <c r="X643" s="152">
        <f t="shared" si="37"/>
        <v>4.1299999999999996E-2</v>
      </c>
      <c r="Y643" s="150">
        <f t="shared" si="36"/>
        <v>1.01</v>
      </c>
      <c r="Z643" s="152"/>
      <c r="AA643" s="148"/>
      <c r="AB643" s="148"/>
      <c r="AC643" s="153"/>
      <c r="AD643" s="153"/>
      <c r="AE643" s="153"/>
      <c r="AF643" s="153"/>
      <c r="AJ643" s="147"/>
    </row>
    <row r="644" spans="1:36" s="146" customFormat="1" x14ac:dyDescent="0.25">
      <c r="A644" s="196">
        <v>1386</v>
      </c>
      <c r="B644" s="196" t="s">
        <v>3634</v>
      </c>
      <c r="C644" s="196" t="s">
        <v>3635</v>
      </c>
      <c r="D644" s="196" t="s">
        <v>2054</v>
      </c>
      <c r="E644" s="196"/>
      <c r="F644" s="196">
        <v>2006</v>
      </c>
      <c r="G644" s="196"/>
      <c r="H644" s="196" t="s">
        <v>2295</v>
      </c>
      <c r="I644" s="141" t="s">
        <v>1879</v>
      </c>
      <c r="J644" s="196" t="s">
        <v>2237</v>
      </c>
      <c r="K644" s="196" t="s">
        <v>1881</v>
      </c>
      <c r="L644" s="141" t="s">
        <v>3636</v>
      </c>
      <c r="M644" s="196">
        <v>442</v>
      </c>
      <c r="N644" s="196"/>
      <c r="O644" s="196" t="s">
        <v>3542</v>
      </c>
      <c r="P644" s="144">
        <v>549</v>
      </c>
      <c r="Q644" s="145">
        <f t="shared" si="38"/>
        <v>2.2175000000000002</v>
      </c>
      <c r="R644" s="203">
        <v>0.25</v>
      </c>
      <c r="S644" s="203"/>
      <c r="T644" s="151"/>
      <c r="U644" s="151">
        <v>1.7</v>
      </c>
      <c r="V644" s="151">
        <v>0.25</v>
      </c>
      <c r="W644" s="151">
        <f t="shared" si="39"/>
        <v>0.25</v>
      </c>
      <c r="X644" s="152">
        <f t="shared" si="37"/>
        <v>1.7500000000000002E-2</v>
      </c>
      <c r="Y644" s="150">
        <f t="shared" si="36"/>
        <v>1.01</v>
      </c>
      <c r="Z644" s="152"/>
      <c r="AA644" s="148"/>
      <c r="AB644" s="148"/>
      <c r="AC644" s="153"/>
      <c r="AD644" s="153"/>
      <c r="AE644" s="153"/>
      <c r="AF644" s="153"/>
      <c r="AJ644" s="147"/>
    </row>
    <row r="645" spans="1:36" s="146" customFormat="1" x14ac:dyDescent="0.25">
      <c r="A645" s="196">
        <v>796</v>
      </c>
      <c r="B645" s="196" t="s">
        <v>3637</v>
      </c>
      <c r="C645" s="196" t="s">
        <v>3638</v>
      </c>
      <c r="D645" s="196" t="s">
        <v>2054</v>
      </c>
      <c r="E645" s="196"/>
      <c r="F645" s="196">
        <v>2007</v>
      </c>
      <c r="G645" s="196"/>
      <c r="H645" s="196" t="s">
        <v>1878</v>
      </c>
      <c r="I645" s="141" t="s">
        <v>1879</v>
      </c>
      <c r="J645" s="196" t="s">
        <v>2237</v>
      </c>
      <c r="K645" s="196" t="s">
        <v>1881</v>
      </c>
      <c r="L645" s="141" t="s">
        <v>3639</v>
      </c>
      <c r="M645" s="196">
        <v>208</v>
      </c>
      <c r="N645" s="196"/>
      <c r="O645" s="196" t="s">
        <v>3543</v>
      </c>
      <c r="P645" s="144">
        <v>256</v>
      </c>
      <c r="Q645" s="145">
        <f t="shared" si="38"/>
        <v>1.7175</v>
      </c>
      <c r="R645" s="203">
        <v>0.25</v>
      </c>
      <c r="S645" s="203"/>
      <c r="T645" s="151"/>
      <c r="U645" s="151">
        <v>1.2</v>
      </c>
      <c r="V645" s="149">
        <v>0.25</v>
      </c>
      <c r="W645" s="151">
        <f t="shared" si="39"/>
        <v>0.25</v>
      </c>
      <c r="X645" s="152">
        <f t="shared" si="37"/>
        <v>1.7500000000000002E-2</v>
      </c>
      <c r="Y645" s="150">
        <f t="shared" si="36"/>
        <v>1.01</v>
      </c>
      <c r="Z645" s="152"/>
      <c r="AA645" s="148"/>
      <c r="AB645" s="148"/>
      <c r="AC645" s="153"/>
      <c r="AD645" s="153"/>
      <c r="AE645" s="153"/>
      <c r="AF645" s="153"/>
      <c r="AJ645" s="147"/>
    </row>
    <row r="646" spans="1:36" s="146" customFormat="1" x14ac:dyDescent="0.25">
      <c r="A646" s="196">
        <v>631</v>
      </c>
      <c r="B646" s="196" t="s">
        <v>3640</v>
      </c>
      <c r="C646" s="196" t="s">
        <v>3641</v>
      </c>
      <c r="D646" s="196" t="s">
        <v>1993</v>
      </c>
      <c r="E646" s="196" t="s">
        <v>1913</v>
      </c>
      <c r="F646" s="196">
        <v>2007</v>
      </c>
      <c r="G646" s="196"/>
      <c r="H646" s="196" t="s">
        <v>1878</v>
      </c>
      <c r="I646" s="141" t="s">
        <v>1879</v>
      </c>
      <c r="J646" s="196" t="s">
        <v>3642</v>
      </c>
      <c r="K646" s="196" t="s">
        <v>1881</v>
      </c>
      <c r="L646" s="141" t="s">
        <v>3643</v>
      </c>
      <c r="M646" s="196">
        <v>352</v>
      </c>
      <c r="N646" s="196"/>
      <c r="O646" s="196" t="s">
        <v>3544</v>
      </c>
      <c r="P646" s="144">
        <v>305</v>
      </c>
      <c r="Q646" s="145">
        <f t="shared" si="38"/>
        <v>2.7232999999999996</v>
      </c>
      <c r="R646" s="203">
        <v>1.19</v>
      </c>
      <c r="S646" s="203"/>
      <c r="T646" s="151"/>
      <c r="U646" s="151">
        <v>1.2</v>
      </c>
      <c r="V646" s="151">
        <v>0.25</v>
      </c>
      <c r="W646" s="151">
        <f t="shared" si="39"/>
        <v>1.19</v>
      </c>
      <c r="X646" s="152">
        <f t="shared" si="37"/>
        <v>8.3299999999999999E-2</v>
      </c>
      <c r="Y646" s="150">
        <f t="shared" si="36"/>
        <v>1.01</v>
      </c>
      <c r="Z646" s="152"/>
      <c r="AA646" s="148"/>
      <c r="AB646" s="148"/>
      <c r="AC646" s="153"/>
      <c r="AD646" s="153"/>
      <c r="AE646" s="153"/>
      <c r="AF646" s="153"/>
      <c r="AJ646" s="147"/>
    </row>
    <row r="647" spans="1:36" s="146" customFormat="1" x14ac:dyDescent="0.25">
      <c r="A647" s="196">
        <v>1395</v>
      </c>
      <c r="B647" s="196" t="s">
        <v>3644</v>
      </c>
      <c r="C647" s="196" t="s">
        <v>3645</v>
      </c>
      <c r="D647" s="196" t="s">
        <v>3646</v>
      </c>
      <c r="E647" s="196"/>
      <c r="F647" s="196"/>
      <c r="G647" s="196"/>
      <c r="H647" s="196" t="s">
        <v>1878</v>
      </c>
      <c r="I647" s="141" t="s">
        <v>1879</v>
      </c>
      <c r="J647" s="196" t="s">
        <v>3303</v>
      </c>
      <c r="K647" s="196" t="s">
        <v>1881</v>
      </c>
      <c r="L647" s="141"/>
      <c r="M647" s="196">
        <v>240</v>
      </c>
      <c r="N647" s="196"/>
      <c r="O647" s="196" t="s">
        <v>3545</v>
      </c>
      <c r="P647" s="144">
        <v>220</v>
      </c>
      <c r="Q647" s="145">
        <f t="shared" si="38"/>
        <v>2.5093000000000001</v>
      </c>
      <c r="R647" s="203">
        <v>0.99</v>
      </c>
      <c r="S647" s="203"/>
      <c r="T647" s="151"/>
      <c r="U647" s="151">
        <v>1.2</v>
      </c>
      <c r="V647" s="149">
        <v>0.25</v>
      </c>
      <c r="W647" s="151">
        <f t="shared" si="39"/>
        <v>0.99</v>
      </c>
      <c r="X647" s="152">
        <f t="shared" si="37"/>
        <v>6.93E-2</v>
      </c>
      <c r="Y647" s="150">
        <f t="shared" si="36"/>
        <v>1.01</v>
      </c>
      <c r="Z647" s="152"/>
      <c r="AA647" s="148"/>
      <c r="AB647" s="148"/>
      <c r="AC647" s="153"/>
      <c r="AD647" s="153"/>
      <c r="AE647" s="153"/>
      <c r="AF647" s="153"/>
      <c r="AJ647" s="147"/>
    </row>
    <row r="648" spans="1:36" s="146" customFormat="1" x14ac:dyDescent="0.25">
      <c r="A648" s="196">
        <v>2649</v>
      </c>
      <c r="B648" s="196" t="s">
        <v>3647</v>
      </c>
      <c r="C648" s="196" t="s">
        <v>3648</v>
      </c>
      <c r="D648" s="196" t="s">
        <v>2103</v>
      </c>
      <c r="E648" s="196"/>
      <c r="F648" s="196">
        <v>2012</v>
      </c>
      <c r="G648" s="196"/>
      <c r="H648" s="196" t="s">
        <v>1878</v>
      </c>
      <c r="I648" s="141" t="s">
        <v>1879</v>
      </c>
      <c r="J648" s="196" t="s">
        <v>3649</v>
      </c>
      <c r="K648" s="196" t="s">
        <v>1881</v>
      </c>
      <c r="L648" s="141" t="s">
        <v>3650</v>
      </c>
      <c r="M648" s="196">
        <v>146</v>
      </c>
      <c r="N648" s="196"/>
      <c r="O648" s="196" t="s">
        <v>3546</v>
      </c>
      <c r="P648" s="144">
        <v>92</v>
      </c>
      <c r="Q648" s="145">
        <f t="shared" si="38"/>
        <v>1.9742999999999999</v>
      </c>
      <c r="R648" s="203">
        <v>0.49</v>
      </c>
      <c r="S648" s="203"/>
      <c r="T648" s="151"/>
      <c r="U648" s="151">
        <v>1.2</v>
      </c>
      <c r="V648" s="151">
        <v>0.25</v>
      </c>
      <c r="W648" s="151">
        <f t="shared" si="39"/>
        <v>0.49</v>
      </c>
      <c r="X648" s="152">
        <f t="shared" si="37"/>
        <v>3.4299999999999997E-2</v>
      </c>
      <c r="Y648" s="150">
        <f t="shared" si="36"/>
        <v>1.01</v>
      </c>
      <c r="Z648" s="152"/>
      <c r="AA648" s="148"/>
      <c r="AB648" s="148"/>
      <c r="AC648" s="153"/>
      <c r="AD648" s="153"/>
      <c r="AE648" s="153"/>
      <c r="AF648" s="153"/>
      <c r="AJ648" s="147"/>
    </row>
    <row r="649" spans="1:36" s="146" customFormat="1" x14ac:dyDescent="0.25">
      <c r="A649" s="196">
        <v>2649</v>
      </c>
      <c r="B649" s="196" t="s">
        <v>3651</v>
      </c>
      <c r="C649" s="196" t="s">
        <v>3652</v>
      </c>
      <c r="D649" s="196" t="s">
        <v>2103</v>
      </c>
      <c r="E649" s="196"/>
      <c r="F649" s="196">
        <v>2013</v>
      </c>
      <c r="G649" s="196"/>
      <c r="H649" s="196" t="s">
        <v>1878</v>
      </c>
      <c r="I649" s="141" t="s">
        <v>1879</v>
      </c>
      <c r="J649" s="196" t="s">
        <v>3653</v>
      </c>
      <c r="K649" s="196" t="s">
        <v>1881</v>
      </c>
      <c r="L649" s="141" t="s">
        <v>3654</v>
      </c>
      <c r="M649" s="196">
        <v>290</v>
      </c>
      <c r="N649" s="196"/>
      <c r="O649" s="196" t="s">
        <v>3547</v>
      </c>
      <c r="P649" s="144">
        <v>170</v>
      </c>
      <c r="Q649" s="145">
        <f t="shared" si="38"/>
        <v>2.4022999999999999</v>
      </c>
      <c r="R649" s="203">
        <v>0.89</v>
      </c>
      <c r="S649" s="203"/>
      <c r="T649" s="151"/>
      <c r="U649" s="151">
        <v>1.2</v>
      </c>
      <c r="V649" s="149">
        <v>0.25</v>
      </c>
      <c r="W649" s="151">
        <f t="shared" si="39"/>
        <v>0.89</v>
      </c>
      <c r="X649" s="152">
        <f t="shared" si="37"/>
        <v>6.2300000000000001E-2</v>
      </c>
      <c r="Y649" s="150">
        <f t="shared" si="36"/>
        <v>1.01</v>
      </c>
      <c r="Z649" s="152"/>
      <c r="AA649" s="148"/>
      <c r="AB649" s="148"/>
      <c r="AC649" s="153"/>
      <c r="AD649" s="153"/>
      <c r="AE649" s="153"/>
      <c r="AF649" s="153"/>
      <c r="AJ649" s="147"/>
    </row>
    <row r="650" spans="1:36" s="146" customFormat="1" x14ac:dyDescent="0.25">
      <c r="A650" s="196">
        <v>2649</v>
      </c>
      <c r="B650" s="196" t="s">
        <v>3655</v>
      </c>
      <c r="C650" s="196" t="s">
        <v>3656</v>
      </c>
      <c r="D650" s="196" t="s">
        <v>2103</v>
      </c>
      <c r="E650" s="196"/>
      <c r="F650" s="196">
        <v>2012</v>
      </c>
      <c r="G650" s="196"/>
      <c r="H650" s="196" t="s">
        <v>1878</v>
      </c>
      <c r="I650" s="141" t="s">
        <v>1879</v>
      </c>
      <c r="J650" s="196" t="s">
        <v>3303</v>
      </c>
      <c r="K650" s="196" t="s">
        <v>1881</v>
      </c>
      <c r="L650" s="141" t="s">
        <v>3650</v>
      </c>
      <c r="M650" s="196">
        <v>146</v>
      </c>
      <c r="N650" s="196"/>
      <c r="O650" s="196" t="s">
        <v>3548</v>
      </c>
      <c r="P650" s="144">
        <v>93</v>
      </c>
      <c r="Q650" s="145">
        <f t="shared" si="38"/>
        <v>1.9742999999999999</v>
      </c>
      <c r="R650" s="203">
        <v>0.49</v>
      </c>
      <c r="S650" s="203"/>
      <c r="T650" s="151"/>
      <c r="U650" s="151">
        <v>1.2</v>
      </c>
      <c r="V650" s="151">
        <v>0.25</v>
      </c>
      <c r="W650" s="151">
        <f t="shared" si="39"/>
        <v>0.49</v>
      </c>
      <c r="X650" s="152">
        <f t="shared" si="37"/>
        <v>3.4299999999999997E-2</v>
      </c>
      <c r="Y650" s="150">
        <f t="shared" si="36"/>
        <v>1.01</v>
      </c>
      <c r="Z650" s="152"/>
      <c r="AA650" s="148"/>
      <c r="AB650" s="148"/>
      <c r="AC650" s="153"/>
      <c r="AD650" s="153"/>
      <c r="AE650" s="153"/>
      <c r="AF650" s="153"/>
      <c r="AJ650" s="147"/>
    </row>
    <row r="651" spans="1:36" s="146" customFormat="1" x14ac:dyDescent="0.25">
      <c r="A651" s="196">
        <v>2649</v>
      </c>
      <c r="B651" s="196" t="s">
        <v>3647</v>
      </c>
      <c r="C651" s="196" t="s">
        <v>3657</v>
      </c>
      <c r="D651" s="196" t="s">
        <v>2103</v>
      </c>
      <c r="E651" s="196"/>
      <c r="F651" s="196">
        <v>2011</v>
      </c>
      <c r="G651" s="196"/>
      <c r="H651" s="196" t="s">
        <v>1878</v>
      </c>
      <c r="I651" s="141" t="s">
        <v>1879</v>
      </c>
      <c r="J651" s="196" t="s">
        <v>3658</v>
      </c>
      <c r="K651" s="196" t="s">
        <v>1881</v>
      </c>
      <c r="L651" s="141" t="s">
        <v>3659</v>
      </c>
      <c r="M651" s="196">
        <v>146</v>
      </c>
      <c r="N651" s="196"/>
      <c r="O651" s="196" t="s">
        <v>3549</v>
      </c>
      <c r="P651" s="144">
        <v>99</v>
      </c>
      <c r="Q651" s="145">
        <f t="shared" si="38"/>
        <v>1.9742999999999999</v>
      </c>
      <c r="R651" s="203">
        <v>0.49</v>
      </c>
      <c r="S651" s="203"/>
      <c r="T651" s="151"/>
      <c r="U651" s="151">
        <v>1.2</v>
      </c>
      <c r="V651" s="149">
        <v>0.25</v>
      </c>
      <c r="W651" s="151">
        <f t="shared" si="39"/>
        <v>0.49</v>
      </c>
      <c r="X651" s="152">
        <f t="shared" si="37"/>
        <v>3.4299999999999997E-2</v>
      </c>
      <c r="Y651" s="150">
        <f t="shared" si="36"/>
        <v>1.01</v>
      </c>
      <c r="Z651" s="152"/>
      <c r="AA651" s="148"/>
      <c r="AB651" s="148"/>
      <c r="AC651" s="153"/>
      <c r="AD651" s="153"/>
      <c r="AE651" s="153"/>
      <c r="AF651" s="153"/>
      <c r="AJ651" s="147"/>
    </row>
    <row r="652" spans="1:36" s="146" customFormat="1" x14ac:dyDescent="0.25">
      <c r="A652" s="196">
        <v>2649</v>
      </c>
      <c r="B652" s="196" t="s">
        <v>3647</v>
      </c>
      <c r="C652" s="196" t="s">
        <v>3660</v>
      </c>
      <c r="D652" s="196" t="s">
        <v>2103</v>
      </c>
      <c r="E652" s="196"/>
      <c r="F652" s="196">
        <v>2011</v>
      </c>
      <c r="G652" s="196"/>
      <c r="H652" s="196" t="s">
        <v>1878</v>
      </c>
      <c r="I652" s="141" t="s">
        <v>1879</v>
      </c>
      <c r="J652" s="196" t="s">
        <v>3303</v>
      </c>
      <c r="K652" s="196" t="s">
        <v>1881</v>
      </c>
      <c r="L652" s="141" t="s">
        <v>3650</v>
      </c>
      <c r="M652" s="196">
        <v>146</v>
      </c>
      <c r="N652" s="196"/>
      <c r="O652" s="196" t="s">
        <v>3550</v>
      </c>
      <c r="P652" s="144">
        <v>93</v>
      </c>
      <c r="Q652" s="145">
        <f t="shared" si="38"/>
        <v>1.9742999999999999</v>
      </c>
      <c r="R652" s="203">
        <v>0.49</v>
      </c>
      <c r="S652" s="203"/>
      <c r="T652" s="151"/>
      <c r="U652" s="151">
        <v>1.2</v>
      </c>
      <c r="V652" s="151">
        <v>0.25</v>
      </c>
      <c r="W652" s="151">
        <f t="shared" si="39"/>
        <v>0.49</v>
      </c>
      <c r="X652" s="152">
        <f t="shared" si="37"/>
        <v>3.4299999999999997E-2</v>
      </c>
      <c r="Y652" s="150">
        <f t="shared" si="36"/>
        <v>1.01</v>
      </c>
      <c r="Z652" s="152"/>
      <c r="AA652" s="148"/>
      <c r="AB652" s="148"/>
      <c r="AC652" s="153"/>
      <c r="AD652" s="153"/>
      <c r="AE652" s="153"/>
      <c r="AF652" s="153"/>
      <c r="AJ652" s="147"/>
    </row>
    <row r="653" spans="1:36" s="146" customFormat="1" x14ac:dyDescent="0.25">
      <c r="A653" s="196">
        <v>2649</v>
      </c>
      <c r="B653" s="196" t="s">
        <v>3661</v>
      </c>
      <c r="C653" s="196" t="s">
        <v>3662</v>
      </c>
      <c r="D653" s="196" t="s">
        <v>2103</v>
      </c>
      <c r="E653" s="196"/>
      <c r="F653" s="196">
        <v>2014</v>
      </c>
      <c r="G653" s="196"/>
      <c r="H653" s="196" t="s">
        <v>1878</v>
      </c>
      <c r="I653" s="141" t="s">
        <v>1879</v>
      </c>
      <c r="J653" s="196" t="s">
        <v>3658</v>
      </c>
      <c r="K653" s="196" t="s">
        <v>1881</v>
      </c>
      <c r="L653" s="141" t="s">
        <v>3663</v>
      </c>
      <c r="M653" s="196">
        <v>290</v>
      </c>
      <c r="N653" s="196"/>
      <c r="O653" s="196" t="s">
        <v>3551</v>
      </c>
      <c r="P653" s="144">
        <v>170</v>
      </c>
      <c r="Q653" s="145">
        <f t="shared" si="38"/>
        <v>1.9742999999999999</v>
      </c>
      <c r="R653" s="203">
        <v>0.49</v>
      </c>
      <c r="S653" s="203"/>
      <c r="T653" s="151"/>
      <c r="U653" s="151">
        <v>1.2</v>
      </c>
      <c r="V653" s="149">
        <v>0.25</v>
      </c>
      <c r="W653" s="151">
        <f t="shared" si="39"/>
        <v>0.49</v>
      </c>
      <c r="X653" s="152">
        <f t="shared" si="37"/>
        <v>3.4299999999999997E-2</v>
      </c>
      <c r="Y653" s="150">
        <f t="shared" si="36"/>
        <v>1.01</v>
      </c>
      <c r="Z653" s="152"/>
      <c r="AA653" s="148"/>
      <c r="AB653" s="148"/>
      <c r="AC653" s="153"/>
      <c r="AD653" s="153"/>
      <c r="AE653" s="153"/>
      <c r="AF653" s="153"/>
      <c r="AJ653" s="147"/>
    </row>
    <row r="654" spans="1:36" s="146" customFormat="1" x14ac:dyDescent="0.25">
      <c r="A654" s="196">
        <v>2649</v>
      </c>
      <c r="B654" s="196" t="s">
        <v>3664</v>
      </c>
      <c r="C654" s="196" t="s">
        <v>3665</v>
      </c>
      <c r="D654" s="196" t="s">
        <v>2103</v>
      </c>
      <c r="E654" s="196"/>
      <c r="F654" s="196">
        <v>2000</v>
      </c>
      <c r="G654" s="196"/>
      <c r="H654" s="196" t="s">
        <v>1878</v>
      </c>
      <c r="I654" s="141" t="s">
        <v>1879</v>
      </c>
      <c r="J654" s="196" t="s">
        <v>3653</v>
      </c>
      <c r="K654" s="196" t="s">
        <v>1881</v>
      </c>
      <c r="L654" s="141" t="s">
        <v>3666</v>
      </c>
      <c r="M654" s="196">
        <v>386</v>
      </c>
      <c r="N654" s="196"/>
      <c r="O654" s="196" t="s">
        <v>3552</v>
      </c>
      <c r="P654" s="144">
        <v>238</v>
      </c>
      <c r="Q654" s="145">
        <f t="shared" si="38"/>
        <v>3.7932999999999995</v>
      </c>
      <c r="R654" s="203">
        <v>2.19</v>
      </c>
      <c r="S654" s="203"/>
      <c r="T654" s="151"/>
      <c r="U654" s="151">
        <v>1.2</v>
      </c>
      <c r="V654" s="151">
        <v>0.25</v>
      </c>
      <c r="W654" s="151">
        <f t="shared" si="39"/>
        <v>2.19</v>
      </c>
      <c r="X654" s="152">
        <f t="shared" si="37"/>
        <v>0.15329999999999999</v>
      </c>
      <c r="Y654" s="150">
        <f t="shared" si="36"/>
        <v>1.01</v>
      </c>
      <c r="Z654" s="152"/>
      <c r="AA654" s="148"/>
      <c r="AB654" s="148"/>
      <c r="AC654" s="153"/>
      <c r="AD654" s="153"/>
      <c r="AE654" s="153"/>
      <c r="AF654" s="153"/>
      <c r="AJ654" s="147"/>
    </row>
    <row r="655" spans="1:36" s="146" customFormat="1" x14ac:dyDescent="0.25">
      <c r="A655" s="196">
        <v>2649</v>
      </c>
      <c r="B655" s="196" t="s">
        <v>3667</v>
      </c>
      <c r="C655" s="196" t="s">
        <v>3668</v>
      </c>
      <c r="D655" s="196" t="s">
        <v>2103</v>
      </c>
      <c r="E655" s="196"/>
      <c r="F655" s="196">
        <v>2008</v>
      </c>
      <c r="G655" s="196"/>
      <c r="H655" s="196" t="s">
        <v>1878</v>
      </c>
      <c r="I655" s="141" t="s">
        <v>1879</v>
      </c>
      <c r="J655" s="196" t="s">
        <v>3669</v>
      </c>
      <c r="K655" s="196" t="s">
        <v>1881</v>
      </c>
      <c r="L655" s="141" t="s">
        <v>3659</v>
      </c>
      <c r="M655" s="196">
        <v>146</v>
      </c>
      <c r="N655" s="196"/>
      <c r="O655" s="196" t="s">
        <v>3553</v>
      </c>
      <c r="P655" s="144">
        <v>94</v>
      </c>
      <c r="Q655" s="145">
        <f t="shared" si="38"/>
        <v>1.9742999999999999</v>
      </c>
      <c r="R655" s="203">
        <v>0.49</v>
      </c>
      <c r="S655" s="203"/>
      <c r="T655" s="151"/>
      <c r="U655" s="151">
        <v>1.2</v>
      </c>
      <c r="V655" s="149">
        <v>0.25</v>
      </c>
      <c r="W655" s="151">
        <f t="shared" si="39"/>
        <v>0.49</v>
      </c>
      <c r="X655" s="152">
        <f t="shared" si="37"/>
        <v>3.4299999999999997E-2</v>
      </c>
      <c r="Y655" s="150">
        <f t="shared" si="36"/>
        <v>1.01</v>
      </c>
      <c r="Z655" s="152"/>
      <c r="AA655" s="148"/>
      <c r="AB655" s="148"/>
      <c r="AC655" s="153"/>
      <c r="AD655" s="153"/>
      <c r="AE655" s="153"/>
      <c r="AF655" s="153"/>
      <c r="AJ655" s="147"/>
    </row>
    <row r="656" spans="1:36" s="146" customFormat="1" ht="52.8" x14ac:dyDescent="0.25">
      <c r="A656" s="196">
        <v>690</v>
      </c>
      <c r="B656" s="196" t="s">
        <v>3670</v>
      </c>
      <c r="C656" s="196" t="s">
        <v>3671</v>
      </c>
      <c r="D656" s="196" t="s">
        <v>807</v>
      </c>
      <c r="E656" s="196" t="s">
        <v>2014</v>
      </c>
      <c r="F656" s="196">
        <v>2004</v>
      </c>
      <c r="G656" s="196"/>
      <c r="H656" s="196" t="s">
        <v>1878</v>
      </c>
      <c r="I656" s="141" t="s">
        <v>1879</v>
      </c>
      <c r="J656" s="142" t="s">
        <v>3673</v>
      </c>
      <c r="K656" s="196" t="s">
        <v>1881</v>
      </c>
      <c r="L656" s="141" t="s">
        <v>3672</v>
      </c>
      <c r="M656" s="196">
        <v>160</v>
      </c>
      <c r="N656" s="196"/>
      <c r="O656" s="196" t="s">
        <v>3554</v>
      </c>
      <c r="P656" s="144">
        <v>179</v>
      </c>
      <c r="Q656" s="145">
        <f t="shared" si="38"/>
        <v>2.4022999999999999</v>
      </c>
      <c r="R656" s="203">
        <v>0.89</v>
      </c>
      <c r="S656" s="203"/>
      <c r="T656" s="151"/>
      <c r="U656" s="151">
        <v>1.2</v>
      </c>
      <c r="V656" s="151">
        <v>0.25</v>
      </c>
      <c r="W656" s="151">
        <f t="shared" si="39"/>
        <v>0.89</v>
      </c>
      <c r="X656" s="152">
        <f t="shared" si="37"/>
        <v>6.2300000000000001E-2</v>
      </c>
      <c r="Y656" s="150">
        <f t="shared" si="36"/>
        <v>1.01</v>
      </c>
      <c r="Z656" s="152"/>
      <c r="AA656" s="148"/>
      <c r="AB656" s="148"/>
      <c r="AC656" s="153"/>
      <c r="AD656" s="153"/>
      <c r="AE656" s="153"/>
      <c r="AF656" s="153"/>
      <c r="AJ656" s="147"/>
    </row>
    <row r="657" spans="1:36" s="146" customFormat="1" x14ac:dyDescent="0.25">
      <c r="A657" s="196">
        <v>764</v>
      </c>
      <c r="B657" s="196"/>
      <c r="C657" s="196" t="s">
        <v>3674</v>
      </c>
      <c r="D657" s="196" t="s">
        <v>3675</v>
      </c>
      <c r="E657" s="196" t="s">
        <v>1913</v>
      </c>
      <c r="F657" s="196">
        <v>1997</v>
      </c>
      <c r="G657" s="196"/>
      <c r="H657" s="196" t="s">
        <v>1878</v>
      </c>
      <c r="I657" s="141" t="s">
        <v>1879</v>
      </c>
      <c r="J657" s="196" t="s">
        <v>2237</v>
      </c>
      <c r="K657" s="196" t="s">
        <v>1881</v>
      </c>
      <c r="L657" s="141" t="s">
        <v>3676</v>
      </c>
      <c r="M657" s="196">
        <v>240</v>
      </c>
      <c r="N657" s="196"/>
      <c r="O657" s="196" t="s">
        <v>3555</v>
      </c>
      <c r="P657" s="144">
        <v>323</v>
      </c>
      <c r="Q657" s="145">
        <f t="shared" si="38"/>
        <v>1.7175</v>
      </c>
      <c r="R657" s="203">
        <v>0.25</v>
      </c>
      <c r="S657" s="203"/>
      <c r="T657" s="151"/>
      <c r="U657" s="151">
        <v>1.2</v>
      </c>
      <c r="V657" s="149">
        <v>0.25</v>
      </c>
      <c r="W657" s="151">
        <f t="shared" si="39"/>
        <v>0.25</v>
      </c>
      <c r="X657" s="152">
        <f t="shared" si="37"/>
        <v>1.7500000000000002E-2</v>
      </c>
      <c r="Y657" s="150">
        <f t="shared" si="36"/>
        <v>1.01</v>
      </c>
      <c r="Z657" s="152"/>
      <c r="AA657" s="148"/>
      <c r="AB657" s="148"/>
      <c r="AC657" s="153"/>
      <c r="AD657" s="153"/>
      <c r="AE657" s="153"/>
      <c r="AF657" s="153"/>
      <c r="AJ657" s="147"/>
    </row>
    <row r="658" spans="1:36" s="146" customFormat="1" ht="52.8" x14ac:dyDescent="0.25">
      <c r="A658" s="196">
        <v>1395</v>
      </c>
      <c r="B658" s="196" t="s">
        <v>3677</v>
      </c>
      <c r="C658" s="196" t="s">
        <v>3678</v>
      </c>
      <c r="D658" s="196" t="s">
        <v>2609</v>
      </c>
      <c r="E658" s="196"/>
      <c r="F658" s="196">
        <v>2007</v>
      </c>
      <c r="G658" s="196"/>
      <c r="H658" s="196" t="s">
        <v>1878</v>
      </c>
      <c r="I658" s="141" t="s">
        <v>1879</v>
      </c>
      <c r="J658" s="142" t="s">
        <v>3679</v>
      </c>
      <c r="K658" s="196" t="s">
        <v>1881</v>
      </c>
      <c r="L658" s="141" t="s">
        <v>3680</v>
      </c>
      <c r="M658" s="196">
        <v>384</v>
      </c>
      <c r="N658" s="196"/>
      <c r="O658" s="196" t="s">
        <v>3556</v>
      </c>
      <c r="P658" s="144">
        <v>490</v>
      </c>
      <c r="Q658" s="145">
        <f t="shared" si="38"/>
        <v>0.51749999999999996</v>
      </c>
      <c r="R658" s="203">
        <v>0.25</v>
      </c>
      <c r="S658" s="203"/>
      <c r="T658" s="151"/>
      <c r="U658" s="151"/>
      <c r="V658" s="151">
        <v>0.25</v>
      </c>
      <c r="W658" s="151">
        <f t="shared" si="39"/>
        <v>0.25</v>
      </c>
      <c r="X658" s="152">
        <f t="shared" si="37"/>
        <v>1.7500000000000002E-2</v>
      </c>
      <c r="Y658" s="150">
        <f t="shared" si="36"/>
        <v>1.01</v>
      </c>
      <c r="Z658" s="152"/>
      <c r="AA658" s="148"/>
      <c r="AB658" s="148"/>
      <c r="AC658" s="153"/>
      <c r="AD658" s="153"/>
      <c r="AE658" s="153"/>
      <c r="AF658" s="153"/>
      <c r="AJ658" s="147"/>
    </row>
    <row r="659" spans="1:36" s="146" customFormat="1" x14ac:dyDescent="0.25">
      <c r="A659" s="196">
        <v>721</v>
      </c>
      <c r="B659" s="196"/>
      <c r="C659" s="196" t="s">
        <v>3681</v>
      </c>
      <c r="D659" s="196" t="s">
        <v>3682</v>
      </c>
      <c r="E659" s="196"/>
      <c r="F659" s="196">
        <v>2009</v>
      </c>
      <c r="G659" s="196"/>
      <c r="H659" s="196" t="s">
        <v>1878</v>
      </c>
      <c r="I659" s="141" t="s">
        <v>1879</v>
      </c>
      <c r="J659" s="196" t="s">
        <v>2237</v>
      </c>
      <c r="K659" s="196" t="s">
        <v>1881</v>
      </c>
      <c r="L659" s="141" t="s">
        <v>3683</v>
      </c>
      <c r="M659" s="196">
        <v>64</v>
      </c>
      <c r="N659" s="196"/>
      <c r="O659" s="196" t="s">
        <v>3557</v>
      </c>
      <c r="P659" s="144">
        <v>88</v>
      </c>
      <c r="Q659" s="145">
        <f t="shared" si="38"/>
        <v>1.7175</v>
      </c>
      <c r="R659" s="203">
        <v>0.25</v>
      </c>
      <c r="S659" s="203"/>
      <c r="T659" s="151"/>
      <c r="U659" s="151">
        <v>1.2</v>
      </c>
      <c r="V659" s="149">
        <v>0.25</v>
      </c>
      <c r="W659" s="151">
        <f t="shared" si="39"/>
        <v>0.25</v>
      </c>
      <c r="X659" s="152">
        <f t="shared" si="37"/>
        <v>1.7500000000000002E-2</v>
      </c>
      <c r="Y659" s="150">
        <f t="shared" si="36"/>
        <v>1.01</v>
      </c>
      <c r="Z659" s="152"/>
      <c r="AA659" s="148"/>
      <c r="AB659" s="148"/>
      <c r="AC659" s="153"/>
      <c r="AD659" s="153"/>
      <c r="AE659" s="153"/>
      <c r="AF659" s="153"/>
      <c r="AJ659" s="147"/>
    </row>
    <row r="660" spans="1:36" s="146" customFormat="1" x14ac:dyDescent="0.25">
      <c r="A660" s="196">
        <v>632</v>
      </c>
      <c r="B660" s="196" t="s">
        <v>3687</v>
      </c>
      <c r="C660" s="196" t="s">
        <v>3688</v>
      </c>
      <c r="D660" s="196"/>
      <c r="E660" s="196"/>
      <c r="F660" s="196">
        <v>2014</v>
      </c>
      <c r="G660" s="196"/>
      <c r="H660" s="196" t="s">
        <v>2295</v>
      </c>
      <c r="I660" s="141" t="s">
        <v>1879</v>
      </c>
      <c r="J660" s="196" t="s">
        <v>3653</v>
      </c>
      <c r="K660" s="196" t="s">
        <v>1881</v>
      </c>
      <c r="L660" s="141"/>
      <c r="M660" s="196">
        <v>642</v>
      </c>
      <c r="N660" s="196"/>
      <c r="O660" s="196" t="s">
        <v>3559</v>
      </c>
      <c r="P660" s="144">
        <v>673</v>
      </c>
      <c r="Q660" s="145">
        <f t="shared" si="38"/>
        <v>2.7953000000000001</v>
      </c>
      <c r="R660" s="203">
        <v>0.79</v>
      </c>
      <c r="S660" s="203"/>
      <c r="T660" s="151"/>
      <c r="U660" s="151">
        <v>1.7</v>
      </c>
      <c r="V660" s="151">
        <v>0.25</v>
      </c>
      <c r="W660" s="151">
        <f t="shared" si="39"/>
        <v>0.79</v>
      </c>
      <c r="X660" s="152">
        <f t="shared" si="37"/>
        <v>5.5300000000000002E-2</v>
      </c>
      <c r="Y660" s="150">
        <f t="shared" si="36"/>
        <v>1.01</v>
      </c>
      <c r="Z660" s="152"/>
      <c r="AA660" s="148"/>
      <c r="AB660" s="148"/>
      <c r="AC660" s="153"/>
      <c r="AD660" s="153"/>
      <c r="AE660" s="153"/>
      <c r="AF660" s="153"/>
      <c r="AJ660" s="147"/>
    </row>
    <row r="661" spans="1:36" s="146" customFormat="1" ht="26.4" x14ac:dyDescent="0.25">
      <c r="A661" s="196">
        <v>2553</v>
      </c>
      <c r="B661" s="196" t="s">
        <v>3689</v>
      </c>
      <c r="C661" s="196" t="s">
        <v>3690</v>
      </c>
      <c r="D661" s="196" t="s">
        <v>2453</v>
      </c>
      <c r="E661" s="196" t="s">
        <v>1913</v>
      </c>
      <c r="F661" s="196">
        <v>2006</v>
      </c>
      <c r="G661" s="196"/>
      <c r="H661" s="196" t="s">
        <v>1878</v>
      </c>
      <c r="I661" s="141" t="s">
        <v>1879</v>
      </c>
      <c r="J661" s="142" t="s">
        <v>2237</v>
      </c>
      <c r="K661" s="196" t="s">
        <v>1881</v>
      </c>
      <c r="L661" s="141" t="s">
        <v>3691</v>
      </c>
      <c r="M661" s="196">
        <v>256</v>
      </c>
      <c r="N661" s="196"/>
      <c r="O661" s="196" t="s">
        <v>3560</v>
      </c>
      <c r="P661" s="144">
        <v>279</v>
      </c>
      <c r="Q661" s="145">
        <f t="shared" si="38"/>
        <v>1.9315</v>
      </c>
      <c r="R661" s="203">
        <v>0.45</v>
      </c>
      <c r="S661" s="203"/>
      <c r="T661" s="151"/>
      <c r="U661" s="151">
        <v>1.2</v>
      </c>
      <c r="V661" s="149">
        <v>0.25</v>
      </c>
      <c r="W661" s="151">
        <f t="shared" si="39"/>
        <v>0.45</v>
      </c>
      <c r="X661" s="152">
        <f t="shared" si="37"/>
        <v>3.15E-2</v>
      </c>
      <c r="Y661" s="150">
        <f t="shared" si="36"/>
        <v>1.01</v>
      </c>
      <c r="Z661" s="152"/>
      <c r="AA661" s="148"/>
      <c r="AB661" s="148"/>
      <c r="AC661" s="153"/>
      <c r="AD661" s="153"/>
      <c r="AE661" s="153"/>
      <c r="AF661" s="153"/>
      <c r="AJ661" s="147"/>
    </row>
    <row r="662" spans="1:36" s="146" customFormat="1" x14ac:dyDescent="0.25">
      <c r="A662" s="196">
        <v>796</v>
      </c>
      <c r="B662" s="196" t="s">
        <v>3692</v>
      </c>
      <c r="C662" s="196" t="s">
        <v>3693</v>
      </c>
      <c r="D662" s="196" t="s">
        <v>1920</v>
      </c>
      <c r="E662" s="196"/>
      <c r="F662" s="196">
        <v>2013</v>
      </c>
      <c r="G662" s="196"/>
      <c r="H662" s="196" t="s">
        <v>3694</v>
      </c>
      <c r="I662" s="141" t="s">
        <v>1879</v>
      </c>
      <c r="J662" s="196" t="s">
        <v>2237</v>
      </c>
      <c r="K662" s="196" t="s">
        <v>1881</v>
      </c>
      <c r="L662" s="141" t="s">
        <v>3695</v>
      </c>
      <c r="M662" s="196">
        <v>480</v>
      </c>
      <c r="N662" s="196"/>
      <c r="O662" s="196" t="s">
        <v>3561</v>
      </c>
      <c r="P662" s="144">
        <v>409</v>
      </c>
      <c r="Q662" s="145">
        <f t="shared" si="38"/>
        <v>1.9742999999999999</v>
      </c>
      <c r="R662" s="203">
        <v>0.49</v>
      </c>
      <c r="S662" s="203"/>
      <c r="T662" s="151"/>
      <c r="U662" s="151">
        <v>1.2</v>
      </c>
      <c r="V662" s="151">
        <v>0.25</v>
      </c>
      <c r="W662" s="151">
        <f t="shared" si="39"/>
        <v>0.49</v>
      </c>
      <c r="X662" s="152">
        <f t="shared" si="37"/>
        <v>3.4299999999999997E-2</v>
      </c>
      <c r="Y662" s="150">
        <f t="shared" si="36"/>
        <v>1.01</v>
      </c>
      <c r="Z662" s="152"/>
      <c r="AA662" s="148"/>
      <c r="AB662" s="148"/>
      <c r="AC662" s="153"/>
      <c r="AD662" s="153"/>
      <c r="AE662" s="153"/>
      <c r="AF662" s="153"/>
      <c r="AJ662" s="147"/>
    </row>
    <row r="663" spans="1:36" s="146" customFormat="1" x14ac:dyDescent="0.25">
      <c r="A663" s="196">
        <v>1312</v>
      </c>
      <c r="B663" s="196" t="s">
        <v>3696</v>
      </c>
      <c r="C663" s="196" t="s">
        <v>3697</v>
      </c>
      <c r="D663" s="196" t="s">
        <v>3212</v>
      </c>
      <c r="E663" s="196"/>
      <c r="F663" s="196">
        <v>2000</v>
      </c>
      <c r="G663" s="196"/>
      <c r="H663" s="196" t="s">
        <v>2295</v>
      </c>
      <c r="I663" s="141" t="s">
        <v>1929</v>
      </c>
      <c r="J663" s="196"/>
      <c r="K663" s="196" t="s">
        <v>1881</v>
      </c>
      <c r="L663" s="141" t="s">
        <v>3698</v>
      </c>
      <c r="M663" s="196">
        <v>66</v>
      </c>
      <c r="N663" s="196"/>
      <c r="O663" s="196" t="s">
        <v>3562</v>
      </c>
      <c r="P663" s="144">
        <v>324</v>
      </c>
      <c r="Q663" s="145">
        <f t="shared" si="38"/>
        <v>1.9315</v>
      </c>
      <c r="R663" s="203">
        <v>0.45</v>
      </c>
      <c r="S663" s="203"/>
      <c r="T663" s="151"/>
      <c r="U663" s="151">
        <v>1.2</v>
      </c>
      <c r="V663" s="149">
        <v>0.25</v>
      </c>
      <c r="W663" s="151">
        <f t="shared" si="39"/>
        <v>0.45</v>
      </c>
      <c r="X663" s="152">
        <f t="shared" si="37"/>
        <v>3.15E-2</v>
      </c>
      <c r="Y663" s="150">
        <f t="shared" si="36"/>
        <v>1.01</v>
      </c>
      <c r="Z663" s="152"/>
      <c r="AA663" s="148"/>
      <c r="AB663" s="148"/>
      <c r="AC663" s="153"/>
      <c r="AD663" s="153"/>
      <c r="AE663" s="153"/>
      <c r="AF663" s="153"/>
      <c r="AJ663" s="147"/>
    </row>
    <row r="664" spans="1:36" x14ac:dyDescent="0.25">
      <c r="Y664" s="150">
        <f t="shared" si="36"/>
        <v>1.01</v>
      </c>
    </row>
    <row r="665" spans="1:36" s="146" customFormat="1" x14ac:dyDescent="0.25">
      <c r="A665" s="196">
        <v>796</v>
      </c>
      <c r="B665" s="196" t="s">
        <v>3701</v>
      </c>
      <c r="C665" s="196" t="s">
        <v>3702</v>
      </c>
      <c r="D665" s="196" t="s">
        <v>2036</v>
      </c>
      <c r="E665" s="196"/>
      <c r="F665" s="196">
        <v>2001</v>
      </c>
      <c r="G665" s="196"/>
      <c r="H665" s="196" t="s">
        <v>2295</v>
      </c>
      <c r="I665" s="141" t="s">
        <v>1879</v>
      </c>
      <c r="J665" s="196" t="s">
        <v>3704</v>
      </c>
      <c r="K665" s="196" t="s">
        <v>1881</v>
      </c>
      <c r="L665" s="141" t="s">
        <v>3703</v>
      </c>
      <c r="M665" s="196">
        <v>466</v>
      </c>
      <c r="N665" s="196"/>
      <c r="O665" s="196" t="s">
        <v>3564</v>
      </c>
      <c r="P665" s="144">
        <v>660</v>
      </c>
      <c r="Q665" s="145">
        <f t="shared" si="38"/>
        <v>2.2175000000000002</v>
      </c>
      <c r="R665" s="203">
        <v>0.25</v>
      </c>
      <c r="S665" s="203"/>
      <c r="T665" s="151"/>
      <c r="U665" s="151">
        <v>1.7</v>
      </c>
      <c r="V665" s="149">
        <v>0.25</v>
      </c>
      <c r="W665" s="151">
        <f t="shared" si="39"/>
        <v>0.25</v>
      </c>
      <c r="X665" s="152">
        <f t="shared" si="37"/>
        <v>1.7500000000000002E-2</v>
      </c>
      <c r="Y665" s="150">
        <f t="shared" si="36"/>
        <v>1.01</v>
      </c>
      <c r="Z665" s="152"/>
      <c r="AA665" s="148"/>
      <c r="AB665" s="148"/>
      <c r="AC665" s="153"/>
      <c r="AD665" s="153"/>
      <c r="AE665" s="153"/>
      <c r="AF665" s="153"/>
      <c r="AJ665" s="147"/>
    </row>
    <row r="666" spans="1:36" s="146" customFormat="1" x14ac:dyDescent="0.25">
      <c r="A666" s="196">
        <v>1875</v>
      </c>
      <c r="B666" s="196" t="s">
        <v>3710</v>
      </c>
      <c r="C666" s="196" t="s">
        <v>3708</v>
      </c>
      <c r="D666" s="196" t="s">
        <v>3709</v>
      </c>
      <c r="E666" s="196"/>
      <c r="F666" s="196">
        <v>2002</v>
      </c>
      <c r="G666" s="196"/>
      <c r="H666" s="196" t="s">
        <v>2295</v>
      </c>
      <c r="I666" s="141" t="s">
        <v>1929</v>
      </c>
      <c r="J666" s="196" t="s">
        <v>2884</v>
      </c>
      <c r="K666" s="196" t="s">
        <v>1881</v>
      </c>
      <c r="L666" s="141" t="s">
        <v>3711</v>
      </c>
      <c r="M666" s="196"/>
      <c r="N666" s="196"/>
      <c r="O666" s="196" t="s">
        <v>3566</v>
      </c>
      <c r="P666" s="144">
        <v>220</v>
      </c>
      <c r="Q666" s="145">
        <f t="shared" si="38"/>
        <v>3.0442999999999998</v>
      </c>
      <c r="R666" s="203">
        <v>1.49</v>
      </c>
      <c r="S666" s="203"/>
      <c r="T666" s="151"/>
      <c r="U666" s="151">
        <v>1.2</v>
      </c>
      <c r="V666" s="151">
        <v>0.25</v>
      </c>
      <c r="W666" s="151">
        <f t="shared" si="39"/>
        <v>1.49</v>
      </c>
      <c r="X666" s="152">
        <f t="shared" si="37"/>
        <v>0.1043</v>
      </c>
      <c r="Y666" s="150">
        <f t="shared" si="36"/>
        <v>1.01</v>
      </c>
      <c r="Z666" s="152"/>
      <c r="AA666" s="148"/>
      <c r="AB666" s="148"/>
      <c r="AC666" s="153"/>
      <c r="AD666" s="153"/>
      <c r="AE666" s="153"/>
      <c r="AF666" s="153"/>
      <c r="AJ666" s="147"/>
    </row>
    <row r="667" spans="1:36" x14ac:dyDescent="0.25">
      <c r="Y667" s="150">
        <f t="shared" si="36"/>
        <v>1.01</v>
      </c>
      <c r="AC667" s="154"/>
      <c r="AD667" s="154"/>
      <c r="AE667" s="154"/>
      <c r="AF667" s="154"/>
    </row>
    <row r="668" spans="1:36" s="146" customFormat="1" x14ac:dyDescent="0.25">
      <c r="A668" s="196">
        <v>765</v>
      </c>
      <c r="B668" s="196" t="s">
        <v>3715</v>
      </c>
      <c r="C668" s="196" t="s">
        <v>3716</v>
      </c>
      <c r="D668" s="196" t="s">
        <v>2309</v>
      </c>
      <c r="E668" s="196" t="s">
        <v>1913</v>
      </c>
      <c r="F668" s="196">
        <v>2007</v>
      </c>
      <c r="G668" s="196"/>
      <c r="H668" s="196" t="s">
        <v>1878</v>
      </c>
      <c r="I668" s="141" t="s">
        <v>1879</v>
      </c>
      <c r="J668" s="196" t="s">
        <v>3303</v>
      </c>
      <c r="K668" s="196" t="s">
        <v>1881</v>
      </c>
      <c r="L668" s="141" t="s">
        <v>3717</v>
      </c>
      <c r="M668" s="196">
        <v>144</v>
      </c>
      <c r="N668" s="196"/>
      <c r="O668" s="196" t="s">
        <v>3568</v>
      </c>
      <c r="P668" s="144">
        <v>132</v>
      </c>
      <c r="Q668" s="145">
        <f t="shared" si="38"/>
        <v>3.6863000000000001</v>
      </c>
      <c r="R668" s="203">
        <v>2.09</v>
      </c>
      <c r="S668" s="203"/>
      <c r="T668" s="151"/>
      <c r="U668" s="151">
        <v>1.2</v>
      </c>
      <c r="V668" s="151">
        <v>0.25</v>
      </c>
      <c r="W668" s="151">
        <f t="shared" si="39"/>
        <v>2.09</v>
      </c>
      <c r="X668" s="152">
        <f t="shared" si="37"/>
        <v>0.14629999999999999</v>
      </c>
      <c r="Y668" s="150">
        <f t="shared" si="36"/>
        <v>1.01</v>
      </c>
      <c r="Z668" s="152"/>
      <c r="AA668" s="148"/>
      <c r="AB668" s="148"/>
      <c r="AC668" s="153"/>
      <c r="AD668" s="153"/>
      <c r="AE668" s="153"/>
      <c r="AF668" s="153"/>
      <c r="AJ668" s="147"/>
    </row>
    <row r="669" spans="1:36" s="146" customFormat="1" x14ac:dyDescent="0.25">
      <c r="A669" s="196">
        <v>643</v>
      </c>
      <c r="B669" s="196" t="s">
        <v>3718</v>
      </c>
      <c r="C669" s="196" t="s">
        <v>3719</v>
      </c>
      <c r="D669" s="196" t="s">
        <v>2257</v>
      </c>
      <c r="E669" s="196"/>
      <c r="F669" s="196"/>
      <c r="G669" s="196"/>
      <c r="H669" s="196" t="s">
        <v>1878</v>
      </c>
      <c r="I669" s="141" t="s">
        <v>1879</v>
      </c>
      <c r="J669" s="196" t="s">
        <v>3653</v>
      </c>
      <c r="K669" s="196" t="s">
        <v>1881</v>
      </c>
      <c r="L669" s="141" t="s">
        <v>3720</v>
      </c>
      <c r="M669" s="196"/>
      <c r="N669" s="196"/>
      <c r="O669" s="196" t="s">
        <v>3569</v>
      </c>
      <c r="P669" s="144">
        <v>419</v>
      </c>
      <c r="Q669" s="145">
        <f t="shared" si="38"/>
        <v>1.8244999999999998</v>
      </c>
      <c r="R669" s="203">
        <v>0.35</v>
      </c>
      <c r="S669" s="203"/>
      <c r="T669" s="151"/>
      <c r="U669" s="151">
        <v>1.2</v>
      </c>
      <c r="V669" s="149">
        <v>0.25</v>
      </c>
      <c r="W669" s="151">
        <f t="shared" si="39"/>
        <v>0.35</v>
      </c>
      <c r="X669" s="152">
        <f t="shared" si="37"/>
        <v>2.4499999999999997E-2</v>
      </c>
      <c r="Y669" s="150">
        <f t="shared" si="36"/>
        <v>1.01</v>
      </c>
      <c r="Z669" s="152"/>
      <c r="AA669" s="148"/>
      <c r="AB669" s="148"/>
      <c r="AC669" s="153"/>
      <c r="AD669" s="153"/>
      <c r="AE669" s="153"/>
      <c r="AF669" s="153"/>
      <c r="AJ669" s="147"/>
    </row>
    <row r="670" spans="1:36" s="146" customFormat="1" x14ac:dyDescent="0.25">
      <c r="A670" s="196">
        <v>2410</v>
      </c>
      <c r="B670" s="196" t="s">
        <v>3721</v>
      </c>
      <c r="C670" s="196" t="s">
        <v>3722</v>
      </c>
      <c r="D670" s="196" t="s">
        <v>2007</v>
      </c>
      <c r="E670" s="196"/>
      <c r="F670" s="196">
        <v>2011</v>
      </c>
      <c r="G670" s="196"/>
      <c r="H670" s="196" t="s">
        <v>2008</v>
      </c>
      <c r="I670" s="141" t="s">
        <v>1879</v>
      </c>
      <c r="J670" s="196" t="s">
        <v>2237</v>
      </c>
      <c r="K670" s="196" t="s">
        <v>1881</v>
      </c>
      <c r="L670" s="141" t="s">
        <v>3723</v>
      </c>
      <c r="M670" s="196">
        <v>360</v>
      </c>
      <c r="N670" s="196"/>
      <c r="O670" s="196" t="s">
        <v>3570</v>
      </c>
      <c r="P670" s="144">
        <v>153</v>
      </c>
      <c r="Q670" s="145">
        <f t="shared" si="38"/>
        <v>1.9742999999999999</v>
      </c>
      <c r="R670" s="203">
        <v>0.49</v>
      </c>
      <c r="S670" s="203"/>
      <c r="T670" s="151"/>
      <c r="U670" s="151">
        <v>1.2</v>
      </c>
      <c r="V670" s="151">
        <v>0.25</v>
      </c>
      <c r="W670" s="151">
        <f t="shared" si="39"/>
        <v>0.49</v>
      </c>
      <c r="X670" s="152">
        <f t="shared" si="37"/>
        <v>3.4299999999999997E-2</v>
      </c>
      <c r="Y670" s="150">
        <f t="shared" si="36"/>
        <v>1.01</v>
      </c>
      <c r="Z670" s="152"/>
      <c r="AA670" s="148"/>
      <c r="AB670" s="148"/>
      <c r="AC670" s="153"/>
      <c r="AD670" s="153"/>
      <c r="AE670" s="153"/>
      <c r="AF670" s="153"/>
      <c r="AJ670" s="147"/>
    </row>
    <row r="671" spans="1:36" s="146" customFormat="1" x14ac:dyDescent="0.25">
      <c r="A671" s="196">
        <v>2522</v>
      </c>
      <c r="B671" s="196" t="s">
        <v>2191</v>
      </c>
      <c r="C671" s="196" t="s">
        <v>3724</v>
      </c>
      <c r="D671" s="196" t="s">
        <v>1912</v>
      </c>
      <c r="E671" s="196" t="s">
        <v>2335</v>
      </c>
      <c r="F671" s="196">
        <v>2004</v>
      </c>
      <c r="G671" s="196"/>
      <c r="H671" s="196" t="s">
        <v>1878</v>
      </c>
      <c r="I671" s="141" t="s">
        <v>1879</v>
      </c>
      <c r="J671" s="196" t="s">
        <v>3006</v>
      </c>
      <c r="K671" s="196" t="s">
        <v>1881</v>
      </c>
      <c r="L671" s="141" t="s">
        <v>3725</v>
      </c>
      <c r="M671" s="196">
        <v>448</v>
      </c>
      <c r="N671" s="196"/>
      <c r="O671" s="196" t="s">
        <v>3571</v>
      </c>
      <c r="P671" s="144">
        <v>349</v>
      </c>
      <c r="Q671" s="145">
        <f t="shared" si="38"/>
        <v>1.7175</v>
      </c>
      <c r="R671" s="203">
        <v>0.25</v>
      </c>
      <c r="S671" s="203"/>
      <c r="T671" s="151"/>
      <c r="U671" s="151">
        <v>1.2</v>
      </c>
      <c r="V671" s="149">
        <v>0.25</v>
      </c>
      <c r="W671" s="151">
        <f t="shared" si="39"/>
        <v>0.25</v>
      </c>
      <c r="X671" s="152">
        <f t="shared" si="37"/>
        <v>1.7500000000000002E-2</v>
      </c>
      <c r="Y671" s="150">
        <f t="shared" si="36"/>
        <v>1.01</v>
      </c>
      <c r="Z671" s="152"/>
      <c r="AA671" s="148"/>
      <c r="AB671" s="148"/>
      <c r="AC671" s="153"/>
      <c r="AD671" s="153"/>
      <c r="AE671" s="153"/>
      <c r="AF671" s="153"/>
      <c r="AJ671" s="147"/>
    </row>
    <row r="672" spans="1:36" s="146" customFormat="1" x14ac:dyDescent="0.25">
      <c r="A672" s="196">
        <v>2518</v>
      </c>
      <c r="B672" s="196" t="s">
        <v>3726</v>
      </c>
      <c r="C672" s="196" t="s">
        <v>3727</v>
      </c>
      <c r="D672" s="196" t="s">
        <v>2250</v>
      </c>
      <c r="E672" s="196" t="s">
        <v>1913</v>
      </c>
      <c r="F672" s="196">
        <v>2004</v>
      </c>
      <c r="G672" s="196"/>
      <c r="H672" s="196" t="s">
        <v>1878</v>
      </c>
      <c r="I672" s="141" t="s">
        <v>1879</v>
      </c>
      <c r="J672" s="196" t="s">
        <v>2237</v>
      </c>
      <c r="K672" s="196" t="s">
        <v>1881</v>
      </c>
      <c r="L672" s="141" t="s">
        <v>3728</v>
      </c>
      <c r="M672" s="196">
        <v>288</v>
      </c>
      <c r="N672" s="196"/>
      <c r="O672" s="196" t="s">
        <v>3572</v>
      </c>
      <c r="P672" s="144">
        <v>278</v>
      </c>
      <c r="Q672" s="145">
        <f t="shared" si="38"/>
        <v>2.1882999999999995</v>
      </c>
      <c r="R672" s="203">
        <v>0.69</v>
      </c>
      <c r="S672" s="203"/>
      <c r="T672" s="151"/>
      <c r="U672" s="151">
        <v>1.2</v>
      </c>
      <c r="V672" s="151">
        <v>0.25</v>
      </c>
      <c r="W672" s="151">
        <f t="shared" si="39"/>
        <v>0.69</v>
      </c>
      <c r="X672" s="152">
        <f t="shared" si="37"/>
        <v>4.8299999999999996E-2</v>
      </c>
      <c r="Y672" s="150">
        <f t="shared" si="36"/>
        <v>1.01</v>
      </c>
      <c r="Z672" s="152"/>
      <c r="AA672" s="148"/>
      <c r="AB672" s="148"/>
      <c r="AC672" s="153"/>
      <c r="AD672" s="153"/>
      <c r="AE672" s="153"/>
      <c r="AF672" s="153"/>
      <c r="AJ672" s="147"/>
    </row>
    <row r="673" spans="1:36" s="146" customFormat="1" x14ac:dyDescent="0.25">
      <c r="A673" s="196">
        <v>2522</v>
      </c>
      <c r="B673" s="196" t="s">
        <v>3733</v>
      </c>
      <c r="C673" s="196" t="s">
        <v>3734</v>
      </c>
      <c r="D673" s="196" t="s">
        <v>2209</v>
      </c>
      <c r="E673" s="196"/>
      <c r="F673" s="196">
        <v>2014</v>
      </c>
      <c r="G673" s="196"/>
      <c r="H673" s="196" t="s">
        <v>1878</v>
      </c>
      <c r="I673" s="141" t="s">
        <v>1879</v>
      </c>
      <c r="J673" s="143" t="s">
        <v>3735</v>
      </c>
      <c r="K673" s="196" t="s">
        <v>1881</v>
      </c>
      <c r="L673" s="141" t="s">
        <v>3736</v>
      </c>
      <c r="M673" s="196">
        <v>480</v>
      </c>
      <c r="N673" s="196"/>
      <c r="O673" s="196" t="s">
        <v>3574</v>
      </c>
      <c r="P673" s="144">
        <v>399</v>
      </c>
      <c r="Q673" s="145">
        <f t="shared" si="38"/>
        <v>1.7603</v>
      </c>
      <c r="R673" s="203">
        <v>0.28999999999999998</v>
      </c>
      <c r="S673" s="203"/>
      <c r="T673" s="151"/>
      <c r="U673" s="151">
        <v>1.2</v>
      </c>
      <c r="V673" s="151">
        <v>0.25</v>
      </c>
      <c r="W673" s="151">
        <f t="shared" si="39"/>
        <v>0.28999999999999998</v>
      </c>
      <c r="X673" s="152">
        <f t="shared" si="37"/>
        <v>2.0299999999999999E-2</v>
      </c>
      <c r="Y673" s="150">
        <f t="shared" si="36"/>
        <v>1.01</v>
      </c>
      <c r="Z673" s="152"/>
      <c r="AA673" s="148"/>
      <c r="AB673" s="148"/>
      <c r="AC673" s="153"/>
      <c r="AD673" s="153"/>
      <c r="AE673" s="153"/>
      <c r="AF673" s="153"/>
      <c r="AJ673" s="147"/>
    </row>
    <row r="674" spans="1:36" s="146" customFormat="1" x14ac:dyDescent="0.25">
      <c r="A674" s="196">
        <v>689</v>
      </c>
      <c r="B674" s="196" t="s">
        <v>3737</v>
      </c>
      <c r="C674" s="196" t="s">
        <v>3738</v>
      </c>
      <c r="D674" s="196" t="s">
        <v>2257</v>
      </c>
      <c r="E674" s="196" t="s">
        <v>3739</v>
      </c>
      <c r="F674" s="196">
        <v>1999</v>
      </c>
      <c r="G674" s="196"/>
      <c r="H674" s="196" t="s">
        <v>1878</v>
      </c>
      <c r="I674" s="141" t="s">
        <v>1879</v>
      </c>
      <c r="J674" s="196"/>
      <c r="K674" s="196" t="s">
        <v>1881</v>
      </c>
      <c r="L674" s="141" t="s">
        <v>3740</v>
      </c>
      <c r="M674" s="196">
        <v>576</v>
      </c>
      <c r="N674" s="196"/>
      <c r="O674" s="196" t="s">
        <v>3575</v>
      </c>
      <c r="P674" s="144">
        <v>413</v>
      </c>
      <c r="Q674" s="145">
        <f t="shared" si="38"/>
        <v>1.8244999999999998</v>
      </c>
      <c r="R674" s="203">
        <v>0.35</v>
      </c>
      <c r="S674" s="203"/>
      <c r="T674" s="151"/>
      <c r="U674" s="151">
        <v>1.2</v>
      </c>
      <c r="V674" s="149">
        <v>0.25</v>
      </c>
      <c r="W674" s="151">
        <f t="shared" si="39"/>
        <v>0.35</v>
      </c>
      <c r="X674" s="152">
        <f t="shared" si="37"/>
        <v>2.4499999999999997E-2</v>
      </c>
      <c r="Y674" s="150">
        <f t="shared" si="36"/>
        <v>1.01</v>
      </c>
      <c r="Z674" s="152"/>
      <c r="AA674" s="148"/>
      <c r="AB674" s="148"/>
      <c r="AC674" s="153"/>
      <c r="AD674" s="153"/>
      <c r="AE674" s="153"/>
      <c r="AF674" s="153"/>
      <c r="AJ674" s="147"/>
    </row>
    <row r="675" spans="1:36" s="146" customFormat="1" x14ac:dyDescent="0.25">
      <c r="A675" s="196">
        <v>2522</v>
      </c>
      <c r="B675" s="196" t="s">
        <v>3741</v>
      </c>
      <c r="C675" s="196" t="s">
        <v>3742</v>
      </c>
      <c r="D675" s="196" t="s">
        <v>1920</v>
      </c>
      <c r="E675" s="196"/>
      <c r="F675" s="196">
        <v>2013</v>
      </c>
      <c r="G675" s="196"/>
      <c r="H675" s="196" t="s">
        <v>1878</v>
      </c>
      <c r="I675" s="141" t="s">
        <v>1879</v>
      </c>
      <c r="J675" s="143" t="s">
        <v>3743</v>
      </c>
      <c r="K675" s="196" t="s">
        <v>1881</v>
      </c>
      <c r="L675" s="141" t="s">
        <v>3744</v>
      </c>
      <c r="M675" s="196">
        <v>576</v>
      </c>
      <c r="N675" s="196"/>
      <c r="O675" s="196" t="s">
        <v>3576</v>
      </c>
      <c r="P675" s="144">
        <v>494</v>
      </c>
      <c r="Q675" s="145">
        <f t="shared" si="38"/>
        <v>0.73149999999999993</v>
      </c>
      <c r="R675" s="203">
        <v>0.45</v>
      </c>
      <c r="S675" s="203"/>
      <c r="T675" s="151"/>
      <c r="U675" s="151"/>
      <c r="V675" s="151">
        <v>0.25</v>
      </c>
      <c r="W675" s="151">
        <f t="shared" si="39"/>
        <v>0.45</v>
      </c>
      <c r="X675" s="152">
        <f t="shared" si="37"/>
        <v>3.15E-2</v>
      </c>
      <c r="Y675" s="150">
        <f t="shared" si="36"/>
        <v>1.01</v>
      </c>
      <c r="Z675" s="152"/>
      <c r="AA675" s="148"/>
      <c r="AB675" s="148"/>
      <c r="AC675" s="153"/>
      <c r="AD675" s="153"/>
      <c r="AE675" s="153"/>
      <c r="AF675" s="153"/>
      <c r="AJ675" s="147"/>
    </row>
    <row r="676" spans="1:36" s="146" customFormat="1" x14ac:dyDescent="0.25">
      <c r="A676" s="196">
        <v>632</v>
      </c>
      <c r="B676" s="196" t="s">
        <v>3756</v>
      </c>
      <c r="C676" s="196" t="s">
        <v>3757</v>
      </c>
      <c r="D676" s="196" t="s">
        <v>3758</v>
      </c>
      <c r="E676" s="196"/>
      <c r="F676" s="196">
        <v>1996</v>
      </c>
      <c r="G676" s="196"/>
      <c r="H676" s="196" t="s">
        <v>2295</v>
      </c>
      <c r="I676" s="141" t="s">
        <v>1929</v>
      </c>
      <c r="J676" s="196"/>
      <c r="K676" s="196" t="s">
        <v>1881</v>
      </c>
      <c r="L676" s="141" t="s">
        <v>3759</v>
      </c>
      <c r="M676" s="196">
        <v>176</v>
      </c>
      <c r="N676" s="196"/>
      <c r="O676" s="196" t="s">
        <v>3577</v>
      </c>
      <c r="P676" s="144">
        <v>290</v>
      </c>
      <c r="Q676" s="145">
        <f t="shared" si="38"/>
        <v>12.139299999999999</v>
      </c>
      <c r="R676" s="203">
        <v>9.99</v>
      </c>
      <c r="S676" s="203"/>
      <c r="T676" s="151"/>
      <c r="U676" s="151">
        <v>1.2</v>
      </c>
      <c r="V676" s="149">
        <v>0.25</v>
      </c>
      <c r="W676" s="151">
        <f t="shared" si="39"/>
        <v>9.99</v>
      </c>
      <c r="X676" s="152">
        <f t="shared" si="37"/>
        <v>0.69930000000000003</v>
      </c>
      <c r="Y676" s="150">
        <f t="shared" si="36"/>
        <v>1.01</v>
      </c>
      <c r="Z676" s="152"/>
      <c r="AA676" s="148"/>
      <c r="AB676" s="148"/>
      <c r="AC676" s="153"/>
      <c r="AD676" s="153"/>
      <c r="AE676" s="153"/>
      <c r="AF676" s="153"/>
      <c r="AJ676" s="147"/>
    </row>
    <row r="677" spans="1:36" s="146" customFormat="1" x14ac:dyDescent="0.25">
      <c r="A677" s="196">
        <v>1928</v>
      </c>
      <c r="B677" s="196"/>
      <c r="C677" s="196" t="s">
        <v>3760</v>
      </c>
      <c r="D677" s="196" t="s">
        <v>3761</v>
      </c>
      <c r="E677" s="196"/>
      <c r="F677" s="196">
        <v>2010</v>
      </c>
      <c r="G677" s="196"/>
      <c r="H677" s="196" t="s">
        <v>2217</v>
      </c>
      <c r="I677" s="141" t="s">
        <v>1929</v>
      </c>
      <c r="J677" s="196"/>
      <c r="K677" s="196" t="s">
        <v>1881</v>
      </c>
      <c r="L677" s="141" t="s">
        <v>3762</v>
      </c>
      <c r="M677" s="196">
        <v>306</v>
      </c>
      <c r="N677" s="196"/>
      <c r="O677" s="196" t="s">
        <v>3578</v>
      </c>
      <c r="P677" s="144">
        <v>323</v>
      </c>
      <c r="Q677" s="145">
        <f t="shared" si="38"/>
        <v>1.9315</v>
      </c>
      <c r="R677" s="203">
        <v>0.45</v>
      </c>
      <c r="S677" s="203"/>
      <c r="T677" s="151"/>
      <c r="U677" s="151">
        <v>1.2</v>
      </c>
      <c r="V677" s="151">
        <v>0.25</v>
      </c>
      <c r="W677" s="151">
        <f t="shared" si="39"/>
        <v>0.45</v>
      </c>
      <c r="X677" s="152">
        <f t="shared" si="37"/>
        <v>3.15E-2</v>
      </c>
      <c r="Y677" s="150">
        <f t="shared" si="36"/>
        <v>1.01</v>
      </c>
      <c r="Z677" s="152"/>
      <c r="AA677" s="148"/>
      <c r="AB677" s="148"/>
      <c r="AC677" s="153"/>
      <c r="AD677" s="153"/>
      <c r="AE677" s="153"/>
      <c r="AF677" s="153"/>
      <c r="AJ677" s="147"/>
    </row>
    <row r="678" spans="1:36" s="146" customFormat="1" x14ac:dyDescent="0.25">
      <c r="A678" s="196">
        <v>1985</v>
      </c>
      <c r="B678" s="196" t="s">
        <v>3763</v>
      </c>
      <c r="C678" s="196" t="s">
        <v>3764</v>
      </c>
      <c r="D678" s="196" t="s">
        <v>2897</v>
      </c>
      <c r="E678" s="196" t="s">
        <v>1913</v>
      </c>
      <c r="F678" s="196">
        <v>2010</v>
      </c>
      <c r="G678" s="196"/>
      <c r="H678" s="196" t="s">
        <v>1878</v>
      </c>
      <c r="I678" s="141" t="s">
        <v>1929</v>
      </c>
      <c r="J678" s="196"/>
      <c r="K678" s="196" t="s">
        <v>1881</v>
      </c>
      <c r="L678" s="141" t="s">
        <v>3765</v>
      </c>
      <c r="M678" s="196">
        <v>560</v>
      </c>
      <c r="N678" s="196"/>
      <c r="O678" s="196" t="s">
        <v>3579</v>
      </c>
      <c r="P678" s="144">
        <v>735</v>
      </c>
      <c r="Q678" s="145">
        <f t="shared" si="38"/>
        <v>5.6843000000000004</v>
      </c>
      <c r="R678" s="203">
        <v>3.49</v>
      </c>
      <c r="S678" s="203"/>
      <c r="T678" s="151"/>
      <c r="U678" s="151">
        <v>1.7</v>
      </c>
      <c r="V678" s="149">
        <v>0.25</v>
      </c>
      <c r="W678" s="151">
        <f t="shared" si="39"/>
        <v>3.49</v>
      </c>
      <c r="X678" s="152">
        <f t="shared" si="37"/>
        <v>0.24430000000000002</v>
      </c>
      <c r="Y678" s="150">
        <f t="shared" si="36"/>
        <v>1.01</v>
      </c>
      <c r="Z678" s="152"/>
      <c r="AA678" s="148"/>
      <c r="AB678" s="148"/>
      <c r="AC678" s="153"/>
      <c r="AD678" s="153"/>
      <c r="AE678" s="153"/>
      <c r="AF678" s="153"/>
      <c r="AJ678" s="147"/>
    </row>
    <row r="679" spans="1:36" s="146" customFormat="1" x14ac:dyDescent="0.25">
      <c r="A679" s="196">
        <v>721</v>
      </c>
      <c r="B679" s="196"/>
      <c r="C679" s="196" t="s">
        <v>3766</v>
      </c>
      <c r="D679" s="196" t="s">
        <v>3057</v>
      </c>
      <c r="E679" s="196"/>
      <c r="F679" s="196"/>
      <c r="G679" s="196"/>
      <c r="H679" s="196" t="s">
        <v>1878</v>
      </c>
      <c r="I679" s="141" t="s">
        <v>1879</v>
      </c>
      <c r="J679" s="196" t="s">
        <v>2237</v>
      </c>
      <c r="K679" s="196" t="s">
        <v>1881</v>
      </c>
      <c r="L679" s="141" t="s">
        <v>3767</v>
      </c>
      <c r="M679" s="196">
        <v>128</v>
      </c>
      <c r="N679" s="196"/>
      <c r="O679" s="196" t="s">
        <v>3580</v>
      </c>
      <c r="P679" s="144">
        <v>351</v>
      </c>
      <c r="Q679" s="145">
        <f t="shared" si="38"/>
        <v>2.4664999999999999</v>
      </c>
      <c r="R679" s="203">
        <v>0.95</v>
      </c>
      <c r="S679" s="203"/>
      <c r="T679" s="151"/>
      <c r="U679" s="151">
        <v>1.2</v>
      </c>
      <c r="V679" s="151">
        <v>0.25</v>
      </c>
      <c r="W679" s="151">
        <f t="shared" si="39"/>
        <v>0.95</v>
      </c>
      <c r="X679" s="152">
        <f t="shared" si="37"/>
        <v>6.6500000000000004E-2</v>
      </c>
      <c r="Y679" s="150">
        <f t="shared" si="36"/>
        <v>1.01</v>
      </c>
      <c r="Z679" s="152"/>
      <c r="AA679" s="148"/>
      <c r="AB679" s="148"/>
      <c r="AC679" s="153"/>
      <c r="AD679" s="153"/>
      <c r="AE679" s="153"/>
      <c r="AF679" s="153"/>
      <c r="AJ679" s="147"/>
    </row>
    <row r="680" spans="1:36" x14ac:dyDescent="0.25">
      <c r="Y680" s="150">
        <f t="shared" si="36"/>
        <v>1.01</v>
      </c>
    </row>
    <row r="681" spans="1:36" s="146" customFormat="1" x14ac:dyDescent="0.25">
      <c r="A681" s="196">
        <v>688</v>
      </c>
      <c r="B681" s="196" t="s">
        <v>3712</v>
      </c>
      <c r="C681" s="196" t="s">
        <v>3773</v>
      </c>
      <c r="D681" s="196" t="s">
        <v>2209</v>
      </c>
      <c r="E681" s="196"/>
      <c r="F681" s="196">
        <v>2006</v>
      </c>
      <c r="G681" s="196"/>
      <c r="H681" s="196" t="s">
        <v>1878</v>
      </c>
      <c r="I681" s="141" t="s">
        <v>1879</v>
      </c>
      <c r="J681" s="143" t="s">
        <v>3774</v>
      </c>
      <c r="K681" s="196" t="s">
        <v>1881</v>
      </c>
      <c r="L681" s="141" t="s">
        <v>3775</v>
      </c>
      <c r="M681" s="196">
        <v>896</v>
      </c>
      <c r="N681" s="196"/>
      <c r="O681" s="196" t="s">
        <v>3583</v>
      </c>
      <c r="P681" s="144">
        <v>730</v>
      </c>
      <c r="Q681" s="145">
        <f t="shared" si="38"/>
        <v>2.8594999999999997</v>
      </c>
      <c r="R681" s="203">
        <v>0.85</v>
      </c>
      <c r="S681" s="203"/>
      <c r="T681" s="151"/>
      <c r="U681" s="151">
        <v>1.7</v>
      </c>
      <c r="V681" s="151">
        <v>0.25</v>
      </c>
      <c r="W681" s="151">
        <f t="shared" si="39"/>
        <v>0.85</v>
      </c>
      <c r="X681" s="152">
        <f t="shared" si="37"/>
        <v>5.9500000000000004E-2</v>
      </c>
      <c r="Y681" s="150">
        <f t="shared" si="36"/>
        <v>1.01</v>
      </c>
      <c r="Z681" s="152"/>
      <c r="AA681" s="148"/>
      <c r="AB681" s="148"/>
      <c r="AC681" s="153"/>
      <c r="AD681" s="153"/>
      <c r="AE681" s="153"/>
      <c r="AF681" s="153"/>
      <c r="AJ681" s="147"/>
    </row>
    <row r="682" spans="1:36" s="146" customFormat="1" x14ac:dyDescent="0.25">
      <c r="A682" s="196">
        <v>2410</v>
      </c>
      <c r="B682" s="196" t="s">
        <v>3721</v>
      </c>
      <c r="C682" s="196" t="s">
        <v>3776</v>
      </c>
      <c r="D682" s="196" t="s">
        <v>2007</v>
      </c>
      <c r="E682" s="196"/>
      <c r="F682" s="196">
        <v>2002</v>
      </c>
      <c r="G682" s="196"/>
      <c r="H682" s="196" t="s">
        <v>2008</v>
      </c>
      <c r="I682" s="141" t="s">
        <v>1879</v>
      </c>
      <c r="J682" s="196" t="s">
        <v>2237</v>
      </c>
      <c r="K682" s="196" t="s">
        <v>1881</v>
      </c>
      <c r="L682" s="141" t="s">
        <v>3777</v>
      </c>
      <c r="M682" s="196">
        <v>336</v>
      </c>
      <c r="N682" s="196"/>
      <c r="O682" s="196" t="s">
        <v>3584</v>
      </c>
      <c r="P682" s="144">
        <v>151</v>
      </c>
      <c r="Q682" s="145">
        <f t="shared" si="38"/>
        <v>2.4664999999999999</v>
      </c>
      <c r="R682" s="203">
        <v>0.95</v>
      </c>
      <c r="S682" s="203"/>
      <c r="T682" s="151"/>
      <c r="U682" s="151">
        <v>1.2</v>
      </c>
      <c r="V682" s="149">
        <v>0.25</v>
      </c>
      <c r="W682" s="151">
        <f t="shared" si="39"/>
        <v>0.95</v>
      </c>
      <c r="X682" s="152">
        <f t="shared" si="37"/>
        <v>6.6500000000000004E-2</v>
      </c>
      <c r="Y682" s="150">
        <f t="shared" si="36"/>
        <v>1.01</v>
      </c>
      <c r="Z682" s="152"/>
      <c r="AA682" s="148"/>
      <c r="AB682" s="148"/>
      <c r="AC682" s="153"/>
      <c r="AD682" s="153"/>
      <c r="AE682" s="153"/>
      <c r="AF682" s="153"/>
      <c r="AJ682" s="147"/>
    </row>
    <row r="683" spans="1:36" s="146" customFormat="1" x14ac:dyDescent="0.25">
      <c r="A683" s="196">
        <v>2522</v>
      </c>
      <c r="B683" s="196" t="s">
        <v>3784</v>
      </c>
      <c r="C683" s="196" t="s">
        <v>3785</v>
      </c>
      <c r="D683" s="196" t="s">
        <v>2054</v>
      </c>
      <c r="E683" s="196"/>
      <c r="F683" s="196">
        <v>2008</v>
      </c>
      <c r="G683" s="196"/>
      <c r="H683" s="196" t="s">
        <v>1878</v>
      </c>
      <c r="I683" s="141" t="s">
        <v>1879</v>
      </c>
      <c r="J683" s="196" t="s">
        <v>3303</v>
      </c>
      <c r="K683" s="196" t="s">
        <v>1881</v>
      </c>
      <c r="L683" s="141" t="s">
        <v>3786</v>
      </c>
      <c r="M683" s="196">
        <v>400</v>
      </c>
      <c r="N683" s="196"/>
      <c r="O683" s="196" t="s">
        <v>3587</v>
      </c>
      <c r="P683" s="144">
        <v>397</v>
      </c>
      <c r="Q683" s="145">
        <f t="shared" si="38"/>
        <v>1.7175</v>
      </c>
      <c r="R683" s="203">
        <v>0.25</v>
      </c>
      <c r="S683" s="203"/>
      <c r="T683" s="151"/>
      <c r="U683" s="151">
        <v>1.2</v>
      </c>
      <c r="V683" s="151">
        <v>0.25</v>
      </c>
      <c r="W683" s="151">
        <f t="shared" si="39"/>
        <v>0.25</v>
      </c>
      <c r="X683" s="152">
        <f t="shared" si="37"/>
        <v>1.7500000000000002E-2</v>
      </c>
      <c r="Y683" s="150">
        <f t="shared" si="36"/>
        <v>1.01</v>
      </c>
      <c r="Z683" s="152"/>
      <c r="AA683" s="148"/>
      <c r="AB683" s="148"/>
      <c r="AC683" s="153"/>
      <c r="AD683" s="153"/>
      <c r="AE683" s="153"/>
      <c r="AF683" s="153"/>
      <c r="AJ683" s="147"/>
    </row>
    <row r="684" spans="1:36" s="146" customFormat="1" x14ac:dyDescent="0.25">
      <c r="A684" s="196">
        <v>2510</v>
      </c>
      <c r="B684" s="196" t="s">
        <v>3787</v>
      </c>
      <c r="C684" s="196" t="s">
        <v>3788</v>
      </c>
      <c r="D684" s="196" t="s">
        <v>3789</v>
      </c>
      <c r="E684" s="196"/>
      <c r="F684" s="196">
        <v>2006</v>
      </c>
      <c r="G684" s="196"/>
      <c r="H684" s="196" t="s">
        <v>2295</v>
      </c>
      <c r="I684" s="141" t="s">
        <v>1879</v>
      </c>
      <c r="J684" s="196" t="s">
        <v>2237</v>
      </c>
      <c r="K684" s="196" t="s">
        <v>1881</v>
      </c>
      <c r="L684" s="141" t="s">
        <v>3790</v>
      </c>
      <c r="M684" s="196">
        <v>134</v>
      </c>
      <c r="N684" s="196"/>
      <c r="O684" s="196" t="s">
        <v>3588</v>
      </c>
      <c r="P684" s="144">
        <v>211</v>
      </c>
      <c r="Q684" s="145">
        <f t="shared" si="38"/>
        <v>5.5053000000000001</v>
      </c>
      <c r="R684" s="203">
        <v>3.79</v>
      </c>
      <c r="S684" s="203"/>
      <c r="T684" s="151"/>
      <c r="U684" s="151">
        <v>1.2</v>
      </c>
      <c r="V684" s="149">
        <v>0.25</v>
      </c>
      <c r="W684" s="151">
        <f t="shared" si="39"/>
        <v>3.79</v>
      </c>
      <c r="X684" s="152">
        <f t="shared" si="37"/>
        <v>0.26530000000000004</v>
      </c>
      <c r="Y684" s="150">
        <f t="shared" ref="Y684:Y747" si="40">(IF(Z684&gt;AA684,Z684,AA684)*0.08)+1.01</f>
        <v>1.01</v>
      </c>
      <c r="Z684" s="152"/>
      <c r="AA684" s="148"/>
      <c r="AB684" s="148"/>
      <c r="AC684" s="153"/>
      <c r="AD684" s="153"/>
      <c r="AE684" s="153"/>
      <c r="AF684" s="153"/>
      <c r="AJ684" s="147"/>
    </row>
    <row r="685" spans="1:36" s="146" customFormat="1" x14ac:dyDescent="0.25">
      <c r="A685" s="196">
        <v>632</v>
      </c>
      <c r="B685" s="196" t="s">
        <v>2467</v>
      </c>
      <c r="C685" s="196" t="s">
        <v>3799</v>
      </c>
      <c r="D685" s="196" t="s">
        <v>2257</v>
      </c>
      <c r="E685" s="196" t="s">
        <v>2014</v>
      </c>
      <c r="F685" s="196">
        <v>2010</v>
      </c>
      <c r="G685" s="196"/>
      <c r="H685" s="196" t="s">
        <v>1878</v>
      </c>
      <c r="I685" s="141" t="s">
        <v>1879</v>
      </c>
      <c r="J685" s="196" t="s">
        <v>3006</v>
      </c>
      <c r="K685" s="196" t="s">
        <v>1881</v>
      </c>
      <c r="L685" s="141" t="s">
        <v>3800</v>
      </c>
      <c r="M685" s="196">
        <v>464</v>
      </c>
      <c r="N685" s="196"/>
      <c r="O685" s="196" t="s">
        <v>3591</v>
      </c>
      <c r="P685" s="144">
        <v>302</v>
      </c>
      <c r="Q685" s="145">
        <f t="shared" si="38"/>
        <v>2.9373</v>
      </c>
      <c r="R685" s="203">
        <v>1.39</v>
      </c>
      <c r="S685" s="203"/>
      <c r="T685" s="151"/>
      <c r="U685" s="151">
        <v>1.2</v>
      </c>
      <c r="V685" s="149">
        <v>0.25</v>
      </c>
      <c r="W685" s="151">
        <f t="shared" si="39"/>
        <v>1.39</v>
      </c>
      <c r="X685" s="152">
        <f t="shared" ref="X685:X748" si="41">(T685+W685)/100*7</f>
        <v>9.7299999999999998E-2</v>
      </c>
      <c r="Y685" s="150">
        <f t="shared" si="40"/>
        <v>1.01</v>
      </c>
      <c r="Z685" s="152"/>
      <c r="AA685" s="148"/>
      <c r="AB685" s="148"/>
      <c r="AC685" s="153"/>
      <c r="AD685" s="153"/>
      <c r="AE685" s="153"/>
      <c r="AF685" s="153"/>
      <c r="AJ685" s="147"/>
    </row>
    <row r="686" spans="1:36" s="146" customFormat="1" x14ac:dyDescent="0.25">
      <c r="A686" s="196">
        <v>632</v>
      </c>
      <c r="B686" s="196" t="s">
        <v>3801</v>
      </c>
      <c r="C686" s="196" t="s">
        <v>3802</v>
      </c>
      <c r="D686" s="196" t="s">
        <v>1993</v>
      </c>
      <c r="E686" s="196" t="s">
        <v>1913</v>
      </c>
      <c r="F686" s="196">
        <v>2010</v>
      </c>
      <c r="G686" s="196"/>
      <c r="H686" s="196" t="s">
        <v>1878</v>
      </c>
      <c r="I686" s="141" t="s">
        <v>1879</v>
      </c>
      <c r="J686" s="196" t="s">
        <v>2237</v>
      </c>
      <c r="K686" s="196" t="s">
        <v>1881</v>
      </c>
      <c r="L686" s="141" t="s">
        <v>3803</v>
      </c>
      <c r="M686" s="196">
        <v>512</v>
      </c>
      <c r="N686" s="196"/>
      <c r="O686" s="196" t="s">
        <v>3745</v>
      </c>
      <c r="P686" s="144">
        <v>631</v>
      </c>
      <c r="Q686" s="145">
        <f t="shared" si="38"/>
        <v>2.2175000000000002</v>
      </c>
      <c r="R686" s="203">
        <v>0.25</v>
      </c>
      <c r="S686" s="203"/>
      <c r="T686" s="151"/>
      <c r="U686" s="151">
        <v>1.7</v>
      </c>
      <c r="V686" s="151">
        <v>0.25</v>
      </c>
      <c r="W686" s="151">
        <f t="shared" si="39"/>
        <v>0.25</v>
      </c>
      <c r="X686" s="152">
        <f t="shared" si="41"/>
        <v>1.7500000000000002E-2</v>
      </c>
      <c r="Y686" s="150">
        <f t="shared" si="40"/>
        <v>1.01</v>
      </c>
      <c r="Z686" s="152"/>
      <c r="AA686" s="148"/>
      <c r="AB686" s="148"/>
      <c r="AC686" s="153"/>
      <c r="AD686" s="153"/>
      <c r="AE686" s="153"/>
      <c r="AF686" s="153"/>
      <c r="AJ686" s="147"/>
    </row>
    <row r="687" spans="1:36" s="146" customFormat="1" ht="39.6" x14ac:dyDescent="0.25">
      <c r="A687" s="196">
        <v>632</v>
      </c>
      <c r="B687" s="196" t="s">
        <v>3804</v>
      </c>
      <c r="C687" s="196" t="s">
        <v>3805</v>
      </c>
      <c r="D687" s="196" t="s">
        <v>1993</v>
      </c>
      <c r="E687" s="196" t="s">
        <v>1877</v>
      </c>
      <c r="F687" s="196">
        <v>2010</v>
      </c>
      <c r="G687" s="196"/>
      <c r="H687" s="196" t="s">
        <v>1878</v>
      </c>
      <c r="I687" s="141" t="s">
        <v>1879</v>
      </c>
      <c r="J687" s="142" t="s">
        <v>3807</v>
      </c>
      <c r="K687" s="196" t="s">
        <v>1881</v>
      </c>
      <c r="L687" s="141" t="s">
        <v>3806</v>
      </c>
      <c r="M687" s="196">
        <v>544</v>
      </c>
      <c r="N687" s="196"/>
      <c r="O687" s="196" t="s">
        <v>3746</v>
      </c>
      <c r="P687" s="144">
        <v>448</v>
      </c>
      <c r="Q687" s="145">
        <f t="shared" si="38"/>
        <v>1.9742999999999999</v>
      </c>
      <c r="R687" s="203">
        <v>0.49</v>
      </c>
      <c r="S687" s="203"/>
      <c r="T687" s="151"/>
      <c r="U687" s="151">
        <v>1.2</v>
      </c>
      <c r="V687" s="149">
        <v>0.25</v>
      </c>
      <c r="W687" s="151">
        <f t="shared" si="39"/>
        <v>0.49</v>
      </c>
      <c r="X687" s="152">
        <f t="shared" si="41"/>
        <v>3.4299999999999997E-2</v>
      </c>
      <c r="Y687" s="150">
        <f t="shared" si="40"/>
        <v>1.01</v>
      </c>
      <c r="Z687" s="152"/>
      <c r="AA687" s="148"/>
      <c r="AB687" s="148"/>
      <c r="AC687" s="153"/>
      <c r="AD687" s="153"/>
      <c r="AE687" s="153"/>
      <c r="AF687" s="153"/>
      <c r="AJ687" s="147"/>
    </row>
    <row r="688" spans="1:36" s="146" customFormat="1" x14ac:dyDescent="0.25">
      <c r="A688" s="196">
        <v>2576</v>
      </c>
      <c r="B688" s="196" t="s">
        <v>3808</v>
      </c>
      <c r="C688" s="196" t="s">
        <v>3809</v>
      </c>
      <c r="D688" s="196"/>
      <c r="E688" s="196"/>
      <c r="F688" s="196">
        <v>2008</v>
      </c>
      <c r="G688" s="196"/>
      <c r="H688" s="196" t="s">
        <v>1878</v>
      </c>
      <c r="I688" s="141" t="s">
        <v>1879</v>
      </c>
      <c r="J688" s="196" t="s">
        <v>3303</v>
      </c>
      <c r="K688" s="196" t="s">
        <v>2025</v>
      </c>
      <c r="L688" s="141" t="s">
        <v>3810</v>
      </c>
      <c r="M688" s="196">
        <v>564</v>
      </c>
      <c r="N688" s="196"/>
      <c r="O688" s="196" t="s">
        <v>3747</v>
      </c>
      <c r="P688" s="144">
        <v>369</v>
      </c>
      <c r="Q688" s="145">
        <f t="shared" si="38"/>
        <v>1.7175</v>
      </c>
      <c r="R688" s="203">
        <v>0.25</v>
      </c>
      <c r="S688" s="203"/>
      <c r="T688" s="151"/>
      <c r="U688" s="151">
        <v>1.2</v>
      </c>
      <c r="V688" s="151">
        <v>0.25</v>
      </c>
      <c r="W688" s="151">
        <f t="shared" si="39"/>
        <v>0.25</v>
      </c>
      <c r="X688" s="152">
        <f t="shared" si="41"/>
        <v>1.7500000000000002E-2</v>
      </c>
      <c r="Y688" s="150">
        <f t="shared" si="40"/>
        <v>1.01</v>
      </c>
      <c r="Z688" s="152"/>
      <c r="AA688" s="148"/>
      <c r="AB688" s="148"/>
      <c r="AC688" s="153"/>
      <c r="AD688" s="153"/>
      <c r="AE688" s="153"/>
      <c r="AF688" s="153"/>
      <c r="AJ688" s="147"/>
    </row>
    <row r="689" spans="1:36" s="146" customFormat="1" x14ac:dyDescent="0.25">
      <c r="A689" s="196">
        <v>1395</v>
      </c>
      <c r="B689" s="196" t="s">
        <v>3811</v>
      </c>
      <c r="C689" s="196" t="s">
        <v>3812</v>
      </c>
      <c r="D689" s="196" t="s">
        <v>1912</v>
      </c>
      <c r="E689" s="196" t="s">
        <v>1913</v>
      </c>
      <c r="F689" s="196">
        <v>2010</v>
      </c>
      <c r="G689" s="196"/>
      <c r="H689" s="196" t="s">
        <v>1878</v>
      </c>
      <c r="I689" s="141" t="s">
        <v>1879</v>
      </c>
      <c r="J689" s="196" t="s">
        <v>3303</v>
      </c>
      <c r="K689" s="196" t="s">
        <v>1881</v>
      </c>
      <c r="L689" s="141" t="s">
        <v>3813</v>
      </c>
      <c r="M689" s="196">
        <v>288</v>
      </c>
      <c r="N689" s="196"/>
      <c r="O689" s="196" t="s">
        <v>3748</v>
      </c>
      <c r="P689" s="144">
        <v>238</v>
      </c>
      <c r="Q689" s="145">
        <f t="shared" si="38"/>
        <v>1.7175</v>
      </c>
      <c r="R689" s="203">
        <v>0.25</v>
      </c>
      <c r="S689" s="203"/>
      <c r="T689" s="151"/>
      <c r="U689" s="151">
        <v>1.2</v>
      </c>
      <c r="V689" s="149">
        <v>0.25</v>
      </c>
      <c r="W689" s="151">
        <f t="shared" si="39"/>
        <v>0.25</v>
      </c>
      <c r="X689" s="152">
        <f t="shared" si="41"/>
        <v>1.7500000000000002E-2</v>
      </c>
      <c r="Y689" s="150">
        <f t="shared" si="40"/>
        <v>1.01</v>
      </c>
      <c r="Z689" s="152"/>
      <c r="AA689" s="148"/>
      <c r="AB689" s="148"/>
      <c r="AC689" s="153"/>
      <c r="AD689" s="153"/>
      <c r="AE689" s="153"/>
      <c r="AF689" s="153"/>
      <c r="AJ689" s="147"/>
    </row>
    <row r="690" spans="1:36" s="146" customFormat="1" x14ac:dyDescent="0.25">
      <c r="A690" s="196">
        <v>1984</v>
      </c>
      <c r="B690" s="196" t="s">
        <v>3824</v>
      </c>
      <c r="C690" s="196" t="s">
        <v>3825</v>
      </c>
      <c r="D690" s="196" t="s">
        <v>1979</v>
      </c>
      <c r="E690" s="196"/>
      <c r="F690" s="196">
        <v>2011</v>
      </c>
      <c r="G690" s="196"/>
      <c r="H690" s="196" t="s">
        <v>2295</v>
      </c>
      <c r="I690" s="141" t="s">
        <v>1879</v>
      </c>
      <c r="J690" s="196" t="s">
        <v>2237</v>
      </c>
      <c r="K690" s="196" t="s">
        <v>1881</v>
      </c>
      <c r="L690" s="141" t="s">
        <v>3826</v>
      </c>
      <c r="M690" s="196">
        <v>140</v>
      </c>
      <c r="N690" s="196"/>
      <c r="O690" s="196" t="s">
        <v>3749</v>
      </c>
      <c r="P690" s="144">
        <v>487</v>
      </c>
      <c r="Q690" s="145">
        <f t="shared" si="38"/>
        <v>2.3594999999999997</v>
      </c>
      <c r="R690" s="203">
        <v>0.85</v>
      </c>
      <c r="S690" s="203"/>
      <c r="T690" s="151"/>
      <c r="U690" s="151">
        <v>1.2</v>
      </c>
      <c r="V690" s="151">
        <v>0.25</v>
      </c>
      <c r="W690" s="151">
        <f t="shared" si="39"/>
        <v>0.85</v>
      </c>
      <c r="X690" s="152">
        <f t="shared" si="41"/>
        <v>5.9500000000000004E-2</v>
      </c>
      <c r="Y690" s="150">
        <f t="shared" si="40"/>
        <v>1.01</v>
      </c>
      <c r="Z690" s="152"/>
      <c r="AA690" s="148"/>
      <c r="AB690" s="148"/>
      <c r="AC690" s="153"/>
      <c r="AD690" s="153"/>
      <c r="AE690" s="153"/>
      <c r="AF690" s="153"/>
      <c r="AJ690" s="147"/>
    </row>
    <row r="691" spans="1:36" s="146" customFormat="1" x14ac:dyDescent="0.25">
      <c r="A691" s="196">
        <v>632</v>
      </c>
      <c r="B691" s="196" t="s">
        <v>3233</v>
      </c>
      <c r="C691" s="196" t="s">
        <v>3829</v>
      </c>
      <c r="D691" s="196" t="s">
        <v>2257</v>
      </c>
      <c r="E691" s="196"/>
      <c r="F691" s="196">
        <v>2017</v>
      </c>
      <c r="G691" s="196"/>
      <c r="H691" s="196" t="s">
        <v>1878</v>
      </c>
      <c r="I691" s="141" t="s">
        <v>1879</v>
      </c>
      <c r="J691" s="196" t="s">
        <v>3830</v>
      </c>
      <c r="K691" s="196" t="s">
        <v>1881</v>
      </c>
      <c r="L691" s="141" t="s">
        <v>3831</v>
      </c>
      <c r="M691" s="196">
        <v>624</v>
      </c>
      <c r="N691" s="196"/>
      <c r="O691" s="196" t="s">
        <v>3751</v>
      </c>
      <c r="P691" s="144">
        <v>472</v>
      </c>
      <c r="Q691" s="145">
        <f t="shared" si="38"/>
        <v>2.5093000000000001</v>
      </c>
      <c r="R691" s="203">
        <v>0.99</v>
      </c>
      <c r="S691" s="203"/>
      <c r="T691" s="151"/>
      <c r="U691" s="151">
        <v>1.2</v>
      </c>
      <c r="V691" s="149">
        <v>0.25</v>
      </c>
      <c r="W691" s="151">
        <f t="shared" si="39"/>
        <v>0.99</v>
      </c>
      <c r="X691" s="152">
        <f t="shared" si="41"/>
        <v>6.93E-2</v>
      </c>
      <c r="Y691" s="150">
        <f t="shared" si="40"/>
        <v>1.01</v>
      </c>
      <c r="Z691" s="152"/>
      <c r="AA691" s="148"/>
      <c r="AB691" s="148"/>
      <c r="AC691" s="153"/>
      <c r="AD691" s="153"/>
      <c r="AE691" s="153"/>
      <c r="AF691" s="153"/>
      <c r="AJ691" s="147"/>
    </row>
    <row r="692" spans="1:36" x14ac:dyDescent="0.25">
      <c r="Y692" s="150">
        <f t="shared" si="40"/>
        <v>1.01</v>
      </c>
    </row>
    <row r="693" spans="1:36" s="146" customFormat="1" x14ac:dyDescent="0.25">
      <c r="A693" s="196">
        <v>2518</v>
      </c>
      <c r="B693" s="196" t="s">
        <v>3835</v>
      </c>
      <c r="C693" s="196" t="s">
        <v>3836</v>
      </c>
      <c r="D693" s="196" t="s">
        <v>2054</v>
      </c>
      <c r="E693" s="196"/>
      <c r="F693" s="196">
        <v>2010</v>
      </c>
      <c r="G693" s="196"/>
      <c r="H693" s="196" t="s">
        <v>1878</v>
      </c>
      <c r="I693" s="141" t="s">
        <v>1879</v>
      </c>
      <c r="J693" s="196" t="s">
        <v>3303</v>
      </c>
      <c r="K693" s="196" t="s">
        <v>1881</v>
      </c>
      <c r="L693" s="141" t="s">
        <v>3837</v>
      </c>
      <c r="M693" s="196">
        <v>352</v>
      </c>
      <c r="N693" s="196"/>
      <c r="O693" s="196" t="s">
        <v>3753</v>
      </c>
      <c r="P693" s="144">
        <v>348</v>
      </c>
      <c r="Q693" s="145">
        <f t="shared" ref="Q693:Q756" si="42">SUM(T693:X693)</f>
        <v>2.5093000000000001</v>
      </c>
      <c r="R693" s="203">
        <v>0.99</v>
      </c>
      <c r="S693" s="203"/>
      <c r="T693" s="151"/>
      <c r="U693" s="151">
        <v>1.2</v>
      </c>
      <c r="V693" s="149">
        <v>0.25</v>
      </c>
      <c r="W693" s="151">
        <f t="shared" ref="W693:W756" si="43">IF(R693&gt;T693,R693,T693)</f>
        <v>0.99</v>
      </c>
      <c r="X693" s="152">
        <f t="shared" si="41"/>
        <v>6.93E-2</v>
      </c>
      <c r="Y693" s="150">
        <f t="shared" si="40"/>
        <v>1.01</v>
      </c>
      <c r="Z693" s="152"/>
      <c r="AA693" s="148"/>
      <c r="AB693" s="148"/>
      <c r="AC693" s="153"/>
      <c r="AD693" s="153"/>
      <c r="AE693" s="153"/>
      <c r="AF693" s="153"/>
      <c r="AJ693" s="147"/>
    </row>
    <row r="694" spans="1:36" s="146" customFormat="1" x14ac:dyDescent="0.25">
      <c r="A694" s="196">
        <v>632</v>
      </c>
      <c r="B694" s="196" t="s">
        <v>3838</v>
      </c>
      <c r="C694" s="196" t="s">
        <v>3839</v>
      </c>
      <c r="D694" s="196" t="s">
        <v>2309</v>
      </c>
      <c r="E694" s="196"/>
      <c r="F694" s="196">
        <v>2001</v>
      </c>
      <c r="G694" s="196"/>
      <c r="H694" s="196" t="s">
        <v>1878</v>
      </c>
      <c r="I694" s="141" t="s">
        <v>1879</v>
      </c>
      <c r="J694" s="196" t="s">
        <v>3840</v>
      </c>
      <c r="K694" s="196" t="s">
        <v>1881</v>
      </c>
      <c r="L694" s="141" t="s">
        <v>3841</v>
      </c>
      <c r="M694" s="196">
        <v>448</v>
      </c>
      <c r="N694" s="196"/>
      <c r="O694" s="196" t="s">
        <v>3754</v>
      </c>
      <c r="P694" s="144">
        <v>302</v>
      </c>
      <c r="Q694" s="145">
        <f t="shared" si="42"/>
        <v>2.5093000000000001</v>
      </c>
      <c r="R694" s="203">
        <v>0.99</v>
      </c>
      <c r="S694" s="203"/>
      <c r="T694" s="151"/>
      <c r="U694" s="151">
        <v>1.2</v>
      </c>
      <c r="V694" s="151">
        <v>0.25</v>
      </c>
      <c r="W694" s="151">
        <f t="shared" si="43"/>
        <v>0.99</v>
      </c>
      <c r="X694" s="152">
        <f t="shared" si="41"/>
        <v>6.93E-2</v>
      </c>
      <c r="Y694" s="150">
        <f t="shared" si="40"/>
        <v>1.01</v>
      </c>
      <c r="Z694" s="152"/>
      <c r="AA694" s="148"/>
      <c r="AB694" s="148"/>
      <c r="AC694" s="153"/>
      <c r="AD694" s="153"/>
      <c r="AE694" s="153"/>
      <c r="AF694" s="153"/>
      <c r="AJ694" s="147"/>
    </row>
    <row r="695" spans="1:36" s="146" customFormat="1" x14ac:dyDescent="0.25">
      <c r="A695" s="196">
        <v>632</v>
      </c>
      <c r="B695" s="196" t="s">
        <v>3233</v>
      </c>
      <c r="C695" s="196" t="s">
        <v>3842</v>
      </c>
      <c r="D695" s="196" t="s">
        <v>2257</v>
      </c>
      <c r="E695" s="196"/>
      <c r="F695" s="196">
        <v>2004</v>
      </c>
      <c r="G695" s="196"/>
      <c r="H695" s="196" t="s">
        <v>1878</v>
      </c>
      <c r="I695" s="141" t="s">
        <v>1879</v>
      </c>
      <c r="J695" s="196" t="s">
        <v>3840</v>
      </c>
      <c r="K695" s="196" t="s">
        <v>1881</v>
      </c>
      <c r="L695" s="141"/>
      <c r="M695" s="196">
        <v>624</v>
      </c>
      <c r="N695" s="196"/>
      <c r="O695" s="196" t="s">
        <v>3755</v>
      </c>
      <c r="P695" s="144">
        <v>442</v>
      </c>
      <c r="Q695" s="145">
        <f t="shared" si="42"/>
        <v>2.5093000000000001</v>
      </c>
      <c r="R695" s="203">
        <v>0.99</v>
      </c>
      <c r="S695" s="203"/>
      <c r="T695" s="151"/>
      <c r="U695" s="151">
        <v>1.2</v>
      </c>
      <c r="V695" s="149">
        <v>0.25</v>
      </c>
      <c r="W695" s="151">
        <f t="shared" si="43"/>
        <v>0.99</v>
      </c>
      <c r="X695" s="152">
        <f t="shared" si="41"/>
        <v>6.93E-2</v>
      </c>
      <c r="Y695" s="150">
        <f t="shared" si="40"/>
        <v>1.01</v>
      </c>
      <c r="Z695" s="152"/>
      <c r="AA695" s="148"/>
      <c r="AB695" s="148"/>
      <c r="AC695" s="153"/>
      <c r="AD695" s="153"/>
      <c r="AE695" s="153"/>
      <c r="AF695" s="153"/>
      <c r="AJ695" s="147"/>
    </row>
    <row r="696" spans="1:36" s="146" customFormat="1" x14ac:dyDescent="0.25">
      <c r="A696" s="196">
        <v>2851</v>
      </c>
      <c r="B696" s="196" t="s">
        <v>3843</v>
      </c>
      <c r="C696" s="196" t="s">
        <v>3844</v>
      </c>
      <c r="D696" s="196" t="s">
        <v>2424</v>
      </c>
      <c r="E696" s="196"/>
      <c r="F696" s="196">
        <v>2000</v>
      </c>
      <c r="G696" s="196"/>
      <c r="H696" s="196" t="s">
        <v>1878</v>
      </c>
      <c r="I696" s="141" t="s">
        <v>1879</v>
      </c>
      <c r="J696" s="196" t="s">
        <v>3303</v>
      </c>
      <c r="K696" s="196" t="s">
        <v>1881</v>
      </c>
      <c r="L696" s="141" t="s">
        <v>3845</v>
      </c>
      <c r="M696" s="196">
        <v>560</v>
      </c>
      <c r="N696" s="196"/>
      <c r="O696" s="196" t="s">
        <v>3815</v>
      </c>
      <c r="P696" s="144">
        <v>534</v>
      </c>
      <c r="Q696" s="145">
        <f t="shared" si="42"/>
        <v>3.0093000000000001</v>
      </c>
      <c r="R696" s="203">
        <v>0.99</v>
      </c>
      <c r="S696" s="203"/>
      <c r="T696" s="151"/>
      <c r="U696" s="151">
        <v>1.7</v>
      </c>
      <c r="V696" s="151">
        <v>0.25</v>
      </c>
      <c r="W696" s="151">
        <f t="shared" si="43"/>
        <v>0.99</v>
      </c>
      <c r="X696" s="152">
        <f t="shared" si="41"/>
        <v>6.93E-2</v>
      </c>
      <c r="Y696" s="150">
        <f t="shared" si="40"/>
        <v>1.01</v>
      </c>
      <c r="Z696" s="152"/>
      <c r="AA696" s="148"/>
      <c r="AB696" s="148"/>
      <c r="AC696" s="153"/>
      <c r="AD696" s="153"/>
      <c r="AE696" s="153"/>
      <c r="AF696" s="153"/>
      <c r="AJ696" s="147"/>
    </row>
    <row r="697" spans="1:36" s="146" customFormat="1" x14ac:dyDescent="0.25">
      <c r="A697" s="196">
        <v>632</v>
      </c>
      <c r="B697" s="196" t="s">
        <v>3846</v>
      </c>
      <c r="C697" s="196" t="s">
        <v>3847</v>
      </c>
      <c r="D697" s="196" t="s">
        <v>1920</v>
      </c>
      <c r="E697" s="196" t="s">
        <v>2175</v>
      </c>
      <c r="F697" s="196">
        <v>2010</v>
      </c>
      <c r="G697" s="196"/>
      <c r="H697" s="196" t="s">
        <v>1878</v>
      </c>
      <c r="I697" s="141" t="s">
        <v>1879</v>
      </c>
      <c r="J697" s="196" t="s">
        <v>3303</v>
      </c>
      <c r="K697" s="196" t="s">
        <v>1881</v>
      </c>
      <c r="L697" s="141" t="s">
        <v>3848</v>
      </c>
      <c r="M697" s="196">
        <v>800</v>
      </c>
      <c r="N697" s="196"/>
      <c r="O697" s="196" t="s">
        <v>3816</v>
      </c>
      <c r="P697" s="144">
        <v>584</v>
      </c>
      <c r="Q697" s="145">
        <f t="shared" si="42"/>
        <v>3.0093000000000001</v>
      </c>
      <c r="R697" s="203">
        <v>0.99</v>
      </c>
      <c r="S697" s="203"/>
      <c r="T697" s="151"/>
      <c r="U697" s="151">
        <v>1.7</v>
      </c>
      <c r="V697" s="149">
        <v>0.25</v>
      </c>
      <c r="W697" s="151">
        <f t="shared" si="43"/>
        <v>0.99</v>
      </c>
      <c r="X697" s="152">
        <f t="shared" si="41"/>
        <v>6.93E-2</v>
      </c>
      <c r="Y697" s="150">
        <f t="shared" si="40"/>
        <v>1.01</v>
      </c>
      <c r="Z697" s="152"/>
      <c r="AA697" s="148"/>
      <c r="AB697" s="148"/>
      <c r="AC697" s="153"/>
      <c r="AD697" s="153"/>
      <c r="AE697" s="153"/>
      <c r="AF697" s="153"/>
      <c r="AJ697" s="147"/>
    </row>
    <row r="698" spans="1:36" s="146" customFormat="1" x14ac:dyDescent="0.25">
      <c r="A698" s="196">
        <v>1720</v>
      </c>
      <c r="B698" s="196" t="s">
        <v>3849</v>
      </c>
      <c r="C698" s="196" t="s">
        <v>3850</v>
      </c>
      <c r="D698" s="196" t="s">
        <v>1988</v>
      </c>
      <c r="E698" s="196"/>
      <c r="F698" s="196">
        <v>1999</v>
      </c>
      <c r="G698" s="196"/>
      <c r="H698" s="196" t="s">
        <v>1878</v>
      </c>
      <c r="I698" s="141" t="s">
        <v>1879</v>
      </c>
      <c r="J698" s="196" t="s">
        <v>3303</v>
      </c>
      <c r="K698" s="196" t="s">
        <v>1881</v>
      </c>
      <c r="L698" s="141" t="s">
        <v>3851</v>
      </c>
      <c r="M698" s="196">
        <v>480</v>
      </c>
      <c r="N698" s="196"/>
      <c r="O698" s="196" t="s">
        <v>3817</v>
      </c>
      <c r="P698" s="144">
        <v>353</v>
      </c>
      <c r="Q698" s="145">
        <f t="shared" si="42"/>
        <v>2.5093000000000001</v>
      </c>
      <c r="R698" s="203">
        <v>0.99</v>
      </c>
      <c r="S698" s="203"/>
      <c r="T698" s="151"/>
      <c r="U698" s="151">
        <v>1.2</v>
      </c>
      <c r="V698" s="151">
        <v>0.25</v>
      </c>
      <c r="W698" s="151">
        <f t="shared" si="43"/>
        <v>0.99</v>
      </c>
      <c r="X698" s="152">
        <f t="shared" si="41"/>
        <v>6.93E-2</v>
      </c>
      <c r="Y698" s="150">
        <f t="shared" si="40"/>
        <v>1.01</v>
      </c>
      <c r="Z698" s="152"/>
      <c r="AA698" s="148"/>
      <c r="AB698" s="148"/>
      <c r="AC698" s="153"/>
      <c r="AD698" s="153"/>
      <c r="AE698" s="153"/>
      <c r="AF698" s="153"/>
      <c r="AJ698" s="147"/>
    </row>
    <row r="699" spans="1:36" s="146" customFormat="1" x14ac:dyDescent="0.25">
      <c r="A699" s="196">
        <v>1396</v>
      </c>
      <c r="B699" s="196" t="s">
        <v>3852</v>
      </c>
      <c r="C699" s="196" t="s">
        <v>3853</v>
      </c>
      <c r="D699" s="196" t="s">
        <v>2424</v>
      </c>
      <c r="E699" s="196" t="s">
        <v>1877</v>
      </c>
      <c r="F699" s="196">
        <v>2010</v>
      </c>
      <c r="G699" s="196"/>
      <c r="H699" s="196" t="s">
        <v>1878</v>
      </c>
      <c r="I699" s="141" t="s">
        <v>1879</v>
      </c>
      <c r="J699" s="143" t="s">
        <v>3854</v>
      </c>
      <c r="K699" s="196" t="s">
        <v>1881</v>
      </c>
      <c r="L699" s="141" t="s">
        <v>3855</v>
      </c>
      <c r="M699" s="196">
        <v>536</v>
      </c>
      <c r="N699" s="196"/>
      <c r="O699" s="196" t="s">
        <v>3818</v>
      </c>
      <c r="P699" s="144">
        <v>280</v>
      </c>
      <c r="Q699" s="145">
        <f t="shared" si="42"/>
        <v>2.5093000000000001</v>
      </c>
      <c r="R699" s="203">
        <v>0.99</v>
      </c>
      <c r="S699" s="203"/>
      <c r="T699" s="151"/>
      <c r="U699" s="151">
        <v>1.2</v>
      </c>
      <c r="V699" s="149">
        <v>0.25</v>
      </c>
      <c r="W699" s="151">
        <f t="shared" si="43"/>
        <v>0.99</v>
      </c>
      <c r="X699" s="152">
        <f t="shared" si="41"/>
        <v>6.93E-2</v>
      </c>
      <c r="Y699" s="150">
        <f t="shared" si="40"/>
        <v>1.01</v>
      </c>
      <c r="Z699" s="152"/>
      <c r="AA699" s="148"/>
      <c r="AB699" s="148"/>
      <c r="AC699" s="153"/>
      <c r="AD699" s="153"/>
      <c r="AE699" s="153"/>
      <c r="AF699" s="153"/>
      <c r="AJ699" s="147"/>
    </row>
    <row r="700" spans="1:36" s="146" customFormat="1" x14ac:dyDescent="0.25">
      <c r="A700" s="196">
        <v>1327</v>
      </c>
      <c r="B700" s="196" t="s">
        <v>3856</v>
      </c>
      <c r="C700" s="196" t="s">
        <v>3857</v>
      </c>
      <c r="D700" s="196" t="s">
        <v>2257</v>
      </c>
      <c r="E700" s="196"/>
      <c r="F700" s="196">
        <v>2008</v>
      </c>
      <c r="G700" s="196"/>
      <c r="H700" s="196" t="s">
        <v>1878</v>
      </c>
      <c r="I700" s="141" t="s">
        <v>1879</v>
      </c>
      <c r="J700" s="196" t="s">
        <v>3649</v>
      </c>
      <c r="K700" s="196" t="s">
        <v>1881</v>
      </c>
      <c r="L700" s="141" t="s">
        <v>3858</v>
      </c>
      <c r="M700" s="196">
        <v>416</v>
      </c>
      <c r="N700" s="196"/>
      <c r="O700" s="196" t="s">
        <v>3819</v>
      </c>
      <c r="P700" s="144">
        <v>272</v>
      </c>
      <c r="Q700" s="145">
        <f t="shared" si="42"/>
        <v>1.7175</v>
      </c>
      <c r="R700" s="203">
        <v>0.25</v>
      </c>
      <c r="S700" s="203"/>
      <c r="T700" s="151"/>
      <c r="U700" s="151">
        <v>1.2</v>
      </c>
      <c r="V700" s="151">
        <v>0.25</v>
      </c>
      <c r="W700" s="151">
        <f t="shared" si="43"/>
        <v>0.25</v>
      </c>
      <c r="X700" s="152">
        <f t="shared" si="41"/>
        <v>1.7500000000000002E-2</v>
      </c>
      <c r="Y700" s="150">
        <f t="shared" si="40"/>
        <v>1.01</v>
      </c>
      <c r="Z700" s="152"/>
      <c r="AA700" s="148"/>
      <c r="AB700" s="148"/>
      <c r="AC700" s="153"/>
      <c r="AD700" s="153"/>
      <c r="AE700" s="153"/>
      <c r="AF700" s="153"/>
      <c r="AJ700" s="147"/>
    </row>
    <row r="701" spans="1:36" s="146" customFormat="1" x14ac:dyDescent="0.25">
      <c r="A701" s="196">
        <v>1327</v>
      </c>
      <c r="B701" s="196" t="s">
        <v>3859</v>
      </c>
      <c r="C701" s="196" t="s">
        <v>3860</v>
      </c>
      <c r="D701" s="196" t="s">
        <v>1095</v>
      </c>
      <c r="E701" s="196"/>
      <c r="F701" s="196">
        <v>2014</v>
      </c>
      <c r="G701" s="196"/>
      <c r="H701" s="196" t="s">
        <v>1878</v>
      </c>
      <c r="I701" s="141" t="s">
        <v>1879</v>
      </c>
      <c r="J701" s="196" t="s">
        <v>2237</v>
      </c>
      <c r="K701" s="196" t="s">
        <v>1881</v>
      </c>
      <c r="L701" s="141" t="s">
        <v>3861</v>
      </c>
      <c r="M701" s="196">
        <v>464</v>
      </c>
      <c r="N701" s="196"/>
      <c r="O701" s="196" t="s">
        <v>3820</v>
      </c>
      <c r="P701" s="144">
        <v>440</v>
      </c>
      <c r="Q701" s="145">
        <f t="shared" si="42"/>
        <v>2.5093000000000001</v>
      </c>
      <c r="R701" s="203">
        <v>0.99</v>
      </c>
      <c r="S701" s="203"/>
      <c r="T701" s="151"/>
      <c r="U701" s="151">
        <v>1.2</v>
      </c>
      <c r="V701" s="149">
        <v>0.25</v>
      </c>
      <c r="W701" s="151">
        <f t="shared" si="43"/>
        <v>0.99</v>
      </c>
      <c r="X701" s="152">
        <f t="shared" si="41"/>
        <v>6.93E-2</v>
      </c>
      <c r="Y701" s="150">
        <f t="shared" si="40"/>
        <v>1.01</v>
      </c>
      <c r="Z701" s="152"/>
      <c r="AA701" s="148"/>
      <c r="AB701" s="148"/>
      <c r="AC701" s="153"/>
      <c r="AD701" s="153"/>
      <c r="AE701" s="153"/>
      <c r="AF701" s="153"/>
      <c r="AJ701" s="147"/>
    </row>
    <row r="702" spans="1:36" x14ac:dyDescent="0.25">
      <c r="A702" s="196">
        <v>2576</v>
      </c>
      <c r="B702" s="196" t="s">
        <v>3871</v>
      </c>
      <c r="C702" s="196" t="s">
        <v>3872</v>
      </c>
      <c r="D702" s="196" t="s">
        <v>1993</v>
      </c>
      <c r="E702" s="196" t="s">
        <v>1913</v>
      </c>
      <c r="F702" s="196">
        <v>2011</v>
      </c>
      <c r="H702" s="196" t="s">
        <v>1878</v>
      </c>
      <c r="I702" s="184" t="s">
        <v>1879</v>
      </c>
      <c r="J702" s="143" t="s">
        <v>3873</v>
      </c>
      <c r="K702" s="196" t="s">
        <v>1881</v>
      </c>
      <c r="L702" s="184" t="s">
        <v>3874</v>
      </c>
      <c r="M702" s="196">
        <v>352</v>
      </c>
      <c r="O702" s="196" t="s">
        <v>3823</v>
      </c>
      <c r="P702" s="17">
        <v>312</v>
      </c>
      <c r="Q702" s="175">
        <f t="shared" si="42"/>
        <v>2.5093000000000001</v>
      </c>
      <c r="R702" s="199">
        <v>0.99</v>
      </c>
      <c r="T702" s="149"/>
      <c r="U702" s="149">
        <v>1.2</v>
      </c>
      <c r="V702" s="149">
        <v>0.25</v>
      </c>
      <c r="W702" s="149">
        <f t="shared" si="43"/>
        <v>0.99</v>
      </c>
      <c r="X702" s="152">
        <f t="shared" si="41"/>
        <v>6.93E-2</v>
      </c>
      <c r="Y702" s="150">
        <f t="shared" si="40"/>
        <v>1.01</v>
      </c>
      <c r="Z702" s="152"/>
      <c r="AC702" s="154"/>
      <c r="AD702" s="154"/>
      <c r="AE702" s="154"/>
      <c r="AF702" s="154"/>
    </row>
    <row r="703" spans="1:36" x14ac:dyDescent="0.25">
      <c r="A703" s="196">
        <v>1396</v>
      </c>
      <c r="B703" s="196" t="s">
        <v>2629</v>
      </c>
      <c r="C703" s="196" t="s">
        <v>3875</v>
      </c>
      <c r="D703" s="196" t="s">
        <v>1876</v>
      </c>
      <c r="E703" s="196" t="s">
        <v>2032</v>
      </c>
      <c r="F703" s="196">
        <v>2009</v>
      </c>
      <c r="H703" s="196" t="s">
        <v>1878</v>
      </c>
      <c r="I703" s="184" t="s">
        <v>1879</v>
      </c>
      <c r="J703" s="196" t="s">
        <v>3006</v>
      </c>
      <c r="K703" s="196" t="s">
        <v>1881</v>
      </c>
      <c r="L703" s="184" t="s">
        <v>3876</v>
      </c>
      <c r="M703" s="196">
        <v>592</v>
      </c>
      <c r="O703" s="196" t="s">
        <v>3877</v>
      </c>
      <c r="P703" s="17">
        <v>492</v>
      </c>
      <c r="Q703" s="175">
        <f t="shared" si="42"/>
        <v>1.3092999999999999</v>
      </c>
      <c r="R703" s="199">
        <v>0.99</v>
      </c>
      <c r="T703" s="149"/>
      <c r="U703" s="149"/>
      <c r="V703" s="151">
        <v>0.25</v>
      </c>
      <c r="W703" s="149">
        <f t="shared" si="43"/>
        <v>0.99</v>
      </c>
      <c r="X703" s="152">
        <f t="shared" si="41"/>
        <v>6.93E-2</v>
      </c>
      <c r="Y703" s="150">
        <f t="shared" si="40"/>
        <v>1.01</v>
      </c>
      <c r="Z703" s="152"/>
      <c r="AC703" s="154"/>
      <c r="AD703" s="154"/>
      <c r="AE703" s="154"/>
      <c r="AF703" s="154"/>
    </row>
    <row r="704" spans="1:36" ht="52.8" x14ac:dyDescent="0.25">
      <c r="A704" s="196">
        <v>2668</v>
      </c>
      <c r="B704" s="196" t="s">
        <v>3893</v>
      </c>
      <c r="C704" s="196" t="s">
        <v>3894</v>
      </c>
      <c r="D704" s="196" t="s">
        <v>3895</v>
      </c>
      <c r="E704" s="196" t="s">
        <v>1913</v>
      </c>
      <c r="F704" s="196">
        <v>2015</v>
      </c>
      <c r="H704" s="196" t="s">
        <v>1878</v>
      </c>
      <c r="I704" s="184" t="s">
        <v>1879</v>
      </c>
      <c r="J704" s="52" t="s">
        <v>3897</v>
      </c>
      <c r="K704" s="196" t="s">
        <v>1881</v>
      </c>
      <c r="L704" s="184" t="s">
        <v>3896</v>
      </c>
      <c r="M704" s="196">
        <v>608</v>
      </c>
      <c r="O704" s="196" t="s">
        <v>3878</v>
      </c>
      <c r="P704" s="17">
        <v>523</v>
      </c>
      <c r="Q704" s="175">
        <f t="shared" si="42"/>
        <v>3.0093000000000001</v>
      </c>
      <c r="R704" s="199">
        <v>0.99</v>
      </c>
      <c r="T704" s="149"/>
      <c r="U704" s="149">
        <v>1.7</v>
      </c>
      <c r="V704" s="149">
        <v>0.25</v>
      </c>
      <c r="W704" s="149">
        <f t="shared" si="43"/>
        <v>0.99</v>
      </c>
      <c r="X704" s="152">
        <f t="shared" si="41"/>
        <v>6.93E-2</v>
      </c>
      <c r="Y704" s="150">
        <f t="shared" si="40"/>
        <v>1.01</v>
      </c>
      <c r="Z704" s="152"/>
      <c r="AC704" s="154"/>
      <c r="AD704" s="154"/>
      <c r="AE704" s="154"/>
      <c r="AF704" s="154"/>
    </row>
    <row r="705" spans="1:36" x14ac:dyDescent="0.25">
      <c r="A705" s="196">
        <v>632</v>
      </c>
      <c r="B705" s="196" t="s">
        <v>3898</v>
      </c>
      <c r="C705" s="196" t="s">
        <v>3899</v>
      </c>
      <c r="D705" s="196" t="s">
        <v>3900</v>
      </c>
      <c r="E705" s="196" t="s">
        <v>3141</v>
      </c>
      <c r="H705" s="196" t="s">
        <v>1878</v>
      </c>
      <c r="I705" s="184" t="s">
        <v>1879</v>
      </c>
      <c r="J705" s="196" t="s">
        <v>3865</v>
      </c>
      <c r="K705" s="196" t="s">
        <v>1881</v>
      </c>
      <c r="M705" s="196">
        <v>368</v>
      </c>
      <c r="O705" s="196" t="s">
        <v>3879</v>
      </c>
      <c r="P705" s="17">
        <v>329</v>
      </c>
      <c r="Q705" s="175">
        <f t="shared" si="42"/>
        <v>2.5093000000000001</v>
      </c>
      <c r="R705" s="199">
        <v>0.99</v>
      </c>
      <c r="T705" s="149"/>
      <c r="U705" s="149">
        <v>1.2</v>
      </c>
      <c r="V705" s="151">
        <v>0.25</v>
      </c>
      <c r="W705" s="149">
        <f t="shared" si="43"/>
        <v>0.99</v>
      </c>
      <c r="X705" s="152">
        <f t="shared" si="41"/>
        <v>6.93E-2</v>
      </c>
      <c r="Y705" s="150">
        <f t="shared" si="40"/>
        <v>1.01</v>
      </c>
      <c r="Z705" s="152"/>
      <c r="AC705" s="154"/>
      <c r="AD705" s="154"/>
      <c r="AE705" s="154"/>
      <c r="AF705" s="154"/>
    </row>
    <row r="706" spans="1:36" x14ac:dyDescent="0.25">
      <c r="A706" s="196">
        <v>1395</v>
      </c>
      <c r="B706" s="196" t="s">
        <v>3901</v>
      </c>
      <c r="C706" s="196" t="s">
        <v>3902</v>
      </c>
      <c r="D706" s="196" t="s">
        <v>3026</v>
      </c>
      <c r="E706" s="196" t="s">
        <v>1913</v>
      </c>
      <c r="F706" s="196">
        <v>2014</v>
      </c>
      <c r="H706" s="196" t="s">
        <v>1878</v>
      </c>
      <c r="I706" s="184" t="s">
        <v>1879</v>
      </c>
      <c r="J706" s="196" t="s">
        <v>3904</v>
      </c>
      <c r="K706" s="196" t="s">
        <v>1881</v>
      </c>
      <c r="L706" s="184" t="s">
        <v>3903</v>
      </c>
      <c r="M706" s="196">
        <v>496</v>
      </c>
      <c r="O706" s="196" t="s">
        <v>3880</v>
      </c>
      <c r="P706" s="17">
        <v>391</v>
      </c>
      <c r="Q706" s="175">
        <f t="shared" si="42"/>
        <v>4.3282999999999996</v>
      </c>
      <c r="R706" s="199">
        <v>2.69</v>
      </c>
      <c r="T706" s="149"/>
      <c r="U706" s="149">
        <v>1.2</v>
      </c>
      <c r="V706" s="149">
        <v>0.25</v>
      </c>
      <c r="W706" s="149">
        <f t="shared" si="43"/>
        <v>2.69</v>
      </c>
      <c r="X706" s="152">
        <f t="shared" si="41"/>
        <v>0.1883</v>
      </c>
      <c r="Y706" s="150">
        <f t="shared" si="40"/>
        <v>1.01</v>
      </c>
      <c r="Z706" s="152"/>
      <c r="AC706" s="154"/>
      <c r="AD706" s="154"/>
      <c r="AE706" s="154"/>
      <c r="AF706" s="154"/>
    </row>
    <row r="707" spans="1:36" x14ac:dyDescent="0.25">
      <c r="A707" s="196">
        <v>1339</v>
      </c>
      <c r="B707" s="196" t="s">
        <v>3905</v>
      </c>
      <c r="C707" s="196" t="s">
        <v>3906</v>
      </c>
      <c r="D707" s="196" t="s">
        <v>1876</v>
      </c>
      <c r="E707" s="196" t="s">
        <v>2922</v>
      </c>
      <c r="F707" s="196">
        <v>2013</v>
      </c>
      <c r="H707" s="196" t="s">
        <v>1878</v>
      </c>
      <c r="I707" s="184" t="s">
        <v>1879</v>
      </c>
      <c r="J707" s="196" t="s">
        <v>3865</v>
      </c>
      <c r="K707" s="196" t="s">
        <v>1881</v>
      </c>
      <c r="L707" s="184" t="s">
        <v>3907</v>
      </c>
      <c r="M707" s="196">
        <v>336</v>
      </c>
      <c r="O707" s="196" t="s">
        <v>3881</v>
      </c>
      <c r="P707" s="17">
        <v>295</v>
      </c>
      <c r="Q707" s="175">
        <f t="shared" si="42"/>
        <v>4.1143000000000001</v>
      </c>
      <c r="R707" s="199">
        <v>2.4900000000000002</v>
      </c>
      <c r="T707" s="149"/>
      <c r="U707" s="149">
        <v>1.2</v>
      </c>
      <c r="V707" s="151">
        <v>0.25</v>
      </c>
      <c r="W707" s="149">
        <f t="shared" si="43"/>
        <v>2.4900000000000002</v>
      </c>
      <c r="X707" s="152">
        <f t="shared" si="41"/>
        <v>0.17430000000000001</v>
      </c>
      <c r="Y707" s="150">
        <f t="shared" si="40"/>
        <v>1.01</v>
      </c>
      <c r="Z707" s="152"/>
      <c r="AC707" s="154"/>
      <c r="AD707" s="154"/>
      <c r="AE707" s="154"/>
      <c r="AF707" s="154"/>
    </row>
    <row r="708" spans="1:36" x14ac:dyDescent="0.25">
      <c r="A708" s="196">
        <v>632</v>
      </c>
      <c r="B708" s="196" t="s">
        <v>3233</v>
      </c>
      <c r="C708" s="196" t="s">
        <v>3908</v>
      </c>
      <c r="D708" s="196" t="s">
        <v>2257</v>
      </c>
      <c r="F708" s="196">
        <v>2005</v>
      </c>
      <c r="H708" s="196" t="s">
        <v>1878</v>
      </c>
      <c r="I708" s="184" t="s">
        <v>1879</v>
      </c>
      <c r="J708" s="196" t="s">
        <v>3303</v>
      </c>
      <c r="K708" s="196" t="s">
        <v>1881</v>
      </c>
      <c r="L708" s="184" t="s">
        <v>3909</v>
      </c>
      <c r="M708" s="196">
        <v>624</v>
      </c>
      <c r="O708" s="196" t="s">
        <v>3882</v>
      </c>
      <c r="P708" s="17">
        <v>479</v>
      </c>
      <c r="Q708" s="175">
        <f t="shared" si="42"/>
        <v>2.5093000000000001</v>
      </c>
      <c r="R708" s="199">
        <v>0.99</v>
      </c>
      <c r="T708" s="149"/>
      <c r="U708" s="149">
        <v>1.2</v>
      </c>
      <c r="V708" s="149">
        <v>0.25</v>
      </c>
      <c r="W708" s="149">
        <f t="shared" si="43"/>
        <v>0.99</v>
      </c>
      <c r="X708" s="152">
        <f t="shared" si="41"/>
        <v>6.93E-2</v>
      </c>
      <c r="Y708" s="150">
        <f t="shared" si="40"/>
        <v>1.01</v>
      </c>
      <c r="Z708" s="152"/>
      <c r="AC708" s="154"/>
      <c r="AD708" s="154"/>
      <c r="AE708" s="154"/>
      <c r="AF708" s="154"/>
    </row>
    <row r="709" spans="1:36" x14ac:dyDescent="0.25">
      <c r="A709" s="182">
        <v>632</v>
      </c>
      <c r="B709" s="182" t="s">
        <v>3926</v>
      </c>
      <c r="C709" s="182" t="s">
        <v>3927</v>
      </c>
      <c r="D709" s="182" t="s">
        <v>3149</v>
      </c>
      <c r="F709" s="182">
        <v>2013</v>
      </c>
      <c r="H709" s="182" t="s">
        <v>1878</v>
      </c>
      <c r="I709" s="184" t="s">
        <v>1914</v>
      </c>
      <c r="K709" s="182" t="s">
        <v>1881</v>
      </c>
      <c r="L709" s="184" t="s">
        <v>3928</v>
      </c>
      <c r="M709" s="182">
        <v>480</v>
      </c>
      <c r="O709" s="196" t="s">
        <v>3883</v>
      </c>
      <c r="P709" s="17">
        <v>272</v>
      </c>
      <c r="Q709" s="175">
        <f t="shared" si="42"/>
        <v>2.5093000000000001</v>
      </c>
      <c r="R709" s="199">
        <v>0.99</v>
      </c>
      <c r="T709" s="149"/>
      <c r="U709" s="149">
        <v>1.2</v>
      </c>
      <c r="V709" s="151">
        <v>0.25</v>
      </c>
      <c r="W709" s="149">
        <f t="shared" si="43"/>
        <v>0.99</v>
      </c>
      <c r="X709" s="152">
        <f t="shared" si="41"/>
        <v>6.93E-2</v>
      </c>
      <c r="Y709" s="150">
        <f t="shared" si="40"/>
        <v>1.01</v>
      </c>
      <c r="Z709" s="152"/>
      <c r="AC709" s="154"/>
      <c r="AD709" s="154"/>
      <c r="AE709" s="154"/>
      <c r="AF709" s="154"/>
    </row>
    <row r="710" spans="1:36" ht="39.6" x14ac:dyDescent="0.25">
      <c r="A710" s="182">
        <v>2551</v>
      </c>
      <c r="B710" s="182" t="s">
        <v>3929</v>
      </c>
      <c r="C710" s="182" t="s">
        <v>3930</v>
      </c>
      <c r="D710" s="182" t="s">
        <v>2850</v>
      </c>
      <c r="E710" s="196" t="s">
        <v>1921</v>
      </c>
      <c r="F710" s="182">
        <v>2017</v>
      </c>
      <c r="H710" s="196" t="s">
        <v>1878</v>
      </c>
      <c r="I710" s="184" t="s">
        <v>1929</v>
      </c>
      <c r="J710" s="51" t="s">
        <v>3931</v>
      </c>
      <c r="K710" s="196" t="s">
        <v>1881</v>
      </c>
      <c r="L710" s="184" t="s">
        <v>3932</v>
      </c>
      <c r="M710" s="182">
        <v>352</v>
      </c>
      <c r="O710" s="196" t="s">
        <v>3884</v>
      </c>
      <c r="P710" s="17">
        <v>375</v>
      </c>
      <c r="Q710" s="175">
        <f t="shared" si="42"/>
        <v>2.7232999999999996</v>
      </c>
      <c r="R710" s="199">
        <v>1.19</v>
      </c>
      <c r="T710" s="149"/>
      <c r="U710" s="149">
        <v>1.2</v>
      </c>
      <c r="V710" s="149">
        <v>0.25</v>
      </c>
      <c r="W710" s="149">
        <f t="shared" si="43"/>
        <v>1.19</v>
      </c>
      <c r="X710" s="152">
        <f t="shared" si="41"/>
        <v>8.3299999999999999E-2</v>
      </c>
      <c r="Y710" s="150">
        <f t="shared" si="40"/>
        <v>1.01</v>
      </c>
      <c r="Z710" s="152"/>
      <c r="AC710" s="154"/>
      <c r="AD710" s="154"/>
      <c r="AE710" s="154"/>
      <c r="AF710" s="154"/>
    </row>
    <row r="711" spans="1:36" x14ac:dyDescent="0.25">
      <c r="A711" s="182">
        <v>734</v>
      </c>
      <c r="B711" s="182" t="s">
        <v>3933</v>
      </c>
      <c r="C711" s="182" t="s">
        <v>3934</v>
      </c>
      <c r="D711" s="182" t="s">
        <v>2054</v>
      </c>
      <c r="E711" s="196" t="s">
        <v>2094</v>
      </c>
      <c r="F711" s="182">
        <v>2007</v>
      </c>
      <c r="H711" s="196" t="s">
        <v>2734</v>
      </c>
      <c r="I711" s="184" t="s">
        <v>1929</v>
      </c>
      <c r="J711" s="196" t="s">
        <v>3935</v>
      </c>
      <c r="K711" s="196" t="s">
        <v>1881</v>
      </c>
      <c r="L711" s="184" t="s">
        <v>3936</v>
      </c>
      <c r="M711" s="182">
        <v>514</v>
      </c>
      <c r="O711" s="196" t="s">
        <v>3885</v>
      </c>
      <c r="P711" s="17">
        <v>439</v>
      </c>
      <c r="Q711" s="175">
        <f t="shared" si="42"/>
        <v>2.5093000000000001</v>
      </c>
      <c r="R711" s="199">
        <v>0.99</v>
      </c>
      <c r="T711" s="149"/>
      <c r="U711" s="149">
        <v>1.2</v>
      </c>
      <c r="V711" s="151">
        <v>0.25</v>
      </c>
      <c r="W711" s="149">
        <f t="shared" si="43"/>
        <v>0.99</v>
      </c>
      <c r="X711" s="152">
        <f t="shared" si="41"/>
        <v>6.93E-2</v>
      </c>
      <c r="Y711" s="150">
        <f t="shared" si="40"/>
        <v>1.01</v>
      </c>
      <c r="Z711" s="152"/>
      <c r="AC711" s="154"/>
      <c r="AD711" s="154"/>
      <c r="AE711" s="154"/>
      <c r="AF711" s="154"/>
    </row>
    <row r="712" spans="1:36" ht="39.6" x14ac:dyDescent="0.25">
      <c r="A712" s="196">
        <v>632</v>
      </c>
      <c r="B712" s="196" t="s">
        <v>3937</v>
      </c>
      <c r="C712" s="196" t="s">
        <v>3938</v>
      </c>
      <c r="D712" s="196" t="s">
        <v>1993</v>
      </c>
      <c r="E712" s="196" t="s">
        <v>2032</v>
      </c>
      <c r="F712" s="196">
        <v>2015</v>
      </c>
      <c r="H712" s="196" t="s">
        <v>1878</v>
      </c>
      <c r="I712" s="184" t="s">
        <v>1879</v>
      </c>
      <c r="J712" s="52" t="s">
        <v>3940</v>
      </c>
      <c r="K712" s="196" t="s">
        <v>1881</v>
      </c>
      <c r="L712" s="184" t="s">
        <v>3939</v>
      </c>
      <c r="M712" s="196">
        <v>576</v>
      </c>
      <c r="O712" s="196" t="s">
        <v>3886</v>
      </c>
      <c r="P712" s="17">
        <v>685</v>
      </c>
      <c r="Q712" s="175">
        <f t="shared" si="42"/>
        <v>2.4742999999999999</v>
      </c>
      <c r="R712" s="199">
        <v>0.49</v>
      </c>
      <c r="T712" s="149"/>
      <c r="U712" s="149">
        <v>1.7</v>
      </c>
      <c r="V712" s="149">
        <v>0.25</v>
      </c>
      <c r="W712" s="149">
        <f t="shared" si="43"/>
        <v>0.49</v>
      </c>
      <c r="X712" s="152">
        <f t="shared" si="41"/>
        <v>3.4299999999999997E-2</v>
      </c>
      <c r="Y712" s="150">
        <f t="shared" si="40"/>
        <v>1.01</v>
      </c>
      <c r="Z712" s="152"/>
      <c r="AC712" s="154"/>
      <c r="AD712" s="154"/>
      <c r="AE712" s="154"/>
      <c r="AF712" s="154"/>
    </row>
    <row r="713" spans="1:36" x14ac:dyDescent="0.25">
      <c r="Y713" s="150">
        <f t="shared" si="40"/>
        <v>1.01</v>
      </c>
      <c r="AC713" s="154"/>
      <c r="AD713" s="154"/>
      <c r="AE713" s="154"/>
      <c r="AF713" s="154"/>
    </row>
    <row r="714" spans="1:36" ht="66" x14ac:dyDescent="0.25">
      <c r="A714" s="196">
        <v>2522</v>
      </c>
      <c r="B714" s="196" t="s">
        <v>3945</v>
      </c>
      <c r="C714" s="196" t="s">
        <v>3946</v>
      </c>
      <c r="D714" s="196" t="s">
        <v>2209</v>
      </c>
      <c r="E714" s="196" t="s">
        <v>2032</v>
      </c>
      <c r="F714" s="196">
        <v>2008</v>
      </c>
      <c r="H714" s="196" t="s">
        <v>1878</v>
      </c>
      <c r="I714" s="184" t="s">
        <v>1879</v>
      </c>
      <c r="J714" s="142" t="s">
        <v>3947</v>
      </c>
      <c r="K714" s="196" t="s">
        <v>1881</v>
      </c>
      <c r="L714" s="184" t="s">
        <v>3948</v>
      </c>
      <c r="M714" s="196">
        <v>544</v>
      </c>
      <c r="O714" s="196" t="s">
        <v>3888</v>
      </c>
      <c r="P714" s="17">
        <v>391</v>
      </c>
      <c r="Q714" s="175">
        <f t="shared" si="42"/>
        <v>2.5093000000000001</v>
      </c>
      <c r="R714" s="199">
        <v>0.99</v>
      </c>
      <c r="T714" s="149"/>
      <c r="U714" s="149">
        <v>1.2</v>
      </c>
      <c r="V714" s="149">
        <v>0.25</v>
      </c>
      <c r="W714" s="149">
        <f t="shared" si="43"/>
        <v>0.99</v>
      </c>
      <c r="X714" s="152">
        <f t="shared" si="41"/>
        <v>6.93E-2</v>
      </c>
      <c r="Y714" s="150">
        <f t="shared" si="40"/>
        <v>1.01</v>
      </c>
      <c r="Z714" s="152"/>
      <c r="AC714" s="154"/>
      <c r="AD714" s="154"/>
      <c r="AE714" s="154"/>
      <c r="AF714" s="154"/>
    </row>
    <row r="715" spans="1:36" x14ac:dyDescent="0.25">
      <c r="A715" s="196">
        <v>2952</v>
      </c>
      <c r="B715" s="196" t="s">
        <v>3949</v>
      </c>
      <c r="C715" s="196" t="s">
        <v>3950</v>
      </c>
      <c r="D715" s="196" t="s">
        <v>2257</v>
      </c>
      <c r="E715" s="196" t="s">
        <v>1921</v>
      </c>
      <c r="F715" s="196">
        <v>2003</v>
      </c>
      <c r="H715" s="196" t="s">
        <v>1878</v>
      </c>
      <c r="I715" s="184" t="s">
        <v>1879</v>
      </c>
      <c r="J715" s="196" t="s">
        <v>3951</v>
      </c>
      <c r="K715" s="196" t="s">
        <v>1881</v>
      </c>
      <c r="L715" s="184" t="s">
        <v>3952</v>
      </c>
      <c r="M715" s="196">
        <v>640</v>
      </c>
      <c r="O715" s="196" t="s">
        <v>3889</v>
      </c>
      <c r="P715" s="17">
        <v>564</v>
      </c>
      <c r="Q715" s="175">
        <f t="shared" si="42"/>
        <v>3.0093000000000001</v>
      </c>
      <c r="R715" s="199">
        <v>0.99</v>
      </c>
      <c r="T715" s="149"/>
      <c r="U715" s="149">
        <v>1.7</v>
      </c>
      <c r="V715" s="151">
        <v>0.25</v>
      </c>
      <c r="W715" s="149">
        <f t="shared" si="43"/>
        <v>0.99</v>
      </c>
      <c r="X715" s="152">
        <f t="shared" si="41"/>
        <v>6.93E-2</v>
      </c>
      <c r="Y715" s="150">
        <f t="shared" si="40"/>
        <v>1.01</v>
      </c>
      <c r="Z715" s="152"/>
      <c r="AC715" s="154"/>
      <c r="AD715" s="154"/>
      <c r="AE715" s="154"/>
      <c r="AF715" s="154"/>
    </row>
    <row r="716" spans="1:36" x14ac:dyDescent="0.25">
      <c r="A716" s="196">
        <v>632</v>
      </c>
      <c r="B716" s="196" t="s">
        <v>3953</v>
      </c>
      <c r="C716" s="196" t="s">
        <v>3954</v>
      </c>
      <c r="D716" s="196" t="s">
        <v>2232</v>
      </c>
      <c r="E716" s="196" t="s">
        <v>1913</v>
      </c>
      <c r="F716" s="196">
        <v>2007</v>
      </c>
      <c r="H716" s="196" t="s">
        <v>1878</v>
      </c>
      <c r="I716" s="184" t="s">
        <v>1879</v>
      </c>
      <c r="J716" s="196" t="s">
        <v>3935</v>
      </c>
      <c r="K716" s="196" t="s">
        <v>1881</v>
      </c>
      <c r="L716" s="184" t="s">
        <v>3955</v>
      </c>
      <c r="M716" s="196">
        <v>112</v>
      </c>
      <c r="O716" s="196" t="s">
        <v>3890</v>
      </c>
      <c r="P716" s="17">
        <v>129</v>
      </c>
      <c r="Q716" s="175">
        <f t="shared" si="42"/>
        <v>2.7232999999999996</v>
      </c>
      <c r="R716" s="199">
        <v>1.19</v>
      </c>
      <c r="T716" s="149"/>
      <c r="U716" s="149">
        <v>1.2</v>
      </c>
      <c r="V716" s="149">
        <v>0.25</v>
      </c>
      <c r="W716" s="149">
        <f t="shared" si="43"/>
        <v>1.19</v>
      </c>
      <c r="X716" s="152">
        <f t="shared" si="41"/>
        <v>8.3299999999999999E-2</v>
      </c>
      <c r="Y716" s="150">
        <f t="shared" si="40"/>
        <v>1.01</v>
      </c>
      <c r="Z716" s="152"/>
      <c r="AC716" s="154"/>
      <c r="AD716" s="154"/>
      <c r="AE716" s="154"/>
      <c r="AF716" s="154"/>
    </row>
    <row r="717" spans="1:36" x14ac:dyDescent="0.25">
      <c r="A717" s="196">
        <v>968</v>
      </c>
      <c r="B717" s="196" t="s">
        <v>3956</v>
      </c>
      <c r="C717" s="196" t="s">
        <v>3957</v>
      </c>
      <c r="D717" s="196" t="s">
        <v>3958</v>
      </c>
      <c r="F717" s="196">
        <v>1993</v>
      </c>
      <c r="H717" s="196" t="s">
        <v>1878</v>
      </c>
      <c r="I717" s="184" t="s">
        <v>1914</v>
      </c>
      <c r="J717" s="196" t="s">
        <v>3959</v>
      </c>
      <c r="K717" s="196" t="s">
        <v>2025</v>
      </c>
      <c r="L717" s="184" t="s">
        <v>3960</v>
      </c>
      <c r="M717" s="196">
        <v>272</v>
      </c>
      <c r="O717" s="196" t="s">
        <v>3891</v>
      </c>
      <c r="P717" s="17">
        <v>142</v>
      </c>
      <c r="Q717" s="175">
        <f t="shared" si="42"/>
        <v>3.0442999999999998</v>
      </c>
      <c r="R717" s="199">
        <v>1.49</v>
      </c>
      <c r="T717" s="149"/>
      <c r="U717" s="149">
        <v>1.2</v>
      </c>
      <c r="V717" s="151">
        <v>0.25</v>
      </c>
      <c r="W717" s="149">
        <f t="shared" si="43"/>
        <v>1.49</v>
      </c>
      <c r="X717" s="152">
        <f t="shared" si="41"/>
        <v>0.1043</v>
      </c>
      <c r="Y717" s="150">
        <f t="shared" si="40"/>
        <v>1.01</v>
      </c>
      <c r="Z717" s="152"/>
      <c r="AC717" s="154"/>
      <c r="AD717" s="154"/>
      <c r="AE717" s="154"/>
      <c r="AF717" s="154"/>
    </row>
    <row r="718" spans="1:36" s="146" customFormat="1" x14ac:dyDescent="0.25">
      <c r="A718" s="196">
        <v>632</v>
      </c>
      <c r="B718" s="196" t="s">
        <v>3961</v>
      </c>
      <c r="C718" s="196" t="s">
        <v>3962</v>
      </c>
      <c r="D718" s="196" t="s">
        <v>1920</v>
      </c>
      <c r="E718" s="196"/>
      <c r="F718" s="196">
        <v>2013</v>
      </c>
      <c r="G718" s="196"/>
      <c r="H718" s="196" t="s">
        <v>1878</v>
      </c>
      <c r="I718" s="141" t="s">
        <v>1879</v>
      </c>
      <c r="J718" s="196" t="s">
        <v>3649</v>
      </c>
      <c r="K718" s="196" t="s">
        <v>1881</v>
      </c>
      <c r="L718" s="141"/>
      <c r="M718" s="196">
        <v>624</v>
      </c>
      <c r="N718" s="196"/>
      <c r="O718" s="196" t="s">
        <v>3892</v>
      </c>
      <c r="P718" s="144">
        <v>461</v>
      </c>
      <c r="Q718" s="145">
        <f t="shared" si="42"/>
        <v>2.5093000000000001</v>
      </c>
      <c r="R718" s="203">
        <v>0.99</v>
      </c>
      <c r="S718" s="203"/>
      <c r="T718" s="151"/>
      <c r="U718" s="151">
        <v>1.2</v>
      </c>
      <c r="V718" s="149">
        <v>0.25</v>
      </c>
      <c r="W718" s="151">
        <f t="shared" si="43"/>
        <v>0.99</v>
      </c>
      <c r="X718" s="152">
        <f t="shared" si="41"/>
        <v>6.93E-2</v>
      </c>
      <c r="Y718" s="150">
        <f t="shared" si="40"/>
        <v>1.01</v>
      </c>
      <c r="Z718" s="152"/>
      <c r="AA718" s="148"/>
      <c r="AB718" s="148"/>
      <c r="AC718" s="153"/>
      <c r="AD718" s="153"/>
      <c r="AE718" s="153"/>
      <c r="AF718" s="153"/>
      <c r="AJ718" s="147"/>
    </row>
    <row r="719" spans="1:36" x14ac:dyDescent="0.25">
      <c r="A719" s="196">
        <v>1232</v>
      </c>
      <c r="B719" s="196" t="s">
        <v>3968</v>
      </c>
      <c r="C719" s="196" t="s">
        <v>3969</v>
      </c>
      <c r="D719" s="196" t="s">
        <v>2309</v>
      </c>
      <c r="E719" s="196" t="s">
        <v>1877</v>
      </c>
      <c r="F719" s="196">
        <v>1998</v>
      </c>
      <c r="H719" s="196" t="s">
        <v>1878</v>
      </c>
      <c r="I719" s="184" t="s">
        <v>1879</v>
      </c>
      <c r="J719" s="196" t="s">
        <v>3963</v>
      </c>
      <c r="K719" s="196" t="s">
        <v>1881</v>
      </c>
      <c r="L719" s="184" t="s">
        <v>3970</v>
      </c>
      <c r="M719" s="196">
        <v>400</v>
      </c>
      <c r="O719" s="196" t="s">
        <v>3911</v>
      </c>
      <c r="P719" s="17">
        <v>258</v>
      </c>
      <c r="Q719" s="175">
        <f t="shared" si="42"/>
        <v>3.4722999999999997</v>
      </c>
      <c r="R719" s="199">
        <v>1.89</v>
      </c>
      <c r="T719" s="149"/>
      <c r="U719" s="149">
        <v>1.2</v>
      </c>
      <c r="V719" s="151">
        <v>0.25</v>
      </c>
      <c r="W719" s="149">
        <f t="shared" si="43"/>
        <v>1.89</v>
      </c>
      <c r="X719" s="152">
        <f t="shared" si="41"/>
        <v>0.1323</v>
      </c>
      <c r="Y719" s="150">
        <f t="shared" si="40"/>
        <v>1.01</v>
      </c>
      <c r="Z719" s="152"/>
      <c r="AC719" s="154"/>
      <c r="AD719" s="154"/>
      <c r="AE719" s="154"/>
      <c r="AF719" s="154"/>
    </row>
    <row r="720" spans="1:36" x14ac:dyDescent="0.25">
      <c r="A720" s="196">
        <v>2522</v>
      </c>
      <c r="B720" s="196" t="s">
        <v>2321</v>
      </c>
      <c r="C720" s="196" t="s">
        <v>3971</v>
      </c>
      <c r="D720" s="196" t="s">
        <v>1912</v>
      </c>
      <c r="F720" s="196">
        <v>2002</v>
      </c>
      <c r="H720" s="196" t="s">
        <v>1878</v>
      </c>
      <c r="I720" s="184" t="s">
        <v>1879</v>
      </c>
      <c r="J720" s="196" t="s">
        <v>3947</v>
      </c>
      <c r="K720" s="196" t="s">
        <v>1881</v>
      </c>
      <c r="L720" s="184" t="s">
        <v>3972</v>
      </c>
      <c r="M720" s="196">
        <v>384</v>
      </c>
      <c r="O720" s="196" t="s">
        <v>3912</v>
      </c>
      <c r="P720" s="17">
        <v>344</v>
      </c>
      <c r="Q720" s="175">
        <f t="shared" si="42"/>
        <v>2.5093000000000001</v>
      </c>
      <c r="R720" s="199">
        <v>0.99</v>
      </c>
      <c r="T720" s="149"/>
      <c r="U720" s="149">
        <v>1.2</v>
      </c>
      <c r="V720" s="149">
        <v>0.25</v>
      </c>
      <c r="W720" s="149">
        <f t="shared" si="43"/>
        <v>0.99</v>
      </c>
      <c r="X720" s="152">
        <f t="shared" si="41"/>
        <v>6.93E-2</v>
      </c>
      <c r="Y720" s="150">
        <f t="shared" si="40"/>
        <v>1.01</v>
      </c>
      <c r="Z720" s="152"/>
      <c r="AC720" s="154"/>
      <c r="AD720" s="154"/>
      <c r="AE720" s="154"/>
      <c r="AF720" s="154"/>
    </row>
    <row r="721" spans="1:32" ht="92.4" x14ac:dyDescent="0.25">
      <c r="A721" s="196">
        <v>2522</v>
      </c>
      <c r="B721" s="196" t="s">
        <v>3941</v>
      </c>
      <c r="C721" s="196" t="s">
        <v>3973</v>
      </c>
      <c r="D721" s="196" t="s">
        <v>1912</v>
      </c>
      <c r="E721" s="196" t="s">
        <v>1913</v>
      </c>
      <c r="F721" s="196">
        <v>2010</v>
      </c>
      <c r="H721" s="196" t="s">
        <v>1878</v>
      </c>
      <c r="I721" s="184" t="s">
        <v>1879</v>
      </c>
      <c r="J721" s="142" t="s">
        <v>3974</v>
      </c>
      <c r="K721" s="196" t="s">
        <v>1881</v>
      </c>
      <c r="L721" s="184" t="s">
        <v>3975</v>
      </c>
      <c r="M721" s="196">
        <v>448</v>
      </c>
      <c r="O721" s="196" t="s">
        <v>3913</v>
      </c>
      <c r="P721" s="17">
        <v>404</v>
      </c>
      <c r="Q721" s="175">
        <f t="shared" si="42"/>
        <v>2.5093000000000001</v>
      </c>
      <c r="R721" s="199">
        <v>0.99</v>
      </c>
      <c r="T721" s="149"/>
      <c r="U721" s="149">
        <v>1.2</v>
      </c>
      <c r="V721" s="151">
        <v>0.25</v>
      </c>
      <c r="W721" s="149">
        <f t="shared" si="43"/>
        <v>0.99</v>
      </c>
      <c r="X721" s="152">
        <f t="shared" si="41"/>
        <v>6.93E-2</v>
      </c>
      <c r="Y721" s="150">
        <f t="shared" si="40"/>
        <v>1.01</v>
      </c>
      <c r="Z721" s="152"/>
      <c r="AC721" s="154"/>
      <c r="AD721" s="154"/>
      <c r="AE721" s="154"/>
      <c r="AF721" s="154"/>
    </row>
    <row r="722" spans="1:32" x14ac:dyDescent="0.25">
      <c r="A722" s="196">
        <v>1913</v>
      </c>
      <c r="B722" s="196" t="s">
        <v>3976</v>
      </c>
      <c r="C722" s="196" t="s">
        <v>3977</v>
      </c>
      <c r="D722" s="196" t="s">
        <v>3978</v>
      </c>
      <c r="E722" s="196" t="s">
        <v>3979</v>
      </c>
      <c r="F722" s="196">
        <v>2015</v>
      </c>
      <c r="H722" s="196" t="s">
        <v>2734</v>
      </c>
      <c r="I722" s="184" t="s">
        <v>1879</v>
      </c>
      <c r="J722" s="143" t="s">
        <v>3980</v>
      </c>
      <c r="K722" s="196" t="s">
        <v>1881</v>
      </c>
      <c r="L722" s="184" t="s">
        <v>3981</v>
      </c>
      <c r="M722" s="182">
        <v>690</v>
      </c>
      <c r="O722" s="196" t="s">
        <v>3914</v>
      </c>
      <c r="P722" s="17">
        <v>1001</v>
      </c>
      <c r="Q722" s="175">
        <f t="shared" si="42"/>
        <v>9.2722999999999995</v>
      </c>
      <c r="R722" s="199">
        <v>4.8899999999999997</v>
      </c>
      <c r="T722" s="149"/>
      <c r="U722" s="149">
        <v>3.79</v>
      </c>
      <c r="V722" s="149">
        <v>0.25</v>
      </c>
      <c r="W722" s="149">
        <f t="shared" si="43"/>
        <v>4.8899999999999997</v>
      </c>
      <c r="X722" s="152">
        <f t="shared" si="41"/>
        <v>0.34229999999999999</v>
      </c>
      <c r="Y722" s="150">
        <f t="shared" si="40"/>
        <v>1.01</v>
      </c>
      <c r="Z722" s="152"/>
      <c r="AC722" s="154"/>
      <c r="AD722" s="154"/>
      <c r="AE722" s="154"/>
      <c r="AF722" s="154"/>
    </row>
    <row r="723" spans="1:32" x14ac:dyDescent="0.25">
      <c r="A723" s="196">
        <v>2598</v>
      </c>
      <c r="C723" s="196" t="s">
        <v>3982</v>
      </c>
      <c r="D723" s="196" t="s">
        <v>3136</v>
      </c>
      <c r="H723" s="196" t="s">
        <v>2734</v>
      </c>
      <c r="I723" s="184" t="s">
        <v>1929</v>
      </c>
      <c r="K723" s="196" t="s">
        <v>1881</v>
      </c>
      <c r="L723" s="184" t="s">
        <v>3983</v>
      </c>
      <c r="O723" s="196" t="s">
        <v>3915</v>
      </c>
      <c r="P723" s="17">
        <v>560</v>
      </c>
      <c r="Q723" s="175">
        <f t="shared" si="42"/>
        <v>6.2193000000000005</v>
      </c>
      <c r="R723" s="199">
        <v>3.99</v>
      </c>
      <c r="T723" s="149"/>
      <c r="U723" s="149">
        <v>1.7</v>
      </c>
      <c r="V723" s="151">
        <v>0.25</v>
      </c>
      <c r="W723" s="149">
        <f t="shared" si="43"/>
        <v>3.99</v>
      </c>
      <c r="X723" s="152">
        <f t="shared" si="41"/>
        <v>0.27930000000000005</v>
      </c>
      <c r="Y723" s="150">
        <f t="shared" si="40"/>
        <v>1.01</v>
      </c>
      <c r="Z723" s="152"/>
      <c r="AC723" s="154"/>
      <c r="AD723" s="154"/>
      <c r="AE723" s="154"/>
      <c r="AF723" s="154"/>
    </row>
    <row r="724" spans="1:32" x14ac:dyDescent="0.25">
      <c r="A724" s="196">
        <v>2663</v>
      </c>
      <c r="B724" s="196" t="s">
        <v>3984</v>
      </c>
      <c r="C724" s="196" t="s">
        <v>3985</v>
      </c>
      <c r="D724" s="196" t="s">
        <v>2257</v>
      </c>
      <c r="F724" s="196">
        <v>2015</v>
      </c>
      <c r="H724" s="196" t="s">
        <v>1878</v>
      </c>
      <c r="I724" s="184" t="s">
        <v>1879</v>
      </c>
      <c r="J724" s="196" t="s">
        <v>3986</v>
      </c>
      <c r="K724" s="196" t="s">
        <v>1881</v>
      </c>
      <c r="L724" s="184" t="s">
        <v>3987</v>
      </c>
      <c r="M724" s="196">
        <v>768</v>
      </c>
      <c r="O724" s="196" t="s">
        <v>3916</v>
      </c>
      <c r="P724" s="17">
        <v>614</v>
      </c>
      <c r="Q724" s="175">
        <f t="shared" si="42"/>
        <v>3.7154999999999996</v>
      </c>
      <c r="R724" s="199">
        <v>1.65</v>
      </c>
      <c r="T724" s="149"/>
      <c r="U724" s="149">
        <v>1.7</v>
      </c>
      <c r="V724" s="149">
        <v>0.25</v>
      </c>
      <c r="W724" s="149">
        <f t="shared" si="43"/>
        <v>1.65</v>
      </c>
      <c r="X724" s="152">
        <f t="shared" si="41"/>
        <v>0.11550000000000001</v>
      </c>
      <c r="Y724" s="150">
        <f t="shared" si="40"/>
        <v>1.01</v>
      </c>
      <c r="Z724" s="152"/>
      <c r="AC724" s="154"/>
      <c r="AD724" s="154"/>
      <c r="AE724" s="154"/>
      <c r="AF724" s="154"/>
    </row>
    <row r="725" spans="1:32" x14ac:dyDescent="0.25">
      <c r="A725" s="196">
        <v>689</v>
      </c>
      <c r="B725" s="196" t="s">
        <v>3988</v>
      </c>
      <c r="C725" s="196" t="s">
        <v>3989</v>
      </c>
      <c r="D725" s="196" t="s">
        <v>2453</v>
      </c>
      <c r="E725" s="196" t="s">
        <v>1913</v>
      </c>
      <c r="F725" s="196">
        <v>2012</v>
      </c>
      <c r="H725" s="196" t="s">
        <v>1878</v>
      </c>
      <c r="I725" s="184" t="s">
        <v>1879</v>
      </c>
      <c r="J725" s="196" t="s">
        <v>3990</v>
      </c>
      <c r="K725" s="196" t="s">
        <v>1881</v>
      </c>
      <c r="L725" s="184" t="s">
        <v>3991</v>
      </c>
      <c r="M725" s="196">
        <v>352</v>
      </c>
      <c r="O725" s="196" t="s">
        <v>3917</v>
      </c>
      <c r="P725" s="17">
        <v>496</v>
      </c>
      <c r="Q725" s="175">
        <f t="shared" si="42"/>
        <v>2.2722999999999995</v>
      </c>
      <c r="R725" s="199">
        <v>1.89</v>
      </c>
      <c r="T725" s="149"/>
      <c r="U725" s="149"/>
      <c r="V725" s="151">
        <v>0.25</v>
      </c>
      <c r="W725" s="149">
        <f t="shared" si="43"/>
        <v>1.89</v>
      </c>
      <c r="X725" s="152">
        <f t="shared" si="41"/>
        <v>0.1323</v>
      </c>
      <c r="Y725" s="150">
        <f t="shared" si="40"/>
        <v>1.01</v>
      </c>
      <c r="Z725" s="152"/>
      <c r="AC725" s="154"/>
      <c r="AD725" s="154"/>
      <c r="AE725" s="154"/>
      <c r="AF725" s="154"/>
    </row>
    <row r="726" spans="1:32" x14ac:dyDescent="0.25">
      <c r="A726" s="196">
        <v>796</v>
      </c>
      <c r="B726" s="196" t="s">
        <v>3992</v>
      </c>
      <c r="C726" s="196" t="s">
        <v>3993</v>
      </c>
      <c r="D726" s="196" t="s">
        <v>2257</v>
      </c>
      <c r="F726" s="196">
        <v>2011</v>
      </c>
      <c r="H726" s="196" t="s">
        <v>1878</v>
      </c>
      <c r="I726" s="184" t="s">
        <v>1879</v>
      </c>
      <c r="J726" s="143" t="s">
        <v>3994</v>
      </c>
      <c r="K726" s="196" t="s">
        <v>1881</v>
      </c>
      <c r="L726" s="184" t="s">
        <v>3995</v>
      </c>
      <c r="M726" s="196">
        <v>608</v>
      </c>
      <c r="O726" s="196" t="s">
        <v>3918</v>
      </c>
      <c r="P726" s="17">
        <v>464</v>
      </c>
      <c r="Q726" s="175">
        <f t="shared" si="42"/>
        <v>2.5093000000000001</v>
      </c>
      <c r="R726" s="199">
        <v>0.99</v>
      </c>
      <c r="T726" s="149"/>
      <c r="U726" s="149">
        <v>1.2</v>
      </c>
      <c r="V726" s="149">
        <v>0.25</v>
      </c>
      <c r="W726" s="149">
        <f t="shared" si="43"/>
        <v>0.99</v>
      </c>
      <c r="X726" s="152">
        <f t="shared" si="41"/>
        <v>6.93E-2</v>
      </c>
      <c r="Y726" s="150">
        <f t="shared" si="40"/>
        <v>1.01</v>
      </c>
      <c r="Z726" s="152"/>
      <c r="AC726" s="154"/>
      <c r="AD726" s="154"/>
      <c r="AE726" s="154"/>
      <c r="AF726" s="154"/>
    </row>
    <row r="727" spans="1:32" x14ac:dyDescent="0.25">
      <c r="A727" s="196">
        <v>643</v>
      </c>
      <c r="B727" s="196" t="s">
        <v>3996</v>
      </c>
      <c r="C727" s="196" t="s">
        <v>3997</v>
      </c>
      <c r="D727" s="196" t="s">
        <v>2300</v>
      </c>
      <c r="E727" s="196" t="s">
        <v>3998</v>
      </c>
      <c r="F727" s="196">
        <v>2005</v>
      </c>
      <c r="H727" s="196" t="s">
        <v>1878</v>
      </c>
      <c r="I727" s="184" t="s">
        <v>1879</v>
      </c>
      <c r="J727" s="143" t="s">
        <v>3994</v>
      </c>
      <c r="K727" s="196" t="s">
        <v>1881</v>
      </c>
      <c r="L727" s="184" t="s">
        <v>3999</v>
      </c>
      <c r="M727" s="196">
        <v>96</v>
      </c>
      <c r="O727" s="196" t="s">
        <v>3919</v>
      </c>
      <c r="P727" s="17">
        <v>105</v>
      </c>
      <c r="Q727" s="175">
        <f t="shared" si="42"/>
        <v>2.5093000000000001</v>
      </c>
      <c r="R727" s="199">
        <v>0.99</v>
      </c>
      <c r="T727" s="149"/>
      <c r="U727" s="149">
        <v>1.2</v>
      </c>
      <c r="V727" s="151">
        <v>0.25</v>
      </c>
      <c r="W727" s="149">
        <f t="shared" si="43"/>
        <v>0.99</v>
      </c>
      <c r="X727" s="152">
        <f t="shared" si="41"/>
        <v>6.93E-2</v>
      </c>
      <c r="Y727" s="150">
        <f t="shared" si="40"/>
        <v>1.01</v>
      </c>
      <c r="Z727" s="152"/>
      <c r="AC727" s="154"/>
      <c r="AD727" s="154"/>
      <c r="AE727" s="154"/>
      <c r="AF727" s="154"/>
    </row>
    <row r="728" spans="1:32" x14ac:dyDescent="0.25">
      <c r="A728" s="196">
        <v>796</v>
      </c>
      <c r="B728" s="196" t="s">
        <v>4000</v>
      </c>
      <c r="C728" s="196" t="s">
        <v>4001</v>
      </c>
      <c r="D728" s="196" t="s">
        <v>2257</v>
      </c>
      <c r="E728" s="196" t="s">
        <v>1921</v>
      </c>
      <c r="F728" s="196">
        <v>2014</v>
      </c>
      <c r="H728" s="196" t="s">
        <v>1878</v>
      </c>
      <c r="I728" s="184" t="s">
        <v>1879</v>
      </c>
      <c r="J728" s="196" t="s">
        <v>4002</v>
      </c>
      <c r="K728" s="196" t="s">
        <v>1881</v>
      </c>
      <c r="L728" s="184" t="s">
        <v>4003</v>
      </c>
      <c r="M728" s="196">
        <v>432</v>
      </c>
      <c r="O728" s="196" t="s">
        <v>3920</v>
      </c>
      <c r="P728" s="17">
        <v>434</v>
      </c>
      <c r="Q728" s="175">
        <f t="shared" si="42"/>
        <v>2.5093000000000001</v>
      </c>
      <c r="R728" s="199">
        <v>0.99</v>
      </c>
      <c r="T728" s="149"/>
      <c r="U728" s="149">
        <v>1.2</v>
      </c>
      <c r="V728" s="149">
        <v>0.25</v>
      </c>
      <c r="W728" s="149">
        <f t="shared" si="43"/>
        <v>0.99</v>
      </c>
      <c r="X728" s="152">
        <f t="shared" si="41"/>
        <v>6.93E-2</v>
      </c>
      <c r="Y728" s="150">
        <f t="shared" si="40"/>
        <v>1.01</v>
      </c>
      <c r="Z728" s="152"/>
      <c r="AC728" s="154"/>
      <c r="AD728" s="154"/>
      <c r="AE728" s="154"/>
      <c r="AF728" s="154"/>
    </row>
    <row r="729" spans="1:32" x14ac:dyDescent="0.25">
      <c r="A729" s="182">
        <v>2002</v>
      </c>
      <c r="B729" s="182" t="s">
        <v>4004</v>
      </c>
      <c r="C729" s="182" t="s">
        <v>4005</v>
      </c>
      <c r="D729" s="182" t="s">
        <v>3199</v>
      </c>
      <c r="F729" s="182">
        <v>2003</v>
      </c>
      <c r="H729" s="182" t="s">
        <v>1878</v>
      </c>
      <c r="I729" s="184" t="s">
        <v>1914</v>
      </c>
      <c r="K729" s="182" t="s">
        <v>1881</v>
      </c>
      <c r="L729" s="184" t="s">
        <v>4006</v>
      </c>
      <c r="M729" s="182">
        <v>304</v>
      </c>
      <c r="O729" s="196" t="s">
        <v>3921</v>
      </c>
      <c r="P729" s="17">
        <v>258</v>
      </c>
      <c r="Q729" s="175">
        <f t="shared" si="42"/>
        <v>3.7932999999999995</v>
      </c>
      <c r="R729" s="199">
        <v>2.19</v>
      </c>
      <c r="T729" s="149"/>
      <c r="U729" s="149">
        <v>1.2</v>
      </c>
      <c r="V729" s="151">
        <v>0.25</v>
      </c>
      <c r="W729" s="149">
        <f t="shared" si="43"/>
        <v>2.19</v>
      </c>
      <c r="X729" s="152">
        <f t="shared" si="41"/>
        <v>0.15329999999999999</v>
      </c>
      <c r="Y729" s="150">
        <f t="shared" si="40"/>
        <v>1.01</v>
      </c>
      <c r="Z729" s="152"/>
      <c r="AC729" s="154"/>
      <c r="AD729" s="154"/>
      <c r="AE729" s="154"/>
      <c r="AF729" s="154"/>
    </row>
    <row r="730" spans="1:32" x14ac:dyDescent="0.25">
      <c r="A730" s="182">
        <v>689</v>
      </c>
      <c r="B730" s="182" t="s">
        <v>4034</v>
      </c>
      <c r="C730" s="182" t="s">
        <v>4035</v>
      </c>
      <c r="D730" s="182" t="s">
        <v>2209</v>
      </c>
      <c r="E730" s="196" t="s">
        <v>1877</v>
      </c>
      <c r="F730" s="182">
        <v>2000</v>
      </c>
      <c r="H730" s="196" t="s">
        <v>1878</v>
      </c>
      <c r="I730" s="184" t="s">
        <v>1914</v>
      </c>
      <c r="J730" s="196" t="s">
        <v>4036</v>
      </c>
      <c r="K730" s="196" t="s">
        <v>1881</v>
      </c>
      <c r="L730" s="184" t="s">
        <v>4037</v>
      </c>
      <c r="M730" s="182">
        <v>528</v>
      </c>
      <c r="O730" s="196" t="s">
        <v>3923</v>
      </c>
      <c r="P730" s="17">
        <v>364</v>
      </c>
      <c r="Q730" s="175">
        <f t="shared" si="42"/>
        <v>1.7175</v>
      </c>
      <c r="R730" s="199">
        <v>0.25</v>
      </c>
      <c r="T730" s="149"/>
      <c r="U730" s="149">
        <v>1.2</v>
      </c>
      <c r="V730" s="149">
        <v>0.25</v>
      </c>
      <c r="W730" s="149">
        <f t="shared" si="43"/>
        <v>0.25</v>
      </c>
      <c r="X730" s="152">
        <f t="shared" si="41"/>
        <v>1.7500000000000002E-2</v>
      </c>
      <c r="Y730" s="150">
        <f t="shared" si="40"/>
        <v>1.01</v>
      </c>
      <c r="Z730" s="152"/>
      <c r="AC730" s="154"/>
      <c r="AD730" s="154"/>
      <c r="AE730" s="154"/>
      <c r="AF730" s="154"/>
    </row>
    <row r="731" spans="1:32" x14ac:dyDescent="0.25">
      <c r="A731" s="196">
        <v>2952</v>
      </c>
      <c r="B731" s="196" t="s">
        <v>4038</v>
      </c>
      <c r="C731" s="196" t="s">
        <v>4234</v>
      </c>
      <c r="D731" s="196" t="s">
        <v>2300</v>
      </c>
      <c r="E731" s="182" t="s">
        <v>1899</v>
      </c>
      <c r="F731" s="196">
        <v>2005</v>
      </c>
      <c r="H731" s="196" t="s">
        <v>1878</v>
      </c>
      <c r="I731" s="184" t="s">
        <v>1879</v>
      </c>
      <c r="J731" s="196" t="s">
        <v>4039</v>
      </c>
      <c r="K731" s="196" t="s">
        <v>1881</v>
      </c>
      <c r="L731" s="184" t="s">
        <v>4040</v>
      </c>
      <c r="M731" s="196">
        <v>560</v>
      </c>
      <c r="O731" s="196" t="s">
        <v>3924</v>
      </c>
      <c r="P731" s="17">
        <v>615</v>
      </c>
      <c r="Q731" s="175">
        <f t="shared" si="42"/>
        <v>2.2175000000000002</v>
      </c>
      <c r="R731" s="199">
        <v>0.25</v>
      </c>
      <c r="T731" s="149"/>
      <c r="U731" s="149">
        <v>1.7</v>
      </c>
      <c r="V731" s="151">
        <v>0.25</v>
      </c>
      <c r="W731" s="149">
        <f t="shared" si="43"/>
        <v>0.25</v>
      </c>
      <c r="X731" s="152">
        <f t="shared" si="41"/>
        <v>1.7500000000000002E-2</v>
      </c>
      <c r="Y731" s="150">
        <f t="shared" si="40"/>
        <v>1.01</v>
      </c>
      <c r="Z731" s="152"/>
      <c r="AC731" s="154"/>
      <c r="AD731" s="154"/>
      <c r="AE731" s="154"/>
      <c r="AF731" s="154"/>
    </row>
    <row r="732" spans="1:32" x14ac:dyDescent="0.25">
      <c r="A732" s="196">
        <v>1315</v>
      </c>
      <c r="B732" s="196" t="s">
        <v>4041</v>
      </c>
      <c r="C732" s="196" t="s">
        <v>4042</v>
      </c>
      <c r="D732" s="196" t="s">
        <v>2822</v>
      </c>
      <c r="F732" s="196">
        <v>1997</v>
      </c>
      <c r="H732" s="196" t="s">
        <v>1878</v>
      </c>
      <c r="I732" s="184" t="s">
        <v>1879</v>
      </c>
      <c r="J732" s="196" t="s">
        <v>4043</v>
      </c>
      <c r="K732" s="196" t="s">
        <v>1881</v>
      </c>
      <c r="L732" s="184" t="s">
        <v>4044</v>
      </c>
      <c r="M732" s="196">
        <v>160</v>
      </c>
      <c r="O732" s="196" t="s">
        <v>3925</v>
      </c>
      <c r="P732" s="17">
        <v>276</v>
      </c>
      <c r="Q732" s="175">
        <f t="shared" si="42"/>
        <v>1.9315</v>
      </c>
      <c r="R732" s="199">
        <v>0.45</v>
      </c>
      <c r="T732" s="149"/>
      <c r="U732" s="149">
        <v>1.2</v>
      </c>
      <c r="V732" s="149">
        <v>0.25</v>
      </c>
      <c r="W732" s="149">
        <f t="shared" si="43"/>
        <v>0.45</v>
      </c>
      <c r="X732" s="152">
        <f t="shared" si="41"/>
        <v>3.15E-2</v>
      </c>
      <c r="Y732" s="150">
        <f t="shared" si="40"/>
        <v>1.01</v>
      </c>
      <c r="Z732" s="152"/>
      <c r="AC732" s="154"/>
      <c r="AD732" s="154"/>
      <c r="AE732" s="154"/>
      <c r="AF732" s="154"/>
    </row>
    <row r="733" spans="1:32" x14ac:dyDescent="0.25">
      <c r="A733" s="196">
        <v>766</v>
      </c>
      <c r="B733" s="196" t="s">
        <v>4045</v>
      </c>
      <c r="C733" s="196" t="s">
        <v>4046</v>
      </c>
      <c r="D733" s="196" t="s">
        <v>4047</v>
      </c>
      <c r="E733" s="196" t="s">
        <v>1913</v>
      </c>
      <c r="F733" s="196">
        <v>1996</v>
      </c>
      <c r="H733" s="196" t="s">
        <v>1878</v>
      </c>
      <c r="I733" s="184" t="s">
        <v>1879</v>
      </c>
      <c r="J733" s="196" t="s">
        <v>4043</v>
      </c>
      <c r="K733" s="196" t="s">
        <v>1881</v>
      </c>
      <c r="L733" s="184" t="s">
        <v>4048</v>
      </c>
      <c r="M733" s="196">
        <v>224</v>
      </c>
      <c r="O733" s="196" t="s">
        <v>4007</v>
      </c>
      <c r="P733" s="17">
        <v>457</v>
      </c>
      <c r="Q733" s="175">
        <f t="shared" si="42"/>
        <v>1.7175</v>
      </c>
      <c r="R733" s="199">
        <v>0.25</v>
      </c>
      <c r="T733" s="149"/>
      <c r="U733" s="149">
        <v>1.2</v>
      </c>
      <c r="V733" s="151">
        <v>0.25</v>
      </c>
      <c r="W733" s="149">
        <f t="shared" si="43"/>
        <v>0.25</v>
      </c>
      <c r="X733" s="152">
        <f t="shared" si="41"/>
        <v>1.7500000000000002E-2</v>
      </c>
      <c r="Y733" s="150">
        <f t="shared" si="40"/>
        <v>1.01</v>
      </c>
      <c r="Z733" s="152"/>
      <c r="AC733" s="154"/>
      <c r="AD733" s="154"/>
      <c r="AE733" s="154"/>
      <c r="AF733" s="154"/>
    </row>
    <row r="734" spans="1:32" x14ac:dyDescent="0.25">
      <c r="A734" s="196">
        <v>796</v>
      </c>
      <c r="B734" s="196" t="s">
        <v>4049</v>
      </c>
      <c r="C734" s="196" t="s">
        <v>4050</v>
      </c>
      <c r="D734" s="196" t="s">
        <v>1876</v>
      </c>
      <c r="E734" s="196" t="s">
        <v>1877</v>
      </c>
      <c r="F734" s="196">
        <v>1992</v>
      </c>
      <c r="H734" s="196" t="s">
        <v>1878</v>
      </c>
      <c r="I734" s="184" t="s">
        <v>1879</v>
      </c>
      <c r="J734" s="196" t="s">
        <v>4036</v>
      </c>
      <c r="K734" s="196" t="s">
        <v>1881</v>
      </c>
      <c r="L734" s="184" t="s">
        <v>4051</v>
      </c>
      <c r="M734" s="196">
        <v>336</v>
      </c>
      <c r="O734" s="196" t="s">
        <v>4008</v>
      </c>
      <c r="P734" s="17">
        <v>201</v>
      </c>
      <c r="Q734" s="175">
        <f t="shared" si="42"/>
        <v>1.7175</v>
      </c>
      <c r="R734" s="199">
        <v>0.25</v>
      </c>
      <c r="T734" s="149"/>
      <c r="U734" s="149">
        <v>1.2</v>
      </c>
      <c r="V734" s="149">
        <v>0.25</v>
      </c>
      <c r="W734" s="149">
        <f t="shared" si="43"/>
        <v>0.25</v>
      </c>
      <c r="X734" s="152">
        <f t="shared" si="41"/>
        <v>1.7500000000000002E-2</v>
      </c>
      <c r="Y734" s="150">
        <f t="shared" si="40"/>
        <v>1.01</v>
      </c>
      <c r="Z734" s="152"/>
      <c r="AC734" s="154"/>
      <c r="AD734" s="154"/>
      <c r="AE734" s="154"/>
      <c r="AF734" s="154"/>
    </row>
    <row r="735" spans="1:32" x14ac:dyDescent="0.25">
      <c r="A735" s="196">
        <v>1348</v>
      </c>
      <c r="B735" s="196" t="s">
        <v>4052</v>
      </c>
      <c r="C735" s="196" t="s">
        <v>4053</v>
      </c>
      <c r="D735" s="196" t="s">
        <v>2300</v>
      </c>
      <c r="E735" s="196" t="s">
        <v>4054</v>
      </c>
      <c r="F735" s="196">
        <v>1973</v>
      </c>
      <c r="H735" s="196" t="s">
        <v>2008</v>
      </c>
      <c r="I735" s="184" t="s">
        <v>1879</v>
      </c>
      <c r="J735" s="196" t="s">
        <v>3006</v>
      </c>
      <c r="K735" s="196" t="s">
        <v>1881</v>
      </c>
      <c r="M735" s="196">
        <v>190</v>
      </c>
      <c r="O735" s="196" t="s">
        <v>4009</v>
      </c>
      <c r="P735" s="17">
        <v>139</v>
      </c>
      <c r="Q735" s="175">
        <f t="shared" si="42"/>
        <v>1.7175</v>
      </c>
      <c r="R735" s="199">
        <v>0.25</v>
      </c>
      <c r="T735" s="149"/>
      <c r="U735" s="149">
        <v>1.2</v>
      </c>
      <c r="V735" s="151">
        <v>0.25</v>
      </c>
      <c r="W735" s="149">
        <f t="shared" si="43"/>
        <v>0.25</v>
      </c>
      <c r="X735" s="152">
        <f t="shared" si="41"/>
        <v>1.7500000000000002E-2</v>
      </c>
      <c r="Y735" s="150">
        <f t="shared" si="40"/>
        <v>1.01</v>
      </c>
      <c r="Z735" s="152"/>
      <c r="AC735" s="154"/>
      <c r="AD735" s="154"/>
      <c r="AE735" s="154"/>
      <c r="AF735" s="154"/>
    </row>
    <row r="736" spans="1:32" x14ac:dyDescent="0.25">
      <c r="A736" s="196">
        <v>692</v>
      </c>
      <c r="B736" s="196" t="s">
        <v>4055</v>
      </c>
      <c r="C736" s="196" t="s">
        <v>4056</v>
      </c>
      <c r="D736" s="196" t="s">
        <v>2609</v>
      </c>
      <c r="E736" s="196" t="s">
        <v>4057</v>
      </c>
      <c r="F736" s="196">
        <v>2004</v>
      </c>
      <c r="H736" s="196" t="s">
        <v>1878</v>
      </c>
      <c r="I736" s="184" t="s">
        <v>1879</v>
      </c>
      <c r="J736" s="196" t="s">
        <v>3006</v>
      </c>
      <c r="K736" s="196" t="s">
        <v>1881</v>
      </c>
      <c r="L736" s="184" t="s">
        <v>4058</v>
      </c>
      <c r="M736" s="196">
        <v>256</v>
      </c>
      <c r="O736" s="196" t="s">
        <v>4010</v>
      </c>
      <c r="P736" s="17">
        <v>228</v>
      </c>
      <c r="Q736" s="175">
        <f t="shared" si="42"/>
        <v>2.0813000000000001</v>
      </c>
      <c r="R736" s="199">
        <v>0.59</v>
      </c>
      <c r="T736" s="149"/>
      <c r="U736" s="149">
        <v>1.2</v>
      </c>
      <c r="V736" s="149">
        <v>0.25</v>
      </c>
      <c r="W736" s="149">
        <f t="shared" si="43"/>
        <v>0.59</v>
      </c>
      <c r="X736" s="152">
        <f t="shared" si="41"/>
        <v>4.1299999999999996E-2</v>
      </c>
      <c r="Y736" s="150">
        <f t="shared" si="40"/>
        <v>1.01</v>
      </c>
      <c r="Z736" s="152"/>
      <c r="AC736" s="154"/>
      <c r="AD736" s="154"/>
      <c r="AE736" s="154"/>
      <c r="AF736" s="154"/>
    </row>
    <row r="737" spans="1:32" x14ac:dyDescent="0.25">
      <c r="A737" s="196">
        <v>632</v>
      </c>
      <c r="B737" s="196" t="s">
        <v>4062</v>
      </c>
      <c r="C737" s="196" t="s">
        <v>4063</v>
      </c>
      <c r="D737" s="196" t="s">
        <v>2609</v>
      </c>
      <c r="F737" s="196">
        <v>2006</v>
      </c>
      <c r="H737" s="196" t="s">
        <v>1878</v>
      </c>
      <c r="I737" s="184" t="s">
        <v>1879</v>
      </c>
      <c r="J737" s="196" t="s">
        <v>3006</v>
      </c>
      <c r="K737" s="196" t="s">
        <v>1881</v>
      </c>
      <c r="L737" s="184" t="s">
        <v>4064</v>
      </c>
      <c r="M737" s="196">
        <v>432</v>
      </c>
      <c r="O737" s="196" t="s">
        <v>4012</v>
      </c>
      <c r="P737" s="17">
        <v>325</v>
      </c>
      <c r="Q737" s="175">
        <f t="shared" si="42"/>
        <v>3.9003000000000001</v>
      </c>
      <c r="R737" s="199">
        <v>2.29</v>
      </c>
      <c r="T737" s="149"/>
      <c r="U737" s="149">
        <v>1.2</v>
      </c>
      <c r="V737" s="149">
        <v>0.25</v>
      </c>
      <c r="W737" s="149">
        <f t="shared" si="43"/>
        <v>2.29</v>
      </c>
      <c r="X737" s="152">
        <f t="shared" si="41"/>
        <v>0.1603</v>
      </c>
      <c r="Y737" s="150">
        <f t="shared" si="40"/>
        <v>1.01</v>
      </c>
      <c r="Z737" s="152"/>
      <c r="AC737" s="154"/>
      <c r="AD737" s="154"/>
      <c r="AE737" s="154"/>
      <c r="AF737" s="154"/>
    </row>
    <row r="738" spans="1:32" x14ac:dyDescent="0.25">
      <c r="A738" s="196">
        <v>2521</v>
      </c>
      <c r="B738" s="196" t="s">
        <v>4065</v>
      </c>
      <c r="C738" s="196" t="s">
        <v>4066</v>
      </c>
      <c r="D738" s="196" t="s">
        <v>2209</v>
      </c>
      <c r="E738" s="196" t="s">
        <v>1899</v>
      </c>
      <c r="F738" s="196">
        <v>2003</v>
      </c>
      <c r="H738" s="196" t="s">
        <v>1878</v>
      </c>
      <c r="I738" s="184" t="s">
        <v>1879</v>
      </c>
      <c r="J738" s="196" t="s">
        <v>3006</v>
      </c>
      <c r="K738" s="196" t="s">
        <v>1881</v>
      </c>
      <c r="L738" s="184" t="s">
        <v>4067</v>
      </c>
      <c r="M738" s="196">
        <v>400</v>
      </c>
      <c r="O738" s="196" t="s">
        <v>4013</v>
      </c>
      <c r="P738" s="17">
        <v>360</v>
      </c>
      <c r="Q738" s="175">
        <f t="shared" si="42"/>
        <v>6.2543000000000006</v>
      </c>
      <c r="R738" s="199">
        <v>4.49</v>
      </c>
      <c r="T738" s="149"/>
      <c r="U738" s="149">
        <v>1.2</v>
      </c>
      <c r="V738" s="151">
        <v>0.25</v>
      </c>
      <c r="W738" s="149">
        <f t="shared" si="43"/>
        <v>4.49</v>
      </c>
      <c r="X738" s="152">
        <f t="shared" si="41"/>
        <v>0.31430000000000002</v>
      </c>
      <c r="Y738" s="150">
        <f t="shared" si="40"/>
        <v>1.01</v>
      </c>
      <c r="Z738" s="152"/>
      <c r="AC738" s="154"/>
      <c r="AD738" s="154"/>
      <c r="AE738" s="154"/>
      <c r="AF738" s="154"/>
    </row>
    <row r="739" spans="1:32" x14ac:dyDescent="0.25">
      <c r="A739" s="196">
        <v>2550</v>
      </c>
      <c r="B739" s="196" t="s">
        <v>4068</v>
      </c>
      <c r="C739" s="196" t="s">
        <v>4069</v>
      </c>
      <c r="D739" s="196" t="s">
        <v>2609</v>
      </c>
      <c r="F739" s="196">
        <v>2004</v>
      </c>
      <c r="H739" s="196" t="s">
        <v>1878</v>
      </c>
      <c r="I739" s="184" t="s">
        <v>1879</v>
      </c>
      <c r="J739" s="196" t="s">
        <v>3653</v>
      </c>
      <c r="K739" s="196" t="s">
        <v>1881</v>
      </c>
      <c r="L739" s="184" t="s">
        <v>4070</v>
      </c>
      <c r="M739" s="196">
        <v>416</v>
      </c>
      <c r="O739" s="196" t="s">
        <v>4014</v>
      </c>
      <c r="P739" s="17">
        <v>364</v>
      </c>
      <c r="Q739" s="175">
        <f t="shared" si="42"/>
        <v>1.9742999999999999</v>
      </c>
      <c r="R739" s="199">
        <v>0.49</v>
      </c>
      <c r="T739" s="149"/>
      <c r="U739" s="149">
        <v>1.2</v>
      </c>
      <c r="V739" s="149">
        <v>0.25</v>
      </c>
      <c r="W739" s="149">
        <f t="shared" si="43"/>
        <v>0.49</v>
      </c>
      <c r="X739" s="152">
        <f t="shared" si="41"/>
        <v>3.4299999999999997E-2</v>
      </c>
      <c r="Y739" s="150">
        <f t="shared" si="40"/>
        <v>1.01</v>
      </c>
      <c r="Z739" s="152"/>
      <c r="AC739" s="154"/>
      <c r="AD739" s="154"/>
      <c r="AE739" s="154"/>
      <c r="AF739" s="154"/>
    </row>
    <row r="740" spans="1:32" x14ac:dyDescent="0.25">
      <c r="A740" s="196">
        <v>972</v>
      </c>
      <c r="B740" s="196" t="s">
        <v>4071</v>
      </c>
      <c r="C740" s="196" t="s">
        <v>4072</v>
      </c>
      <c r="F740" s="196">
        <v>2006</v>
      </c>
      <c r="H740" s="196" t="s">
        <v>1878</v>
      </c>
      <c r="I740" s="184" t="s">
        <v>1914</v>
      </c>
      <c r="J740" s="196" t="s">
        <v>4036</v>
      </c>
      <c r="K740" s="196" t="s">
        <v>1881</v>
      </c>
      <c r="L740" s="184" t="s">
        <v>4073</v>
      </c>
      <c r="M740" s="196">
        <v>664</v>
      </c>
      <c r="O740" s="196" t="s">
        <v>4015</v>
      </c>
      <c r="P740" s="17">
        <v>350</v>
      </c>
      <c r="Q740" s="175">
        <f t="shared" si="42"/>
        <v>2.5093000000000001</v>
      </c>
      <c r="R740" s="199">
        <v>0.99</v>
      </c>
      <c r="T740" s="149"/>
      <c r="U740" s="149">
        <v>1.2</v>
      </c>
      <c r="V740" s="151">
        <v>0.25</v>
      </c>
      <c r="W740" s="149">
        <f t="shared" si="43"/>
        <v>0.99</v>
      </c>
      <c r="X740" s="152">
        <f t="shared" si="41"/>
        <v>6.93E-2</v>
      </c>
      <c r="Y740" s="150">
        <f t="shared" si="40"/>
        <v>1.01</v>
      </c>
      <c r="Z740" s="152"/>
      <c r="AC740" s="154"/>
      <c r="AD740" s="154"/>
      <c r="AE740" s="154"/>
      <c r="AF740" s="154"/>
    </row>
    <row r="741" spans="1:32" x14ac:dyDescent="0.25">
      <c r="A741" s="196">
        <v>1231</v>
      </c>
      <c r="B741" s="196" t="s">
        <v>4074</v>
      </c>
      <c r="C741" s="196" t="s">
        <v>4075</v>
      </c>
      <c r="D741" s="196" t="s">
        <v>1998</v>
      </c>
      <c r="E741" s="196" t="s">
        <v>1877</v>
      </c>
      <c r="F741" s="196">
        <v>2013</v>
      </c>
      <c r="H741" s="196" t="s">
        <v>2734</v>
      </c>
      <c r="I741" s="184" t="s">
        <v>1879</v>
      </c>
      <c r="J741" s="196" t="s">
        <v>4076</v>
      </c>
      <c r="K741" s="196" t="s">
        <v>1881</v>
      </c>
      <c r="L741" s="184" t="s">
        <v>4077</v>
      </c>
      <c r="M741" s="196">
        <v>434</v>
      </c>
      <c r="O741" s="196" t="s">
        <v>4016</v>
      </c>
      <c r="P741" s="17">
        <v>507</v>
      </c>
      <c r="Q741" s="175">
        <f t="shared" si="42"/>
        <v>3.6513</v>
      </c>
      <c r="R741" s="199">
        <v>1.59</v>
      </c>
      <c r="T741" s="149"/>
      <c r="U741" s="149">
        <v>1.7</v>
      </c>
      <c r="V741" s="149">
        <v>0.25</v>
      </c>
      <c r="W741" s="149">
        <f t="shared" si="43"/>
        <v>1.59</v>
      </c>
      <c r="X741" s="152">
        <f t="shared" si="41"/>
        <v>0.11130000000000001</v>
      </c>
      <c r="Y741" s="150">
        <f t="shared" si="40"/>
        <v>1.01</v>
      </c>
      <c r="Z741" s="152"/>
      <c r="AC741" s="154"/>
      <c r="AD741" s="154"/>
      <c r="AE741" s="154"/>
      <c r="AF741" s="154"/>
    </row>
    <row r="742" spans="1:32" x14ac:dyDescent="0.25">
      <c r="A742" s="196">
        <v>632</v>
      </c>
      <c r="B742" s="196" t="s">
        <v>4078</v>
      </c>
      <c r="C742" s="196" t="s">
        <v>4079</v>
      </c>
      <c r="D742" s="196" t="s">
        <v>1920</v>
      </c>
      <c r="F742" s="196">
        <v>2005</v>
      </c>
      <c r="H742" s="196" t="s">
        <v>1878</v>
      </c>
      <c r="I742" s="184" t="s">
        <v>1879</v>
      </c>
      <c r="J742" s="196" t="s">
        <v>3649</v>
      </c>
      <c r="K742" s="196" t="s">
        <v>1881</v>
      </c>
      <c r="L742" s="184" t="s">
        <v>4080</v>
      </c>
      <c r="M742" s="196">
        <v>464</v>
      </c>
      <c r="O742" s="196" t="s">
        <v>4017</v>
      </c>
      <c r="P742" s="17">
        <v>446</v>
      </c>
      <c r="Q742" s="175">
        <f t="shared" si="42"/>
        <v>1.8994</v>
      </c>
      <c r="R742" s="199">
        <v>0.42</v>
      </c>
      <c r="T742" s="149"/>
      <c r="U742" s="149">
        <v>1.2</v>
      </c>
      <c r="V742" s="151">
        <v>0.25</v>
      </c>
      <c r="W742" s="149">
        <f t="shared" si="43"/>
        <v>0.42</v>
      </c>
      <c r="X742" s="152">
        <f t="shared" si="41"/>
        <v>2.9399999999999999E-2</v>
      </c>
      <c r="Y742" s="150">
        <f t="shared" si="40"/>
        <v>1.01</v>
      </c>
      <c r="Z742" s="152"/>
      <c r="AC742" s="154"/>
      <c r="AD742" s="154"/>
      <c r="AE742" s="154"/>
      <c r="AF742" s="154"/>
    </row>
    <row r="743" spans="1:32" x14ac:dyDescent="0.25">
      <c r="A743" s="196">
        <v>1386</v>
      </c>
      <c r="B743" s="196" t="s">
        <v>4081</v>
      </c>
      <c r="C743" s="196" t="s">
        <v>4082</v>
      </c>
      <c r="D743" s="196" t="s">
        <v>1988</v>
      </c>
      <c r="F743" s="196">
        <v>2011</v>
      </c>
      <c r="H743" s="196" t="s">
        <v>1878</v>
      </c>
      <c r="I743" s="184" t="s">
        <v>1879</v>
      </c>
      <c r="J743" s="196" t="s">
        <v>3649</v>
      </c>
      <c r="K743" s="196" t="s">
        <v>1881</v>
      </c>
      <c r="L743" s="184" t="s">
        <v>4083</v>
      </c>
      <c r="M743" s="196">
        <v>448</v>
      </c>
      <c r="O743" s="196" t="s">
        <v>4018</v>
      </c>
      <c r="P743" s="17">
        <v>466</v>
      </c>
      <c r="Q743" s="175">
        <f t="shared" si="42"/>
        <v>2.6162999999999998</v>
      </c>
      <c r="R743" s="199">
        <v>1.0900000000000001</v>
      </c>
      <c r="T743" s="149"/>
      <c r="U743" s="149">
        <v>1.2</v>
      </c>
      <c r="V743" s="149">
        <v>0.25</v>
      </c>
      <c r="W743" s="149">
        <f t="shared" si="43"/>
        <v>1.0900000000000001</v>
      </c>
      <c r="X743" s="152">
        <f t="shared" si="41"/>
        <v>7.6300000000000007E-2</v>
      </c>
      <c r="Y743" s="150">
        <f t="shared" si="40"/>
        <v>1.01</v>
      </c>
      <c r="Z743" s="152"/>
      <c r="AC743" s="154"/>
      <c r="AD743" s="154"/>
      <c r="AE743" s="154"/>
      <c r="AF743" s="154"/>
    </row>
    <row r="744" spans="1:32" x14ac:dyDescent="0.25">
      <c r="A744" s="196">
        <v>2554</v>
      </c>
      <c r="B744" s="196" t="s">
        <v>4084</v>
      </c>
      <c r="C744" s="196" t="s">
        <v>4085</v>
      </c>
      <c r="D744" s="196" t="s">
        <v>2209</v>
      </c>
      <c r="F744" s="196">
        <v>2016</v>
      </c>
      <c r="H744" s="196" t="s">
        <v>1878</v>
      </c>
      <c r="I744" s="184" t="s">
        <v>1879</v>
      </c>
      <c r="J744" s="196" t="s">
        <v>2237</v>
      </c>
      <c r="K744" s="196" t="s">
        <v>1881</v>
      </c>
      <c r="L744" s="184" t="s">
        <v>4086</v>
      </c>
      <c r="M744" s="196">
        <v>384</v>
      </c>
      <c r="O744" s="196" t="s">
        <v>4019</v>
      </c>
      <c r="P744" s="17">
        <v>331</v>
      </c>
      <c r="Q744" s="175">
        <f t="shared" si="42"/>
        <v>3.0442999999999998</v>
      </c>
      <c r="R744" s="199">
        <v>1.49</v>
      </c>
      <c r="T744" s="149"/>
      <c r="U744" s="149">
        <v>1.2</v>
      </c>
      <c r="V744" s="151">
        <v>0.25</v>
      </c>
      <c r="W744" s="149">
        <f t="shared" si="43"/>
        <v>1.49</v>
      </c>
      <c r="X744" s="152">
        <f t="shared" si="41"/>
        <v>0.1043</v>
      </c>
      <c r="Y744" s="150">
        <f t="shared" si="40"/>
        <v>1.01</v>
      </c>
      <c r="Z744" s="152"/>
      <c r="AC744" s="154"/>
      <c r="AD744" s="154"/>
      <c r="AE744" s="154"/>
      <c r="AF744" s="154"/>
    </row>
    <row r="745" spans="1:32" x14ac:dyDescent="0.25">
      <c r="A745" s="196">
        <v>2948</v>
      </c>
      <c r="B745" s="196" t="s">
        <v>4087</v>
      </c>
      <c r="C745" s="196" t="s">
        <v>4088</v>
      </c>
      <c r="D745" s="196" t="s">
        <v>2209</v>
      </c>
      <c r="F745" s="196">
        <v>2007</v>
      </c>
      <c r="H745" s="196" t="s">
        <v>1878</v>
      </c>
      <c r="I745" s="184" t="s">
        <v>1879</v>
      </c>
      <c r="J745" s="143" t="s">
        <v>4089</v>
      </c>
      <c r="K745" s="196" t="s">
        <v>1881</v>
      </c>
      <c r="L745" s="184" t="s">
        <v>4090</v>
      </c>
      <c r="M745" s="196">
        <v>304</v>
      </c>
      <c r="O745" s="196" t="s">
        <v>4020</v>
      </c>
      <c r="P745" s="17">
        <v>258</v>
      </c>
      <c r="Q745" s="175">
        <f t="shared" si="42"/>
        <v>2.5093000000000001</v>
      </c>
      <c r="R745" s="199">
        <v>0.99</v>
      </c>
      <c r="T745" s="149"/>
      <c r="U745" s="149">
        <v>1.2</v>
      </c>
      <c r="V745" s="149">
        <v>0.25</v>
      </c>
      <c r="W745" s="149">
        <f t="shared" si="43"/>
        <v>0.99</v>
      </c>
      <c r="X745" s="152">
        <f t="shared" si="41"/>
        <v>6.93E-2</v>
      </c>
      <c r="Y745" s="150">
        <f t="shared" si="40"/>
        <v>1.01</v>
      </c>
      <c r="Z745" s="152"/>
      <c r="AC745" s="154"/>
      <c r="AD745" s="154"/>
      <c r="AE745" s="154"/>
      <c r="AF745" s="154"/>
    </row>
    <row r="746" spans="1:32" x14ac:dyDescent="0.25">
      <c r="A746" s="196">
        <v>2518</v>
      </c>
      <c r="B746" s="196" t="s">
        <v>4091</v>
      </c>
      <c r="C746" s="196" t="s">
        <v>4092</v>
      </c>
      <c r="D746" s="196" t="s">
        <v>2054</v>
      </c>
      <c r="E746" s="196" t="s">
        <v>2094</v>
      </c>
      <c r="F746" s="196">
        <v>2007</v>
      </c>
      <c r="H746" s="196" t="s">
        <v>2734</v>
      </c>
      <c r="I746" s="184" t="s">
        <v>1879</v>
      </c>
      <c r="J746" s="196" t="s">
        <v>3653</v>
      </c>
      <c r="K746" s="196" t="s">
        <v>1881</v>
      </c>
      <c r="L746" s="184" t="s">
        <v>4093</v>
      </c>
      <c r="M746" s="196">
        <v>330</v>
      </c>
      <c r="O746" s="196" t="s">
        <v>4021</v>
      </c>
      <c r="P746" s="17">
        <v>407</v>
      </c>
      <c r="Q746" s="175">
        <f t="shared" si="42"/>
        <v>2.4022999999999999</v>
      </c>
      <c r="R746" s="199">
        <v>0.89</v>
      </c>
      <c r="T746" s="149"/>
      <c r="U746" s="149">
        <v>1.2</v>
      </c>
      <c r="V746" s="151">
        <v>0.25</v>
      </c>
      <c r="W746" s="149">
        <f t="shared" si="43"/>
        <v>0.89</v>
      </c>
      <c r="X746" s="152">
        <f t="shared" si="41"/>
        <v>6.2300000000000001E-2</v>
      </c>
      <c r="Y746" s="150">
        <f t="shared" si="40"/>
        <v>1.01</v>
      </c>
      <c r="Z746" s="152"/>
      <c r="AC746" s="154"/>
      <c r="AD746" s="154"/>
      <c r="AE746" s="154"/>
      <c r="AF746" s="154"/>
    </row>
    <row r="747" spans="1:32" x14ac:dyDescent="0.25">
      <c r="A747" s="196">
        <v>632</v>
      </c>
      <c r="B747" s="196" t="s">
        <v>4094</v>
      </c>
      <c r="C747" s="196" t="s">
        <v>4095</v>
      </c>
      <c r="D747" s="196" t="s">
        <v>1920</v>
      </c>
      <c r="F747" s="196">
        <v>2011</v>
      </c>
      <c r="H747" s="196" t="s">
        <v>1878</v>
      </c>
      <c r="I747" s="184" t="s">
        <v>1879</v>
      </c>
      <c r="J747" s="143" t="s">
        <v>4089</v>
      </c>
      <c r="K747" s="196" t="s">
        <v>1881</v>
      </c>
      <c r="L747" s="184" t="s">
        <v>4096</v>
      </c>
      <c r="M747" s="196">
        <v>720</v>
      </c>
      <c r="O747" s="196" t="s">
        <v>4022</v>
      </c>
      <c r="P747" s="17">
        <v>516</v>
      </c>
      <c r="Q747" s="175">
        <f t="shared" si="42"/>
        <v>3.0093000000000001</v>
      </c>
      <c r="R747" s="199">
        <v>0.99</v>
      </c>
      <c r="T747" s="149"/>
      <c r="U747" s="149">
        <v>1.7</v>
      </c>
      <c r="V747" s="149">
        <v>0.25</v>
      </c>
      <c r="W747" s="149">
        <f t="shared" si="43"/>
        <v>0.99</v>
      </c>
      <c r="X747" s="152">
        <f t="shared" si="41"/>
        <v>6.93E-2</v>
      </c>
      <c r="Y747" s="150">
        <f t="shared" si="40"/>
        <v>1.01</v>
      </c>
      <c r="Z747" s="152"/>
      <c r="AC747" s="154"/>
      <c r="AD747" s="154"/>
      <c r="AE747" s="154"/>
      <c r="AF747" s="154"/>
    </row>
    <row r="748" spans="1:32" x14ac:dyDescent="0.25">
      <c r="A748" s="196">
        <v>2002</v>
      </c>
      <c r="B748" s="196" t="s">
        <v>4004</v>
      </c>
      <c r="C748" s="196" t="s">
        <v>4097</v>
      </c>
      <c r="D748" s="196" t="s">
        <v>2209</v>
      </c>
      <c r="E748" s="196" t="s">
        <v>2032</v>
      </c>
      <c r="F748" s="196">
        <v>1994</v>
      </c>
      <c r="H748" s="196" t="s">
        <v>1878</v>
      </c>
      <c r="I748" s="184" t="s">
        <v>1914</v>
      </c>
      <c r="J748" s="196" t="s">
        <v>3649</v>
      </c>
      <c r="K748" s="196" t="s">
        <v>1881</v>
      </c>
      <c r="L748" s="184" t="s">
        <v>4098</v>
      </c>
      <c r="M748" s="196">
        <v>444</v>
      </c>
      <c r="O748" s="196" t="s">
        <v>4023</v>
      </c>
      <c r="P748" s="17">
        <v>358</v>
      </c>
      <c r="Q748" s="175">
        <f t="shared" si="42"/>
        <v>3.3653000000000004</v>
      </c>
      <c r="R748" s="199">
        <v>1.79</v>
      </c>
      <c r="T748" s="149"/>
      <c r="U748" s="149">
        <v>1.2</v>
      </c>
      <c r="V748" s="151">
        <v>0.25</v>
      </c>
      <c r="W748" s="149">
        <f t="shared" si="43"/>
        <v>1.79</v>
      </c>
      <c r="X748" s="152">
        <f t="shared" si="41"/>
        <v>0.12529999999999999</v>
      </c>
      <c r="Y748" s="150">
        <f t="shared" ref="Y748:Y811" si="44">(IF(Z748&gt;AA748,Z748,AA748)*0.08)+1.01</f>
        <v>1.01</v>
      </c>
      <c r="Z748" s="152"/>
      <c r="AC748" s="154"/>
      <c r="AD748" s="154"/>
      <c r="AE748" s="154"/>
      <c r="AF748" s="154"/>
    </row>
    <row r="749" spans="1:32" x14ac:dyDescent="0.25">
      <c r="A749" s="196">
        <v>631</v>
      </c>
      <c r="B749" s="196" t="s">
        <v>4101</v>
      </c>
      <c r="C749" s="196" t="s">
        <v>4102</v>
      </c>
      <c r="D749" s="196" t="s">
        <v>2209</v>
      </c>
      <c r="E749" s="196" t="s">
        <v>1899</v>
      </c>
      <c r="F749" s="196">
        <v>2013</v>
      </c>
      <c r="H749" s="196" t="s">
        <v>1878</v>
      </c>
      <c r="I749" s="184" t="s">
        <v>1914</v>
      </c>
      <c r="J749" s="196" t="s">
        <v>3653</v>
      </c>
      <c r="K749" s="196" t="s">
        <v>1881</v>
      </c>
      <c r="L749" s="184" t="s">
        <v>4103</v>
      </c>
      <c r="M749" s="196">
        <v>480</v>
      </c>
      <c r="O749" s="196" t="s">
        <v>4025</v>
      </c>
      <c r="P749" s="17">
        <v>429</v>
      </c>
      <c r="Q749" s="175">
        <f t="shared" si="42"/>
        <v>2.6162999999999998</v>
      </c>
      <c r="R749" s="199">
        <v>1.0900000000000001</v>
      </c>
      <c r="T749" s="149"/>
      <c r="U749" s="149">
        <v>1.2</v>
      </c>
      <c r="V749" s="149">
        <v>0.25</v>
      </c>
      <c r="W749" s="149">
        <f t="shared" si="43"/>
        <v>1.0900000000000001</v>
      </c>
      <c r="X749" s="152">
        <f t="shared" ref="X749:X812" si="45">(T749+W749)/100*7</f>
        <v>7.6300000000000007E-2</v>
      </c>
      <c r="Y749" s="150">
        <f t="shared" si="44"/>
        <v>1.01</v>
      </c>
      <c r="Z749" s="152"/>
      <c r="AC749" s="154"/>
      <c r="AD749" s="154"/>
      <c r="AE749" s="154"/>
      <c r="AF749" s="154"/>
    </row>
    <row r="750" spans="1:32" x14ac:dyDescent="0.25">
      <c r="A750" s="196">
        <v>689</v>
      </c>
      <c r="B750" s="196" t="s">
        <v>4105</v>
      </c>
      <c r="C750" s="196" t="s">
        <v>4106</v>
      </c>
      <c r="D750" s="196" t="s">
        <v>2209</v>
      </c>
      <c r="E750" s="196" t="s">
        <v>1899</v>
      </c>
      <c r="F750" s="196">
        <v>2009</v>
      </c>
      <c r="H750" s="196" t="s">
        <v>1878</v>
      </c>
      <c r="I750" s="184" t="s">
        <v>1879</v>
      </c>
      <c r="J750" s="196" t="s">
        <v>4107</v>
      </c>
      <c r="K750" s="196" t="s">
        <v>1881</v>
      </c>
      <c r="L750" s="184" t="s">
        <v>4108</v>
      </c>
      <c r="M750" s="196">
        <v>528</v>
      </c>
      <c r="O750" s="196" t="s">
        <v>4026</v>
      </c>
      <c r="P750" s="17">
        <v>417</v>
      </c>
      <c r="Q750" s="175">
        <f t="shared" si="42"/>
        <v>2.9373</v>
      </c>
      <c r="R750" s="199">
        <v>1.39</v>
      </c>
      <c r="T750" s="149"/>
      <c r="U750" s="149">
        <v>1.2</v>
      </c>
      <c r="V750" s="151">
        <v>0.25</v>
      </c>
      <c r="W750" s="149">
        <f t="shared" si="43"/>
        <v>1.39</v>
      </c>
      <c r="X750" s="152">
        <f t="shared" si="45"/>
        <v>9.7299999999999998E-2</v>
      </c>
      <c r="Y750" s="150">
        <f t="shared" si="44"/>
        <v>1.01</v>
      </c>
      <c r="Z750" s="152"/>
      <c r="AC750" s="154"/>
      <c r="AD750" s="154"/>
      <c r="AE750" s="154"/>
      <c r="AF750" s="154"/>
    </row>
    <row r="751" spans="1:32" x14ac:dyDescent="0.25">
      <c r="A751" s="196">
        <v>632</v>
      </c>
      <c r="B751" s="196" t="s">
        <v>4109</v>
      </c>
      <c r="C751" s="196" t="s">
        <v>4110</v>
      </c>
      <c r="D751" s="196" t="s">
        <v>2609</v>
      </c>
      <c r="E751" s="196" t="s">
        <v>1877</v>
      </c>
      <c r="F751" s="196">
        <v>2001</v>
      </c>
      <c r="H751" s="196" t="s">
        <v>1878</v>
      </c>
      <c r="I751" s="184" t="s">
        <v>1914</v>
      </c>
      <c r="J751" s="196" t="s">
        <v>4111</v>
      </c>
      <c r="K751" s="196" t="s">
        <v>1881</v>
      </c>
      <c r="L751" s="184" t="s">
        <v>4112</v>
      </c>
      <c r="M751" s="196">
        <v>576</v>
      </c>
      <c r="O751" s="196" t="s">
        <v>4027</v>
      </c>
      <c r="P751" s="17">
        <v>503</v>
      </c>
      <c r="Q751" s="175">
        <f t="shared" si="42"/>
        <v>2.6882999999999995</v>
      </c>
      <c r="R751" s="199">
        <v>0.69</v>
      </c>
      <c r="T751" s="149"/>
      <c r="U751" s="149">
        <v>1.7</v>
      </c>
      <c r="V751" s="149">
        <v>0.25</v>
      </c>
      <c r="W751" s="149">
        <f t="shared" si="43"/>
        <v>0.69</v>
      </c>
      <c r="X751" s="152">
        <f t="shared" si="45"/>
        <v>4.8299999999999996E-2</v>
      </c>
      <c r="Y751" s="150">
        <f t="shared" si="44"/>
        <v>1.01</v>
      </c>
      <c r="Z751" s="152"/>
      <c r="AC751" s="154"/>
      <c r="AD751" s="154"/>
      <c r="AE751" s="154"/>
      <c r="AF751" s="154"/>
    </row>
    <row r="752" spans="1:32" x14ac:dyDescent="0.25">
      <c r="A752" s="196">
        <v>2522</v>
      </c>
      <c r="B752" s="196" t="s">
        <v>3369</v>
      </c>
      <c r="C752" s="196" t="s">
        <v>4113</v>
      </c>
      <c r="D752" s="196" t="s">
        <v>2209</v>
      </c>
      <c r="F752" s="196">
        <v>2012</v>
      </c>
      <c r="H752" s="196" t="s">
        <v>1878</v>
      </c>
      <c r="I752" s="184" t="s">
        <v>1914</v>
      </c>
      <c r="J752" s="196"/>
      <c r="K752" s="196" t="s">
        <v>1881</v>
      </c>
      <c r="L752" s="184" t="s">
        <v>4114</v>
      </c>
      <c r="M752" s="196">
        <v>432</v>
      </c>
      <c r="O752" s="196" t="s">
        <v>4028</v>
      </c>
      <c r="P752" s="17">
        <v>355</v>
      </c>
      <c r="Q752" s="175">
        <f t="shared" si="42"/>
        <v>2.4022999999999999</v>
      </c>
      <c r="R752" s="199">
        <v>0.89</v>
      </c>
      <c r="T752" s="149"/>
      <c r="U752" s="149">
        <v>1.2</v>
      </c>
      <c r="V752" s="151">
        <v>0.25</v>
      </c>
      <c r="W752" s="149">
        <f t="shared" si="43"/>
        <v>0.89</v>
      </c>
      <c r="X752" s="152">
        <f t="shared" si="45"/>
        <v>6.2300000000000001E-2</v>
      </c>
      <c r="Y752" s="150">
        <f t="shared" si="44"/>
        <v>1.01</v>
      </c>
      <c r="Z752" s="152"/>
      <c r="AC752" s="154"/>
      <c r="AD752" s="154"/>
      <c r="AE752" s="154"/>
      <c r="AF752" s="154"/>
    </row>
    <row r="753" spans="1:32" x14ac:dyDescent="0.25">
      <c r="A753" s="196">
        <v>2668</v>
      </c>
      <c r="B753" s="196" t="s">
        <v>4115</v>
      </c>
      <c r="C753" s="196" t="s">
        <v>4116</v>
      </c>
      <c r="D753" s="196" t="s">
        <v>1993</v>
      </c>
      <c r="E753" s="196" t="s">
        <v>1877</v>
      </c>
      <c r="F753" s="196">
        <v>2005</v>
      </c>
      <c r="H753" s="196" t="s">
        <v>1878</v>
      </c>
      <c r="I753" s="184" t="s">
        <v>1879</v>
      </c>
      <c r="J753" s="143" t="s">
        <v>3854</v>
      </c>
      <c r="K753" s="196" t="s">
        <v>1881</v>
      </c>
      <c r="L753" s="184" t="s">
        <v>4117</v>
      </c>
      <c r="M753" s="196">
        <v>560</v>
      </c>
      <c r="O753" s="196" t="s">
        <v>4029</v>
      </c>
      <c r="P753" s="17">
        <v>432</v>
      </c>
      <c r="Q753" s="175">
        <f t="shared" si="42"/>
        <v>3.5150999999999999</v>
      </c>
      <c r="R753" s="199">
        <v>1.93</v>
      </c>
      <c r="T753" s="149"/>
      <c r="U753" s="149">
        <v>1.2</v>
      </c>
      <c r="V753" s="149">
        <v>0.25</v>
      </c>
      <c r="W753" s="149">
        <f t="shared" si="43"/>
        <v>1.93</v>
      </c>
      <c r="X753" s="152">
        <f t="shared" si="45"/>
        <v>0.1351</v>
      </c>
      <c r="Y753" s="150">
        <f t="shared" si="44"/>
        <v>1.01</v>
      </c>
      <c r="Z753" s="152"/>
      <c r="AC753" s="154"/>
      <c r="AD753" s="154"/>
      <c r="AE753" s="154"/>
      <c r="AF753" s="154"/>
    </row>
    <row r="754" spans="1:32" x14ac:dyDescent="0.25">
      <c r="A754" s="196">
        <v>972</v>
      </c>
      <c r="B754" s="196" t="s">
        <v>4071</v>
      </c>
      <c r="C754" s="196" t="s">
        <v>4118</v>
      </c>
      <c r="F754" s="196">
        <v>1996</v>
      </c>
      <c r="H754" s="196" t="s">
        <v>1878</v>
      </c>
      <c r="I754" s="184" t="s">
        <v>1914</v>
      </c>
      <c r="K754" s="196" t="s">
        <v>1881</v>
      </c>
      <c r="L754" s="184" t="s">
        <v>4119</v>
      </c>
      <c r="M754" s="196">
        <v>640</v>
      </c>
      <c r="O754" s="196" t="s">
        <v>4030</v>
      </c>
      <c r="P754" s="17">
        <v>339</v>
      </c>
      <c r="Q754" s="175">
        <f t="shared" si="42"/>
        <v>2.7232999999999996</v>
      </c>
      <c r="R754" s="199">
        <v>1.19</v>
      </c>
      <c r="T754" s="149"/>
      <c r="U754" s="149">
        <v>1.2</v>
      </c>
      <c r="V754" s="151">
        <v>0.25</v>
      </c>
      <c r="W754" s="149">
        <f t="shared" si="43"/>
        <v>1.19</v>
      </c>
      <c r="X754" s="152">
        <f t="shared" si="45"/>
        <v>8.3299999999999999E-2</v>
      </c>
      <c r="Y754" s="150">
        <f t="shared" si="44"/>
        <v>1.01</v>
      </c>
      <c r="Z754" s="152"/>
      <c r="AC754" s="154"/>
      <c r="AD754" s="154"/>
      <c r="AE754" s="154"/>
      <c r="AF754" s="154"/>
    </row>
    <row r="755" spans="1:32" x14ac:dyDescent="0.25">
      <c r="B755" s="196" t="s">
        <v>4120</v>
      </c>
      <c r="C755" s="196" t="s">
        <v>4121</v>
      </c>
      <c r="D755" s="196" t="s">
        <v>2257</v>
      </c>
      <c r="F755" s="196">
        <v>1989</v>
      </c>
      <c r="H755" s="196" t="s">
        <v>1878</v>
      </c>
      <c r="I755" s="184" t="s">
        <v>1914</v>
      </c>
      <c r="K755" s="196" t="s">
        <v>1881</v>
      </c>
      <c r="L755" s="184" t="s">
        <v>4122</v>
      </c>
      <c r="M755" s="196">
        <v>480</v>
      </c>
      <c r="O755" s="196" t="s">
        <v>4104</v>
      </c>
      <c r="P755" s="17">
        <v>281</v>
      </c>
      <c r="Q755" s="175">
        <f t="shared" si="42"/>
        <v>1.7175</v>
      </c>
      <c r="R755" s="199">
        <v>0.25</v>
      </c>
      <c r="T755" s="149"/>
      <c r="U755" s="149">
        <v>1.2</v>
      </c>
      <c r="V755" s="149">
        <v>0.25</v>
      </c>
      <c r="W755" s="149">
        <f t="shared" si="43"/>
        <v>0.25</v>
      </c>
      <c r="X755" s="152">
        <f t="shared" si="45"/>
        <v>1.7500000000000002E-2</v>
      </c>
      <c r="Y755" s="150">
        <f t="shared" si="44"/>
        <v>1.01</v>
      </c>
      <c r="Z755" s="152"/>
      <c r="AC755" s="154"/>
      <c r="AD755" s="154"/>
      <c r="AE755" s="154"/>
      <c r="AF755" s="154"/>
    </row>
    <row r="756" spans="1:32" x14ac:dyDescent="0.25">
      <c r="A756" s="196">
        <v>692</v>
      </c>
      <c r="B756" s="196" t="s">
        <v>4127</v>
      </c>
      <c r="C756" s="196" t="s">
        <v>4128</v>
      </c>
      <c r="D756" s="196" t="s">
        <v>1993</v>
      </c>
      <c r="F756" s="196">
        <v>2016</v>
      </c>
      <c r="H756" s="196" t="s">
        <v>1878</v>
      </c>
      <c r="I756" s="184" t="s">
        <v>1879</v>
      </c>
      <c r="J756" s="182" t="s">
        <v>3303</v>
      </c>
      <c r="K756" s="196" t="s">
        <v>1881</v>
      </c>
      <c r="M756" s="196">
        <v>352</v>
      </c>
      <c r="O756" s="196" t="s">
        <v>4123</v>
      </c>
      <c r="P756" s="17">
        <v>311</v>
      </c>
      <c r="Q756" s="175">
        <f t="shared" si="42"/>
        <v>1.7175</v>
      </c>
      <c r="R756" s="199">
        <v>0.25</v>
      </c>
      <c r="T756" s="149"/>
      <c r="U756" s="149">
        <v>1.2</v>
      </c>
      <c r="V756" s="151">
        <v>0.25</v>
      </c>
      <c r="W756" s="149">
        <f t="shared" si="43"/>
        <v>0.25</v>
      </c>
      <c r="X756" s="152">
        <f t="shared" si="45"/>
        <v>1.7500000000000002E-2</v>
      </c>
      <c r="Y756" s="150">
        <f t="shared" si="44"/>
        <v>1.01</v>
      </c>
      <c r="Z756" s="152"/>
      <c r="AC756" s="154"/>
      <c r="AD756" s="154"/>
      <c r="AE756" s="154"/>
      <c r="AF756" s="154"/>
    </row>
    <row r="757" spans="1:32" x14ac:dyDescent="0.25">
      <c r="A757" s="196">
        <v>1940</v>
      </c>
      <c r="B757" s="196" t="s">
        <v>4129</v>
      </c>
      <c r="C757" s="196" t="s">
        <v>4130</v>
      </c>
      <c r="D757" s="196" t="s">
        <v>4131</v>
      </c>
      <c r="F757" s="196">
        <v>2012</v>
      </c>
      <c r="H757" s="196" t="s">
        <v>2734</v>
      </c>
      <c r="I757" s="184" t="s">
        <v>1929</v>
      </c>
      <c r="K757" s="196" t="s">
        <v>1881</v>
      </c>
      <c r="L757" s="184" t="s">
        <v>4132</v>
      </c>
      <c r="M757" s="196">
        <v>226</v>
      </c>
      <c r="O757" s="196" t="s">
        <v>4124</v>
      </c>
      <c r="P757" s="17">
        <v>308</v>
      </c>
      <c r="Q757" s="175">
        <f t="shared" ref="Q757:Q808" si="46">SUM(T757:X757)</f>
        <v>2.6162999999999998</v>
      </c>
      <c r="R757" s="199">
        <v>1.0900000000000001</v>
      </c>
      <c r="T757" s="149"/>
      <c r="U757" s="149">
        <v>1.2</v>
      </c>
      <c r="V757" s="149">
        <v>0.25</v>
      </c>
      <c r="W757" s="149">
        <f t="shared" ref="W757:W820" si="47">IF(R757&gt;T757,R757,T757)</f>
        <v>1.0900000000000001</v>
      </c>
      <c r="X757" s="152">
        <f t="shared" si="45"/>
        <v>7.6300000000000007E-2</v>
      </c>
      <c r="Y757" s="150">
        <f t="shared" si="44"/>
        <v>1.01</v>
      </c>
      <c r="Z757" s="152"/>
      <c r="AC757" s="154"/>
      <c r="AD757" s="154"/>
      <c r="AE757" s="154"/>
      <c r="AF757" s="154"/>
    </row>
    <row r="758" spans="1:32" x14ac:dyDescent="0.25">
      <c r="A758" s="196">
        <v>2547</v>
      </c>
      <c r="B758" s="196" t="s">
        <v>4071</v>
      </c>
      <c r="C758" s="196" t="s">
        <v>4133</v>
      </c>
      <c r="D758" s="196" t="s">
        <v>1912</v>
      </c>
      <c r="F758" s="196">
        <v>1991</v>
      </c>
      <c r="H758" s="196" t="s">
        <v>1878</v>
      </c>
      <c r="I758" s="184" t="s">
        <v>1879</v>
      </c>
      <c r="J758" s="182" t="s">
        <v>3303</v>
      </c>
      <c r="K758" s="196" t="s">
        <v>1881</v>
      </c>
      <c r="L758" s="184" t="s">
        <v>4134</v>
      </c>
      <c r="M758" s="196">
        <v>448</v>
      </c>
      <c r="O758" s="196" t="s">
        <v>4125</v>
      </c>
      <c r="P758" s="17">
        <v>326</v>
      </c>
      <c r="Q758" s="175">
        <f t="shared" si="46"/>
        <v>1.7175</v>
      </c>
      <c r="R758" s="199">
        <v>0.25</v>
      </c>
      <c r="T758" s="149"/>
      <c r="U758" s="149">
        <v>1.2</v>
      </c>
      <c r="V758" s="151">
        <v>0.25</v>
      </c>
      <c r="W758" s="149">
        <f t="shared" si="47"/>
        <v>0.25</v>
      </c>
      <c r="X758" s="152">
        <f t="shared" si="45"/>
        <v>1.7500000000000002E-2</v>
      </c>
      <c r="Y758" s="150">
        <f t="shared" si="44"/>
        <v>1.01</v>
      </c>
      <c r="Z758" s="152"/>
      <c r="AC758" s="154"/>
      <c r="AD758" s="154"/>
      <c r="AE758" s="154"/>
      <c r="AF758" s="154"/>
    </row>
    <row r="759" spans="1:32" x14ac:dyDescent="0.25">
      <c r="A759" s="196">
        <v>2522</v>
      </c>
      <c r="B759" s="196" t="s">
        <v>4135</v>
      </c>
      <c r="C759" s="196" t="s">
        <v>4136</v>
      </c>
      <c r="D759" s="196" t="s">
        <v>2054</v>
      </c>
      <c r="F759" s="196">
        <v>2008</v>
      </c>
      <c r="H759" s="196" t="s">
        <v>2734</v>
      </c>
      <c r="I759" s="184" t="s">
        <v>1879</v>
      </c>
      <c r="J759" s="182" t="s">
        <v>3303</v>
      </c>
      <c r="K759" s="196" t="s">
        <v>1881</v>
      </c>
      <c r="L759" s="184" t="s">
        <v>4137</v>
      </c>
      <c r="M759" s="196">
        <v>530</v>
      </c>
      <c r="O759" s="196" t="s">
        <v>4126</v>
      </c>
      <c r="P759" s="17">
        <v>812</v>
      </c>
      <c r="Q759" s="175">
        <f t="shared" si="46"/>
        <v>3.1162999999999998</v>
      </c>
      <c r="R759" s="199">
        <v>1.0900000000000001</v>
      </c>
      <c r="T759" s="149"/>
      <c r="U759" s="149">
        <v>1.7</v>
      </c>
      <c r="V759" s="149">
        <v>0.25</v>
      </c>
      <c r="W759" s="149">
        <f t="shared" si="47"/>
        <v>1.0900000000000001</v>
      </c>
      <c r="X759" s="152">
        <f t="shared" si="45"/>
        <v>7.6300000000000007E-2</v>
      </c>
      <c r="Y759" s="150">
        <f t="shared" si="44"/>
        <v>1.01</v>
      </c>
      <c r="Z759" s="152"/>
      <c r="AC759" s="154"/>
      <c r="AD759" s="154"/>
      <c r="AE759" s="154"/>
      <c r="AF759" s="154"/>
    </row>
    <row r="760" spans="1:32" x14ac:dyDescent="0.25">
      <c r="Y760" s="150">
        <f t="shared" si="44"/>
        <v>1.01</v>
      </c>
    </row>
    <row r="761" spans="1:32" x14ac:dyDescent="0.25">
      <c r="A761" s="182">
        <v>1348</v>
      </c>
      <c r="B761" s="182" t="s">
        <v>4172</v>
      </c>
      <c r="C761" s="182" t="s">
        <v>4173</v>
      </c>
      <c r="D761" s="182" t="s">
        <v>2300</v>
      </c>
      <c r="E761" s="196" t="s">
        <v>2922</v>
      </c>
      <c r="F761" s="182">
        <v>1994</v>
      </c>
      <c r="H761" s="196" t="s">
        <v>1878</v>
      </c>
      <c r="I761" s="184" t="s">
        <v>1879</v>
      </c>
      <c r="J761" s="196" t="s">
        <v>3303</v>
      </c>
      <c r="K761" s="196" t="s">
        <v>1881</v>
      </c>
      <c r="L761" s="184" t="s">
        <v>4174</v>
      </c>
      <c r="M761" s="182">
        <v>160</v>
      </c>
      <c r="O761" s="196" t="s">
        <v>4139</v>
      </c>
      <c r="P761" s="17">
        <v>115</v>
      </c>
      <c r="Q761" s="175">
        <f t="shared" si="46"/>
        <v>1.8673</v>
      </c>
      <c r="R761" s="199">
        <v>0.39</v>
      </c>
      <c r="T761" s="149"/>
      <c r="U761" s="149">
        <v>1.2</v>
      </c>
      <c r="V761" s="149">
        <v>0.25</v>
      </c>
      <c r="W761" s="149">
        <f t="shared" si="47"/>
        <v>0.39</v>
      </c>
      <c r="X761" s="152">
        <f t="shared" si="45"/>
        <v>2.7300000000000001E-2</v>
      </c>
      <c r="Y761" s="150">
        <f t="shared" si="44"/>
        <v>1.01</v>
      </c>
      <c r="Z761" s="152"/>
      <c r="AC761" s="154"/>
      <c r="AD761" s="154"/>
      <c r="AE761" s="154"/>
      <c r="AF761" s="154"/>
    </row>
    <row r="762" spans="1:32" x14ac:dyDescent="0.25">
      <c r="A762" s="182">
        <v>1386</v>
      </c>
      <c r="B762" s="182" t="s">
        <v>4175</v>
      </c>
      <c r="C762" s="182" t="s">
        <v>4176</v>
      </c>
      <c r="D762" s="182" t="s">
        <v>4177</v>
      </c>
      <c r="F762" s="182">
        <v>2009</v>
      </c>
      <c r="H762" s="182" t="s">
        <v>2734</v>
      </c>
      <c r="I762" s="184" t="s">
        <v>1879</v>
      </c>
      <c r="J762" s="182" t="s">
        <v>3303</v>
      </c>
      <c r="K762" s="196" t="s">
        <v>1881</v>
      </c>
      <c r="L762" s="184" t="s">
        <v>4178</v>
      </c>
      <c r="M762" s="182">
        <v>162</v>
      </c>
      <c r="O762" s="196" t="s">
        <v>4140</v>
      </c>
      <c r="P762" s="17">
        <v>323</v>
      </c>
      <c r="Q762" s="175">
        <f t="shared" si="46"/>
        <v>2.7232999999999996</v>
      </c>
      <c r="R762" s="199">
        <v>1.19</v>
      </c>
      <c r="T762" s="149"/>
      <c r="U762" s="149">
        <v>1.2</v>
      </c>
      <c r="V762" s="151">
        <v>0.25</v>
      </c>
      <c r="W762" s="149">
        <f t="shared" si="47"/>
        <v>1.19</v>
      </c>
      <c r="X762" s="152">
        <f t="shared" si="45"/>
        <v>8.3299999999999999E-2</v>
      </c>
      <c r="Y762" s="150">
        <f t="shared" si="44"/>
        <v>1.01</v>
      </c>
      <c r="Z762" s="152"/>
      <c r="AC762" s="154"/>
      <c r="AD762" s="154"/>
      <c r="AE762" s="154"/>
      <c r="AF762" s="154"/>
    </row>
    <row r="763" spans="1:32" x14ac:dyDescent="0.25">
      <c r="A763" s="196">
        <v>1927</v>
      </c>
      <c r="B763" s="196" t="s">
        <v>4179</v>
      </c>
      <c r="C763" s="196" t="s">
        <v>4180</v>
      </c>
      <c r="D763" s="196" t="s">
        <v>4181</v>
      </c>
      <c r="E763" s="196" t="s">
        <v>1877</v>
      </c>
      <c r="F763" s="196">
        <v>2014</v>
      </c>
      <c r="H763" s="196" t="s">
        <v>2734</v>
      </c>
      <c r="I763" s="184" t="s">
        <v>1929</v>
      </c>
      <c r="K763" s="196" t="s">
        <v>1881</v>
      </c>
      <c r="L763" s="184" t="s">
        <v>4182</v>
      </c>
      <c r="M763" s="196">
        <v>290</v>
      </c>
      <c r="O763" s="196" t="s">
        <v>4141</v>
      </c>
      <c r="P763" s="17">
        <v>548</v>
      </c>
      <c r="Q763" s="175">
        <f t="shared" si="46"/>
        <v>3.1162999999999998</v>
      </c>
      <c r="R763" s="199">
        <v>1.0900000000000001</v>
      </c>
      <c r="T763" s="149"/>
      <c r="U763" s="149">
        <v>1.7</v>
      </c>
      <c r="V763" s="149">
        <v>0.25</v>
      </c>
      <c r="W763" s="149">
        <f t="shared" si="47"/>
        <v>1.0900000000000001</v>
      </c>
      <c r="X763" s="152">
        <f t="shared" si="45"/>
        <v>7.6300000000000007E-2</v>
      </c>
      <c r="Y763" s="150">
        <f t="shared" si="44"/>
        <v>1.01</v>
      </c>
      <c r="Z763" s="152"/>
      <c r="AC763" s="154"/>
      <c r="AD763" s="154"/>
      <c r="AE763" s="154"/>
      <c r="AF763" s="154"/>
    </row>
    <row r="764" spans="1:32" x14ac:dyDescent="0.25">
      <c r="A764" s="196">
        <v>175</v>
      </c>
      <c r="B764" s="196" t="s">
        <v>4183</v>
      </c>
      <c r="C764" s="196" t="s">
        <v>4184</v>
      </c>
      <c r="D764" s="196" t="s">
        <v>2300</v>
      </c>
      <c r="F764" s="196">
        <v>1992</v>
      </c>
      <c r="H764" s="196" t="s">
        <v>1878</v>
      </c>
      <c r="I764" s="184" t="s">
        <v>1879</v>
      </c>
      <c r="J764" s="196" t="s">
        <v>3303</v>
      </c>
      <c r="K764" s="196" t="s">
        <v>1881</v>
      </c>
      <c r="L764" s="184" t="s">
        <v>4185</v>
      </c>
      <c r="M764" s="196">
        <v>256</v>
      </c>
      <c r="O764" s="196" t="s">
        <v>4142</v>
      </c>
      <c r="P764" s="17">
        <v>269</v>
      </c>
      <c r="Q764" s="175">
        <f t="shared" si="46"/>
        <v>3.0442999999999998</v>
      </c>
      <c r="R764" s="199">
        <v>1.49</v>
      </c>
      <c r="T764" s="149"/>
      <c r="U764" s="149">
        <v>1.2</v>
      </c>
      <c r="V764" s="151">
        <v>0.25</v>
      </c>
      <c r="W764" s="149">
        <f t="shared" si="47"/>
        <v>1.49</v>
      </c>
      <c r="X764" s="152">
        <f t="shared" si="45"/>
        <v>0.1043</v>
      </c>
      <c r="Y764" s="150">
        <f t="shared" si="44"/>
        <v>1.01</v>
      </c>
      <c r="Z764" s="152"/>
      <c r="AC764" s="154"/>
      <c r="AD764" s="154"/>
      <c r="AE764" s="154"/>
      <c r="AF764" s="154"/>
    </row>
    <row r="765" spans="1:32" x14ac:dyDescent="0.25">
      <c r="A765" s="196">
        <v>1939</v>
      </c>
      <c r="B765" s="196" t="s">
        <v>4186</v>
      </c>
      <c r="C765" s="196" t="s">
        <v>4187</v>
      </c>
      <c r="D765" s="196" t="s">
        <v>2926</v>
      </c>
      <c r="E765" s="196" t="s">
        <v>3979</v>
      </c>
      <c r="F765" s="196">
        <v>2000</v>
      </c>
      <c r="H765" s="196" t="s">
        <v>2734</v>
      </c>
      <c r="I765" s="184" t="s">
        <v>1879</v>
      </c>
      <c r="J765" s="196" t="s">
        <v>4188</v>
      </c>
      <c r="K765" s="196" t="s">
        <v>1881</v>
      </c>
      <c r="L765" s="184" t="s">
        <v>4189</v>
      </c>
      <c r="M765" s="196">
        <v>290</v>
      </c>
      <c r="O765" s="196" t="s">
        <v>4143</v>
      </c>
      <c r="P765" s="17">
        <v>459</v>
      </c>
      <c r="Q765" s="175">
        <f t="shared" si="46"/>
        <v>3.3653000000000004</v>
      </c>
      <c r="R765" s="199">
        <v>1.79</v>
      </c>
      <c r="T765" s="149"/>
      <c r="U765" s="149">
        <v>1.2</v>
      </c>
      <c r="V765" s="149">
        <v>0.25</v>
      </c>
      <c r="W765" s="149">
        <f t="shared" si="47"/>
        <v>1.79</v>
      </c>
      <c r="X765" s="152">
        <f t="shared" si="45"/>
        <v>0.12529999999999999</v>
      </c>
      <c r="Y765" s="150">
        <f t="shared" si="44"/>
        <v>1.01</v>
      </c>
      <c r="Z765" s="152"/>
      <c r="AC765" s="154"/>
      <c r="AD765" s="154"/>
      <c r="AE765" s="154"/>
      <c r="AF765" s="154"/>
    </row>
    <row r="766" spans="1:32" x14ac:dyDescent="0.25">
      <c r="A766" s="196">
        <v>697</v>
      </c>
      <c r="B766" s="196" t="s">
        <v>4190</v>
      </c>
      <c r="C766" s="196" t="s">
        <v>4191</v>
      </c>
      <c r="D766" s="196" t="s">
        <v>2300</v>
      </c>
      <c r="E766" s="196" t="s">
        <v>2032</v>
      </c>
      <c r="F766" s="196">
        <v>1995</v>
      </c>
      <c r="H766" s="196" t="s">
        <v>1878</v>
      </c>
      <c r="I766" s="184" t="s">
        <v>1879</v>
      </c>
      <c r="J766" s="196" t="s">
        <v>3202</v>
      </c>
      <c r="K766" s="196" t="s">
        <v>1881</v>
      </c>
      <c r="L766" s="184" t="s">
        <v>4192</v>
      </c>
      <c r="M766" s="196">
        <v>160</v>
      </c>
      <c r="O766" s="196" t="s">
        <v>4144</v>
      </c>
      <c r="P766" s="17">
        <v>116</v>
      </c>
      <c r="Q766" s="175">
        <f t="shared" si="46"/>
        <v>4.0072999999999999</v>
      </c>
      <c r="R766" s="199">
        <v>2.39</v>
      </c>
      <c r="T766" s="149"/>
      <c r="U766" s="149">
        <v>1.2</v>
      </c>
      <c r="V766" s="151">
        <v>0.25</v>
      </c>
      <c r="W766" s="149">
        <f t="shared" si="47"/>
        <v>2.39</v>
      </c>
      <c r="X766" s="152">
        <f t="shared" si="45"/>
        <v>0.1673</v>
      </c>
      <c r="Y766" s="150">
        <f t="shared" si="44"/>
        <v>1.01</v>
      </c>
      <c r="Z766" s="152"/>
      <c r="AC766" s="154"/>
      <c r="AD766" s="154"/>
      <c r="AE766" s="154"/>
      <c r="AF766" s="154"/>
    </row>
    <row r="767" spans="1:32" x14ac:dyDescent="0.25">
      <c r="A767" s="196">
        <v>1395</v>
      </c>
      <c r="B767" s="196" t="s">
        <v>4193</v>
      </c>
      <c r="C767" s="196" t="s">
        <v>4194</v>
      </c>
      <c r="D767" s="196" t="s">
        <v>1912</v>
      </c>
      <c r="E767" s="196" t="s">
        <v>1921</v>
      </c>
      <c r="F767" s="196">
        <v>2006</v>
      </c>
      <c r="H767" s="196" t="s">
        <v>1878</v>
      </c>
      <c r="I767" s="184" t="s">
        <v>1879</v>
      </c>
      <c r="J767" s="196" t="s">
        <v>3303</v>
      </c>
      <c r="K767" s="196" t="s">
        <v>1881</v>
      </c>
      <c r="L767" s="184" t="s">
        <v>4195</v>
      </c>
      <c r="M767" s="196">
        <v>416</v>
      </c>
      <c r="O767" s="196" t="s">
        <v>4145</v>
      </c>
      <c r="P767" s="17">
        <v>346</v>
      </c>
      <c r="Q767" s="175">
        <f t="shared" si="46"/>
        <v>1.8673</v>
      </c>
      <c r="R767" s="199">
        <v>0.39</v>
      </c>
      <c r="T767" s="149"/>
      <c r="U767" s="149">
        <v>1.2</v>
      </c>
      <c r="V767" s="149">
        <v>0.25</v>
      </c>
      <c r="W767" s="149">
        <f t="shared" si="47"/>
        <v>0.39</v>
      </c>
      <c r="X767" s="152">
        <f t="shared" si="45"/>
        <v>2.7300000000000001E-2</v>
      </c>
      <c r="Y767" s="150">
        <f t="shared" si="44"/>
        <v>1.01</v>
      </c>
      <c r="Z767" s="152"/>
      <c r="AC767" s="154"/>
      <c r="AD767" s="154"/>
      <c r="AE767" s="154"/>
      <c r="AF767" s="154"/>
    </row>
    <row r="768" spans="1:32" x14ac:dyDescent="0.25">
      <c r="A768" s="196">
        <v>1927</v>
      </c>
      <c r="B768" s="196" t="s">
        <v>4196</v>
      </c>
      <c r="C768" s="196" t="s">
        <v>4197</v>
      </c>
      <c r="D768" s="196" t="s">
        <v>1912</v>
      </c>
      <c r="E768" s="196" t="s">
        <v>1921</v>
      </c>
      <c r="F768" s="196">
        <v>2001</v>
      </c>
      <c r="H768" s="196" t="s">
        <v>1878</v>
      </c>
      <c r="I768" s="184" t="s">
        <v>1879</v>
      </c>
      <c r="J768" s="196" t="s">
        <v>4198</v>
      </c>
      <c r="K768" s="196" t="s">
        <v>1881</v>
      </c>
      <c r="L768" s="184" t="s">
        <v>4199</v>
      </c>
      <c r="M768" s="196">
        <v>192</v>
      </c>
      <c r="O768" s="196" t="s">
        <v>4146</v>
      </c>
      <c r="P768" s="17">
        <v>188</v>
      </c>
      <c r="Q768" s="175">
        <f t="shared" si="46"/>
        <v>20.71</v>
      </c>
      <c r="R768" s="199">
        <v>18</v>
      </c>
      <c r="T768" s="149"/>
      <c r="U768" s="149">
        <v>1.2</v>
      </c>
      <c r="V768" s="151">
        <v>0.25</v>
      </c>
      <c r="W768" s="149">
        <f t="shared" si="47"/>
        <v>18</v>
      </c>
      <c r="X768" s="152">
        <f t="shared" si="45"/>
        <v>1.26</v>
      </c>
      <c r="Y768" s="150">
        <f t="shared" si="44"/>
        <v>1.01</v>
      </c>
      <c r="Z768" s="152"/>
      <c r="AC768" s="154"/>
      <c r="AD768" s="154"/>
      <c r="AE768" s="154"/>
      <c r="AF768" s="154"/>
    </row>
    <row r="769" spans="1:32" x14ac:dyDescent="0.25">
      <c r="A769" s="196">
        <v>1395</v>
      </c>
      <c r="B769" s="196" t="s">
        <v>1991</v>
      </c>
      <c r="C769" s="196" t="s">
        <v>4200</v>
      </c>
      <c r="D769" s="196" t="s">
        <v>4201</v>
      </c>
      <c r="F769" s="196">
        <v>2007</v>
      </c>
      <c r="H769" s="196" t="s">
        <v>1878</v>
      </c>
      <c r="I769" s="184" t="s">
        <v>1879</v>
      </c>
      <c r="K769" s="196" t="s">
        <v>1881</v>
      </c>
      <c r="M769" s="196">
        <v>416</v>
      </c>
      <c r="O769" s="196" t="s">
        <v>4147</v>
      </c>
      <c r="P769" s="17">
        <v>303</v>
      </c>
      <c r="Q769" s="175">
        <f t="shared" si="46"/>
        <v>1.7175</v>
      </c>
      <c r="R769" s="199">
        <v>0.25</v>
      </c>
      <c r="T769" s="149"/>
      <c r="U769" s="149">
        <v>1.2</v>
      </c>
      <c r="V769" s="149">
        <v>0.25</v>
      </c>
      <c r="W769" s="149">
        <f t="shared" si="47"/>
        <v>0.25</v>
      </c>
      <c r="X769" s="152">
        <f t="shared" si="45"/>
        <v>1.7500000000000002E-2</v>
      </c>
      <c r="Y769" s="150">
        <f t="shared" si="44"/>
        <v>1.01</v>
      </c>
      <c r="Z769" s="152"/>
      <c r="AC769" s="154"/>
      <c r="AD769" s="154"/>
      <c r="AE769" s="154"/>
      <c r="AF769" s="154"/>
    </row>
    <row r="770" spans="1:32" x14ac:dyDescent="0.25">
      <c r="A770" s="196">
        <v>319</v>
      </c>
      <c r="B770" s="196" t="s">
        <v>4212</v>
      </c>
      <c r="C770" s="196" t="s">
        <v>4213</v>
      </c>
      <c r="D770" s="196" t="s">
        <v>3022</v>
      </c>
      <c r="F770" s="196">
        <v>2002</v>
      </c>
      <c r="H770" s="196" t="s">
        <v>2734</v>
      </c>
      <c r="I770" s="184" t="s">
        <v>1879</v>
      </c>
      <c r="J770" s="196" t="s">
        <v>4214</v>
      </c>
      <c r="K770" s="196" t="s">
        <v>1881</v>
      </c>
      <c r="L770" s="184" t="s">
        <v>4215</v>
      </c>
      <c r="M770" s="196">
        <v>178</v>
      </c>
      <c r="O770" s="196" t="s">
        <v>4148</v>
      </c>
      <c r="P770" s="17">
        <v>443</v>
      </c>
      <c r="Q770" s="175">
        <f t="shared" si="46"/>
        <v>3.0442999999999998</v>
      </c>
      <c r="R770" s="199">
        <v>1.49</v>
      </c>
      <c r="T770" s="149"/>
      <c r="U770" s="149">
        <v>1.2</v>
      </c>
      <c r="V770" s="151">
        <v>0.25</v>
      </c>
      <c r="W770" s="149">
        <f t="shared" si="47"/>
        <v>1.49</v>
      </c>
      <c r="X770" s="152">
        <f t="shared" si="45"/>
        <v>0.1043</v>
      </c>
      <c r="Y770" s="150">
        <f t="shared" si="44"/>
        <v>1.01</v>
      </c>
      <c r="Z770" s="152"/>
      <c r="AC770" s="154"/>
      <c r="AD770" s="154"/>
      <c r="AE770" s="154"/>
      <c r="AF770" s="154"/>
    </row>
    <row r="771" spans="1:32" x14ac:dyDescent="0.25">
      <c r="A771" s="196">
        <v>1395</v>
      </c>
      <c r="B771" s="196" t="s">
        <v>4216</v>
      </c>
      <c r="C771" s="196" t="s">
        <v>4217</v>
      </c>
      <c r="D771" s="196" t="s">
        <v>2054</v>
      </c>
      <c r="F771" s="196">
        <v>2009</v>
      </c>
      <c r="H771" s="196" t="s">
        <v>1878</v>
      </c>
      <c r="I771" s="184" t="s">
        <v>1879</v>
      </c>
      <c r="J771" s="196"/>
      <c r="K771" s="196" t="s">
        <v>1881</v>
      </c>
      <c r="L771" s="184" t="s">
        <v>4218</v>
      </c>
      <c r="M771" s="196">
        <v>354</v>
      </c>
      <c r="O771" s="196" t="s">
        <v>4149</v>
      </c>
      <c r="P771" s="17">
        <v>444</v>
      </c>
      <c r="Q771" s="175">
        <f t="shared" si="46"/>
        <v>1.7175</v>
      </c>
      <c r="R771" s="199">
        <v>0.25</v>
      </c>
      <c r="T771" s="149"/>
      <c r="U771" s="149">
        <v>1.2</v>
      </c>
      <c r="V771" s="149">
        <v>0.25</v>
      </c>
      <c r="W771" s="149">
        <f t="shared" si="47"/>
        <v>0.25</v>
      </c>
      <c r="X771" s="152">
        <f t="shared" si="45"/>
        <v>1.7500000000000002E-2</v>
      </c>
      <c r="Y771" s="150">
        <f t="shared" si="44"/>
        <v>1.01</v>
      </c>
      <c r="Z771" s="152"/>
      <c r="AC771" s="154"/>
      <c r="AD771" s="154"/>
      <c r="AE771" s="154"/>
      <c r="AF771" s="154"/>
    </row>
    <row r="772" spans="1:32" x14ac:dyDescent="0.25">
      <c r="A772" s="196">
        <v>796</v>
      </c>
      <c r="B772" s="196" t="s">
        <v>4202</v>
      </c>
      <c r="C772" s="196" t="s">
        <v>4203</v>
      </c>
      <c r="D772" s="196" t="s">
        <v>2209</v>
      </c>
      <c r="F772" s="196">
        <v>2000</v>
      </c>
      <c r="H772" s="196" t="s">
        <v>1878</v>
      </c>
      <c r="I772" s="184" t="s">
        <v>1879</v>
      </c>
      <c r="K772" s="196" t="s">
        <v>1881</v>
      </c>
      <c r="L772" s="184" t="s">
        <v>4204</v>
      </c>
      <c r="M772" s="196">
        <v>288</v>
      </c>
      <c r="O772" s="196" t="s">
        <v>4150</v>
      </c>
      <c r="P772" s="17">
        <v>224</v>
      </c>
      <c r="Q772" s="175">
        <f t="shared" si="46"/>
        <v>1.8673</v>
      </c>
      <c r="R772" s="199">
        <v>0.39</v>
      </c>
      <c r="T772" s="149"/>
      <c r="U772" s="149">
        <v>1.2</v>
      </c>
      <c r="V772" s="151">
        <v>0.25</v>
      </c>
      <c r="W772" s="149">
        <f t="shared" si="47"/>
        <v>0.39</v>
      </c>
      <c r="X772" s="152">
        <f t="shared" si="45"/>
        <v>2.7300000000000001E-2</v>
      </c>
      <c r="Y772" s="150">
        <f t="shared" si="44"/>
        <v>1.01</v>
      </c>
      <c r="Z772" s="152"/>
      <c r="AC772" s="154"/>
      <c r="AD772" s="154"/>
      <c r="AE772" s="154"/>
      <c r="AF772" s="154"/>
    </row>
    <row r="773" spans="1:32" x14ac:dyDescent="0.25">
      <c r="A773" s="196">
        <v>863</v>
      </c>
      <c r="B773" s="196" t="s">
        <v>4205</v>
      </c>
      <c r="C773" s="196" t="s">
        <v>4206</v>
      </c>
      <c r="D773" s="196" t="s">
        <v>4207</v>
      </c>
      <c r="E773" s="196" t="s">
        <v>2606</v>
      </c>
      <c r="F773" s="196">
        <v>1988</v>
      </c>
      <c r="H773" s="196" t="s">
        <v>4209</v>
      </c>
      <c r="I773" s="184" t="s">
        <v>1879</v>
      </c>
      <c r="J773" s="196" t="s">
        <v>3202</v>
      </c>
      <c r="K773" s="196" t="s">
        <v>1881</v>
      </c>
      <c r="L773" s="184" t="s">
        <v>4208</v>
      </c>
      <c r="M773" s="196">
        <v>450</v>
      </c>
      <c r="O773" s="196" t="s">
        <v>4151</v>
      </c>
      <c r="P773" s="17">
        <v>370</v>
      </c>
      <c r="Q773" s="175">
        <f t="shared" si="46"/>
        <v>3.0442999999999998</v>
      </c>
      <c r="R773" s="199">
        <v>1.49</v>
      </c>
      <c r="T773" s="149"/>
      <c r="U773" s="149">
        <v>1.2</v>
      </c>
      <c r="V773" s="149">
        <v>0.25</v>
      </c>
      <c r="W773" s="149">
        <f t="shared" si="47"/>
        <v>1.49</v>
      </c>
      <c r="X773" s="152">
        <f t="shared" si="45"/>
        <v>0.1043</v>
      </c>
      <c r="Y773" s="150">
        <f t="shared" si="44"/>
        <v>1.01</v>
      </c>
      <c r="Z773" s="152"/>
      <c r="AC773" s="154"/>
      <c r="AD773" s="154"/>
      <c r="AE773" s="154"/>
      <c r="AF773" s="154"/>
    </row>
    <row r="774" spans="1:32" x14ac:dyDescent="0.25">
      <c r="A774" s="196">
        <v>1396</v>
      </c>
      <c r="B774" s="196" t="s">
        <v>1891</v>
      </c>
      <c r="C774" s="196" t="s">
        <v>4210</v>
      </c>
      <c r="D774" s="196" t="s">
        <v>1876</v>
      </c>
      <c r="F774" s="196">
        <v>2011</v>
      </c>
      <c r="H774" s="196" t="s">
        <v>1878</v>
      </c>
      <c r="I774" s="184" t="s">
        <v>1879</v>
      </c>
      <c r="K774" s="196" t="s">
        <v>1881</v>
      </c>
      <c r="L774" s="184" t="s">
        <v>4211</v>
      </c>
      <c r="M774" s="196">
        <v>464</v>
      </c>
      <c r="O774" s="196" t="s">
        <v>4152</v>
      </c>
      <c r="P774" s="17">
        <v>498</v>
      </c>
      <c r="Q774" s="175">
        <f t="shared" si="46"/>
        <v>0.51749999999999996</v>
      </c>
      <c r="R774" s="199">
        <v>0.25</v>
      </c>
      <c r="T774" s="149"/>
      <c r="U774" s="149"/>
      <c r="V774" s="151">
        <v>0.25</v>
      </c>
      <c r="W774" s="149">
        <f t="shared" si="47"/>
        <v>0.25</v>
      </c>
      <c r="X774" s="152">
        <f t="shared" si="45"/>
        <v>1.7500000000000002E-2</v>
      </c>
      <c r="Y774" s="150">
        <f t="shared" si="44"/>
        <v>1.01</v>
      </c>
      <c r="Z774" s="152"/>
      <c r="AC774" s="154"/>
      <c r="AD774" s="154"/>
      <c r="AE774" s="154"/>
      <c r="AF774" s="154"/>
    </row>
    <row r="775" spans="1:32" x14ac:dyDescent="0.25">
      <c r="A775" s="196">
        <v>765</v>
      </c>
      <c r="B775" s="196" t="s">
        <v>4219</v>
      </c>
      <c r="C775" s="196" t="s">
        <v>4220</v>
      </c>
      <c r="D775" s="196" t="s">
        <v>3030</v>
      </c>
      <c r="F775" s="196">
        <v>1986</v>
      </c>
      <c r="H775" s="196" t="s">
        <v>2734</v>
      </c>
      <c r="I775" s="184" t="s">
        <v>1914</v>
      </c>
      <c r="K775" s="196" t="s">
        <v>1881</v>
      </c>
      <c r="L775" s="184" t="s">
        <v>4221</v>
      </c>
      <c r="M775" s="196">
        <v>252</v>
      </c>
      <c r="O775" s="196" t="s">
        <v>4153</v>
      </c>
      <c r="P775" s="17">
        <v>570</v>
      </c>
      <c r="Q775" s="175">
        <f t="shared" si="46"/>
        <v>2.6882999999999995</v>
      </c>
      <c r="R775" s="199">
        <v>0.69</v>
      </c>
      <c r="T775" s="149"/>
      <c r="U775" s="149">
        <v>1.7</v>
      </c>
      <c r="V775" s="149">
        <v>0.25</v>
      </c>
      <c r="W775" s="149">
        <f t="shared" si="47"/>
        <v>0.69</v>
      </c>
      <c r="X775" s="152">
        <f t="shared" si="45"/>
        <v>4.8299999999999996E-2</v>
      </c>
      <c r="Y775" s="150">
        <f t="shared" si="44"/>
        <v>1.01</v>
      </c>
      <c r="Z775" s="152"/>
      <c r="AC775" s="154"/>
      <c r="AD775" s="154"/>
      <c r="AE775" s="154"/>
      <c r="AF775" s="154"/>
    </row>
    <row r="776" spans="1:32" x14ac:dyDescent="0.25">
      <c r="A776" s="196">
        <v>796</v>
      </c>
      <c r="B776" s="196" t="s">
        <v>4222</v>
      </c>
      <c r="C776" s="196" t="s">
        <v>4223</v>
      </c>
      <c r="D776" s="196" t="s">
        <v>1912</v>
      </c>
      <c r="E776" s="196" t="s">
        <v>1913</v>
      </c>
      <c r="F776" s="196">
        <v>2010</v>
      </c>
      <c r="H776" s="196" t="s">
        <v>1878</v>
      </c>
      <c r="I776" s="184" t="s">
        <v>1879</v>
      </c>
      <c r="K776" s="196" t="s">
        <v>1881</v>
      </c>
      <c r="L776" s="184" t="s">
        <v>4224</v>
      </c>
      <c r="M776" s="196">
        <v>320</v>
      </c>
      <c r="O776" s="196" t="s">
        <v>4154</v>
      </c>
      <c r="P776" s="17">
        <v>265</v>
      </c>
      <c r="Q776" s="175">
        <f t="shared" si="46"/>
        <v>1.9742999999999999</v>
      </c>
      <c r="R776" s="199">
        <v>0.49</v>
      </c>
      <c r="T776" s="149"/>
      <c r="U776" s="149">
        <v>1.2</v>
      </c>
      <c r="V776" s="151">
        <v>0.25</v>
      </c>
      <c r="W776" s="149">
        <f t="shared" si="47"/>
        <v>0.49</v>
      </c>
      <c r="X776" s="152">
        <f t="shared" si="45"/>
        <v>3.4299999999999997E-2</v>
      </c>
      <c r="Y776" s="150">
        <f t="shared" si="44"/>
        <v>1.01</v>
      </c>
      <c r="Z776" s="152"/>
      <c r="AC776" s="154"/>
      <c r="AD776" s="154"/>
      <c r="AE776" s="154"/>
      <c r="AF776" s="154"/>
    </row>
    <row r="777" spans="1:32" x14ac:dyDescent="0.25">
      <c r="A777" s="196">
        <v>2439</v>
      </c>
      <c r="B777" s="196" t="s">
        <v>4225</v>
      </c>
      <c r="C777" s="196" t="s">
        <v>1203</v>
      </c>
      <c r="D777" s="196" t="s">
        <v>2257</v>
      </c>
      <c r="F777" s="196">
        <v>1984</v>
      </c>
      <c r="H777" s="196" t="s">
        <v>2734</v>
      </c>
      <c r="I777" s="184" t="s">
        <v>1879</v>
      </c>
      <c r="J777" s="182" t="s">
        <v>4226</v>
      </c>
      <c r="K777" s="196" t="s">
        <v>1881</v>
      </c>
      <c r="L777" s="184" t="s">
        <v>4227</v>
      </c>
      <c r="M777" s="196">
        <v>578</v>
      </c>
      <c r="O777" s="196" t="s">
        <v>4155</v>
      </c>
      <c r="P777" s="17">
        <v>704</v>
      </c>
      <c r="Q777" s="175">
        <f t="shared" si="46"/>
        <v>2.2175000000000002</v>
      </c>
      <c r="R777" s="199">
        <v>0.25</v>
      </c>
      <c r="T777" s="149"/>
      <c r="U777" s="149">
        <v>1.7</v>
      </c>
      <c r="V777" s="149">
        <v>0.25</v>
      </c>
      <c r="W777" s="149">
        <f t="shared" si="47"/>
        <v>0.25</v>
      </c>
      <c r="X777" s="152">
        <f t="shared" si="45"/>
        <v>1.7500000000000002E-2</v>
      </c>
      <c r="Y777" s="150">
        <f t="shared" si="44"/>
        <v>1.01</v>
      </c>
      <c r="Z777" s="152"/>
      <c r="AC777" s="154"/>
      <c r="AD777" s="154"/>
      <c r="AE777" s="154"/>
      <c r="AF777" s="154"/>
    </row>
    <row r="778" spans="1:32" x14ac:dyDescent="0.25">
      <c r="A778" s="196">
        <v>1395</v>
      </c>
      <c r="B778" s="196" t="s">
        <v>4228</v>
      </c>
      <c r="C778" s="196" t="s">
        <v>4229</v>
      </c>
      <c r="D778" s="196" t="s">
        <v>2209</v>
      </c>
      <c r="F778" s="196">
        <v>1992</v>
      </c>
      <c r="H778" s="196" t="s">
        <v>1878</v>
      </c>
      <c r="I778" s="184" t="s">
        <v>1879</v>
      </c>
      <c r="K778" s="196" t="s">
        <v>1881</v>
      </c>
      <c r="L778" s="184" t="s">
        <v>4230</v>
      </c>
      <c r="M778" s="196">
        <v>176</v>
      </c>
      <c r="O778" s="196" t="s">
        <v>4156</v>
      </c>
      <c r="P778" s="17">
        <v>144</v>
      </c>
      <c r="Q778" s="175">
        <f t="shared" si="46"/>
        <v>1.7175</v>
      </c>
      <c r="R778" s="199">
        <v>0.25</v>
      </c>
      <c r="T778" s="149"/>
      <c r="U778" s="149">
        <v>1.2</v>
      </c>
      <c r="V778" s="151">
        <v>0.25</v>
      </c>
      <c r="W778" s="149">
        <f t="shared" si="47"/>
        <v>0.25</v>
      </c>
      <c r="X778" s="152">
        <f t="shared" si="45"/>
        <v>1.7500000000000002E-2</v>
      </c>
      <c r="Y778" s="150">
        <f t="shared" si="44"/>
        <v>1.01</v>
      </c>
      <c r="Z778" s="152"/>
      <c r="AC778" s="154"/>
      <c r="AD778" s="154"/>
      <c r="AE778" s="154"/>
      <c r="AF778" s="154"/>
    </row>
    <row r="779" spans="1:32" x14ac:dyDescent="0.25">
      <c r="A779" s="196">
        <v>2522</v>
      </c>
      <c r="B779" s="196" t="s">
        <v>4231</v>
      </c>
      <c r="C779" s="196" t="s">
        <v>4232</v>
      </c>
      <c r="D779" s="196" t="s">
        <v>2054</v>
      </c>
      <c r="F779" s="196">
        <v>2001</v>
      </c>
      <c r="H779" s="196" t="s">
        <v>2734</v>
      </c>
      <c r="I779" s="184" t="s">
        <v>1879</v>
      </c>
      <c r="K779" s="196" t="s">
        <v>1881</v>
      </c>
      <c r="L779" s="184" t="s">
        <v>4233</v>
      </c>
      <c r="M779" s="196">
        <v>378</v>
      </c>
      <c r="O779" s="196" t="s">
        <v>4157</v>
      </c>
      <c r="P779" s="17">
        <v>548</v>
      </c>
      <c r="Q779" s="175">
        <f t="shared" si="46"/>
        <v>3.0093000000000001</v>
      </c>
      <c r="R779" s="199">
        <v>0.99</v>
      </c>
      <c r="T779" s="149"/>
      <c r="U779" s="149">
        <v>1.7</v>
      </c>
      <c r="V779" s="149">
        <v>0.25</v>
      </c>
      <c r="W779" s="149">
        <f t="shared" si="47"/>
        <v>0.99</v>
      </c>
      <c r="X779" s="152">
        <f t="shared" si="45"/>
        <v>6.93E-2</v>
      </c>
      <c r="Y779" s="150">
        <f t="shared" si="44"/>
        <v>1.01</v>
      </c>
      <c r="Z779" s="152"/>
      <c r="AC779" s="154"/>
      <c r="AD779" s="154"/>
      <c r="AE779" s="154"/>
      <c r="AF779" s="154"/>
    </row>
    <row r="780" spans="1:32" x14ac:dyDescent="0.25">
      <c r="A780" s="196">
        <v>2952</v>
      </c>
      <c r="B780" s="196" t="s">
        <v>4038</v>
      </c>
      <c r="C780" s="196" t="s">
        <v>4234</v>
      </c>
      <c r="D780" s="196" t="s">
        <v>2300</v>
      </c>
      <c r="E780" s="182" t="s">
        <v>1899</v>
      </c>
      <c r="F780" s="196">
        <v>2005</v>
      </c>
      <c r="H780" s="196" t="s">
        <v>1878</v>
      </c>
      <c r="I780" s="184" t="s">
        <v>1879</v>
      </c>
      <c r="J780" s="196" t="s">
        <v>4039</v>
      </c>
      <c r="K780" s="196" t="s">
        <v>1881</v>
      </c>
      <c r="L780" s="184" t="s">
        <v>4040</v>
      </c>
      <c r="M780" s="196">
        <v>560</v>
      </c>
      <c r="O780" s="196" t="s">
        <v>3924</v>
      </c>
      <c r="P780" s="17">
        <v>615</v>
      </c>
      <c r="Q780" s="175">
        <f t="shared" si="46"/>
        <v>2.2175000000000002</v>
      </c>
      <c r="R780" s="199">
        <v>0.25</v>
      </c>
      <c r="T780" s="149"/>
      <c r="U780" s="149">
        <v>1.7</v>
      </c>
      <c r="V780" s="151">
        <v>0.25</v>
      </c>
      <c r="W780" s="149">
        <f t="shared" si="47"/>
        <v>0.25</v>
      </c>
      <c r="X780" s="152">
        <f t="shared" si="45"/>
        <v>1.7500000000000002E-2</v>
      </c>
      <c r="Y780" s="150">
        <f t="shared" si="44"/>
        <v>1.01</v>
      </c>
      <c r="Z780" s="152"/>
      <c r="AC780" s="154"/>
      <c r="AD780" s="154"/>
      <c r="AE780" s="154"/>
      <c r="AF780" s="154"/>
    </row>
    <row r="781" spans="1:32" x14ac:dyDescent="0.25">
      <c r="A781" s="196">
        <v>632</v>
      </c>
      <c r="B781" s="196" t="s">
        <v>3961</v>
      </c>
      <c r="C781" s="182" t="s">
        <v>3962</v>
      </c>
      <c r="D781" s="196" t="s">
        <v>1920</v>
      </c>
      <c r="F781" s="196">
        <v>2013</v>
      </c>
      <c r="H781" s="196" t="s">
        <v>1878</v>
      </c>
      <c r="I781" s="184" t="s">
        <v>1879</v>
      </c>
      <c r="J781" s="196" t="s">
        <v>3649</v>
      </c>
      <c r="K781" s="196" t="s">
        <v>1881</v>
      </c>
      <c r="M781" s="196">
        <v>624</v>
      </c>
      <c r="O781" s="196" t="s">
        <v>3892</v>
      </c>
      <c r="P781" s="17">
        <v>461</v>
      </c>
      <c r="Q781" s="175">
        <f t="shared" si="46"/>
        <v>2.5093000000000001</v>
      </c>
      <c r="R781" s="199">
        <v>0.99</v>
      </c>
      <c r="T781" s="149"/>
      <c r="U781" s="149">
        <v>1.2</v>
      </c>
      <c r="V781" s="149">
        <v>0.25</v>
      </c>
      <c r="W781" s="149">
        <f t="shared" si="47"/>
        <v>0.99</v>
      </c>
      <c r="X781" s="152">
        <f t="shared" si="45"/>
        <v>6.93E-2</v>
      </c>
      <c r="Y781" s="150">
        <f t="shared" si="44"/>
        <v>1.01</v>
      </c>
      <c r="Z781" s="152"/>
      <c r="AC781" s="154"/>
      <c r="AD781" s="154"/>
      <c r="AE781" s="154"/>
      <c r="AF781" s="154"/>
    </row>
    <row r="782" spans="1:32" x14ac:dyDescent="0.25">
      <c r="A782" s="196">
        <v>1395</v>
      </c>
      <c r="B782" s="196" t="s">
        <v>3644</v>
      </c>
      <c r="C782" s="196" t="s">
        <v>3645</v>
      </c>
      <c r="D782" s="196" t="s">
        <v>3646</v>
      </c>
      <c r="E782" s="196"/>
      <c r="F782" s="196"/>
      <c r="G782" s="196"/>
      <c r="H782" s="196" t="s">
        <v>1878</v>
      </c>
      <c r="I782" s="141" t="s">
        <v>1879</v>
      </c>
      <c r="J782" s="196" t="s">
        <v>3303</v>
      </c>
      <c r="K782" s="196" t="s">
        <v>1881</v>
      </c>
      <c r="L782" s="141"/>
      <c r="M782" s="196">
        <v>240</v>
      </c>
      <c r="N782" s="196"/>
      <c r="O782" s="196" t="s">
        <v>3545</v>
      </c>
      <c r="P782" s="144">
        <v>220</v>
      </c>
      <c r="Q782" s="175">
        <f t="shared" si="46"/>
        <v>2.5093000000000001</v>
      </c>
      <c r="R782" s="203">
        <v>0.99</v>
      </c>
      <c r="S782" s="203"/>
      <c r="T782" s="151"/>
      <c r="U782" s="149">
        <v>1.2</v>
      </c>
      <c r="V782" s="151">
        <v>0.25</v>
      </c>
      <c r="W782" s="149">
        <f t="shared" si="47"/>
        <v>0.99</v>
      </c>
      <c r="X782" s="152">
        <f t="shared" si="45"/>
        <v>6.93E-2</v>
      </c>
      <c r="Y782" s="150">
        <f t="shared" si="44"/>
        <v>1.01</v>
      </c>
      <c r="Z782" s="152"/>
      <c r="AC782" s="154"/>
      <c r="AD782" s="154"/>
      <c r="AE782" s="154"/>
      <c r="AF782" s="154"/>
    </row>
    <row r="783" spans="1:32" x14ac:dyDescent="0.25">
      <c r="A783" s="196">
        <v>1348</v>
      </c>
      <c r="B783" s="196" t="s">
        <v>4235</v>
      </c>
      <c r="C783" s="196" t="s">
        <v>4236</v>
      </c>
      <c r="D783" s="196" t="s">
        <v>2007</v>
      </c>
      <c r="F783" s="182">
        <v>2000</v>
      </c>
      <c r="H783" s="196" t="s">
        <v>2008</v>
      </c>
      <c r="I783" s="184" t="s">
        <v>1879</v>
      </c>
      <c r="J783" s="196" t="s">
        <v>2237</v>
      </c>
      <c r="K783" s="196" t="s">
        <v>1881</v>
      </c>
      <c r="L783" s="184" t="s">
        <v>4237</v>
      </c>
      <c r="M783" s="196">
        <v>104</v>
      </c>
      <c r="O783" s="196" t="s">
        <v>4158</v>
      </c>
      <c r="P783" s="17">
        <v>56</v>
      </c>
      <c r="Q783" s="175">
        <f t="shared" si="46"/>
        <v>3.5792999999999999</v>
      </c>
      <c r="R783" s="199">
        <v>1.99</v>
      </c>
      <c r="T783" s="149"/>
      <c r="U783" s="149">
        <v>1.2</v>
      </c>
      <c r="V783" s="149">
        <v>0.25</v>
      </c>
      <c r="W783" s="149">
        <f t="shared" si="47"/>
        <v>1.99</v>
      </c>
      <c r="X783" s="152">
        <f t="shared" si="45"/>
        <v>0.13930000000000001</v>
      </c>
      <c r="Y783" s="150">
        <f t="shared" si="44"/>
        <v>1.01</v>
      </c>
      <c r="Z783" s="152"/>
      <c r="AC783" s="154"/>
      <c r="AD783" s="154"/>
      <c r="AE783" s="154"/>
      <c r="AF783" s="154"/>
    </row>
    <row r="784" spans="1:32" x14ac:dyDescent="0.25">
      <c r="A784" s="196">
        <v>2551</v>
      </c>
      <c r="B784" s="196" t="s">
        <v>4238</v>
      </c>
      <c r="C784" s="196" t="s">
        <v>4239</v>
      </c>
      <c r="D784" s="196" t="s">
        <v>2232</v>
      </c>
      <c r="E784" s="196" t="s">
        <v>1913</v>
      </c>
      <c r="F784" s="196">
        <v>2006</v>
      </c>
      <c r="H784" s="196" t="s">
        <v>1878</v>
      </c>
      <c r="I784" s="184" t="s">
        <v>1879</v>
      </c>
      <c r="J784" s="196" t="s">
        <v>3865</v>
      </c>
      <c r="K784" s="196" t="s">
        <v>1881</v>
      </c>
      <c r="L784" s="184" t="s">
        <v>4240</v>
      </c>
      <c r="M784" s="196">
        <v>544</v>
      </c>
      <c r="O784" s="196" t="s">
        <v>4159</v>
      </c>
      <c r="P784" s="17">
        <v>460</v>
      </c>
      <c r="Q784" s="175">
        <f t="shared" si="46"/>
        <v>3.5792999999999999</v>
      </c>
      <c r="R784" s="199">
        <v>1.99</v>
      </c>
      <c r="T784" s="149"/>
      <c r="U784" s="149">
        <v>1.2</v>
      </c>
      <c r="V784" s="151">
        <v>0.25</v>
      </c>
      <c r="W784" s="149">
        <f t="shared" si="47"/>
        <v>1.99</v>
      </c>
      <c r="X784" s="152">
        <f t="shared" si="45"/>
        <v>0.13930000000000001</v>
      </c>
      <c r="Y784" s="150">
        <f t="shared" si="44"/>
        <v>1.01</v>
      </c>
      <c r="Z784" s="152"/>
      <c r="AC784" s="154"/>
      <c r="AD784" s="154"/>
      <c r="AE784" s="154"/>
      <c r="AF784" s="154"/>
    </row>
    <row r="785" spans="1:32" x14ac:dyDescent="0.25">
      <c r="A785" s="196">
        <v>61</v>
      </c>
      <c r="B785" s="196" t="s">
        <v>4241</v>
      </c>
      <c r="C785" s="196" t="s">
        <v>4242</v>
      </c>
      <c r="D785" s="196" t="s">
        <v>4243</v>
      </c>
      <c r="E785" s="196" t="s">
        <v>1899</v>
      </c>
      <c r="F785" s="196">
        <v>2010</v>
      </c>
      <c r="H785" s="196" t="s">
        <v>1878</v>
      </c>
      <c r="I785" s="184" t="s">
        <v>1879</v>
      </c>
      <c r="J785" s="196" t="s">
        <v>3865</v>
      </c>
      <c r="K785" s="196" t="s">
        <v>1881</v>
      </c>
      <c r="L785" s="184" t="s">
        <v>4244</v>
      </c>
      <c r="M785" s="196">
        <v>248</v>
      </c>
      <c r="O785" s="196" t="s">
        <v>4160</v>
      </c>
      <c r="P785" s="17">
        <v>394</v>
      </c>
      <c r="Q785" s="175">
        <f t="shared" si="46"/>
        <v>5.7193000000000005</v>
      </c>
      <c r="R785" s="199">
        <v>3.99</v>
      </c>
      <c r="T785" s="149"/>
      <c r="U785" s="149">
        <v>1.2</v>
      </c>
      <c r="V785" s="149">
        <v>0.25</v>
      </c>
      <c r="W785" s="149">
        <f t="shared" si="47"/>
        <v>3.99</v>
      </c>
      <c r="X785" s="152">
        <f t="shared" si="45"/>
        <v>0.27930000000000005</v>
      </c>
      <c r="Y785" s="150">
        <f t="shared" si="44"/>
        <v>1.01</v>
      </c>
      <c r="Z785" s="152"/>
      <c r="AC785" s="154"/>
      <c r="AD785" s="154"/>
      <c r="AE785" s="154"/>
      <c r="AF785" s="154"/>
    </row>
    <row r="786" spans="1:32" x14ac:dyDescent="0.25">
      <c r="A786" s="196">
        <v>688</v>
      </c>
      <c r="B786" s="196" t="s">
        <v>4034</v>
      </c>
      <c r="C786" s="196" t="s">
        <v>4245</v>
      </c>
      <c r="D786" s="196" t="s">
        <v>2209</v>
      </c>
      <c r="F786" s="196">
        <v>2003</v>
      </c>
      <c r="H786" s="196" t="s">
        <v>1878</v>
      </c>
      <c r="I786" s="184" t="s">
        <v>1879</v>
      </c>
      <c r="J786" s="196" t="s">
        <v>4246</v>
      </c>
      <c r="K786" s="196" t="s">
        <v>1881</v>
      </c>
      <c r="L786" s="184" t="s">
        <v>4247</v>
      </c>
      <c r="M786" s="196">
        <v>480</v>
      </c>
      <c r="O786" s="196" t="s">
        <v>4161</v>
      </c>
      <c r="P786" s="17">
        <v>346</v>
      </c>
      <c r="Q786" s="175">
        <f t="shared" si="46"/>
        <v>2.5093000000000001</v>
      </c>
      <c r="R786" s="199">
        <v>0.99</v>
      </c>
      <c r="T786" s="149"/>
      <c r="U786" s="149">
        <v>1.2</v>
      </c>
      <c r="V786" s="151">
        <v>0.25</v>
      </c>
      <c r="W786" s="149">
        <f t="shared" si="47"/>
        <v>0.99</v>
      </c>
      <c r="X786" s="152">
        <f t="shared" si="45"/>
        <v>6.93E-2</v>
      </c>
      <c r="Y786" s="150">
        <f t="shared" si="44"/>
        <v>1.01</v>
      </c>
      <c r="Z786" s="152"/>
      <c r="AC786" s="154"/>
      <c r="AD786" s="154"/>
      <c r="AE786" s="154"/>
      <c r="AF786" s="154"/>
    </row>
    <row r="787" spans="1:32" x14ac:dyDescent="0.25">
      <c r="A787" s="196">
        <v>767</v>
      </c>
      <c r="B787" s="196" t="s">
        <v>4248</v>
      </c>
      <c r="C787" s="196" t="s">
        <v>4249</v>
      </c>
      <c r="D787" s="196" t="s">
        <v>2054</v>
      </c>
      <c r="F787" s="196">
        <v>2010</v>
      </c>
      <c r="H787" s="196" t="s">
        <v>2734</v>
      </c>
      <c r="I787" s="184" t="s">
        <v>1879</v>
      </c>
      <c r="J787" s="196" t="s">
        <v>4250</v>
      </c>
      <c r="K787" s="196" t="s">
        <v>1881</v>
      </c>
      <c r="L787" s="184" t="s">
        <v>4251</v>
      </c>
      <c r="M787" s="196">
        <v>226</v>
      </c>
      <c r="O787" s="196" t="s">
        <v>4162</v>
      </c>
      <c r="P787" s="17">
        <v>388</v>
      </c>
      <c r="Q787" s="175">
        <f t="shared" si="46"/>
        <v>2.5093000000000001</v>
      </c>
      <c r="R787" s="199">
        <v>0.99</v>
      </c>
      <c r="T787" s="149"/>
      <c r="U787" s="149">
        <v>1.2</v>
      </c>
      <c r="V787" s="149">
        <v>0.25</v>
      </c>
      <c r="W787" s="149">
        <f t="shared" si="47"/>
        <v>0.99</v>
      </c>
      <c r="X787" s="152">
        <f t="shared" si="45"/>
        <v>6.93E-2</v>
      </c>
      <c r="Y787" s="150">
        <f t="shared" si="44"/>
        <v>1.01</v>
      </c>
      <c r="Z787" s="152"/>
      <c r="AC787" s="154"/>
      <c r="AD787" s="154"/>
      <c r="AE787" s="154"/>
      <c r="AF787" s="154"/>
    </row>
    <row r="788" spans="1:32" x14ac:dyDescent="0.25">
      <c r="A788" s="196">
        <v>1348</v>
      </c>
      <c r="B788" s="196" t="s">
        <v>4252</v>
      </c>
      <c r="C788" s="196" t="s">
        <v>4253</v>
      </c>
      <c r="D788" s="196" t="s">
        <v>2300</v>
      </c>
      <c r="F788" s="196">
        <v>1964</v>
      </c>
      <c r="H788" s="196" t="s">
        <v>1878</v>
      </c>
      <c r="I788" s="184" t="s">
        <v>1914</v>
      </c>
      <c r="J788" s="196" t="s">
        <v>3653</v>
      </c>
      <c r="K788" s="196" t="s">
        <v>1881</v>
      </c>
      <c r="M788" s="196">
        <v>188</v>
      </c>
      <c r="O788" s="196" t="s">
        <v>4163</v>
      </c>
      <c r="P788" s="17">
        <v>134</v>
      </c>
      <c r="Q788" s="175">
        <f t="shared" si="46"/>
        <v>1.7175</v>
      </c>
      <c r="R788" s="199">
        <v>0.25</v>
      </c>
      <c r="T788" s="149"/>
      <c r="U788" s="149">
        <v>1.2</v>
      </c>
      <c r="V788" s="151">
        <v>0.25</v>
      </c>
      <c r="W788" s="149">
        <f t="shared" si="47"/>
        <v>0.25</v>
      </c>
      <c r="X788" s="152">
        <f t="shared" si="45"/>
        <v>1.7500000000000002E-2</v>
      </c>
      <c r="Y788" s="150">
        <f t="shared" si="44"/>
        <v>1.01</v>
      </c>
      <c r="Z788" s="152"/>
      <c r="AC788" s="154"/>
      <c r="AD788" s="154"/>
      <c r="AE788" s="154"/>
      <c r="AF788" s="154"/>
    </row>
    <row r="789" spans="1:32" x14ac:dyDescent="0.25">
      <c r="A789" s="196">
        <v>2516</v>
      </c>
      <c r="B789" s="196" t="s">
        <v>4254</v>
      </c>
      <c r="C789" s="196" t="s">
        <v>4255</v>
      </c>
      <c r="D789" s="196" t="s">
        <v>2232</v>
      </c>
      <c r="E789" s="196" t="s">
        <v>1913</v>
      </c>
      <c r="F789" s="196">
        <v>2012</v>
      </c>
      <c r="H789" s="196" t="s">
        <v>2008</v>
      </c>
      <c r="I789" s="184" t="s">
        <v>1879</v>
      </c>
      <c r="J789" s="143" t="s">
        <v>3854</v>
      </c>
      <c r="K789" s="196" t="s">
        <v>1881</v>
      </c>
      <c r="L789" s="184" t="s">
        <v>4256</v>
      </c>
      <c r="M789" s="196">
        <v>224</v>
      </c>
      <c r="O789" s="196" t="s">
        <v>4164</v>
      </c>
      <c r="P789" s="17">
        <v>217</v>
      </c>
      <c r="Q789" s="175">
        <f t="shared" si="46"/>
        <v>2.4022999999999999</v>
      </c>
      <c r="R789" s="199">
        <v>0.89</v>
      </c>
      <c r="T789" s="149"/>
      <c r="U789" s="149">
        <v>1.2</v>
      </c>
      <c r="V789" s="149">
        <v>0.25</v>
      </c>
      <c r="W789" s="149">
        <f t="shared" si="47"/>
        <v>0.89</v>
      </c>
      <c r="X789" s="152">
        <f t="shared" si="45"/>
        <v>6.2300000000000001E-2</v>
      </c>
      <c r="Y789" s="150">
        <f t="shared" si="44"/>
        <v>1.01</v>
      </c>
      <c r="Z789" s="152"/>
      <c r="AC789" s="154"/>
      <c r="AD789" s="154"/>
      <c r="AE789" s="154"/>
      <c r="AF789" s="154"/>
    </row>
    <row r="790" spans="1:32" x14ac:dyDescent="0.25">
      <c r="A790" s="196">
        <v>548</v>
      </c>
      <c r="B790" s="196" t="s">
        <v>4257</v>
      </c>
      <c r="C790" s="196" t="s">
        <v>4258</v>
      </c>
      <c r="D790" s="196" t="s">
        <v>2300</v>
      </c>
      <c r="E790" s="196" t="s">
        <v>4259</v>
      </c>
      <c r="F790" s="196">
        <v>2000</v>
      </c>
      <c r="H790" s="196" t="s">
        <v>1878</v>
      </c>
      <c r="I790" s="184" t="s">
        <v>1879</v>
      </c>
      <c r="J790" s="196" t="s">
        <v>2237</v>
      </c>
      <c r="K790" s="196" t="s">
        <v>1881</v>
      </c>
      <c r="L790" s="184" t="s">
        <v>4260</v>
      </c>
      <c r="M790" s="196">
        <v>192</v>
      </c>
      <c r="O790" s="196" t="s">
        <v>4165</v>
      </c>
      <c r="P790" s="17">
        <v>181</v>
      </c>
      <c r="Q790" s="175">
        <f t="shared" si="46"/>
        <v>1.7175</v>
      </c>
      <c r="R790" s="199">
        <v>0.25</v>
      </c>
      <c r="T790" s="149"/>
      <c r="U790" s="149">
        <v>1.2</v>
      </c>
      <c r="V790" s="151">
        <v>0.25</v>
      </c>
      <c r="W790" s="149">
        <f t="shared" si="47"/>
        <v>0.25</v>
      </c>
      <c r="X790" s="152">
        <f t="shared" si="45"/>
        <v>1.7500000000000002E-2</v>
      </c>
      <c r="Y790" s="150">
        <f t="shared" si="44"/>
        <v>1.01</v>
      </c>
      <c r="Z790" s="152"/>
      <c r="AC790" s="154"/>
      <c r="AD790" s="154"/>
      <c r="AE790" s="154"/>
      <c r="AF790" s="154"/>
    </row>
    <row r="791" spans="1:32" x14ac:dyDescent="0.25">
      <c r="A791" s="196">
        <v>1395</v>
      </c>
      <c r="B791" s="196" t="s">
        <v>4261</v>
      </c>
      <c r="C791" s="196" t="s">
        <v>4262</v>
      </c>
      <c r="D791" s="196" t="s">
        <v>1920</v>
      </c>
      <c r="F791" s="196">
        <v>1999</v>
      </c>
      <c r="H791" s="196" t="s">
        <v>1878</v>
      </c>
      <c r="I791" s="184" t="s">
        <v>1879</v>
      </c>
      <c r="J791" s="143" t="s">
        <v>3854</v>
      </c>
      <c r="K791" s="196" t="s">
        <v>1881</v>
      </c>
      <c r="L791" s="184" t="s">
        <v>4263</v>
      </c>
      <c r="M791" s="196">
        <v>320</v>
      </c>
      <c r="O791" s="196" t="s">
        <v>4166</v>
      </c>
      <c r="P791" s="17">
        <v>218</v>
      </c>
      <c r="Q791" s="175">
        <f t="shared" si="46"/>
        <v>1.7175</v>
      </c>
      <c r="R791" s="199">
        <v>0.25</v>
      </c>
      <c r="T791" s="149"/>
      <c r="U791" s="149">
        <v>1.2</v>
      </c>
      <c r="V791" s="149">
        <v>0.25</v>
      </c>
      <c r="W791" s="149">
        <f t="shared" si="47"/>
        <v>0.25</v>
      </c>
      <c r="X791" s="152">
        <f t="shared" si="45"/>
        <v>1.7500000000000002E-2</v>
      </c>
      <c r="Y791" s="150">
        <f t="shared" si="44"/>
        <v>1.01</v>
      </c>
      <c r="Z791" s="152"/>
      <c r="AC791" s="154"/>
      <c r="AD791" s="154"/>
      <c r="AE791" s="154"/>
      <c r="AF791" s="154"/>
    </row>
    <row r="792" spans="1:32" x14ac:dyDescent="0.25">
      <c r="A792" s="196">
        <v>1875</v>
      </c>
      <c r="B792" s="196" t="s">
        <v>4264</v>
      </c>
      <c r="C792" s="196" t="s">
        <v>4265</v>
      </c>
      <c r="D792" s="196" t="s">
        <v>1912</v>
      </c>
      <c r="E792" s="196" t="s">
        <v>2032</v>
      </c>
      <c r="F792" s="196">
        <v>2006</v>
      </c>
      <c r="H792" s="196" t="s">
        <v>1878</v>
      </c>
      <c r="I792" s="184" t="s">
        <v>1879</v>
      </c>
      <c r="K792" s="196" t="s">
        <v>1881</v>
      </c>
      <c r="L792" s="184" t="s">
        <v>4266</v>
      </c>
      <c r="M792" s="196">
        <v>208</v>
      </c>
      <c r="O792" s="196" t="s">
        <v>4167</v>
      </c>
      <c r="P792" s="17">
        <v>205</v>
      </c>
      <c r="Q792" s="175">
        <f t="shared" si="46"/>
        <v>1.7175</v>
      </c>
      <c r="R792" s="199">
        <v>0.25</v>
      </c>
      <c r="T792" s="149"/>
      <c r="U792" s="149">
        <v>1.2</v>
      </c>
      <c r="V792" s="151">
        <v>0.25</v>
      </c>
      <c r="W792" s="149">
        <f t="shared" si="47"/>
        <v>0.25</v>
      </c>
      <c r="X792" s="152">
        <f t="shared" si="45"/>
        <v>1.7500000000000002E-2</v>
      </c>
      <c r="Y792" s="150">
        <f t="shared" si="44"/>
        <v>1.01</v>
      </c>
      <c r="Z792" s="152"/>
      <c r="AC792" s="154"/>
      <c r="AD792" s="154"/>
      <c r="AE792" s="154"/>
      <c r="AF792" s="154"/>
    </row>
    <row r="793" spans="1:32" x14ac:dyDescent="0.25">
      <c r="A793" s="196">
        <v>1315</v>
      </c>
      <c r="B793" s="196" t="s">
        <v>4287</v>
      </c>
      <c r="C793" s="196" t="s">
        <v>4288</v>
      </c>
      <c r="D793" s="196" t="s">
        <v>1988</v>
      </c>
      <c r="F793" s="196">
        <v>2015</v>
      </c>
      <c r="H793" s="196" t="s">
        <v>1878</v>
      </c>
      <c r="I793" s="184" t="s">
        <v>1879</v>
      </c>
      <c r="K793" s="196" t="s">
        <v>1881</v>
      </c>
      <c r="L793" s="184" t="s">
        <v>4289</v>
      </c>
      <c r="M793" s="196">
        <v>336</v>
      </c>
      <c r="O793" s="196" t="s">
        <v>4267</v>
      </c>
      <c r="P793" s="17">
        <v>291</v>
      </c>
      <c r="Q793" s="175">
        <f t="shared" si="46"/>
        <v>1.9742999999999999</v>
      </c>
      <c r="R793" s="199">
        <v>0.49</v>
      </c>
      <c r="T793" s="149"/>
      <c r="U793" s="149">
        <v>1.2</v>
      </c>
      <c r="V793" s="149">
        <v>0.25</v>
      </c>
      <c r="W793" s="149">
        <f t="shared" si="47"/>
        <v>0.49</v>
      </c>
      <c r="X793" s="152">
        <f t="shared" si="45"/>
        <v>3.4299999999999997E-2</v>
      </c>
      <c r="Y793" s="150">
        <f t="shared" si="44"/>
        <v>1.01</v>
      </c>
      <c r="Z793" s="152"/>
      <c r="AC793" s="154"/>
      <c r="AD793" s="154"/>
      <c r="AE793" s="154"/>
      <c r="AF793" s="154"/>
    </row>
    <row r="794" spans="1:32" x14ac:dyDescent="0.25">
      <c r="A794" s="196">
        <v>690</v>
      </c>
      <c r="B794" s="196" t="s">
        <v>4127</v>
      </c>
      <c r="C794" s="196" t="s">
        <v>4290</v>
      </c>
      <c r="D794" s="196" t="s">
        <v>3116</v>
      </c>
      <c r="E794" s="196" t="s">
        <v>1899</v>
      </c>
      <c r="F794" s="196">
        <v>2011</v>
      </c>
      <c r="H794" s="196" t="s">
        <v>1878</v>
      </c>
      <c r="I794" s="184" t="s">
        <v>1879</v>
      </c>
      <c r="J794" s="196" t="s">
        <v>4291</v>
      </c>
      <c r="K794" s="196" t="s">
        <v>1881</v>
      </c>
      <c r="L794" s="184" t="s">
        <v>4292</v>
      </c>
      <c r="M794" s="196">
        <v>256</v>
      </c>
      <c r="O794" s="196" t="s">
        <v>4268</v>
      </c>
      <c r="P794" s="17">
        <v>223</v>
      </c>
      <c r="Q794" s="175">
        <f t="shared" si="46"/>
        <v>1.9742999999999999</v>
      </c>
      <c r="R794" s="199">
        <v>0.49</v>
      </c>
      <c r="T794" s="149"/>
      <c r="U794" s="149">
        <v>1.2</v>
      </c>
      <c r="V794" s="151">
        <v>0.25</v>
      </c>
      <c r="W794" s="149">
        <f t="shared" si="47"/>
        <v>0.49</v>
      </c>
      <c r="X794" s="152">
        <f t="shared" si="45"/>
        <v>3.4299999999999997E-2</v>
      </c>
      <c r="Y794" s="150">
        <f t="shared" si="44"/>
        <v>1.01</v>
      </c>
      <c r="Z794" s="152"/>
      <c r="AC794" s="154"/>
      <c r="AD794" s="154"/>
      <c r="AE794" s="154"/>
      <c r="AF794" s="154"/>
    </row>
    <row r="795" spans="1:32" x14ac:dyDescent="0.25">
      <c r="A795" s="196">
        <v>1315</v>
      </c>
      <c r="B795" s="196" t="s">
        <v>4293</v>
      </c>
      <c r="C795" s="196" t="s">
        <v>4294</v>
      </c>
      <c r="D795" s="196" t="s">
        <v>3312</v>
      </c>
      <c r="F795" s="196">
        <v>2005</v>
      </c>
      <c r="H795" s="196" t="s">
        <v>2734</v>
      </c>
      <c r="I795" s="184" t="s">
        <v>1879</v>
      </c>
      <c r="J795" s="196" t="s">
        <v>3649</v>
      </c>
      <c r="K795" s="196" t="s">
        <v>1881</v>
      </c>
      <c r="L795" s="184" t="s">
        <v>4295</v>
      </c>
      <c r="M795" s="196">
        <v>322</v>
      </c>
      <c r="O795" s="196" t="s">
        <v>4269</v>
      </c>
      <c r="P795" s="17">
        <v>564</v>
      </c>
      <c r="Q795" s="175">
        <f t="shared" si="46"/>
        <v>2.3672999999999997</v>
      </c>
      <c r="R795" s="199">
        <v>0.39</v>
      </c>
      <c r="T795" s="149"/>
      <c r="U795" s="149">
        <v>1.7</v>
      </c>
      <c r="V795" s="149">
        <v>0.25</v>
      </c>
      <c r="W795" s="149">
        <f t="shared" si="47"/>
        <v>0.39</v>
      </c>
      <c r="X795" s="152">
        <f t="shared" si="45"/>
        <v>2.7300000000000001E-2</v>
      </c>
      <c r="Y795" s="150">
        <f t="shared" si="44"/>
        <v>1.01</v>
      </c>
      <c r="Z795" s="152"/>
      <c r="AC795" s="154"/>
      <c r="AD795" s="154"/>
      <c r="AE795" s="154"/>
      <c r="AF795" s="154"/>
    </row>
    <row r="796" spans="1:32" x14ac:dyDescent="0.25">
      <c r="A796" s="196">
        <v>607</v>
      </c>
      <c r="C796" s="196" t="s">
        <v>4296</v>
      </c>
      <c r="D796" s="196" t="s">
        <v>3761</v>
      </c>
      <c r="F796" s="196">
        <v>2006</v>
      </c>
      <c r="H796" s="196" t="s">
        <v>4297</v>
      </c>
      <c r="I796" s="184" t="s">
        <v>1879</v>
      </c>
      <c r="J796" s="196" t="s">
        <v>2237</v>
      </c>
      <c r="K796" s="196" t="s">
        <v>1881</v>
      </c>
      <c r="L796" s="184" t="s">
        <v>4298</v>
      </c>
      <c r="M796" s="196">
        <v>130</v>
      </c>
      <c r="O796" s="196" t="s">
        <v>4270</v>
      </c>
      <c r="P796" s="17">
        <v>271</v>
      </c>
      <c r="Q796" s="175">
        <f t="shared" si="46"/>
        <v>2.1882999999999995</v>
      </c>
      <c r="R796" s="199">
        <v>0.69</v>
      </c>
      <c r="T796" s="149"/>
      <c r="U796" s="149">
        <v>1.2</v>
      </c>
      <c r="V796" s="151">
        <v>0.25</v>
      </c>
      <c r="W796" s="149">
        <f t="shared" si="47"/>
        <v>0.69</v>
      </c>
      <c r="X796" s="152">
        <f t="shared" si="45"/>
        <v>4.8299999999999996E-2</v>
      </c>
      <c r="Y796" s="150">
        <f t="shared" si="44"/>
        <v>1.01</v>
      </c>
      <c r="Z796" s="152"/>
      <c r="AC796" s="154"/>
      <c r="AD796" s="154"/>
      <c r="AE796" s="154"/>
      <c r="AF796" s="154"/>
    </row>
    <row r="797" spans="1:32" x14ac:dyDescent="0.25">
      <c r="A797" s="196">
        <v>765</v>
      </c>
      <c r="B797" s="196" t="s">
        <v>4299</v>
      </c>
      <c r="C797" s="196" t="s">
        <v>4300</v>
      </c>
      <c r="D797" s="196" t="s">
        <v>2309</v>
      </c>
      <c r="F797" s="196">
        <v>1991</v>
      </c>
      <c r="H797" s="196" t="s">
        <v>1878</v>
      </c>
      <c r="I797" s="184" t="s">
        <v>1879</v>
      </c>
      <c r="K797" s="196" t="s">
        <v>1881</v>
      </c>
      <c r="L797" s="184" t="s">
        <v>4301</v>
      </c>
      <c r="M797" s="196">
        <v>224</v>
      </c>
      <c r="O797" s="196" t="s">
        <v>4271</v>
      </c>
      <c r="P797" s="17">
        <v>328</v>
      </c>
      <c r="Q797" s="175">
        <f t="shared" si="46"/>
        <v>2.7232999999999996</v>
      </c>
      <c r="R797" s="199">
        <v>1.19</v>
      </c>
      <c r="T797" s="149"/>
      <c r="U797" s="149">
        <v>1.2</v>
      </c>
      <c r="V797" s="149">
        <v>0.25</v>
      </c>
      <c r="W797" s="149">
        <f t="shared" si="47"/>
        <v>1.19</v>
      </c>
      <c r="X797" s="152">
        <f t="shared" si="45"/>
        <v>8.3299999999999999E-2</v>
      </c>
      <c r="Y797" s="150">
        <f t="shared" si="44"/>
        <v>1.01</v>
      </c>
      <c r="Z797" s="152"/>
      <c r="AC797" s="154"/>
      <c r="AD797" s="154"/>
      <c r="AE797" s="154"/>
      <c r="AF797" s="154"/>
    </row>
    <row r="798" spans="1:32" x14ac:dyDescent="0.25">
      <c r="A798" s="196">
        <v>1304</v>
      </c>
      <c r="B798" s="196" t="s">
        <v>4302</v>
      </c>
      <c r="C798" s="196" t="s">
        <v>4303</v>
      </c>
      <c r="D798" s="196" t="s">
        <v>4304</v>
      </c>
      <c r="E798" s="196" t="s">
        <v>1877</v>
      </c>
      <c r="F798" s="196">
        <v>1987</v>
      </c>
      <c r="H798" s="196" t="s">
        <v>2734</v>
      </c>
      <c r="I798" s="184" t="s">
        <v>1929</v>
      </c>
      <c r="K798" s="196" t="s">
        <v>1881</v>
      </c>
      <c r="L798" s="184" t="s">
        <v>4305</v>
      </c>
      <c r="M798" s="196">
        <v>146</v>
      </c>
      <c r="O798" s="196" t="s">
        <v>4272</v>
      </c>
      <c r="P798" s="17">
        <v>306</v>
      </c>
      <c r="Q798" s="175">
        <f t="shared" si="46"/>
        <v>2.2953000000000001</v>
      </c>
      <c r="R798" s="199">
        <v>0.79</v>
      </c>
      <c r="T798" s="149"/>
      <c r="U798" s="149">
        <v>1.2</v>
      </c>
      <c r="V798" s="151">
        <v>0.25</v>
      </c>
      <c r="W798" s="149">
        <f t="shared" si="47"/>
        <v>0.79</v>
      </c>
      <c r="X798" s="152">
        <f t="shared" si="45"/>
        <v>5.5300000000000002E-2</v>
      </c>
      <c r="Y798" s="150">
        <f t="shared" si="44"/>
        <v>1.01</v>
      </c>
      <c r="Z798" s="152"/>
      <c r="AC798" s="154"/>
      <c r="AD798" s="154"/>
      <c r="AE798" s="154"/>
      <c r="AF798" s="154"/>
    </row>
    <row r="799" spans="1:32" x14ac:dyDescent="0.25">
      <c r="A799" s="196">
        <v>2516</v>
      </c>
      <c r="B799" s="196" t="s">
        <v>4306</v>
      </c>
      <c r="C799" s="196" t="s">
        <v>4307</v>
      </c>
      <c r="D799" s="196" t="s">
        <v>3332</v>
      </c>
      <c r="H799" s="196" t="s">
        <v>2734</v>
      </c>
      <c r="I799" s="184" t="s">
        <v>1914</v>
      </c>
      <c r="K799" s="196" t="s">
        <v>1881</v>
      </c>
      <c r="L799" s="184" t="s">
        <v>4308</v>
      </c>
      <c r="M799" s="196">
        <v>322</v>
      </c>
      <c r="O799" s="196" t="s">
        <v>4273</v>
      </c>
      <c r="P799" s="17">
        <v>402</v>
      </c>
      <c r="Q799" s="175">
        <f t="shared" si="46"/>
        <v>1.8244999999999998</v>
      </c>
      <c r="R799" s="199">
        <v>0.35</v>
      </c>
      <c r="T799" s="149"/>
      <c r="U799" s="149">
        <v>1.2</v>
      </c>
      <c r="V799" s="149">
        <v>0.25</v>
      </c>
      <c r="W799" s="149">
        <f t="shared" si="47"/>
        <v>0.35</v>
      </c>
      <c r="X799" s="152">
        <f t="shared" si="45"/>
        <v>2.4499999999999997E-2</v>
      </c>
      <c r="Y799" s="150">
        <f t="shared" si="44"/>
        <v>1.01</v>
      </c>
      <c r="Z799" s="152"/>
      <c r="AC799" s="154"/>
      <c r="AD799" s="154"/>
      <c r="AE799" s="154"/>
      <c r="AF799" s="154"/>
    </row>
    <row r="800" spans="1:32" x14ac:dyDescent="0.25">
      <c r="A800" s="196">
        <v>688</v>
      </c>
      <c r="B800" s="196" t="s">
        <v>4034</v>
      </c>
      <c r="C800" s="196" t="s">
        <v>4035</v>
      </c>
      <c r="D800" s="196" t="s">
        <v>2209</v>
      </c>
      <c r="E800" s="196" t="s">
        <v>1877</v>
      </c>
      <c r="F800" s="196">
        <v>2000</v>
      </c>
      <c r="H800" s="196" t="s">
        <v>1878</v>
      </c>
      <c r="I800" s="184" t="s">
        <v>1879</v>
      </c>
      <c r="K800" s="196" t="s">
        <v>1881</v>
      </c>
      <c r="L800" s="184" t="s">
        <v>4037</v>
      </c>
      <c r="M800" s="196">
        <v>528</v>
      </c>
      <c r="O800" s="196" t="s">
        <v>4274</v>
      </c>
      <c r="P800" s="17">
        <v>360</v>
      </c>
      <c r="Q800" s="175">
        <f t="shared" si="46"/>
        <v>1.7175</v>
      </c>
      <c r="R800" s="199">
        <v>0.25</v>
      </c>
      <c r="T800" s="149"/>
      <c r="U800" s="149">
        <v>1.2</v>
      </c>
      <c r="V800" s="151">
        <v>0.25</v>
      </c>
      <c r="W800" s="149">
        <f t="shared" si="47"/>
        <v>0.25</v>
      </c>
      <c r="X800" s="152">
        <f t="shared" si="45"/>
        <v>1.7500000000000002E-2</v>
      </c>
      <c r="Y800" s="150">
        <f t="shared" si="44"/>
        <v>1.01</v>
      </c>
      <c r="Z800" s="152"/>
      <c r="AC800" s="154"/>
      <c r="AD800" s="154"/>
      <c r="AE800" s="154"/>
      <c r="AF800" s="154"/>
    </row>
    <row r="801" spans="1:32" x14ac:dyDescent="0.25">
      <c r="A801" s="196">
        <v>1386</v>
      </c>
      <c r="B801" s="196" t="s">
        <v>4309</v>
      </c>
      <c r="C801" s="196" t="s">
        <v>4310</v>
      </c>
      <c r="D801" s="196" t="s">
        <v>2835</v>
      </c>
      <c r="F801" s="196">
        <v>2010</v>
      </c>
      <c r="H801" s="196" t="s">
        <v>2734</v>
      </c>
      <c r="I801" s="184" t="s">
        <v>1879</v>
      </c>
      <c r="J801" s="182" t="s">
        <v>2237</v>
      </c>
      <c r="K801" s="196" t="s">
        <v>1881</v>
      </c>
      <c r="L801" s="184" t="s">
        <v>4311</v>
      </c>
      <c r="M801" s="196">
        <v>242</v>
      </c>
      <c r="O801" s="196" t="s">
        <v>4275</v>
      </c>
      <c r="P801" s="17">
        <v>379</v>
      </c>
      <c r="Q801" s="175">
        <f t="shared" si="46"/>
        <v>1.9742999999999999</v>
      </c>
      <c r="R801" s="199">
        <v>0.49</v>
      </c>
      <c r="T801" s="149"/>
      <c r="U801" s="149">
        <v>1.2</v>
      </c>
      <c r="V801" s="149">
        <v>0.25</v>
      </c>
      <c r="W801" s="149">
        <f t="shared" si="47"/>
        <v>0.49</v>
      </c>
      <c r="X801" s="152">
        <f t="shared" si="45"/>
        <v>3.4299999999999997E-2</v>
      </c>
      <c r="Y801" s="150">
        <f t="shared" si="44"/>
        <v>1.01</v>
      </c>
      <c r="Z801" s="152"/>
      <c r="AC801" s="154"/>
      <c r="AD801" s="154"/>
      <c r="AE801" s="154"/>
      <c r="AF801" s="154"/>
    </row>
    <row r="802" spans="1:32" x14ac:dyDescent="0.25">
      <c r="A802" s="196">
        <v>1395</v>
      </c>
      <c r="B802" s="196" t="s">
        <v>4312</v>
      </c>
      <c r="C802" s="196" t="s">
        <v>4313</v>
      </c>
      <c r="D802" s="196" t="s">
        <v>1988</v>
      </c>
      <c r="F802" s="196">
        <v>2009</v>
      </c>
      <c r="H802" s="196" t="s">
        <v>1878</v>
      </c>
      <c r="I802" s="184" t="s">
        <v>1879</v>
      </c>
      <c r="J802" s="182" t="s">
        <v>4314</v>
      </c>
      <c r="K802" s="196" t="s">
        <v>1881</v>
      </c>
      <c r="L802" s="184" t="s">
        <v>4315</v>
      </c>
      <c r="M802" s="196">
        <v>384</v>
      </c>
      <c r="O802" s="196" t="s">
        <v>4276</v>
      </c>
      <c r="P802" s="17">
        <v>285</v>
      </c>
      <c r="Q802" s="175">
        <f t="shared" si="46"/>
        <v>1.8673</v>
      </c>
      <c r="R802" s="199">
        <v>0.39</v>
      </c>
      <c r="T802" s="149"/>
      <c r="U802" s="149">
        <v>1.2</v>
      </c>
      <c r="V802" s="151">
        <v>0.25</v>
      </c>
      <c r="W802" s="149">
        <f t="shared" si="47"/>
        <v>0.39</v>
      </c>
      <c r="X802" s="152">
        <f t="shared" si="45"/>
        <v>2.7300000000000001E-2</v>
      </c>
      <c r="Y802" s="150">
        <f t="shared" si="44"/>
        <v>1.01</v>
      </c>
      <c r="Z802" s="152"/>
      <c r="AC802" s="154"/>
      <c r="AD802" s="154"/>
      <c r="AE802" s="154"/>
      <c r="AF802" s="154"/>
    </row>
    <row r="803" spans="1:32" x14ac:dyDescent="0.25">
      <c r="A803" s="196">
        <v>968</v>
      </c>
      <c r="B803" s="196" t="s">
        <v>2191</v>
      </c>
      <c r="C803" s="196" t="s">
        <v>4316</v>
      </c>
      <c r="F803" s="196">
        <v>2002</v>
      </c>
      <c r="H803" s="196" t="s">
        <v>1878</v>
      </c>
      <c r="I803" s="184" t="s">
        <v>1879</v>
      </c>
      <c r="K803" s="196" t="s">
        <v>2025</v>
      </c>
      <c r="L803" s="184" t="s">
        <v>4317</v>
      </c>
      <c r="M803" s="196">
        <v>374</v>
      </c>
      <c r="O803" s="196" t="s">
        <v>4277</v>
      </c>
      <c r="P803" s="17">
        <v>196</v>
      </c>
      <c r="Q803" s="175">
        <f t="shared" si="46"/>
        <v>3.0442999999999998</v>
      </c>
      <c r="R803" s="199">
        <v>1.49</v>
      </c>
      <c r="T803" s="149"/>
      <c r="U803" s="149">
        <v>1.2</v>
      </c>
      <c r="V803" s="149">
        <v>0.25</v>
      </c>
      <c r="W803" s="149">
        <f t="shared" si="47"/>
        <v>1.49</v>
      </c>
      <c r="X803" s="152">
        <f t="shared" si="45"/>
        <v>0.1043</v>
      </c>
      <c r="Y803" s="150">
        <f t="shared" si="44"/>
        <v>1.01</v>
      </c>
      <c r="Z803" s="152"/>
      <c r="AC803" s="154"/>
      <c r="AD803" s="154"/>
      <c r="AE803" s="154"/>
      <c r="AF803" s="154"/>
    </row>
    <row r="804" spans="1:32" x14ac:dyDescent="0.25">
      <c r="B804" s="196" t="s">
        <v>4318</v>
      </c>
      <c r="C804" s="196" t="s">
        <v>4319</v>
      </c>
      <c r="D804" s="196" t="s">
        <v>2007</v>
      </c>
      <c r="F804" s="196">
        <v>2003</v>
      </c>
      <c r="H804" s="196" t="s">
        <v>2008</v>
      </c>
      <c r="I804" s="184" t="s">
        <v>1929</v>
      </c>
      <c r="K804" s="196" t="s">
        <v>1881</v>
      </c>
      <c r="L804" s="184" t="s">
        <v>4320</v>
      </c>
      <c r="M804" s="196">
        <v>128</v>
      </c>
      <c r="O804" s="196" t="s">
        <v>4278</v>
      </c>
      <c r="P804" s="17">
        <v>70</v>
      </c>
      <c r="Q804" s="175">
        <f t="shared" si="46"/>
        <v>2.7232999999999996</v>
      </c>
      <c r="R804" s="199">
        <v>1.19</v>
      </c>
      <c r="T804" s="149"/>
      <c r="U804" s="149">
        <v>1.2</v>
      </c>
      <c r="V804" s="151">
        <v>0.25</v>
      </c>
      <c r="W804" s="149">
        <f t="shared" si="47"/>
        <v>1.19</v>
      </c>
      <c r="X804" s="152">
        <f t="shared" si="45"/>
        <v>8.3299999999999999E-2</v>
      </c>
      <c r="Y804" s="150">
        <f t="shared" si="44"/>
        <v>1.01</v>
      </c>
      <c r="Z804" s="152"/>
      <c r="AC804" s="154"/>
      <c r="AD804" s="154"/>
      <c r="AE804" s="154"/>
      <c r="AF804" s="154"/>
    </row>
    <row r="805" spans="1:32" x14ac:dyDescent="0.25">
      <c r="A805" s="196">
        <v>1348</v>
      </c>
      <c r="B805" s="196" t="s">
        <v>4321</v>
      </c>
      <c r="C805" s="196" t="s">
        <v>4236</v>
      </c>
      <c r="D805" s="196" t="s">
        <v>2300</v>
      </c>
      <c r="E805" s="196" t="s">
        <v>4322</v>
      </c>
      <c r="F805" s="196">
        <v>1989</v>
      </c>
      <c r="H805" s="196" t="s">
        <v>2008</v>
      </c>
      <c r="I805" s="184" t="s">
        <v>1879</v>
      </c>
      <c r="J805" s="196" t="s">
        <v>3202</v>
      </c>
      <c r="K805" s="196" t="s">
        <v>1881</v>
      </c>
      <c r="L805" s="184" t="s">
        <v>4323</v>
      </c>
      <c r="M805" s="196">
        <v>190</v>
      </c>
      <c r="O805" s="196" t="s">
        <v>4279</v>
      </c>
      <c r="P805" s="17">
        <v>142</v>
      </c>
      <c r="Q805" s="175">
        <f t="shared" si="46"/>
        <v>1.9742999999999999</v>
      </c>
      <c r="R805" s="199">
        <v>0.49</v>
      </c>
      <c r="T805" s="149"/>
      <c r="U805" s="149">
        <v>1.2</v>
      </c>
      <c r="V805" s="149">
        <v>0.25</v>
      </c>
      <c r="W805" s="149">
        <f t="shared" si="47"/>
        <v>0.49</v>
      </c>
      <c r="X805" s="152">
        <f t="shared" si="45"/>
        <v>3.4299999999999997E-2</v>
      </c>
      <c r="Y805" s="150">
        <f t="shared" si="44"/>
        <v>1.01</v>
      </c>
      <c r="Z805" s="152"/>
      <c r="AC805" s="154"/>
      <c r="AD805" s="154"/>
      <c r="AE805" s="154"/>
      <c r="AF805" s="154"/>
    </row>
    <row r="806" spans="1:32" x14ac:dyDescent="0.25">
      <c r="A806" s="196">
        <v>691</v>
      </c>
      <c r="B806" s="196" t="s">
        <v>4324</v>
      </c>
      <c r="C806" s="196" t="s">
        <v>4325</v>
      </c>
      <c r="D806" s="196" t="s">
        <v>1979</v>
      </c>
      <c r="F806" s="196">
        <v>1995</v>
      </c>
      <c r="H806" s="196" t="s">
        <v>2734</v>
      </c>
      <c r="I806" s="184" t="s">
        <v>1929</v>
      </c>
      <c r="K806" s="196" t="s">
        <v>1881</v>
      </c>
      <c r="L806" s="184" t="s">
        <v>4326</v>
      </c>
      <c r="M806" s="196">
        <v>162</v>
      </c>
      <c r="O806" s="196" t="s">
        <v>4280</v>
      </c>
      <c r="P806" s="17">
        <v>335</v>
      </c>
      <c r="Q806" s="175">
        <f t="shared" si="46"/>
        <v>2.5093000000000001</v>
      </c>
      <c r="R806" s="199">
        <v>0.99</v>
      </c>
      <c r="T806" s="149"/>
      <c r="U806" s="149">
        <v>1.2</v>
      </c>
      <c r="V806" s="151">
        <v>0.25</v>
      </c>
      <c r="W806" s="149">
        <f t="shared" si="47"/>
        <v>0.99</v>
      </c>
      <c r="X806" s="152">
        <f t="shared" si="45"/>
        <v>6.93E-2</v>
      </c>
      <c r="Y806" s="150">
        <f t="shared" si="44"/>
        <v>1.01</v>
      </c>
      <c r="Z806" s="152"/>
      <c r="AC806" s="154"/>
      <c r="AD806" s="154"/>
      <c r="AE806" s="154"/>
      <c r="AF806" s="154"/>
    </row>
    <row r="807" spans="1:32" x14ac:dyDescent="0.25">
      <c r="A807" s="196">
        <v>2552</v>
      </c>
      <c r="B807" s="196" t="s">
        <v>4329</v>
      </c>
      <c r="C807" s="196" t="s">
        <v>4330</v>
      </c>
      <c r="D807" s="196" t="s">
        <v>4331</v>
      </c>
      <c r="E807" s="196" t="s">
        <v>1921</v>
      </c>
      <c r="F807" s="196">
        <v>1998</v>
      </c>
      <c r="H807" s="196" t="s">
        <v>2008</v>
      </c>
      <c r="I807" s="184" t="s">
        <v>1879</v>
      </c>
      <c r="K807" s="196" t="s">
        <v>1881</v>
      </c>
      <c r="L807" s="184" t="s">
        <v>4332</v>
      </c>
      <c r="M807" s="196">
        <v>320</v>
      </c>
      <c r="O807" s="196" t="s">
        <v>4282</v>
      </c>
      <c r="P807" s="17">
        <v>256</v>
      </c>
      <c r="Q807" s="175">
        <f t="shared" si="46"/>
        <v>3.0442999999999998</v>
      </c>
      <c r="R807" s="199">
        <v>1.49</v>
      </c>
      <c r="T807" s="149"/>
      <c r="U807" s="149">
        <v>1.2</v>
      </c>
      <c r="V807" s="149">
        <v>0.25</v>
      </c>
      <c r="W807" s="149">
        <f t="shared" si="47"/>
        <v>1.49</v>
      </c>
      <c r="X807" s="152">
        <f t="shared" si="45"/>
        <v>0.1043</v>
      </c>
      <c r="Y807" s="150">
        <f t="shared" si="44"/>
        <v>1.01</v>
      </c>
      <c r="Z807" s="152"/>
      <c r="AC807" s="154"/>
      <c r="AD807" s="154"/>
      <c r="AE807" s="154"/>
      <c r="AF807" s="154"/>
    </row>
    <row r="808" spans="1:32" x14ac:dyDescent="0.25">
      <c r="A808" s="196">
        <v>2687</v>
      </c>
      <c r="C808" s="196" t="s">
        <v>4333</v>
      </c>
      <c r="D808" s="196" t="s">
        <v>4334</v>
      </c>
      <c r="H808" s="196" t="s">
        <v>2734</v>
      </c>
      <c r="I808" s="184" t="s">
        <v>1929</v>
      </c>
      <c r="K808" s="196" t="s">
        <v>1881</v>
      </c>
      <c r="L808" s="184" t="s">
        <v>4335</v>
      </c>
      <c r="O808" s="196" t="s">
        <v>4284</v>
      </c>
      <c r="P808" s="17">
        <v>387</v>
      </c>
      <c r="Q808" s="175">
        <f t="shared" si="46"/>
        <v>2.6162999999999998</v>
      </c>
      <c r="R808" s="199">
        <v>1.0900000000000001</v>
      </c>
      <c r="T808" s="149"/>
      <c r="U808" s="149">
        <v>1.2</v>
      </c>
      <c r="V808" s="151">
        <v>0.25</v>
      </c>
      <c r="W808" s="149">
        <f t="shared" si="47"/>
        <v>1.0900000000000001</v>
      </c>
      <c r="X808" s="152">
        <f t="shared" si="45"/>
        <v>7.6300000000000007E-2</v>
      </c>
      <c r="Y808" s="150">
        <f t="shared" si="44"/>
        <v>1.01</v>
      </c>
      <c r="Z808" s="152"/>
      <c r="AC808" s="154"/>
      <c r="AD808" s="154"/>
      <c r="AE808" s="154"/>
      <c r="AF808" s="154"/>
    </row>
    <row r="809" spans="1:32" x14ac:dyDescent="0.25">
      <c r="Y809" s="150">
        <f t="shared" si="44"/>
        <v>1.01</v>
      </c>
    </row>
    <row r="810" spans="1:32" x14ac:dyDescent="0.25">
      <c r="Y810" s="150">
        <f t="shared" si="44"/>
        <v>1.01</v>
      </c>
    </row>
    <row r="811" spans="1:32" x14ac:dyDescent="0.25">
      <c r="A811" s="182">
        <v>689</v>
      </c>
      <c r="B811" s="182" t="s">
        <v>4348</v>
      </c>
      <c r="C811" s="182" t="s">
        <v>4349</v>
      </c>
      <c r="D811" s="182" t="s">
        <v>3022</v>
      </c>
      <c r="F811" s="182">
        <v>1998</v>
      </c>
      <c r="H811" s="182" t="s">
        <v>2734</v>
      </c>
      <c r="I811" s="184" t="s">
        <v>1879</v>
      </c>
      <c r="K811" s="182" t="s">
        <v>1881</v>
      </c>
      <c r="L811" s="184" t="s">
        <v>4358</v>
      </c>
      <c r="M811" s="182">
        <v>538</v>
      </c>
      <c r="O811" s="196" t="s">
        <v>4378</v>
      </c>
      <c r="P811" s="17">
        <v>656</v>
      </c>
      <c r="Q811" s="175">
        <f t="shared" ref="Q811:Q870" si="48">SUM(T811:X811)</f>
        <v>6.0053000000000001</v>
      </c>
      <c r="R811" s="199">
        <v>3.79</v>
      </c>
      <c r="T811" s="149"/>
      <c r="U811" s="149">
        <v>1.7</v>
      </c>
      <c r="V811" s="151">
        <v>0.25</v>
      </c>
      <c r="W811" s="149">
        <f t="shared" si="47"/>
        <v>3.79</v>
      </c>
      <c r="X811" s="152">
        <f t="shared" si="45"/>
        <v>0.26530000000000004</v>
      </c>
      <c r="Y811" s="150">
        <f t="shared" si="44"/>
        <v>1.01</v>
      </c>
      <c r="Z811" s="152"/>
      <c r="AC811" s="154"/>
      <c r="AD811" s="154"/>
      <c r="AE811" s="154"/>
      <c r="AF811" s="154"/>
    </row>
    <row r="812" spans="1:32" x14ac:dyDescent="0.25">
      <c r="A812" s="182">
        <v>632</v>
      </c>
      <c r="B812" s="182" t="s">
        <v>4350</v>
      </c>
      <c r="C812" s="182" t="s">
        <v>4353</v>
      </c>
      <c r="D812" s="182" t="s">
        <v>2054</v>
      </c>
      <c r="F812" s="182">
        <v>1997</v>
      </c>
      <c r="H812" s="182" t="s">
        <v>2734</v>
      </c>
      <c r="I812" s="184" t="s">
        <v>1879</v>
      </c>
      <c r="K812" s="182" t="s">
        <v>1881</v>
      </c>
      <c r="L812" s="184" t="s">
        <v>4359</v>
      </c>
      <c r="M812" s="182">
        <v>434</v>
      </c>
      <c r="O812" s="196" t="s">
        <v>4379</v>
      </c>
      <c r="P812" s="17">
        <v>475</v>
      </c>
      <c r="Q812" s="175">
        <f t="shared" si="48"/>
        <v>3.9644999999999997</v>
      </c>
      <c r="R812" s="199">
        <v>2.35</v>
      </c>
      <c r="T812" s="149"/>
      <c r="U812" s="149">
        <v>1.2</v>
      </c>
      <c r="V812" s="149">
        <v>0.25</v>
      </c>
      <c r="W812" s="149">
        <f t="shared" si="47"/>
        <v>2.35</v>
      </c>
      <c r="X812" s="152">
        <f t="shared" si="45"/>
        <v>0.16450000000000001</v>
      </c>
      <c r="Y812" s="150">
        <f t="shared" ref="Y812:Y875" si="49">(IF(Z812&gt;AA812,Z812,AA812)*0.08)+1.01</f>
        <v>1.01</v>
      </c>
      <c r="Z812" s="152"/>
      <c r="AC812" s="154"/>
      <c r="AD812" s="154"/>
      <c r="AE812" s="154"/>
      <c r="AF812" s="154"/>
    </row>
    <row r="813" spans="1:32" x14ac:dyDescent="0.25">
      <c r="A813" s="182">
        <v>2522</v>
      </c>
      <c r="B813" s="182" t="s">
        <v>4351</v>
      </c>
      <c r="C813" s="182" t="s">
        <v>4354</v>
      </c>
      <c r="D813" s="182" t="s">
        <v>4357</v>
      </c>
      <c r="F813" s="182">
        <v>2014</v>
      </c>
      <c r="H813" s="182" t="s">
        <v>1878</v>
      </c>
      <c r="I813" s="184" t="s">
        <v>1879</v>
      </c>
      <c r="J813" s="182" t="s">
        <v>4198</v>
      </c>
      <c r="K813" s="196" t="s">
        <v>1881</v>
      </c>
      <c r="M813" s="182">
        <v>416</v>
      </c>
      <c r="O813" s="196" t="s">
        <v>4380</v>
      </c>
      <c r="P813" s="17">
        <v>296</v>
      </c>
      <c r="Q813" s="175">
        <f t="shared" si="48"/>
        <v>2.4022999999999999</v>
      </c>
      <c r="R813" s="199">
        <v>0.89</v>
      </c>
      <c r="T813" s="149"/>
      <c r="U813" s="149">
        <v>1.2</v>
      </c>
      <c r="V813" s="151">
        <v>0.25</v>
      </c>
      <c r="W813" s="149">
        <f t="shared" si="47"/>
        <v>0.89</v>
      </c>
      <c r="X813" s="152">
        <f t="shared" ref="X813:X876" si="50">(T813+W813)/100*7</f>
        <v>6.2300000000000001E-2</v>
      </c>
      <c r="Y813" s="150">
        <f t="shared" si="49"/>
        <v>1.01</v>
      </c>
      <c r="Z813" s="152"/>
      <c r="AC813" s="154"/>
      <c r="AD813" s="154"/>
      <c r="AE813" s="154"/>
      <c r="AF813" s="154"/>
    </row>
    <row r="814" spans="1:32" x14ac:dyDescent="0.25">
      <c r="A814" s="196">
        <v>2522</v>
      </c>
      <c r="B814" s="182" t="s">
        <v>4352</v>
      </c>
      <c r="C814" s="182" t="s">
        <v>4355</v>
      </c>
      <c r="D814" s="182" t="s">
        <v>1912</v>
      </c>
      <c r="E814" s="196" t="s">
        <v>1877</v>
      </c>
      <c r="F814" s="196">
        <v>2010</v>
      </c>
      <c r="H814" s="196" t="s">
        <v>1878</v>
      </c>
      <c r="I814" s="184" t="s">
        <v>1879</v>
      </c>
      <c r="J814" s="182" t="s">
        <v>3854</v>
      </c>
      <c r="K814" s="196" t="s">
        <v>1881</v>
      </c>
      <c r="L814" s="184" t="s">
        <v>4360</v>
      </c>
      <c r="M814" s="196">
        <v>384</v>
      </c>
      <c r="O814" s="196" t="s">
        <v>4381</v>
      </c>
      <c r="P814" s="17">
        <v>285</v>
      </c>
      <c r="Q814" s="175">
        <f t="shared" si="48"/>
        <v>4.1036000000000001</v>
      </c>
      <c r="R814" s="199">
        <v>2.48</v>
      </c>
      <c r="T814" s="149"/>
      <c r="U814" s="149">
        <v>1.2</v>
      </c>
      <c r="V814" s="149">
        <v>0.25</v>
      </c>
      <c r="W814" s="149">
        <f t="shared" si="47"/>
        <v>2.48</v>
      </c>
      <c r="X814" s="152">
        <f t="shared" si="50"/>
        <v>0.1736</v>
      </c>
      <c r="Y814" s="150">
        <f t="shared" si="49"/>
        <v>1.01</v>
      </c>
      <c r="Z814" s="152"/>
      <c r="AC814" s="154"/>
      <c r="AD814" s="154"/>
      <c r="AE814" s="154"/>
      <c r="AF814" s="154"/>
    </row>
    <row r="815" spans="1:32" x14ac:dyDescent="0.25">
      <c r="A815" s="196">
        <v>634</v>
      </c>
      <c r="B815" s="182" t="s">
        <v>2252</v>
      </c>
      <c r="C815" s="182" t="s">
        <v>4356</v>
      </c>
      <c r="D815" s="196" t="s">
        <v>2609</v>
      </c>
      <c r="F815" s="196">
        <v>2011</v>
      </c>
      <c r="H815" s="196" t="s">
        <v>1878</v>
      </c>
      <c r="I815" s="184" t="s">
        <v>1879</v>
      </c>
      <c r="K815" s="196" t="s">
        <v>1881</v>
      </c>
      <c r="L815" s="184" t="s">
        <v>4361</v>
      </c>
      <c r="M815" s="196">
        <v>1312</v>
      </c>
      <c r="O815" s="196" t="s">
        <v>4382</v>
      </c>
      <c r="P815" s="17">
        <v>806</v>
      </c>
      <c r="Q815" s="175">
        <f t="shared" si="48"/>
        <v>5.6843000000000004</v>
      </c>
      <c r="R815" s="199">
        <v>3.49</v>
      </c>
      <c r="T815" s="149"/>
      <c r="U815" s="149">
        <v>1.7</v>
      </c>
      <c r="V815" s="151">
        <v>0.25</v>
      </c>
      <c r="W815" s="149">
        <f t="shared" si="47"/>
        <v>3.49</v>
      </c>
      <c r="X815" s="152">
        <f t="shared" si="50"/>
        <v>0.24430000000000002</v>
      </c>
      <c r="Y815" s="150">
        <f t="shared" si="49"/>
        <v>1.01</v>
      </c>
      <c r="Z815" s="152"/>
      <c r="AC815" s="154"/>
      <c r="AD815" s="154"/>
      <c r="AE815" s="154"/>
      <c r="AF815" s="154"/>
    </row>
    <row r="816" spans="1:32" x14ac:dyDescent="0.25">
      <c r="A816" s="196">
        <v>853</v>
      </c>
      <c r="B816" s="196" t="s">
        <v>4362</v>
      </c>
      <c r="C816" s="196" t="s">
        <v>4363</v>
      </c>
      <c r="D816" s="196" t="s">
        <v>2300</v>
      </c>
      <c r="F816" s="196">
        <v>1992</v>
      </c>
      <c r="H816" s="196" t="s">
        <v>1878</v>
      </c>
      <c r="I816" s="184" t="s">
        <v>1879</v>
      </c>
      <c r="K816" s="196" t="s">
        <v>1881</v>
      </c>
      <c r="L816" s="184" t="s">
        <v>4364</v>
      </c>
      <c r="M816" s="196">
        <v>384</v>
      </c>
      <c r="O816" s="196" t="s">
        <v>4383</v>
      </c>
      <c r="P816" s="17">
        <v>311</v>
      </c>
      <c r="Q816" s="175">
        <f t="shared" si="48"/>
        <v>4.9702999999999999</v>
      </c>
      <c r="R816" s="199">
        <v>3.29</v>
      </c>
      <c r="T816" s="149"/>
      <c r="U816" s="149">
        <v>1.2</v>
      </c>
      <c r="V816" s="149">
        <v>0.25</v>
      </c>
      <c r="W816" s="149">
        <f t="shared" si="47"/>
        <v>3.29</v>
      </c>
      <c r="X816" s="152">
        <f t="shared" si="50"/>
        <v>0.2303</v>
      </c>
      <c r="Y816" s="150">
        <f t="shared" si="49"/>
        <v>1.01</v>
      </c>
      <c r="Z816" s="152"/>
      <c r="AC816" s="154"/>
      <c r="AD816" s="154"/>
      <c r="AE816" s="154"/>
      <c r="AF816" s="154"/>
    </row>
    <row r="817" spans="1:32" x14ac:dyDescent="0.25">
      <c r="A817" s="196">
        <v>1231</v>
      </c>
      <c r="B817" s="196" t="s">
        <v>4365</v>
      </c>
      <c r="C817" s="196" t="s">
        <v>4366</v>
      </c>
      <c r="D817" s="196" t="s">
        <v>1920</v>
      </c>
      <c r="E817" s="196" t="s">
        <v>1921</v>
      </c>
      <c r="F817" s="196">
        <v>2013</v>
      </c>
      <c r="H817" s="196" t="s">
        <v>1878</v>
      </c>
      <c r="I817" s="184" t="s">
        <v>1914</v>
      </c>
      <c r="K817" s="196" t="s">
        <v>1881</v>
      </c>
      <c r="L817" s="184" t="s">
        <v>4367</v>
      </c>
      <c r="M817" s="196">
        <v>240</v>
      </c>
      <c r="O817" s="196" t="s">
        <v>4384</v>
      </c>
      <c r="P817" s="17">
        <v>267</v>
      </c>
      <c r="Q817" s="175">
        <f t="shared" si="48"/>
        <v>3.8040000000000003</v>
      </c>
      <c r="R817" s="199">
        <v>2.2000000000000002</v>
      </c>
      <c r="T817" s="149"/>
      <c r="U817" s="149">
        <v>1.2</v>
      </c>
      <c r="V817" s="151">
        <v>0.25</v>
      </c>
      <c r="W817" s="149">
        <f t="shared" si="47"/>
        <v>2.2000000000000002</v>
      </c>
      <c r="X817" s="152">
        <f t="shared" si="50"/>
        <v>0.15400000000000003</v>
      </c>
      <c r="Y817" s="150">
        <f t="shared" si="49"/>
        <v>1.01</v>
      </c>
      <c r="Z817" s="152"/>
      <c r="AC817" s="154"/>
      <c r="AD817" s="154"/>
      <c r="AE817" s="154"/>
      <c r="AF817" s="154"/>
    </row>
    <row r="818" spans="1:32" x14ac:dyDescent="0.25">
      <c r="A818" s="196">
        <v>2522</v>
      </c>
      <c r="B818" s="196" t="s">
        <v>4368</v>
      </c>
      <c r="C818" s="196" t="s">
        <v>4369</v>
      </c>
      <c r="D818" s="196" t="s">
        <v>2257</v>
      </c>
      <c r="F818" s="196">
        <v>2007</v>
      </c>
      <c r="H818" s="196" t="s">
        <v>1878</v>
      </c>
      <c r="I818" s="184" t="s">
        <v>1879</v>
      </c>
      <c r="J818" s="54" t="s">
        <v>3854</v>
      </c>
      <c r="K818" s="196" t="s">
        <v>1881</v>
      </c>
      <c r="L818" s="184" t="s">
        <v>4370</v>
      </c>
      <c r="M818" s="196">
        <v>608</v>
      </c>
      <c r="O818" s="196" t="s">
        <v>4385</v>
      </c>
      <c r="P818" s="17">
        <v>446</v>
      </c>
      <c r="Q818" s="175">
        <f t="shared" si="48"/>
        <v>4.2854999999999999</v>
      </c>
      <c r="R818" s="199">
        <v>2.65</v>
      </c>
      <c r="T818" s="149"/>
      <c r="U818" s="149">
        <v>1.2</v>
      </c>
      <c r="V818" s="149">
        <v>0.25</v>
      </c>
      <c r="W818" s="149">
        <f t="shared" si="47"/>
        <v>2.65</v>
      </c>
      <c r="X818" s="152">
        <f t="shared" si="50"/>
        <v>0.1855</v>
      </c>
      <c r="Y818" s="150">
        <f t="shared" si="49"/>
        <v>1.01</v>
      </c>
      <c r="Z818" s="152"/>
      <c r="AC818" s="154"/>
      <c r="AD818" s="154"/>
      <c r="AE818" s="154"/>
      <c r="AF818" s="154"/>
    </row>
    <row r="819" spans="1:32" x14ac:dyDescent="0.25">
      <c r="A819" s="196">
        <v>1321</v>
      </c>
      <c r="B819" s="182" t="s">
        <v>4371</v>
      </c>
      <c r="C819" s="196" t="s">
        <v>4372</v>
      </c>
      <c r="F819" s="196">
        <v>2002</v>
      </c>
      <c r="H819" s="196" t="s">
        <v>1878</v>
      </c>
      <c r="I819" s="184" t="s">
        <v>1879</v>
      </c>
      <c r="K819" s="196" t="s">
        <v>2025</v>
      </c>
      <c r="L819" s="184" t="s">
        <v>4373</v>
      </c>
      <c r="M819" s="196">
        <v>256</v>
      </c>
      <c r="O819" s="196" t="s">
        <v>4386</v>
      </c>
      <c r="P819" s="17">
        <v>323</v>
      </c>
      <c r="Q819" s="175">
        <f t="shared" si="48"/>
        <v>10.320299999999998</v>
      </c>
      <c r="R819" s="199">
        <v>8.2899999999999991</v>
      </c>
      <c r="T819" s="149"/>
      <c r="U819" s="149">
        <v>1.2</v>
      </c>
      <c r="V819" s="151">
        <v>0.25</v>
      </c>
      <c r="W819" s="149">
        <f t="shared" si="47"/>
        <v>8.2899999999999991</v>
      </c>
      <c r="X819" s="152">
        <f t="shared" si="50"/>
        <v>0.58029999999999993</v>
      </c>
      <c r="Y819" s="150">
        <f t="shared" si="49"/>
        <v>1.01</v>
      </c>
      <c r="Z819" s="152"/>
      <c r="AC819" s="154"/>
      <c r="AD819" s="154"/>
      <c r="AE819" s="154"/>
      <c r="AF819" s="154"/>
    </row>
    <row r="820" spans="1:32" x14ac:dyDescent="0.25">
      <c r="A820" s="196">
        <v>649</v>
      </c>
      <c r="B820" s="196" t="s">
        <v>4374</v>
      </c>
      <c r="C820" s="196" t="s">
        <v>4375</v>
      </c>
      <c r="D820" s="196" t="s">
        <v>4376</v>
      </c>
      <c r="F820" s="196">
        <v>1994</v>
      </c>
      <c r="H820" s="196" t="s">
        <v>1878</v>
      </c>
      <c r="I820" s="184" t="s">
        <v>1879</v>
      </c>
      <c r="K820" s="196" t="s">
        <v>1881</v>
      </c>
      <c r="L820" s="184" t="s">
        <v>4377</v>
      </c>
      <c r="M820" s="196">
        <v>112</v>
      </c>
      <c r="O820" s="196" t="s">
        <v>4387</v>
      </c>
      <c r="P820" s="17">
        <v>335</v>
      </c>
      <c r="Q820" s="175">
        <f t="shared" si="48"/>
        <v>4.7563000000000004</v>
      </c>
      <c r="R820" s="199">
        <v>3.09</v>
      </c>
      <c r="T820" s="149"/>
      <c r="U820" s="149">
        <v>1.2</v>
      </c>
      <c r="V820" s="149">
        <v>0.25</v>
      </c>
      <c r="W820" s="149">
        <f t="shared" si="47"/>
        <v>3.09</v>
      </c>
      <c r="X820" s="152">
        <f t="shared" si="50"/>
        <v>0.21629999999999999</v>
      </c>
      <c r="Y820" s="150">
        <f t="shared" si="49"/>
        <v>1.01</v>
      </c>
      <c r="Z820" s="152"/>
      <c r="AC820" s="154"/>
      <c r="AD820" s="154"/>
      <c r="AE820" s="154"/>
      <c r="AF820" s="154"/>
    </row>
    <row r="821" spans="1:32" x14ac:dyDescent="0.25">
      <c r="A821" s="196">
        <v>1321</v>
      </c>
      <c r="B821" s="196" t="s">
        <v>4420</v>
      </c>
      <c r="C821" s="196" t="s">
        <v>4421</v>
      </c>
      <c r="D821" s="196" t="s">
        <v>4422</v>
      </c>
      <c r="E821" s="196" t="s">
        <v>2412</v>
      </c>
      <c r="F821" s="196">
        <v>1995</v>
      </c>
      <c r="H821" s="196" t="s">
        <v>2734</v>
      </c>
      <c r="I821" s="184" t="s">
        <v>1929</v>
      </c>
      <c r="K821" s="196" t="s">
        <v>1881</v>
      </c>
      <c r="L821" s="184" t="s">
        <v>4423</v>
      </c>
      <c r="M821" s="196">
        <v>162</v>
      </c>
      <c r="O821" s="196" t="s">
        <v>4388</v>
      </c>
      <c r="P821" s="17">
        <v>472</v>
      </c>
      <c r="Q821" s="175">
        <f t="shared" si="48"/>
        <v>3.7932999999999995</v>
      </c>
      <c r="R821" s="199">
        <v>2.19</v>
      </c>
      <c r="T821" s="149"/>
      <c r="U821" s="149">
        <v>1.2</v>
      </c>
      <c r="V821" s="151">
        <v>0.25</v>
      </c>
      <c r="W821" s="149">
        <f t="shared" ref="W821:W884" si="51">IF(R821&gt;T821,R821,T821)</f>
        <v>2.19</v>
      </c>
      <c r="X821" s="152">
        <f t="shared" si="50"/>
        <v>0.15329999999999999</v>
      </c>
      <c r="Y821" s="150">
        <f t="shared" si="49"/>
        <v>1.01</v>
      </c>
      <c r="Z821" s="152"/>
      <c r="AC821" s="154"/>
      <c r="AD821" s="154"/>
      <c r="AE821" s="154"/>
      <c r="AF821" s="154"/>
    </row>
    <row r="822" spans="1:32" x14ac:dyDescent="0.25">
      <c r="A822" s="196">
        <v>691</v>
      </c>
      <c r="B822" s="196" t="s">
        <v>4424</v>
      </c>
      <c r="C822" s="196" t="s">
        <v>4425</v>
      </c>
      <c r="D822" s="196" t="s">
        <v>2402</v>
      </c>
      <c r="F822" s="196">
        <v>2001</v>
      </c>
      <c r="H822" s="196" t="s">
        <v>2734</v>
      </c>
      <c r="I822" s="184" t="s">
        <v>1879</v>
      </c>
      <c r="K822" s="196" t="s">
        <v>1881</v>
      </c>
      <c r="L822" s="184" t="s">
        <v>4426</v>
      </c>
      <c r="M822" s="196">
        <v>38</v>
      </c>
      <c r="O822" s="196" t="s">
        <v>4389</v>
      </c>
      <c r="P822" s="17">
        <v>247</v>
      </c>
      <c r="Q822" s="175">
        <f t="shared" si="48"/>
        <v>4.5101999999999993</v>
      </c>
      <c r="R822" s="199">
        <v>2.86</v>
      </c>
      <c r="T822" s="149"/>
      <c r="U822" s="149">
        <v>1.2</v>
      </c>
      <c r="V822" s="149">
        <v>0.25</v>
      </c>
      <c r="W822" s="149">
        <f t="shared" si="51"/>
        <v>2.86</v>
      </c>
      <c r="X822" s="152">
        <f t="shared" si="50"/>
        <v>0.20019999999999999</v>
      </c>
      <c r="Y822" s="150">
        <f t="shared" si="49"/>
        <v>1.01</v>
      </c>
      <c r="Z822" s="152"/>
      <c r="AC822" s="154"/>
      <c r="AD822" s="154"/>
      <c r="AE822" s="154"/>
      <c r="AF822" s="154"/>
    </row>
    <row r="823" spans="1:32" x14ac:dyDescent="0.25">
      <c r="A823" s="196">
        <v>907</v>
      </c>
      <c r="B823" s="196" t="s">
        <v>4427</v>
      </c>
      <c r="C823" s="196" t="s">
        <v>4428</v>
      </c>
      <c r="D823" s="196" t="s">
        <v>3332</v>
      </c>
      <c r="H823" s="196" t="s">
        <v>1878</v>
      </c>
      <c r="I823" s="184" t="s">
        <v>1929</v>
      </c>
      <c r="K823" s="196" t="s">
        <v>1881</v>
      </c>
      <c r="L823" s="184" t="s">
        <v>4429</v>
      </c>
      <c r="M823" s="196" t="s">
        <v>4430</v>
      </c>
      <c r="O823" s="196" t="s">
        <v>4390</v>
      </c>
      <c r="P823" s="17">
        <v>755</v>
      </c>
      <c r="Q823" s="175">
        <f t="shared" si="48"/>
        <v>6.3262999999999998</v>
      </c>
      <c r="R823" s="199">
        <v>4.09</v>
      </c>
      <c r="T823" s="149"/>
      <c r="U823" s="149">
        <v>1.7</v>
      </c>
      <c r="V823" s="151">
        <v>0.25</v>
      </c>
      <c r="W823" s="149">
        <f t="shared" si="51"/>
        <v>4.09</v>
      </c>
      <c r="X823" s="152">
        <f t="shared" si="50"/>
        <v>0.2863</v>
      </c>
      <c r="Y823" s="150">
        <f t="shared" si="49"/>
        <v>1.01</v>
      </c>
      <c r="Z823" s="152"/>
      <c r="AC823" s="154"/>
      <c r="AD823" s="154"/>
      <c r="AE823" s="154"/>
      <c r="AF823" s="154"/>
    </row>
    <row r="824" spans="1:32" x14ac:dyDescent="0.25">
      <c r="A824" s="196">
        <v>2522</v>
      </c>
      <c r="B824" s="196" t="s">
        <v>2456</v>
      </c>
      <c r="C824" s="196" t="s">
        <v>4431</v>
      </c>
      <c r="D824" s="196" t="s">
        <v>1993</v>
      </c>
      <c r="E824" s="196" t="s">
        <v>1913</v>
      </c>
      <c r="F824" s="196">
        <v>2014</v>
      </c>
      <c r="H824" s="196" t="s">
        <v>1878</v>
      </c>
      <c r="I824" s="184" t="s">
        <v>1879</v>
      </c>
      <c r="K824" s="196" t="s">
        <v>1881</v>
      </c>
      <c r="L824" s="184" t="s">
        <v>4432</v>
      </c>
      <c r="M824" s="196">
        <v>544</v>
      </c>
      <c r="O824" s="196" t="s">
        <v>4391</v>
      </c>
      <c r="P824" s="17">
        <v>457</v>
      </c>
      <c r="Q824" s="175">
        <f t="shared" si="48"/>
        <v>4.2213000000000003</v>
      </c>
      <c r="R824" s="199">
        <v>2.59</v>
      </c>
      <c r="T824" s="149"/>
      <c r="U824" s="149">
        <v>1.2</v>
      </c>
      <c r="V824" s="149">
        <v>0.25</v>
      </c>
      <c r="W824" s="149">
        <f t="shared" si="51"/>
        <v>2.59</v>
      </c>
      <c r="X824" s="152">
        <f t="shared" si="50"/>
        <v>0.18129999999999999</v>
      </c>
      <c r="Y824" s="150">
        <f t="shared" si="49"/>
        <v>1.01</v>
      </c>
      <c r="Z824" s="152"/>
      <c r="AC824" s="154"/>
      <c r="AD824" s="154"/>
      <c r="AE824" s="154"/>
      <c r="AF824" s="154"/>
    </row>
    <row r="825" spans="1:32" x14ac:dyDescent="0.25">
      <c r="A825" s="196">
        <v>691</v>
      </c>
      <c r="B825" s="196" t="s">
        <v>4433</v>
      </c>
      <c r="C825" s="196" t="s">
        <v>4434</v>
      </c>
      <c r="D825" s="196" t="s">
        <v>4435</v>
      </c>
      <c r="F825" s="196">
        <v>2005</v>
      </c>
      <c r="H825" s="196" t="s">
        <v>2734</v>
      </c>
      <c r="I825" s="184" t="s">
        <v>1879</v>
      </c>
      <c r="J825" s="182" t="s">
        <v>4436</v>
      </c>
      <c r="K825" s="196" t="s">
        <v>1881</v>
      </c>
      <c r="L825" s="184" t="s">
        <v>4437</v>
      </c>
      <c r="M825" s="196">
        <v>190</v>
      </c>
      <c r="O825" s="196" t="s">
        <v>4392</v>
      </c>
      <c r="P825" s="17">
        <v>310</v>
      </c>
      <c r="Q825" s="175">
        <f t="shared" si="48"/>
        <v>5.6123000000000003</v>
      </c>
      <c r="R825" s="199">
        <v>3.89</v>
      </c>
      <c r="T825" s="149"/>
      <c r="U825" s="149">
        <v>1.2</v>
      </c>
      <c r="V825" s="151">
        <v>0.25</v>
      </c>
      <c r="W825" s="149">
        <f t="shared" si="51"/>
        <v>3.89</v>
      </c>
      <c r="X825" s="152">
        <f t="shared" si="50"/>
        <v>0.27230000000000004</v>
      </c>
      <c r="Y825" s="150">
        <f t="shared" si="49"/>
        <v>1.01</v>
      </c>
      <c r="Z825" s="152"/>
      <c r="AC825" s="154"/>
      <c r="AD825" s="154"/>
      <c r="AE825" s="154"/>
      <c r="AF825" s="154"/>
    </row>
    <row r="826" spans="1:32" x14ac:dyDescent="0.25">
      <c r="A826" s="196">
        <v>632</v>
      </c>
      <c r="B826" s="196" t="s">
        <v>4438</v>
      </c>
      <c r="C826" s="196" t="s">
        <v>4439</v>
      </c>
      <c r="D826" s="196" t="s">
        <v>2257</v>
      </c>
      <c r="F826" s="196">
        <v>2006</v>
      </c>
      <c r="H826" s="196" t="s">
        <v>1878</v>
      </c>
      <c r="I826" s="184" t="s">
        <v>1879</v>
      </c>
      <c r="J826" s="54" t="s">
        <v>3854</v>
      </c>
      <c r="K826" s="196" t="s">
        <v>1881</v>
      </c>
      <c r="L826" s="184" t="s">
        <v>4440</v>
      </c>
      <c r="M826" s="196">
        <v>352</v>
      </c>
      <c r="O826" s="196" t="s">
        <v>4393</v>
      </c>
      <c r="P826" s="17">
        <v>313</v>
      </c>
      <c r="Q826" s="175">
        <f t="shared" si="48"/>
        <v>2.4022999999999999</v>
      </c>
      <c r="R826" s="202">
        <v>0.89</v>
      </c>
      <c r="S826" s="202"/>
      <c r="T826" s="211"/>
      <c r="U826" s="149">
        <v>1.2</v>
      </c>
      <c r="V826" s="149">
        <v>0.25</v>
      </c>
      <c r="W826" s="149">
        <f t="shared" si="51"/>
        <v>0.89</v>
      </c>
      <c r="X826" s="152">
        <f t="shared" si="50"/>
        <v>6.2300000000000001E-2</v>
      </c>
      <c r="Y826" s="150">
        <f t="shared" si="49"/>
        <v>1.01</v>
      </c>
      <c r="Z826" s="152"/>
      <c r="AC826" s="154"/>
      <c r="AD826" s="154"/>
      <c r="AE826" s="154"/>
      <c r="AF826" s="154"/>
    </row>
    <row r="827" spans="1:32" x14ac:dyDescent="0.25">
      <c r="A827" s="196">
        <v>796</v>
      </c>
      <c r="B827" s="196" t="s">
        <v>4449</v>
      </c>
      <c r="C827" s="196" t="s">
        <v>4450</v>
      </c>
      <c r="D827" s="196" t="s">
        <v>2232</v>
      </c>
      <c r="E827" s="196" t="s">
        <v>1913</v>
      </c>
      <c r="F827" s="196">
        <v>2009</v>
      </c>
      <c r="H827" s="196" t="s">
        <v>1878</v>
      </c>
      <c r="I827" s="184" t="s">
        <v>1879</v>
      </c>
      <c r="J827" s="196" t="s">
        <v>3303</v>
      </c>
      <c r="K827" s="196" t="s">
        <v>1881</v>
      </c>
      <c r="L827" s="184" t="s">
        <v>4451</v>
      </c>
      <c r="M827" s="196">
        <v>256</v>
      </c>
      <c r="O827" s="196" t="s">
        <v>4396</v>
      </c>
      <c r="P827" s="17">
        <v>244</v>
      </c>
      <c r="Q827" s="175">
        <f t="shared" si="48"/>
        <v>2.6162999999999998</v>
      </c>
      <c r="R827" s="199">
        <v>1.0900000000000001</v>
      </c>
      <c r="T827" s="149"/>
      <c r="U827" s="149">
        <v>1.2</v>
      </c>
      <c r="V827" s="151">
        <v>0.25</v>
      </c>
      <c r="W827" s="149">
        <f t="shared" si="51"/>
        <v>1.0900000000000001</v>
      </c>
      <c r="X827" s="152">
        <f t="shared" si="50"/>
        <v>7.6300000000000007E-2</v>
      </c>
      <c r="Y827" s="150">
        <f t="shared" si="49"/>
        <v>1.01</v>
      </c>
      <c r="Z827" s="152"/>
      <c r="AC827" s="154"/>
      <c r="AD827" s="154"/>
      <c r="AE827" s="154"/>
      <c r="AF827" s="154"/>
    </row>
    <row r="828" spans="1:32" x14ac:dyDescent="0.25">
      <c r="A828" s="196">
        <v>1875</v>
      </c>
      <c r="C828" s="196" t="s">
        <v>4452</v>
      </c>
      <c r="D828" s="196" t="s">
        <v>3524</v>
      </c>
      <c r="E828" s="196" t="s">
        <v>1913</v>
      </c>
      <c r="F828" s="196">
        <v>2004</v>
      </c>
      <c r="H828" s="196" t="s">
        <v>2734</v>
      </c>
      <c r="I828" s="184" t="s">
        <v>1879</v>
      </c>
      <c r="J828" s="196" t="s">
        <v>3303</v>
      </c>
      <c r="K828" s="196" t="s">
        <v>1881</v>
      </c>
      <c r="L828" s="184" t="s">
        <v>4453</v>
      </c>
      <c r="M828" s="196">
        <v>126</v>
      </c>
      <c r="O828" s="196" t="s">
        <v>4397</v>
      </c>
      <c r="P828" s="17">
        <v>279</v>
      </c>
      <c r="Q828" s="175">
        <f t="shared" si="48"/>
        <v>1.9742999999999999</v>
      </c>
      <c r="R828" s="199">
        <v>0.49</v>
      </c>
      <c r="T828" s="149"/>
      <c r="U828" s="149">
        <v>1.2</v>
      </c>
      <c r="V828" s="149">
        <v>0.25</v>
      </c>
      <c r="W828" s="149">
        <f t="shared" si="51"/>
        <v>0.49</v>
      </c>
      <c r="X828" s="152">
        <f t="shared" si="50"/>
        <v>3.4299999999999997E-2</v>
      </c>
      <c r="Y828" s="150">
        <f t="shared" si="49"/>
        <v>1.01</v>
      </c>
      <c r="Z828" s="152"/>
      <c r="AC828" s="154"/>
      <c r="AD828" s="154"/>
      <c r="AE828" s="154"/>
      <c r="AF828" s="154"/>
    </row>
    <row r="829" spans="1:32" x14ac:dyDescent="0.25">
      <c r="A829" s="196">
        <v>1348</v>
      </c>
      <c r="B829" s="196" t="s">
        <v>4454</v>
      </c>
      <c r="C829" s="196" t="s">
        <v>4455</v>
      </c>
      <c r="D829" s="196" t="s">
        <v>2300</v>
      </c>
      <c r="E829" s="196" t="s">
        <v>4456</v>
      </c>
      <c r="F829" s="196">
        <v>1988</v>
      </c>
      <c r="H829" s="196" t="s">
        <v>2008</v>
      </c>
      <c r="I829" s="184" t="s">
        <v>1879</v>
      </c>
      <c r="J829" s="196" t="s">
        <v>4198</v>
      </c>
      <c r="K829" s="196" t="s">
        <v>1881</v>
      </c>
      <c r="L829" s="184" t="s">
        <v>4457</v>
      </c>
      <c r="M829" s="196">
        <v>190</v>
      </c>
      <c r="O829" s="196" t="s">
        <v>4398</v>
      </c>
      <c r="P829" s="17">
        <v>137</v>
      </c>
      <c r="Q829" s="175">
        <f t="shared" si="48"/>
        <v>3.5792999999999999</v>
      </c>
      <c r="R829" s="199">
        <v>1.99</v>
      </c>
      <c r="T829" s="149"/>
      <c r="U829" s="149">
        <v>1.2</v>
      </c>
      <c r="V829" s="151">
        <v>0.25</v>
      </c>
      <c r="W829" s="149">
        <f t="shared" si="51"/>
        <v>1.99</v>
      </c>
      <c r="X829" s="152">
        <f t="shared" si="50"/>
        <v>0.13930000000000001</v>
      </c>
      <c r="Y829" s="150">
        <f t="shared" si="49"/>
        <v>1.01</v>
      </c>
      <c r="Z829" s="152"/>
      <c r="AC829" s="154"/>
      <c r="AD829" s="154"/>
      <c r="AE829" s="154"/>
      <c r="AF829" s="154"/>
    </row>
    <row r="830" spans="1:32" x14ac:dyDescent="0.25">
      <c r="A830" s="196">
        <v>2684</v>
      </c>
      <c r="B830" s="196" t="s">
        <v>4458</v>
      </c>
      <c r="C830" s="196" t="s">
        <v>4459</v>
      </c>
      <c r="D830" s="196" t="s">
        <v>2300</v>
      </c>
      <c r="F830" s="196">
        <v>1974</v>
      </c>
      <c r="H830" s="196" t="s">
        <v>2008</v>
      </c>
      <c r="I830" s="184" t="s">
        <v>1879</v>
      </c>
      <c r="J830" s="196" t="s">
        <v>3303</v>
      </c>
      <c r="K830" s="196" t="s">
        <v>1881</v>
      </c>
      <c r="L830" s="184" t="s">
        <v>4460</v>
      </c>
      <c r="M830" s="196">
        <v>158</v>
      </c>
      <c r="O830" s="196" t="s">
        <v>4399</v>
      </c>
      <c r="P830" s="17">
        <v>120</v>
      </c>
      <c r="Q830" s="175">
        <f t="shared" si="48"/>
        <v>1.8673</v>
      </c>
      <c r="R830" s="199">
        <v>0.39</v>
      </c>
      <c r="T830" s="149"/>
      <c r="U830" s="149">
        <v>1.2</v>
      </c>
      <c r="V830" s="149">
        <v>0.25</v>
      </c>
      <c r="W830" s="149">
        <f t="shared" si="51"/>
        <v>0.39</v>
      </c>
      <c r="X830" s="152">
        <f t="shared" si="50"/>
        <v>2.7300000000000001E-2</v>
      </c>
      <c r="Y830" s="150">
        <f t="shared" si="49"/>
        <v>1.01</v>
      </c>
      <c r="Z830" s="152"/>
      <c r="AC830" s="154"/>
      <c r="AD830" s="154"/>
      <c r="AE830" s="154"/>
      <c r="AF830" s="154"/>
    </row>
    <row r="831" spans="1:32" x14ac:dyDescent="0.25">
      <c r="A831" s="196">
        <v>981</v>
      </c>
      <c r="B831" s="196" t="s">
        <v>4461</v>
      </c>
      <c r="C831" s="196" t="s">
        <v>4462</v>
      </c>
      <c r="D831" s="196" t="s">
        <v>2007</v>
      </c>
      <c r="F831" s="196">
        <v>1998</v>
      </c>
      <c r="H831" s="196" t="s">
        <v>2008</v>
      </c>
      <c r="I831" s="184" t="s">
        <v>1879</v>
      </c>
      <c r="J831" s="196" t="s">
        <v>4198</v>
      </c>
      <c r="K831" s="196" t="s">
        <v>1881</v>
      </c>
      <c r="L831" s="184" t="s">
        <v>4463</v>
      </c>
      <c r="M831" s="196">
        <v>120</v>
      </c>
      <c r="O831" s="196" t="s">
        <v>4400</v>
      </c>
      <c r="P831" s="17">
        <v>56</v>
      </c>
      <c r="Q831" s="175">
        <f t="shared" si="48"/>
        <v>3.3653000000000004</v>
      </c>
      <c r="R831" s="199">
        <v>1.79</v>
      </c>
      <c r="T831" s="149"/>
      <c r="U831" s="149">
        <v>1.2</v>
      </c>
      <c r="V831" s="151">
        <v>0.25</v>
      </c>
      <c r="W831" s="149">
        <f t="shared" si="51"/>
        <v>1.79</v>
      </c>
      <c r="X831" s="152">
        <f t="shared" si="50"/>
        <v>0.12529999999999999</v>
      </c>
      <c r="Y831" s="150">
        <f t="shared" si="49"/>
        <v>1.01</v>
      </c>
      <c r="Z831" s="152"/>
      <c r="AC831" s="154"/>
      <c r="AD831" s="154"/>
      <c r="AE831" s="154"/>
      <c r="AF831" s="154"/>
    </row>
    <row r="832" spans="1:32" x14ac:dyDescent="0.25">
      <c r="A832" s="196">
        <v>1231</v>
      </c>
      <c r="B832" s="196" t="s">
        <v>4464</v>
      </c>
      <c r="C832" s="196" t="s">
        <v>4465</v>
      </c>
      <c r="D832" s="196" t="s">
        <v>2232</v>
      </c>
      <c r="E832" s="196" t="s">
        <v>2175</v>
      </c>
      <c r="F832" s="196">
        <v>2003</v>
      </c>
      <c r="H832" s="196" t="s">
        <v>1878</v>
      </c>
      <c r="I832" s="184" t="s">
        <v>1929</v>
      </c>
      <c r="K832" s="196" t="s">
        <v>1881</v>
      </c>
      <c r="L832" s="184" t="s">
        <v>4466</v>
      </c>
      <c r="M832" s="196">
        <v>256</v>
      </c>
      <c r="O832" s="196" t="s">
        <v>4401</v>
      </c>
      <c r="P832" s="17">
        <v>274</v>
      </c>
      <c r="Q832" s="175">
        <f t="shared" si="48"/>
        <v>2.7875000000000001</v>
      </c>
      <c r="R832" s="199">
        <v>1.25</v>
      </c>
      <c r="T832" s="149"/>
      <c r="U832" s="149">
        <v>1.2</v>
      </c>
      <c r="V832" s="149">
        <v>0.25</v>
      </c>
      <c r="W832" s="149">
        <f t="shared" si="51"/>
        <v>1.25</v>
      </c>
      <c r="X832" s="152">
        <f t="shared" si="50"/>
        <v>8.7500000000000008E-2</v>
      </c>
      <c r="Y832" s="150">
        <f t="shared" si="49"/>
        <v>1.01</v>
      </c>
      <c r="Z832" s="152"/>
      <c r="AC832" s="154"/>
      <c r="AD832" s="154"/>
      <c r="AE832" s="154"/>
      <c r="AF832" s="154"/>
    </row>
    <row r="833" spans="1:32" x14ac:dyDescent="0.25">
      <c r="A833" s="196">
        <v>735</v>
      </c>
      <c r="B833" s="196" t="s">
        <v>4467</v>
      </c>
      <c r="C833" s="196" t="s">
        <v>4468</v>
      </c>
      <c r="D833" s="196" t="s">
        <v>1912</v>
      </c>
      <c r="E833" s="196" t="s">
        <v>1913</v>
      </c>
      <c r="F833" s="196">
        <v>1991</v>
      </c>
      <c r="H833" s="196" t="s">
        <v>1878</v>
      </c>
      <c r="I833" s="184" t="s">
        <v>1879</v>
      </c>
      <c r="J833" s="196" t="s">
        <v>3303</v>
      </c>
      <c r="K833" s="196" t="s">
        <v>1881</v>
      </c>
      <c r="L833" s="184" t="s">
        <v>4469</v>
      </c>
      <c r="M833" s="196">
        <v>224</v>
      </c>
      <c r="O833" s="196" t="s">
        <v>4402</v>
      </c>
      <c r="P833" s="17">
        <v>138</v>
      </c>
      <c r="Q833" s="175">
        <f t="shared" si="48"/>
        <v>7.8593000000000002</v>
      </c>
      <c r="R833" s="199">
        <v>5.99</v>
      </c>
      <c r="T833" s="149"/>
      <c r="U833" s="149">
        <v>1.2</v>
      </c>
      <c r="V833" s="151">
        <v>0.25</v>
      </c>
      <c r="W833" s="149">
        <f t="shared" si="51"/>
        <v>5.99</v>
      </c>
      <c r="X833" s="152">
        <f t="shared" si="50"/>
        <v>0.41930000000000001</v>
      </c>
      <c r="Y833" s="150">
        <f t="shared" si="49"/>
        <v>1.01</v>
      </c>
      <c r="Z833" s="152"/>
      <c r="AC833" s="154"/>
      <c r="AD833" s="154"/>
      <c r="AE833" s="154"/>
      <c r="AF833" s="154"/>
    </row>
    <row r="834" spans="1:32" x14ac:dyDescent="0.25">
      <c r="A834" s="196">
        <v>692</v>
      </c>
      <c r="B834" s="196" t="s">
        <v>2578</v>
      </c>
      <c r="C834" s="196" t="s">
        <v>2579</v>
      </c>
      <c r="D834" s="196" t="s">
        <v>1912</v>
      </c>
      <c r="F834" s="196">
        <v>1990</v>
      </c>
      <c r="H834" s="196" t="s">
        <v>1878</v>
      </c>
      <c r="I834" s="184" t="s">
        <v>1879</v>
      </c>
      <c r="J834" s="196" t="s">
        <v>3303</v>
      </c>
      <c r="K834" s="196" t="s">
        <v>1881</v>
      </c>
      <c r="L834" s="184" t="s">
        <v>2581</v>
      </c>
      <c r="M834" s="196">
        <v>320</v>
      </c>
      <c r="O834" s="196" t="s">
        <v>4403</v>
      </c>
      <c r="P834" s="17">
        <v>283</v>
      </c>
      <c r="Q834" s="175">
        <f t="shared" si="48"/>
        <v>1.7175</v>
      </c>
      <c r="R834" s="199">
        <v>0.25</v>
      </c>
      <c r="T834" s="149"/>
      <c r="U834" s="149">
        <v>1.2</v>
      </c>
      <c r="V834" s="149">
        <v>0.25</v>
      </c>
      <c r="W834" s="149">
        <f t="shared" si="51"/>
        <v>0.25</v>
      </c>
      <c r="X834" s="152">
        <f t="shared" si="50"/>
        <v>1.7500000000000002E-2</v>
      </c>
      <c r="Y834" s="150">
        <f t="shared" si="49"/>
        <v>1.01</v>
      </c>
      <c r="Z834" s="152"/>
      <c r="AC834" s="154"/>
      <c r="AD834" s="154"/>
      <c r="AE834" s="154"/>
      <c r="AF834" s="154"/>
    </row>
    <row r="835" spans="1:32" x14ac:dyDescent="0.25">
      <c r="A835" s="196">
        <v>1395</v>
      </c>
      <c r="B835" s="196" t="s">
        <v>4470</v>
      </c>
      <c r="C835" s="196" t="s">
        <v>4471</v>
      </c>
      <c r="D835" s="196" t="s">
        <v>2309</v>
      </c>
      <c r="E835" s="196" t="s">
        <v>4472</v>
      </c>
      <c r="F835" s="196">
        <v>2011</v>
      </c>
      <c r="H835" s="196" t="s">
        <v>1878</v>
      </c>
      <c r="I835" s="184" t="s">
        <v>1879</v>
      </c>
      <c r="J835" s="196" t="s">
        <v>4198</v>
      </c>
      <c r="K835" s="196" t="s">
        <v>1881</v>
      </c>
      <c r="L835" s="184" t="s">
        <v>4473</v>
      </c>
      <c r="M835" s="196">
        <v>288</v>
      </c>
      <c r="O835" s="196" t="s">
        <v>4404</v>
      </c>
      <c r="P835" s="17">
        <v>480</v>
      </c>
      <c r="Q835" s="175">
        <f t="shared" si="48"/>
        <v>1.8673</v>
      </c>
      <c r="R835" s="199">
        <v>0.39</v>
      </c>
      <c r="T835" s="149"/>
      <c r="U835" s="149">
        <v>1.2</v>
      </c>
      <c r="V835" s="151">
        <v>0.25</v>
      </c>
      <c r="W835" s="149">
        <f t="shared" si="51"/>
        <v>0.39</v>
      </c>
      <c r="X835" s="152">
        <f t="shared" si="50"/>
        <v>2.7300000000000001E-2</v>
      </c>
      <c r="Y835" s="150">
        <f t="shared" si="49"/>
        <v>1.01</v>
      </c>
      <c r="Z835" s="152"/>
      <c r="AC835" s="154"/>
      <c r="AD835" s="154"/>
      <c r="AE835" s="154"/>
      <c r="AF835" s="154"/>
    </row>
    <row r="836" spans="1:32" x14ac:dyDescent="0.25">
      <c r="A836" s="196">
        <v>632</v>
      </c>
      <c r="B836" s="196" t="s">
        <v>4474</v>
      </c>
      <c r="C836" s="196" t="s">
        <v>4475</v>
      </c>
      <c r="D836" s="196" t="s">
        <v>4476</v>
      </c>
      <c r="E836" s="196" t="s">
        <v>4477</v>
      </c>
      <c r="F836" s="196">
        <v>1995</v>
      </c>
      <c r="H836" s="196" t="s">
        <v>2734</v>
      </c>
      <c r="I836" s="184" t="s">
        <v>1879</v>
      </c>
      <c r="K836" s="196" t="s">
        <v>1881</v>
      </c>
      <c r="L836" s="184" t="s">
        <v>4478</v>
      </c>
      <c r="M836" s="196">
        <v>578</v>
      </c>
      <c r="O836" s="196" t="s">
        <v>4405</v>
      </c>
      <c r="P836" s="17">
        <v>717</v>
      </c>
      <c r="Q836" s="175">
        <f t="shared" si="48"/>
        <v>4.0792999999999999</v>
      </c>
      <c r="R836" s="199">
        <v>1.99</v>
      </c>
      <c r="T836" s="149"/>
      <c r="U836" s="149">
        <v>1.7</v>
      </c>
      <c r="V836" s="149">
        <v>0.25</v>
      </c>
      <c r="W836" s="149">
        <f t="shared" si="51"/>
        <v>1.99</v>
      </c>
      <c r="X836" s="152">
        <f t="shared" si="50"/>
        <v>0.13930000000000001</v>
      </c>
      <c r="Y836" s="150">
        <f t="shared" si="49"/>
        <v>1.01</v>
      </c>
      <c r="Z836" s="152"/>
      <c r="AC836" s="154"/>
      <c r="AD836" s="154"/>
      <c r="AE836" s="154"/>
      <c r="AF836" s="154"/>
    </row>
    <row r="837" spans="1:32" x14ac:dyDescent="0.25">
      <c r="A837" s="196">
        <v>2010</v>
      </c>
      <c r="B837" s="196" t="s">
        <v>4479</v>
      </c>
      <c r="C837" s="196" t="s">
        <v>4480</v>
      </c>
      <c r="D837" s="196" t="s">
        <v>4481</v>
      </c>
      <c r="F837" s="196">
        <v>1995</v>
      </c>
      <c r="H837" s="196" t="s">
        <v>2734</v>
      </c>
      <c r="I837" s="184" t="s">
        <v>1914</v>
      </c>
      <c r="K837" s="196" t="s">
        <v>2025</v>
      </c>
      <c r="L837" s="184" t="s">
        <v>4482</v>
      </c>
      <c r="M837" s="196">
        <v>354</v>
      </c>
      <c r="O837" s="196" t="s">
        <v>4406</v>
      </c>
      <c r="P837" s="17">
        <v>583</v>
      </c>
      <c r="Q837" s="175">
        <f t="shared" si="48"/>
        <v>5.6843000000000004</v>
      </c>
      <c r="R837" s="199">
        <v>3.49</v>
      </c>
      <c r="T837" s="149"/>
      <c r="U837" s="149">
        <v>1.7</v>
      </c>
      <c r="V837" s="151">
        <v>0.25</v>
      </c>
      <c r="W837" s="149">
        <f t="shared" si="51"/>
        <v>3.49</v>
      </c>
      <c r="X837" s="152">
        <f t="shared" si="50"/>
        <v>0.24430000000000002</v>
      </c>
      <c r="Y837" s="150">
        <f t="shared" si="49"/>
        <v>1.01</v>
      </c>
      <c r="Z837" s="152"/>
      <c r="AC837" s="154"/>
      <c r="AD837" s="154"/>
      <c r="AE837" s="154"/>
      <c r="AF837" s="154"/>
    </row>
    <row r="838" spans="1:32" x14ac:dyDescent="0.25">
      <c r="A838" s="196">
        <v>1809</v>
      </c>
      <c r="B838" s="196" t="s">
        <v>2828</v>
      </c>
      <c r="C838" s="196" t="s">
        <v>2829</v>
      </c>
      <c r="D838" s="196" t="s">
        <v>2822</v>
      </c>
      <c r="F838" s="196">
        <v>2008</v>
      </c>
      <c r="H838" s="196" t="s">
        <v>1878</v>
      </c>
      <c r="I838" s="184" t="s">
        <v>1879</v>
      </c>
      <c r="K838" s="196" t="s">
        <v>1881</v>
      </c>
      <c r="L838" s="184" t="s">
        <v>4483</v>
      </c>
      <c r="M838" s="196">
        <v>176</v>
      </c>
      <c r="O838" s="196" t="s">
        <v>4407</v>
      </c>
      <c r="P838" s="17">
        <v>261</v>
      </c>
      <c r="Q838" s="175">
        <f t="shared" si="48"/>
        <v>2.2953000000000001</v>
      </c>
      <c r="R838" s="199">
        <v>0.79</v>
      </c>
      <c r="T838" s="149"/>
      <c r="U838" s="149">
        <v>1.2</v>
      </c>
      <c r="V838" s="149">
        <v>0.25</v>
      </c>
      <c r="W838" s="149">
        <f t="shared" si="51"/>
        <v>0.79</v>
      </c>
      <c r="X838" s="152">
        <f t="shared" si="50"/>
        <v>5.5300000000000002E-2</v>
      </c>
      <c r="Y838" s="150">
        <f t="shared" si="49"/>
        <v>1.01</v>
      </c>
      <c r="Z838" s="152"/>
      <c r="AC838" s="154"/>
      <c r="AD838" s="154"/>
      <c r="AE838" s="154"/>
      <c r="AF838" s="154"/>
    </row>
    <row r="839" spans="1:32" x14ac:dyDescent="0.25">
      <c r="A839" s="196">
        <v>2571</v>
      </c>
      <c r="B839" s="196" t="s">
        <v>3517</v>
      </c>
      <c r="C839" s="196" t="s">
        <v>4484</v>
      </c>
      <c r="D839" s="196" t="s">
        <v>2644</v>
      </c>
      <c r="F839" s="196">
        <v>1993</v>
      </c>
      <c r="H839" s="196" t="s">
        <v>1878</v>
      </c>
      <c r="I839" s="184" t="s">
        <v>1879</v>
      </c>
      <c r="K839" s="196" t="s">
        <v>1881</v>
      </c>
      <c r="L839" s="184" t="s">
        <v>4485</v>
      </c>
      <c r="M839" s="196">
        <v>272</v>
      </c>
      <c r="O839" s="196" t="s">
        <v>4408</v>
      </c>
      <c r="P839" s="17">
        <v>236</v>
      </c>
      <c r="Q839" s="175">
        <f t="shared" si="48"/>
        <v>1.7175</v>
      </c>
      <c r="R839" s="199">
        <v>0.25</v>
      </c>
      <c r="T839" s="149"/>
      <c r="U839" s="149">
        <v>1.2</v>
      </c>
      <c r="V839" s="151">
        <v>0.25</v>
      </c>
      <c r="W839" s="149">
        <f t="shared" si="51"/>
        <v>0.25</v>
      </c>
      <c r="X839" s="152">
        <f t="shared" si="50"/>
        <v>1.7500000000000002E-2</v>
      </c>
      <c r="Y839" s="150">
        <f t="shared" si="49"/>
        <v>1.01</v>
      </c>
      <c r="Z839" s="152"/>
      <c r="AC839" s="154"/>
      <c r="AD839" s="154"/>
      <c r="AE839" s="154"/>
      <c r="AF839" s="154"/>
    </row>
    <row r="840" spans="1:32" x14ac:dyDescent="0.25">
      <c r="Y840" s="150">
        <f t="shared" si="49"/>
        <v>1.01</v>
      </c>
    </row>
    <row r="841" spans="1:32" x14ac:dyDescent="0.25">
      <c r="A841" s="196">
        <v>771</v>
      </c>
      <c r="B841" s="196" t="s">
        <v>4487</v>
      </c>
      <c r="C841" s="196" t="s">
        <v>4488</v>
      </c>
      <c r="D841" s="196" t="s">
        <v>4489</v>
      </c>
      <c r="F841" s="196">
        <v>2002</v>
      </c>
      <c r="H841" s="196" t="s">
        <v>1878</v>
      </c>
      <c r="I841" s="184" t="s">
        <v>1879</v>
      </c>
      <c r="J841" s="182" t="s">
        <v>4198</v>
      </c>
      <c r="K841" s="196" t="s">
        <v>1881</v>
      </c>
      <c r="L841" s="184" t="s">
        <v>4490</v>
      </c>
      <c r="M841" s="196">
        <v>136</v>
      </c>
      <c r="O841" s="196" t="s">
        <v>4410</v>
      </c>
      <c r="P841" s="17">
        <v>199</v>
      </c>
      <c r="Q841" s="175">
        <f t="shared" si="48"/>
        <v>2.8303000000000003</v>
      </c>
      <c r="R841" s="199">
        <v>1.29</v>
      </c>
      <c r="T841" s="149"/>
      <c r="U841" s="149">
        <v>1.2</v>
      </c>
      <c r="V841" s="151">
        <v>0.25</v>
      </c>
      <c r="W841" s="149">
        <f t="shared" si="51"/>
        <v>1.29</v>
      </c>
      <c r="X841" s="152">
        <f t="shared" si="50"/>
        <v>9.0300000000000005E-2</v>
      </c>
      <c r="Y841" s="150">
        <f t="shared" si="49"/>
        <v>1.01</v>
      </c>
      <c r="Z841" s="152"/>
      <c r="AC841" s="154"/>
      <c r="AD841" s="154"/>
      <c r="AE841" s="154"/>
      <c r="AF841" s="154"/>
    </row>
    <row r="842" spans="1:32" x14ac:dyDescent="0.25">
      <c r="A842" s="196">
        <v>689</v>
      </c>
      <c r="B842" s="196" t="s">
        <v>4348</v>
      </c>
      <c r="C842" s="196" t="s">
        <v>4491</v>
      </c>
      <c r="D842" s="196" t="s">
        <v>3022</v>
      </c>
      <c r="F842" s="196">
        <v>2001</v>
      </c>
      <c r="H842" s="196" t="s">
        <v>2734</v>
      </c>
      <c r="I842" s="184" t="s">
        <v>1879</v>
      </c>
      <c r="J842" s="182" t="s">
        <v>4198</v>
      </c>
      <c r="K842" s="196" t="s">
        <v>1881</v>
      </c>
      <c r="L842" s="184" t="s">
        <v>4492</v>
      </c>
      <c r="M842" s="196">
        <v>470</v>
      </c>
      <c r="O842" s="196" t="s">
        <v>4411</v>
      </c>
      <c r="P842" s="17">
        <v>667</v>
      </c>
      <c r="Q842" s="175">
        <f t="shared" si="48"/>
        <v>2.4742999999999999</v>
      </c>
      <c r="R842" s="199">
        <v>0.49</v>
      </c>
      <c r="T842" s="149"/>
      <c r="U842" s="149">
        <v>1.7</v>
      </c>
      <c r="V842" s="149">
        <v>0.25</v>
      </c>
      <c r="W842" s="149">
        <f t="shared" si="51"/>
        <v>0.49</v>
      </c>
      <c r="X842" s="152">
        <f t="shared" si="50"/>
        <v>3.4299999999999997E-2</v>
      </c>
      <c r="Y842" s="150">
        <f t="shared" si="49"/>
        <v>1.01</v>
      </c>
      <c r="Z842" s="152"/>
      <c r="AC842" s="154"/>
      <c r="AD842" s="154"/>
      <c r="AE842" s="154"/>
      <c r="AF842" s="154"/>
    </row>
    <row r="843" spans="1:32" x14ac:dyDescent="0.25">
      <c r="A843" s="196">
        <v>689</v>
      </c>
      <c r="B843" s="196" t="s">
        <v>4348</v>
      </c>
      <c r="C843" s="196" t="s">
        <v>4493</v>
      </c>
      <c r="D843" s="196" t="s">
        <v>3022</v>
      </c>
      <c r="F843" s="196">
        <v>2003</v>
      </c>
      <c r="H843" s="196" t="s">
        <v>2734</v>
      </c>
      <c r="I843" s="184" t="s">
        <v>1879</v>
      </c>
      <c r="J843" s="182" t="s">
        <v>2336</v>
      </c>
      <c r="K843" s="196" t="s">
        <v>1881</v>
      </c>
      <c r="L843" s="184" t="s">
        <v>4494</v>
      </c>
      <c r="M843" s="196">
        <v>866</v>
      </c>
      <c r="O843" s="196" t="s">
        <v>4412</v>
      </c>
      <c r="P843" s="17">
        <v>1012</v>
      </c>
      <c r="Q843" s="175">
        <f t="shared" si="48"/>
        <v>4.3075000000000001</v>
      </c>
      <c r="R843" s="199">
        <v>0.25</v>
      </c>
      <c r="T843" s="149"/>
      <c r="U843" s="149">
        <v>3.79</v>
      </c>
      <c r="V843" s="151">
        <v>0.25</v>
      </c>
      <c r="W843" s="149">
        <f t="shared" si="51"/>
        <v>0.25</v>
      </c>
      <c r="X843" s="152">
        <f t="shared" si="50"/>
        <v>1.7500000000000002E-2</v>
      </c>
      <c r="Y843" s="150">
        <f t="shared" si="49"/>
        <v>1.01</v>
      </c>
      <c r="Z843" s="152"/>
      <c r="AC843" s="154"/>
      <c r="AD843" s="154"/>
      <c r="AE843" s="154"/>
      <c r="AF843" s="154"/>
    </row>
    <row r="844" spans="1:32" x14ac:dyDescent="0.25">
      <c r="A844" s="196">
        <v>692</v>
      </c>
      <c r="B844" s="196" t="s">
        <v>3330</v>
      </c>
      <c r="C844" s="196" t="s">
        <v>3331</v>
      </c>
      <c r="D844" s="196" t="s">
        <v>1912</v>
      </c>
      <c r="F844" s="196">
        <v>1995</v>
      </c>
      <c r="H844" s="196" t="s">
        <v>1878</v>
      </c>
      <c r="I844" s="184" t="s">
        <v>1879</v>
      </c>
      <c r="K844" s="196" t="s">
        <v>1881</v>
      </c>
      <c r="L844" s="184" t="s">
        <v>4495</v>
      </c>
      <c r="M844" s="196">
        <v>224</v>
      </c>
      <c r="O844" s="196" t="s">
        <v>4413</v>
      </c>
      <c r="P844" s="17">
        <v>198</v>
      </c>
      <c r="Q844" s="175">
        <f t="shared" si="48"/>
        <v>1.7175</v>
      </c>
      <c r="R844" s="199">
        <v>0.25</v>
      </c>
      <c r="T844" s="149"/>
      <c r="U844" s="149">
        <v>1.2</v>
      </c>
      <c r="V844" s="149">
        <v>0.25</v>
      </c>
      <c r="W844" s="149">
        <f t="shared" si="51"/>
        <v>0.25</v>
      </c>
      <c r="X844" s="152">
        <f t="shared" si="50"/>
        <v>1.7500000000000002E-2</v>
      </c>
      <c r="Y844" s="150">
        <f t="shared" si="49"/>
        <v>1.01</v>
      </c>
      <c r="Z844" s="152"/>
      <c r="AC844" s="154"/>
      <c r="AD844" s="154"/>
      <c r="AE844" s="154"/>
      <c r="AF844" s="154"/>
    </row>
    <row r="845" spans="1:32" x14ac:dyDescent="0.25">
      <c r="A845" s="196">
        <v>1386</v>
      </c>
      <c r="B845" s="196" t="s">
        <v>4496</v>
      </c>
      <c r="C845" s="196" t="s">
        <v>4497</v>
      </c>
      <c r="D845" s="196" t="s">
        <v>2300</v>
      </c>
      <c r="F845" s="196">
        <v>2002</v>
      </c>
      <c r="H845" s="196" t="s">
        <v>1878</v>
      </c>
      <c r="I845" s="184" t="s">
        <v>1879</v>
      </c>
      <c r="K845" s="196" t="s">
        <v>1881</v>
      </c>
      <c r="L845" s="184" t="s">
        <v>4498</v>
      </c>
      <c r="M845" s="196">
        <v>222</v>
      </c>
      <c r="O845" s="196" t="s">
        <v>4414</v>
      </c>
      <c r="P845" s="17">
        <v>252</v>
      </c>
      <c r="Q845" s="175">
        <f t="shared" si="48"/>
        <v>2.2953000000000001</v>
      </c>
      <c r="R845" s="199">
        <v>0.79</v>
      </c>
      <c r="T845" s="149"/>
      <c r="U845" s="149">
        <v>1.2</v>
      </c>
      <c r="V845" s="151">
        <v>0.25</v>
      </c>
      <c r="W845" s="149">
        <f t="shared" si="51"/>
        <v>0.79</v>
      </c>
      <c r="X845" s="152">
        <f t="shared" si="50"/>
        <v>5.5300000000000002E-2</v>
      </c>
      <c r="Y845" s="150">
        <f t="shared" si="49"/>
        <v>1.01</v>
      </c>
      <c r="Z845" s="152"/>
      <c r="AC845" s="154"/>
      <c r="AD845" s="154"/>
      <c r="AE845" s="154"/>
      <c r="AF845" s="154"/>
    </row>
    <row r="846" spans="1:32" x14ac:dyDescent="0.25">
      <c r="A846" s="196">
        <v>669</v>
      </c>
      <c r="C846" s="196" t="s">
        <v>4499</v>
      </c>
      <c r="D846" s="196" t="s">
        <v>4500</v>
      </c>
      <c r="E846" s="182" t="s">
        <v>3053</v>
      </c>
      <c r="F846" s="196">
        <v>2017</v>
      </c>
      <c r="H846" s="196" t="s">
        <v>1878</v>
      </c>
      <c r="I846" s="184" t="s">
        <v>1879</v>
      </c>
      <c r="J846" s="196" t="s">
        <v>2237</v>
      </c>
      <c r="K846" s="196" t="s">
        <v>1881</v>
      </c>
      <c r="L846" s="184" t="s">
        <v>4501</v>
      </c>
      <c r="O846" s="196" t="s">
        <v>4415</v>
      </c>
      <c r="P846" s="17">
        <v>351</v>
      </c>
      <c r="Q846" s="175">
        <f t="shared" si="48"/>
        <v>3.3653000000000004</v>
      </c>
      <c r="R846" s="199">
        <v>1.79</v>
      </c>
      <c r="T846" s="149"/>
      <c r="U846" s="149">
        <v>1.2</v>
      </c>
      <c r="V846" s="149">
        <v>0.25</v>
      </c>
      <c r="W846" s="149">
        <f t="shared" si="51"/>
        <v>1.79</v>
      </c>
      <c r="X846" s="152">
        <f t="shared" si="50"/>
        <v>0.12529999999999999</v>
      </c>
      <c r="Y846" s="150">
        <f t="shared" si="49"/>
        <v>1.01</v>
      </c>
      <c r="Z846" s="152"/>
      <c r="AC846" s="154"/>
      <c r="AD846" s="154"/>
      <c r="AE846" s="154"/>
      <c r="AF846" s="154"/>
    </row>
    <row r="847" spans="1:32" x14ac:dyDescent="0.25">
      <c r="A847" s="196">
        <v>796</v>
      </c>
      <c r="B847" s="196" t="s">
        <v>4502</v>
      </c>
      <c r="C847" s="196" t="s">
        <v>4503</v>
      </c>
      <c r="D847" s="196" t="s">
        <v>1920</v>
      </c>
      <c r="E847" s="196" t="s">
        <v>1913</v>
      </c>
      <c r="F847" s="196">
        <v>2010</v>
      </c>
      <c r="H847" s="196" t="s">
        <v>1878</v>
      </c>
      <c r="I847" s="184" t="s">
        <v>1879</v>
      </c>
      <c r="J847" s="143" t="s">
        <v>3854</v>
      </c>
      <c r="K847" s="196" t="s">
        <v>1881</v>
      </c>
      <c r="L847" s="184" t="s">
        <v>4504</v>
      </c>
      <c r="M847" s="196">
        <v>240</v>
      </c>
      <c r="O847" s="196" t="s">
        <v>4416</v>
      </c>
      <c r="P847" s="17">
        <v>273</v>
      </c>
      <c r="Q847" s="175">
        <f t="shared" si="48"/>
        <v>1.8673</v>
      </c>
      <c r="R847" s="199">
        <v>0.39</v>
      </c>
      <c r="T847" s="149"/>
      <c r="U847" s="149">
        <v>1.2</v>
      </c>
      <c r="V847" s="151">
        <v>0.25</v>
      </c>
      <c r="W847" s="149">
        <f t="shared" si="51"/>
        <v>0.39</v>
      </c>
      <c r="X847" s="152">
        <f t="shared" si="50"/>
        <v>2.7300000000000001E-2</v>
      </c>
      <c r="Y847" s="150">
        <f t="shared" si="49"/>
        <v>1.01</v>
      </c>
      <c r="Z847" s="152"/>
      <c r="AC847" s="154"/>
      <c r="AD847" s="154"/>
      <c r="AE847" s="154"/>
      <c r="AF847" s="154"/>
    </row>
    <row r="848" spans="1:32" x14ac:dyDescent="0.25">
      <c r="A848" s="196">
        <v>1386</v>
      </c>
      <c r="B848" s="196" t="s">
        <v>4505</v>
      </c>
      <c r="C848" s="196" t="s">
        <v>4506</v>
      </c>
      <c r="D848" s="196" t="s">
        <v>2232</v>
      </c>
      <c r="E848" s="196" t="s">
        <v>1877</v>
      </c>
      <c r="F848" s="196">
        <v>1999</v>
      </c>
      <c r="H848" s="196" t="s">
        <v>1878</v>
      </c>
      <c r="I848" s="184" t="s">
        <v>1879</v>
      </c>
      <c r="J848" s="143" t="s">
        <v>4507</v>
      </c>
      <c r="K848" s="196" t="s">
        <v>1881</v>
      </c>
      <c r="L848" s="184" t="s">
        <v>4508</v>
      </c>
      <c r="M848" s="196">
        <v>384</v>
      </c>
      <c r="O848" s="196" t="s">
        <v>4417</v>
      </c>
      <c r="P848" s="17">
        <v>377</v>
      </c>
      <c r="Q848" s="175">
        <f t="shared" si="48"/>
        <v>6.2543000000000006</v>
      </c>
      <c r="R848" s="199">
        <v>4.49</v>
      </c>
      <c r="T848" s="149"/>
      <c r="U848" s="149">
        <v>1.2</v>
      </c>
      <c r="V848" s="149">
        <v>0.25</v>
      </c>
      <c r="W848" s="149">
        <f t="shared" si="51"/>
        <v>4.49</v>
      </c>
      <c r="X848" s="152">
        <f t="shared" si="50"/>
        <v>0.31430000000000002</v>
      </c>
      <c r="Y848" s="150">
        <f t="shared" si="49"/>
        <v>1.01</v>
      </c>
      <c r="Z848" s="152"/>
      <c r="AC848" s="154"/>
      <c r="AD848" s="154"/>
      <c r="AE848" s="154"/>
      <c r="AF848" s="154"/>
    </row>
    <row r="849" spans="1:32" x14ac:dyDescent="0.25">
      <c r="A849" s="196">
        <v>1395</v>
      </c>
      <c r="B849" s="196" t="s">
        <v>4512</v>
      </c>
      <c r="C849" s="196" t="s">
        <v>4513</v>
      </c>
      <c r="D849" s="196" t="s">
        <v>2609</v>
      </c>
      <c r="E849" s="196" t="s">
        <v>1921</v>
      </c>
      <c r="F849" s="196">
        <v>2006</v>
      </c>
      <c r="H849" s="196" t="s">
        <v>1878</v>
      </c>
      <c r="I849" s="184" t="s">
        <v>1879</v>
      </c>
      <c r="J849" s="143" t="s">
        <v>3854</v>
      </c>
      <c r="K849" s="196" t="s">
        <v>1881</v>
      </c>
      <c r="L849" s="184" t="s">
        <v>4514</v>
      </c>
      <c r="M849" s="196">
        <v>400</v>
      </c>
      <c r="O849" s="196" t="s">
        <v>4418</v>
      </c>
      <c r="P849" s="17">
        <v>392</v>
      </c>
      <c r="Q849" s="175">
        <f t="shared" si="48"/>
        <v>1.7175</v>
      </c>
      <c r="R849" s="199">
        <v>0.25</v>
      </c>
      <c r="T849" s="149"/>
      <c r="U849" s="149">
        <v>1.2</v>
      </c>
      <c r="V849" s="151">
        <v>0.25</v>
      </c>
      <c r="W849" s="149">
        <f t="shared" si="51"/>
        <v>0.25</v>
      </c>
      <c r="X849" s="152">
        <f t="shared" si="50"/>
        <v>1.7500000000000002E-2</v>
      </c>
      <c r="Y849" s="150">
        <f t="shared" si="49"/>
        <v>1.01</v>
      </c>
      <c r="Z849" s="152"/>
      <c r="AC849" s="154"/>
      <c r="AD849" s="154"/>
      <c r="AE849" s="154"/>
      <c r="AF849" s="154"/>
    </row>
    <row r="850" spans="1:32" x14ac:dyDescent="0.25">
      <c r="A850" s="196">
        <v>2522</v>
      </c>
      <c r="B850" s="196" t="s">
        <v>4519</v>
      </c>
      <c r="C850" s="196" t="s">
        <v>4520</v>
      </c>
      <c r="D850" s="196" t="s">
        <v>4521</v>
      </c>
      <c r="H850" s="196" t="s">
        <v>1878</v>
      </c>
      <c r="I850" s="184" t="s">
        <v>1879</v>
      </c>
      <c r="J850" s="143" t="s">
        <v>3854</v>
      </c>
      <c r="K850" s="196" t="s">
        <v>1881</v>
      </c>
      <c r="M850" s="196">
        <v>416</v>
      </c>
      <c r="O850" s="196" t="s">
        <v>4509</v>
      </c>
      <c r="P850" s="17">
        <v>371</v>
      </c>
      <c r="Q850" s="175">
        <f t="shared" si="48"/>
        <v>1.7175</v>
      </c>
      <c r="R850" s="199">
        <v>0.25</v>
      </c>
      <c r="T850" s="149"/>
      <c r="U850" s="149">
        <v>1.2</v>
      </c>
      <c r="V850" s="149">
        <v>0.25</v>
      </c>
      <c r="W850" s="149">
        <f t="shared" si="51"/>
        <v>0.25</v>
      </c>
      <c r="X850" s="152">
        <f t="shared" si="50"/>
        <v>1.7500000000000002E-2</v>
      </c>
      <c r="Y850" s="150">
        <f t="shared" si="49"/>
        <v>1.01</v>
      </c>
      <c r="Z850" s="152"/>
      <c r="AC850" s="154"/>
      <c r="AD850" s="154"/>
      <c r="AE850" s="154"/>
      <c r="AF850" s="154"/>
    </row>
    <row r="851" spans="1:32" x14ac:dyDescent="0.25">
      <c r="A851" s="196">
        <v>2522</v>
      </c>
      <c r="B851" s="196" t="s">
        <v>4522</v>
      </c>
      <c r="C851" s="196" t="s">
        <v>4523</v>
      </c>
      <c r="D851" s="196" t="s">
        <v>4524</v>
      </c>
      <c r="F851" s="196">
        <v>1986</v>
      </c>
      <c r="H851" s="196" t="s">
        <v>1878</v>
      </c>
      <c r="I851" s="184" t="s">
        <v>1879</v>
      </c>
      <c r="J851" s="143" t="s">
        <v>3854</v>
      </c>
      <c r="K851" s="196" t="s">
        <v>1881</v>
      </c>
      <c r="M851" s="196">
        <v>336</v>
      </c>
      <c r="O851" s="196" t="s">
        <v>4510</v>
      </c>
      <c r="P851" s="17">
        <v>301</v>
      </c>
      <c r="Q851" s="175">
        <f t="shared" si="48"/>
        <v>2.1882999999999995</v>
      </c>
      <c r="R851" s="199">
        <v>0.69</v>
      </c>
      <c r="T851" s="149"/>
      <c r="U851" s="149">
        <v>1.2</v>
      </c>
      <c r="V851" s="151">
        <v>0.25</v>
      </c>
      <c r="W851" s="149">
        <f t="shared" si="51"/>
        <v>0.69</v>
      </c>
      <c r="X851" s="152">
        <f t="shared" si="50"/>
        <v>4.8299999999999996E-2</v>
      </c>
      <c r="Y851" s="150">
        <f t="shared" si="49"/>
        <v>1.01</v>
      </c>
      <c r="Z851" s="152"/>
      <c r="AC851" s="154"/>
      <c r="AD851" s="154"/>
      <c r="AE851" s="154"/>
      <c r="AF851" s="154"/>
    </row>
    <row r="852" spans="1:32" x14ac:dyDescent="0.25">
      <c r="A852" s="196">
        <v>692</v>
      </c>
      <c r="B852" s="196" t="s">
        <v>2877</v>
      </c>
      <c r="C852" s="196" t="s">
        <v>4525</v>
      </c>
      <c r="D852" s="196" t="s">
        <v>2609</v>
      </c>
      <c r="E852" s="196" t="s">
        <v>2412</v>
      </c>
      <c r="F852" s="196">
        <v>2010</v>
      </c>
      <c r="H852" s="196" t="s">
        <v>1878</v>
      </c>
      <c r="I852" s="184" t="s">
        <v>1879</v>
      </c>
      <c r="K852" s="196" t="s">
        <v>1881</v>
      </c>
      <c r="L852" s="184" t="s">
        <v>4526</v>
      </c>
      <c r="M852" s="196">
        <v>464</v>
      </c>
      <c r="O852" s="196" t="s">
        <v>4511</v>
      </c>
      <c r="P852" s="17">
        <v>403</v>
      </c>
      <c r="Q852" s="175">
        <f t="shared" si="48"/>
        <v>1.7260599999999999</v>
      </c>
      <c r="R852" s="199">
        <v>0.25800000000000001</v>
      </c>
      <c r="T852" s="149"/>
      <c r="U852" s="149">
        <v>1.2</v>
      </c>
      <c r="V852" s="149">
        <v>0.25</v>
      </c>
      <c r="W852" s="149">
        <f t="shared" si="51"/>
        <v>0.25800000000000001</v>
      </c>
      <c r="X852" s="152">
        <f t="shared" si="50"/>
        <v>1.8060000000000003E-2</v>
      </c>
      <c r="Y852" s="150">
        <f t="shared" si="49"/>
        <v>1.01</v>
      </c>
      <c r="Z852" s="152"/>
      <c r="AC852" s="154"/>
      <c r="AD852" s="154"/>
      <c r="AE852" s="154"/>
      <c r="AF852" s="154"/>
    </row>
    <row r="853" spans="1:32" x14ac:dyDescent="0.25">
      <c r="A853" s="196">
        <v>1875</v>
      </c>
      <c r="C853" s="196" t="s">
        <v>4532</v>
      </c>
      <c r="D853" s="196" t="s">
        <v>3212</v>
      </c>
      <c r="F853" s="196">
        <v>2006</v>
      </c>
      <c r="H853" s="196" t="s">
        <v>2734</v>
      </c>
      <c r="I853" s="184" t="s">
        <v>1879</v>
      </c>
      <c r="J853" s="196" t="s">
        <v>4198</v>
      </c>
      <c r="K853" s="196" t="s">
        <v>1881</v>
      </c>
      <c r="L853" s="184" t="s">
        <v>4533</v>
      </c>
      <c r="M853" s="196">
        <v>306</v>
      </c>
      <c r="O853" s="196" t="s">
        <v>4527</v>
      </c>
      <c r="P853" s="17">
        <v>341</v>
      </c>
      <c r="Q853" s="175">
        <f t="shared" si="48"/>
        <v>2.7232999999999996</v>
      </c>
      <c r="R853" s="199">
        <v>1.19</v>
      </c>
      <c r="T853" s="149"/>
      <c r="U853" s="149">
        <v>1.2</v>
      </c>
      <c r="V853" s="151">
        <v>0.25</v>
      </c>
      <c r="W853" s="149">
        <f t="shared" si="51"/>
        <v>1.19</v>
      </c>
      <c r="X853" s="152">
        <f t="shared" si="50"/>
        <v>8.3299999999999999E-2</v>
      </c>
      <c r="Y853" s="150">
        <f t="shared" si="49"/>
        <v>1.01</v>
      </c>
      <c r="Z853" s="152"/>
      <c r="AC853" s="154"/>
      <c r="AD853" s="154"/>
      <c r="AE853" s="154"/>
      <c r="AF853" s="154"/>
    </row>
    <row r="854" spans="1:32" x14ac:dyDescent="0.25">
      <c r="A854" s="196">
        <v>796</v>
      </c>
      <c r="B854" s="196" t="s">
        <v>3143</v>
      </c>
      <c r="C854" s="196" t="s">
        <v>4534</v>
      </c>
      <c r="D854" s="196" t="s">
        <v>2244</v>
      </c>
      <c r="F854" s="196">
        <v>2008</v>
      </c>
      <c r="H854" s="196" t="s">
        <v>2734</v>
      </c>
      <c r="I854" s="184" t="s">
        <v>1879</v>
      </c>
      <c r="J854" s="196" t="s">
        <v>4198</v>
      </c>
      <c r="K854" s="196" t="s">
        <v>1881</v>
      </c>
      <c r="L854" s="184" t="s">
        <v>4535</v>
      </c>
      <c r="M854" s="196">
        <v>418</v>
      </c>
      <c r="O854" s="196" t="s">
        <v>4528</v>
      </c>
      <c r="P854" s="17">
        <v>632</v>
      </c>
      <c r="Q854" s="175">
        <f t="shared" si="48"/>
        <v>2.2175000000000002</v>
      </c>
      <c r="R854" s="199">
        <v>0.25</v>
      </c>
      <c r="T854" s="149"/>
      <c r="U854" s="149">
        <v>1.7</v>
      </c>
      <c r="V854" s="149">
        <v>0.25</v>
      </c>
      <c r="W854" s="149">
        <f t="shared" si="51"/>
        <v>0.25</v>
      </c>
      <c r="X854" s="152">
        <f t="shared" si="50"/>
        <v>1.7500000000000002E-2</v>
      </c>
      <c r="Y854" s="150">
        <f t="shared" si="49"/>
        <v>1.01</v>
      </c>
      <c r="Z854" s="152"/>
      <c r="AC854" s="154"/>
      <c r="AD854" s="154"/>
      <c r="AE854" s="154"/>
      <c r="AF854" s="154"/>
    </row>
    <row r="855" spans="1:32" x14ac:dyDescent="0.25">
      <c r="A855" s="196">
        <v>689</v>
      </c>
      <c r="B855" s="196" t="s">
        <v>2470</v>
      </c>
      <c r="C855" s="196" t="s">
        <v>4536</v>
      </c>
      <c r="D855" s="196" t="s">
        <v>2386</v>
      </c>
      <c r="F855" s="196">
        <v>2004</v>
      </c>
      <c r="H855" s="196" t="s">
        <v>2734</v>
      </c>
      <c r="I855" s="184" t="s">
        <v>1879</v>
      </c>
      <c r="J855" s="196" t="s">
        <v>4198</v>
      </c>
      <c r="K855" s="196" t="s">
        <v>1881</v>
      </c>
      <c r="L855" s="184" t="s">
        <v>4537</v>
      </c>
      <c r="M855" s="196">
        <v>768</v>
      </c>
      <c r="O855" s="196" t="s">
        <v>4529</v>
      </c>
      <c r="P855" s="17">
        <v>885</v>
      </c>
      <c r="Q855" s="175">
        <f t="shared" si="48"/>
        <v>2.2175000000000002</v>
      </c>
      <c r="R855" s="199">
        <v>0.25</v>
      </c>
      <c r="T855" s="149"/>
      <c r="U855" s="149">
        <v>1.7</v>
      </c>
      <c r="V855" s="151">
        <v>0.25</v>
      </c>
      <c r="W855" s="149">
        <f t="shared" si="51"/>
        <v>0.25</v>
      </c>
      <c r="X855" s="152">
        <f t="shared" si="50"/>
        <v>1.7500000000000002E-2</v>
      </c>
      <c r="Y855" s="150">
        <f t="shared" si="49"/>
        <v>1.01</v>
      </c>
      <c r="Z855" s="152"/>
      <c r="AC855" s="154"/>
      <c r="AD855" s="154"/>
      <c r="AE855" s="154"/>
      <c r="AF855" s="154"/>
    </row>
    <row r="856" spans="1:32" x14ac:dyDescent="0.25">
      <c r="A856" s="196">
        <v>1395</v>
      </c>
      <c r="B856" s="196" t="s">
        <v>4538</v>
      </c>
      <c r="C856" s="196" t="s">
        <v>4539</v>
      </c>
      <c r="D856" s="196" t="s">
        <v>2477</v>
      </c>
      <c r="E856" s="196" t="s">
        <v>1877</v>
      </c>
      <c r="F856" s="196">
        <v>2012</v>
      </c>
      <c r="H856" s="196" t="s">
        <v>1878</v>
      </c>
      <c r="I856" s="184" t="s">
        <v>1879</v>
      </c>
      <c r="K856" s="196" t="s">
        <v>1881</v>
      </c>
      <c r="L856" s="184" t="s">
        <v>4540</v>
      </c>
      <c r="M856" s="196">
        <v>416</v>
      </c>
      <c r="O856" s="196" t="s">
        <v>4530</v>
      </c>
      <c r="P856" s="17">
        <v>569</v>
      </c>
      <c r="Q856" s="175">
        <f t="shared" si="48"/>
        <v>2.8594999999999997</v>
      </c>
      <c r="R856" s="199">
        <v>0.85</v>
      </c>
      <c r="T856" s="149"/>
      <c r="U856" s="149">
        <v>1.7</v>
      </c>
      <c r="V856" s="149">
        <v>0.25</v>
      </c>
      <c r="W856" s="149">
        <f t="shared" si="51"/>
        <v>0.85</v>
      </c>
      <c r="X856" s="152">
        <f t="shared" si="50"/>
        <v>5.9500000000000004E-2</v>
      </c>
      <c r="Y856" s="150">
        <f t="shared" si="49"/>
        <v>1.01</v>
      </c>
      <c r="Z856" s="152"/>
      <c r="AC856" s="154"/>
      <c r="AD856" s="154"/>
      <c r="AE856" s="154"/>
      <c r="AF856" s="154"/>
    </row>
    <row r="857" spans="1:32" x14ac:dyDescent="0.25">
      <c r="A857" s="196">
        <v>1395</v>
      </c>
      <c r="B857" s="196" t="s">
        <v>4541</v>
      </c>
      <c r="C857" s="196" t="s">
        <v>4542</v>
      </c>
      <c r="D857" s="196" t="s">
        <v>1920</v>
      </c>
      <c r="F857" s="196">
        <v>2007</v>
      </c>
      <c r="H857" s="196" t="s">
        <v>1878</v>
      </c>
      <c r="I857" s="184" t="s">
        <v>1879</v>
      </c>
      <c r="K857" s="196" t="s">
        <v>1881</v>
      </c>
      <c r="L857" s="184" t="s">
        <v>4543</v>
      </c>
      <c r="M857" s="196">
        <v>352</v>
      </c>
      <c r="O857" s="196" t="s">
        <v>4531</v>
      </c>
      <c r="P857" s="17">
        <v>371</v>
      </c>
      <c r="Q857" s="175">
        <f t="shared" si="48"/>
        <v>2.3594999999999997</v>
      </c>
      <c r="R857" s="199">
        <v>0.85</v>
      </c>
      <c r="T857" s="149"/>
      <c r="U857" s="149">
        <v>1.2</v>
      </c>
      <c r="V857" s="151">
        <v>0.25</v>
      </c>
      <c r="W857" s="149">
        <f t="shared" si="51"/>
        <v>0.85</v>
      </c>
      <c r="X857" s="152">
        <f t="shared" si="50"/>
        <v>5.9500000000000004E-2</v>
      </c>
      <c r="Y857" s="150">
        <f t="shared" si="49"/>
        <v>1.01</v>
      </c>
      <c r="Z857" s="152"/>
      <c r="AC857" s="154"/>
      <c r="AD857" s="154"/>
      <c r="AE857" s="154"/>
      <c r="AF857" s="154"/>
    </row>
    <row r="858" spans="1:32" x14ac:dyDescent="0.25">
      <c r="A858" s="196">
        <v>632</v>
      </c>
      <c r="B858" s="196" t="s">
        <v>4593</v>
      </c>
      <c r="C858" s="196" t="s">
        <v>4594</v>
      </c>
      <c r="D858" s="196" t="s">
        <v>1920</v>
      </c>
      <c r="F858" s="196">
        <v>2002</v>
      </c>
      <c r="H858" s="196" t="s">
        <v>1878</v>
      </c>
      <c r="I858" s="184" t="s">
        <v>1879</v>
      </c>
      <c r="K858" s="196" t="s">
        <v>1881</v>
      </c>
      <c r="L858" s="184" t="s">
        <v>4595</v>
      </c>
      <c r="M858" s="196">
        <v>832</v>
      </c>
      <c r="O858" s="196" t="s">
        <v>4544</v>
      </c>
      <c r="P858" s="17">
        <v>509</v>
      </c>
      <c r="Q858" s="175">
        <f t="shared" si="48"/>
        <v>2.3672999999999997</v>
      </c>
      <c r="R858" s="199">
        <v>0.39</v>
      </c>
      <c r="T858" s="149"/>
      <c r="U858" s="149">
        <v>1.7</v>
      </c>
      <c r="V858" s="149">
        <v>0.25</v>
      </c>
      <c r="W858" s="149">
        <f t="shared" si="51"/>
        <v>0.39</v>
      </c>
      <c r="X858" s="152">
        <f t="shared" si="50"/>
        <v>2.7300000000000001E-2</v>
      </c>
      <c r="Y858" s="150">
        <f t="shared" si="49"/>
        <v>1.01</v>
      </c>
      <c r="Z858" s="152"/>
      <c r="AC858" s="154"/>
      <c r="AD858" s="154"/>
      <c r="AE858" s="154"/>
      <c r="AF858" s="154"/>
    </row>
    <row r="859" spans="1:32" x14ac:dyDescent="0.25">
      <c r="A859" s="196">
        <v>1231</v>
      </c>
      <c r="B859" s="196" t="s">
        <v>4596</v>
      </c>
      <c r="C859" s="196" t="s">
        <v>4597</v>
      </c>
      <c r="D859" s="196" t="s">
        <v>1920</v>
      </c>
      <c r="F859" s="196">
        <v>2002</v>
      </c>
      <c r="H859" s="196" t="s">
        <v>1878</v>
      </c>
      <c r="I859" s="184" t="s">
        <v>1879</v>
      </c>
      <c r="J859" s="54" t="s">
        <v>3854</v>
      </c>
      <c r="K859" s="196" t="s">
        <v>1881</v>
      </c>
      <c r="L859" s="184" t="s">
        <v>4598</v>
      </c>
      <c r="M859" s="196">
        <v>256</v>
      </c>
      <c r="O859" s="196" t="s">
        <v>4545</v>
      </c>
      <c r="P859" s="17">
        <v>254</v>
      </c>
      <c r="Q859" s="175">
        <f t="shared" si="48"/>
        <v>1.7175</v>
      </c>
      <c r="R859" s="199">
        <v>0.25</v>
      </c>
      <c r="T859" s="149"/>
      <c r="U859" s="149">
        <v>1.2</v>
      </c>
      <c r="V859" s="151">
        <v>0.25</v>
      </c>
      <c r="W859" s="149">
        <f t="shared" si="51"/>
        <v>0.25</v>
      </c>
      <c r="X859" s="152">
        <f t="shared" si="50"/>
        <v>1.7500000000000002E-2</v>
      </c>
      <c r="Y859" s="150">
        <f t="shared" si="49"/>
        <v>1.01</v>
      </c>
      <c r="Z859" s="152"/>
      <c r="AC859" s="154"/>
      <c r="AD859" s="154"/>
      <c r="AE859" s="154"/>
      <c r="AF859" s="154"/>
    </row>
    <row r="860" spans="1:32" x14ac:dyDescent="0.25">
      <c r="A860" s="196">
        <v>632</v>
      </c>
      <c r="B860" s="196" t="s">
        <v>4599</v>
      </c>
      <c r="C860" s="196" t="s">
        <v>4600</v>
      </c>
      <c r="D860" s="196" t="s">
        <v>2257</v>
      </c>
      <c r="F860" s="196">
        <v>2005</v>
      </c>
      <c r="H860" s="196" t="s">
        <v>1878</v>
      </c>
      <c r="I860" s="184" t="s">
        <v>1879</v>
      </c>
      <c r="K860" s="196" t="s">
        <v>1881</v>
      </c>
      <c r="L860" s="184" t="s">
        <v>4601</v>
      </c>
      <c r="M860" s="196">
        <v>574</v>
      </c>
      <c r="O860" s="196" t="s">
        <v>4546</v>
      </c>
      <c r="P860" s="17">
        <v>500</v>
      </c>
      <c r="Q860" s="175">
        <f t="shared" si="48"/>
        <v>0.51749999999999996</v>
      </c>
      <c r="R860" s="199">
        <v>0.25</v>
      </c>
      <c r="T860" s="149"/>
      <c r="U860" s="149"/>
      <c r="V860" s="149">
        <v>0.25</v>
      </c>
      <c r="W860" s="149">
        <f t="shared" si="51"/>
        <v>0.25</v>
      </c>
      <c r="X860" s="152">
        <f t="shared" si="50"/>
        <v>1.7500000000000002E-2</v>
      </c>
      <c r="Y860" s="150">
        <f t="shared" si="49"/>
        <v>1.01</v>
      </c>
      <c r="Z860" s="152"/>
      <c r="AC860" s="154"/>
      <c r="AD860" s="154"/>
      <c r="AE860" s="154"/>
      <c r="AF860" s="154"/>
    </row>
    <row r="861" spans="1:32" x14ac:dyDescent="0.25">
      <c r="A861" s="196">
        <v>1720</v>
      </c>
      <c r="B861" s="196" t="s">
        <v>4602</v>
      </c>
      <c r="C861" s="196" t="s">
        <v>4603</v>
      </c>
      <c r="D861" s="196" t="s">
        <v>2609</v>
      </c>
      <c r="F861" s="196">
        <v>2009</v>
      </c>
      <c r="H861" s="196" t="s">
        <v>1878</v>
      </c>
      <c r="I861" s="184" t="s">
        <v>1879</v>
      </c>
      <c r="K861" s="196" t="s">
        <v>1881</v>
      </c>
      <c r="L861" s="184" t="s">
        <v>4604</v>
      </c>
      <c r="M861" s="196">
        <v>656</v>
      </c>
      <c r="O861" s="196" t="s">
        <v>4547</v>
      </c>
      <c r="P861" s="17">
        <v>565</v>
      </c>
      <c r="Q861" s="175">
        <f t="shared" si="48"/>
        <v>2.2175000000000002</v>
      </c>
      <c r="R861" s="199">
        <v>0.25</v>
      </c>
      <c r="T861" s="149"/>
      <c r="U861" s="149">
        <v>1.7</v>
      </c>
      <c r="V861" s="151">
        <v>0.25</v>
      </c>
      <c r="W861" s="149">
        <f t="shared" si="51"/>
        <v>0.25</v>
      </c>
      <c r="X861" s="152">
        <f t="shared" si="50"/>
        <v>1.7500000000000002E-2</v>
      </c>
      <c r="Y861" s="150">
        <f t="shared" si="49"/>
        <v>1.01</v>
      </c>
      <c r="Z861" s="152"/>
      <c r="AC861" s="154"/>
      <c r="AD861" s="154"/>
      <c r="AE861" s="154"/>
      <c r="AF861" s="154"/>
    </row>
    <row r="862" spans="1:32" x14ac:dyDescent="0.25">
      <c r="A862" s="196">
        <v>1395</v>
      </c>
      <c r="B862" s="196" t="s">
        <v>4605</v>
      </c>
      <c r="C862" s="196" t="s">
        <v>4606</v>
      </c>
      <c r="D862" s="196" t="s">
        <v>1912</v>
      </c>
      <c r="E862" s="196" t="s">
        <v>1877</v>
      </c>
      <c r="F862" s="196">
        <v>2017</v>
      </c>
      <c r="H862" s="196" t="s">
        <v>1878</v>
      </c>
      <c r="I862" s="184" t="s">
        <v>1879</v>
      </c>
      <c r="K862" s="196" t="s">
        <v>1881</v>
      </c>
      <c r="L862" s="184" t="s">
        <v>4607</v>
      </c>
      <c r="M862" s="196">
        <v>320</v>
      </c>
      <c r="O862" s="196" t="s">
        <v>4548</v>
      </c>
      <c r="P862" s="17">
        <v>280</v>
      </c>
      <c r="Q862" s="175">
        <f t="shared" si="48"/>
        <v>4.3282999999999996</v>
      </c>
      <c r="R862" s="199">
        <v>2.69</v>
      </c>
      <c r="T862" s="149"/>
      <c r="U862" s="149">
        <v>1.2</v>
      </c>
      <c r="V862" s="149">
        <v>0.25</v>
      </c>
      <c r="W862" s="149">
        <f t="shared" si="51"/>
        <v>2.69</v>
      </c>
      <c r="X862" s="152">
        <f t="shared" si="50"/>
        <v>0.1883</v>
      </c>
      <c r="Y862" s="150">
        <f t="shared" si="49"/>
        <v>1.01</v>
      </c>
      <c r="Z862" s="152"/>
      <c r="AC862" s="154"/>
      <c r="AD862" s="154"/>
      <c r="AE862" s="154"/>
      <c r="AF862" s="154"/>
    </row>
    <row r="863" spans="1:32" x14ac:dyDescent="0.25">
      <c r="A863" s="196">
        <v>2522</v>
      </c>
      <c r="B863" s="196" t="s">
        <v>4611</v>
      </c>
      <c r="C863" s="196" t="s">
        <v>4612</v>
      </c>
      <c r="D863" s="196" t="s">
        <v>4517</v>
      </c>
      <c r="E863" s="196" t="s">
        <v>1877</v>
      </c>
      <c r="F863" s="196">
        <v>2005</v>
      </c>
      <c r="H863" s="196" t="s">
        <v>1878</v>
      </c>
      <c r="I863" s="184" t="s">
        <v>1879</v>
      </c>
      <c r="J863" s="196" t="s">
        <v>2237</v>
      </c>
      <c r="K863" s="196" t="s">
        <v>1881</v>
      </c>
      <c r="L863" s="184" t="s">
        <v>4613</v>
      </c>
      <c r="M863" s="196">
        <v>384</v>
      </c>
      <c r="O863" s="196" t="s">
        <v>4550</v>
      </c>
      <c r="P863" s="17">
        <v>306</v>
      </c>
      <c r="Q863" s="175">
        <f t="shared" si="48"/>
        <v>1.7175</v>
      </c>
      <c r="R863" s="199">
        <v>0.25</v>
      </c>
      <c r="T863" s="149"/>
      <c r="U863" s="149">
        <v>1.2</v>
      </c>
      <c r="V863" s="151">
        <v>0.25</v>
      </c>
      <c r="W863" s="149">
        <f t="shared" si="51"/>
        <v>0.25</v>
      </c>
      <c r="X863" s="152">
        <f t="shared" si="50"/>
        <v>1.7500000000000002E-2</v>
      </c>
      <c r="Y863" s="150">
        <f t="shared" si="49"/>
        <v>1.01</v>
      </c>
      <c r="Z863" s="152"/>
      <c r="AC863" s="154"/>
      <c r="AD863" s="154"/>
      <c r="AE863" s="154"/>
      <c r="AF863" s="154"/>
    </row>
    <row r="864" spans="1:32" x14ac:dyDescent="0.25">
      <c r="A864" s="196">
        <v>796</v>
      </c>
      <c r="B864" s="196" t="s">
        <v>3143</v>
      </c>
      <c r="C864" s="196" t="s">
        <v>4614</v>
      </c>
      <c r="D864" s="196" t="s">
        <v>2244</v>
      </c>
      <c r="F864" s="196">
        <v>2005</v>
      </c>
      <c r="H864" s="196" t="s">
        <v>2734</v>
      </c>
      <c r="I864" s="184" t="s">
        <v>1879</v>
      </c>
      <c r="J864" s="196" t="s">
        <v>2237</v>
      </c>
      <c r="K864" s="196" t="s">
        <v>1881</v>
      </c>
      <c r="L864" s="184" t="s">
        <v>4615</v>
      </c>
      <c r="M864" s="196">
        <v>450</v>
      </c>
      <c r="O864" s="196" t="s">
        <v>4551</v>
      </c>
      <c r="P864" s="17">
        <v>658</v>
      </c>
      <c r="Q864" s="175">
        <f t="shared" si="48"/>
        <v>2.2175000000000002</v>
      </c>
      <c r="R864" s="199">
        <v>0.25</v>
      </c>
      <c r="T864" s="149"/>
      <c r="U864" s="149">
        <v>1.7</v>
      </c>
      <c r="V864" s="149">
        <v>0.25</v>
      </c>
      <c r="W864" s="149">
        <f t="shared" si="51"/>
        <v>0.25</v>
      </c>
      <c r="X864" s="152">
        <f t="shared" si="50"/>
        <v>1.7500000000000002E-2</v>
      </c>
      <c r="Y864" s="150">
        <f t="shared" si="49"/>
        <v>1.01</v>
      </c>
      <c r="Z864" s="152"/>
      <c r="AC864" s="154"/>
      <c r="AD864" s="154"/>
      <c r="AE864" s="154"/>
      <c r="AF864" s="154"/>
    </row>
    <row r="865" spans="1:32" x14ac:dyDescent="0.25">
      <c r="A865" s="196">
        <v>2547</v>
      </c>
      <c r="B865" s="196" t="s">
        <v>4616</v>
      </c>
      <c r="C865" s="196" t="s">
        <v>4617</v>
      </c>
      <c r="D865" s="196" t="s">
        <v>2257</v>
      </c>
      <c r="E865" s="196" t="s">
        <v>1921</v>
      </c>
      <c r="F865" s="196">
        <v>2003</v>
      </c>
      <c r="H865" s="196" t="s">
        <v>1878</v>
      </c>
      <c r="I865" s="184" t="s">
        <v>1879</v>
      </c>
      <c r="J865" s="143" t="s">
        <v>4618</v>
      </c>
      <c r="K865" s="196" t="s">
        <v>1881</v>
      </c>
      <c r="L865" s="184" t="s">
        <v>4619</v>
      </c>
      <c r="M865" s="196">
        <v>496</v>
      </c>
      <c r="O865" s="196" t="s">
        <v>4552</v>
      </c>
      <c r="P865" s="17">
        <v>331</v>
      </c>
      <c r="Q865" s="175">
        <f t="shared" si="48"/>
        <v>4.6493000000000002</v>
      </c>
      <c r="R865" s="199">
        <v>2.99</v>
      </c>
      <c r="T865" s="149"/>
      <c r="U865" s="149">
        <v>1.2</v>
      </c>
      <c r="V865" s="151">
        <v>0.25</v>
      </c>
      <c r="W865" s="149">
        <f t="shared" si="51"/>
        <v>2.99</v>
      </c>
      <c r="X865" s="152">
        <f t="shared" si="50"/>
        <v>0.20930000000000001</v>
      </c>
      <c r="Y865" s="150">
        <f t="shared" si="49"/>
        <v>1.01</v>
      </c>
      <c r="Z865" s="152"/>
      <c r="AC865" s="154"/>
      <c r="AD865" s="154"/>
      <c r="AE865" s="154"/>
      <c r="AF865" s="154"/>
    </row>
    <row r="866" spans="1:32" x14ac:dyDescent="0.25">
      <c r="Y866" s="150">
        <f t="shared" si="49"/>
        <v>1.01</v>
      </c>
    </row>
    <row r="867" spans="1:32" x14ac:dyDescent="0.25">
      <c r="A867" s="196">
        <v>1875</v>
      </c>
      <c r="B867" s="196" t="s">
        <v>4624</v>
      </c>
      <c r="C867" s="196" t="s">
        <v>4625</v>
      </c>
      <c r="D867" s="196" t="s">
        <v>4626</v>
      </c>
      <c r="E867" s="196" t="s">
        <v>1913</v>
      </c>
      <c r="F867" s="196">
        <v>2013</v>
      </c>
      <c r="H867" s="196" t="s">
        <v>1878</v>
      </c>
      <c r="I867" s="184" t="s">
        <v>1879</v>
      </c>
      <c r="K867" s="196" t="s">
        <v>1881</v>
      </c>
      <c r="L867" s="184" t="s">
        <v>4627</v>
      </c>
      <c r="M867" s="196">
        <v>256</v>
      </c>
      <c r="O867" s="196" t="s">
        <v>4554</v>
      </c>
      <c r="P867" s="17">
        <v>289</v>
      </c>
      <c r="Q867" s="175">
        <f t="shared" si="48"/>
        <v>1.9742999999999999</v>
      </c>
      <c r="R867" s="199">
        <v>0.49</v>
      </c>
      <c r="T867" s="149"/>
      <c r="U867" s="149">
        <v>1.2</v>
      </c>
      <c r="V867" s="151">
        <v>0.25</v>
      </c>
      <c r="W867" s="149">
        <f t="shared" si="51"/>
        <v>0.49</v>
      </c>
      <c r="X867" s="152">
        <f t="shared" si="50"/>
        <v>3.4299999999999997E-2</v>
      </c>
      <c r="Y867" s="150">
        <f t="shared" si="49"/>
        <v>1.01</v>
      </c>
      <c r="Z867" s="152"/>
      <c r="AC867" s="154"/>
      <c r="AD867" s="154"/>
      <c r="AE867" s="154"/>
      <c r="AF867" s="154"/>
    </row>
    <row r="868" spans="1:32" x14ac:dyDescent="0.25">
      <c r="A868" s="196">
        <v>2514</v>
      </c>
      <c r="B868" s="196" t="s">
        <v>4628</v>
      </c>
      <c r="C868" s="196" t="s">
        <v>4629</v>
      </c>
      <c r="D868" s="196" t="s">
        <v>2402</v>
      </c>
      <c r="F868" s="196">
        <v>1998</v>
      </c>
      <c r="H868" s="196" t="s">
        <v>2734</v>
      </c>
      <c r="I868" s="184" t="s">
        <v>1879</v>
      </c>
      <c r="K868" s="196" t="s">
        <v>1881</v>
      </c>
      <c r="L868" s="184" t="s">
        <v>4630</v>
      </c>
      <c r="M868" s="196">
        <v>126</v>
      </c>
      <c r="O868" s="196" t="s">
        <v>4555</v>
      </c>
      <c r="P868" s="17">
        <v>181</v>
      </c>
      <c r="Q868" s="175">
        <f t="shared" si="48"/>
        <v>1.9742999999999999</v>
      </c>
      <c r="R868" s="199">
        <v>0.49</v>
      </c>
      <c r="T868" s="149"/>
      <c r="U868" s="149">
        <v>1.2</v>
      </c>
      <c r="V868" s="149">
        <v>0.25</v>
      </c>
      <c r="W868" s="149">
        <f t="shared" si="51"/>
        <v>0.49</v>
      </c>
      <c r="X868" s="152">
        <f t="shared" si="50"/>
        <v>3.4299999999999997E-2</v>
      </c>
      <c r="Y868" s="150">
        <f t="shared" si="49"/>
        <v>1.01</v>
      </c>
      <c r="Z868" s="152"/>
      <c r="AC868" s="154"/>
      <c r="AD868" s="154"/>
      <c r="AE868" s="154"/>
      <c r="AF868" s="154"/>
    </row>
    <row r="869" spans="1:32" x14ac:dyDescent="0.25">
      <c r="A869" s="196">
        <v>1306</v>
      </c>
      <c r="C869" s="196" t="s">
        <v>4631</v>
      </c>
      <c r="D869" s="196" t="s">
        <v>4632</v>
      </c>
      <c r="F869" s="196">
        <v>2008</v>
      </c>
      <c r="H869" s="196" t="s">
        <v>4297</v>
      </c>
      <c r="I869" s="184" t="s">
        <v>1879</v>
      </c>
      <c r="K869" s="196" t="s">
        <v>1881</v>
      </c>
      <c r="L869" s="184" t="s">
        <v>4633</v>
      </c>
      <c r="M869" s="196">
        <v>98</v>
      </c>
      <c r="O869" s="196" t="s">
        <v>4556</v>
      </c>
      <c r="P869" s="17">
        <v>206</v>
      </c>
      <c r="Q869" s="175">
        <f t="shared" si="48"/>
        <v>3.6863000000000001</v>
      </c>
      <c r="R869" s="199">
        <v>2.09</v>
      </c>
      <c r="T869" s="149"/>
      <c r="U869" s="149">
        <v>1.2</v>
      </c>
      <c r="V869" s="151">
        <v>0.25</v>
      </c>
      <c r="W869" s="149">
        <f t="shared" si="51"/>
        <v>2.09</v>
      </c>
      <c r="X869" s="152">
        <f t="shared" si="50"/>
        <v>0.14629999999999999</v>
      </c>
      <c r="Y869" s="150">
        <f t="shared" si="49"/>
        <v>1.01</v>
      </c>
      <c r="Z869" s="152"/>
      <c r="AC869" s="154"/>
      <c r="AD869" s="154"/>
      <c r="AE869" s="154"/>
      <c r="AF869" s="154"/>
    </row>
    <row r="870" spans="1:32" x14ac:dyDescent="0.25">
      <c r="A870" s="196">
        <v>721</v>
      </c>
      <c r="B870" s="196" t="s">
        <v>4634</v>
      </c>
      <c r="C870" s="196" t="s">
        <v>4635</v>
      </c>
      <c r="D870" s="196" t="s">
        <v>4636</v>
      </c>
      <c r="E870" s="196" t="s">
        <v>1877</v>
      </c>
      <c r="F870" s="196">
        <v>2005</v>
      </c>
      <c r="H870" s="196" t="s">
        <v>2734</v>
      </c>
      <c r="I870" s="184" t="s">
        <v>1929</v>
      </c>
      <c r="K870" s="196" t="s">
        <v>1881</v>
      </c>
      <c r="L870" s="184" t="s">
        <v>4637</v>
      </c>
      <c r="M870" s="196">
        <v>162</v>
      </c>
      <c r="O870" s="196" t="s">
        <v>4557</v>
      </c>
      <c r="P870" s="17">
        <v>411</v>
      </c>
      <c r="Q870" s="175">
        <f t="shared" si="48"/>
        <v>5.3982999999999999</v>
      </c>
      <c r="R870" s="199">
        <v>3.69</v>
      </c>
      <c r="T870" s="149"/>
      <c r="U870" s="149">
        <v>1.2</v>
      </c>
      <c r="V870" s="149">
        <v>0.25</v>
      </c>
      <c r="W870" s="149">
        <f t="shared" si="51"/>
        <v>3.69</v>
      </c>
      <c r="X870" s="152">
        <f t="shared" si="50"/>
        <v>0.25830000000000003</v>
      </c>
      <c r="Y870" s="150">
        <f t="shared" si="49"/>
        <v>1.01</v>
      </c>
      <c r="Z870" s="152"/>
      <c r="AC870" s="154"/>
      <c r="AD870" s="154"/>
      <c r="AE870" s="154"/>
      <c r="AF870" s="154"/>
    </row>
    <row r="871" spans="1:32" x14ac:dyDescent="0.25">
      <c r="Y871" s="150">
        <f t="shared" si="49"/>
        <v>1.01</v>
      </c>
    </row>
    <row r="872" spans="1:32" x14ac:dyDescent="0.25">
      <c r="A872" s="196">
        <v>1395</v>
      </c>
      <c r="B872" s="196" t="s">
        <v>4639</v>
      </c>
      <c r="C872" s="196" t="s">
        <v>4640</v>
      </c>
      <c r="D872" s="196" t="s">
        <v>1912</v>
      </c>
      <c r="E872" s="196" t="s">
        <v>1913</v>
      </c>
      <c r="F872" s="196">
        <v>2014</v>
      </c>
      <c r="H872" s="196" t="s">
        <v>1878</v>
      </c>
      <c r="I872" s="184" t="s">
        <v>1929</v>
      </c>
      <c r="J872" s="143" t="s">
        <v>3854</v>
      </c>
      <c r="K872" s="196" t="s">
        <v>1881</v>
      </c>
      <c r="L872" s="184" t="s">
        <v>4641</v>
      </c>
      <c r="M872" s="196">
        <v>400</v>
      </c>
      <c r="O872" s="196" t="s">
        <v>4558</v>
      </c>
      <c r="P872" s="17">
        <v>324</v>
      </c>
      <c r="Q872" s="175">
        <f t="shared" ref="Q872:Q935" si="52">SUM(T872:X872)</f>
        <v>2.1882999999999995</v>
      </c>
      <c r="R872" s="199">
        <v>0.69</v>
      </c>
      <c r="T872" s="149"/>
      <c r="U872" s="149">
        <v>1.2</v>
      </c>
      <c r="V872" s="149">
        <v>0.25</v>
      </c>
      <c r="W872" s="149">
        <f t="shared" si="51"/>
        <v>0.69</v>
      </c>
      <c r="X872" s="152">
        <f t="shared" si="50"/>
        <v>4.8299999999999996E-2</v>
      </c>
      <c r="Y872" s="150">
        <f t="shared" si="49"/>
        <v>1.01</v>
      </c>
      <c r="Z872" s="152"/>
      <c r="AC872" s="154"/>
      <c r="AD872" s="154"/>
      <c r="AE872" s="154"/>
      <c r="AF872" s="154"/>
    </row>
    <row r="873" spans="1:32" x14ac:dyDescent="0.25">
      <c r="A873" s="196">
        <v>796</v>
      </c>
      <c r="B873" s="196" t="s">
        <v>4642</v>
      </c>
      <c r="C873" s="196" t="s">
        <v>4643</v>
      </c>
      <c r="D873" s="196" t="s">
        <v>2257</v>
      </c>
      <c r="E873" s="196" t="s">
        <v>1921</v>
      </c>
      <c r="F873" s="196">
        <v>2011</v>
      </c>
      <c r="H873" s="196" t="s">
        <v>1878</v>
      </c>
      <c r="I873" s="184" t="s">
        <v>1879</v>
      </c>
      <c r="J873" s="143" t="s">
        <v>3854</v>
      </c>
      <c r="K873" s="196" t="s">
        <v>1881</v>
      </c>
      <c r="L873" s="184" t="s">
        <v>4644</v>
      </c>
      <c r="M873" s="196">
        <v>656</v>
      </c>
      <c r="O873" s="196" t="s">
        <v>4559</v>
      </c>
      <c r="P873" s="17">
        <v>427</v>
      </c>
      <c r="Q873" s="175">
        <f t="shared" si="52"/>
        <v>2.5093000000000001</v>
      </c>
      <c r="R873" s="199">
        <v>0.99</v>
      </c>
      <c r="T873" s="149"/>
      <c r="U873" s="149">
        <v>1.2</v>
      </c>
      <c r="V873" s="151">
        <v>0.25</v>
      </c>
      <c r="W873" s="149">
        <f t="shared" si="51"/>
        <v>0.99</v>
      </c>
      <c r="X873" s="152">
        <f t="shared" si="50"/>
        <v>6.93E-2</v>
      </c>
      <c r="Y873" s="150">
        <f t="shared" si="49"/>
        <v>1.01</v>
      </c>
      <c r="Z873" s="152"/>
      <c r="AC873" s="154"/>
      <c r="AD873" s="154"/>
      <c r="AE873" s="154"/>
      <c r="AF873" s="154"/>
    </row>
    <row r="874" spans="1:32" x14ac:dyDescent="0.25">
      <c r="A874" s="196">
        <v>765</v>
      </c>
      <c r="B874" s="196" t="s">
        <v>4645</v>
      </c>
      <c r="C874" s="196" t="s">
        <v>4646</v>
      </c>
      <c r="D874" s="196" t="s">
        <v>4647</v>
      </c>
      <c r="F874" s="196">
        <v>1997</v>
      </c>
      <c r="H874" s="196" t="s">
        <v>1878</v>
      </c>
      <c r="I874" s="184" t="s">
        <v>1879</v>
      </c>
      <c r="J874" s="182" t="s">
        <v>3202</v>
      </c>
      <c r="K874" s="196" t="s">
        <v>1881</v>
      </c>
      <c r="L874" s="184" t="s">
        <v>4648</v>
      </c>
      <c r="M874" s="196">
        <v>160</v>
      </c>
      <c r="O874" s="196" t="s">
        <v>4560</v>
      </c>
      <c r="P874" s="17">
        <v>236</v>
      </c>
      <c r="Q874" s="175">
        <f t="shared" si="52"/>
        <v>2.7232999999999996</v>
      </c>
      <c r="R874" s="199">
        <v>1.19</v>
      </c>
      <c r="T874" s="149"/>
      <c r="U874" s="149">
        <v>1.2</v>
      </c>
      <c r="V874" s="149">
        <v>0.25</v>
      </c>
      <c r="W874" s="149">
        <f t="shared" si="51"/>
        <v>1.19</v>
      </c>
      <c r="X874" s="152">
        <f t="shared" si="50"/>
        <v>8.3299999999999999E-2</v>
      </c>
      <c r="Y874" s="150">
        <f t="shared" si="49"/>
        <v>1.01</v>
      </c>
      <c r="Z874" s="152"/>
      <c r="AC874" s="154"/>
      <c r="AD874" s="154"/>
      <c r="AE874" s="154"/>
      <c r="AF874" s="154"/>
    </row>
    <row r="875" spans="1:32" x14ac:dyDescent="0.25">
      <c r="A875" s="196">
        <v>1395</v>
      </c>
      <c r="B875" s="196" t="s">
        <v>4649</v>
      </c>
      <c r="C875" s="196" t="s">
        <v>4650</v>
      </c>
      <c r="D875" s="196" t="s">
        <v>1998</v>
      </c>
      <c r="E875" s="196" t="s">
        <v>1899</v>
      </c>
      <c r="F875" s="196">
        <v>2004</v>
      </c>
      <c r="H875" s="196" t="s">
        <v>1878</v>
      </c>
      <c r="I875" s="184" t="s">
        <v>1879</v>
      </c>
      <c r="J875" s="182" t="s">
        <v>3202</v>
      </c>
      <c r="K875" s="196" t="s">
        <v>1881</v>
      </c>
      <c r="L875" s="184" t="s">
        <v>4651</v>
      </c>
      <c r="M875" s="196">
        <v>240</v>
      </c>
      <c r="O875" s="196" t="s">
        <v>4561</v>
      </c>
      <c r="P875" s="17">
        <v>184</v>
      </c>
      <c r="Q875" s="175">
        <f t="shared" si="52"/>
        <v>1.7175</v>
      </c>
      <c r="R875" s="199">
        <v>0.25</v>
      </c>
      <c r="T875" s="149"/>
      <c r="U875" s="149">
        <v>1.2</v>
      </c>
      <c r="V875" s="151">
        <v>0.25</v>
      </c>
      <c r="W875" s="149">
        <f t="shared" si="51"/>
        <v>0.25</v>
      </c>
      <c r="X875" s="152">
        <f t="shared" si="50"/>
        <v>1.7500000000000002E-2</v>
      </c>
      <c r="Y875" s="150">
        <f t="shared" si="49"/>
        <v>1.01</v>
      </c>
      <c r="Z875" s="152"/>
      <c r="AC875" s="154"/>
      <c r="AD875" s="154"/>
      <c r="AE875" s="154"/>
      <c r="AF875" s="154"/>
    </row>
    <row r="876" spans="1:32" x14ac:dyDescent="0.25">
      <c r="A876" s="196">
        <v>1395</v>
      </c>
      <c r="B876" s="196" t="s">
        <v>4652</v>
      </c>
      <c r="C876" s="196" t="s">
        <v>4653</v>
      </c>
      <c r="D876" s="196" t="s">
        <v>1998</v>
      </c>
      <c r="E876" s="196" t="s">
        <v>2032</v>
      </c>
      <c r="F876" s="196">
        <v>2010</v>
      </c>
      <c r="H876" s="196" t="s">
        <v>1878</v>
      </c>
      <c r="I876" s="184" t="s">
        <v>1879</v>
      </c>
      <c r="J876" s="182" t="s">
        <v>3202</v>
      </c>
      <c r="K876" s="196" t="s">
        <v>1881</v>
      </c>
      <c r="L876" s="184" t="s">
        <v>4654</v>
      </c>
      <c r="M876" s="196">
        <v>208</v>
      </c>
      <c r="O876" s="196" t="s">
        <v>4562</v>
      </c>
      <c r="P876" s="17">
        <v>298</v>
      </c>
      <c r="Q876" s="175">
        <f t="shared" si="52"/>
        <v>1.7175</v>
      </c>
      <c r="R876" s="199">
        <v>0.25</v>
      </c>
      <c r="T876" s="149"/>
      <c r="U876" s="149">
        <v>1.2</v>
      </c>
      <c r="V876" s="149">
        <v>0.25</v>
      </c>
      <c r="W876" s="149">
        <f t="shared" si="51"/>
        <v>0.25</v>
      </c>
      <c r="X876" s="152">
        <f t="shared" si="50"/>
        <v>1.7500000000000002E-2</v>
      </c>
      <c r="Y876" s="150">
        <f t="shared" ref="Y876:Y939" si="53">(IF(Z876&gt;AA876,Z876,AA876)*0.08)+1.01</f>
        <v>1.01</v>
      </c>
      <c r="Z876" s="152"/>
      <c r="AC876" s="154"/>
      <c r="AD876" s="154"/>
      <c r="AE876" s="154"/>
      <c r="AF876" s="154"/>
    </row>
    <row r="877" spans="1:32" x14ac:dyDescent="0.25">
      <c r="A877" s="196">
        <v>2522</v>
      </c>
      <c r="B877" s="196" t="s">
        <v>3301</v>
      </c>
      <c r="C877" s="196" t="s">
        <v>4655</v>
      </c>
      <c r="D877" s="196" t="s">
        <v>2309</v>
      </c>
      <c r="F877" s="196">
        <v>2012</v>
      </c>
      <c r="H877" s="196" t="s">
        <v>4297</v>
      </c>
      <c r="I877" s="184" t="s">
        <v>1914</v>
      </c>
      <c r="K877" s="196" t="s">
        <v>1881</v>
      </c>
      <c r="M877" s="196">
        <v>562</v>
      </c>
      <c r="O877" s="196" t="s">
        <v>4563</v>
      </c>
      <c r="P877" s="17">
        <v>422</v>
      </c>
      <c r="Q877" s="175">
        <f t="shared" si="52"/>
        <v>1.7175</v>
      </c>
      <c r="R877" s="199">
        <v>0.25</v>
      </c>
      <c r="T877" s="149"/>
      <c r="U877" s="149">
        <v>1.2</v>
      </c>
      <c r="V877" s="151">
        <v>0.25</v>
      </c>
      <c r="W877" s="149">
        <f t="shared" si="51"/>
        <v>0.25</v>
      </c>
      <c r="X877" s="152">
        <f t="shared" ref="X877:X940" si="54">(T877+W877)/100*7</f>
        <v>1.7500000000000002E-2</v>
      </c>
      <c r="Y877" s="150">
        <f t="shared" si="53"/>
        <v>1.01</v>
      </c>
      <c r="Z877" s="152"/>
      <c r="AC877" s="154"/>
      <c r="AD877" s="154"/>
      <c r="AE877" s="154"/>
      <c r="AF877" s="154"/>
    </row>
    <row r="878" spans="1:32" x14ac:dyDescent="0.25">
      <c r="A878" s="196">
        <v>618</v>
      </c>
      <c r="B878" s="196" t="s">
        <v>4656</v>
      </c>
      <c r="C878" s="196" t="s">
        <v>4657</v>
      </c>
      <c r="F878" s="196">
        <v>2013</v>
      </c>
      <c r="H878" s="196" t="s">
        <v>1878</v>
      </c>
      <c r="I878" s="184" t="s">
        <v>1914</v>
      </c>
      <c r="K878" s="196" t="s">
        <v>1881</v>
      </c>
      <c r="L878" s="184" t="s">
        <v>4658</v>
      </c>
      <c r="M878" s="196">
        <v>188</v>
      </c>
      <c r="O878" s="196" t="s">
        <v>4564</v>
      </c>
      <c r="P878" s="17">
        <v>242</v>
      </c>
      <c r="Q878" s="175">
        <f t="shared" si="52"/>
        <v>2.2953000000000001</v>
      </c>
      <c r="R878" s="199">
        <v>0.79</v>
      </c>
      <c r="T878" s="149"/>
      <c r="U878" s="149">
        <v>1.2</v>
      </c>
      <c r="V878" s="149">
        <v>0.25</v>
      </c>
      <c r="W878" s="149">
        <f t="shared" si="51"/>
        <v>0.79</v>
      </c>
      <c r="X878" s="152">
        <f t="shared" si="54"/>
        <v>5.5300000000000002E-2</v>
      </c>
      <c r="Y878" s="150">
        <f t="shared" si="53"/>
        <v>1.01</v>
      </c>
      <c r="Z878" s="152"/>
      <c r="AC878" s="154"/>
      <c r="AD878" s="154"/>
      <c r="AE878" s="154"/>
      <c r="AF878" s="154"/>
    </row>
    <row r="879" spans="1:32" x14ac:dyDescent="0.25">
      <c r="A879" s="196">
        <v>632</v>
      </c>
      <c r="B879" s="196" t="s">
        <v>4659</v>
      </c>
      <c r="C879" s="196" t="s">
        <v>4660</v>
      </c>
      <c r="D879" s="196" t="s">
        <v>1988</v>
      </c>
      <c r="E879" s="196" t="s">
        <v>2937</v>
      </c>
      <c r="F879" s="196">
        <v>1997</v>
      </c>
      <c r="H879" s="196" t="s">
        <v>1878</v>
      </c>
      <c r="I879" s="184" t="s">
        <v>1879</v>
      </c>
      <c r="K879" s="196" t="s">
        <v>1881</v>
      </c>
      <c r="L879" s="184" t="s">
        <v>4661</v>
      </c>
      <c r="M879" s="196">
        <v>600</v>
      </c>
      <c r="O879" s="196" t="s">
        <v>4565</v>
      </c>
      <c r="P879" s="17">
        <v>503</v>
      </c>
      <c r="Q879" s="175">
        <f t="shared" si="52"/>
        <v>3.5015000000000001</v>
      </c>
      <c r="R879" s="199">
        <v>1.45</v>
      </c>
      <c r="T879" s="149"/>
      <c r="U879" s="149">
        <v>1.7</v>
      </c>
      <c r="V879" s="151">
        <v>0.25</v>
      </c>
      <c r="W879" s="149">
        <f t="shared" si="51"/>
        <v>1.45</v>
      </c>
      <c r="X879" s="152">
        <f t="shared" si="54"/>
        <v>0.10149999999999999</v>
      </c>
      <c r="Y879" s="150">
        <f t="shared" si="53"/>
        <v>1.01</v>
      </c>
      <c r="Z879" s="152"/>
      <c r="AC879" s="154"/>
      <c r="AD879" s="154"/>
      <c r="AE879" s="154"/>
      <c r="AF879" s="154"/>
    </row>
    <row r="880" spans="1:32" x14ac:dyDescent="0.25">
      <c r="A880" s="196">
        <v>1231</v>
      </c>
      <c r="B880" s="196" t="s">
        <v>4662</v>
      </c>
      <c r="C880" s="196" t="s">
        <v>4663</v>
      </c>
      <c r="D880" s="196" t="s">
        <v>2232</v>
      </c>
      <c r="E880" s="196" t="s">
        <v>2157</v>
      </c>
      <c r="F880" s="196">
        <v>1998</v>
      </c>
      <c r="H880" s="196" t="s">
        <v>1878</v>
      </c>
      <c r="I880" s="184" t="s">
        <v>1879</v>
      </c>
      <c r="K880" s="196" t="s">
        <v>1881</v>
      </c>
      <c r="L880" s="184" t="s">
        <v>4664</v>
      </c>
      <c r="M880" s="196">
        <v>544</v>
      </c>
      <c r="O880" s="196" t="s">
        <v>4566</v>
      </c>
      <c r="P880" s="17">
        <v>457</v>
      </c>
      <c r="Q880" s="175">
        <f t="shared" si="52"/>
        <v>1.7175</v>
      </c>
      <c r="R880" s="199">
        <v>0.25</v>
      </c>
      <c r="T880" s="149"/>
      <c r="U880" s="149">
        <v>1.2</v>
      </c>
      <c r="V880" s="149">
        <v>0.25</v>
      </c>
      <c r="W880" s="149">
        <f t="shared" si="51"/>
        <v>0.25</v>
      </c>
      <c r="X880" s="152">
        <f t="shared" si="54"/>
        <v>1.7500000000000002E-2</v>
      </c>
      <c r="Y880" s="150">
        <f t="shared" si="53"/>
        <v>1.01</v>
      </c>
      <c r="Z880" s="152"/>
      <c r="AC880" s="154"/>
      <c r="AD880" s="154"/>
      <c r="AE880" s="154"/>
      <c r="AF880" s="154"/>
    </row>
    <row r="881" spans="1:32" x14ac:dyDescent="0.25">
      <c r="A881" s="196">
        <v>1395</v>
      </c>
      <c r="B881" s="196" t="s">
        <v>4665</v>
      </c>
      <c r="C881" s="196" t="s">
        <v>4666</v>
      </c>
      <c r="D881" s="196" t="s">
        <v>4667</v>
      </c>
      <c r="E881" s="196" t="s">
        <v>1877</v>
      </c>
      <c r="F881" s="196">
        <v>1975</v>
      </c>
      <c r="H881" s="196" t="s">
        <v>2734</v>
      </c>
      <c r="I881" s="184" t="s">
        <v>1879</v>
      </c>
      <c r="K881" s="196" t="s">
        <v>1881</v>
      </c>
      <c r="M881" s="196">
        <v>242</v>
      </c>
      <c r="O881" s="196" t="s">
        <v>4567</v>
      </c>
      <c r="P881" s="17">
        <v>254</v>
      </c>
      <c r="Q881" s="175">
        <f t="shared" si="52"/>
        <v>2.2953000000000001</v>
      </c>
      <c r="R881" s="199">
        <v>0.79</v>
      </c>
      <c r="T881" s="149"/>
      <c r="U881" s="149">
        <v>1.2</v>
      </c>
      <c r="V881" s="151">
        <v>0.25</v>
      </c>
      <c r="W881" s="149">
        <f t="shared" si="51"/>
        <v>0.79</v>
      </c>
      <c r="X881" s="152">
        <f t="shared" si="54"/>
        <v>5.5300000000000002E-2</v>
      </c>
      <c r="Y881" s="150">
        <f t="shared" si="53"/>
        <v>1.01</v>
      </c>
      <c r="Z881" s="152"/>
      <c r="AC881" s="154"/>
      <c r="AD881" s="154"/>
      <c r="AE881" s="154"/>
      <c r="AF881" s="154"/>
    </row>
    <row r="882" spans="1:32" x14ac:dyDescent="0.25">
      <c r="A882" s="196">
        <v>689</v>
      </c>
      <c r="B882" s="196" t="s">
        <v>2470</v>
      </c>
      <c r="C882" s="196" t="s">
        <v>4668</v>
      </c>
      <c r="D882" s="196" t="s">
        <v>4669</v>
      </c>
      <c r="F882" s="196">
        <v>2004</v>
      </c>
      <c r="H882" s="196" t="s">
        <v>2734</v>
      </c>
      <c r="I882" s="184" t="s">
        <v>1929</v>
      </c>
      <c r="K882" s="196" t="s">
        <v>1881</v>
      </c>
      <c r="L882" s="184" t="s">
        <v>4670</v>
      </c>
      <c r="M882" s="196">
        <v>238</v>
      </c>
      <c r="O882" s="196" t="s">
        <v>4568</v>
      </c>
      <c r="P882" s="17">
        <v>459</v>
      </c>
      <c r="Q882" s="175">
        <f t="shared" si="52"/>
        <v>2.4022999999999999</v>
      </c>
      <c r="R882" s="199">
        <v>0.89</v>
      </c>
      <c r="T882" s="149"/>
      <c r="U882" s="149">
        <v>1.2</v>
      </c>
      <c r="V882" s="149">
        <v>0.25</v>
      </c>
      <c r="W882" s="149">
        <f t="shared" si="51"/>
        <v>0.89</v>
      </c>
      <c r="X882" s="152">
        <f t="shared" si="54"/>
        <v>6.2300000000000001E-2</v>
      </c>
      <c r="Y882" s="150">
        <f t="shared" si="53"/>
        <v>1.01</v>
      </c>
      <c r="Z882" s="152"/>
      <c r="AC882" s="154"/>
      <c r="AD882" s="154"/>
      <c r="AE882" s="154"/>
      <c r="AF882" s="154"/>
    </row>
    <row r="883" spans="1:32" x14ac:dyDescent="0.25">
      <c r="A883" s="196">
        <v>2952</v>
      </c>
      <c r="B883" s="196" t="s">
        <v>4671</v>
      </c>
      <c r="C883" s="196" t="s">
        <v>4672</v>
      </c>
      <c r="D883" s="196" t="s">
        <v>3022</v>
      </c>
      <c r="F883" s="196">
        <v>2008</v>
      </c>
      <c r="H883" s="196" t="s">
        <v>2734</v>
      </c>
      <c r="I883" s="184" t="s">
        <v>1879</v>
      </c>
      <c r="K883" s="196" t="s">
        <v>1881</v>
      </c>
      <c r="M883" s="196">
        <v>338</v>
      </c>
      <c r="O883" s="196" t="s">
        <v>4569</v>
      </c>
      <c r="P883" s="17">
        <v>457</v>
      </c>
      <c r="Q883" s="175">
        <f t="shared" si="52"/>
        <v>2.5093000000000001</v>
      </c>
      <c r="R883" s="199">
        <v>0.99</v>
      </c>
      <c r="T883" s="149"/>
      <c r="U883" s="149">
        <v>1.2</v>
      </c>
      <c r="V883" s="151">
        <v>0.25</v>
      </c>
      <c r="W883" s="149">
        <f t="shared" si="51"/>
        <v>0.99</v>
      </c>
      <c r="X883" s="152">
        <f t="shared" si="54"/>
        <v>6.93E-2</v>
      </c>
      <c r="Y883" s="150">
        <f t="shared" si="53"/>
        <v>1.01</v>
      </c>
      <c r="Z883" s="152"/>
      <c r="AC883" s="154"/>
      <c r="AD883" s="154"/>
      <c r="AE883" s="154"/>
      <c r="AF883" s="154"/>
    </row>
    <row r="884" spans="1:32" x14ac:dyDescent="0.25">
      <c r="A884" s="196">
        <v>389</v>
      </c>
      <c r="B884" s="196" t="s">
        <v>2470</v>
      </c>
      <c r="C884" s="196" t="s">
        <v>4673</v>
      </c>
      <c r="D884" s="196" t="s">
        <v>2386</v>
      </c>
      <c r="F884" s="196">
        <v>2002</v>
      </c>
      <c r="H884" s="196" t="s">
        <v>2734</v>
      </c>
      <c r="I884" s="184" t="s">
        <v>1879</v>
      </c>
      <c r="K884" s="196" t="s">
        <v>1881</v>
      </c>
      <c r="L884" s="184" t="s">
        <v>4674</v>
      </c>
      <c r="M884" s="196">
        <v>514</v>
      </c>
      <c r="O884" s="196" t="s">
        <v>4570</v>
      </c>
      <c r="P884" s="17">
        <v>592</v>
      </c>
      <c r="Q884" s="175">
        <f t="shared" si="52"/>
        <v>2.2175000000000002</v>
      </c>
      <c r="R884" s="199">
        <v>0.25</v>
      </c>
      <c r="T884" s="149"/>
      <c r="U884" s="149">
        <v>1.7</v>
      </c>
      <c r="V884" s="149">
        <v>0.25</v>
      </c>
      <c r="W884" s="149">
        <f t="shared" si="51"/>
        <v>0.25</v>
      </c>
      <c r="X884" s="152">
        <f t="shared" si="54"/>
        <v>1.7500000000000002E-2</v>
      </c>
      <c r="Y884" s="150">
        <f t="shared" si="53"/>
        <v>1.01</v>
      </c>
      <c r="Z884" s="152"/>
      <c r="AC884" s="154"/>
      <c r="AD884" s="154"/>
      <c r="AE884" s="154"/>
      <c r="AF884" s="154"/>
    </row>
    <row r="885" spans="1:32" x14ac:dyDescent="0.25">
      <c r="A885" s="196">
        <v>2522</v>
      </c>
      <c r="B885" s="196" t="s">
        <v>4675</v>
      </c>
      <c r="C885" s="196" t="s">
        <v>4676</v>
      </c>
      <c r="D885" s="196" t="s">
        <v>1912</v>
      </c>
      <c r="E885" s="196" t="s">
        <v>1921</v>
      </c>
      <c r="F885" s="196">
        <v>2003</v>
      </c>
      <c r="H885" s="196" t="s">
        <v>1878</v>
      </c>
      <c r="I885" s="184" t="s">
        <v>1879</v>
      </c>
      <c r="K885" s="196" t="s">
        <v>1881</v>
      </c>
      <c r="L885" s="184" t="s">
        <v>4677</v>
      </c>
      <c r="M885" s="196">
        <v>480</v>
      </c>
      <c r="O885" s="196" t="s">
        <v>4571</v>
      </c>
      <c r="P885" s="17">
        <v>422</v>
      </c>
      <c r="Q885" s="175">
        <f t="shared" si="52"/>
        <v>2.8303000000000003</v>
      </c>
      <c r="R885" s="199">
        <v>1.29</v>
      </c>
      <c r="T885" s="149"/>
      <c r="U885" s="149">
        <v>1.2</v>
      </c>
      <c r="V885" s="151">
        <v>0.25</v>
      </c>
      <c r="W885" s="149">
        <f t="shared" ref="W885:W948" si="55">IF(R885&gt;T885,R885,T885)</f>
        <v>1.29</v>
      </c>
      <c r="X885" s="152">
        <f t="shared" si="54"/>
        <v>9.0300000000000005E-2</v>
      </c>
      <c r="Y885" s="150">
        <f t="shared" si="53"/>
        <v>1.01</v>
      </c>
      <c r="Z885" s="152"/>
      <c r="AC885" s="154"/>
      <c r="AD885" s="154"/>
      <c r="AE885" s="154"/>
      <c r="AF885" s="154"/>
    </row>
    <row r="886" spans="1:32" x14ac:dyDescent="0.25">
      <c r="A886" s="196">
        <v>721</v>
      </c>
      <c r="B886" s="196" t="s">
        <v>4678</v>
      </c>
      <c r="C886" s="196" t="s">
        <v>4679</v>
      </c>
      <c r="D886" s="196" t="s">
        <v>3057</v>
      </c>
      <c r="F886" s="196">
        <v>2008</v>
      </c>
      <c r="H886" s="196" t="s">
        <v>1878</v>
      </c>
      <c r="I886" s="184" t="s">
        <v>1879</v>
      </c>
      <c r="J886" s="182" t="s">
        <v>4291</v>
      </c>
      <c r="K886" s="196" t="s">
        <v>1881</v>
      </c>
      <c r="L886" s="184" t="s">
        <v>4680</v>
      </c>
      <c r="M886" s="196">
        <v>80</v>
      </c>
      <c r="O886" s="196" t="s">
        <v>4572</v>
      </c>
      <c r="P886" s="17">
        <v>246</v>
      </c>
      <c r="Q886" s="175">
        <f t="shared" si="52"/>
        <v>3.0442999999999998</v>
      </c>
      <c r="R886" s="199">
        <v>1.49</v>
      </c>
      <c r="T886" s="149"/>
      <c r="U886" s="149">
        <v>1.2</v>
      </c>
      <c r="V886" s="149">
        <v>0.25</v>
      </c>
      <c r="W886" s="149">
        <f t="shared" si="55"/>
        <v>1.49</v>
      </c>
      <c r="X886" s="152">
        <f t="shared" si="54"/>
        <v>0.1043</v>
      </c>
      <c r="Y886" s="150">
        <f t="shared" si="53"/>
        <v>1.01</v>
      </c>
      <c r="Z886" s="152"/>
      <c r="AC886" s="154"/>
      <c r="AD886" s="154"/>
      <c r="AE886" s="154"/>
      <c r="AF886" s="154"/>
    </row>
    <row r="887" spans="1:32" x14ac:dyDescent="0.25">
      <c r="A887" s="196">
        <v>8</v>
      </c>
      <c r="B887" s="196" t="s">
        <v>4681</v>
      </c>
      <c r="C887" s="196" t="s">
        <v>4682</v>
      </c>
      <c r="D887" s="196" t="s">
        <v>4517</v>
      </c>
      <c r="E887" s="196" t="s">
        <v>1913</v>
      </c>
      <c r="F887" s="196">
        <v>2012</v>
      </c>
      <c r="H887" s="196" t="s">
        <v>1878</v>
      </c>
      <c r="I887" s="184" t="s">
        <v>1879</v>
      </c>
      <c r="J887" s="143" t="s">
        <v>3854</v>
      </c>
      <c r="K887" s="196" t="s">
        <v>1881</v>
      </c>
      <c r="L887" s="184" t="s">
        <v>4683</v>
      </c>
      <c r="M887" s="196">
        <v>352</v>
      </c>
      <c r="O887" s="196" t="s">
        <v>4573</v>
      </c>
      <c r="P887" s="17">
        <v>331</v>
      </c>
      <c r="Q887" s="175">
        <f t="shared" si="52"/>
        <v>2.6162999999999998</v>
      </c>
      <c r="R887" s="199">
        <v>1.0900000000000001</v>
      </c>
      <c r="T887" s="149"/>
      <c r="U887" s="149">
        <v>1.2</v>
      </c>
      <c r="V887" s="151">
        <v>0.25</v>
      </c>
      <c r="W887" s="149">
        <f t="shared" si="55"/>
        <v>1.0900000000000001</v>
      </c>
      <c r="X887" s="152">
        <f t="shared" si="54"/>
        <v>7.6300000000000007E-2</v>
      </c>
      <c r="Y887" s="150">
        <f t="shared" si="53"/>
        <v>1.01</v>
      </c>
      <c r="Z887" s="152"/>
      <c r="AC887" s="154"/>
      <c r="AD887" s="154"/>
      <c r="AE887" s="154"/>
      <c r="AF887" s="154"/>
    </row>
    <row r="888" spans="1:32" x14ac:dyDescent="0.25">
      <c r="A888" s="196">
        <v>765</v>
      </c>
      <c r="B888" s="196" t="s">
        <v>4638</v>
      </c>
      <c r="C888" s="196" t="s">
        <v>4684</v>
      </c>
      <c r="D888" s="196" t="s">
        <v>2609</v>
      </c>
      <c r="F888" s="196">
        <v>2007</v>
      </c>
      <c r="H888" s="196" t="s">
        <v>1878</v>
      </c>
      <c r="I888" s="184" t="s">
        <v>1879</v>
      </c>
      <c r="K888" s="196" t="s">
        <v>1881</v>
      </c>
      <c r="L888" s="184" t="s">
        <v>4685</v>
      </c>
      <c r="M888" s="196">
        <v>288</v>
      </c>
      <c r="O888" s="196" t="s">
        <v>4574</v>
      </c>
      <c r="P888" s="17">
        <v>300</v>
      </c>
      <c r="Q888" s="175">
        <f t="shared" si="52"/>
        <v>1.7175</v>
      </c>
      <c r="R888" s="199">
        <v>0.25</v>
      </c>
      <c r="T888" s="149"/>
      <c r="U888" s="149">
        <v>1.2</v>
      </c>
      <c r="V888" s="149">
        <v>0.25</v>
      </c>
      <c r="W888" s="149">
        <f t="shared" si="55"/>
        <v>0.25</v>
      </c>
      <c r="X888" s="152">
        <f t="shared" si="54"/>
        <v>1.7500000000000002E-2</v>
      </c>
      <c r="Y888" s="150">
        <f t="shared" si="53"/>
        <v>1.01</v>
      </c>
      <c r="Z888" s="152"/>
      <c r="AC888" s="154"/>
      <c r="AD888" s="154"/>
      <c r="AE888" s="154"/>
      <c r="AF888" s="154"/>
    </row>
    <row r="889" spans="1:32" x14ac:dyDescent="0.25">
      <c r="A889" s="196">
        <v>721</v>
      </c>
      <c r="C889" s="196" t="s">
        <v>4686</v>
      </c>
      <c r="D889" s="196" t="s">
        <v>3682</v>
      </c>
      <c r="H889" s="196" t="s">
        <v>1878</v>
      </c>
      <c r="I889" s="184" t="s">
        <v>1879</v>
      </c>
      <c r="K889" s="196" t="s">
        <v>1881</v>
      </c>
      <c r="L889" s="184" t="s">
        <v>4687</v>
      </c>
      <c r="M889" s="196">
        <v>64</v>
      </c>
      <c r="O889" s="196" t="s">
        <v>4575</v>
      </c>
      <c r="P889" s="17">
        <v>106</v>
      </c>
      <c r="Q889" s="175">
        <f t="shared" si="52"/>
        <v>1.7175</v>
      </c>
      <c r="R889" s="199">
        <v>0.25</v>
      </c>
      <c r="T889" s="149"/>
      <c r="U889" s="149">
        <v>1.2</v>
      </c>
      <c r="V889" s="151">
        <v>0.25</v>
      </c>
      <c r="W889" s="149">
        <f t="shared" si="55"/>
        <v>0.25</v>
      </c>
      <c r="X889" s="152">
        <f t="shared" si="54"/>
        <v>1.7500000000000002E-2</v>
      </c>
      <c r="Y889" s="150">
        <f t="shared" si="53"/>
        <v>1.01</v>
      </c>
      <c r="Z889" s="152"/>
      <c r="AC889" s="154"/>
      <c r="AD889" s="154"/>
      <c r="AE889" s="154"/>
      <c r="AF889" s="154"/>
    </row>
    <row r="890" spans="1:32" x14ac:dyDescent="0.25">
      <c r="A890" s="196">
        <v>1809</v>
      </c>
      <c r="B890" s="196" t="s">
        <v>4688</v>
      </c>
      <c r="C890" s="196" t="s">
        <v>4689</v>
      </c>
      <c r="D890" s="196" t="s">
        <v>3116</v>
      </c>
      <c r="E890" s="196" t="s">
        <v>1913</v>
      </c>
      <c r="F890" s="196">
        <v>2006</v>
      </c>
      <c r="H890" s="196" t="s">
        <v>1878</v>
      </c>
      <c r="I890" s="184" t="s">
        <v>1879</v>
      </c>
      <c r="K890" s="196" t="s">
        <v>1881</v>
      </c>
      <c r="L890" s="184" t="s">
        <v>4690</v>
      </c>
      <c r="M890" s="196">
        <v>192</v>
      </c>
      <c r="O890" s="196" t="s">
        <v>4576</v>
      </c>
      <c r="P890" s="17">
        <v>274</v>
      </c>
      <c r="Q890" s="175">
        <f t="shared" si="52"/>
        <v>1.8673</v>
      </c>
      <c r="R890" s="199">
        <v>0.39</v>
      </c>
      <c r="T890" s="149"/>
      <c r="U890" s="149">
        <v>1.2</v>
      </c>
      <c r="V890" s="149">
        <v>0.25</v>
      </c>
      <c r="W890" s="149">
        <f t="shared" si="55"/>
        <v>0.39</v>
      </c>
      <c r="X890" s="152">
        <f t="shared" si="54"/>
        <v>2.7300000000000001E-2</v>
      </c>
      <c r="Y890" s="150">
        <f t="shared" si="53"/>
        <v>1.01</v>
      </c>
      <c r="Z890" s="152"/>
      <c r="AC890" s="154"/>
      <c r="AD890" s="154"/>
      <c r="AE890" s="154"/>
      <c r="AF890" s="154"/>
    </row>
    <row r="891" spans="1:32" x14ac:dyDescent="0.25">
      <c r="A891" s="196">
        <v>1321</v>
      </c>
      <c r="B891" s="196" t="s">
        <v>4692</v>
      </c>
      <c r="C891" s="196" t="s">
        <v>4691</v>
      </c>
      <c r="D891" s="196" t="s">
        <v>4693</v>
      </c>
      <c r="E891" s="196" t="s">
        <v>2175</v>
      </c>
      <c r="F891" s="196">
        <v>2004</v>
      </c>
      <c r="H891" s="196" t="s">
        <v>1878</v>
      </c>
      <c r="I891" s="184" t="s">
        <v>1879</v>
      </c>
      <c r="K891" s="196" t="s">
        <v>1881</v>
      </c>
      <c r="L891" s="184" t="s">
        <v>4694</v>
      </c>
      <c r="M891" s="196">
        <v>96</v>
      </c>
      <c r="O891" s="196" t="s">
        <v>4577</v>
      </c>
      <c r="P891" s="17">
        <v>244</v>
      </c>
      <c r="Q891" s="175">
        <f t="shared" si="52"/>
        <v>2.4022999999999999</v>
      </c>
      <c r="R891" s="199">
        <v>0.89</v>
      </c>
      <c r="T891" s="149"/>
      <c r="U891" s="149">
        <v>1.2</v>
      </c>
      <c r="V891" s="151">
        <v>0.25</v>
      </c>
      <c r="W891" s="149">
        <f t="shared" si="55"/>
        <v>0.89</v>
      </c>
      <c r="X891" s="152">
        <f t="shared" si="54"/>
        <v>6.2300000000000001E-2</v>
      </c>
      <c r="Y891" s="150">
        <f t="shared" si="53"/>
        <v>1.01</v>
      </c>
      <c r="Z891" s="152"/>
      <c r="AC891" s="154"/>
      <c r="AD891" s="154"/>
      <c r="AE891" s="154"/>
      <c r="AF891" s="154"/>
    </row>
    <row r="892" spans="1:32" x14ac:dyDescent="0.25">
      <c r="A892" s="196">
        <v>1395</v>
      </c>
      <c r="B892" s="196" t="s">
        <v>4699</v>
      </c>
      <c r="C892" s="196" t="s">
        <v>4700</v>
      </c>
      <c r="D892" s="196" t="s">
        <v>2209</v>
      </c>
      <c r="E892" s="196" t="s">
        <v>1877</v>
      </c>
      <c r="F892" s="196">
        <v>2009</v>
      </c>
      <c r="H892" s="196" t="s">
        <v>1878</v>
      </c>
      <c r="I892" s="184" t="s">
        <v>1879</v>
      </c>
      <c r="K892" s="196" t="s">
        <v>1881</v>
      </c>
      <c r="L892" s="184" t="s">
        <v>4701</v>
      </c>
      <c r="M892" s="196">
        <v>288</v>
      </c>
      <c r="O892" s="196" t="s">
        <v>4579</v>
      </c>
      <c r="P892" s="17">
        <v>242</v>
      </c>
      <c r="Q892" s="175">
        <f t="shared" si="52"/>
        <v>1.7175</v>
      </c>
      <c r="R892" s="199">
        <v>0.25</v>
      </c>
      <c r="T892" s="149"/>
      <c r="U892" s="149">
        <v>1.2</v>
      </c>
      <c r="V892" s="151">
        <v>0.25</v>
      </c>
      <c r="W892" s="149">
        <f t="shared" si="55"/>
        <v>0.25</v>
      </c>
      <c r="X892" s="152">
        <f t="shared" si="54"/>
        <v>1.7500000000000002E-2</v>
      </c>
      <c r="Y892" s="150">
        <f t="shared" si="53"/>
        <v>1.01</v>
      </c>
      <c r="Z892" s="152"/>
      <c r="AC892" s="154"/>
      <c r="AD892" s="154"/>
      <c r="AE892" s="154"/>
      <c r="AF892" s="154"/>
    </row>
    <row r="893" spans="1:32" x14ac:dyDescent="0.25">
      <c r="A893" s="196">
        <v>624</v>
      </c>
      <c r="B893" s="196" t="s">
        <v>4702</v>
      </c>
      <c r="C893" s="196" t="s">
        <v>4703</v>
      </c>
      <c r="D893" s="196" t="s">
        <v>2609</v>
      </c>
      <c r="F893" s="196">
        <v>2006</v>
      </c>
      <c r="H893" s="196" t="s">
        <v>2734</v>
      </c>
      <c r="I893" s="184" t="s">
        <v>1879</v>
      </c>
      <c r="J893" s="182" t="s">
        <v>4198</v>
      </c>
      <c r="K893" s="196" t="s">
        <v>1881</v>
      </c>
      <c r="L893" s="184" t="s">
        <v>4704</v>
      </c>
      <c r="M893" s="196">
        <v>130</v>
      </c>
      <c r="O893" s="196" t="s">
        <v>4580</v>
      </c>
      <c r="P893" s="17">
        <v>201</v>
      </c>
      <c r="Q893" s="175">
        <f t="shared" si="52"/>
        <v>3.0442999999999998</v>
      </c>
      <c r="R893" s="199">
        <v>1.49</v>
      </c>
      <c r="T893" s="149"/>
      <c r="U893" s="149">
        <v>1.2</v>
      </c>
      <c r="V893" s="149">
        <v>0.25</v>
      </c>
      <c r="W893" s="149">
        <f t="shared" si="55"/>
        <v>1.49</v>
      </c>
      <c r="X893" s="152">
        <f t="shared" si="54"/>
        <v>0.1043</v>
      </c>
      <c r="Y893" s="150">
        <f t="shared" si="53"/>
        <v>1.01</v>
      </c>
      <c r="Z893" s="152"/>
      <c r="AC893" s="154"/>
      <c r="AD893" s="154"/>
      <c r="AE893" s="154"/>
      <c r="AF893" s="154"/>
    </row>
    <row r="894" spans="1:32" x14ac:dyDescent="0.25">
      <c r="B894" s="196" t="s">
        <v>4705</v>
      </c>
      <c r="C894" s="196" t="s">
        <v>4706</v>
      </c>
      <c r="D894" s="196" t="s">
        <v>4707</v>
      </c>
      <c r="F894" s="196" t="s">
        <v>4708</v>
      </c>
      <c r="H894" s="196" t="s">
        <v>2008</v>
      </c>
      <c r="I894" s="184" t="s">
        <v>1879</v>
      </c>
      <c r="K894" s="196" t="s">
        <v>1881</v>
      </c>
      <c r="M894" s="196">
        <v>120</v>
      </c>
      <c r="O894" s="196" t="s">
        <v>4581</v>
      </c>
      <c r="P894" s="17">
        <v>133</v>
      </c>
      <c r="Q894" s="175">
        <f t="shared" si="52"/>
        <v>8.9292999999999996</v>
      </c>
      <c r="R894" s="199">
        <v>6.99</v>
      </c>
      <c r="T894" s="149"/>
      <c r="U894" s="149">
        <v>1.2</v>
      </c>
      <c r="V894" s="151">
        <v>0.25</v>
      </c>
      <c r="W894" s="149">
        <f t="shared" si="55"/>
        <v>6.99</v>
      </c>
      <c r="X894" s="152">
        <f t="shared" si="54"/>
        <v>0.48930000000000001</v>
      </c>
      <c r="Y894" s="150">
        <f t="shared" si="53"/>
        <v>1.01</v>
      </c>
      <c r="Z894" s="152"/>
      <c r="AC894" s="154"/>
      <c r="AD894" s="154"/>
      <c r="AE894" s="154"/>
      <c r="AF894" s="154"/>
    </row>
    <row r="895" spans="1:32" x14ac:dyDescent="0.25">
      <c r="A895" s="196">
        <v>689</v>
      </c>
      <c r="B895" s="196" t="s">
        <v>4709</v>
      </c>
      <c r="C895" s="196" t="s">
        <v>4710</v>
      </c>
      <c r="D895" s="196" t="s">
        <v>1993</v>
      </c>
      <c r="E895" s="196" t="s">
        <v>1877</v>
      </c>
      <c r="F895" s="196">
        <v>2004</v>
      </c>
      <c r="H895" s="196" t="s">
        <v>1878</v>
      </c>
      <c r="I895" s="184" t="s">
        <v>1914</v>
      </c>
      <c r="K895" s="196" t="s">
        <v>1881</v>
      </c>
      <c r="L895" s="184" t="s">
        <v>4711</v>
      </c>
      <c r="M895" s="182">
        <f>512+512</f>
        <v>1024</v>
      </c>
      <c r="O895" s="196" t="s">
        <v>4582</v>
      </c>
      <c r="P895" s="17">
        <v>726</v>
      </c>
      <c r="Q895" s="175">
        <f t="shared" si="52"/>
        <v>4.2932999999999995</v>
      </c>
      <c r="R895" s="199">
        <v>2.19</v>
      </c>
      <c r="T895" s="149"/>
      <c r="U895" s="149">
        <v>1.7</v>
      </c>
      <c r="V895" s="149">
        <v>0.25</v>
      </c>
      <c r="W895" s="149">
        <f t="shared" si="55"/>
        <v>2.19</v>
      </c>
      <c r="X895" s="152">
        <f t="shared" si="54"/>
        <v>0.15329999999999999</v>
      </c>
      <c r="Y895" s="150">
        <f t="shared" si="53"/>
        <v>1.01</v>
      </c>
      <c r="Z895" s="152"/>
      <c r="AC895" s="154"/>
      <c r="AD895" s="154"/>
      <c r="AE895" s="154"/>
      <c r="AF895" s="154"/>
    </row>
    <row r="896" spans="1:32" x14ac:dyDescent="0.25">
      <c r="A896" s="196">
        <v>1389</v>
      </c>
      <c r="B896" s="196" t="s">
        <v>4712</v>
      </c>
      <c r="C896" s="196" t="s">
        <v>4713</v>
      </c>
      <c r="D896" s="196" t="s">
        <v>2117</v>
      </c>
      <c r="F896" s="196">
        <v>1996</v>
      </c>
      <c r="H896" s="196" t="s">
        <v>1878</v>
      </c>
      <c r="I896" s="184" t="s">
        <v>1879</v>
      </c>
      <c r="K896" s="196" t="s">
        <v>1881</v>
      </c>
      <c r="L896" s="184" t="s">
        <v>4714</v>
      </c>
      <c r="M896" s="196">
        <v>32</v>
      </c>
      <c r="O896" s="196" t="s">
        <v>4583</v>
      </c>
      <c r="P896" s="17">
        <v>86</v>
      </c>
      <c r="Q896" s="175">
        <f t="shared" si="52"/>
        <v>1.8673</v>
      </c>
      <c r="R896" s="199">
        <v>0.39</v>
      </c>
      <c r="T896" s="149"/>
      <c r="U896" s="149">
        <v>1.2</v>
      </c>
      <c r="V896" s="151">
        <v>0.25</v>
      </c>
      <c r="W896" s="149">
        <f t="shared" si="55"/>
        <v>0.39</v>
      </c>
      <c r="X896" s="152">
        <f t="shared" si="54"/>
        <v>2.7300000000000001E-2</v>
      </c>
      <c r="Y896" s="150">
        <f t="shared" si="53"/>
        <v>1.01</v>
      </c>
      <c r="Z896" s="152"/>
      <c r="AC896" s="154"/>
      <c r="AD896" s="154"/>
      <c r="AE896" s="154"/>
      <c r="AF896" s="154"/>
    </row>
    <row r="897" spans="1:36" x14ac:dyDescent="0.25">
      <c r="A897" s="196">
        <v>852</v>
      </c>
      <c r="B897" s="196" t="s">
        <v>4715</v>
      </c>
      <c r="C897" s="196" t="s">
        <v>4716</v>
      </c>
      <c r="D897" s="196" t="s">
        <v>4717</v>
      </c>
      <c r="E897" s="196" t="s">
        <v>1899</v>
      </c>
      <c r="F897" s="196">
        <v>2000</v>
      </c>
      <c r="H897" s="196" t="s">
        <v>2734</v>
      </c>
      <c r="I897" s="184" t="s">
        <v>1879</v>
      </c>
      <c r="J897" s="196" t="s">
        <v>2237</v>
      </c>
      <c r="K897" s="196" t="s">
        <v>1881</v>
      </c>
      <c r="L897" s="184" t="s">
        <v>4718</v>
      </c>
      <c r="M897" s="196">
        <v>334</v>
      </c>
      <c r="O897" s="196" t="s">
        <v>4584</v>
      </c>
      <c r="P897" s="17">
        <v>621</v>
      </c>
      <c r="Q897" s="175">
        <f t="shared" si="52"/>
        <v>2.2175000000000002</v>
      </c>
      <c r="R897" s="199">
        <v>0.25</v>
      </c>
      <c r="T897" s="149"/>
      <c r="U897" s="149">
        <v>1.7</v>
      </c>
      <c r="V897" s="149">
        <v>0.25</v>
      </c>
      <c r="W897" s="149">
        <f t="shared" si="55"/>
        <v>0.25</v>
      </c>
      <c r="X897" s="152">
        <f t="shared" si="54"/>
        <v>1.7500000000000002E-2</v>
      </c>
      <c r="Y897" s="150">
        <f t="shared" si="53"/>
        <v>1.01</v>
      </c>
      <c r="Z897" s="152"/>
      <c r="AC897" s="154"/>
      <c r="AD897" s="154"/>
      <c r="AE897" s="154"/>
      <c r="AF897" s="154"/>
    </row>
    <row r="898" spans="1:36" x14ac:dyDescent="0.25">
      <c r="A898" s="196">
        <v>2522</v>
      </c>
      <c r="B898" s="196" t="s">
        <v>4719</v>
      </c>
      <c r="C898" s="196" t="s">
        <v>4720</v>
      </c>
      <c r="D898" s="196" t="s">
        <v>2209</v>
      </c>
      <c r="F898" s="196">
        <v>2002</v>
      </c>
      <c r="H898" s="196" t="s">
        <v>1878</v>
      </c>
      <c r="I898" s="184" t="s">
        <v>1914</v>
      </c>
      <c r="J898" s="182" t="s">
        <v>4721</v>
      </c>
      <c r="K898" s="196" t="s">
        <v>1881</v>
      </c>
      <c r="L898" s="184" t="s">
        <v>4722</v>
      </c>
      <c r="M898" s="196">
        <v>420</v>
      </c>
      <c r="O898" s="196" t="s">
        <v>4585</v>
      </c>
      <c r="P898" s="17">
        <v>476</v>
      </c>
      <c r="Q898" s="175">
        <f t="shared" si="52"/>
        <v>1.9742999999999999</v>
      </c>
      <c r="R898" s="199">
        <v>0.49</v>
      </c>
      <c r="T898" s="149"/>
      <c r="U898" s="149">
        <v>1.2</v>
      </c>
      <c r="V898" s="151">
        <v>0.25</v>
      </c>
      <c r="W898" s="149">
        <f t="shared" si="55"/>
        <v>0.49</v>
      </c>
      <c r="X898" s="152">
        <f t="shared" si="54"/>
        <v>3.4299999999999997E-2</v>
      </c>
      <c r="Y898" s="150">
        <f t="shared" si="53"/>
        <v>1.01</v>
      </c>
      <c r="Z898" s="152"/>
      <c r="AC898" s="154"/>
      <c r="AD898" s="154"/>
      <c r="AE898" s="154"/>
      <c r="AF898" s="154"/>
    </row>
    <row r="899" spans="1:36" x14ac:dyDescent="0.25">
      <c r="A899" s="196">
        <v>2483</v>
      </c>
      <c r="B899" s="196" t="s">
        <v>4723</v>
      </c>
      <c r="C899" s="196" t="s">
        <v>1123</v>
      </c>
      <c r="D899" s="196" t="s">
        <v>1988</v>
      </c>
      <c r="H899" s="196" t="s">
        <v>1878</v>
      </c>
      <c r="I899" s="184" t="s">
        <v>1914</v>
      </c>
      <c r="K899" s="196" t="s">
        <v>1881</v>
      </c>
      <c r="L899" s="184" t="s">
        <v>4724</v>
      </c>
      <c r="M899" s="196">
        <v>324</v>
      </c>
      <c r="O899" s="196" t="s">
        <v>4586</v>
      </c>
      <c r="P899" s="17">
        <v>308</v>
      </c>
      <c r="Q899" s="175">
        <f t="shared" si="52"/>
        <v>2.4022999999999999</v>
      </c>
      <c r="R899" s="199">
        <v>0.89</v>
      </c>
      <c r="T899" s="149"/>
      <c r="U899" s="149">
        <v>1.2</v>
      </c>
      <c r="V899" s="149">
        <v>0.25</v>
      </c>
      <c r="W899" s="149">
        <f t="shared" si="55"/>
        <v>0.89</v>
      </c>
      <c r="X899" s="152">
        <f t="shared" si="54"/>
        <v>6.2300000000000001E-2</v>
      </c>
      <c r="Y899" s="150">
        <f t="shared" si="53"/>
        <v>1.01</v>
      </c>
      <c r="Z899" s="152"/>
      <c r="AC899" s="154"/>
      <c r="AD899" s="154"/>
      <c r="AE899" s="154"/>
      <c r="AF899" s="154"/>
    </row>
    <row r="900" spans="1:36" x14ac:dyDescent="0.25">
      <c r="A900" s="196">
        <v>1315</v>
      </c>
      <c r="B900" s="196" t="s">
        <v>4725</v>
      </c>
      <c r="C900" s="196" t="s">
        <v>4726</v>
      </c>
      <c r="D900" s="196" t="s">
        <v>2402</v>
      </c>
      <c r="F900" s="196">
        <v>1996</v>
      </c>
      <c r="H900" s="196" t="s">
        <v>2734</v>
      </c>
      <c r="I900" s="184" t="s">
        <v>1879</v>
      </c>
      <c r="J900" s="196" t="s">
        <v>2237</v>
      </c>
      <c r="K900" s="196" t="s">
        <v>1881</v>
      </c>
      <c r="L900" s="184" t="s">
        <v>4727</v>
      </c>
      <c r="M900" s="196">
        <v>126</v>
      </c>
      <c r="O900" s="196" t="s">
        <v>4587</v>
      </c>
      <c r="P900" s="17">
        <v>187</v>
      </c>
      <c r="Q900" s="175">
        <f t="shared" si="52"/>
        <v>2.4130000000000003</v>
      </c>
      <c r="R900" s="199">
        <v>0.9</v>
      </c>
      <c r="T900" s="149"/>
      <c r="U900" s="149">
        <v>1.2</v>
      </c>
      <c r="V900" s="151">
        <v>0.25</v>
      </c>
      <c r="W900" s="149">
        <f t="shared" si="55"/>
        <v>0.9</v>
      </c>
      <c r="X900" s="152">
        <f t="shared" si="54"/>
        <v>6.3E-2</v>
      </c>
      <c r="Y900" s="150">
        <f t="shared" si="53"/>
        <v>1.01</v>
      </c>
      <c r="Z900" s="152"/>
      <c r="AC900" s="154"/>
      <c r="AD900" s="154"/>
      <c r="AE900" s="154"/>
      <c r="AF900" s="154"/>
    </row>
    <row r="901" spans="1:36" x14ac:dyDescent="0.25">
      <c r="A901" s="196">
        <v>2522</v>
      </c>
      <c r="B901" s="196" t="s">
        <v>4728</v>
      </c>
      <c r="C901" s="196" t="s">
        <v>4729</v>
      </c>
      <c r="D901" s="196" t="s">
        <v>4131</v>
      </c>
      <c r="F901" s="196">
        <v>2012</v>
      </c>
      <c r="H901" s="196" t="s">
        <v>1878</v>
      </c>
      <c r="I901" s="184" t="s">
        <v>1879</v>
      </c>
      <c r="J901" s="143" t="s">
        <v>3854</v>
      </c>
      <c r="K901" s="196" t="s">
        <v>1881</v>
      </c>
      <c r="L901" s="184" t="s">
        <v>4730</v>
      </c>
      <c r="M901" s="196">
        <v>384</v>
      </c>
      <c r="O901" s="196" t="s">
        <v>4588</v>
      </c>
      <c r="P901" s="17">
        <v>316</v>
      </c>
      <c r="Q901" s="175">
        <f t="shared" si="52"/>
        <v>2.6162999999999998</v>
      </c>
      <c r="R901" s="199">
        <v>1.0900000000000001</v>
      </c>
      <c r="T901" s="149"/>
      <c r="U901" s="149">
        <v>1.2</v>
      </c>
      <c r="V901" s="149">
        <v>0.25</v>
      </c>
      <c r="W901" s="149">
        <f t="shared" si="55"/>
        <v>1.0900000000000001</v>
      </c>
      <c r="X901" s="152">
        <f t="shared" si="54"/>
        <v>7.6300000000000007E-2</v>
      </c>
      <c r="Y901" s="150">
        <f t="shared" si="53"/>
        <v>1.01</v>
      </c>
      <c r="Z901" s="152"/>
      <c r="AC901" s="154"/>
      <c r="AD901" s="154"/>
      <c r="AE901" s="154"/>
      <c r="AF901" s="154"/>
    </row>
    <row r="902" spans="1:36" x14ac:dyDescent="0.25">
      <c r="A902" s="196">
        <v>1389</v>
      </c>
      <c r="B902" s="196" t="s">
        <v>2115</v>
      </c>
      <c r="C902" s="196" t="s">
        <v>4731</v>
      </c>
      <c r="D902" s="196" t="s">
        <v>2117</v>
      </c>
      <c r="E902" s="196" t="s">
        <v>2175</v>
      </c>
      <c r="F902" s="196">
        <v>1998</v>
      </c>
      <c r="H902" s="196" t="s">
        <v>1878</v>
      </c>
      <c r="I902" s="184" t="s">
        <v>1929</v>
      </c>
      <c r="K902" s="196" t="s">
        <v>1881</v>
      </c>
      <c r="L902" s="184" t="s">
        <v>4732</v>
      </c>
      <c r="M902" s="196">
        <v>32</v>
      </c>
      <c r="O902" s="196" t="s">
        <v>4589</v>
      </c>
      <c r="P902" s="17">
        <v>99</v>
      </c>
      <c r="Q902" s="175">
        <f t="shared" si="52"/>
        <v>1.9742999999999999</v>
      </c>
      <c r="R902" s="199">
        <v>0.49</v>
      </c>
      <c r="T902" s="149"/>
      <c r="U902" s="149">
        <v>1.2</v>
      </c>
      <c r="V902" s="151">
        <v>0.25</v>
      </c>
      <c r="W902" s="149">
        <f t="shared" si="55"/>
        <v>0.49</v>
      </c>
      <c r="X902" s="152">
        <f t="shared" si="54"/>
        <v>3.4299999999999997E-2</v>
      </c>
      <c r="Y902" s="150">
        <f t="shared" si="53"/>
        <v>1.01</v>
      </c>
      <c r="Z902" s="152"/>
      <c r="AC902" s="154"/>
      <c r="AD902" s="154"/>
      <c r="AE902" s="154"/>
      <c r="AF902" s="154"/>
    </row>
    <row r="903" spans="1:36" x14ac:dyDescent="0.25">
      <c r="A903" s="196">
        <v>2514</v>
      </c>
      <c r="B903" s="196" t="s">
        <v>4733</v>
      </c>
      <c r="C903" s="196" t="s">
        <v>4734</v>
      </c>
      <c r="D903" s="196" t="s">
        <v>3332</v>
      </c>
      <c r="H903" s="196" t="s">
        <v>2734</v>
      </c>
      <c r="I903" s="184" t="s">
        <v>1879</v>
      </c>
      <c r="J903" s="196" t="s">
        <v>2505</v>
      </c>
      <c r="K903" s="196" t="s">
        <v>1881</v>
      </c>
      <c r="L903" s="184" t="s">
        <v>4735</v>
      </c>
      <c r="M903" s="196">
        <v>258</v>
      </c>
      <c r="O903" s="196" t="s">
        <v>4590</v>
      </c>
      <c r="P903" s="17">
        <v>410</v>
      </c>
      <c r="Q903" s="175">
        <f t="shared" si="52"/>
        <v>1.9315</v>
      </c>
      <c r="R903" s="199">
        <v>0.45</v>
      </c>
      <c r="T903" s="149"/>
      <c r="U903" s="149">
        <v>1.2</v>
      </c>
      <c r="V903" s="149">
        <v>0.25</v>
      </c>
      <c r="W903" s="149">
        <f t="shared" si="55"/>
        <v>0.45</v>
      </c>
      <c r="X903" s="152">
        <f t="shared" si="54"/>
        <v>3.15E-2</v>
      </c>
      <c r="Y903" s="150">
        <f t="shared" si="53"/>
        <v>1.01</v>
      </c>
      <c r="Z903" s="152"/>
      <c r="AC903" s="154"/>
      <c r="AD903" s="154"/>
      <c r="AE903" s="154"/>
      <c r="AF903" s="154"/>
    </row>
    <row r="904" spans="1:36" x14ac:dyDescent="0.25">
      <c r="A904" s="196">
        <v>1940</v>
      </c>
      <c r="C904" s="196" t="s">
        <v>4736</v>
      </c>
      <c r="D904" s="196" t="s">
        <v>3524</v>
      </c>
      <c r="E904" s="182" t="s">
        <v>1913</v>
      </c>
      <c r="F904" s="196">
        <v>1996</v>
      </c>
      <c r="H904" s="196" t="s">
        <v>2734</v>
      </c>
      <c r="I904" s="184" t="s">
        <v>1879</v>
      </c>
      <c r="J904" s="196" t="s">
        <v>2237</v>
      </c>
      <c r="K904" s="196" t="s">
        <v>1881</v>
      </c>
      <c r="L904" s="184" t="s">
        <v>4737</v>
      </c>
      <c r="M904" s="196">
        <v>254</v>
      </c>
      <c r="O904" s="196" t="s">
        <v>4591</v>
      </c>
      <c r="P904" s="17">
        <v>375</v>
      </c>
      <c r="Q904" s="175">
        <f t="shared" si="52"/>
        <v>1.8673</v>
      </c>
      <c r="R904" s="199">
        <v>0.39</v>
      </c>
      <c r="T904" s="149"/>
      <c r="U904" s="149">
        <v>1.2</v>
      </c>
      <c r="V904" s="151">
        <v>0.25</v>
      </c>
      <c r="W904" s="149">
        <f t="shared" si="55"/>
        <v>0.39</v>
      </c>
      <c r="X904" s="152">
        <f t="shared" si="54"/>
        <v>2.7300000000000001E-2</v>
      </c>
      <c r="Y904" s="150">
        <f t="shared" si="53"/>
        <v>1.01</v>
      </c>
      <c r="Z904" s="152"/>
      <c r="AC904" s="154"/>
      <c r="AD904" s="154"/>
      <c r="AE904" s="154"/>
      <c r="AF904" s="154"/>
    </row>
    <row r="905" spans="1:36" x14ac:dyDescent="0.25">
      <c r="A905" s="196">
        <v>796</v>
      </c>
      <c r="B905" s="196" t="s">
        <v>4738</v>
      </c>
      <c r="C905" s="196" t="s">
        <v>4739</v>
      </c>
      <c r="D905" s="196" t="s">
        <v>2300</v>
      </c>
      <c r="E905" s="196" t="s">
        <v>1921</v>
      </c>
      <c r="F905" s="196">
        <v>2015</v>
      </c>
      <c r="H905" s="196" t="s">
        <v>1878</v>
      </c>
      <c r="I905" s="184" t="s">
        <v>1879</v>
      </c>
      <c r="J905" s="143" t="s">
        <v>4741</v>
      </c>
      <c r="K905" s="196" t="s">
        <v>1881</v>
      </c>
      <c r="L905" s="184" t="s">
        <v>4740</v>
      </c>
      <c r="M905" s="196">
        <v>368</v>
      </c>
      <c r="O905" s="196" t="s">
        <v>4592</v>
      </c>
      <c r="P905" s="17">
        <v>381</v>
      </c>
      <c r="Q905" s="175">
        <f t="shared" si="52"/>
        <v>1.9742999999999999</v>
      </c>
      <c r="R905" s="199">
        <v>0.49</v>
      </c>
      <c r="T905" s="149"/>
      <c r="U905" s="149">
        <v>1.2</v>
      </c>
      <c r="V905" s="149">
        <v>0.25</v>
      </c>
      <c r="W905" s="149">
        <f t="shared" si="55"/>
        <v>0.49</v>
      </c>
      <c r="X905" s="152">
        <f t="shared" si="54"/>
        <v>3.4299999999999997E-2</v>
      </c>
      <c r="Y905" s="150">
        <f t="shared" si="53"/>
        <v>1.01</v>
      </c>
      <c r="Z905" s="152"/>
      <c r="AC905" s="154"/>
      <c r="AD905" s="154"/>
      <c r="AE905" s="154"/>
      <c r="AF905" s="154"/>
    </row>
    <row r="906" spans="1:36" s="146" customFormat="1" x14ac:dyDescent="0.25">
      <c r="A906" s="196">
        <v>775</v>
      </c>
      <c r="B906" s="196" t="s">
        <v>4792</v>
      </c>
      <c r="C906" s="196" t="s">
        <v>4793</v>
      </c>
      <c r="D906" s="196" t="s">
        <v>2054</v>
      </c>
      <c r="E906" s="196"/>
      <c r="F906" s="196">
        <v>2014</v>
      </c>
      <c r="G906" s="196"/>
      <c r="H906" s="196" t="s">
        <v>1878</v>
      </c>
      <c r="I906" s="141" t="s">
        <v>1879</v>
      </c>
      <c r="J906" s="196" t="s">
        <v>2237</v>
      </c>
      <c r="K906" s="196" t="s">
        <v>1881</v>
      </c>
      <c r="L906" s="141" t="s">
        <v>4794</v>
      </c>
      <c r="M906" s="196">
        <v>640</v>
      </c>
      <c r="N906" s="196"/>
      <c r="O906" s="196" t="s">
        <v>4742</v>
      </c>
      <c r="P906" s="144">
        <v>467</v>
      </c>
      <c r="Q906" s="175">
        <f t="shared" si="52"/>
        <v>2.7232999999999996</v>
      </c>
      <c r="R906" s="203">
        <v>1.19</v>
      </c>
      <c r="S906" s="203"/>
      <c r="T906" s="151"/>
      <c r="U906" s="149">
        <v>1.2</v>
      </c>
      <c r="V906" s="151">
        <v>0.25</v>
      </c>
      <c r="W906" s="149">
        <f t="shared" si="55"/>
        <v>1.19</v>
      </c>
      <c r="X906" s="152">
        <f t="shared" si="54"/>
        <v>8.3299999999999999E-2</v>
      </c>
      <c r="Y906" s="150">
        <f t="shared" si="53"/>
        <v>1.01</v>
      </c>
      <c r="Z906" s="152"/>
      <c r="AC906" s="85"/>
      <c r="AD906" s="85"/>
      <c r="AE906" s="85"/>
      <c r="AF906" s="85"/>
      <c r="AG906" s="198"/>
      <c r="AJ906" s="147"/>
    </row>
    <row r="907" spans="1:36" x14ac:dyDescent="0.25">
      <c r="A907" s="182">
        <v>2522</v>
      </c>
      <c r="B907" s="182" t="s">
        <v>2456</v>
      </c>
      <c r="C907" s="182" t="s">
        <v>4795</v>
      </c>
      <c r="D907" s="182" t="s">
        <v>1912</v>
      </c>
      <c r="E907" s="196" t="s">
        <v>2412</v>
      </c>
      <c r="F907" s="182">
        <v>2008</v>
      </c>
      <c r="H907" s="196" t="s">
        <v>1878</v>
      </c>
      <c r="I907" s="184" t="s">
        <v>1879</v>
      </c>
      <c r="K907" s="182" t="s">
        <v>1881</v>
      </c>
      <c r="L907" s="184" t="s">
        <v>4796</v>
      </c>
      <c r="M907" s="182">
        <v>640</v>
      </c>
      <c r="O907" s="196" t="s">
        <v>4743</v>
      </c>
      <c r="P907" s="17">
        <v>507</v>
      </c>
      <c r="Q907" s="175">
        <f t="shared" si="52"/>
        <v>3.0093000000000001</v>
      </c>
      <c r="R907" s="199">
        <v>0.99</v>
      </c>
      <c r="T907" s="149"/>
      <c r="U907" s="149">
        <v>1.7</v>
      </c>
      <c r="V907" s="149">
        <v>0.25</v>
      </c>
      <c r="W907" s="149">
        <f t="shared" si="55"/>
        <v>0.99</v>
      </c>
      <c r="X907" s="152">
        <f t="shared" si="54"/>
        <v>6.93E-2</v>
      </c>
      <c r="Y907" s="150">
        <f t="shared" si="53"/>
        <v>1.01</v>
      </c>
      <c r="Z907" s="152"/>
      <c r="AC907" s="154"/>
      <c r="AD907" s="154"/>
      <c r="AE907" s="154"/>
      <c r="AF907" s="154"/>
    </row>
    <row r="908" spans="1:36" x14ac:dyDescent="0.25">
      <c r="A908" s="182">
        <v>796</v>
      </c>
      <c r="B908" s="182" t="s">
        <v>4797</v>
      </c>
      <c r="C908" s="182" t="s">
        <v>4798</v>
      </c>
      <c r="D908" s="182" t="s">
        <v>1876</v>
      </c>
      <c r="E908" s="196" t="s">
        <v>1921</v>
      </c>
      <c r="F908" s="182">
        <v>2002</v>
      </c>
      <c r="H908" s="196" t="s">
        <v>1878</v>
      </c>
      <c r="I908" s="184" t="s">
        <v>1879</v>
      </c>
      <c r="J908" s="196" t="s">
        <v>2237</v>
      </c>
      <c r="K908" s="196" t="s">
        <v>1881</v>
      </c>
      <c r="L908" s="184" t="s">
        <v>4799</v>
      </c>
      <c r="M908" s="182">
        <v>120</v>
      </c>
      <c r="O908" s="196" t="s">
        <v>4744</v>
      </c>
      <c r="P908" s="17">
        <v>215</v>
      </c>
      <c r="Q908" s="175">
        <f t="shared" si="52"/>
        <v>2.5093000000000001</v>
      </c>
      <c r="R908" s="203">
        <v>0.99</v>
      </c>
      <c r="S908" s="203"/>
      <c r="T908" s="151"/>
      <c r="U908" s="149">
        <v>1.2</v>
      </c>
      <c r="V908" s="151">
        <v>0.25</v>
      </c>
      <c r="W908" s="149">
        <f t="shared" si="55"/>
        <v>0.99</v>
      </c>
      <c r="X908" s="152">
        <f t="shared" si="54"/>
        <v>6.93E-2</v>
      </c>
      <c r="Y908" s="150">
        <f t="shared" si="53"/>
        <v>1.01</v>
      </c>
      <c r="Z908" s="152"/>
      <c r="AC908" s="154"/>
      <c r="AD908" s="154"/>
      <c r="AE908" s="154"/>
      <c r="AF908" s="154"/>
    </row>
    <row r="909" spans="1:36" x14ac:dyDescent="0.25">
      <c r="A909" s="196">
        <v>689</v>
      </c>
      <c r="B909" s="196" t="s">
        <v>2470</v>
      </c>
      <c r="C909" s="196" t="s">
        <v>4800</v>
      </c>
      <c r="D909" s="196" t="s">
        <v>2054</v>
      </c>
      <c r="F909" s="196">
        <v>2007</v>
      </c>
      <c r="H909" s="196" t="s">
        <v>1878</v>
      </c>
      <c r="I909" s="184" t="s">
        <v>1879</v>
      </c>
      <c r="J909" s="196" t="s">
        <v>4198</v>
      </c>
      <c r="K909" s="196" t="s">
        <v>1881</v>
      </c>
      <c r="L909" s="184" t="s">
        <v>4801</v>
      </c>
      <c r="M909" s="196">
        <v>800</v>
      </c>
      <c r="O909" s="196" t="s">
        <v>4745</v>
      </c>
      <c r="P909" s="17">
        <v>582</v>
      </c>
      <c r="Q909" s="175">
        <f t="shared" si="52"/>
        <v>3.0093000000000001</v>
      </c>
      <c r="R909" s="203">
        <v>0.99</v>
      </c>
      <c r="S909" s="203"/>
      <c r="T909" s="151"/>
      <c r="U909" s="149">
        <v>1.7</v>
      </c>
      <c r="V909" s="149">
        <v>0.25</v>
      </c>
      <c r="W909" s="149">
        <f t="shared" si="55"/>
        <v>0.99</v>
      </c>
      <c r="X909" s="152">
        <f t="shared" si="54"/>
        <v>6.93E-2</v>
      </c>
      <c r="Y909" s="150">
        <f t="shared" si="53"/>
        <v>1.01</v>
      </c>
      <c r="Z909" s="152"/>
      <c r="AC909" s="154"/>
      <c r="AD909" s="154"/>
      <c r="AE909" s="154"/>
      <c r="AF909" s="154"/>
    </row>
    <row r="910" spans="1:36" x14ac:dyDescent="0.25">
      <c r="A910" s="196">
        <v>1395</v>
      </c>
      <c r="B910" s="196" t="s">
        <v>4802</v>
      </c>
      <c r="C910" s="196" t="s">
        <v>4803</v>
      </c>
      <c r="D910" s="196" t="s">
        <v>1920</v>
      </c>
      <c r="E910" s="196" t="s">
        <v>2606</v>
      </c>
      <c r="F910" s="196">
        <v>2011</v>
      </c>
      <c r="H910" s="196" t="s">
        <v>1878</v>
      </c>
      <c r="I910" s="184" t="s">
        <v>1879</v>
      </c>
      <c r="J910" s="196" t="s">
        <v>4198</v>
      </c>
      <c r="K910" s="196" t="s">
        <v>1881</v>
      </c>
      <c r="L910" s="184" t="s">
        <v>4804</v>
      </c>
      <c r="M910" s="196">
        <v>320</v>
      </c>
      <c r="O910" s="196" t="s">
        <v>4746</v>
      </c>
      <c r="P910" s="17">
        <v>308</v>
      </c>
      <c r="Q910" s="175">
        <f t="shared" si="52"/>
        <v>2.5093000000000001</v>
      </c>
      <c r="R910" s="203">
        <v>0.99</v>
      </c>
      <c r="S910" s="203"/>
      <c r="T910" s="151"/>
      <c r="U910" s="149">
        <v>1.2</v>
      </c>
      <c r="V910" s="151">
        <v>0.25</v>
      </c>
      <c r="W910" s="149">
        <f t="shared" si="55"/>
        <v>0.99</v>
      </c>
      <c r="X910" s="152">
        <f t="shared" si="54"/>
        <v>6.93E-2</v>
      </c>
      <c r="Y910" s="150">
        <f t="shared" si="53"/>
        <v>1.01</v>
      </c>
      <c r="Z910" s="152"/>
      <c r="AC910" s="154"/>
      <c r="AD910" s="154"/>
      <c r="AE910" s="154"/>
      <c r="AF910" s="154"/>
    </row>
    <row r="911" spans="1:36" x14ac:dyDescent="0.25">
      <c r="A911" s="196">
        <v>735</v>
      </c>
      <c r="B911" s="196" t="s">
        <v>4805</v>
      </c>
      <c r="C911" s="196" t="s">
        <v>4806</v>
      </c>
      <c r="D911" s="196" t="s">
        <v>2309</v>
      </c>
      <c r="H911" s="196" t="s">
        <v>2734</v>
      </c>
      <c r="I911" s="184" t="s">
        <v>1879</v>
      </c>
      <c r="K911" s="196" t="s">
        <v>1881</v>
      </c>
      <c r="M911" s="196">
        <v>258</v>
      </c>
      <c r="O911" s="196" t="s">
        <v>4747</v>
      </c>
      <c r="P911" s="17">
        <v>398</v>
      </c>
      <c r="Q911" s="175">
        <f t="shared" si="52"/>
        <v>1.9742999999999999</v>
      </c>
      <c r="R911" s="203">
        <v>0.49</v>
      </c>
      <c r="S911" s="203"/>
      <c r="T911" s="151"/>
      <c r="U911" s="149">
        <v>1.2</v>
      </c>
      <c r="V911" s="149">
        <v>0.25</v>
      </c>
      <c r="W911" s="149">
        <f t="shared" si="55"/>
        <v>0.49</v>
      </c>
      <c r="X911" s="152">
        <f t="shared" si="54"/>
        <v>3.4299999999999997E-2</v>
      </c>
      <c r="Y911" s="150">
        <f t="shared" si="53"/>
        <v>1.01</v>
      </c>
      <c r="Z911" s="152"/>
      <c r="AC911" s="154"/>
      <c r="AD911" s="154"/>
      <c r="AE911" s="154"/>
      <c r="AF911" s="154"/>
    </row>
    <row r="912" spans="1:36" x14ac:dyDescent="0.25">
      <c r="A912" s="196">
        <v>852</v>
      </c>
      <c r="B912" s="196" t="s">
        <v>4807</v>
      </c>
      <c r="C912" s="196" t="s">
        <v>3084</v>
      </c>
      <c r="D912" s="196" t="s">
        <v>2309</v>
      </c>
      <c r="E912" s="196" t="s">
        <v>3053</v>
      </c>
      <c r="F912" s="196">
        <v>2004</v>
      </c>
      <c r="H912" s="196" t="s">
        <v>1878</v>
      </c>
      <c r="I912" s="184" t="s">
        <v>1879</v>
      </c>
      <c r="J912" s="196" t="s">
        <v>2237</v>
      </c>
      <c r="K912" s="196" t="s">
        <v>1881</v>
      </c>
      <c r="L912" s="184" t="s">
        <v>4808</v>
      </c>
      <c r="M912" s="196">
        <v>284</v>
      </c>
      <c r="O912" s="196" t="s">
        <v>4748</v>
      </c>
      <c r="P912" s="17">
        <v>232</v>
      </c>
      <c r="Q912" s="175">
        <f t="shared" si="52"/>
        <v>2.5093000000000001</v>
      </c>
      <c r="R912" s="203">
        <v>0.99</v>
      </c>
      <c r="S912" s="203"/>
      <c r="T912" s="151"/>
      <c r="U912" s="149">
        <v>1.2</v>
      </c>
      <c r="V912" s="151">
        <v>0.25</v>
      </c>
      <c r="W912" s="149">
        <f t="shared" si="55"/>
        <v>0.99</v>
      </c>
      <c r="X912" s="152">
        <f t="shared" si="54"/>
        <v>6.93E-2</v>
      </c>
      <c r="Y912" s="150">
        <f t="shared" si="53"/>
        <v>1.01</v>
      </c>
      <c r="Z912" s="152"/>
      <c r="AC912" s="154"/>
      <c r="AD912" s="154"/>
      <c r="AE912" s="154"/>
      <c r="AF912" s="154"/>
    </row>
    <row r="913" spans="1:32" x14ac:dyDescent="0.25">
      <c r="A913" s="196">
        <v>2851</v>
      </c>
      <c r="B913" s="196" t="s">
        <v>4809</v>
      </c>
      <c r="C913" s="196" t="s">
        <v>4810</v>
      </c>
      <c r="D913" s="196" t="s">
        <v>2232</v>
      </c>
      <c r="E913" s="196" t="s">
        <v>1913</v>
      </c>
      <c r="F913" s="196">
        <v>2008</v>
      </c>
      <c r="H913" s="196" t="s">
        <v>1878</v>
      </c>
      <c r="I913" s="184" t="s">
        <v>1879</v>
      </c>
      <c r="J913" s="143" t="s">
        <v>4811</v>
      </c>
      <c r="K913" s="196" t="s">
        <v>1881</v>
      </c>
      <c r="L913" s="184" t="s">
        <v>4812</v>
      </c>
      <c r="M913" s="196">
        <v>256</v>
      </c>
      <c r="O913" s="196" t="s">
        <v>4749</v>
      </c>
      <c r="P913" s="17">
        <v>242</v>
      </c>
      <c r="Q913" s="175">
        <f t="shared" si="52"/>
        <v>2.5093000000000001</v>
      </c>
      <c r="R913" s="203">
        <v>0.99</v>
      </c>
      <c r="S913" s="203"/>
      <c r="T913" s="151"/>
      <c r="U913" s="149">
        <v>1.2</v>
      </c>
      <c r="V913" s="149">
        <v>0.25</v>
      </c>
      <c r="W913" s="149">
        <f t="shared" si="55"/>
        <v>0.99</v>
      </c>
      <c r="X913" s="152">
        <f t="shared" si="54"/>
        <v>6.93E-2</v>
      </c>
      <c r="Y913" s="150">
        <f t="shared" si="53"/>
        <v>1.01</v>
      </c>
      <c r="Z913" s="152"/>
      <c r="AC913" s="154"/>
      <c r="AD913" s="154"/>
      <c r="AE913" s="154"/>
      <c r="AF913" s="154"/>
    </row>
    <row r="914" spans="1:32" x14ac:dyDescent="0.25">
      <c r="A914" s="196">
        <v>632</v>
      </c>
      <c r="B914" s="196" t="s">
        <v>4813</v>
      </c>
      <c r="C914" s="196" t="s">
        <v>4814</v>
      </c>
      <c r="D914" s="196" t="s">
        <v>2054</v>
      </c>
      <c r="F914" s="196">
        <v>2000</v>
      </c>
      <c r="H914" s="196" t="s">
        <v>2734</v>
      </c>
      <c r="I914" s="184" t="s">
        <v>1879</v>
      </c>
      <c r="J914" s="196" t="s">
        <v>4198</v>
      </c>
      <c r="K914" s="196" t="s">
        <v>1881</v>
      </c>
      <c r="L914" s="184" t="s">
        <v>4815</v>
      </c>
      <c r="M914" s="196">
        <v>658</v>
      </c>
      <c r="O914" s="196" t="s">
        <v>4750</v>
      </c>
      <c r="P914" s="17">
        <v>547</v>
      </c>
      <c r="Q914" s="175">
        <f t="shared" si="52"/>
        <v>3.0093000000000001</v>
      </c>
      <c r="R914" s="203">
        <v>0.99</v>
      </c>
      <c r="S914" s="203"/>
      <c r="T914" s="151"/>
      <c r="U914" s="149">
        <v>1.7</v>
      </c>
      <c r="V914" s="151">
        <v>0.25</v>
      </c>
      <c r="W914" s="149">
        <f t="shared" si="55"/>
        <v>0.99</v>
      </c>
      <c r="X914" s="152">
        <f t="shared" si="54"/>
        <v>6.93E-2</v>
      </c>
      <c r="Y914" s="150">
        <f t="shared" si="53"/>
        <v>1.01</v>
      </c>
      <c r="Z914" s="152"/>
      <c r="AC914" s="154"/>
      <c r="AD914" s="154"/>
      <c r="AE914" s="154"/>
      <c r="AF914" s="154"/>
    </row>
    <row r="915" spans="1:32" x14ac:dyDescent="0.25">
      <c r="A915" s="196">
        <v>1396</v>
      </c>
      <c r="B915" s="196" t="s">
        <v>4816</v>
      </c>
      <c r="C915" s="196" t="s">
        <v>4817</v>
      </c>
      <c r="D915" s="196" t="s">
        <v>2257</v>
      </c>
      <c r="F915" s="196">
        <v>2001</v>
      </c>
      <c r="H915" s="196" t="s">
        <v>1878</v>
      </c>
      <c r="I915" s="184" t="s">
        <v>1879</v>
      </c>
      <c r="K915" s="196" t="s">
        <v>1881</v>
      </c>
      <c r="M915" s="196">
        <v>352</v>
      </c>
      <c r="O915" s="196" t="s">
        <v>4751</v>
      </c>
      <c r="P915" s="17">
        <v>263</v>
      </c>
      <c r="Q915" s="175">
        <f t="shared" si="52"/>
        <v>1.9742999999999999</v>
      </c>
      <c r="R915" s="203">
        <v>0.49</v>
      </c>
      <c r="S915" s="203"/>
      <c r="T915" s="151"/>
      <c r="U915" s="149">
        <v>1.2</v>
      </c>
      <c r="V915" s="149">
        <v>0.25</v>
      </c>
      <c r="W915" s="149">
        <f t="shared" si="55"/>
        <v>0.49</v>
      </c>
      <c r="X915" s="152">
        <f t="shared" si="54"/>
        <v>3.4299999999999997E-2</v>
      </c>
      <c r="Y915" s="150">
        <f t="shared" si="53"/>
        <v>1.01</v>
      </c>
      <c r="Z915" s="152"/>
      <c r="AC915" s="154"/>
      <c r="AD915" s="154"/>
      <c r="AE915" s="154"/>
      <c r="AF915" s="154"/>
    </row>
    <row r="916" spans="1:32" x14ac:dyDescent="0.25">
      <c r="A916" s="196">
        <v>2522</v>
      </c>
      <c r="B916" s="196" t="s">
        <v>4818</v>
      </c>
      <c r="C916" s="196" t="s">
        <v>4819</v>
      </c>
      <c r="D916" s="196" t="s">
        <v>1912</v>
      </c>
      <c r="F916" s="196">
        <v>2010</v>
      </c>
      <c r="H916" s="196" t="s">
        <v>1878</v>
      </c>
      <c r="I916" s="184" t="s">
        <v>1879</v>
      </c>
      <c r="K916" s="196" t="s">
        <v>1881</v>
      </c>
      <c r="L916" s="184" t="s">
        <v>4820</v>
      </c>
      <c r="M916" s="196">
        <v>288</v>
      </c>
      <c r="O916" s="196" t="s">
        <v>4752</v>
      </c>
      <c r="P916" s="17">
        <v>170</v>
      </c>
      <c r="Q916" s="175">
        <f t="shared" si="52"/>
        <v>2.5093000000000001</v>
      </c>
      <c r="R916" s="203">
        <v>0.99</v>
      </c>
      <c r="S916" s="203"/>
      <c r="T916" s="151"/>
      <c r="U916" s="149">
        <v>1.2</v>
      </c>
      <c r="V916" s="151">
        <v>0.25</v>
      </c>
      <c r="W916" s="149">
        <f t="shared" si="55"/>
        <v>0.99</v>
      </c>
      <c r="X916" s="152">
        <f t="shared" si="54"/>
        <v>6.93E-2</v>
      </c>
      <c r="Y916" s="150">
        <f t="shared" si="53"/>
        <v>1.01</v>
      </c>
      <c r="Z916" s="152"/>
      <c r="AC916" s="154"/>
      <c r="AD916" s="154"/>
      <c r="AE916" s="154"/>
      <c r="AF916" s="154"/>
    </row>
    <row r="917" spans="1:32" x14ac:dyDescent="0.25">
      <c r="A917" s="196">
        <v>765</v>
      </c>
      <c r="B917" s="196" t="s">
        <v>3715</v>
      </c>
      <c r="C917" s="196" t="s">
        <v>4821</v>
      </c>
      <c r="D917" s="196" t="s">
        <v>2309</v>
      </c>
      <c r="E917" s="196" t="s">
        <v>1877</v>
      </c>
      <c r="F917" s="196">
        <v>2002</v>
      </c>
      <c r="H917" s="196" t="s">
        <v>1878</v>
      </c>
      <c r="I917" s="184" t="s">
        <v>1879</v>
      </c>
      <c r="K917" s="196" t="s">
        <v>1881</v>
      </c>
      <c r="L917" s="184" t="s">
        <v>4822</v>
      </c>
      <c r="M917" s="196">
        <v>368</v>
      </c>
      <c r="O917" s="196" t="s">
        <v>4753</v>
      </c>
      <c r="P917" s="17">
        <v>508</v>
      </c>
      <c r="Q917" s="175">
        <f t="shared" si="52"/>
        <v>3.0093000000000001</v>
      </c>
      <c r="R917" s="203">
        <v>0.99</v>
      </c>
      <c r="S917" s="203"/>
      <c r="T917" s="151"/>
      <c r="U917" s="149">
        <v>1.7</v>
      </c>
      <c r="V917" s="149">
        <v>0.25</v>
      </c>
      <c r="W917" s="149">
        <f t="shared" si="55"/>
        <v>0.99</v>
      </c>
      <c r="X917" s="152">
        <f t="shared" si="54"/>
        <v>6.93E-2</v>
      </c>
      <c r="Y917" s="150">
        <f t="shared" si="53"/>
        <v>1.01</v>
      </c>
      <c r="Z917" s="152"/>
      <c r="AC917" s="154"/>
      <c r="AD917" s="154"/>
      <c r="AE917" s="154"/>
      <c r="AF917" s="154"/>
    </row>
    <row r="918" spans="1:32" x14ac:dyDescent="0.25">
      <c r="A918" s="196">
        <v>1339</v>
      </c>
      <c r="B918" s="196" t="s">
        <v>4823</v>
      </c>
      <c r="C918" s="196" t="s">
        <v>4824</v>
      </c>
      <c r="D918" s="196" t="s">
        <v>4825</v>
      </c>
      <c r="E918" s="196" t="s">
        <v>2175</v>
      </c>
      <c r="F918" s="196">
        <v>1997</v>
      </c>
      <c r="H918" s="196" t="s">
        <v>2734</v>
      </c>
      <c r="I918" s="184" t="s">
        <v>1879</v>
      </c>
      <c r="K918" s="196" t="s">
        <v>1881</v>
      </c>
      <c r="L918" s="184" t="s">
        <v>4826</v>
      </c>
      <c r="M918" s="196">
        <v>210</v>
      </c>
      <c r="O918" s="196" t="s">
        <v>4754</v>
      </c>
      <c r="P918" s="17">
        <v>519</v>
      </c>
      <c r="Q918" s="175">
        <f t="shared" si="52"/>
        <v>2.4742999999999999</v>
      </c>
      <c r="R918" s="203">
        <v>0.49</v>
      </c>
      <c r="S918" s="203"/>
      <c r="T918" s="151"/>
      <c r="U918" s="149">
        <v>1.7</v>
      </c>
      <c r="V918" s="151">
        <v>0.25</v>
      </c>
      <c r="W918" s="149">
        <f t="shared" si="55"/>
        <v>0.49</v>
      </c>
      <c r="X918" s="152">
        <f t="shared" si="54"/>
        <v>3.4299999999999997E-2</v>
      </c>
      <c r="Y918" s="150">
        <f t="shared" si="53"/>
        <v>1.01</v>
      </c>
      <c r="Z918" s="152"/>
      <c r="AC918" s="154"/>
      <c r="AD918" s="154"/>
      <c r="AE918" s="154"/>
      <c r="AF918" s="154"/>
    </row>
    <row r="919" spans="1:32" x14ac:dyDescent="0.25">
      <c r="A919" s="196">
        <v>1395</v>
      </c>
      <c r="B919" s="196" t="s">
        <v>4827</v>
      </c>
      <c r="C919" s="196" t="s">
        <v>4828</v>
      </c>
      <c r="D919" s="196" t="s">
        <v>1876</v>
      </c>
      <c r="E919" s="196" t="s">
        <v>2032</v>
      </c>
      <c r="F919" s="196">
        <v>2002</v>
      </c>
      <c r="H919" s="196" t="s">
        <v>1878</v>
      </c>
      <c r="I919" s="184" t="s">
        <v>1879</v>
      </c>
      <c r="K919" s="196" t="s">
        <v>1881</v>
      </c>
      <c r="L919" s="184" t="s">
        <v>4829</v>
      </c>
      <c r="M919" s="196">
        <v>320</v>
      </c>
      <c r="O919" s="196" t="s">
        <v>4755</v>
      </c>
      <c r="P919" s="17">
        <v>267</v>
      </c>
      <c r="Q919" s="175">
        <f t="shared" si="52"/>
        <v>1.9742999999999999</v>
      </c>
      <c r="R919" s="203">
        <v>0.49</v>
      </c>
      <c r="S919" s="203"/>
      <c r="T919" s="151"/>
      <c r="U919" s="149">
        <v>1.2</v>
      </c>
      <c r="V919" s="149">
        <v>0.25</v>
      </c>
      <c r="W919" s="149">
        <f t="shared" si="55"/>
        <v>0.49</v>
      </c>
      <c r="X919" s="152">
        <f t="shared" si="54"/>
        <v>3.4299999999999997E-2</v>
      </c>
      <c r="Y919" s="150">
        <f t="shared" si="53"/>
        <v>1.01</v>
      </c>
      <c r="Z919" s="152"/>
      <c r="AC919" s="154"/>
      <c r="AD919" s="154"/>
      <c r="AE919" s="154"/>
      <c r="AF919" s="154"/>
    </row>
    <row r="920" spans="1:32" x14ac:dyDescent="0.25">
      <c r="A920" s="196">
        <v>2202</v>
      </c>
      <c r="C920" s="196" t="s">
        <v>4830</v>
      </c>
      <c r="D920" s="196" t="s">
        <v>4831</v>
      </c>
      <c r="E920" s="196" t="s">
        <v>1899</v>
      </c>
      <c r="F920" s="196">
        <v>2007</v>
      </c>
      <c r="H920" s="196" t="s">
        <v>1878</v>
      </c>
      <c r="I920" s="184" t="s">
        <v>1879</v>
      </c>
      <c r="K920" s="196" t="s">
        <v>1881</v>
      </c>
      <c r="L920" s="184" t="s">
        <v>4832</v>
      </c>
      <c r="M920" s="196">
        <v>496</v>
      </c>
      <c r="O920" s="196" t="s">
        <v>4756</v>
      </c>
      <c r="P920" s="17">
        <v>635</v>
      </c>
      <c r="Q920" s="175">
        <f t="shared" si="52"/>
        <v>3.0093000000000001</v>
      </c>
      <c r="R920" s="203">
        <v>0.99</v>
      </c>
      <c r="S920" s="203"/>
      <c r="T920" s="151"/>
      <c r="U920" s="149">
        <v>1.7</v>
      </c>
      <c r="V920" s="151">
        <v>0.25</v>
      </c>
      <c r="W920" s="149">
        <f t="shared" si="55"/>
        <v>0.99</v>
      </c>
      <c r="X920" s="152">
        <f t="shared" si="54"/>
        <v>6.93E-2</v>
      </c>
      <c r="Y920" s="150">
        <f t="shared" si="53"/>
        <v>1.01</v>
      </c>
      <c r="Z920" s="152"/>
      <c r="AC920" s="154"/>
      <c r="AD920" s="154"/>
      <c r="AE920" s="154"/>
      <c r="AF920" s="154"/>
    </row>
    <row r="921" spans="1:32" x14ac:dyDescent="0.25">
      <c r="A921" s="196">
        <v>829</v>
      </c>
      <c r="C921" s="196" t="s">
        <v>4833</v>
      </c>
      <c r="D921" s="196" t="s">
        <v>4834</v>
      </c>
      <c r="E921" s="196" t="s">
        <v>2175</v>
      </c>
      <c r="F921" s="196">
        <v>1983</v>
      </c>
      <c r="H921" s="196" t="s">
        <v>1878</v>
      </c>
      <c r="I921" s="184" t="s">
        <v>1879</v>
      </c>
      <c r="K921" s="196" t="s">
        <v>1881</v>
      </c>
      <c r="L921" s="184" t="s">
        <v>4835</v>
      </c>
      <c r="M921" s="196">
        <v>168</v>
      </c>
      <c r="O921" s="196" t="s">
        <v>4757</v>
      </c>
      <c r="P921" s="17">
        <v>209</v>
      </c>
      <c r="Q921" s="175">
        <f t="shared" si="52"/>
        <v>2.5093000000000001</v>
      </c>
      <c r="R921" s="203">
        <v>0.99</v>
      </c>
      <c r="S921" s="203"/>
      <c r="T921" s="151"/>
      <c r="U921" s="149">
        <v>1.2</v>
      </c>
      <c r="V921" s="149">
        <v>0.25</v>
      </c>
      <c r="W921" s="149">
        <f t="shared" si="55"/>
        <v>0.99</v>
      </c>
      <c r="X921" s="152">
        <f t="shared" si="54"/>
        <v>6.93E-2</v>
      </c>
      <c r="Y921" s="150">
        <f t="shared" si="53"/>
        <v>1.01</v>
      </c>
      <c r="Z921" s="152"/>
      <c r="AC921" s="154"/>
      <c r="AD921" s="154"/>
      <c r="AE921" s="154"/>
      <c r="AF921" s="154"/>
    </row>
    <row r="922" spans="1:32" x14ac:dyDescent="0.25">
      <c r="A922" s="196">
        <v>721</v>
      </c>
      <c r="B922" s="196" t="s">
        <v>4836</v>
      </c>
      <c r="C922" s="196" t="s">
        <v>4837</v>
      </c>
      <c r="D922" s="196" t="s">
        <v>3057</v>
      </c>
      <c r="E922" s="196" t="s">
        <v>1899</v>
      </c>
      <c r="F922" s="196">
        <v>2003</v>
      </c>
      <c r="H922" s="196" t="s">
        <v>2734</v>
      </c>
      <c r="I922" s="184" t="s">
        <v>1879</v>
      </c>
      <c r="J922" s="196" t="s">
        <v>2237</v>
      </c>
      <c r="K922" s="196" t="s">
        <v>1881</v>
      </c>
      <c r="L922" s="184" t="s">
        <v>4838</v>
      </c>
      <c r="M922" s="196">
        <v>274</v>
      </c>
      <c r="O922" s="196" t="s">
        <v>4758</v>
      </c>
      <c r="P922" s="17">
        <v>822</v>
      </c>
      <c r="Q922" s="175">
        <f t="shared" si="52"/>
        <v>4.6143000000000001</v>
      </c>
      <c r="R922" s="203">
        <v>2.4900000000000002</v>
      </c>
      <c r="S922" s="203"/>
      <c r="T922" s="151"/>
      <c r="U922" s="149">
        <v>1.7</v>
      </c>
      <c r="V922" s="151">
        <v>0.25</v>
      </c>
      <c r="W922" s="149">
        <f t="shared" si="55"/>
        <v>2.4900000000000002</v>
      </c>
      <c r="X922" s="152">
        <f t="shared" si="54"/>
        <v>0.17430000000000001</v>
      </c>
      <c r="Y922" s="150">
        <f t="shared" si="53"/>
        <v>1.01</v>
      </c>
      <c r="Z922" s="152"/>
      <c r="AC922" s="154"/>
      <c r="AD922" s="154"/>
      <c r="AE922" s="154"/>
      <c r="AF922" s="154"/>
    </row>
    <row r="923" spans="1:32" x14ac:dyDescent="0.25">
      <c r="A923" s="196">
        <v>323</v>
      </c>
      <c r="B923" s="196" t="s">
        <v>4839</v>
      </c>
      <c r="C923" s="196" t="s">
        <v>4840</v>
      </c>
      <c r="D923" s="196" t="s">
        <v>4841</v>
      </c>
      <c r="E923" s="196" t="s">
        <v>2375</v>
      </c>
      <c r="F923" s="196">
        <v>2005</v>
      </c>
      <c r="H923" s="196" t="s">
        <v>2734</v>
      </c>
      <c r="I923" s="184" t="s">
        <v>1879</v>
      </c>
      <c r="J923" s="196" t="s">
        <v>4842</v>
      </c>
      <c r="K923" s="196" t="s">
        <v>1881</v>
      </c>
      <c r="L923" s="184" t="s">
        <v>4843</v>
      </c>
      <c r="M923" s="196">
        <v>226</v>
      </c>
      <c r="O923" s="196" t="s">
        <v>4759</v>
      </c>
      <c r="P923" s="17">
        <v>423</v>
      </c>
      <c r="Q923" s="175">
        <f t="shared" si="52"/>
        <v>2.6162999999999998</v>
      </c>
      <c r="R923" s="203">
        <v>1.0900000000000001</v>
      </c>
      <c r="S923" s="203"/>
      <c r="T923" s="151"/>
      <c r="U923" s="149">
        <v>1.2</v>
      </c>
      <c r="V923" s="149">
        <v>0.25</v>
      </c>
      <c r="W923" s="149">
        <f t="shared" si="55"/>
        <v>1.0900000000000001</v>
      </c>
      <c r="X923" s="152">
        <f t="shared" si="54"/>
        <v>7.6300000000000007E-2</v>
      </c>
      <c r="Y923" s="150">
        <f t="shared" si="53"/>
        <v>1.01</v>
      </c>
      <c r="Z923" s="152"/>
      <c r="AC923" s="154"/>
      <c r="AD923" s="154"/>
      <c r="AE923" s="154"/>
      <c r="AF923" s="154"/>
    </row>
    <row r="924" spans="1:32" x14ac:dyDescent="0.25">
      <c r="A924" s="196">
        <v>691</v>
      </c>
      <c r="B924" s="196" t="s">
        <v>4844</v>
      </c>
      <c r="C924" s="196" t="s">
        <v>4845</v>
      </c>
      <c r="D924" s="196" t="s">
        <v>4846</v>
      </c>
      <c r="F924" s="196">
        <v>2009</v>
      </c>
      <c r="H924" s="196" t="s">
        <v>2734</v>
      </c>
      <c r="I924" s="184" t="s">
        <v>1929</v>
      </c>
      <c r="K924" s="196" t="s">
        <v>1881</v>
      </c>
      <c r="L924" s="184" t="s">
        <v>4847</v>
      </c>
      <c r="M924" s="196">
        <v>34</v>
      </c>
      <c r="O924" s="196" t="s">
        <v>4760</v>
      </c>
      <c r="P924" s="17">
        <v>186</v>
      </c>
      <c r="Q924" s="175">
        <f t="shared" si="52"/>
        <v>6.7893000000000008</v>
      </c>
      <c r="R924" s="203">
        <v>4.99</v>
      </c>
      <c r="S924" s="203"/>
      <c r="T924" s="151"/>
      <c r="U924" s="149">
        <v>1.2</v>
      </c>
      <c r="V924" s="151">
        <v>0.25</v>
      </c>
      <c r="W924" s="149">
        <f t="shared" si="55"/>
        <v>4.99</v>
      </c>
      <c r="X924" s="152">
        <f t="shared" si="54"/>
        <v>0.3493</v>
      </c>
      <c r="Y924" s="150">
        <f t="shared" si="53"/>
        <v>1.01</v>
      </c>
      <c r="Z924" s="152"/>
      <c r="AC924" s="154"/>
      <c r="AD924" s="154"/>
      <c r="AE924" s="154"/>
      <c r="AF924" s="154"/>
    </row>
    <row r="925" spans="1:32" x14ac:dyDescent="0.25">
      <c r="A925" s="196">
        <v>1008</v>
      </c>
      <c r="B925" s="196" t="s">
        <v>4848</v>
      </c>
      <c r="C925" s="196" t="s">
        <v>4849</v>
      </c>
      <c r="D925" s="196" t="s">
        <v>4850</v>
      </c>
      <c r="H925" s="196" t="s">
        <v>2734</v>
      </c>
      <c r="I925" s="184" t="s">
        <v>1879</v>
      </c>
      <c r="K925" s="196" t="s">
        <v>1881</v>
      </c>
      <c r="L925" s="184" t="s">
        <v>4851</v>
      </c>
      <c r="M925" s="196">
        <v>430</v>
      </c>
      <c r="O925" s="196" t="s">
        <v>4761</v>
      </c>
      <c r="P925" s="17">
        <v>590</v>
      </c>
      <c r="Q925" s="175">
        <f t="shared" si="52"/>
        <v>3.0093000000000001</v>
      </c>
      <c r="R925" s="203">
        <v>0.99</v>
      </c>
      <c r="S925" s="203"/>
      <c r="T925" s="151"/>
      <c r="U925" s="149">
        <v>1.7</v>
      </c>
      <c r="V925" s="149">
        <v>0.25</v>
      </c>
      <c r="W925" s="149">
        <f t="shared" si="55"/>
        <v>0.99</v>
      </c>
      <c r="X925" s="152">
        <f t="shared" si="54"/>
        <v>6.93E-2</v>
      </c>
      <c r="Y925" s="150">
        <f t="shared" si="53"/>
        <v>1.01</v>
      </c>
      <c r="Z925" s="152"/>
      <c r="AC925" s="154"/>
      <c r="AD925" s="154"/>
      <c r="AE925" s="154"/>
      <c r="AF925" s="154"/>
    </row>
    <row r="926" spans="1:32" x14ac:dyDescent="0.25">
      <c r="A926" s="196">
        <v>796</v>
      </c>
      <c r="B926" s="196" t="s">
        <v>4852</v>
      </c>
      <c r="C926" s="196" t="s">
        <v>4853</v>
      </c>
      <c r="D926" s="196" t="s">
        <v>2257</v>
      </c>
      <c r="F926" s="196">
        <v>2017</v>
      </c>
      <c r="H926" s="196" t="s">
        <v>1878</v>
      </c>
      <c r="I926" s="184" t="s">
        <v>1879</v>
      </c>
      <c r="J926" s="54" t="s">
        <v>4854</v>
      </c>
      <c r="K926" s="196" t="s">
        <v>1881</v>
      </c>
      <c r="L926" s="184" t="s">
        <v>4855</v>
      </c>
      <c r="M926" s="196">
        <v>416</v>
      </c>
      <c r="O926" s="196" t="s">
        <v>4762</v>
      </c>
      <c r="P926" s="17">
        <v>320</v>
      </c>
      <c r="Q926" s="175">
        <f t="shared" si="52"/>
        <v>3.6863000000000001</v>
      </c>
      <c r="R926" s="203">
        <v>2.09</v>
      </c>
      <c r="S926" s="203"/>
      <c r="T926" s="151"/>
      <c r="U926" s="149">
        <v>1.2</v>
      </c>
      <c r="V926" s="151">
        <v>0.25</v>
      </c>
      <c r="W926" s="149">
        <f t="shared" si="55"/>
        <v>2.09</v>
      </c>
      <c r="X926" s="152">
        <f t="shared" si="54"/>
        <v>0.14629999999999999</v>
      </c>
      <c r="Y926" s="150">
        <f t="shared" si="53"/>
        <v>1.01</v>
      </c>
      <c r="Z926" s="152"/>
      <c r="AC926" s="154"/>
      <c r="AD926" s="154"/>
      <c r="AE926" s="154"/>
      <c r="AF926" s="154"/>
    </row>
    <row r="927" spans="1:32" x14ac:dyDescent="0.25">
      <c r="A927" s="196">
        <v>2522</v>
      </c>
      <c r="B927" s="196" t="s">
        <v>4856</v>
      </c>
      <c r="C927" s="196" t="s">
        <v>4857</v>
      </c>
      <c r="D927" s="196" t="s">
        <v>1912</v>
      </c>
      <c r="F927" s="196">
        <v>2000</v>
      </c>
      <c r="H927" s="196" t="s">
        <v>1878</v>
      </c>
      <c r="I927" s="184" t="s">
        <v>1879</v>
      </c>
      <c r="J927" s="54" t="s">
        <v>3854</v>
      </c>
      <c r="K927" s="196" t="s">
        <v>1881</v>
      </c>
      <c r="L927" s="184" t="s">
        <v>4858</v>
      </c>
      <c r="M927" s="196">
        <v>448</v>
      </c>
      <c r="O927" s="196" t="s">
        <v>4763</v>
      </c>
      <c r="P927" s="17">
        <v>397</v>
      </c>
      <c r="Q927" s="175">
        <f t="shared" si="52"/>
        <v>1.9742999999999999</v>
      </c>
      <c r="R927" s="203">
        <v>0.49</v>
      </c>
      <c r="S927" s="203"/>
      <c r="T927" s="151"/>
      <c r="U927" s="149">
        <v>1.2</v>
      </c>
      <c r="V927" s="149">
        <v>0.25</v>
      </c>
      <c r="W927" s="149">
        <f t="shared" si="55"/>
        <v>0.49</v>
      </c>
      <c r="X927" s="152">
        <f t="shared" si="54"/>
        <v>3.4299999999999997E-2</v>
      </c>
      <c r="Y927" s="150">
        <f t="shared" si="53"/>
        <v>1.01</v>
      </c>
      <c r="Z927" s="152"/>
      <c r="AC927" s="154"/>
      <c r="AD927" s="154"/>
      <c r="AE927" s="154"/>
      <c r="AF927" s="154"/>
    </row>
    <row r="928" spans="1:32" x14ac:dyDescent="0.25">
      <c r="A928" s="196">
        <v>713</v>
      </c>
      <c r="B928" s="196" t="s">
        <v>4859</v>
      </c>
      <c r="C928" s="196" t="s">
        <v>4860</v>
      </c>
      <c r="F928" s="196">
        <v>2015</v>
      </c>
      <c r="H928" s="196" t="s">
        <v>1878</v>
      </c>
      <c r="I928" s="184" t="s">
        <v>1879</v>
      </c>
      <c r="K928" s="196" t="s">
        <v>4861</v>
      </c>
      <c r="L928" s="184" t="s">
        <v>4862</v>
      </c>
      <c r="M928" s="196">
        <v>400</v>
      </c>
      <c r="O928" s="196" t="s">
        <v>4764</v>
      </c>
      <c r="P928" s="17">
        <v>363</v>
      </c>
      <c r="Q928" s="175">
        <f t="shared" si="52"/>
        <v>12.139299999999999</v>
      </c>
      <c r="R928" s="203">
        <v>9.99</v>
      </c>
      <c r="S928" s="203"/>
      <c r="T928" s="151"/>
      <c r="U928" s="149">
        <v>1.2</v>
      </c>
      <c r="V928" s="151">
        <v>0.25</v>
      </c>
      <c r="W928" s="149">
        <f t="shared" si="55"/>
        <v>9.99</v>
      </c>
      <c r="X928" s="152">
        <f t="shared" si="54"/>
        <v>0.69930000000000003</v>
      </c>
      <c r="Y928" s="150">
        <f t="shared" si="53"/>
        <v>1.01</v>
      </c>
      <c r="Z928" s="152"/>
      <c r="AC928" s="154"/>
      <c r="AD928" s="154"/>
      <c r="AE928" s="154"/>
      <c r="AF928" s="154"/>
    </row>
    <row r="929" spans="1:32" x14ac:dyDescent="0.25">
      <c r="A929" s="196">
        <v>691</v>
      </c>
      <c r="B929" s="196" t="s">
        <v>4863</v>
      </c>
      <c r="C929" s="196" t="s">
        <v>4864</v>
      </c>
      <c r="D929" s="196" t="s">
        <v>2054</v>
      </c>
      <c r="H929" s="196" t="s">
        <v>2734</v>
      </c>
      <c r="I929" s="184" t="s">
        <v>1879</v>
      </c>
      <c r="K929" s="196" t="s">
        <v>1881</v>
      </c>
      <c r="L929" s="184" t="s">
        <v>4865</v>
      </c>
      <c r="M929" s="196">
        <v>10</v>
      </c>
      <c r="O929" s="196" t="s">
        <v>4765</v>
      </c>
      <c r="P929" s="17">
        <v>263</v>
      </c>
      <c r="Q929" s="175">
        <f t="shared" si="52"/>
        <v>4.3282999999999996</v>
      </c>
      <c r="R929" s="203">
        <v>2.69</v>
      </c>
      <c r="S929" s="203"/>
      <c r="T929" s="151"/>
      <c r="U929" s="149">
        <v>1.2</v>
      </c>
      <c r="V929" s="149">
        <v>0.25</v>
      </c>
      <c r="W929" s="149">
        <f t="shared" si="55"/>
        <v>2.69</v>
      </c>
      <c r="X929" s="152">
        <f t="shared" si="54"/>
        <v>0.1883</v>
      </c>
      <c r="Y929" s="150">
        <f t="shared" si="53"/>
        <v>1.01</v>
      </c>
      <c r="Z929" s="152"/>
      <c r="AC929" s="154"/>
      <c r="AD929" s="154"/>
      <c r="AE929" s="154"/>
      <c r="AF929" s="154"/>
    </row>
    <row r="930" spans="1:32" x14ac:dyDescent="0.25">
      <c r="A930" s="196">
        <v>1984</v>
      </c>
      <c r="B930" s="196" t="s">
        <v>3824</v>
      </c>
      <c r="C930" s="196" t="s">
        <v>4866</v>
      </c>
      <c r="D930" s="196" t="s">
        <v>1979</v>
      </c>
      <c r="F930" s="196">
        <v>2007</v>
      </c>
      <c r="H930" s="196" t="s">
        <v>2734</v>
      </c>
      <c r="I930" s="184" t="s">
        <v>1879</v>
      </c>
      <c r="K930" s="196" t="s">
        <v>1881</v>
      </c>
      <c r="L930" s="184" t="s">
        <v>4867</v>
      </c>
      <c r="M930" s="196">
        <v>140</v>
      </c>
      <c r="O930" s="196" t="s">
        <v>4766</v>
      </c>
      <c r="P930" s="17">
        <v>550</v>
      </c>
      <c r="Q930" s="175">
        <f t="shared" si="52"/>
        <v>3.0093000000000001</v>
      </c>
      <c r="R930" s="203">
        <v>0.99</v>
      </c>
      <c r="S930" s="203"/>
      <c r="T930" s="151"/>
      <c r="U930" s="149">
        <v>1.7</v>
      </c>
      <c r="V930" s="151">
        <v>0.25</v>
      </c>
      <c r="W930" s="149">
        <f t="shared" si="55"/>
        <v>0.99</v>
      </c>
      <c r="X930" s="152">
        <f t="shared" si="54"/>
        <v>6.93E-2</v>
      </c>
      <c r="Y930" s="150">
        <f t="shared" si="53"/>
        <v>1.01</v>
      </c>
      <c r="Z930" s="152"/>
      <c r="AC930" s="154"/>
      <c r="AD930" s="154"/>
      <c r="AE930" s="154"/>
      <c r="AF930" s="154"/>
    </row>
    <row r="931" spans="1:32" x14ac:dyDescent="0.25">
      <c r="A931" s="196">
        <v>632</v>
      </c>
      <c r="B931" s="196" t="s">
        <v>4868</v>
      </c>
      <c r="C931" s="196" t="s">
        <v>4869</v>
      </c>
      <c r="D931" s="196" t="s">
        <v>2609</v>
      </c>
      <c r="H931" s="196" t="s">
        <v>1878</v>
      </c>
      <c r="I931" s="184" t="s">
        <v>1879</v>
      </c>
      <c r="K931" s="196" t="s">
        <v>1881</v>
      </c>
      <c r="L931" s="184" t="s">
        <v>4870</v>
      </c>
      <c r="M931" s="196">
        <v>866</v>
      </c>
      <c r="O931" s="196" t="s">
        <v>4767</v>
      </c>
      <c r="P931" s="17">
        <v>501</v>
      </c>
      <c r="Q931" s="175">
        <f t="shared" si="52"/>
        <v>3.0093000000000001</v>
      </c>
      <c r="R931" s="203">
        <v>0.99</v>
      </c>
      <c r="S931" s="203"/>
      <c r="T931" s="151"/>
      <c r="U931" s="149">
        <v>1.7</v>
      </c>
      <c r="V931" s="149">
        <v>0.25</v>
      </c>
      <c r="W931" s="149">
        <f t="shared" si="55"/>
        <v>0.99</v>
      </c>
      <c r="X931" s="152">
        <f t="shared" si="54"/>
        <v>6.93E-2</v>
      </c>
      <c r="Y931" s="150">
        <f t="shared" si="53"/>
        <v>1.01</v>
      </c>
      <c r="Z931" s="152"/>
      <c r="AC931" s="154"/>
      <c r="AD931" s="154"/>
      <c r="AE931" s="154"/>
      <c r="AF931" s="154"/>
    </row>
    <row r="932" spans="1:32" x14ac:dyDescent="0.25">
      <c r="A932" s="196">
        <v>1875</v>
      </c>
      <c r="C932" s="196" t="s">
        <v>4871</v>
      </c>
      <c r="D932" s="196" t="s">
        <v>4841</v>
      </c>
      <c r="F932" s="196">
        <v>2006</v>
      </c>
      <c r="H932" s="196" t="s">
        <v>2734</v>
      </c>
      <c r="I932" s="184" t="s">
        <v>1879</v>
      </c>
      <c r="K932" s="196" t="s">
        <v>1881</v>
      </c>
      <c r="L932" s="184" t="s">
        <v>4872</v>
      </c>
      <c r="M932" s="196">
        <v>158</v>
      </c>
      <c r="O932" s="196" t="s">
        <v>4768</v>
      </c>
      <c r="P932" s="17">
        <v>139</v>
      </c>
      <c r="Q932" s="175">
        <f t="shared" si="52"/>
        <v>15.8843</v>
      </c>
      <c r="R932" s="203">
        <v>13.49</v>
      </c>
      <c r="S932" s="203"/>
      <c r="T932" s="151"/>
      <c r="U932" s="149">
        <v>1.2</v>
      </c>
      <c r="V932" s="151">
        <v>0.25</v>
      </c>
      <c r="W932" s="149">
        <f t="shared" si="55"/>
        <v>13.49</v>
      </c>
      <c r="X932" s="152">
        <f t="shared" si="54"/>
        <v>0.94429999999999992</v>
      </c>
      <c r="Y932" s="150">
        <f t="shared" si="53"/>
        <v>1.01</v>
      </c>
      <c r="Z932" s="152"/>
      <c r="AC932" s="154"/>
      <c r="AD932" s="154"/>
      <c r="AE932" s="154"/>
      <c r="AF932" s="154"/>
    </row>
    <row r="933" spans="1:32" x14ac:dyDescent="0.25">
      <c r="A933" s="196">
        <v>1348</v>
      </c>
      <c r="B933" s="196" t="s">
        <v>4873</v>
      </c>
      <c r="C933" s="196" t="s">
        <v>4874</v>
      </c>
      <c r="D933" s="196" t="s">
        <v>2300</v>
      </c>
      <c r="F933" s="196">
        <v>1962</v>
      </c>
      <c r="H933" s="196" t="s">
        <v>1878</v>
      </c>
      <c r="I933" s="184" t="s">
        <v>1879</v>
      </c>
      <c r="K933" s="196" t="s">
        <v>1881</v>
      </c>
      <c r="M933" s="196">
        <v>180</v>
      </c>
      <c r="O933" s="196" t="s">
        <v>4769</v>
      </c>
      <c r="P933" s="17">
        <v>132</v>
      </c>
      <c r="Q933" s="175">
        <f t="shared" si="52"/>
        <v>1.9742999999999999</v>
      </c>
      <c r="R933" s="203">
        <v>0.49</v>
      </c>
      <c r="S933" s="203"/>
      <c r="T933" s="151"/>
      <c r="U933" s="149">
        <v>1.2</v>
      </c>
      <c r="V933" s="149">
        <v>0.25</v>
      </c>
      <c r="W933" s="149">
        <f t="shared" si="55"/>
        <v>0.49</v>
      </c>
      <c r="X933" s="152">
        <f t="shared" si="54"/>
        <v>3.4299999999999997E-2</v>
      </c>
      <c r="Y933" s="150">
        <f t="shared" si="53"/>
        <v>1.01</v>
      </c>
      <c r="Z933" s="152"/>
      <c r="AC933" s="154"/>
      <c r="AD933" s="154"/>
      <c r="AE933" s="154"/>
      <c r="AF933" s="154"/>
    </row>
    <row r="934" spans="1:32" x14ac:dyDescent="0.25">
      <c r="A934" s="196">
        <v>18</v>
      </c>
      <c r="B934" s="196" t="s">
        <v>4875</v>
      </c>
      <c r="C934" s="196" t="s">
        <v>4876</v>
      </c>
      <c r="D934" s="196" t="s">
        <v>4877</v>
      </c>
      <c r="E934" s="196" t="s">
        <v>1913</v>
      </c>
      <c r="F934" s="196">
        <v>2006</v>
      </c>
      <c r="H934" s="196" t="s">
        <v>1878</v>
      </c>
      <c r="I934" s="184" t="s">
        <v>1879</v>
      </c>
      <c r="J934" s="54" t="s">
        <v>3854</v>
      </c>
      <c r="K934" s="196" t="s">
        <v>1881</v>
      </c>
      <c r="L934" s="184" t="s">
        <v>4878</v>
      </c>
      <c r="M934" s="196">
        <v>288</v>
      </c>
      <c r="O934" s="196" t="s">
        <v>4770</v>
      </c>
      <c r="P934" s="17">
        <v>375</v>
      </c>
      <c r="Q934" s="175">
        <f t="shared" si="52"/>
        <v>1.9742999999999999</v>
      </c>
      <c r="R934" s="203">
        <v>0.49</v>
      </c>
      <c r="S934" s="203"/>
      <c r="T934" s="151"/>
      <c r="U934" s="149">
        <v>1.2</v>
      </c>
      <c r="V934" s="151">
        <v>0.25</v>
      </c>
      <c r="W934" s="149">
        <f t="shared" si="55"/>
        <v>0.49</v>
      </c>
      <c r="X934" s="152">
        <f t="shared" si="54"/>
        <v>3.4299999999999997E-2</v>
      </c>
      <c r="Y934" s="150">
        <f t="shared" si="53"/>
        <v>1.01</v>
      </c>
      <c r="Z934" s="152"/>
      <c r="AC934" s="154"/>
      <c r="AD934" s="154"/>
      <c r="AE934" s="154"/>
      <c r="AF934" s="154"/>
    </row>
    <row r="935" spans="1:32" x14ac:dyDescent="0.25">
      <c r="A935" s="196">
        <v>634</v>
      </c>
      <c r="B935" s="196" t="s">
        <v>4879</v>
      </c>
      <c r="C935" s="196" t="s">
        <v>4880</v>
      </c>
      <c r="D935" s="196" t="s">
        <v>2209</v>
      </c>
      <c r="F935" s="196">
        <v>1989</v>
      </c>
      <c r="H935" s="196" t="s">
        <v>1878</v>
      </c>
      <c r="I935" s="184" t="s">
        <v>1879</v>
      </c>
      <c r="K935" s="196" t="s">
        <v>1881</v>
      </c>
      <c r="L935" s="184" t="s">
        <v>4881</v>
      </c>
      <c r="M935" s="196">
        <v>320</v>
      </c>
      <c r="O935" s="196" t="s">
        <v>4771</v>
      </c>
      <c r="P935" s="17">
        <v>246</v>
      </c>
      <c r="Q935" s="175">
        <f t="shared" si="52"/>
        <v>2.5093000000000001</v>
      </c>
      <c r="R935" s="203">
        <v>0.99</v>
      </c>
      <c r="S935" s="203"/>
      <c r="T935" s="151"/>
      <c r="U935" s="149">
        <v>1.2</v>
      </c>
      <c r="V935" s="149">
        <v>0.25</v>
      </c>
      <c r="W935" s="149">
        <f t="shared" si="55"/>
        <v>0.99</v>
      </c>
      <c r="X935" s="152">
        <f t="shared" si="54"/>
        <v>6.93E-2</v>
      </c>
      <c r="Y935" s="150">
        <f t="shared" si="53"/>
        <v>1.01</v>
      </c>
      <c r="Z935" s="152"/>
      <c r="AC935" s="154"/>
      <c r="AD935" s="154"/>
      <c r="AE935" s="154"/>
      <c r="AF935" s="154"/>
    </row>
    <row r="936" spans="1:32" x14ac:dyDescent="0.25">
      <c r="A936" s="196">
        <v>2522</v>
      </c>
      <c r="B936" s="196" t="s">
        <v>4883</v>
      </c>
      <c r="C936" s="196" t="s">
        <v>4884</v>
      </c>
      <c r="D936" s="196" t="s">
        <v>1912</v>
      </c>
      <c r="E936" s="196" t="s">
        <v>2358</v>
      </c>
      <c r="F936" s="196">
        <v>2010</v>
      </c>
      <c r="H936" s="196" t="s">
        <v>1878</v>
      </c>
      <c r="I936" s="184" t="s">
        <v>1879</v>
      </c>
      <c r="J936" s="54" t="s">
        <v>3854</v>
      </c>
      <c r="K936" s="196" t="s">
        <v>1881</v>
      </c>
      <c r="L936" s="184" t="s">
        <v>4885</v>
      </c>
      <c r="M936" s="196">
        <v>448</v>
      </c>
      <c r="O936" s="196" t="s">
        <v>4772</v>
      </c>
      <c r="P936" s="17">
        <v>365</v>
      </c>
      <c r="Q936" s="175">
        <f t="shared" ref="Q936:Q999" si="56">SUM(T936:X936)</f>
        <v>2.4022999999999999</v>
      </c>
      <c r="R936" s="203">
        <v>0.89</v>
      </c>
      <c r="S936" s="203"/>
      <c r="T936" s="151"/>
      <c r="U936" s="149">
        <v>1.2</v>
      </c>
      <c r="V936" s="151">
        <v>0.25</v>
      </c>
      <c r="W936" s="149">
        <f t="shared" si="55"/>
        <v>0.89</v>
      </c>
      <c r="X936" s="152">
        <f t="shared" si="54"/>
        <v>6.2300000000000001E-2</v>
      </c>
      <c r="Y936" s="150">
        <f t="shared" si="53"/>
        <v>1.01</v>
      </c>
      <c r="Z936" s="152"/>
      <c r="AC936" s="154"/>
      <c r="AD936" s="154"/>
      <c r="AE936" s="154"/>
      <c r="AF936" s="154"/>
    </row>
    <row r="937" spans="1:32" x14ac:dyDescent="0.25">
      <c r="A937" s="196">
        <v>2522</v>
      </c>
      <c r="B937" s="196" t="s">
        <v>3835</v>
      </c>
      <c r="C937" s="196" t="s">
        <v>4886</v>
      </c>
      <c r="D937" s="196" t="s">
        <v>2257</v>
      </c>
      <c r="F937" s="196">
        <v>2011</v>
      </c>
      <c r="H937" s="196" t="s">
        <v>1878</v>
      </c>
      <c r="I937" s="184" t="s">
        <v>1879</v>
      </c>
      <c r="K937" s="196" t="s">
        <v>1881</v>
      </c>
      <c r="L937" s="184" t="s">
        <v>4887</v>
      </c>
      <c r="M937" s="196">
        <v>592</v>
      </c>
      <c r="O937" s="196" t="s">
        <v>4773</v>
      </c>
      <c r="P937" s="17">
        <v>380</v>
      </c>
      <c r="Q937" s="175">
        <f t="shared" si="56"/>
        <v>2.7232999999999996</v>
      </c>
      <c r="R937" s="203">
        <v>1.19</v>
      </c>
      <c r="S937" s="203"/>
      <c r="T937" s="151"/>
      <c r="U937" s="149">
        <v>1.2</v>
      </c>
      <c r="V937" s="149">
        <v>0.25</v>
      </c>
      <c r="W937" s="149">
        <f t="shared" si="55"/>
        <v>1.19</v>
      </c>
      <c r="X937" s="152">
        <f t="shared" si="54"/>
        <v>8.3299999999999999E-2</v>
      </c>
      <c r="Y937" s="150">
        <f t="shared" si="53"/>
        <v>1.01</v>
      </c>
      <c r="Z937" s="152"/>
      <c r="AC937" s="154"/>
      <c r="AD937" s="154"/>
      <c r="AE937" s="154"/>
      <c r="AF937" s="154"/>
    </row>
    <row r="938" spans="1:32" x14ac:dyDescent="0.25">
      <c r="A938" s="196">
        <v>692</v>
      </c>
      <c r="B938" s="196" t="s">
        <v>4888</v>
      </c>
      <c r="C938" s="196" t="s">
        <v>4889</v>
      </c>
      <c r="D938" s="196" t="s">
        <v>1912</v>
      </c>
      <c r="E938" s="196" t="s">
        <v>1921</v>
      </c>
      <c r="F938" s="196">
        <v>2016</v>
      </c>
      <c r="H938" s="196" t="s">
        <v>1878</v>
      </c>
      <c r="I938" s="184" t="s">
        <v>1879</v>
      </c>
      <c r="K938" s="196" t="s">
        <v>1881</v>
      </c>
      <c r="L938" s="184" t="s">
        <v>4890</v>
      </c>
      <c r="M938" s="196">
        <v>256</v>
      </c>
      <c r="O938" s="196" t="s">
        <v>4774</v>
      </c>
      <c r="P938" s="17">
        <v>343</v>
      </c>
      <c r="Q938" s="175">
        <f t="shared" si="56"/>
        <v>1.9742999999999999</v>
      </c>
      <c r="R938" s="203">
        <v>0.49</v>
      </c>
      <c r="S938" s="203"/>
      <c r="T938" s="151"/>
      <c r="U938" s="149">
        <v>1.2</v>
      </c>
      <c r="V938" s="151">
        <v>0.25</v>
      </c>
      <c r="W938" s="149">
        <f t="shared" si="55"/>
        <v>0.49</v>
      </c>
      <c r="X938" s="152">
        <f t="shared" si="54"/>
        <v>3.4299999999999997E-2</v>
      </c>
      <c r="Y938" s="150">
        <f t="shared" si="53"/>
        <v>1.01</v>
      </c>
      <c r="Z938" s="152"/>
      <c r="AC938" s="154"/>
      <c r="AD938" s="154"/>
      <c r="AE938" s="154"/>
      <c r="AF938" s="154"/>
    </row>
    <row r="939" spans="1:32" x14ac:dyDescent="0.25">
      <c r="Y939" s="150">
        <f t="shared" si="53"/>
        <v>1.01</v>
      </c>
      <c r="AC939" s="154"/>
      <c r="AD939" s="154"/>
      <c r="AE939" s="154"/>
      <c r="AF939" s="154"/>
    </row>
    <row r="940" spans="1:32" x14ac:dyDescent="0.25">
      <c r="A940" s="196">
        <v>770</v>
      </c>
      <c r="B940" s="196" t="s">
        <v>4893</v>
      </c>
      <c r="C940" s="196" t="s">
        <v>4894</v>
      </c>
      <c r="D940" s="196" t="s">
        <v>2521</v>
      </c>
      <c r="F940" s="196">
        <v>2000</v>
      </c>
      <c r="H940" s="196" t="s">
        <v>4297</v>
      </c>
      <c r="I940" s="184" t="s">
        <v>1879</v>
      </c>
      <c r="K940" s="196" t="s">
        <v>4898</v>
      </c>
      <c r="L940" s="184" t="s">
        <v>4895</v>
      </c>
      <c r="M940" s="196">
        <v>322</v>
      </c>
      <c r="O940" s="196" t="s">
        <v>4776</v>
      </c>
      <c r="P940" s="17">
        <v>243</v>
      </c>
      <c r="Q940" s="175">
        <f t="shared" si="56"/>
        <v>2.2953000000000001</v>
      </c>
      <c r="R940" s="203">
        <v>0.79</v>
      </c>
      <c r="S940" s="203"/>
      <c r="T940" s="151"/>
      <c r="U940" s="149">
        <v>1.2</v>
      </c>
      <c r="V940" s="151">
        <v>0.25</v>
      </c>
      <c r="W940" s="149">
        <f t="shared" si="55"/>
        <v>0.79</v>
      </c>
      <c r="X940" s="152">
        <f t="shared" si="54"/>
        <v>5.5300000000000002E-2</v>
      </c>
      <c r="Y940" s="150">
        <f t="shared" ref="Y940:Y1003" si="57">(IF(Z940&gt;AA940,Z940,AA940)*0.08)+1.01</f>
        <v>1.01</v>
      </c>
      <c r="Z940" s="152"/>
      <c r="AC940" s="154"/>
      <c r="AD940" s="154"/>
      <c r="AE940" s="154"/>
      <c r="AF940" s="154"/>
    </row>
    <row r="941" spans="1:32" x14ac:dyDescent="0.25">
      <c r="Y941" s="150">
        <f t="shared" si="57"/>
        <v>1.01</v>
      </c>
      <c r="AC941" s="154"/>
      <c r="AD941" s="154"/>
      <c r="AE941" s="154"/>
      <c r="AF941" s="154"/>
    </row>
    <row r="942" spans="1:32" x14ac:dyDescent="0.25">
      <c r="Y942" s="150">
        <f t="shared" si="57"/>
        <v>1.01</v>
      </c>
      <c r="AC942" s="154"/>
      <c r="AD942" s="154"/>
      <c r="AE942" s="154"/>
      <c r="AF942" s="154"/>
    </row>
    <row r="943" spans="1:32" x14ac:dyDescent="0.25">
      <c r="A943" s="196">
        <v>1395</v>
      </c>
      <c r="B943" s="196" t="s">
        <v>4827</v>
      </c>
      <c r="C943" s="196" t="s">
        <v>4900</v>
      </c>
      <c r="D943" s="196" t="s">
        <v>1876</v>
      </c>
      <c r="E943" s="196" t="s">
        <v>1877</v>
      </c>
      <c r="F943" s="196">
        <v>2002</v>
      </c>
      <c r="H943" s="196" t="s">
        <v>1878</v>
      </c>
      <c r="I943" s="184" t="s">
        <v>1879</v>
      </c>
      <c r="K943" s="196" t="s">
        <v>1881</v>
      </c>
      <c r="L943" s="184" t="s">
        <v>4901</v>
      </c>
      <c r="M943" s="196">
        <v>176</v>
      </c>
      <c r="O943" s="196" t="s">
        <v>4779</v>
      </c>
      <c r="P943" s="17">
        <v>190</v>
      </c>
      <c r="Q943" s="175">
        <f t="shared" si="56"/>
        <v>1.9742999999999999</v>
      </c>
      <c r="R943" s="199">
        <v>0.49</v>
      </c>
      <c r="T943" s="149"/>
      <c r="U943" s="149">
        <v>1.2</v>
      </c>
      <c r="V943" s="149">
        <v>0.25</v>
      </c>
      <c r="W943" s="149">
        <f t="shared" si="55"/>
        <v>0.49</v>
      </c>
      <c r="X943" s="152">
        <f t="shared" ref="X943:X1006" si="58">(T943+W943)/100*7</f>
        <v>3.4299999999999997E-2</v>
      </c>
      <c r="Y943" s="150">
        <f t="shared" si="57"/>
        <v>1.01</v>
      </c>
      <c r="Z943" s="152"/>
      <c r="AC943" s="154"/>
      <c r="AD943" s="154"/>
      <c r="AE943" s="154"/>
      <c r="AF943" s="154"/>
    </row>
    <row r="944" spans="1:32" x14ac:dyDescent="0.25">
      <c r="A944" s="196">
        <v>680</v>
      </c>
      <c r="B944" s="196" t="s">
        <v>4902</v>
      </c>
      <c r="C944" s="196" t="s">
        <v>4903</v>
      </c>
      <c r="H944" s="196" t="s">
        <v>1878</v>
      </c>
      <c r="I944" s="184" t="s">
        <v>1879</v>
      </c>
      <c r="J944" s="182" t="s">
        <v>4904</v>
      </c>
      <c r="K944" s="196" t="s">
        <v>1881</v>
      </c>
      <c r="L944" s="184" t="s">
        <v>4905</v>
      </c>
      <c r="O944" s="196" t="s">
        <v>4780</v>
      </c>
      <c r="P944" s="17">
        <v>1080</v>
      </c>
      <c r="Q944" s="175">
        <f t="shared" si="56"/>
        <v>6.1693000000000007</v>
      </c>
      <c r="R944" s="199">
        <v>1.99</v>
      </c>
      <c r="T944" s="149"/>
      <c r="U944" s="149">
        <v>3.79</v>
      </c>
      <c r="V944" s="151">
        <v>0.25</v>
      </c>
      <c r="W944" s="149">
        <f t="shared" si="55"/>
        <v>1.99</v>
      </c>
      <c r="X944" s="152">
        <f t="shared" si="58"/>
        <v>0.13930000000000001</v>
      </c>
      <c r="Y944" s="150">
        <f t="shared" si="57"/>
        <v>1.01</v>
      </c>
      <c r="Z944" s="152"/>
      <c r="AC944" s="154"/>
      <c r="AD944" s="154"/>
      <c r="AE944" s="154"/>
      <c r="AF944" s="154"/>
    </row>
    <row r="945" spans="1:32" x14ac:dyDescent="0.25">
      <c r="A945" s="196">
        <v>692</v>
      </c>
      <c r="B945" s="196" t="s">
        <v>4802</v>
      </c>
      <c r="C945" s="196" t="s">
        <v>4906</v>
      </c>
      <c r="D945" s="196" t="s">
        <v>1920</v>
      </c>
      <c r="F945" s="196">
        <v>2002</v>
      </c>
      <c r="H945" s="196" t="s">
        <v>1878</v>
      </c>
      <c r="I945" s="184" t="s">
        <v>1914</v>
      </c>
      <c r="K945" s="196" t="s">
        <v>1881</v>
      </c>
      <c r="L945" s="184" t="s">
        <v>4907</v>
      </c>
      <c r="M945" s="196">
        <v>288</v>
      </c>
      <c r="O945" s="196" t="s">
        <v>4781</v>
      </c>
      <c r="P945" s="17">
        <v>217</v>
      </c>
      <c r="Q945" s="175">
        <f t="shared" si="56"/>
        <v>1.9742999999999999</v>
      </c>
      <c r="R945" s="199">
        <v>0.49</v>
      </c>
      <c r="T945" s="149"/>
      <c r="U945" s="149">
        <v>1.2</v>
      </c>
      <c r="V945" s="149">
        <v>0.25</v>
      </c>
      <c r="W945" s="149">
        <f t="shared" si="55"/>
        <v>0.49</v>
      </c>
      <c r="X945" s="152">
        <f t="shared" si="58"/>
        <v>3.4299999999999997E-2</v>
      </c>
      <c r="Y945" s="150">
        <f t="shared" si="57"/>
        <v>1.01</v>
      </c>
      <c r="Z945" s="152"/>
      <c r="AC945" s="154"/>
      <c r="AD945" s="154"/>
      <c r="AE945" s="154"/>
      <c r="AF945" s="154"/>
    </row>
    <row r="946" spans="1:32" x14ac:dyDescent="0.25">
      <c r="A946" s="196">
        <v>622</v>
      </c>
      <c r="B946" s="196" t="s">
        <v>4908</v>
      </c>
      <c r="C946" s="196" t="s">
        <v>4909</v>
      </c>
      <c r="D946" s="196" t="s">
        <v>4910</v>
      </c>
      <c r="F946" s="196">
        <v>2013</v>
      </c>
      <c r="H946" s="196" t="s">
        <v>2734</v>
      </c>
      <c r="I946" s="184" t="s">
        <v>1929</v>
      </c>
      <c r="K946" s="196" t="s">
        <v>1881</v>
      </c>
      <c r="L946" s="184" t="s">
        <v>4911</v>
      </c>
      <c r="M946" s="196">
        <v>122</v>
      </c>
      <c r="O946" s="196" t="s">
        <v>4782</v>
      </c>
      <c r="P946" s="17">
        <v>466</v>
      </c>
      <c r="Q946" s="175">
        <f t="shared" si="56"/>
        <v>4.1143000000000001</v>
      </c>
      <c r="R946" s="199">
        <v>2.4900000000000002</v>
      </c>
      <c r="T946" s="149"/>
      <c r="U946" s="149">
        <v>1.2</v>
      </c>
      <c r="V946" s="151">
        <v>0.25</v>
      </c>
      <c r="W946" s="149">
        <f t="shared" si="55"/>
        <v>2.4900000000000002</v>
      </c>
      <c r="X946" s="152">
        <f t="shared" si="58"/>
        <v>0.17430000000000001</v>
      </c>
      <c r="Y946" s="150">
        <f t="shared" si="57"/>
        <v>1.01</v>
      </c>
      <c r="Z946" s="152"/>
      <c r="AC946" s="154"/>
      <c r="AD946" s="154"/>
      <c r="AE946" s="154"/>
      <c r="AF946" s="154"/>
    </row>
    <row r="947" spans="1:32" x14ac:dyDescent="0.25">
      <c r="A947" s="196">
        <v>1366</v>
      </c>
      <c r="B947" s="196" t="s">
        <v>4912</v>
      </c>
      <c r="C947" s="196" t="s">
        <v>4913</v>
      </c>
      <c r="D947" s="196" t="s">
        <v>4914</v>
      </c>
      <c r="E947" s="196" t="s">
        <v>1877</v>
      </c>
      <c r="F947" s="196">
        <v>1998</v>
      </c>
      <c r="H947" s="196" t="s">
        <v>1878</v>
      </c>
      <c r="I947" s="184" t="s">
        <v>1879</v>
      </c>
      <c r="K947" s="196" t="s">
        <v>1881</v>
      </c>
      <c r="L947" s="184" t="s">
        <v>4915</v>
      </c>
      <c r="M947" s="196">
        <v>136</v>
      </c>
      <c r="O947" s="196" t="s">
        <v>4783</v>
      </c>
      <c r="P947" s="17">
        <v>129</v>
      </c>
      <c r="Q947" s="175">
        <f t="shared" si="56"/>
        <v>5.9333000000000009</v>
      </c>
      <c r="R947" s="199">
        <v>4.1900000000000004</v>
      </c>
      <c r="T947" s="149"/>
      <c r="U947" s="149">
        <v>1.2</v>
      </c>
      <c r="V947" s="149">
        <v>0.25</v>
      </c>
      <c r="W947" s="149">
        <f t="shared" si="55"/>
        <v>4.1900000000000004</v>
      </c>
      <c r="X947" s="152">
        <f t="shared" si="58"/>
        <v>0.29330000000000006</v>
      </c>
      <c r="Y947" s="150">
        <f t="shared" si="57"/>
        <v>1.01</v>
      </c>
      <c r="Z947" s="152"/>
      <c r="AC947" s="154"/>
      <c r="AD947" s="154"/>
      <c r="AE947" s="154"/>
      <c r="AF947" s="154"/>
    </row>
    <row r="948" spans="1:32" x14ac:dyDescent="0.25">
      <c r="A948" s="196">
        <v>765</v>
      </c>
      <c r="B948" s="196" t="s">
        <v>4916</v>
      </c>
      <c r="C948" s="196" t="s">
        <v>4917</v>
      </c>
      <c r="D948" s="196" t="s">
        <v>4841</v>
      </c>
      <c r="F948" s="196">
        <v>1992</v>
      </c>
      <c r="H948" s="196" t="s">
        <v>1878</v>
      </c>
      <c r="I948" s="184" t="s">
        <v>1879</v>
      </c>
      <c r="K948" s="196" t="s">
        <v>1881</v>
      </c>
      <c r="L948" s="184" t="s">
        <v>4918</v>
      </c>
      <c r="M948" s="196">
        <v>128</v>
      </c>
      <c r="O948" s="196" t="s">
        <v>4784</v>
      </c>
      <c r="P948" s="17">
        <v>113</v>
      </c>
      <c r="Q948" s="175">
        <f t="shared" si="56"/>
        <v>2.1882999999999995</v>
      </c>
      <c r="R948" s="199">
        <v>0.69</v>
      </c>
      <c r="T948" s="149"/>
      <c r="U948" s="149">
        <v>1.2</v>
      </c>
      <c r="V948" s="151">
        <v>0.25</v>
      </c>
      <c r="W948" s="149">
        <f t="shared" si="55"/>
        <v>0.69</v>
      </c>
      <c r="X948" s="152">
        <f t="shared" si="58"/>
        <v>4.8299999999999996E-2</v>
      </c>
      <c r="Y948" s="150">
        <f t="shared" si="57"/>
        <v>1.01</v>
      </c>
      <c r="Z948" s="152"/>
      <c r="AC948" s="154"/>
      <c r="AD948" s="154"/>
      <c r="AE948" s="154"/>
      <c r="AF948" s="154"/>
    </row>
    <row r="949" spans="1:32" x14ac:dyDescent="0.25">
      <c r="A949" s="196">
        <v>1314</v>
      </c>
      <c r="B949" s="196" t="s">
        <v>4919</v>
      </c>
      <c r="C949" s="196" t="s">
        <v>4920</v>
      </c>
      <c r="D949" s="196" t="s">
        <v>2300</v>
      </c>
      <c r="E949" s="196" t="s">
        <v>1877</v>
      </c>
      <c r="F949" s="196">
        <v>2008</v>
      </c>
      <c r="H949" s="196" t="s">
        <v>1878</v>
      </c>
      <c r="I949" s="184" t="s">
        <v>1879</v>
      </c>
      <c r="K949" s="196" t="s">
        <v>1881</v>
      </c>
      <c r="L949" s="184" t="s">
        <v>4921</v>
      </c>
      <c r="M949" s="196">
        <v>176</v>
      </c>
      <c r="O949" s="196" t="s">
        <v>4785</v>
      </c>
      <c r="P949" s="17">
        <v>179</v>
      </c>
      <c r="Q949" s="175">
        <f t="shared" si="56"/>
        <v>2.5093000000000001</v>
      </c>
      <c r="R949" s="199">
        <v>0.99</v>
      </c>
      <c r="T949" s="149"/>
      <c r="U949" s="149">
        <v>1.2</v>
      </c>
      <c r="V949" s="149">
        <v>0.25</v>
      </c>
      <c r="W949" s="149">
        <f t="shared" ref="W949:W1012" si="59">IF(R949&gt;T949,R949,T949)</f>
        <v>0.99</v>
      </c>
      <c r="X949" s="152">
        <f t="shared" si="58"/>
        <v>6.93E-2</v>
      </c>
      <c r="Y949" s="150">
        <f t="shared" si="57"/>
        <v>1.01</v>
      </c>
      <c r="Z949" s="152"/>
      <c r="AC949" s="154"/>
      <c r="AD949" s="154"/>
      <c r="AE949" s="154"/>
      <c r="AF949" s="154"/>
    </row>
    <row r="950" spans="1:32" x14ac:dyDescent="0.25">
      <c r="A950" s="196">
        <v>1395</v>
      </c>
      <c r="B950" s="196" t="s">
        <v>4922</v>
      </c>
      <c r="C950" s="196" t="s">
        <v>4923</v>
      </c>
      <c r="D950" s="196" t="s">
        <v>1998</v>
      </c>
      <c r="E950" s="196" t="s">
        <v>1913</v>
      </c>
      <c r="F950" s="196">
        <v>2006</v>
      </c>
      <c r="H950" s="196" t="s">
        <v>1878</v>
      </c>
      <c r="I950" s="184" t="s">
        <v>1879</v>
      </c>
      <c r="K950" s="196" t="s">
        <v>1881</v>
      </c>
      <c r="L950" s="184" t="s">
        <v>4924</v>
      </c>
      <c r="M950" s="196">
        <v>240</v>
      </c>
      <c r="O950" s="196" t="s">
        <v>4786</v>
      </c>
      <c r="P950" s="17">
        <v>185</v>
      </c>
      <c r="Q950" s="175">
        <f t="shared" si="56"/>
        <v>1.9742999999999999</v>
      </c>
      <c r="R950" s="199">
        <v>0.49</v>
      </c>
      <c r="T950" s="149"/>
      <c r="U950" s="149">
        <v>1.2</v>
      </c>
      <c r="V950" s="151">
        <v>0.25</v>
      </c>
      <c r="W950" s="149">
        <f t="shared" si="59"/>
        <v>0.49</v>
      </c>
      <c r="X950" s="152">
        <f t="shared" si="58"/>
        <v>3.4299999999999997E-2</v>
      </c>
      <c r="Y950" s="150">
        <f t="shared" si="57"/>
        <v>1.01</v>
      </c>
      <c r="Z950" s="152"/>
      <c r="AC950" s="154"/>
      <c r="AD950" s="154"/>
      <c r="AE950" s="154"/>
      <c r="AF950" s="154"/>
    </row>
    <row r="951" spans="1:32" x14ac:dyDescent="0.25">
      <c r="A951" s="196">
        <v>765</v>
      </c>
      <c r="B951" s="196" t="s">
        <v>4925</v>
      </c>
      <c r="C951" s="196" t="s">
        <v>4926</v>
      </c>
      <c r="D951" s="196" t="s">
        <v>4693</v>
      </c>
      <c r="F951" s="196">
        <v>2002</v>
      </c>
      <c r="H951" s="196" t="s">
        <v>1878</v>
      </c>
      <c r="I951" s="184" t="s">
        <v>1879</v>
      </c>
      <c r="K951" s="196" t="s">
        <v>1881</v>
      </c>
      <c r="L951" s="184" t="s">
        <v>4927</v>
      </c>
      <c r="M951" s="196">
        <v>128</v>
      </c>
      <c r="O951" s="196" t="s">
        <v>4787</v>
      </c>
      <c r="P951" s="17">
        <v>277</v>
      </c>
      <c r="Q951" s="175">
        <f t="shared" si="56"/>
        <v>2.1882999999999995</v>
      </c>
      <c r="R951" s="199">
        <v>0.69</v>
      </c>
      <c r="T951" s="149"/>
      <c r="U951" s="149">
        <v>1.2</v>
      </c>
      <c r="V951" s="149">
        <v>0.25</v>
      </c>
      <c r="W951" s="149">
        <f t="shared" si="59"/>
        <v>0.69</v>
      </c>
      <c r="X951" s="152">
        <f t="shared" si="58"/>
        <v>4.8299999999999996E-2</v>
      </c>
      <c r="Y951" s="150">
        <f t="shared" si="57"/>
        <v>1.01</v>
      </c>
      <c r="Z951" s="152"/>
      <c r="AC951" s="154"/>
      <c r="AD951" s="154"/>
      <c r="AE951" s="154"/>
      <c r="AF951" s="154"/>
    </row>
    <row r="952" spans="1:32" x14ac:dyDescent="0.25">
      <c r="A952" s="196">
        <v>1394</v>
      </c>
      <c r="B952" s="196" t="s">
        <v>4928</v>
      </c>
      <c r="C952" s="196" t="s">
        <v>4929</v>
      </c>
      <c r="D952" s="196" t="s">
        <v>4930</v>
      </c>
      <c r="F952" s="196">
        <v>2011</v>
      </c>
      <c r="H952" s="196" t="s">
        <v>1878</v>
      </c>
      <c r="I952" s="184" t="s">
        <v>1879</v>
      </c>
      <c r="K952" s="196" t="s">
        <v>1881</v>
      </c>
      <c r="M952" s="196">
        <v>258</v>
      </c>
      <c r="O952" s="196" t="s">
        <v>4788</v>
      </c>
      <c r="P952" s="17">
        <v>252</v>
      </c>
      <c r="Q952" s="175">
        <f t="shared" si="56"/>
        <v>2.6162999999999998</v>
      </c>
      <c r="R952" s="199">
        <v>1.0900000000000001</v>
      </c>
      <c r="T952" s="149"/>
      <c r="U952" s="149">
        <v>1.2</v>
      </c>
      <c r="V952" s="151">
        <v>0.25</v>
      </c>
      <c r="W952" s="149">
        <f t="shared" si="59"/>
        <v>1.0900000000000001</v>
      </c>
      <c r="X952" s="152">
        <f t="shared" si="58"/>
        <v>7.6300000000000007E-2</v>
      </c>
      <c r="Y952" s="150">
        <f t="shared" si="57"/>
        <v>1.01</v>
      </c>
      <c r="Z952" s="152"/>
      <c r="AC952" s="154"/>
      <c r="AD952" s="154"/>
      <c r="AE952" s="154"/>
      <c r="AF952" s="154"/>
    </row>
    <row r="953" spans="1:32" x14ac:dyDescent="0.25">
      <c r="A953" s="196">
        <v>2547</v>
      </c>
      <c r="B953" s="196" t="s">
        <v>2052</v>
      </c>
      <c r="C953" s="196" t="s">
        <v>4931</v>
      </c>
      <c r="D953" s="196" t="s">
        <v>2926</v>
      </c>
      <c r="F953" s="196">
        <v>1998</v>
      </c>
      <c r="H953" s="196" t="s">
        <v>1878</v>
      </c>
      <c r="I953" s="184" t="s">
        <v>1879</v>
      </c>
      <c r="K953" s="196" t="s">
        <v>1881</v>
      </c>
      <c r="L953" s="184" t="s">
        <v>4932</v>
      </c>
      <c r="M953" s="196">
        <v>198</v>
      </c>
      <c r="O953" s="196" t="s">
        <v>4789</v>
      </c>
      <c r="P953" s="17">
        <v>171</v>
      </c>
      <c r="Q953" s="175">
        <f t="shared" si="56"/>
        <v>4.3282999999999996</v>
      </c>
      <c r="R953" s="199">
        <v>2.69</v>
      </c>
      <c r="T953" s="149"/>
      <c r="U953" s="149">
        <v>1.2</v>
      </c>
      <c r="V953" s="149">
        <v>0.25</v>
      </c>
      <c r="W953" s="149">
        <f t="shared" si="59"/>
        <v>2.69</v>
      </c>
      <c r="X953" s="152">
        <f t="shared" si="58"/>
        <v>0.1883</v>
      </c>
      <c r="Y953" s="150">
        <f t="shared" si="57"/>
        <v>1.01</v>
      </c>
      <c r="Z953" s="152"/>
      <c r="AC953" s="154"/>
      <c r="AD953" s="154"/>
      <c r="AE953" s="154"/>
      <c r="AF953" s="154"/>
    </row>
    <row r="954" spans="1:32" x14ac:dyDescent="0.25">
      <c r="A954" s="196">
        <v>1395</v>
      </c>
      <c r="B954" s="196" t="s">
        <v>4933</v>
      </c>
      <c r="C954" s="196" t="s">
        <v>4934</v>
      </c>
      <c r="D954" s="196" t="s">
        <v>2901</v>
      </c>
      <c r="E954" s="196" t="s">
        <v>1913</v>
      </c>
      <c r="F954" s="196">
        <v>2014</v>
      </c>
      <c r="H954" s="196" t="s">
        <v>2734</v>
      </c>
      <c r="I954" s="184" t="s">
        <v>1879</v>
      </c>
      <c r="J954" s="196" t="s">
        <v>2237</v>
      </c>
      <c r="K954" s="196" t="s">
        <v>1881</v>
      </c>
      <c r="L954" s="184" t="s">
        <v>4935</v>
      </c>
      <c r="M954" s="196">
        <v>370</v>
      </c>
      <c r="O954" s="196" t="s">
        <v>4790</v>
      </c>
      <c r="P954" s="17">
        <v>629</v>
      </c>
      <c r="Q954" s="175">
        <f t="shared" si="56"/>
        <v>14.244299999999999</v>
      </c>
      <c r="R954" s="199">
        <v>11.49</v>
      </c>
      <c r="T954" s="149"/>
      <c r="U954" s="149">
        <v>1.7</v>
      </c>
      <c r="V954" s="151">
        <v>0.25</v>
      </c>
      <c r="W954" s="149">
        <f t="shared" si="59"/>
        <v>11.49</v>
      </c>
      <c r="X954" s="152">
        <f t="shared" si="58"/>
        <v>0.80430000000000001</v>
      </c>
      <c r="Y954" s="150">
        <f t="shared" si="57"/>
        <v>1.01</v>
      </c>
      <c r="Z954" s="152"/>
      <c r="AC954" s="154"/>
      <c r="AD954" s="154"/>
      <c r="AE954" s="154"/>
      <c r="AF954" s="154"/>
    </row>
    <row r="955" spans="1:32" x14ac:dyDescent="0.25">
      <c r="A955" s="196">
        <v>1231</v>
      </c>
      <c r="B955" s="196" t="s">
        <v>4936</v>
      </c>
      <c r="C955" s="196" t="s">
        <v>4937</v>
      </c>
      <c r="D955" s="196" t="s">
        <v>4938</v>
      </c>
      <c r="F955" s="196">
        <v>1987</v>
      </c>
      <c r="H955" s="196" t="s">
        <v>2734</v>
      </c>
      <c r="I955" s="184" t="s">
        <v>1879</v>
      </c>
      <c r="K955" s="196" t="s">
        <v>1881</v>
      </c>
      <c r="L955" s="184" t="s">
        <v>4939</v>
      </c>
      <c r="M955" s="196">
        <v>130</v>
      </c>
      <c r="O955" s="196" t="s">
        <v>4791</v>
      </c>
      <c r="P955" s="17">
        <v>228</v>
      </c>
      <c r="Q955" s="175">
        <f t="shared" si="56"/>
        <v>3.5792999999999999</v>
      </c>
      <c r="R955" s="199">
        <v>1.99</v>
      </c>
      <c r="T955" s="149"/>
      <c r="U955" s="149">
        <v>1.2</v>
      </c>
      <c r="V955" s="149">
        <v>0.25</v>
      </c>
      <c r="W955" s="149">
        <f t="shared" si="59"/>
        <v>1.99</v>
      </c>
      <c r="X955" s="152">
        <f t="shared" si="58"/>
        <v>0.13930000000000001</v>
      </c>
      <c r="Y955" s="150">
        <f t="shared" si="57"/>
        <v>1.01</v>
      </c>
      <c r="Z955" s="152"/>
      <c r="AC955" s="154"/>
      <c r="AD955" s="154"/>
      <c r="AE955" s="154"/>
      <c r="AF955" s="154"/>
    </row>
    <row r="956" spans="1:32" x14ac:dyDescent="0.25">
      <c r="A956" s="196">
        <v>689</v>
      </c>
      <c r="B956" s="196" t="s">
        <v>2470</v>
      </c>
      <c r="C956" s="196" t="s">
        <v>4990</v>
      </c>
      <c r="D956" s="196" t="s">
        <v>2054</v>
      </c>
      <c r="E956" s="196"/>
      <c r="H956" s="196" t="s">
        <v>2734</v>
      </c>
      <c r="I956" s="184" t="s">
        <v>1879</v>
      </c>
      <c r="K956" s="196" t="s">
        <v>1881</v>
      </c>
      <c r="L956" s="184" t="s">
        <v>4991</v>
      </c>
      <c r="M956" s="196">
        <v>370</v>
      </c>
      <c r="O956" s="196" t="s">
        <v>4940</v>
      </c>
      <c r="P956" s="17">
        <v>427</v>
      </c>
      <c r="Q956" s="175">
        <f t="shared" si="56"/>
        <v>1.9742999999999999</v>
      </c>
      <c r="R956" s="199">
        <v>0.49</v>
      </c>
      <c r="T956" s="149"/>
      <c r="U956" s="149">
        <v>1.2</v>
      </c>
      <c r="V956" s="151">
        <v>0.25</v>
      </c>
      <c r="W956" s="149">
        <f t="shared" si="59"/>
        <v>0.49</v>
      </c>
      <c r="X956" s="152">
        <f t="shared" si="58"/>
        <v>3.4299999999999997E-2</v>
      </c>
      <c r="Y956" s="150">
        <f t="shared" si="57"/>
        <v>1.01</v>
      </c>
      <c r="Z956" s="152"/>
      <c r="AC956" s="154"/>
      <c r="AD956" s="154"/>
      <c r="AE956" s="154"/>
      <c r="AF956" s="154"/>
    </row>
    <row r="957" spans="1:32" x14ac:dyDescent="0.25">
      <c r="A957" s="196">
        <v>689</v>
      </c>
      <c r="B957" s="196" t="s">
        <v>2470</v>
      </c>
      <c r="C957" s="196" t="s">
        <v>4992</v>
      </c>
      <c r="D957" s="196" t="s">
        <v>2054</v>
      </c>
      <c r="H957" s="196" t="s">
        <v>2734</v>
      </c>
      <c r="I957" s="184" t="s">
        <v>1879</v>
      </c>
      <c r="K957" s="196" t="s">
        <v>1881</v>
      </c>
      <c r="L957" s="184" t="s">
        <v>4993</v>
      </c>
      <c r="M957" s="196">
        <v>258</v>
      </c>
      <c r="O957" s="196" t="s">
        <v>4941</v>
      </c>
      <c r="P957" s="17">
        <v>322</v>
      </c>
      <c r="Q957" s="175">
        <f t="shared" si="56"/>
        <v>3.5792999999999999</v>
      </c>
      <c r="R957" s="199">
        <v>1.99</v>
      </c>
      <c r="T957" s="149"/>
      <c r="U957" s="149">
        <v>1.2</v>
      </c>
      <c r="V957" s="149">
        <v>0.25</v>
      </c>
      <c r="W957" s="149">
        <f t="shared" si="59"/>
        <v>1.99</v>
      </c>
      <c r="X957" s="152">
        <f t="shared" si="58"/>
        <v>0.13930000000000001</v>
      </c>
      <c r="Y957" s="150">
        <f t="shared" si="57"/>
        <v>1.01</v>
      </c>
      <c r="Z957" s="152"/>
      <c r="AC957" s="154"/>
      <c r="AD957" s="154"/>
      <c r="AE957" s="154"/>
      <c r="AF957" s="154"/>
    </row>
    <row r="958" spans="1:32" x14ac:dyDescent="0.25">
      <c r="A958" s="196">
        <v>689</v>
      </c>
      <c r="B958" s="196" t="s">
        <v>2470</v>
      </c>
      <c r="C958" s="182" t="s">
        <v>7209</v>
      </c>
      <c r="D958" s="196" t="s">
        <v>2054</v>
      </c>
      <c r="H958" s="196" t="s">
        <v>2734</v>
      </c>
      <c r="I958" s="184" t="s">
        <v>1879</v>
      </c>
      <c r="K958" s="196" t="s">
        <v>1881</v>
      </c>
      <c r="L958" s="184" t="s">
        <v>4994</v>
      </c>
      <c r="M958" s="196">
        <v>290</v>
      </c>
      <c r="O958" s="196" t="s">
        <v>4942</v>
      </c>
      <c r="P958" s="17">
        <v>350</v>
      </c>
      <c r="Q958" s="175">
        <f t="shared" si="56"/>
        <v>4.4352999999999998</v>
      </c>
      <c r="R958" s="199">
        <v>2.79</v>
      </c>
      <c r="T958" s="149"/>
      <c r="U958" s="149">
        <v>1.2</v>
      </c>
      <c r="V958" s="151">
        <v>0.25</v>
      </c>
      <c r="W958" s="149">
        <f t="shared" si="59"/>
        <v>2.79</v>
      </c>
      <c r="X958" s="152">
        <f t="shared" si="58"/>
        <v>0.1953</v>
      </c>
      <c r="Y958" s="150">
        <f t="shared" si="57"/>
        <v>1.01</v>
      </c>
      <c r="Z958" s="152"/>
      <c r="AC958" s="154"/>
      <c r="AD958" s="154"/>
      <c r="AE958" s="154"/>
      <c r="AF958" s="154"/>
    </row>
    <row r="959" spans="1:32" x14ac:dyDescent="0.25">
      <c r="A959" s="196">
        <v>689</v>
      </c>
      <c r="B959" s="196" t="s">
        <v>2470</v>
      </c>
      <c r="C959" s="182" t="s">
        <v>7210</v>
      </c>
      <c r="D959" s="196" t="s">
        <v>2054</v>
      </c>
      <c r="H959" s="196" t="s">
        <v>2734</v>
      </c>
      <c r="I959" s="184" t="s">
        <v>1879</v>
      </c>
      <c r="K959" s="196" t="s">
        <v>1881</v>
      </c>
      <c r="L959" s="184" t="s">
        <v>4995</v>
      </c>
      <c r="M959" s="196">
        <v>306</v>
      </c>
      <c r="O959" s="196" t="s">
        <v>4943</v>
      </c>
      <c r="P959" s="17">
        <v>363</v>
      </c>
      <c r="Q959" s="175">
        <f t="shared" si="56"/>
        <v>3.0442999999999998</v>
      </c>
      <c r="R959" s="199">
        <v>1.49</v>
      </c>
      <c r="T959" s="149"/>
      <c r="U959" s="149">
        <v>1.2</v>
      </c>
      <c r="V959" s="149">
        <v>0.25</v>
      </c>
      <c r="W959" s="149">
        <f t="shared" si="59"/>
        <v>1.49</v>
      </c>
      <c r="X959" s="152">
        <f t="shared" si="58"/>
        <v>0.1043</v>
      </c>
      <c r="Y959" s="150">
        <f t="shared" si="57"/>
        <v>1.01</v>
      </c>
      <c r="Z959" s="152"/>
      <c r="AC959" s="154"/>
      <c r="AD959" s="154"/>
      <c r="AE959" s="154"/>
      <c r="AF959" s="154"/>
    </row>
    <row r="960" spans="1:32" x14ac:dyDescent="0.25">
      <c r="A960" s="196">
        <v>689</v>
      </c>
      <c r="B960" s="196" t="s">
        <v>2470</v>
      </c>
      <c r="C960" s="182" t="s">
        <v>7211</v>
      </c>
      <c r="D960" s="196" t="s">
        <v>2054</v>
      </c>
      <c r="H960" s="196" t="s">
        <v>2734</v>
      </c>
      <c r="I960" s="184" t="s">
        <v>1879</v>
      </c>
      <c r="K960" s="196" t="s">
        <v>1881</v>
      </c>
      <c r="L960" s="184" t="s">
        <v>4996</v>
      </c>
      <c r="M960" s="196">
        <v>434</v>
      </c>
      <c r="O960" s="196" t="s">
        <v>4944</v>
      </c>
      <c r="P960" s="17">
        <v>385</v>
      </c>
      <c r="Q960" s="175">
        <f t="shared" si="56"/>
        <v>3.0442999999999998</v>
      </c>
      <c r="R960" s="199">
        <v>1.49</v>
      </c>
      <c r="T960" s="149"/>
      <c r="U960" s="149">
        <v>1.2</v>
      </c>
      <c r="V960" s="151">
        <v>0.25</v>
      </c>
      <c r="W960" s="149">
        <f t="shared" si="59"/>
        <v>1.49</v>
      </c>
      <c r="X960" s="152">
        <f t="shared" si="58"/>
        <v>0.1043</v>
      </c>
      <c r="Y960" s="150">
        <f t="shared" si="57"/>
        <v>1.01</v>
      </c>
      <c r="Z960" s="152"/>
      <c r="AC960" s="154"/>
      <c r="AD960" s="154"/>
      <c r="AE960" s="154"/>
      <c r="AF960" s="154"/>
    </row>
    <row r="961" spans="1:32" x14ac:dyDescent="0.25">
      <c r="A961" s="196">
        <v>796</v>
      </c>
      <c r="B961" s="196" t="s">
        <v>4997</v>
      </c>
      <c r="C961" s="182" t="s">
        <v>4998</v>
      </c>
      <c r="D961" s="196" t="s">
        <v>1876</v>
      </c>
      <c r="F961" s="182">
        <v>2001</v>
      </c>
      <c r="H961" s="196" t="s">
        <v>1878</v>
      </c>
      <c r="I961" s="184" t="s">
        <v>1879</v>
      </c>
      <c r="K961" s="196" t="s">
        <v>1881</v>
      </c>
      <c r="L961" s="184" t="s">
        <v>4999</v>
      </c>
      <c r="M961" s="196">
        <v>480</v>
      </c>
      <c r="O961" s="196" t="s">
        <v>4945</v>
      </c>
      <c r="P961" s="17">
        <v>400</v>
      </c>
      <c r="Q961" s="175">
        <f t="shared" si="56"/>
        <v>1.9742999999999999</v>
      </c>
      <c r="R961" s="199">
        <v>0.49</v>
      </c>
      <c r="T961" s="149"/>
      <c r="U961" s="149">
        <v>1.2</v>
      </c>
      <c r="V961" s="149">
        <v>0.25</v>
      </c>
      <c r="W961" s="149">
        <f t="shared" si="59"/>
        <v>0.49</v>
      </c>
      <c r="X961" s="152">
        <f t="shared" si="58"/>
        <v>3.4299999999999997E-2</v>
      </c>
      <c r="Y961" s="150">
        <f t="shared" si="57"/>
        <v>1.01</v>
      </c>
      <c r="Z961" s="152"/>
      <c r="AC961" s="154"/>
      <c r="AD961" s="154"/>
      <c r="AE961" s="154"/>
      <c r="AF961" s="154"/>
    </row>
    <row r="962" spans="1:32" x14ac:dyDescent="0.25">
      <c r="A962" s="196">
        <v>1809</v>
      </c>
      <c r="B962" s="196" t="s">
        <v>5000</v>
      </c>
      <c r="C962" s="182" t="s">
        <v>5001</v>
      </c>
      <c r="D962" s="196" t="s">
        <v>3116</v>
      </c>
      <c r="E962" s="196" t="s">
        <v>1877</v>
      </c>
      <c r="F962" s="182">
        <v>2010</v>
      </c>
      <c r="H962" s="196" t="s">
        <v>1878</v>
      </c>
      <c r="I962" s="184" t="s">
        <v>1914</v>
      </c>
      <c r="K962" s="196" t="s">
        <v>1881</v>
      </c>
      <c r="L962" s="184" t="s">
        <v>5002</v>
      </c>
      <c r="M962" s="196">
        <v>256</v>
      </c>
      <c r="O962" s="196" t="s">
        <v>4946</v>
      </c>
      <c r="P962" s="17">
        <v>390</v>
      </c>
      <c r="Q962" s="175">
        <f t="shared" si="56"/>
        <v>2.5093000000000001</v>
      </c>
      <c r="R962" s="199">
        <v>0.99</v>
      </c>
      <c r="T962" s="149"/>
      <c r="U962" s="149">
        <v>1.2</v>
      </c>
      <c r="V962" s="151">
        <v>0.25</v>
      </c>
      <c r="W962" s="149">
        <f t="shared" si="59"/>
        <v>0.99</v>
      </c>
      <c r="X962" s="152">
        <f t="shared" si="58"/>
        <v>6.93E-2</v>
      </c>
      <c r="Y962" s="150">
        <f t="shared" si="57"/>
        <v>1.01</v>
      </c>
      <c r="Z962" s="152"/>
      <c r="AC962" s="154"/>
      <c r="AD962" s="154"/>
      <c r="AE962" s="154"/>
      <c r="AF962" s="154"/>
    </row>
    <row r="963" spans="1:32" x14ac:dyDescent="0.25">
      <c r="A963" s="196">
        <v>2522</v>
      </c>
      <c r="B963" s="196" t="s">
        <v>5003</v>
      </c>
      <c r="C963" s="182" t="s">
        <v>5004</v>
      </c>
      <c r="D963" s="196" t="s">
        <v>5005</v>
      </c>
      <c r="F963" s="182">
        <v>2006</v>
      </c>
      <c r="H963" s="196" t="s">
        <v>1878</v>
      </c>
      <c r="I963" s="184" t="s">
        <v>1879</v>
      </c>
      <c r="K963" s="196" t="s">
        <v>1881</v>
      </c>
      <c r="M963" s="196">
        <v>560</v>
      </c>
      <c r="O963" s="196" t="s">
        <v>4947</v>
      </c>
      <c r="P963" s="17">
        <v>400</v>
      </c>
      <c r="Q963" s="175">
        <f t="shared" si="56"/>
        <v>2.5093000000000001</v>
      </c>
      <c r="R963" s="199">
        <v>0.99</v>
      </c>
      <c r="T963" s="149"/>
      <c r="U963" s="149">
        <v>1.2</v>
      </c>
      <c r="V963" s="149">
        <v>0.25</v>
      </c>
      <c r="W963" s="149">
        <f t="shared" si="59"/>
        <v>0.99</v>
      </c>
      <c r="X963" s="152">
        <f t="shared" si="58"/>
        <v>6.93E-2</v>
      </c>
      <c r="Y963" s="150">
        <f t="shared" si="57"/>
        <v>1.01</v>
      </c>
      <c r="Z963" s="152"/>
      <c r="AC963" s="154"/>
      <c r="AD963" s="154"/>
      <c r="AE963" s="154"/>
      <c r="AF963" s="154"/>
    </row>
    <row r="964" spans="1:32" x14ac:dyDescent="0.25">
      <c r="A964" s="196">
        <v>2524</v>
      </c>
      <c r="B964" s="196" t="s">
        <v>5006</v>
      </c>
      <c r="C964" s="196" t="s">
        <v>5007</v>
      </c>
      <c r="D964" s="196" t="s">
        <v>1912</v>
      </c>
      <c r="F964" s="196">
        <v>2000</v>
      </c>
      <c r="H964" s="196" t="s">
        <v>1878</v>
      </c>
      <c r="I964" s="184" t="s">
        <v>1914</v>
      </c>
      <c r="K964" s="196" t="s">
        <v>1881</v>
      </c>
      <c r="L964" s="184" t="s">
        <v>5008</v>
      </c>
      <c r="M964" s="196">
        <v>256</v>
      </c>
      <c r="O964" s="196" t="s">
        <v>4948</v>
      </c>
      <c r="P964" s="17">
        <v>227</v>
      </c>
      <c r="Q964" s="175">
        <f t="shared" si="56"/>
        <v>1.9742999999999999</v>
      </c>
      <c r="R964" s="199">
        <v>0.49</v>
      </c>
      <c r="T964" s="149"/>
      <c r="U964" s="149">
        <v>1.2</v>
      </c>
      <c r="V964" s="151">
        <v>0.25</v>
      </c>
      <c r="W964" s="149">
        <f t="shared" si="59"/>
        <v>0.49</v>
      </c>
      <c r="X964" s="152">
        <f t="shared" si="58"/>
        <v>3.4299999999999997E-2</v>
      </c>
      <c r="Y964" s="150">
        <f t="shared" si="57"/>
        <v>1.01</v>
      </c>
      <c r="Z964" s="152"/>
      <c r="AC964" s="154"/>
      <c r="AD964" s="154"/>
      <c r="AE964" s="154"/>
      <c r="AF964" s="154"/>
    </row>
    <row r="965" spans="1:32" x14ac:dyDescent="0.25">
      <c r="A965" s="196">
        <v>1386</v>
      </c>
      <c r="B965" s="196" t="s">
        <v>5009</v>
      </c>
      <c r="C965" s="196" t="s">
        <v>5010</v>
      </c>
      <c r="D965" s="196" t="s">
        <v>2257</v>
      </c>
      <c r="E965" s="196" t="s">
        <v>1921</v>
      </c>
      <c r="F965" s="196">
        <v>2010</v>
      </c>
      <c r="H965" s="196" t="s">
        <v>1878</v>
      </c>
      <c r="I965" s="184" t="s">
        <v>1914</v>
      </c>
      <c r="K965" s="196" t="s">
        <v>1881</v>
      </c>
      <c r="L965" s="184" t="s">
        <v>5011</v>
      </c>
      <c r="M965" s="196">
        <v>432</v>
      </c>
      <c r="O965" s="196" t="s">
        <v>4949</v>
      </c>
      <c r="P965" s="17">
        <v>285</v>
      </c>
      <c r="Q965" s="175">
        <f t="shared" si="56"/>
        <v>2.5093000000000001</v>
      </c>
      <c r="R965" s="199">
        <v>0.99</v>
      </c>
      <c r="T965" s="149"/>
      <c r="U965" s="149">
        <v>1.2</v>
      </c>
      <c r="V965" s="149">
        <v>0.25</v>
      </c>
      <c r="W965" s="149">
        <f t="shared" si="59"/>
        <v>0.99</v>
      </c>
      <c r="X965" s="152">
        <f t="shared" si="58"/>
        <v>6.93E-2</v>
      </c>
      <c r="Y965" s="150">
        <f t="shared" si="57"/>
        <v>1.01</v>
      </c>
      <c r="Z965" s="152"/>
      <c r="AC965" s="154"/>
      <c r="AD965" s="154"/>
      <c r="AE965" s="154"/>
      <c r="AF965" s="154"/>
    </row>
    <row r="966" spans="1:32" x14ac:dyDescent="0.25">
      <c r="A966" s="196">
        <v>2851</v>
      </c>
      <c r="B966" s="196" t="s">
        <v>5012</v>
      </c>
      <c r="C966" s="196" t="s">
        <v>5013</v>
      </c>
      <c r="D966" s="196" t="s">
        <v>1912</v>
      </c>
      <c r="F966" s="196">
        <v>1988</v>
      </c>
      <c r="H966" s="196" t="s">
        <v>1878</v>
      </c>
      <c r="I966" s="184" t="s">
        <v>1879</v>
      </c>
      <c r="J966" s="54" t="s">
        <v>3854</v>
      </c>
      <c r="K966" s="196" t="s">
        <v>1881</v>
      </c>
      <c r="L966" s="184" t="s">
        <v>5014</v>
      </c>
      <c r="M966" s="196">
        <v>704</v>
      </c>
      <c r="O966" s="196" t="s">
        <v>4950</v>
      </c>
      <c r="P966" s="17">
        <v>478</v>
      </c>
      <c r="Q966" s="175">
        <f t="shared" si="56"/>
        <v>9.9992999999999999</v>
      </c>
      <c r="R966" s="199">
        <v>7.99</v>
      </c>
      <c r="T966" s="149"/>
      <c r="U966" s="149">
        <v>1.2</v>
      </c>
      <c r="V966" s="151">
        <v>0.25</v>
      </c>
      <c r="W966" s="149">
        <f t="shared" si="59"/>
        <v>7.99</v>
      </c>
      <c r="X966" s="152">
        <f t="shared" si="58"/>
        <v>0.55930000000000002</v>
      </c>
      <c r="Y966" s="150">
        <f t="shared" si="57"/>
        <v>1.01</v>
      </c>
      <c r="Z966" s="152"/>
      <c r="AC966" s="154"/>
      <c r="AD966" s="154"/>
      <c r="AE966" s="154"/>
      <c r="AF966" s="154"/>
    </row>
    <row r="967" spans="1:32" x14ac:dyDescent="0.25">
      <c r="A967" s="196">
        <v>1809</v>
      </c>
      <c r="C967" s="196" t="s">
        <v>5015</v>
      </c>
      <c r="D967" s="196" t="s">
        <v>2822</v>
      </c>
      <c r="F967" s="196">
        <v>2005</v>
      </c>
      <c r="H967" s="196" t="s">
        <v>1878</v>
      </c>
      <c r="I967" s="184" t="s">
        <v>1929</v>
      </c>
      <c r="K967" s="196" t="s">
        <v>1881</v>
      </c>
      <c r="L967" s="184" t="s">
        <v>5016</v>
      </c>
      <c r="M967" s="196">
        <v>176</v>
      </c>
      <c r="O967" s="196" t="s">
        <v>4951</v>
      </c>
      <c r="P967" s="17">
        <v>261</v>
      </c>
      <c r="Q967" s="175">
        <f t="shared" si="56"/>
        <v>1.9742999999999999</v>
      </c>
      <c r="R967" s="199">
        <v>0.49</v>
      </c>
      <c r="T967" s="149"/>
      <c r="U967" s="149">
        <v>1.2</v>
      </c>
      <c r="V967" s="149">
        <v>0.25</v>
      </c>
      <c r="W967" s="149">
        <f t="shared" si="59"/>
        <v>0.49</v>
      </c>
      <c r="X967" s="152">
        <f t="shared" si="58"/>
        <v>3.4299999999999997E-2</v>
      </c>
      <c r="Y967" s="150">
        <f t="shared" si="57"/>
        <v>1.01</v>
      </c>
      <c r="Z967" s="152"/>
      <c r="AC967" s="154"/>
      <c r="AD967" s="154"/>
      <c r="AE967" s="154"/>
      <c r="AF967" s="154"/>
    </row>
    <row r="968" spans="1:32" x14ac:dyDescent="0.25">
      <c r="A968" s="196">
        <v>796</v>
      </c>
      <c r="B968" s="196" t="s">
        <v>5017</v>
      </c>
      <c r="C968" s="196" t="s">
        <v>5018</v>
      </c>
      <c r="D968" s="196" t="s">
        <v>1993</v>
      </c>
      <c r="E968" s="196" t="s">
        <v>1913</v>
      </c>
      <c r="F968" s="196">
        <v>2005</v>
      </c>
      <c r="H968" s="196" t="s">
        <v>1878</v>
      </c>
      <c r="I968" s="184" t="s">
        <v>1914</v>
      </c>
      <c r="K968" s="196" t="s">
        <v>1881</v>
      </c>
      <c r="L968" s="184" t="s">
        <v>5019</v>
      </c>
      <c r="M968" s="196">
        <v>448</v>
      </c>
      <c r="O968" s="196" t="s">
        <v>4952</v>
      </c>
      <c r="P968" s="17">
        <v>344</v>
      </c>
      <c r="Q968" s="175">
        <f t="shared" si="56"/>
        <v>2.5093000000000001</v>
      </c>
      <c r="R968" s="199">
        <v>0.99</v>
      </c>
      <c r="T968" s="149"/>
      <c r="U968" s="149">
        <v>1.2</v>
      </c>
      <c r="V968" s="151">
        <v>0.25</v>
      </c>
      <c r="W968" s="149">
        <f t="shared" si="59"/>
        <v>0.99</v>
      </c>
      <c r="X968" s="152">
        <f t="shared" si="58"/>
        <v>6.93E-2</v>
      </c>
      <c r="Y968" s="150">
        <f t="shared" si="57"/>
        <v>1.01</v>
      </c>
      <c r="Z968" s="152"/>
      <c r="AC968" s="154"/>
      <c r="AD968" s="154"/>
      <c r="AE968" s="154"/>
      <c r="AF968" s="154"/>
    </row>
    <row r="969" spans="1:32" x14ac:dyDescent="0.25">
      <c r="A969" s="196">
        <v>1809</v>
      </c>
      <c r="B969" s="196" t="s">
        <v>5020</v>
      </c>
      <c r="C969" s="196" t="s">
        <v>5021</v>
      </c>
      <c r="D969" s="196" t="s">
        <v>2402</v>
      </c>
      <c r="F969" s="196">
        <v>1996</v>
      </c>
      <c r="H969" s="196" t="s">
        <v>2734</v>
      </c>
      <c r="I969" s="184" t="s">
        <v>1879</v>
      </c>
      <c r="J969" s="182" t="s">
        <v>2237</v>
      </c>
      <c r="K969" s="196" t="s">
        <v>1881</v>
      </c>
      <c r="L969" s="184" t="s">
        <v>5022</v>
      </c>
      <c r="M969" s="196">
        <v>382</v>
      </c>
      <c r="O969" s="196" t="s">
        <v>4953</v>
      </c>
      <c r="P969" s="17">
        <v>460</v>
      </c>
      <c r="Q969" s="175">
        <f t="shared" si="56"/>
        <v>1.9742999999999999</v>
      </c>
      <c r="R969" s="199">
        <v>0.49</v>
      </c>
      <c r="T969" s="149"/>
      <c r="U969" s="149">
        <v>1.2</v>
      </c>
      <c r="V969" s="149">
        <v>0.25</v>
      </c>
      <c r="W969" s="149">
        <f t="shared" si="59"/>
        <v>0.49</v>
      </c>
      <c r="X969" s="152">
        <f t="shared" si="58"/>
        <v>3.4299999999999997E-2</v>
      </c>
      <c r="Y969" s="150">
        <f t="shared" si="57"/>
        <v>1.01</v>
      </c>
      <c r="Z969" s="152"/>
      <c r="AC969" s="154"/>
      <c r="AD969" s="154"/>
      <c r="AE969" s="154"/>
      <c r="AF969" s="154"/>
    </row>
    <row r="970" spans="1:32" x14ac:dyDescent="0.25">
      <c r="A970" s="196">
        <v>785</v>
      </c>
      <c r="B970" s="196" t="s">
        <v>5023</v>
      </c>
      <c r="C970" s="196" t="s">
        <v>5024</v>
      </c>
      <c r="D970" s="196" t="s">
        <v>4357</v>
      </c>
      <c r="E970" s="196" t="s">
        <v>2922</v>
      </c>
      <c r="F970" s="196">
        <v>2004</v>
      </c>
      <c r="H970" s="196" t="s">
        <v>1878</v>
      </c>
      <c r="I970" s="184" t="s">
        <v>1879</v>
      </c>
      <c r="K970" s="196" t="s">
        <v>1881</v>
      </c>
      <c r="L970" s="184" t="s">
        <v>5025</v>
      </c>
      <c r="M970" s="196">
        <v>176</v>
      </c>
      <c r="O970" s="196" t="s">
        <v>4954</v>
      </c>
      <c r="P970" s="17">
        <v>162</v>
      </c>
      <c r="Q970" s="175">
        <f t="shared" si="56"/>
        <v>2.9373</v>
      </c>
      <c r="R970" s="199">
        <v>1.39</v>
      </c>
      <c r="T970" s="149"/>
      <c r="U970" s="149">
        <v>1.2</v>
      </c>
      <c r="V970" s="151">
        <v>0.25</v>
      </c>
      <c r="W970" s="149">
        <f t="shared" si="59"/>
        <v>1.39</v>
      </c>
      <c r="X970" s="152">
        <f t="shared" si="58"/>
        <v>9.7299999999999998E-2</v>
      </c>
      <c r="Y970" s="150">
        <f t="shared" si="57"/>
        <v>1.01</v>
      </c>
      <c r="Z970" s="152"/>
      <c r="AC970" s="154"/>
      <c r="AD970" s="154"/>
      <c r="AE970" s="154"/>
      <c r="AF970" s="154"/>
    </row>
    <row r="971" spans="1:32" x14ac:dyDescent="0.25">
      <c r="A971" s="196">
        <v>718</v>
      </c>
      <c r="B971" s="196" t="s">
        <v>5026</v>
      </c>
      <c r="C971" s="196" t="s">
        <v>5027</v>
      </c>
      <c r="D971" s="196" t="s">
        <v>2054</v>
      </c>
      <c r="F971" s="196">
        <v>2004</v>
      </c>
      <c r="H971" s="196" t="s">
        <v>2734</v>
      </c>
      <c r="I971" s="184" t="s">
        <v>1929</v>
      </c>
      <c r="K971" s="196" t="s">
        <v>1881</v>
      </c>
      <c r="L971" s="184" t="s">
        <v>5028</v>
      </c>
      <c r="M971" s="196">
        <v>130</v>
      </c>
      <c r="O971" s="196" t="s">
        <v>4955</v>
      </c>
      <c r="P971" s="17">
        <v>420</v>
      </c>
      <c r="Q971" s="175">
        <f t="shared" si="56"/>
        <v>4.7563000000000004</v>
      </c>
      <c r="R971" s="199">
        <v>3.09</v>
      </c>
      <c r="T971" s="149"/>
      <c r="U971" s="149">
        <v>1.2</v>
      </c>
      <c r="V971" s="149">
        <v>0.25</v>
      </c>
      <c r="W971" s="149">
        <f t="shared" si="59"/>
        <v>3.09</v>
      </c>
      <c r="X971" s="152">
        <f t="shared" si="58"/>
        <v>0.21629999999999999</v>
      </c>
      <c r="Y971" s="150">
        <f t="shared" si="57"/>
        <v>1.01</v>
      </c>
      <c r="Z971" s="152"/>
      <c r="AC971" s="154"/>
      <c r="AD971" s="154"/>
      <c r="AE971" s="154"/>
      <c r="AF971" s="154"/>
    </row>
    <row r="972" spans="1:32" x14ac:dyDescent="0.25">
      <c r="A972" s="196">
        <v>1984</v>
      </c>
      <c r="B972" s="196" t="s">
        <v>2793</v>
      </c>
      <c r="C972" s="196" t="s">
        <v>5029</v>
      </c>
      <c r="D972" s="196" t="s">
        <v>2054</v>
      </c>
      <c r="H972" s="196" t="s">
        <v>2734</v>
      </c>
      <c r="I972" s="184" t="s">
        <v>1929</v>
      </c>
      <c r="K972" s="196" t="s">
        <v>1881</v>
      </c>
      <c r="L972" s="184" t="s">
        <v>5030</v>
      </c>
      <c r="M972" s="196">
        <v>76</v>
      </c>
      <c r="O972" s="196" t="s">
        <v>4956</v>
      </c>
      <c r="P972" s="17">
        <v>236</v>
      </c>
      <c r="Q972" s="175">
        <f t="shared" si="56"/>
        <v>3.3653000000000004</v>
      </c>
      <c r="R972" s="199">
        <v>1.79</v>
      </c>
      <c r="T972" s="149"/>
      <c r="U972" s="149">
        <v>1.2</v>
      </c>
      <c r="V972" s="151">
        <v>0.25</v>
      </c>
      <c r="W972" s="149">
        <f t="shared" si="59"/>
        <v>1.79</v>
      </c>
      <c r="X972" s="152">
        <f t="shared" si="58"/>
        <v>0.12529999999999999</v>
      </c>
      <c r="Y972" s="150">
        <f t="shared" si="57"/>
        <v>1.01</v>
      </c>
      <c r="Z972" s="152"/>
      <c r="AC972" s="154"/>
      <c r="AD972" s="154"/>
      <c r="AE972" s="154"/>
      <c r="AF972" s="154"/>
    </row>
    <row r="973" spans="1:32" x14ac:dyDescent="0.25">
      <c r="A973" s="196">
        <v>690</v>
      </c>
      <c r="B973" s="196" t="s">
        <v>4593</v>
      </c>
      <c r="C973" s="196" t="s">
        <v>5031</v>
      </c>
      <c r="D973" s="196" t="s">
        <v>1979</v>
      </c>
      <c r="F973" s="196">
        <v>2003</v>
      </c>
      <c r="H973" s="196" t="s">
        <v>1878</v>
      </c>
      <c r="I973" s="184" t="s">
        <v>1879</v>
      </c>
      <c r="K973" s="196" t="s">
        <v>1881</v>
      </c>
      <c r="L973" s="184" t="s">
        <v>5032</v>
      </c>
      <c r="M973" s="196">
        <v>128</v>
      </c>
      <c r="O973" s="196" t="s">
        <v>4957</v>
      </c>
      <c r="P973" s="17">
        <v>140</v>
      </c>
      <c r="Q973" s="175">
        <f t="shared" si="56"/>
        <v>2.5093000000000001</v>
      </c>
      <c r="R973" s="199">
        <v>0.99</v>
      </c>
      <c r="T973" s="149"/>
      <c r="U973" s="149">
        <v>1.2</v>
      </c>
      <c r="V973" s="149">
        <v>0.25</v>
      </c>
      <c r="W973" s="149">
        <f t="shared" si="59"/>
        <v>0.99</v>
      </c>
      <c r="X973" s="152">
        <f t="shared" si="58"/>
        <v>6.93E-2</v>
      </c>
      <c r="Y973" s="150">
        <f t="shared" si="57"/>
        <v>1.01</v>
      </c>
      <c r="Z973" s="152"/>
      <c r="AC973" s="154"/>
      <c r="AD973" s="154"/>
      <c r="AE973" s="154"/>
      <c r="AF973" s="154"/>
    </row>
    <row r="974" spans="1:32" x14ac:dyDescent="0.25">
      <c r="A974" s="196">
        <v>2547</v>
      </c>
      <c r="B974" s="196" t="s">
        <v>5033</v>
      </c>
      <c r="C974" s="196" t="s">
        <v>5034</v>
      </c>
      <c r="D974" s="196" t="s">
        <v>1988</v>
      </c>
      <c r="E974" s="196" t="s">
        <v>5035</v>
      </c>
      <c r="F974" s="196">
        <v>2003</v>
      </c>
      <c r="H974" s="196" t="s">
        <v>1878</v>
      </c>
      <c r="I974" s="184" t="s">
        <v>1879</v>
      </c>
      <c r="J974" s="196" t="s">
        <v>5036</v>
      </c>
      <c r="K974" s="196" t="s">
        <v>1881</v>
      </c>
      <c r="L974" s="184" t="s">
        <v>5037</v>
      </c>
      <c r="M974" s="196">
        <v>336</v>
      </c>
      <c r="O974" s="196" t="s">
        <v>4958</v>
      </c>
      <c r="P974" s="17">
        <v>243</v>
      </c>
      <c r="Q974" s="175">
        <f t="shared" si="56"/>
        <v>1.9742999999999999</v>
      </c>
      <c r="R974" s="199">
        <v>0.49</v>
      </c>
      <c r="T974" s="149"/>
      <c r="U974" s="149">
        <v>1.2</v>
      </c>
      <c r="V974" s="151">
        <v>0.25</v>
      </c>
      <c r="W974" s="149">
        <f t="shared" si="59"/>
        <v>0.49</v>
      </c>
      <c r="X974" s="152">
        <f t="shared" si="58"/>
        <v>3.4299999999999997E-2</v>
      </c>
      <c r="Y974" s="150">
        <f t="shared" si="57"/>
        <v>1.01</v>
      </c>
      <c r="Z974" s="152"/>
      <c r="AC974" s="154"/>
      <c r="AD974" s="154"/>
      <c r="AE974" s="154"/>
      <c r="AF974" s="154"/>
    </row>
    <row r="975" spans="1:32" x14ac:dyDescent="0.25">
      <c r="A975" s="196">
        <v>796</v>
      </c>
      <c r="B975" s="196" t="s">
        <v>5038</v>
      </c>
      <c r="C975" s="196" t="s">
        <v>5039</v>
      </c>
      <c r="D975" s="196" t="s">
        <v>2257</v>
      </c>
      <c r="F975" s="196">
        <v>2006</v>
      </c>
      <c r="H975" s="196" t="s">
        <v>1878</v>
      </c>
      <c r="I975" s="184" t="s">
        <v>1879</v>
      </c>
      <c r="J975" s="54" t="s">
        <v>3854</v>
      </c>
      <c r="K975" s="196" t="s">
        <v>1881</v>
      </c>
      <c r="L975" s="184" t="s">
        <v>5040</v>
      </c>
      <c r="M975" s="196">
        <v>176</v>
      </c>
      <c r="O975" s="196" t="s">
        <v>4959</v>
      </c>
      <c r="P975" s="17">
        <v>142</v>
      </c>
      <c r="Q975" s="175">
        <f t="shared" si="56"/>
        <v>1.9742999999999999</v>
      </c>
      <c r="R975" s="199">
        <v>0.49</v>
      </c>
      <c r="T975" s="149"/>
      <c r="U975" s="149">
        <v>1.2</v>
      </c>
      <c r="V975" s="149">
        <v>0.25</v>
      </c>
      <c r="W975" s="149">
        <f t="shared" si="59"/>
        <v>0.49</v>
      </c>
      <c r="X975" s="152">
        <f t="shared" si="58"/>
        <v>3.4299999999999997E-2</v>
      </c>
      <c r="Y975" s="150">
        <f t="shared" si="57"/>
        <v>1.01</v>
      </c>
      <c r="Z975" s="152"/>
      <c r="AC975" s="154"/>
      <c r="AD975" s="154"/>
      <c r="AE975" s="154"/>
      <c r="AF975" s="154"/>
    </row>
    <row r="976" spans="1:32" x14ac:dyDescent="0.25">
      <c r="A976" s="196">
        <v>1339</v>
      </c>
      <c r="B976" s="196" t="s">
        <v>5041</v>
      </c>
      <c r="C976" s="196" t="s">
        <v>5042</v>
      </c>
      <c r="F976" s="196">
        <v>2003</v>
      </c>
      <c r="H976" s="196" t="s">
        <v>1878</v>
      </c>
      <c r="I976" s="184" t="s">
        <v>1929</v>
      </c>
      <c r="K976" s="196" t="s">
        <v>1881</v>
      </c>
      <c r="L976" s="184" t="s">
        <v>5043</v>
      </c>
      <c r="M976" s="196">
        <v>160</v>
      </c>
      <c r="O976" s="196" t="s">
        <v>4960</v>
      </c>
      <c r="P976" s="17">
        <v>282</v>
      </c>
      <c r="Q976" s="175">
        <f t="shared" si="56"/>
        <v>2.7232999999999996</v>
      </c>
      <c r="R976" s="199">
        <v>1.19</v>
      </c>
      <c r="T976" s="149"/>
      <c r="U976" s="149">
        <v>1.2</v>
      </c>
      <c r="V976" s="151">
        <v>0.25</v>
      </c>
      <c r="W976" s="149">
        <f t="shared" si="59"/>
        <v>1.19</v>
      </c>
      <c r="X976" s="152">
        <f t="shared" si="58"/>
        <v>8.3299999999999999E-2</v>
      </c>
      <c r="Y976" s="150">
        <f t="shared" si="57"/>
        <v>1.01</v>
      </c>
      <c r="Z976" s="152"/>
      <c r="AC976" s="154"/>
      <c r="AD976" s="154"/>
      <c r="AE976" s="154"/>
      <c r="AF976" s="154"/>
    </row>
    <row r="977" spans="1:32" x14ac:dyDescent="0.25">
      <c r="A977" s="196">
        <v>632</v>
      </c>
      <c r="B977" s="196" t="s">
        <v>5044</v>
      </c>
      <c r="C977" s="196" t="s">
        <v>5045</v>
      </c>
      <c r="D977" s="196" t="s">
        <v>2309</v>
      </c>
      <c r="F977" s="196">
        <v>2000</v>
      </c>
      <c r="H977" s="196" t="s">
        <v>1878</v>
      </c>
      <c r="I977" s="184" t="s">
        <v>1879</v>
      </c>
      <c r="K977" s="196" t="s">
        <v>1881</v>
      </c>
      <c r="L977" s="184" t="s">
        <v>5046</v>
      </c>
      <c r="M977" s="196">
        <v>480</v>
      </c>
      <c r="O977" s="196" t="s">
        <v>4961</v>
      </c>
      <c r="P977" s="17">
        <v>310</v>
      </c>
      <c r="Q977" s="175">
        <f t="shared" si="56"/>
        <v>1.9742999999999999</v>
      </c>
      <c r="R977" s="199">
        <v>0.49</v>
      </c>
      <c r="T977" s="149"/>
      <c r="U977" s="149">
        <v>1.2</v>
      </c>
      <c r="V977" s="149">
        <v>0.25</v>
      </c>
      <c r="W977" s="149">
        <f t="shared" si="59"/>
        <v>0.49</v>
      </c>
      <c r="X977" s="152">
        <f t="shared" si="58"/>
        <v>3.4299999999999997E-2</v>
      </c>
      <c r="Y977" s="150">
        <f t="shared" si="57"/>
        <v>1.01</v>
      </c>
      <c r="Z977" s="152"/>
      <c r="AC977" s="154"/>
      <c r="AD977" s="154"/>
      <c r="AE977" s="154"/>
      <c r="AF977" s="154"/>
    </row>
    <row r="978" spans="1:32" x14ac:dyDescent="0.25">
      <c r="A978" s="196">
        <v>2522</v>
      </c>
      <c r="B978" s="196" t="s">
        <v>5047</v>
      </c>
      <c r="C978" s="196" t="s">
        <v>5048</v>
      </c>
      <c r="D978" s="196" t="s">
        <v>2209</v>
      </c>
      <c r="F978" s="196">
        <v>1997</v>
      </c>
      <c r="H978" s="196" t="s">
        <v>1878</v>
      </c>
      <c r="I978" s="184" t="s">
        <v>1879</v>
      </c>
      <c r="K978" s="196" t="s">
        <v>1881</v>
      </c>
      <c r="L978" s="184" t="s">
        <v>5049</v>
      </c>
      <c r="M978" s="196">
        <v>608</v>
      </c>
      <c r="O978" s="196" t="s">
        <v>4962</v>
      </c>
      <c r="P978" s="17">
        <v>346</v>
      </c>
      <c r="Q978" s="175">
        <f t="shared" si="56"/>
        <v>2.6162999999999998</v>
      </c>
      <c r="R978" s="199">
        <v>1.0900000000000001</v>
      </c>
      <c r="T978" s="149"/>
      <c r="U978" s="149">
        <v>1.2</v>
      </c>
      <c r="V978" s="151">
        <v>0.25</v>
      </c>
      <c r="W978" s="149">
        <f t="shared" si="59"/>
        <v>1.0900000000000001</v>
      </c>
      <c r="X978" s="152">
        <f t="shared" si="58"/>
        <v>7.6300000000000007E-2</v>
      </c>
      <c r="Y978" s="150">
        <f t="shared" si="57"/>
        <v>1.01</v>
      </c>
      <c r="Z978" s="152"/>
      <c r="AC978" s="154"/>
      <c r="AD978" s="154"/>
      <c r="AE978" s="154"/>
      <c r="AF978" s="154"/>
    </row>
    <row r="979" spans="1:32" x14ac:dyDescent="0.25">
      <c r="A979" s="196">
        <v>632</v>
      </c>
      <c r="B979" s="196" t="s">
        <v>2870</v>
      </c>
      <c r="C979" s="196" t="s">
        <v>5050</v>
      </c>
      <c r="D979" s="196" t="s">
        <v>2609</v>
      </c>
      <c r="F979" s="196">
        <v>1988</v>
      </c>
      <c r="H979" s="196" t="s">
        <v>2734</v>
      </c>
      <c r="I979" s="184" t="s">
        <v>1879</v>
      </c>
      <c r="K979" s="196" t="s">
        <v>1881</v>
      </c>
      <c r="M979" s="196">
        <v>642</v>
      </c>
      <c r="O979" s="196" t="s">
        <v>4963</v>
      </c>
      <c r="P979" s="17">
        <v>753</v>
      </c>
      <c r="Q979" s="175">
        <f t="shared" si="56"/>
        <v>2.4742999999999999</v>
      </c>
      <c r="R979" s="199">
        <v>0.49</v>
      </c>
      <c r="T979" s="149"/>
      <c r="U979" s="149">
        <v>1.7</v>
      </c>
      <c r="V979" s="149">
        <v>0.25</v>
      </c>
      <c r="W979" s="149">
        <f t="shared" si="59"/>
        <v>0.49</v>
      </c>
      <c r="X979" s="152">
        <f t="shared" si="58"/>
        <v>3.4299999999999997E-2</v>
      </c>
      <c r="Y979" s="150">
        <f t="shared" si="57"/>
        <v>1.01</v>
      </c>
      <c r="Z979" s="152"/>
      <c r="AC979" s="154"/>
      <c r="AD979" s="154"/>
      <c r="AE979" s="154"/>
      <c r="AF979" s="154"/>
    </row>
    <row r="980" spans="1:32" x14ac:dyDescent="0.25">
      <c r="A980" s="196">
        <v>1386</v>
      </c>
      <c r="B980" s="196" t="s">
        <v>5051</v>
      </c>
      <c r="C980" s="196" t="s">
        <v>5052</v>
      </c>
      <c r="D980" s="196" t="s">
        <v>4517</v>
      </c>
      <c r="E980" s="196" t="s">
        <v>1913</v>
      </c>
      <c r="F980" s="196">
        <v>2014</v>
      </c>
      <c r="H980" s="196" t="s">
        <v>1878</v>
      </c>
      <c r="I980" s="184" t="s">
        <v>1929</v>
      </c>
      <c r="K980" s="196" t="s">
        <v>1881</v>
      </c>
      <c r="L980" s="184" t="s">
        <v>5053</v>
      </c>
      <c r="M980" s="196">
        <v>208</v>
      </c>
      <c r="O980" s="196" t="s">
        <v>4964</v>
      </c>
      <c r="P980" s="17">
        <v>176</v>
      </c>
      <c r="Q980" s="175">
        <f t="shared" si="56"/>
        <v>2.9373</v>
      </c>
      <c r="R980" s="199">
        <v>1.39</v>
      </c>
      <c r="T980" s="149"/>
      <c r="U980" s="149">
        <v>1.2</v>
      </c>
      <c r="V980" s="151">
        <v>0.25</v>
      </c>
      <c r="W980" s="149">
        <f t="shared" si="59"/>
        <v>1.39</v>
      </c>
      <c r="X980" s="152">
        <f t="shared" si="58"/>
        <v>9.7299999999999998E-2</v>
      </c>
      <c r="Y980" s="150">
        <f t="shared" si="57"/>
        <v>1.01</v>
      </c>
      <c r="Z980" s="152"/>
      <c r="AC980" s="154"/>
      <c r="AD980" s="154"/>
      <c r="AE980" s="154"/>
      <c r="AF980" s="154"/>
    </row>
    <row r="981" spans="1:32" x14ac:dyDescent="0.25">
      <c r="A981" s="196">
        <v>8</v>
      </c>
      <c r="B981" s="196" t="s">
        <v>5054</v>
      </c>
      <c r="C981" s="196" t="s">
        <v>5055</v>
      </c>
      <c r="D981" s="196" t="s">
        <v>2901</v>
      </c>
      <c r="H981" s="196" t="s">
        <v>2734</v>
      </c>
      <c r="I981" s="184" t="s">
        <v>1879</v>
      </c>
      <c r="J981" s="182" t="s">
        <v>2237</v>
      </c>
      <c r="K981" s="196" t="s">
        <v>1881</v>
      </c>
      <c r="L981" s="184" t="s">
        <v>5056</v>
      </c>
      <c r="M981" s="196">
        <v>282</v>
      </c>
      <c r="O981" s="196" t="s">
        <v>4965</v>
      </c>
      <c r="P981" s="17">
        <v>496</v>
      </c>
      <c r="Q981" s="175">
        <f t="shared" si="56"/>
        <v>4.0792999999999999</v>
      </c>
      <c r="R981" s="199">
        <v>1.99</v>
      </c>
      <c r="T981" s="149"/>
      <c r="U981" s="149">
        <v>1.7</v>
      </c>
      <c r="V981" s="149">
        <v>0.25</v>
      </c>
      <c r="W981" s="149">
        <f t="shared" si="59"/>
        <v>1.99</v>
      </c>
      <c r="X981" s="152">
        <f t="shared" si="58"/>
        <v>0.13930000000000001</v>
      </c>
      <c r="Y981" s="150">
        <f t="shared" si="57"/>
        <v>1.01</v>
      </c>
      <c r="Z981" s="152"/>
      <c r="AC981" s="154"/>
      <c r="AD981" s="154"/>
      <c r="AE981" s="154"/>
      <c r="AF981" s="154"/>
    </row>
    <row r="982" spans="1:32" x14ac:dyDescent="0.25">
      <c r="A982" s="196">
        <v>690</v>
      </c>
      <c r="B982" s="196" t="s">
        <v>5057</v>
      </c>
      <c r="C982" s="196" t="s">
        <v>5058</v>
      </c>
      <c r="D982" s="196" t="s">
        <v>3022</v>
      </c>
      <c r="F982" s="196">
        <v>1997</v>
      </c>
      <c r="H982" s="196" t="s">
        <v>2734</v>
      </c>
      <c r="I982" s="184" t="s">
        <v>1879</v>
      </c>
      <c r="J982" s="182" t="s">
        <v>2237</v>
      </c>
      <c r="K982" s="196" t="s">
        <v>1881</v>
      </c>
      <c r="L982" s="184" t="s">
        <v>5059</v>
      </c>
      <c r="M982" s="196">
        <v>218</v>
      </c>
      <c r="O982" s="196" t="s">
        <v>4966</v>
      </c>
      <c r="P982" s="17">
        <v>434</v>
      </c>
      <c r="Q982" s="175">
        <f t="shared" si="56"/>
        <v>3.6863000000000001</v>
      </c>
      <c r="R982" s="199">
        <v>2.09</v>
      </c>
      <c r="T982" s="149"/>
      <c r="U982" s="149">
        <v>1.2</v>
      </c>
      <c r="V982" s="151">
        <v>0.25</v>
      </c>
      <c r="W982" s="149">
        <f t="shared" si="59"/>
        <v>2.09</v>
      </c>
      <c r="X982" s="152">
        <f t="shared" si="58"/>
        <v>0.14629999999999999</v>
      </c>
      <c r="Y982" s="150">
        <f t="shared" si="57"/>
        <v>1.01</v>
      </c>
      <c r="Z982" s="152"/>
      <c r="AC982" s="154"/>
      <c r="AD982" s="154"/>
      <c r="AE982" s="154"/>
      <c r="AF982" s="154"/>
    </row>
    <row r="983" spans="1:32" x14ac:dyDescent="0.25">
      <c r="A983" s="196">
        <v>2851</v>
      </c>
      <c r="B983" s="196" t="s">
        <v>5060</v>
      </c>
      <c r="C983" s="196" t="s">
        <v>5061</v>
      </c>
      <c r="D983" s="196" t="s">
        <v>5005</v>
      </c>
      <c r="E983" s="196" t="s">
        <v>2032</v>
      </c>
      <c r="F983" s="196">
        <v>1998</v>
      </c>
      <c r="H983" s="196" t="s">
        <v>2734</v>
      </c>
      <c r="I983" s="184" t="s">
        <v>1879</v>
      </c>
      <c r="J983" s="196" t="s">
        <v>2237</v>
      </c>
      <c r="K983" s="196" t="s">
        <v>1881</v>
      </c>
      <c r="L983" s="184" t="s">
        <v>5062</v>
      </c>
      <c r="M983" s="196">
        <v>418</v>
      </c>
      <c r="O983" s="196" t="s">
        <v>4967</v>
      </c>
      <c r="P983" s="17">
        <v>648</v>
      </c>
      <c r="Q983" s="175">
        <f t="shared" si="56"/>
        <v>2.6882999999999995</v>
      </c>
      <c r="R983" s="199">
        <v>0.69</v>
      </c>
      <c r="T983" s="149"/>
      <c r="U983" s="149">
        <v>1.7</v>
      </c>
      <c r="V983" s="149">
        <v>0.25</v>
      </c>
      <c r="W983" s="149">
        <f t="shared" si="59"/>
        <v>0.69</v>
      </c>
      <c r="X983" s="152">
        <f t="shared" si="58"/>
        <v>4.8299999999999996E-2</v>
      </c>
      <c r="Y983" s="150">
        <f t="shared" si="57"/>
        <v>1.01</v>
      </c>
      <c r="Z983" s="152"/>
      <c r="AC983" s="154"/>
      <c r="AD983" s="154"/>
      <c r="AE983" s="154"/>
      <c r="AF983" s="154"/>
    </row>
    <row r="984" spans="1:32" x14ac:dyDescent="0.25">
      <c r="A984" s="196">
        <v>1386</v>
      </c>
      <c r="B984" s="196" t="s">
        <v>4638</v>
      </c>
      <c r="C984" s="196" t="s">
        <v>5063</v>
      </c>
      <c r="D984" s="196" t="s">
        <v>2926</v>
      </c>
      <c r="E984" s="196" t="s">
        <v>2518</v>
      </c>
      <c r="F984" s="196">
        <v>2010</v>
      </c>
      <c r="H984" s="196" t="s">
        <v>1878</v>
      </c>
      <c r="I984" s="184" t="s">
        <v>1879</v>
      </c>
      <c r="K984" s="196" t="s">
        <v>1881</v>
      </c>
      <c r="L984" s="184" t="s">
        <v>5064</v>
      </c>
      <c r="M984" s="196">
        <v>320</v>
      </c>
      <c r="O984" s="196" t="s">
        <v>4968</v>
      </c>
      <c r="P984" s="17">
        <v>455</v>
      </c>
      <c r="Q984" s="175">
        <f t="shared" si="56"/>
        <v>1.9742999999999999</v>
      </c>
      <c r="R984" s="199">
        <v>0.49</v>
      </c>
      <c r="T984" s="149"/>
      <c r="U984" s="149">
        <v>1.2</v>
      </c>
      <c r="V984" s="151">
        <v>0.25</v>
      </c>
      <c r="W984" s="149">
        <f t="shared" si="59"/>
        <v>0.49</v>
      </c>
      <c r="X984" s="152">
        <f t="shared" si="58"/>
        <v>3.4299999999999997E-2</v>
      </c>
      <c r="Y984" s="150">
        <f t="shared" si="57"/>
        <v>1.01</v>
      </c>
      <c r="Z984" s="152"/>
      <c r="AC984" s="154"/>
      <c r="AD984" s="154"/>
      <c r="AE984" s="154"/>
      <c r="AF984" s="154"/>
    </row>
    <row r="985" spans="1:32" x14ac:dyDescent="0.25">
      <c r="A985" s="196">
        <v>1231</v>
      </c>
      <c r="B985" s="196" t="s">
        <v>5065</v>
      </c>
      <c r="C985" s="196" t="s">
        <v>5066</v>
      </c>
      <c r="D985" s="196" t="s">
        <v>2244</v>
      </c>
      <c r="E985" s="196" t="s">
        <v>1877</v>
      </c>
      <c r="F985" s="196">
        <v>2008</v>
      </c>
      <c r="H985" s="196" t="s">
        <v>2734</v>
      </c>
      <c r="I985" s="184" t="s">
        <v>1879</v>
      </c>
      <c r="J985" s="196" t="s">
        <v>2237</v>
      </c>
      <c r="K985" s="196" t="s">
        <v>1881</v>
      </c>
      <c r="L985" s="184" t="s">
        <v>5067</v>
      </c>
      <c r="M985" s="196">
        <v>322</v>
      </c>
      <c r="O985" s="196" t="s">
        <v>4969</v>
      </c>
      <c r="P985" s="17">
        <v>482</v>
      </c>
      <c r="Q985" s="175">
        <f t="shared" si="56"/>
        <v>2.4022999999999999</v>
      </c>
      <c r="R985" s="199">
        <v>0.89</v>
      </c>
      <c r="T985" s="149"/>
      <c r="U985" s="149">
        <v>1.2</v>
      </c>
      <c r="V985" s="149">
        <v>0.25</v>
      </c>
      <c r="W985" s="149">
        <f t="shared" si="59"/>
        <v>0.89</v>
      </c>
      <c r="X985" s="152">
        <f t="shared" si="58"/>
        <v>6.2300000000000001E-2</v>
      </c>
      <c r="Y985" s="150">
        <f t="shared" si="57"/>
        <v>1.01</v>
      </c>
      <c r="Z985" s="152"/>
      <c r="AC985" s="154"/>
      <c r="AD985" s="154"/>
      <c r="AE985" s="154"/>
      <c r="AF985" s="154"/>
    </row>
    <row r="986" spans="1:32" x14ac:dyDescent="0.25">
      <c r="A986" s="196">
        <v>631</v>
      </c>
      <c r="B986" s="196" t="s">
        <v>5068</v>
      </c>
      <c r="C986" s="196" t="s">
        <v>5069</v>
      </c>
      <c r="D986" s="196" t="s">
        <v>1095</v>
      </c>
      <c r="E986" s="196" t="s">
        <v>2518</v>
      </c>
      <c r="F986" s="196">
        <v>2000</v>
      </c>
      <c r="H986" s="196" t="s">
        <v>2734</v>
      </c>
      <c r="I986" s="184" t="s">
        <v>1879</v>
      </c>
      <c r="J986" s="196" t="s">
        <v>2237</v>
      </c>
      <c r="K986" s="196" t="s">
        <v>1881</v>
      </c>
      <c r="L986" s="184" t="s">
        <v>5070</v>
      </c>
      <c r="M986" s="196">
        <v>370</v>
      </c>
      <c r="O986" s="196" t="s">
        <v>4970</v>
      </c>
      <c r="P986" s="17">
        <v>590</v>
      </c>
      <c r="Q986" s="175">
        <f t="shared" si="56"/>
        <v>2.4742999999999999</v>
      </c>
      <c r="R986" s="199">
        <v>0.49</v>
      </c>
      <c r="T986" s="149"/>
      <c r="U986" s="149">
        <v>1.7</v>
      </c>
      <c r="V986" s="151">
        <v>0.25</v>
      </c>
      <c r="W986" s="149">
        <f t="shared" si="59"/>
        <v>0.49</v>
      </c>
      <c r="X986" s="152">
        <f t="shared" si="58"/>
        <v>3.4299999999999997E-2</v>
      </c>
      <c r="Y986" s="150">
        <f t="shared" si="57"/>
        <v>1.01</v>
      </c>
      <c r="Z986" s="152"/>
      <c r="AC986" s="154"/>
      <c r="AD986" s="154"/>
      <c r="AE986" s="154"/>
      <c r="AF986" s="154"/>
    </row>
    <row r="987" spans="1:32" x14ac:dyDescent="0.25">
      <c r="A987" s="196">
        <v>692</v>
      </c>
      <c r="B987" s="196" t="s">
        <v>5071</v>
      </c>
      <c r="C987" s="196" t="s">
        <v>5069</v>
      </c>
      <c r="D987" s="196" t="s">
        <v>2609</v>
      </c>
      <c r="F987" s="196">
        <v>1991</v>
      </c>
      <c r="H987" s="196" t="s">
        <v>2734</v>
      </c>
      <c r="I987" s="184" t="s">
        <v>1879</v>
      </c>
      <c r="J987" s="196" t="s">
        <v>2237</v>
      </c>
      <c r="K987" s="196" t="s">
        <v>1881</v>
      </c>
      <c r="L987" s="184" t="s">
        <v>5072</v>
      </c>
      <c r="M987" s="196">
        <v>330</v>
      </c>
      <c r="O987" s="196" t="s">
        <v>4971</v>
      </c>
      <c r="P987" s="17">
        <v>405</v>
      </c>
      <c r="Q987" s="175">
        <f t="shared" si="56"/>
        <v>2.5093000000000001</v>
      </c>
      <c r="R987" s="199">
        <v>0.99</v>
      </c>
      <c r="T987" s="149"/>
      <c r="U987" s="149">
        <v>1.2</v>
      </c>
      <c r="V987" s="149">
        <v>0.25</v>
      </c>
      <c r="W987" s="149">
        <f t="shared" si="59"/>
        <v>0.99</v>
      </c>
      <c r="X987" s="152">
        <f t="shared" si="58"/>
        <v>6.93E-2</v>
      </c>
      <c r="Y987" s="150">
        <f t="shared" si="57"/>
        <v>1.01</v>
      </c>
      <c r="Z987" s="152"/>
      <c r="AC987" s="154"/>
      <c r="AD987" s="154"/>
      <c r="AE987" s="154"/>
      <c r="AF987" s="154"/>
    </row>
    <row r="988" spans="1:32" x14ac:dyDescent="0.25">
      <c r="A988" s="196">
        <v>1386</v>
      </c>
      <c r="B988" s="196" t="s">
        <v>5075</v>
      </c>
      <c r="C988" s="196" t="s">
        <v>5076</v>
      </c>
      <c r="D988" s="196" t="s">
        <v>1912</v>
      </c>
      <c r="E988" s="196" t="s">
        <v>2375</v>
      </c>
      <c r="F988" s="196">
        <v>2003</v>
      </c>
      <c r="H988" s="196" t="s">
        <v>1878</v>
      </c>
      <c r="I988" s="184" t="s">
        <v>1879</v>
      </c>
      <c r="K988" s="196" t="s">
        <v>1881</v>
      </c>
      <c r="L988" s="184" t="s">
        <v>5077</v>
      </c>
      <c r="M988" s="196">
        <v>288</v>
      </c>
      <c r="O988" s="196" t="s">
        <v>4973</v>
      </c>
      <c r="P988" s="17">
        <v>256</v>
      </c>
      <c r="Q988" s="175">
        <f t="shared" si="56"/>
        <v>1.7175</v>
      </c>
      <c r="R988" s="199">
        <v>0.25</v>
      </c>
      <c r="T988" s="149"/>
      <c r="U988" s="149">
        <v>1.2</v>
      </c>
      <c r="V988" s="151">
        <v>0.25</v>
      </c>
      <c r="W988" s="149">
        <f t="shared" si="59"/>
        <v>0.25</v>
      </c>
      <c r="X988" s="152">
        <f t="shared" si="58"/>
        <v>1.7500000000000002E-2</v>
      </c>
      <c r="Y988" s="150">
        <f t="shared" si="57"/>
        <v>1.01</v>
      </c>
      <c r="Z988" s="152"/>
      <c r="AC988" s="154"/>
      <c r="AD988" s="154"/>
      <c r="AE988" s="154"/>
      <c r="AF988" s="154"/>
    </row>
    <row r="989" spans="1:32" x14ac:dyDescent="0.25">
      <c r="A989" s="196">
        <v>2522</v>
      </c>
      <c r="B989" s="196" t="s">
        <v>5078</v>
      </c>
      <c r="C989" s="196" t="s">
        <v>5079</v>
      </c>
      <c r="D989" s="196" t="s">
        <v>1912</v>
      </c>
      <c r="F989" s="196">
        <v>1982</v>
      </c>
      <c r="H989" s="196" t="s">
        <v>1878</v>
      </c>
      <c r="I989" s="184" t="s">
        <v>1879</v>
      </c>
      <c r="K989" s="196" t="s">
        <v>1881</v>
      </c>
      <c r="L989" s="184" t="s">
        <v>5080</v>
      </c>
      <c r="M989" s="196">
        <v>448</v>
      </c>
      <c r="O989" s="196" t="s">
        <v>4974</v>
      </c>
      <c r="P989" s="17">
        <v>260</v>
      </c>
      <c r="Q989" s="175">
        <f t="shared" si="56"/>
        <v>1.9742999999999999</v>
      </c>
      <c r="R989" s="199">
        <v>0.49</v>
      </c>
      <c r="T989" s="149"/>
      <c r="U989" s="149">
        <v>1.2</v>
      </c>
      <c r="V989" s="149">
        <v>0.25</v>
      </c>
      <c r="W989" s="149">
        <f t="shared" si="59"/>
        <v>0.49</v>
      </c>
      <c r="X989" s="152">
        <f t="shared" si="58"/>
        <v>3.4299999999999997E-2</v>
      </c>
      <c r="Y989" s="150">
        <f t="shared" si="57"/>
        <v>1.01</v>
      </c>
      <c r="Z989" s="152"/>
      <c r="AC989" s="154"/>
      <c r="AD989" s="154"/>
      <c r="AE989" s="154"/>
      <c r="AF989" s="154"/>
    </row>
    <row r="990" spans="1:32" x14ac:dyDescent="0.25">
      <c r="A990" s="196">
        <v>1386</v>
      </c>
      <c r="B990" s="196" t="s">
        <v>5081</v>
      </c>
      <c r="C990" s="196" t="s">
        <v>5082</v>
      </c>
      <c r="D990" s="196" t="s">
        <v>1993</v>
      </c>
      <c r="E990" s="196" t="s">
        <v>1921</v>
      </c>
      <c r="F990" s="196">
        <v>2006</v>
      </c>
      <c r="H990" s="196" t="s">
        <v>1878</v>
      </c>
      <c r="I990" s="184" t="s">
        <v>1879</v>
      </c>
      <c r="J990" s="143" t="s">
        <v>3854</v>
      </c>
      <c r="K990" s="196" t="s">
        <v>1881</v>
      </c>
      <c r="L990" s="184" t="s">
        <v>5083</v>
      </c>
      <c r="M990" s="196">
        <v>256</v>
      </c>
      <c r="O990" s="196" t="s">
        <v>4975</v>
      </c>
      <c r="P990" s="17">
        <v>202</v>
      </c>
      <c r="Q990" s="175">
        <f t="shared" si="56"/>
        <v>1.9742999999999999</v>
      </c>
      <c r="R990" s="199">
        <v>0.49</v>
      </c>
      <c r="T990" s="149"/>
      <c r="U990" s="149">
        <v>1.2</v>
      </c>
      <c r="V990" s="151">
        <v>0.25</v>
      </c>
      <c r="W990" s="149">
        <f t="shared" si="59"/>
        <v>0.49</v>
      </c>
      <c r="X990" s="152">
        <f t="shared" si="58"/>
        <v>3.4299999999999997E-2</v>
      </c>
      <c r="Y990" s="150">
        <f t="shared" si="57"/>
        <v>1.01</v>
      </c>
      <c r="Z990" s="152"/>
      <c r="AC990" s="154"/>
      <c r="AD990" s="154"/>
      <c r="AE990" s="154"/>
      <c r="AF990" s="154"/>
    </row>
    <row r="991" spans="1:32" x14ac:dyDescent="0.25">
      <c r="A991" s="196">
        <v>1386</v>
      </c>
      <c r="B991" s="196" t="s">
        <v>4827</v>
      </c>
      <c r="C991" s="196" t="s">
        <v>4828</v>
      </c>
      <c r="D991" s="196" t="s">
        <v>1876</v>
      </c>
      <c r="E991" s="196" t="s">
        <v>4472</v>
      </c>
      <c r="F991" s="196">
        <v>1996</v>
      </c>
      <c r="H991" s="196" t="s">
        <v>1878</v>
      </c>
      <c r="I991" s="184" t="s">
        <v>1914</v>
      </c>
      <c r="K991" s="196" t="s">
        <v>1881</v>
      </c>
      <c r="L991" s="184" t="s">
        <v>5084</v>
      </c>
      <c r="M991" s="196">
        <v>320</v>
      </c>
      <c r="O991" s="196" t="s">
        <v>4976</v>
      </c>
      <c r="P991" s="17">
        <v>270</v>
      </c>
      <c r="Q991" s="175">
        <f t="shared" si="56"/>
        <v>1.7175</v>
      </c>
      <c r="R991" s="199">
        <v>0.25</v>
      </c>
      <c r="T991" s="149"/>
      <c r="U991" s="149">
        <v>1.2</v>
      </c>
      <c r="V991" s="149">
        <v>0.25</v>
      </c>
      <c r="W991" s="149">
        <f t="shared" si="59"/>
        <v>0.25</v>
      </c>
      <c r="X991" s="152">
        <f t="shared" si="58"/>
        <v>1.7500000000000002E-2</v>
      </c>
      <c r="Y991" s="150">
        <f t="shared" si="57"/>
        <v>1.01</v>
      </c>
      <c r="Z991" s="152"/>
      <c r="AC991" s="154"/>
      <c r="AD991" s="154"/>
      <c r="AE991" s="154"/>
      <c r="AF991" s="154"/>
    </row>
    <row r="992" spans="1:32" x14ac:dyDescent="0.25">
      <c r="A992" s="196">
        <v>1386</v>
      </c>
      <c r="B992" s="196" t="s">
        <v>5085</v>
      </c>
      <c r="C992" s="196" t="s">
        <v>5086</v>
      </c>
      <c r="D992" s="196" t="s">
        <v>2971</v>
      </c>
      <c r="E992" s="196" t="s">
        <v>1913</v>
      </c>
      <c r="F992" s="196">
        <v>2009</v>
      </c>
      <c r="H992" s="196" t="s">
        <v>2734</v>
      </c>
      <c r="I992" s="184" t="s">
        <v>1929</v>
      </c>
      <c r="K992" s="196" t="s">
        <v>1881</v>
      </c>
      <c r="L992" s="184" t="s">
        <v>5087</v>
      </c>
      <c r="M992" s="196">
        <v>176</v>
      </c>
      <c r="O992" s="196" t="s">
        <v>4977</v>
      </c>
      <c r="P992" s="17">
        <v>258</v>
      </c>
      <c r="Q992" s="175">
        <f t="shared" si="56"/>
        <v>3.0442999999999998</v>
      </c>
      <c r="R992" s="199">
        <v>1.49</v>
      </c>
      <c r="T992" s="149"/>
      <c r="U992" s="149">
        <v>1.2</v>
      </c>
      <c r="V992" s="151">
        <v>0.25</v>
      </c>
      <c r="W992" s="149">
        <f t="shared" si="59"/>
        <v>1.49</v>
      </c>
      <c r="X992" s="152">
        <f t="shared" si="58"/>
        <v>0.1043</v>
      </c>
      <c r="Y992" s="150">
        <f t="shared" si="57"/>
        <v>1.01</v>
      </c>
      <c r="Z992" s="152"/>
      <c r="AC992" s="154"/>
      <c r="AD992" s="154"/>
      <c r="AE992" s="154"/>
      <c r="AF992" s="154"/>
    </row>
    <row r="993" spans="1:32" x14ac:dyDescent="0.25">
      <c r="A993" s="196">
        <v>844</v>
      </c>
      <c r="B993" s="196" t="s">
        <v>5088</v>
      </c>
      <c r="C993" s="196" t="s">
        <v>5089</v>
      </c>
      <c r="D993" s="196" t="s">
        <v>3057</v>
      </c>
      <c r="F993" s="196">
        <v>2004</v>
      </c>
      <c r="H993" s="196" t="s">
        <v>2734</v>
      </c>
      <c r="I993" s="184" t="s">
        <v>1929</v>
      </c>
      <c r="K993" s="196" t="s">
        <v>1881</v>
      </c>
      <c r="L993" s="184" t="s">
        <v>5090</v>
      </c>
      <c r="M993" s="196">
        <v>66</v>
      </c>
      <c r="O993" s="196" t="s">
        <v>4978</v>
      </c>
      <c r="P993" s="17">
        <v>289</v>
      </c>
      <c r="Q993" s="175">
        <f t="shared" si="56"/>
        <v>2.7232999999999996</v>
      </c>
      <c r="R993" s="199">
        <v>1.19</v>
      </c>
      <c r="T993" s="149"/>
      <c r="U993" s="149">
        <v>1.2</v>
      </c>
      <c r="V993" s="149">
        <v>0.25</v>
      </c>
      <c r="W993" s="149">
        <f t="shared" si="59"/>
        <v>1.19</v>
      </c>
      <c r="X993" s="152">
        <f t="shared" si="58"/>
        <v>8.3299999999999999E-2</v>
      </c>
      <c r="Y993" s="150">
        <f t="shared" si="57"/>
        <v>1.01</v>
      </c>
      <c r="Z993" s="152"/>
      <c r="AC993" s="154"/>
      <c r="AD993" s="154"/>
      <c r="AE993" s="154"/>
      <c r="AF993" s="154"/>
    </row>
    <row r="994" spans="1:32" x14ac:dyDescent="0.25">
      <c r="A994" s="196">
        <v>651</v>
      </c>
      <c r="B994" s="196" t="s">
        <v>3497</v>
      </c>
      <c r="C994" s="196" t="s">
        <v>5091</v>
      </c>
      <c r="D994" s="196" t="s">
        <v>2117</v>
      </c>
      <c r="E994" s="196" t="s">
        <v>1913</v>
      </c>
      <c r="F994" s="196">
        <v>1999</v>
      </c>
      <c r="H994" s="196" t="s">
        <v>1878</v>
      </c>
      <c r="I994" s="184" t="s">
        <v>1929</v>
      </c>
      <c r="K994" s="196" t="s">
        <v>1881</v>
      </c>
      <c r="L994" s="184" t="s">
        <v>5092</v>
      </c>
      <c r="M994" s="196">
        <v>30</v>
      </c>
      <c r="O994" s="196" t="s">
        <v>4979</v>
      </c>
      <c r="P994" s="17">
        <v>100</v>
      </c>
      <c r="Q994" s="175">
        <f t="shared" si="56"/>
        <v>1.9742999999999999</v>
      </c>
      <c r="R994" s="199">
        <v>0.49</v>
      </c>
      <c r="T994" s="149"/>
      <c r="U994" s="149">
        <v>1.2</v>
      </c>
      <c r="V994" s="151">
        <v>0.25</v>
      </c>
      <c r="W994" s="149">
        <f t="shared" si="59"/>
        <v>0.49</v>
      </c>
      <c r="X994" s="152">
        <f t="shared" si="58"/>
        <v>3.4299999999999997E-2</v>
      </c>
      <c r="Y994" s="150">
        <f t="shared" si="57"/>
        <v>1.01</v>
      </c>
      <c r="Z994" s="152"/>
      <c r="AC994" s="154"/>
      <c r="AD994" s="154"/>
      <c r="AE994" s="154"/>
      <c r="AF994" s="154"/>
    </row>
    <row r="995" spans="1:32" x14ac:dyDescent="0.25">
      <c r="A995" s="196">
        <v>323</v>
      </c>
      <c r="B995" s="196" t="s">
        <v>5093</v>
      </c>
      <c r="C995" s="196" t="s">
        <v>5094</v>
      </c>
      <c r="D995" s="196" t="s">
        <v>5095</v>
      </c>
      <c r="F995" s="196">
        <v>1993</v>
      </c>
      <c r="H995" s="196" t="s">
        <v>2734</v>
      </c>
      <c r="I995" s="184" t="s">
        <v>1879</v>
      </c>
      <c r="J995" s="182" t="s">
        <v>2237</v>
      </c>
      <c r="K995" s="196" t="s">
        <v>1881</v>
      </c>
      <c r="L995" s="184" t="s">
        <v>5096</v>
      </c>
      <c r="M995" s="196">
        <v>130</v>
      </c>
      <c r="O995" s="196" t="s">
        <v>4980</v>
      </c>
      <c r="P995" s="17">
        <v>649</v>
      </c>
      <c r="Q995" s="175">
        <f t="shared" si="56"/>
        <v>5.4702999999999999</v>
      </c>
      <c r="R995" s="199">
        <v>3.29</v>
      </c>
      <c r="T995" s="149"/>
      <c r="U995" s="149">
        <v>1.7</v>
      </c>
      <c r="V995" s="149">
        <v>0.25</v>
      </c>
      <c r="W995" s="149">
        <f t="shared" si="59"/>
        <v>3.29</v>
      </c>
      <c r="X995" s="152">
        <f t="shared" si="58"/>
        <v>0.2303</v>
      </c>
      <c r="Y995" s="150">
        <f t="shared" si="57"/>
        <v>1.01</v>
      </c>
      <c r="Z995" s="152"/>
      <c r="AC995" s="154"/>
      <c r="AD995" s="154"/>
      <c r="AE995" s="154"/>
      <c r="AF995" s="154"/>
    </row>
    <row r="996" spans="1:32" x14ac:dyDescent="0.25">
      <c r="A996" s="196">
        <v>1282</v>
      </c>
      <c r="B996" s="196" t="s">
        <v>5097</v>
      </c>
      <c r="C996" s="196" t="s">
        <v>5098</v>
      </c>
      <c r="D996" s="196" t="s">
        <v>5099</v>
      </c>
      <c r="F996" s="196">
        <v>1987</v>
      </c>
      <c r="H996" s="196" t="s">
        <v>1878</v>
      </c>
      <c r="I996" s="184" t="s">
        <v>1879</v>
      </c>
      <c r="K996" s="196" t="s">
        <v>1881</v>
      </c>
      <c r="L996" s="184" t="s">
        <v>5100</v>
      </c>
      <c r="M996" s="196">
        <v>96</v>
      </c>
      <c r="O996" s="196" t="s">
        <v>4981</v>
      </c>
      <c r="P996" s="17">
        <v>479</v>
      </c>
      <c r="Q996" s="175">
        <f t="shared" si="56"/>
        <v>2.4022999999999999</v>
      </c>
      <c r="R996" s="199">
        <v>0.89</v>
      </c>
      <c r="T996" s="149"/>
      <c r="U996" s="149">
        <v>1.2</v>
      </c>
      <c r="V996" s="151">
        <v>0.25</v>
      </c>
      <c r="W996" s="149">
        <f t="shared" si="59"/>
        <v>0.89</v>
      </c>
      <c r="X996" s="152">
        <f t="shared" si="58"/>
        <v>6.2300000000000001E-2</v>
      </c>
      <c r="Y996" s="150">
        <f t="shared" si="57"/>
        <v>1.01</v>
      </c>
      <c r="Z996" s="152"/>
      <c r="AC996" s="154"/>
      <c r="AD996" s="154"/>
      <c r="AE996" s="154"/>
      <c r="AF996" s="154"/>
    </row>
    <row r="997" spans="1:32" x14ac:dyDescent="0.25">
      <c r="A997" s="196">
        <v>1282</v>
      </c>
      <c r="B997" s="196" t="s">
        <v>5101</v>
      </c>
      <c r="C997" s="196" t="s">
        <v>5102</v>
      </c>
      <c r="D997" s="196" t="s">
        <v>5099</v>
      </c>
      <c r="F997" s="196">
        <v>1986</v>
      </c>
      <c r="H997" s="196" t="s">
        <v>1878</v>
      </c>
      <c r="I997" s="184" t="s">
        <v>1914</v>
      </c>
      <c r="K997" s="196" t="s">
        <v>1881</v>
      </c>
      <c r="L997" s="184" t="s">
        <v>5103</v>
      </c>
      <c r="M997" s="196">
        <v>96</v>
      </c>
      <c r="O997" s="196" t="s">
        <v>4982</v>
      </c>
      <c r="P997" s="17">
        <v>500</v>
      </c>
      <c r="Q997" s="175">
        <f t="shared" si="56"/>
        <v>3.0093000000000001</v>
      </c>
      <c r="R997" s="199">
        <v>0.99</v>
      </c>
      <c r="T997" s="149"/>
      <c r="U997" s="149">
        <v>1.7</v>
      </c>
      <c r="V997" s="149">
        <v>0.25</v>
      </c>
      <c r="W997" s="149">
        <f t="shared" si="59"/>
        <v>0.99</v>
      </c>
      <c r="X997" s="152">
        <f t="shared" si="58"/>
        <v>6.93E-2</v>
      </c>
      <c r="Y997" s="150">
        <f t="shared" si="57"/>
        <v>1.01</v>
      </c>
      <c r="Z997" s="152"/>
      <c r="AC997" s="154"/>
      <c r="AD997" s="154"/>
      <c r="AE997" s="154"/>
      <c r="AF997" s="154"/>
    </row>
    <row r="998" spans="1:32" x14ac:dyDescent="0.25">
      <c r="A998" s="196">
        <v>625</v>
      </c>
      <c r="B998" s="196" t="s">
        <v>5104</v>
      </c>
      <c r="C998" s="196" t="s">
        <v>5105</v>
      </c>
      <c r="D998" s="196" t="s">
        <v>5106</v>
      </c>
      <c r="F998" s="196">
        <v>1986</v>
      </c>
      <c r="H998" s="196" t="s">
        <v>2734</v>
      </c>
      <c r="I998" s="184" t="s">
        <v>1879</v>
      </c>
      <c r="J998" s="182" t="s">
        <v>2237</v>
      </c>
      <c r="K998" s="196" t="s">
        <v>1881</v>
      </c>
      <c r="L998" s="184" t="s">
        <v>5107</v>
      </c>
      <c r="O998" s="196" t="s">
        <v>4983</v>
      </c>
      <c r="P998" s="17">
        <v>342</v>
      </c>
      <c r="Q998" s="175">
        <f t="shared" si="56"/>
        <v>2.0813000000000001</v>
      </c>
      <c r="R998" s="199">
        <v>0.59</v>
      </c>
      <c r="T998" s="149"/>
      <c r="U998" s="149">
        <v>1.2</v>
      </c>
      <c r="V998" s="151">
        <v>0.25</v>
      </c>
      <c r="W998" s="149">
        <f t="shared" si="59"/>
        <v>0.59</v>
      </c>
      <c r="X998" s="152">
        <f t="shared" si="58"/>
        <v>4.1299999999999996E-2</v>
      </c>
      <c r="Y998" s="150">
        <f t="shared" si="57"/>
        <v>1.01</v>
      </c>
      <c r="Z998" s="152"/>
      <c r="AC998" s="154"/>
      <c r="AD998" s="154"/>
      <c r="AE998" s="154"/>
      <c r="AF998" s="154"/>
    </row>
    <row r="999" spans="1:32" x14ac:dyDescent="0.25">
      <c r="A999" s="196">
        <v>846</v>
      </c>
      <c r="B999" s="196" t="s">
        <v>5108</v>
      </c>
      <c r="C999" s="196" t="s">
        <v>5109</v>
      </c>
      <c r="D999" s="196" t="s">
        <v>2036</v>
      </c>
      <c r="F999" s="196">
        <v>1999</v>
      </c>
      <c r="H999" s="196" t="s">
        <v>2734</v>
      </c>
      <c r="I999" s="184" t="s">
        <v>1879</v>
      </c>
      <c r="K999" s="196" t="s">
        <v>1881</v>
      </c>
      <c r="L999" s="184" t="s">
        <v>5110</v>
      </c>
      <c r="M999" s="196">
        <v>162</v>
      </c>
      <c r="O999" s="196" t="s">
        <v>4984</v>
      </c>
      <c r="P999" s="17">
        <v>814</v>
      </c>
      <c r="Q999" s="175">
        <f t="shared" si="56"/>
        <v>4.0792999999999999</v>
      </c>
      <c r="R999" s="199">
        <v>1.99</v>
      </c>
      <c r="T999" s="149"/>
      <c r="U999" s="149">
        <v>1.7</v>
      </c>
      <c r="V999" s="149">
        <v>0.25</v>
      </c>
      <c r="W999" s="149">
        <f t="shared" si="59"/>
        <v>1.99</v>
      </c>
      <c r="X999" s="152">
        <f t="shared" si="58"/>
        <v>0.13930000000000001</v>
      </c>
      <c r="Y999" s="150">
        <f t="shared" si="57"/>
        <v>1.01</v>
      </c>
      <c r="Z999" s="152"/>
      <c r="AC999" s="154"/>
      <c r="AD999" s="154"/>
      <c r="AE999" s="154"/>
      <c r="AF999" s="154"/>
    </row>
    <row r="1000" spans="1:32" x14ac:dyDescent="0.25">
      <c r="A1000" s="196">
        <v>2699</v>
      </c>
      <c r="C1000" s="196" t="s">
        <v>5111</v>
      </c>
      <c r="H1000" s="196" t="s">
        <v>5112</v>
      </c>
      <c r="I1000" s="184" t="s">
        <v>1879</v>
      </c>
      <c r="J1000" s="182" t="s">
        <v>2237</v>
      </c>
      <c r="K1000" s="196" t="s">
        <v>1881</v>
      </c>
      <c r="L1000" s="184" t="s">
        <v>5113</v>
      </c>
      <c r="M1000" s="196">
        <v>197</v>
      </c>
      <c r="O1000" s="196" t="s">
        <v>4985</v>
      </c>
      <c r="P1000" s="17">
        <v>807</v>
      </c>
      <c r="Q1000" s="175">
        <f t="shared" ref="Q1000:Q1063" si="60">SUM(T1000:X1000)</f>
        <v>8.0383000000000013</v>
      </c>
      <c r="R1000" s="199">
        <v>5.69</v>
      </c>
      <c r="T1000" s="149"/>
      <c r="U1000" s="149">
        <v>1.7</v>
      </c>
      <c r="V1000" s="151">
        <v>0.25</v>
      </c>
      <c r="W1000" s="149">
        <f t="shared" si="59"/>
        <v>5.69</v>
      </c>
      <c r="X1000" s="152">
        <f t="shared" si="58"/>
        <v>0.39830000000000004</v>
      </c>
      <c r="Y1000" s="150">
        <f t="shared" si="57"/>
        <v>1.01</v>
      </c>
      <c r="Z1000" s="152"/>
      <c r="AC1000" s="154"/>
      <c r="AD1000" s="154"/>
      <c r="AE1000" s="154"/>
      <c r="AF1000" s="154"/>
    </row>
    <row r="1001" spans="1:32" x14ac:dyDescent="0.25">
      <c r="A1001" s="196">
        <v>691</v>
      </c>
      <c r="C1001" s="196" t="s">
        <v>5114</v>
      </c>
      <c r="D1001" s="196" t="s">
        <v>5115</v>
      </c>
      <c r="F1001" s="196">
        <v>1993</v>
      </c>
      <c r="H1001" s="196" t="s">
        <v>2734</v>
      </c>
      <c r="I1001" s="184" t="s">
        <v>1879</v>
      </c>
      <c r="K1001" s="196" t="s">
        <v>1881</v>
      </c>
      <c r="L1001" s="184" t="s">
        <v>5116</v>
      </c>
      <c r="M1001" s="196">
        <v>86</v>
      </c>
      <c r="O1001" s="196" t="s">
        <v>4986</v>
      </c>
      <c r="P1001" s="17">
        <v>488</v>
      </c>
      <c r="Q1001" s="175">
        <f t="shared" si="60"/>
        <v>2.1455000000000002</v>
      </c>
      <c r="R1001" s="199">
        <v>0.65</v>
      </c>
      <c r="T1001" s="149"/>
      <c r="U1001" s="149">
        <v>1.2</v>
      </c>
      <c r="V1001" s="149">
        <v>0.25</v>
      </c>
      <c r="W1001" s="149">
        <f t="shared" si="59"/>
        <v>0.65</v>
      </c>
      <c r="X1001" s="152">
        <f t="shared" si="58"/>
        <v>4.5500000000000006E-2</v>
      </c>
      <c r="Y1001" s="150">
        <f t="shared" si="57"/>
        <v>1.01</v>
      </c>
      <c r="Z1001" s="152"/>
      <c r="AC1001" s="154"/>
      <c r="AD1001" s="154"/>
      <c r="AE1001" s="154"/>
      <c r="AF1001" s="154"/>
    </row>
    <row r="1002" spans="1:32" x14ac:dyDescent="0.25">
      <c r="A1002" s="196">
        <v>1246</v>
      </c>
      <c r="B1002" s="196" t="s">
        <v>5118</v>
      </c>
      <c r="C1002" s="196" t="s">
        <v>5117</v>
      </c>
      <c r="H1002" s="196" t="s">
        <v>5119</v>
      </c>
      <c r="I1002" s="184" t="s">
        <v>1879</v>
      </c>
      <c r="J1002" s="182" t="s">
        <v>2237</v>
      </c>
      <c r="K1002" s="196" t="s">
        <v>1881</v>
      </c>
      <c r="L1002" s="184" t="s">
        <v>5120</v>
      </c>
      <c r="M1002" s="196">
        <v>58</v>
      </c>
      <c r="O1002" s="196" t="s">
        <v>4987</v>
      </c>
      <c r="P1002" s="17">
        <v>269</v>
      </c>
      <c r="Q1002" s="175">
        <f t="shared" si="60"/>
        <v>3.3653000000000004</v>
      </c>
      <c r="R1002" s="199">
        <v>1.79</v>
      </c>
      <c r="T1002" s="149"/>
      <c r="U1002" s="149">
        <v>1.2</v>
      </c>
      <c r="V1002" s="151">
        <v>0.25</v>
      </c>
      <c r="W1002" s="149">
        <f t="shared" si="59"/>
        <v>1.79</v>
      </c>
      <c r="X1002" s="152">
        <f t="shared" si="58"/>
        <v>0.12529999999999999</v>
      </c>
      <c r="Y1002" s="150">
        <f t="shared" si="57"/>
        <v>1.01</v>
      </c>
      <c r="Z1002" s="152"/>
      <c r="AC1002" s="154"/>
      <c r="AD1002" s="154"/>
      <c r="AE1002" s="154"/>
      <c r="AF1002" s="154"/>
    </row>
    <row r="1003" spans="1:32" x14ac:dyDescent="0.25">
      <c r="A1003" s="196">
        <v>691</v>
      </c>
      <c r="B1003" s="196" t="s">
        <v>5121</v>
      </c>
      <c r="C1003" s="196" t="s">
        <v>5122</v>
      </c>
      <c r="D1003" s="196" t="s">
        <v>5123</v>
      </c>
      <c r="H1003" s="196" t="s">
        <v>2734</v>
      </c>
      <c r="I1003" s="184" t="s">
        <v>1879</v>
      </c>
      <c r="J1003" s="182" t="s">
        <v>2237</v>
      </c>
      <c r="K1003" s="196" t="s">
        <v>1881</v>
      </c>
      <c r="L1003" s="184" t="s">
        <v>5124</v>
      </c>
      <c r="M1003" s="196">
        <v>62</v>
      </c>
      <c r="O1003" s="196" t="s">
        <v>4988</v>
      </c>
      <c r="P1003" s="17">
        <v>495</v>
      </c>
      <c r="Q1003" s="175">
        <f t="shared" si="60"/>
        <v>3.3303000000000003</v>
      </c>
      <c r="R1003" s="199">
        <v>1.29</v>
      </c>
      <c r="T1003" s="149"/>
      <c r="U1003" s="149">
        <v>1.7</v>
      </c>
      <c r="V1003" s="149">
        <v>0.25</v>
      </c>
      <c r="W1003" s="149">
        <f t="shared" si="59"/>
        <v>1.29</v>
      </c>
      <c r="X1003" s="152">
        <f t="shared" si="58"/>
        <v>9.0300000000000005E-2</v>
      </c>
      <c r="Y1003" s="150">
        <f t="shared" si="57"/>
        <v>1.01</v>
      </c>
      <c r="Z1003" s="152"/>
      <c r="AC1003" s="154"/>
      <c r="AD1003" s="154"/>
      <c r="AE1003" s="154"/>
      <c r="AF1003" s="154"/>
    </row>
    <row r="1004" spans="1:32" x14ac:dyDescent="0.25">
      <c r="A1004" s="196">
        <v>2420</v>
      </c>
      <c r="B1004" s="196" t="s">
        <v>5125</v>
      </c>
      <c r="C1004" s="196" t="s">
        <v>5126</v>
      </c>
      <c r="D1004" s="196" t="s">
        <v>3509</v>
      </c>
      <c r="E1004" s="196" t="s">
        <v>1877</v>
      </c>
      <c r="F1004" s="182">
        <v>1996</v>
      </c>
      <c r="H1004" s="196" t="s">
        <v>2734</v>
      </c>
      <c r="I1004" s="184" t="s">
        <v>1929</v>
      </c>
      <c r="K1004" s="196" t="s">
        <v>1881</v>
      </c>
      <c r="L1004" s="184" t="s">
        <v>5127</v>
      </c>
      <c r="M1004" s="196">
        <v>162</v>
      </c>
      <c r="O1004" s="196" t="s">
        <v>4989</v>
      </c>
      <c r="P1004" s="17">
        <v>537</v>
      </c>
      <c r="Q1004" s="175">
        <f t="shared" si="60"/>
        <v>27.084299999999999</v>
      </c>
      <c r="R1004" s="199">
        <v>23.49</v>
      </c>
      <c r="T1004" s="149"/>
      <c r="U1004" s="149">
        <v>1.7</v>
      </c>
      <c r="V1004" s="151">
        <v>0.25</v>
      </c>
      <c r="W1004" s="149">
        <f t="shared" si="59"/>
        <v>23.49</v>
      </c>
      <c r="X1004" s="152">
        <f t="shared" si="58"/>
        <v>1.6442999999999999</v>
      </c>
      <c r="Y1004" s="150">
        <f t="shared" ref="Y1004:Y1067" si="61">(IF(Z1004&gt;AA1004,Z1004,AA1004)*0.08)+1.01</f>
        <v>1.01</v>
      </c>
      <c r="Z1004" s="152"/>
      <c r="AC1004" s="154"/>
      <c r="AD1004" s="154"/>
      <c r="AE1004" s="154"/>
      <c r="AF1004" s="154"/>
    </row>
    <row r="1005" spans="1:32" x14ac:dyDescent="0.25">
      <c r="A1005" s="196">
        <v>844</v>
      </c>
      <c r="B1005" s="196" t="s">
        <v>5696</v>
      </c>
      <c r="C1005" s="196" t="s">
        <v>5697</v>
      </c>
      <c r="D1005" s="196" t="s">
        <v>5115</v>
      </c>
      <c r="F1005" s="182">
        <v>1992</v>
      </c>
      <c r="H1005" s="196" t="s">
        <v>2734</v>
      </c>
      <c r="I1005" s="184" t="s">
        <v>1879</v>
      </c>
      <c r="K1005" s="196" t="s">
        <v>1881</v>
      </c>
      <c r="L1005" s="184" t="s">
        <v>5698</v>
      </c>
      <c r="M1005" s="196">
        <v>102</v>
      </c>
      <c r="O1005" s="196" t="s">
        <v>5128</v>
      </c>
      <c r="P1005" s="17">
        <v>606</v>
      </c>
      <c r="Q1005" s="175">
        <f t="shared" si="60"/>
        <v>2.3672999999999997</v>
      </c>
      <c r="R1005" s="199">
        <v>0.39</v>
      </c>
      <c r="T1005" s="149"/>
      <c r="U1005" s="149">
        <v>1.7</v>
      </c>
      <c r="V1005" s="149">
        <v>0.25</v>
      </c>
      <c r="W1005" s="149">
        <f t="shared" si="59"/>
        <v>0.39</v>
      </c>
      <c r="X1005" s="152">
        <f t="shared" si="58"/>
        <v>2.7300000000000001E-2</v>
      </c>
      <c r="Y1005" s="150">
        <f t="shared" si="61"/>
        <v>1.01</v>
      </c>
      <c r="Z1005" s="152"/>
      <c r="AC1005" s="154"/>
      <c r="AD1005" s="154"/>
      <c r="AE1005" s="154"/>
      <c r="AF1005" s="154"/>
    </row>
    <row r="1006" spans="1:32" x14ac:dyDescent="0.25">
      <c r="A1006" s="196">
        <v>323</v>
      </c>
      <c r="B1006" s="196" t="s">
        <v>5699</v>
      </c>
      <c r="C1006" s="196" t="s">
        <v>5700</v>
      </c>
      <c r="D1006" s="196" t="s">
        <v>5701</v>
      </c>
      <c r="E1006" s="196" t="s">
        <v>2032</v>
      </c>
      <c r="F1006" s="196">
        <v>1989</v>
      </c>
      <c r="H1006" s="196" t="s">
        <v>2734</v>
      </c>
      <c r="I1006" s="184" t="s">
        <v>1929</v>
      </c>
      <c r="K1006" s="196" t="s">
        <v>1881</v>
      </c>
      <c r="L1006" s="184" t="s">
        <v>5702</v>
      </c>
      <c r="M1006" s="196">
        <v>368</v>
      </c>
      <c r="O1006" s="196" t="s">
        <v>5129</v>
      </c>
      <c r="P1006" s="17">
        <v>928</v>
      </c>
      <c r="Q1006" s="175">
        <f t="shared" si="60"/>
        <v>3.7582999999999998</v>
      </c>
      <c r="R1006" s="199">
        <v>1.69</v>
      </c>
      <c r="T1006" s="149"/>
      <c r="U1006" s="149">
        <v>1.7</v>
      </c>
      <c r="V1006" s="151">
        <v>0.25</v>
      </c>
      <c r="W1006" s="149">
        <f t="shared" si="59"/>
        <v>1.69</v>
      </c>
      <c r="X1006" s="152">
        <f t="shared" si="58"/>
        <v>0.11829999999999999</v>
      </c>
      <c r="Y1006" s="150">
        <f t="shared" si="61"/>
        <v>1.01</v>
      </c>
      <c r="Z1006" s="152"/>
      <c r="AC1006" s="154"/>
      <c r="AD1006" s="154"/>
      <c r="AE1006" s="154"/>
      <c r="AF1006" s="154"/>
    </row>
    <row r="1007" spans="1:32" x14ac:dyDescent="0.25">
      <c r="A1007" s="196">
        <v>323</v>
      </c>
      <c r="B1007" s="196" t="s">
        <v>5703</v>
      </c>
      <c r="C1007" s="196" t="s">
        <v>5704</v>
      </c>
      <c r="D1007" s="196" t="s">
        <v>5705</v>
      </c>
      <c r="F1007" s="196">
        <v>1984</v>
      </c>
      <c r="H1007" s="196" t="s">
        <v>2734</v>
      </c>
      <c r="I1007" s="184" t="s">
        <v>1879</v>
      </c>
      <c r="K1007" s="196" t="s">
        <v>2025</v>
      </c>
      <c r="O1007" s="196" t="s">
        <v>5130</v>
      </c>
      <c r="P1007" s="17">
        <v>515</v>
      </c>
      <c r="Q1007" s="175">
        <f t="shared" si="60"/>
        <v>6.2193000000000005</v>
      </c>
      <c r="R1007" s="199">
        <v>3.99</v>
      </c>
      <c r="T1007" s="149"/>
      <c r="U1007" s="149">
        <v>1.7</v>
      </c>
      <c r="V1007" s="149">
        <v>0.25</v>
      </c>
      <c r="W1007" s="149">
        <f t="shared" si="59"/>
        <v>3.99</v>
      </c>
      <c r="X1007" s="152">
        <f t="shared" ref="X1007:X1070" si="62">(T1007+W1007)/100*7</f>
        <v>0.27930000000000005</v>
      </c>
      <c r="Y1007" s="150">
        <f t="shared" si="61"/>
        <v>1.01</v>
      </c>
      <c r="Z1007" s="152"/>
      <c r="AC1007" s="154"/>
      <c r="AD1007" s="154"/>
      <c r="AE1007" s="154"/>
      <c r="AF1007" s="154"/>
    </row>
    <row r="1008" spans="1:32" x14ac:dyDescent="0.25">
      <c r="A1008" s="196">
        <v>323</v>
      </c>
      <c r="B1008" s="196" t="s">
        <v>5706</v>
      </c>
      <c r="C1008" s="196" t="s">
        <v>5707</v>
      </c>
      <c r="D1008" s="196" t="s">
        <v>5708</v>
      </c>
      <c r="F1008" s="196">
        <v>1996</v>
      </c>
      <c r="H1008" s="196" t="s">
        <v>2734</v>
      </c>
      <c r="I1008" s="184" t="s">
        <v>1929</v>
      </c>
      <c r="K1008" s="196" t="s">
        <v>1881</v>
      </c>
      <c r="L1008" s="184" t="s">
        <v>5709</v>
      </c>
      <c r="M1008" s="196">
        <v>402</v>
      </c>
      <c r="O1008" s="196" t="s">
        <v>5131</v>
      </c>
      <c r="P1008" s="17">
        <v>1626</v>
      </c>
      <c r="Q1008" s="175">
        <f t="shared" si="60"/>
        <v>5.4203000000000001</v>
      </c>
      <c r="R1008" s="199">
        <v>1.29</v>
      </c>
      <c r="T1008" s="149"/>
      <c r="U1008" s="149">
        <v>3.79</v>
      </c>
      <c r="V1008" s="151">
        <v>0.25</v>
      </c>
      <c r="W1008" s="149">
        <f t="shared" si="59"/>
        <v>1.29</v>
      </c>
      <c r="X1008" s="152">
        <f t="shared" si="62"/>
        <v>9.0300000000000005E-2</v>
      </c>
      <c r="Y1008" s="150">
        <f t="shared" si="61"/>
        <v>1.01</v>
      </c>
      <c r="Z1008" s="152"/>
      <c r="AC1008" s="154"/>
      <c r="AD1008" s="154"/>
      <c r="AE1008" s="154"/>
      <c r="AF1008" s="154"/>
    </row>
    <row r="1009" spans="1:32" x14ac:dyDescent="0.25">
      <c r="A1009" s="196">
        <v>844</v>
      </c>
      <c r="B1009" s="196" t="s">
        <v>5710</v>
      </c>
      <c r="C1009" s="196" t="s">
        <v>5711</v>
      </c>
      <c r="D1009" s="196" t="s">
        <v>2679</v>
      </c>
      <c r="F1009" s="196">
        <v>2005</v>
      </c>
      <c r="H1009" s="196" t="s">
        <v>2734</v>
      </c>
      <c r="I1009" s="184" t="s">
        <v>1929</v>
      </c>
      <c r="K1009" s="196" t="s">
        <v>1881</v>
      </c>
      <c r="M1009" s="196">
        <v>130</v>
      </c>
      <c r="O1009" s="196" t="s">
        <v>5132</v>
      </c>
      <c r="P1009" s="17">
        <v>932</v>
      </c>
      <c r="Q1009" s="175">
        <f t="shared" si="60"/>
        <v>6.7543000000000006</v>
      </c>
      <c r="R1009" s="199">
        <v>4.49</v>
      </c>
      <c r="T1009" s="149"/>
      <c r="U1009" s="149">
        <v>1.7</v>
      </c>
      <c r="V1009" s="149">
        <v>0.25</v>
      </c>
      <c r="W1009" s="149">
        <f t="shared" si="59"/>
        <v>4.49</v>
      </c>
      <c r="X1009" s="152">
        <f t="shared" si="62"/>
        <v>0.31430000000000002</v>
      </c>
      <c r="Y1009" s="150">
        <f t="shared" si="61"/>
        <v>1.01</v>
      </c>
      <c r="Z1009" s="152"/>
      <c r="AC1009" s="154"/>
      <c r="AD1009" s="154"/>
      <c r="AE1009" s="154"/>
      <c r="AF1009" s="154"/>
    </row>
    <row r="1010" spans="1:32" x14ac:dyDescent="0.25">
      <c r="A1010" s="196">
        <v>593</v>
      </c>
      <c r="B1010" s="196" t="s">
        <v>5712</v>
      </c>
      <c r="C1010" s="196" t="s">
        <v>5713</v>
      </c>
      <c r="D1010" s="196" t="s">
        <v>2041</v>
      </c>
      <c r="H1010" s="196" t="s">
        <v>2734</v>
      </c>
      <c r="I1010" s="184" t="s">
        <v>1929</v>
      </c>
      <c r="K1010" s="196" t="s">
        <v>1881</v>
      </c>
      <c r="L1010" s="184" t="s">
        <v>5714</v>
      </c>
      <c r="M1010" s="196">
        <v>194</v>
      </c>
      <c r="O1010" s="196" t="s">
        <v>5133</v>
      </c>
      <c r="P1010" s="17">
        <v>1157</v>
      </c>
      <c r="Q1010" s="175">
        <f t="shared" si="60"/>
        <v>5.8483000000000001</v>
      </c>
      <c r="R1010" s="199">
        <v>1.69</v>
      </c>
      <c r="T1010" s="149"/>
      <c r="U1010" s="149">
        <v>3.79</v>
      </c>
      <c r="V1010" s="151">
        <v>0.25</v>
      </c>
      <c r="W1010" s="149">
        <f t="shared" si="59"/>
        <v>1.69</v>
      </c>
      <c r="X1010" s="152">
        <f t="shared" si="62"/>
        <v>0.11829999999999999</v>
      </c>
      <c r="Y1010" s="150">
        <f t="shared" si="61"/>
        <v>1.01</v>
      </c>
      <c r="Z1010" s="152"/>
      <c r="AC1010" s="154"/>
      <c r="AD1010" s="154"/>
      <c r="AE1010" s="154"/>
      <c r="AF1010" s="154"/>
    </row>
    <row r="1011" spans="1:32" x14ac:dyDescent="0.25">
      <c r="A1011" s="196">
        <v>703</v>
      </c>
      <c r="C1011" s="196" t="s">
        <v>5715</v>
      </c>
      <c r="D1011" s="196" t="s">
        <v>4930</v>
      </c>
      <c r="F1011" s="196">
        <v>2012</v>
      </c>
      <c r="H1011" s="196" t="s">
        <v>2734</v>
      </c>
      <c r="I1011" s="184" t="s">
        <v>1879</v>
      </c>
      <c r="J1011" s="182" t="s">
        <v>2237</v>
      </c>
      <c r="K1011" s="196" t="s">
        <v>1881</v>
      </c>
      <c r="M1011" s="196">
        <v>130</v>
      </c>
      <c r="O1011" s="196" t="s">
        <v>5134</v>
      </c>
      <c r="P1011" s="17">
        <v>959</v>
      </c>
      <c r="Q1011" s="175">
        <f t="shared" si="60"/>
        <v>3.0093000000000001</v>
      </c>
      <c r="R1011" s="199">
        <v>0.99</v>
      </c>
      <c r="T1011" s="149"/>
      <c r="U1011" s="149">
        <v>1.7</v>
      </c>
      <c r="V1011" s="149">
        <v>0.25</v>
      </c>
      <c r="W1011" s="149">
        <f t="shared" si="59"/>
        <v>0.99</v>
      </c>
      <c r="X1011" s="152">
        <f t="shared" si="62"/>
        <v>6.93E-2</v>
      </c>
      <c r="Y1011" s="150">
        <f t="shared" si="61"/>
        <v>1.01</v>
      </c>
      <c r="Z1011" s="152"/>
      <c r="AC1011" s="154"/>
      <c r="AD1011" s="154"/>
      <c r="AE1011" s="154"/>
      <c r="AF1011" s="154"/>
    </row>
    <row r="1012" spans="1:32" x14ac:dyDescent="0.25">
      <c r="A1012" s="196">
        <v>1302</v>
      </c>
      <c r="C1012" s="196" t="s">
        <v>5716</v>
      </c>
      <c r="D1012" s="196" t="s">
        <v>1927</v>
      </c>
      <c r="F1012" s="196">
        <v>2004</v>
      </c>
      <c r="H1012" s="196" t="s">
        <v>2734</v>
      </c>
      <c r="I1012" s="184" t="s">
        <v>1879</v>
      </c>
      <c r="J1012" s="182" t="s">
        <v>2237</v>
      </c>
      <c r="K1012" s="196" t="s">
        <v>1881</v>
      </c>
      <c r="L1012" s="184" t="s">
        <v>5717</v>
      </c>
      <c r="M1012" s="196">
        <v>94</v>
      </c>
      <c r="O1012" s="196" t="s">
        <v>5135</v>
      </c>
      <c r="P1012" s="17">
        <v>620</v>
      </c>
      <c r="Q1012" s="175">
        <f t="shared" si="60"/>
        <v>3.2232999999999996</v>
      </c>
      <c r="R1012" s="199">
        <v>1.19</v>
      </c>
      <c r="T1012" s="149"/>
      <c r="U1012" s="149">
        <v>1.7</v>
      </c>
      <c r="V1012" s="151">
        <v>0.25</v>
      </c>
      <c r="W1012" s="149">
        <f t="shared" si="59"/>
        <v>1.19</v>
      </c>
      <c r="X1012" s="152">
        <f t="shared" si="62"/>
        <v>8.3299999999999999E-2</v>
      </c>
      <c r="Y1012" s="150">
        <f t="shared" si="61"/>
        <v>1.01</v>
      </c>
      <c r="Z1012" s="152"/>
      <c r="AC1012" s="154"/>
      <c r="AD1012" s="154"/>
      <c r="AE1012" s="154"/>
      <c r="AF1012" s="154"/>
    </row>
    <row r="1013" spans="1:32" x14ac:dyDescent="0.25">
      <c r="A1013" s="196">
        <v>816</v>
      </c>
      <c r="B1013" s="196" t="s">
        <v>5718</v>
      </c>
      <c r="C1013" s="196" t="s">
        <v>5719</v>
      </c>
      <c r="D1013" s="196" t="s">
        <v>5720</v>
      </c>
      <c r="F1013" s="196">
        <v>2000</v>
      </c>
      <c r="H1013" s="196" t="s">
        <v>2734</v>
      </c>
      <c r="I1013" s="184" t="s">
        <v>1929</v>
      </c>
      <c r="K1013" s="196" t="s">
        <v>1881</v>
      </c>
      <c r="M1013" s="196">
        <v>258</v>
      </c>
      <c r="O1013" s="196" t="s">
        <v>5136</v>
      </c>
      <c r="P1013" s="17">
        <v>1350</v>
      </c>
      <c r="Q1013" s="175">
        <f t="shared" si="60"/>
        <v>6.0622999999999996</v>
      </c>
      <c r="R1013" s="199">
        <v>1.89</v>
      </c>
      <c r="T1013" s="149"/>
      <c r="U1013" s="149">
        <v>3.79</v>
      </c>
      <c r="V1013" s="149">
        <v>0.25</v>
      </c>
      <c r="W1013" s="149">
        <f t="shared" ref="W1013:W1076" si="63">IF(R1013&gt;T1013,R1013,T1013)</f>
        <v>1.89</v>
      </c>
      <c r="X1013" s="152">
        <f t="shared" si="62"/>
        <v>0.1323</v>
      </c>
      <c r="Y1013" s="150">
        <f t="shared" si="61"/>
        <v>1.01</v>
      </c>
      <c r="Z1013" s="152"/>
      <c r="AC1013" s="154"/>
      <c r="AD1013" s="154"/>
      <c r="AE1013" s="154"/>
      <c r="AF1013" s="154"/>
    </row>
    <row r="1014" spans="1:32" x14ac:dyDescent="0.25">
      <c r="A1014" s="196">
        <v>718</v>
      </c>
      <c r="B1014" s="196" t="s">
        <v>5722</v>
      </c>
      <c r="C1014" s="196" t="s">
        <v>5721</v>
      </c>
      <c r="D1014" s="196" t="s">
        <v>5723</v>
      </c>
      <c r="E1014" s="196" t="s">
        <v>1921</v>
      </c>
      <c r="F1014" s="196">
        <v>2008</v>
      </c>
      <c r="H1014" s="196" t="s">
        <v>2734</v>
      </c>
      <c r="I1014" s="184" t="s">
        <v>1879</v>
      </c>
      <c r="J1014" s="196" t="s">
        <v>2237</v>
      </c>
      <c r="K1014" s="196" t="s">
        <v>1881</v>
      </c>
      <c r="L1014" s="184" t="s">
        <v>5724</v>
      </c>
      <c r="M1014" s="196">
        <v>162</v>
      </c>
      <c r="O1014" s="196" t="s">
        <v>5137</v>
      </c>
      <c r="P1014" s="17">
        <v>960</v>
      </c>
      <c r="Q1014" s="175">
        <f t="shared" si="60"/>
        <v>5.6843000000000004</v>
      </c>
      <c r="R1014" s="199">
        <v>3.49</v>
      </c>
      <c r="T1014" s="149"/>
      <c r="U1014" s="149">
        <v>1.7</v>
      </c>
      <c r="V1014" s="151">
        <v>0.25</v>
      </c>
      <c r="W1014" s="149">
        <f t="shared" si="63"/>
        <v>3.49</v>
      </c>
      <c r="X1014" s="152">
        <f t="shared" si="62"/>
        <v>0.24430000000000002</v>
      </c>
      <c r="Y1014" s="150">
        <f t="shared" si="61"/>
        <v>1.01</v>
      </c>
      <c r="Z1014" s="152"/>
      <c r="AC1014" s="154"/>
      <c r="AD1014" s="154"/>
      <c r="AE1014" s="154"/>
      <c r="AF1014" s="154"/>
    </row>
    <row r="1015" spans="1:32" x14ac:dyDescent="0.25">
      <c r="A1015" s="196">
        <v>703</v>
      </c>
      <c r="C1015" s="196" t="s">
        <v>5725</v>
      </c>
      <c r="D1015" s="196" t="s">
        <v>5708</v>
      </c>
      <c r="F1015" s="196">
        <v>1992</v>
      </c>
      <c r="H1015" s="196" t="s">
        <v>2734</v>
      </c>
      <c r="I1015" s="184" t="s">
        <v>1879</v>
      </c>
      <c r="J1015" s="196" t="s">
        <v>2237</v>
      </c>
      <c r="K1015" s="196" t="s">
        <v>1881</v>
      </c>
      <c r="L1015" s="184" t="s">
        <v>5726</v>
      </c>
      <c r="M1015" s="196">
        <v>354</v>
      </c>
      <c r="O1015" s="196" t="s">
        <v>5138</v>
      </c>
      <c r="P1015" s="17">
        <v>1736</v>
      </c>
      <c r="Q1015" s="175">
        <f t="shared" si="60"/>
        <v>4.3075000000000001</v>
      </c>
      <c r="R1015" s="199">
        <v>0.25</v>
      </c>
      <c r="T1015" s="149"/>
      <c r="U1015" s="149">
        <v>3.79</v>
      </c>
      <c r="V1015" s="149">
        <v>0.25</v>
      </c>
      <c r="W1015" s="149">
        <f t="shared" si="63"/>
        <v>0.25</v>
      </c>
      <c r="X1015" s="152">
        <f t="shared" si="62"/>
        <v>1.7500000000000002E-2</v>
      </c>
      <c r="Y1015" s="150">
        <f t="shared" si="61"/>
        <v>1.01</v>
      </c>
      <c r="Z1015" s="152"/>
      <c r="AC1015" s="154"/>
      <c r="AD1015" s="154"/>
      <c r="AE1015" s="154"/>
      <c r="AF1015" s="154"/>
    </row>
    <row r="1016" spans="1:32" x14ac:dyDescent="0.25">
      <c r="A1016" s="196">
        <v>703</v>
      </c>
      <c r="C1016" s="196" t="s">
        <v>5727</v>
      </c>
      <c r="D1016" s="196" t="s">
        <v>5728</v>
      </c>
      <c r="F1016" s="196">
        <v>2000</v>
      </c>
      <c r="H1016" s="196" t="s">
        <v>2734</v>
      </c>
      <c r="I1016" s="184" t="s">
        <v>1879</v>
      </c>
      <c r="J1016" s="196" t="s">
        <v>2237</v>
      </c>
      <c r="K1016" s="196" t="s">
        <v>1881</v>
      </c>
      <c r="L1016" s="184" t="s">
        <v>5729</v>
      </c>
      <c r="M1016" s="196">
        <v>234</v>
      </c>
      <c r="O1016" s="196" t="s">
        <v>5139</v>
      </c>
      <c r="P1016" s="17">
        <v>1390</v>
      </c>
      <c r="Q1016" s="175">
        <f t="shared" si="60"/>
        <v>5.3133000000000008</v>
      </c>
      <c r="R1016" s="199">
        <v>1.19</v>
      </c>
      <c r="T1016" s="149"/>
      <c r="U1016" s="149">
        <v>3.79</v>
      </c>
      <c r="V1016" s="151">
        <v>0.25</v>
      </c>
      <c r="W1016" s="149">
        <f t="shared" si="63"/>
        <v>1.19</v>
      </c>
      <c r="X1016" s="152">
        <f t="shared" si="62"/>
        <v>8.3299999999999999E-2</v>
      </c>
      <c r="Y1016" s="150">
        <f t="shared" si="61"/>
        <v>1.01</v>
      </c>
      <c r="Z1016" s="152"/>
      <c r="AC1016" s="154"/>
      <c r="AD1016" s="154"/>
      <c r="AE1016" s="154"/>
      <c r="AF1016" s="154"/>
    </row>
    <row r="1017" spans="1:32" x14ac:dyDescent="0.25">
      <c r="A1017" s="196">
        <v>591</v>
      </c>
      <c r="B1017" s="182" t="s">
        <v>5730</v>
      </c>
      <c r="C1017" s="196" t="s">
        <v>5731</v>
      </c>
      <c r="D1017" s="196" t="s">
        <v>5732</v>
      </c>
      <c r="F1017" s="196">
        <v>2000</v>
      </c>
      <c r="H1017" s="196" t="s">
        <v>2734</v>
      </c>
      <c r="I1017" s="184" t="s">
        <v>1879</v>
      </c>
      <c r="K1017" s="196" t="s">
        <v>1881</v>
      </c>
      <c r="L1017" s="184" t="s">
        <v>5733</v>
      </c>
      <c r="M1017" s="196">
        <v>362</v>
      </c>
      <c r="O1017" s="196" t="s">
        <v>5140</v>
      </c>
      <c r="P1017" s="17">
        <v>1513</v>
      </c>
      <c r="Q1017" s="175">
        <f t="shared" si="60"/>
        <v>5.8483000000000001</v>
      </c>
      <c r="R1017" s="199">
        <v>1.69</v>
      </c>
      <c r="T1017" s="149"/>
      <c r="U1017" s="149">
        <v>3.79</v>
      </c>
      <c r="V1017" s="149">
        <v>0.25</v>
      </c>
      <c r="W1017" s="149">
        <f t="shared" si="63"/>
        <v>1.69</v>
      </c>
      <c r="X1017" s="152">
        <f t="shared" si="62"/>
        <v>0.11829999999999999</v>
      </c>
      <c r="Y1017" s="150">
        <f t="shared" si="61"/>
        <v>1.01</v>
      </c>
      <c r="Z1017" s="152"/>
      <c r="AC1017" s="154"/>
      <c r="AD1017" s="154"/>
      <c r="AE1017" s="154"/>
      <c r="AF1017" s="154"/>
    </row>
    <row r="1018" spans="1:32" x14ac:dyDescent="0.25">
      <c r="A1018" s="196">
        <v>844</v>
      </c>
      <c r="B1018" s="196" t="s">
        <v>5710</v>
      </c>
      <c r="C1018" s="196" t="s">
        <v>2678</v>
      </c>
      <c r="F1018" s="196">
        <v>2005</v>
      </c>
      <c r="H1018" s="196" t="s">
        <v>2734</v>
      </c>
      <c r="I1018" s="184" t="s">
        <v>1879</v>
      </c>
      <c r="J1018" s="196" t="s">
        <v>2237</v>
      </c>
      <c r="K1018" s="196" t="s">
        <v>1881</v>
      </c>
      <c r="M1018" s="196">
        <v>50</v>
      </c>
      <c r="O1018" s="196" t="s">
        <v>5141</v>
      </c>
      <c r="P1018" s="17">
        <v>436</v>
      </c>
      <c r="Q1018" s="175">
        <f t="shared" si="60"/>
        <v>2.5093000000000001</v>
      </c>
      <c r="R1018" s="199">
        <v>0.99</v>
      </c>
      <c r="T1018" s="149"/>
      <c r="U1018" s="149">
        <v>1.2</v>
      </c>
      <c r="V1018" s="151">
        <v>0.25</v>
      </c>
      <c r="W1018" s="149">
        <f t="shared" si="63"/>
        <v>0.99</v>
      </c>
      <c r="X1018" s="152">
        <f t="shared" si="62"/>
        <v>6.93E-2</v>
      </c>
      <c r="Y1018" s="150">
        <f t="shared" si="61"/>
        <v>1.01</v>
      </c>
      <c r="Z1018" s="152"/>
      <c r="AC1018" s="154"/>
      <c r="AD1018" s="154"/>
      <c r="AE1018" s="154"/>
      <c r="AF1018" s="154"/>
    </row>
    <row r="1019" spans="1:32" x14ac:dyDescent="0.25">
      <c r="A1019" s="196">
        <v>844</v>
      </c>
      <c r="B1019" s="196" t="s">
        <v>5734</v>
      </c>
      <c r="C1019" s="196" t="s">
        <v>5735</v>
      </c>
      <c r="D1019" s="196" t="s">
        <v>4930</v>
      </c>
      <c r="F1019" s="196">
        <v>2005</v>
      </c>
      <c r="H1019" s="196" t="s">
        <v>2734</v>
      </c>
      <c r="I1019" s="184" t="s">
        <v>1879</v>
      </c>
      <c r="J1019" s="196" t="s">
        <v>2237</v>
      </c>
      <c r="K1019" s="196" t="s">
        <v>1881</v>
      </c>
      <c r="M1019" s="196">
        <v>94</v>
      </c>
      <c r="O1019" s="196" t="s">
        <v>5142</v>
      </c>
      <c r="P1019" s="17">
        <v>553</v>
      </c>
      <c r="Q1019" s="175">
        <f t="shared" si="60"/>
        <v>3.8653000000000004</v>
      </c>
      <c r="R1019" s="199">
        <v>1.79</v>
      </c>
      <c r="T1019" s="149"/>
      <c r="U1019" s="149">
        <v>1.7</v>
      </c>
      <c r="V1019" s="149">
        <v>0.25</v>
      </c>
      <c r="W1019" s="149">
        <f t="shared" si="63"/>
        <v>1.79</v>
      </c>
      <c r="X1019" s="152">
        <f t="shared" si="62"/>
        <v>0.12529999999999999</v>
      </c>
      <c r="Y1019" s="150">
        <f t="shared" si="61"/>
        <v>1.01</v>
      </c>
      <c r="Z1019" s="152"/>
      <c r="AC1019" s="154"/>
      <c r="AD1019" s="154"/>
      <c r="AE1019" s="154"/>
      <c r="AF1019" s="154"/>
    </row>
    <row r="1020" spans="1:32" x14ac:dyDescent="0.25">
      <c r="A1020" s="196">
        <v>897</v>
      </c>
      <c r="C1020" s="196" t="s">
        <v>5736</v>
      </c>
      <c r="D1020" s="196" t="s">
        <v>1927</v>
      </c>
      <c r="H1020" s="196" t="s">
        <v>2734</v>
      </c>
      <c r="I1020" s="184" t="s">
        <v>1879</v>
      </c>
      <c r="J1020" s="196" t="s">
        <v>5737</v>
      </c>
      <c r="K1020" s="196" t="s">
        <v>1881</v>
      </c>
      <c r="L1020" s="184" t="s">
        <v>5738</v>
      </c>
      <c r="M1020" s="196">
        <v>98</v>
      </c>
      <c r="O1020" s="196" t="s">
        <v>5143</v>
      </c>
      <c r="P1020" s="17">
        <v>667</v>
      </c>
      <c r="Q1020" s="175">
        <f t="shared" si="60"/>
        <v>3.9722999999999997</v>
      </c>
      <c r="R1020" s="199">
        <v>1.89</v>
      </c>
      <c r="T1020" s="149"/>
      <c r="U1020" s="149">
        <v>1.7</v>
      </c>
      <c r="V1020" s="151">
        <v>0.25</v>
      </c>
      <c r="W1020" s="149">
        <f t="shared" si="63"/>
        <v>1.89</v>
      </c>
      <c r="X1020" s="152">
        <f t="shared" si="62"/>
        <v>0.1323</v>
      </c>
      <c r="Y1020" s="150">
        <f t="shared" si="61"/>
        <v>1.01</v>
      </c>
      <c r="Z1020" s="152"/>
      <c r="AC1020" s="154"/>
      <c r="AD1020" s="154"/>
      <c r="AE1020" s="154"/>
      <c r="AF1020" s="154"/>
    </row>
    <row r="1021" spans="1:32" x14ac:dyDescent="0.25">
      <c r="A1021" s="196">
        <v>2650</v>
      </c>
      <c r="B1021" s="196" t="s">
        <v>5739</v>
      </c>
      <c r="C1021" s="196" t="s">
        <v>5740</v>
      </c>
      <c r="D1021" s="196" t="s">
        <v>2054</v>
      </c>
      <c r="F1021" s="196">
        <v>1995</v>
      </c>
      <c r="H1021" s="196" t="s">
        <v>2734</v>
      </c>
      <c r="I1021" s="184" t="s">
        <v>1879</v>
      </c>
      <c r="K1021" s="196" t="s">
        <v>1881</v>
      </c>
      <c r="L1021" s="184" t="s">
        <v>5741</v>
      </c>
      <c r="M1021" s="196">
        <v>322</v>
      </c>
      <c r="O1021" s="196" t="s">
        <v>5144</v>
      </c>
      <c r="P1021" s="17">
        <v>2332</v>
      </c>
      <c r="Q1021" s="175">
        <f t="shared" si="60"/>
        <v>8.2623000000000015</v>
      </c>
      <c r="R1021" s="199">
        <v>1.89</v>
      </c>
      <c r="T1021" s="149"/>
      <c r="U1021" s="149">
        <v>5.99</v>
      </c>
      <c r="V1021" s="149">
        <v>0.25</v>
      </c>
      <c r="W1021" s="149">
        <f t="shared" si="63"/>
        <v>1.89</v>
      </c>
      <c r="X1021" s="152">
        <f t="shared" si="62"/>
        <v>0.1323</v>
      </c>
      <c r="Y1021" s="150">
        <f t="shared" si="61"/>
        <v>1.01</v>
      </c>
      <c r="Z1021" s="152"/>
      <c r="AC1021" s="154"/>
      <c r="AD1021" s="154"/>
      <c r="AE1021" s="154"/>
      <c r="AF1021" s="154"/>
    </row>
    <row r="1022" spans="1:32" x14ac:dyDescent="0.25">
      <c r="A1022" s="196">
        <v>273</v>
      </c>
      <c r="C1022" s="196" t="s">
        <v>5742</v>
      </c>
      <c r="D1022" s="196" t="s">
        <v>5743</v>
      </c>
      <c r="F1022" s="196">
        <v>1990</v>
      </c>
      <c r="H1022" s="196" t="s">
        <v>2734</v>
      </c>
      <c r="I1022" s="184" t="s">
        <v>1879</v>
      </c>
      <c r="K1022" s="196" t="s">
        <v>1881</v>
      </c>
      <c r="L1022" s="184" t="s">
        <v>5744</v>
      </c>
      <c r="M1022" s="196">
        <v>642</v>
      </c>
      <c r="O1022" s="196" t="s">
        <v>5145</v>
      </c>
      <c r="P1022" s="17">
        <v>2357</v>
      </c>
      <c r="Q1022" s="175">
        <f t="shared" si="60"/>
        <v>8.3693000000000008</v>
      </c>
      <c r="R1022" s="199">
        <v>1.99</v>
      </c>
      <c r="T1022" s="149"/>
      <c r="U1022" s="149">
        <v>5.99</v>
      </c>
      <c r="V1022" s="151">
        <v>0.25</v>
      </c>
      <c r="W1022" s="149">
        <f t="shared" si="63"/>
        <v>1.99</v>
      </c>
      <c r="X1022" s="152">
        <f t="shared" si="62"/>
        <v>0.13930000000000001</v>
      </c>
      <c r="Y1022" s="150">
        <f t="shared" si="61"/>
        <v>1.01</v>
      </c>
      <c r="Z1022" s="152"/>
      <c r="AC1022" s="154"/>
      <c r="AD1022" s="154"/>
      <c r="AE1022" s="154"/>
      <c r="AF1022" s="154"/>
    </row>
    <row r="1023" spans="1:32" x14ac:dyDescent="0.25">
      <c r="A1023" s="196">
        <v>137</v>
      </c>
      <c r="B1023" s="196" t="s">
        <v>5745</v>
      </c>
      <c r="C1023" s="196" t="s">
        <v>5746</v>
      </c>
      <c r="D1023" s="196" t="s">
        <v>5747</v>
      </c>
      <c r="F1023" s="196">
        <v>2002</v>
      </c>
      <c r="H1023" s="196" t="s">
        <v>1878</v>
      </c>
      <c r="I1023" s="184" t="s">
        <v>1914</v>
      </c>
      <c r="K1023" s="196" t="s">
        <v>5748</v>
      </c>
      <c r="L1023" s="184" t="s">
        <v>5749</v>
      </c>
      <c r="M1023" s="196">
        <v>168</v>
      </c>
      <c r="O1023" s="196" t="s">
        <v>5146</v>
      </c>
      <c r="P1023" s="17">
        <v>441</v>
      </c>
      <c r="Q1023" s="175">
        <f t="shared" si="60"/>
        <v>3.5792999999999999</v>
      </c>
      <c r="R1023" s="199">
        <v>1.99</v>
      </c>
      <c r="T1023" s="149"/>
      <c r="U1023" s="149">
        <v>1.2</v>
      </c>
      <c r="V1023" s="149">
        <v>0.25</v>
      </c>
      <c r="W1023" s="149">
        <f t="shared" si="63"/>
        <v>1.99</v>
      </c>
      <c r="X1023" s="152">
        <f t="shared" si="62"/>
        <v>0.13930000000000001</v>
      </c>
      <c r="Y1023" s="150">
        <f t="shared" si="61"/>
        <v>1.01</v>
      </c>
      <c r="Z1023" s="152"/>
      <c r="AC1023" s="154"/>
      <c r="AD1023" s="154"/>
      <c r="AE1023" s="154"/>
      <c r="AF1023" s="154"/>
    </row>
    <row r="1024" spans="1:32" x14ac:dyDescent="0.25">
      <c r="A1024" s="196">
        <v>442</v>
      </c>
      <c r="C1024" s="196" t="s">
        <v>5750</v>
      </c>
      <c r="D1024" s="196" t="s">
        <v>5751</v>
      </c>
      <c r="F1024" s="196">
        <v>2009</v>
      </c>
      <c r="H1024" s="196" t="s">
        <v>1878</v>
      </c>
      <c r="I1024" s="184" t="s">
        <v>1879</v>
      </c>
      <c r="J1024" s="182" t="s">
        <v>5752</v>
      </c>
      <c r="K1024" s="196" t="s">
        <v>5753</v>
      </c>
      <c r="L1024" s="184" t="s">
        <v>5754</v>
      </c>
      <c r="M1024" s="196">
        <v>192</v>
      </c>
      <c r="O1024" s="196" t="s">
        <v>5147</v>
      </c>
      <c r="P1024" s="17">
        <v>502</v>
      </c>
      <c r="Q1024" s="175">
        <f t="shared" si="60"/>
        <v>8.8942999999999994</v>
      </c>
      <c r="R1024" s="199">
        <v>6.49</v>
      </c>
      <c r="T1024" s="149"/>
      <c r="U1024" s="149">
        <v>1.7</v>
      </c>
      <c r="V1024" s="151">
        <v>0.25</v>
      </c>
      <c r="W1024" s="149">
        <f t="shared" si="63"/>
        <v>6.49</v>
      </c>
      <c r="X1024" s="152">
        <f t="shared" si="62"/>
        <v>0.45429999999999998</v>
      </c>
      <c r="Y1024" s="150">
        <f t="shared" si="61"/>
        <v>1.01</v>
      </c>
      <c r="Z1024" s="152"/>
      <c r="AC1024" s="154"/>
      <c r="AD1024" s="154"/>
      <c r="AE1024" s="154"/>
      <c r="AF1024" s="154"/>
    </row>
    <row r="1025" spans="1:32" x14ac:dyDescent="0.25">
      <c r="A1025" s="196">
        <v>589</v>
      </c>
      <c r="B1025" s="182" t="s">
        <v>5755</v>
      </c>
      <c r="C1025" s="196" t="s">
        <v>5756</v>
      </c>
      <c r="D1025" s="196" t="s">
        <v>4357</v>
      </c>
      <c r="F1025" s="196">
        <v>1998</v>
      </c>
      <c r="H1025" s="196" t="s">
        <v>2734</v>
      </c>
      <c r="I1025" s="184" t="s">
        <v>1879</v>
      </c>
      <c r="J1025" s="182" t="s">
        <v>5752</v>
      </c>
      <c r="K1025" s="196" t="s">
        <v>1881</v>
      </c>
      <c r="L1025" s="184" t="s">
        <v>5757</v>
      </c>
      <c r="M1025" s="196">
        <v>50</v>
      </c>
      <c r="O1025" s="196" t="s">
        <v>5148</v>
      </c>
      <c r="P1025" s="17">
        <v>390</v>
      </c>
      <c r="Q1025" s="175">
        <f t="shared" si="60"/>
        <v>4.1143000000000001</v>
      </c>
      <c r="R1025" s="199">
        <v>2.4900000000000002</v>
      </c>
      <c r="T1025" s="149"/>
      <c r="U1025" s="149">
        <v>1.2</v>
      </c>
      <c r="V1025" s="149">
        <v>0.25</v>
      </c>
      <c r="W1025" s="149">
        <f t="shared" si="63"/>
        <v>2.4900000000000002</v>
      </c>
      <c r="X1025" s="152">
        <f t="shared" si="62"/>
        <v>0.17430000000000001</v>
      </c>
      <c r="Y1025" s="150">
        <f t="shared" si="61"/>
        <v>1.01</v>
      </c>
      <c r="Z1025" s="152"/>
      <c r="AC1025" s="154"/>
      <c r="AD1025" s="154"/>
      <c r="AE1025" s="154"/>
      <c r="AF1025" s="154"/>
    </row>
    <row r="1026" spans="1:32" x14ac:dyDescent="0.25">
      <c r="A1026" s="196">
        <v>853</v>
      </c>
      <c r="B1026" s="196" t="s">
        <v>5758</v>
      </c>
      <c r="C1026" s="196" t="s">
        <v>5759</v>
      </c>
      <c r="F1026" s="196">
        <v>1979</v>
      </c>
      <c r="H1026" s="196" t="s">
        <v>2734</v>
      </c>
      <c r="I1026" s="184" t="s">
        <v>1879</v>
      </c>
      <c r="K1026" s="196" t="s">
        <v>1881</v>
      </c>
      <c r="L1026" s="184" t="s">
        <v>5760</v>
      </c>
      <c r="M1026" s="196">
        <v>78</v>
      </c>
      <c r="O1026" s="196" t="s">
        <v>5149</v>
      </c>
      <c r="P1026" s="17">
        <v>829</v>
      </c>
      <c r="Q1026" s="175">
        <f t="shared" si="60"/>
        <v>7.6103000000000005</v>
      </c>
      <c r="R1026" s="199">
        <v>5.29</v>
      </c>
      <c r="T1026" s="149"/>
      <c r="U1026" s="149">
        <v>1.7</v>
      </c>
      <c r="V1026" s="151">
        <v>0.25</v>
      </c>
      <c r="W1026" s="149">
        <f t="shared" si="63"/>
        <v>5.29</v>
      </c>
      <c r="X1026" s="152">
        <f t="shared" si="62"/>
        <v>0.37030000000000002</v>
      </c>
      <c r="Y1026" s="150">
        <f t="shared" si="61"/>
        <v>1.01</v>
      </c>
      <c r="Z1026" s="152"/>
      <c r="AC1026" s="154"/>
      <c r="AD1026" s="154"/>
      <c r="AE1026" s="154"/>
      <c r="AF1026" s="154"/>
    </row>
    <row r="1027" spans="1:32" x14ac:dyDescent="0.25">
      <c r="A1027" s="196">
        <v>691</v>
      </c>
      <c r="C1027" s="196" t="s">
        <v>5761</v>
      </c>
      <c r="D1027" s="196" t="s">
        <v>5762</v>
      </c>
      <c r="F1027" s="196">
        <v>2010</v>
      </c>
      <c r="H1027" s="196" t="s">
        <v>2734</v>
      </c>
      <c r="I1027" s="184" t="s">
        <v>1879</v>
      </c>
      <c r="J1027" s="182" t="s">
        <v>3202</v>
      </c>
      <c r="K1027" s="196" t="s">
        <v>1881</v>
      </c>
      <c r="L1027" s="184" t="s">
        <v>5763</v>
      </c>
      <c r="M1027" s="196">
        <v>86</v>
      </c>
      <c r="O1027" s="196" t="s">
        <v>5150</v>
      </c>
      <c r="P1027" s="17">
        <v>573</v>
      </c>
      <c r="Q1027" s="175">
        <f t="shared" si="60"/>
        <v>2.9022999999999999</v>
      </c>
      <c r="R1027" s="199">
        <v>0.89</v>
      </c>
      <c r="T1027" s="149"/>
      <c r="U1027" s="149">
        <v>1.7</v>
      </c>
      <c r="V1027" s="149">
        <v>0.25</v>
      </c>
      <c r="W1027" s="149">
        <f t="shared" si="63"/>
        <v>0.89</v>
      </c>
      <c r="X1027" s="152">
        <f t="shared" si="62"/>
        <v>6.2300000000000001E-2</v>
      </c>
      <c r="Y1027" s="150">
        <f t="shared" si="61"/>
        <v>1.01</v>
      </c>
      <c r="Z1027" s="152"/>
      <c r="AC1027" s="154"/>
      <c r="AD1027" s="154"/>
      <c r="AE1027" s="154"/>
      <c r="AF1027" s="154"/>
    </row>
    <row r="1028" spans="1:32" x14ac:dyDescent="0.25">
      <c r="A1028" s="196">
        <v>774</v>
      </c>
      <c r="B1028" s="196" t="s">
        <v>5764</v>
      </c>
      <c r="C1028" s="196" t="s">
        <v>5765</v>
      </c>
      <c r="D1028" s="196" t="s">
        <v>5766</v>
      </c>
      <c r="E1028" s="196" t="s">
        <v>1877</v>
      </c>
      <c r="F1028" s="196">
        <v>2002</v>
      </c>
      <c r="H1028" s="196" t="s">
        <v>2734</v>
      </c>
      <c r="I1028" s="184" t="s">
        <v>1879</v>
      </c>
      <c r="J1028" s="196" t="s">
        <v>3202</v>
      </c>
      <c r="K1028" s="196" t="s">
        <v>1881</v>
      </c>
      <c r="L1028" s="184" t="s">
        <v>5767</v>
      </c>
      <c r="O1028" s="196" t="s">
        <v>5151</v>
      </c>
      <c r="P1028" s="17">
        <v>731</v>
      </c>
      <c r="Q1028" s="175">
        <f t="shared" si="60"/>
        <v>3.5442999999999998</v>
      </c>
      <c r="R1028" s="199">
        <v>1.49</v>
      </c>
      <c r="T1028" s="149"/>
      <c r="U1028" s="149">
        <v>1.7</v>
      </c>
      <c r="V1028" s="151">
        <v>0.25</v>
      </c>
      <c r="W1028" s="149">
        <f t="shared" si="63"/>
        <v>1.49</v>
      </c>
      <c r="X1028" s="152">
        <f t="shared" si="62"/>
        <v>0.1043</v>
      </c>
      <c r="Y1028" s="150">
        <f t="shared" si="61"/>
        <v>1.01</v>
      </c>
      <c r="Z1028" s="152"/>
      <c r="AC1028" s="154"/>
      <c r="AD1028" s="154"/>
      <c r="AE1028" s="154"/>
      <c r="AF1028" s="154"/>
    </row>
    <row r="1029" spans="1:32" x14ac:dyDescent="0.25">
      <c r="A1029" s="196">
        <v>1285</v>
      </c>
      <c r="C1029" s="196" t="s">
        <v>5768</v>
      </c>
      <c r="D1029" s="196" t="s">
        <v>5769</v>
      </c>
      <c r="F1029" s="196">
        <v>1986</v>
      </c>
      <c r="H1029" s="196" t="s">
        <v>1878</v>
      </c>
      <c r="I1029" s="184" t="s">
        <v>1879</v>
      </c>
      <c r="K1029" s="196" t="s">
        <v>1881</v>
      </c>
      <c r="L1029" s="184" t="s">
        <v>5770</v>
      </c>
      <c r="M1029" s="196">
        <v>112</v>
      </c>
      <c r="O1029" s="196" t="s">
        <v>5152</v>
      </c>
      <c r="P1029" s="17">
        <v>529</v>
      </c>
      <c r="Q1029" s="175">
        <f t="shared" si="60"/>
        <v>2.2603</v>
      </c>
      <c r="R1029" s="199">
        <v>0.28999999999999998</v>
      </c>
      <c r="T1029" s="149"/>
      <c r="U1029" s="149">
        <v>1.7</v>
      </c>
      <c r="V1029" s="149">
        <v>0.25</v>
      </c>
      <c r="W1029" s="149">
        <f t="shared" si="63"/>
        <v>0.28999999999999998</v>
      </c>
      <c r="X1029" s="152">
        <f t="shared" si="62"/>
        <v>2.0299999999999999E-2</v>
      </c>
      <c r="Y1029" s="150">
        <f t="shared" si="61"/>
        <v>1.01</v>
      </c>
      <c r="Z1029" s="152"/>
      <c r="AC1029" s="154"/>
      <c r="AD1029" s="154"/>
      <c r="AE1029" s="154"/>
      <c r="AF1029" s="154"/>
    </row>
    <row r="1030" spans="1:32" x14ac:dyDescent="0.25">
      <c r="A1030" s="196">
        <v>691</v>
      </c>
      <c r="C1030" s="196" t="s">
        <v>5771</v>
      </c>
      <c r="D1030" s="196" t="s">
        <v>5772</v>
      </c>
      <c r="H1030" s="196" t="s">
        <v>2734</v>
      </c>
      <c r="I1030" s="184" t="s">
        <v>1879</v>
      </c>
      <c r="K1030" s="196" t="s">
        <v>1881</v>
      </c>
      <c r="L1030" s="184" t="s">
        <v>5773</v>
      </c>
      <c r="M1030" s="196">
        <v>86</v>
      </c>
      <c r="O1030" s="196" t="s">
        <v>5153</v>
      </c>
      <c r="P1030" s="17">
        <v>505</v>
      </c>
      <c r="Q1030" s="175">
        <f t="shared" si="60"/>
        <v>3.1162999999999998</v>
      </c>
      <c r="R1030" s="199">
        <v>1.0900000000000001</v>
      </c>
      <c r="T1030" s="149"/>
      <c r="U1030" s="149">
        <v>1.7</v>
      </c>
      <c r="V1030" s="151">
        <v>0.25</v>
      </c>
      <c r="W1030" s="149">
        <f t="shared" si="63"/>
        <v>1.0900000000000001</v>
      </c>
      <c r="X1030" s="152">
        <f t="shared" si="62"/>
        <v>7.6300000000000007E-2</v>
      </c>
      <c r="Y1030" s="150">
        <f t="shared" si="61"/>
        <v>1.01</v>
      </c>
      <c r="Z1030" s="152"/>
      <c r="AC1030" s="154"/>
      <c r="AD1030" s="154"/>
      <c r="AE1030" s="154"/>
      <c r="AF1030" s="154"/>
    </row>
    <row r="1031" spans="1:32" x14ac:dyDescent="0.25">
      <c r="A1031" s="196">
        <v>624</v>
      </c>
      <c r="C1031" s="196" t="s">
        <v>5774</v>
      </c>
      <c r="D1031" s="196" t="s">
        <v>4334</v>
      </c>
      <c r="H1031" s="196" t="s">
        <v>2734</v>
      </c>
      <c r="I1031" s="184" t="s">
        <v>1879</v>
      </c>
      <c r="J1031" s="182" t="s">
        <v>4343</v>
      </c>
      <c r="K1031" s="196" t="s">
        <v>1881</v>
      </c>
      <c r="L1031" s="184" t="s">
        <v>5775</v>
      </c>
      <c r="O1031" s="196" t="s">
        <v>5154</v>
      </c>
      <c r="P1031" s="17">
        <v>850</v>
      </c>
      <c r="Q1031" s="175">
        <f t="shared" si="60"/>
        <v>3.2232999999999996</v>
      </c>
      <c r="R1031" s="199">
        <v>1.19</v>
      </c>
      <c r="T1031" s="149"/>
      <c r="U1031" s="149">
        <v>1.7</v>
      </c>
      <c r="V1031" s="149">
        <v>0.25</v>
      </c>
      <c r="W1031" s="149">
        <f t="shared" si="63"/>
        <v>1.19</v>
      </c>
      <c r="X1031" s="152">
        <f t="shared" si="62"/>
        <v>8.3299999999999999E-2</v>
      </c>
      <c r="Y1031" s="150">
        <f t="shared" si="61"/>
        <v>1.01</v>
      </c>
      <c r="Z1031" s="152"/>
      <c r="AC1031" s="154"/>
      <c r="AD1031" s="154"/>
      <c r="AE1031" s="154"/>
      <c r="AF1031" s="154"/>
    </row>
    <row r="1032" spans="1:32" x14ac:dyDescent="0.25">
      <c r="A1032" s="196">
        <v>2906</v>
      </c>
      <c r="C1032" s="196" t="s">
        <v>5776</v>
      </c>
      <c r="D1032" s="196" t="s">
        <v>2054</v>
      </c>
      <c r="F1032" s="196">
        <v>2005</v>
      </c>
      <c r="H1032" s="196" t="s">
        <v>2734</v>
      </c>
      <c r="I1032" s="184" t="s">
        <v>1929</v>
      </c>
      <c r="K1032" s="196" t="s">
        <v>1881</v>
      </c>
      <c r="L1032" s="184" t="s">
        <v>5777</v>
      </c>
      <c r="M1032" s="196">
        <v>98</v>
      </c>
      <c r="O1032" s="196" t="s">
        <v>5155</v>
      </c>
      <c r="P1032" s="17">
        <v>568</v>
      </c>
      <c r="Q1032" s="175">
        <f t="shared" si="60"/>
        <v>4.6143000000000001</v>
      </c>
      <c r="R1032" s="199">
        <v>2.4900000000000002</v>
      </c>
      <c r="T1032" s="149"/>
      <c r="U1032" s="149">
        <v>1.7</v>
      </c>
      <c r="V1032" s="151">
        <v>0.25</v>
      </c>
      <c r="W1032" s="149">
        <f t="shared" si="63"/>
        <v>2.4900000000000002</v>
      </c>
      <c r="X1032" s="152">
        <f t="shared" si="62"/>
        <v>0.17430000000000001</v>
      </c>
      <c r="Y1032" s="150">
        <f t="shared" si="61"/>
        <v>1.01</v>
      </c>
      <c r="Z1032" s="152"/>
      <c r="AC1032" s="154"/>
      <c r="AD1032" s="154"/>
      <c r="AE1032" s="154"/>
      <c r="AF1032" s="154"/>
    </row>
    <row r="1033" spans="1:32" x14ac:dyDescent="0.25">
      <c r="A1033" s="196">
        <v>2912</v>
      </c>
      <c r="C1033" s="196" t="s">
        <v>5778</v>
      </c>
      <c r="D1033" s="196" t="s">
        <v>2054</v>
      </c>
      <c r="F1033" s="196">
        <v>2005</v>
      </c>
      <c r="H1033" s="196" t="s">
        <v>2734</v>
      </c>
      <c r="I1033" s="184" t="s">
        <v>1929</v>
      </c>
      <c r="K1033" s="196" t="s">
        <v>1881</v>
      </c>
      <c r="L1033" s="184" t="s">
        <v>5779</v>
      </c>
      <c r="M1033" s="196">
        <v>98</v>
      </c>
      <c r="O1033" s="196" t="s">
        <v>5156</v>
      </c>
      <c r="P1033" s="17">
        <v>561</v>
      </c>
      <c r="Q1033" s="175">
        <f t="shared" si="60"/>
        <v>3.9722999999999997</v>
      </c>
      <c r="R1033" s="199">
        <v>1.89</v>
      </c>
      <c r="T1033" s="149"/>
      <c r="U1033" s="149">
        <v>1.7</v>
      </c>
      <c r="V1033" s="149">
        <v>0.25</v>
      </c>
      <c r="W1033" s="149">
        <f t="shared" si="63"/>
        <v>1.89</v>
      </c>
      <c r="X1033" s="152">
        <f t="shared" si="62"/>
        <v>0.1323</v>
      </c>
      <c r="Y1033" s="150">
        <f t="shared" si="61"/>
        <v>1.01</v>
      </c>
      <c r="Z1033" s="152"/>
      <c r="AC1033" s="154"/>
      <c r="AD1033" s="154"/>
      <c r="AE1033" s="154"/>
      <c r="AF1033" s="154"/>
    </row>
    <row r="1034" spans="1:32" x14ac:dyDescent="0.25">
      <c r="A1034" s="196">
        <v>803</v>
      </c>
      <c r="C1034" s="196" t="s">
        <v>5780</v>
      </c>
      <c r="D1034" s="196" t="s">
        <v>4930</v>
      </c>
      <c r="F1034" s="196">
        <v>1996</v>
      </c>
      <c r="H1034" s="196" t="s">
        <v>2734</v>
      </c>
      <c r="I1034" s="184" t="s">
        <v>1879</v>
      </c>
      <c r="K1034" s="196" t="s">
        <v>1881</v>
      </c>
      <c r="M1034" s="196">
        <v>434</v>
      </c>
      <c r="O1034" s="196" t="s">
        <v>5157</v>
      </c>
      <c r="P1034" s="17">
        <v>1577</v>
      </c>
      <c r="Q1034" s="175">
        <f t="shared" si="60"/>
        <v>7.7743000000000002</v>
      </c>
      <c r="R1034" s="199">
        <v>3.49</v>
      </c>
      <c r="T1034" s="149"/>
      <c r="U1034" s="149">
        <v>3.79</v>
      </c>
      <c r="V1034" s="151">
        <v>0.25</v>
      </c>
      <c r="W1034" s="149">
        <f t="shared" si="63"/>
        <v>3.49</v>
      </c>
      <c r="X1034" s="152">
        <f t="shared" si="62"/>
        <v>0.24430000000000002</v>
      </c>
      <c r="Y1034" s="150">
        <f t="shared" si="61"/>
        <v>1.01</v>
      </c>
      <c r="Z1034" s="152"/>
      <c r="AC1034" s="154"/>
      <c r="AD1034" s="154"/>
      <c r="AE1034" s="154"/>
      <c r="AF1034" s="154"/>
    </row>
    <row r="1035" spans="1:32" x14ac:dyDescent="0.25">
      <c r="A1035" s="196">
        <v>721</v>
      </c>
      <c r="C1035" s="196" t="s">
        <v>5781</v>
      </c>
      <c r="D1035" s="196" t="s">
        <v>5782</v>
      </c>
      <c r="E1035" s="182" t="s">
        <v>1921</v>
      </c>
      <c r="F1035" s="196">
        <v>2004</v>
      </c>
      <c r="H1035" s="196" t="s">
        <v>2734</v>
      </c>
      <c r="I1035" s="184" t="s">
        <v>1929</v>
      </c>
      <c r="K1035" s="196" t="s">
        <v>1881</v>
      </c>
      <c r="L1035" s="184" t="s">
        <v>5783</v>
      </c>
      <c r="M1035" s="196">
        <v>82</v>
      </c>
      <c r="O1035" s="196" t="s">
        <v>5158</v>
      </c>
      <c r="P1035" s="17">
        <v>510</v>
      </c>
      <c r="Q1035" s="175">
        <f t="shared" si="60"/>
        <v>3.4373</v>
      </c>
      <c r="R1035" s="199">
        <v>1.39</v>
      </c>
      <c r="T1035" s="149"/>
      <c r="U1035" s="149">
        <v>1.7</v>
      </c>
      <c r="V1035" s="149">
        <v>0.25</v>
      </c>
      <c r="W1035" s="149">
        <f t="shared" si="63"/>
        <v>1.39</v>
      </c>
      <c r="X1035" s="152">
        <f t="shared" si="62"/>
        <v>9.7299999999999998E-2</v>
      </c>
      <c r="Y1035" s="150">
        <f t="shared" si="61"/>
        <v>1.01</v>
      </c>
      <c r="Z1035" s="152"/>
      <c r="AC1035" s="154"/>
      <c r="AD1035" s="154"/>
      <c r="AE1035" s="154"/>
      <c r="AF1035" s="154"/>
    </row>
    <row r="1036" spans="1:32" x14ac:dyDescent="0.25">
      <c r="A1036" s="196">
        <v>680</v>
      </c>
      <c r="B1036" s="182" t="s">
        <v>5785</v>
      </c>
      <c r="C1036" s="196" t="s">
        <v>5784</v>
      </c>
      <c r="D1036" s="196" t="s">
        <v>2679</v>
      </c>
      <c r="F1036" s="196">
        <v>1996</v>
      </c>
      <c r="H1036" s="196" t="s">
        <v>1878</v>
      </c>
      <c r="I1036" s="184" t="s">
        <v>1879</v>
      </c>
      <c r="J1036" s="182" t="s">
        <v>3202</v>
      </c>
      <c r="K1036" s="196" t="s">
        <v>1881</v>
      </c>
      <c r="L1036" s="184" t="s">
        <v>5786</v>
      </c>
      <c r="M1036" s="196">
        <v>132</v>
      </c>
      <c r="O1036" s="196" t="s">
        <v>5159</v>
      </c>
      <c r="P1036" s="17">
        <v>383</v>
      </c>
      <c r="Q1036" s="175">
        <f t="shared" si="60"/>
        <v>2.6162999999999998</v>
      </c>
      <c r="R1036" s="199">
        <v>1.0900000000000001</v>
      </c>
      <c r="T1036" s="149"/>
      <c r="U1036" s="149">
        <v>1.2</v>
      </c>
      <c r="V1036" s="151">
        <v>0.25</v>
      </c>
      <c r="W1036" s="149">
        <f t="shared" si="63"/>
        <v>1.0900000000000001</v>
      </c>
      <c r="X1036" s="152">
        <f t="shared" si="62"/>
        <v>7.6300000000000007E-2</v>
      </c>
      <c r="Y1036" s="150">
        <f t="shared" si="61"/>
        <v>1.01</v>
      </c>
      <c r="Z1036" s="152"/>
      <c r="AC1036" s="154"/>
      <c r="AD1036" s="154"/>
      <c r="AE1036" s="154"/>
      <c r="AF1036" s="154"/>
    </row>
    <row r="1037" spans="1:32" x14ac:dyDescent="0.25">
      <c r="A1037" s="196">
        <v>680</v>
      </c>
      <c r="B1037" s="182" t="s">
        <v>5785</v>
      </c>
      <c r="C1037" s="196" t="s">
        <v>5787</v>
      </c>
      <c r="D1037" s="196" t="s">
        <v>2679</v>
      </c>
      <c r="H1037" s="196" t="s">
        <v>1878</v>
      </c>
      <c r="I1037" s="184" t="s">
        <v>1879</v>
      </c>
      <c r="J1037" s="182" t="s">
        <v>3202</v>
      </c>
      <c r="K1037" s="196" t="s">
        <v>1881</v>
      </c>
      <c r="L1037" s="184" t="s">
        <v>5788</v>
      </c>
      <c r="M1037" s="196">
        <v>132</v>
      </c>
      <c r="O1037" s="196" t="s">
        <v>5160</v>
      </c>
      <c r="P1037" s="17">
        <v>380</v>
      </c>
      <c r="Q1037" s="175">
        <f t="shared" si="60"/>
        <v>2.5093000000000001</v>
      </c>
      <c r="R1037" s="199">
        <v>0.99</v>
      </c>
      <c r="T1037" s="149"/>
      <c r="U1037" s="149">
        <v>1.2</v>
      </c>
      <c r="V1037" s="149">
        <v>0.25</v>
      </c>
      <c r="W1037" s="149">
        <f t="shared" si="63"/>
        <v>0.99</v>
      </c>
      <c r="X1037" s="152">
        <f t="shared" si="62"/>
        <v>6.93E-2</v>
      </c>
      <c r="Y1037" s="150">
        <f t="shared" si="61"/>
        <v>1.01</v>
      </c>
      <c r="Z1037" s="152"/>
      <c r="AC1037" s="154"/>
      <c r="AD1037" s="154"/>
      <c r="AE1037" s="154"/>
      <c r="AF1037" s="154"/>
    </row>
    <row r="1038" spans="1:32" x14ac:dyDescent="0.25">
      <c r="A1038" s="196">
        <v>680</v>
      </c>
      <c r="B1038" s="182" t="s">
        <v>5785</v>
      </c>
      <c r="C1038" s="196" t="s">
        <v>5789</v>
      </c>
      <c r="D1038" s="196" t="s">
        <v>5790</v>
      </c>
      <c r="H1038" s="196" t="s">
        <v>1878</v>
      </c>
      <c r="I1038" s="184" t="s">
        <v>1879</v>
      </c>
      <c r="J1038" s="182" t="s">
        <v>3202</v>
      </c>
      <c r="K1038" s="196" t="s">
        <v>1881</v>
      </c>
      <c r="L1038" s="184" t="s">
        <v>5791</v>
      </c>
      <c r="M1038" s="196">
        <v>132</v>
      </c>
      <c r="O1038" s="196" t="s">
        <v>5161</v>
      </c>
      <c r="P1038" s="17">
        <v>375</v>
      </c>
      <c r="Q1038" s="175">
        <f t="shared" si="60"/>
        <v>2.6162999999999998</v>
      </c>
      <c r="R1038" s="199">
        <v>1.0900000000000001</v>
      </c>
      <c r="T1038" s="149"/>
      <c r="U1038" s="149">
        <v>1.2</v>
      </c>
      <c r="V1038" s="151">
        <v>0.25</v>
      </c>
      <c r="W1038" s="149">
        <f t="shared" si="63"/>
        <v>1.0900000000000001</v>
      </c>
      <c r="X1038" s="152">
        <f t="shared" si="62"/>
        <v>7.6300000000000007E-2</v>
      </c>
      <c r="Y1038" s="150">
        <f t="shared" si="61"/>
        <v>1.01</v>
      </c>
      <c r="Z1038" s="152"/>
      <c r="AC1038" s="154"/>
      <c r="AD1038" s="154"/>
      <c r="AE1038" s="154"/>
      <c r="AF1038" s="154"/>
    </row>
    <row r="1039" spans="1:32" x14ac:dyDescent="0.25">
      <c r="A1039" s="196">
        <v>1339</v>
      </c>
      <c r="C1039" s="196" t="s">
        <v>5792</v>
      </c>
      <c r="D1039" s="196" t="s">
        <v>4693</v>
      </c>
      <c r="F1039" s="196">
        <v>2006</v>
      </c>
      <c r="H1039" s="196" t="s">
        <v>1878</v>
      </c>
      <c r="I1039" s="184" t="s">
        <v>1879</v>
      </c>
      <c r="J1039" s="196" t="s">
        <v>2237</v>
      </c>
      <c r="K1039" s="196" t="s">
        <v>1881</v>
      </c>
      <c r="L1039" s="184" t="s">
        <v>5793</v>
      </c>
      <c r="M1039" s="196">
        <v>192</v>
      </c>
      <c r="O1039" s="196" t="s">
        <v>5162</v>
      </c>
      <c r="P1039" s="17">
        <v>570</v>
      </c>
      <c r="Q1039" s="175">
        <f t="shared" si="60"/>
        <v>2.7953000000000001</v>
      </c>
      <c r="R1039" s="199">
        <v>0.79</v>
      </c>
      <c r="T1039" s="149"/>
      <c r="U1039" s="149">
        <v>1.7</v>
      </c>
      <c r="V1039" s="149">
        <v>0.25</v>
      </c>
      <c r="W1039" s="149">
        <f t="shared" si="63"/>
        <v>0.79</v>
      </c>
      <c r="X1039" s="152">
        <f t="shared" si="62"/>
        <v>5.5300000000000002E-2</v>
      </c>
      <c r="Y1039" s="150">
        <f t="shared" si="61"/>
        <v>1.01</v>
      </c>
      <c r="Z1039" s="152"/>
      <c r="AC1039" s="154"/>
      <c r="AD1039" s="154"/>
      <c r="AE1039" s="154"/>
      <c r="AF1039" s="154"/>
    </row>
    <row r="1040" spans="1:32" x14ac:dyDescent="0.25">
      <c r="A1040" s="196">
        <v>323</v>
      </c>
      <c r="B1040" s="196" t="s">
        <v>5794</v>
      </c>
      <c r="C1040" s="196" t="s">
        <v>5795</v>
      </c>
      <c r="D1040" s="196" t="s">
        <v>5701</v>
      </c>
      <c r="E1040" s="196" t="s">
        <v>1877</v>
      </c>
      <c r="H1040" s="196" t="s">
        <v>2734</v>
      </c>
      <c r="I1040" s="184" t="s">
        <v>1879</v>
      </c>
      <c r="J1040" s="196" t="s">
        <v>5796</v>
      </c>
      <c r="K1040" s="196" t="s">
        <v>1881</v>
      </c>
      <c r="L1040" s="184" t="s">
        <v>5797</v>
      </c>
      <c r="M1040" s="196">
        <v>298</v>
      </c>
      <c r="O1040" s="196" t="s">
        <v>5163</v>
      </c>
      <c r="P1040" s="17">
        <v>789</v>
      </c>
      <c r="Q1040" s="175">
        <f t="shared" si="60"/>
        <v>2.4742999999999999</v>
      </c>
      <c r="R1040" s="199">
        <v>0.49</v>
      </c>
      <c r="T1040" s="149"/>
      <c r="U1040" s="149">
        <v>1.7</v>
      </c>
      <c r="V1040" s="151">
        <v>0.25</v>
      </c>
      <c r="W1040" s="149">
        <f t="shared" si="63"/>
        <v>0.49</v>
      </c>
      <c r="X1040" s="152">
        <f t="shared" si="62"/>
        <v>3.4299999999999997E-2</v>
      </c>
      <c r="Y1040" s="150">
        <f t="shared" si="61"/>
        <v>1.01</v>
      </c>
      <c r="Z1040" s="152"/>
      <c r="AC1040" s="154"/>
      <c r="AD1040" s="154"/>
      <c r="AE1040" s="154"/>
      <c r="AF1040" s="154"/>
    </row>
    <row r="1041" spans="1:32" x14ac:dyDescent="0.25">
      <c r="A1041" s="196">
        <v>634</v>
      </c>
      <c r="B1041" s="196" t="s">
        <v>5798</v>
      </c>
      <c r="C1041" s="196" t="s">
        <v>5799</v>
      </c>
      <c r="D1041" s="196" t="s">
        <v>1912</v>
      </c>
      <c r="F1041" s="182">
        <v>1993</v>
      </c>
      <c r="H1041" s="196" t="s">
        <v>1878</v>
      </c>
      <c r="I1041" s="184" t="s">
        <v>1914</v>
      </c>
      <c r="K1041" s="196" t="s">
        <v>1881</v>
      </c>
      <c r="L1041" s="184" t="s">
        <v>5800</v>
      </c>
      <c r="M1041" s="196">
        <v>480</v>
      </c>
      <c r="O1041" s="196" t="s">
        <v>5164</v>
      </c>
      <c r="P1041" s="17">
        <v>475</v>
      </c>
      <c r="Q1041" s="175">
        <f t="shared" si="60"/>
        <v>2.2953000000000001</v>
      </c>
      <c r="R1041" s="199">
        <v>0.79</v>
      </c>
      <c r="T1041" s="149"/>
      <c r="U1041" s="149">
        <v>1.2</v>
      </c>
      <c r="V1041" s="149">
        <v>0.25</v>
      </c>
      <c r="W1041" s="149">
        <f t="shared" si="63"/>
        <v>0.79</v>
      </c>
      <c r="X1041" s="152">
        <f t="shared" si="62"/>
        <v>5.5300000000000002E-2</v>
      </c>
      <c r="Y1041" s="150">
        <f t="shared" si="61"/>
        <v>1.01</v>
      </c>
      <c r="Z1041" s="152"/>
      <c r="AC1041" s="154"/>
      <c r="AD1041" s="154"/>
      <c r="AE1041" s="154"/>
      <c r="AF1041" s="154"/>
    </row>
    <row r="1042" spans="1:32" x14ac:dyDescent="0.25">
      <c r="A1042" s="196">
        <v>3</v>
      </c>
      <c r="B1042" s="196" t="s">
        <v>5803</v>
      </c>
      <c r="C1042" s="196" t="s">
        <v>5804</v>
      </c>
      <c r="D1042" s="196" t="s">
        <v>5805</v>
      </c>
      <c r="E1042" s="196" t="s">
        <v>1913</v>
      </c>
      <c r="F1042" s="196">
        <v>1986</v>
      </c>
      <c r="H1042" s="196" t="s">
        <v>1878</v>
      </c>
      <c r="I1042" s="184" t="s">
        <v>1879</v>
      </c>
      <c r="K1042" s="196" t="s">
        <v>1881</v>
      </c>
      <c r="L1042" s="184" t="s">
        <v>5806</v>
      </c>
      <c r="M1042" s="196">
        <v>292</v>
      </c>
      <c r="O1042" s="196" t="s">
        <v>5166</v>
      </c>
      <c r="P1042" s="17">
        <v>402</v>
      </c>
      <c r="Q1042" s="175">
        <f t="shared" si="60"/>
        <v>2.7232999999999996</v>
      </c>
      <c r="R1042" s="199">
        <v>1.19</v>
      </c>
      <c r="T1042" s="149"/>
      <c r="U1042" s="149">
        <v>1.2</v>
      </c>
      <c r="V1042" s="151">
        <v>0.25</v>
      </c>
      <c r="W1042" s="149">
        <f t="shared" si="63"/>
        <v>1.19</v>
      </c>
      <c r="X1042" s="152">
        <f t="shared" si="62"/>
        <v>8.3299999999999999E-2</v>
      </c>
      <c r="Y1042" s="150">
        <f t="shared" si="61"/>
        <v>1.01</v>
      </c>
      <c r="Z1042" s="152"/>
      <c r="AC1042" s="154"/>
      <c r="AD1042" s="154"/>
      <c r="AE1042" s="154"/>
      <c r="AF1042" s="154"/>
    </row>
    <row r="1043" spans="1:32" x14ac:dyDescent="0.25">
      <c r="A1043" s="196">
        <v>632</v>
      </c>
      <c r="B1043" s="196" t="s">
        <v>5807</v>
      </c>
      <c r="C1043" s="196" t="s">
        <v>5808</v>
      </c>
      <c r="D1043" s="196" t="s">
        <v>2036</v>
      </c>
      <c r="F1043" s="196">
        <v>2000</v>
      </c>
      <c r="H1043" s="196" t="s">
        <v>2734</v>
      </c>
      <c r="I1043" s="184" t="s">
        <v>1879</v>
      </c>
      <c r="K1043" s="196" t="s">
        <v>1881</v>
      </c>
      <c r="L1043" s="184" t="s">
        <v>5809</v>
      </c>
      <c r="M1043" s="196">
        <v>466</v>
      </c>
      <c r="O1043" s="196" t="s">
        <v>5167</v>
      </c>
      <c r="P1043" s="17">
        <v>661</v>
      </c>
      <c r="Q1043" s="175">
        <f t="shared" si="60"/>
        <v>2.6882999999999995</v>
      </c>
      <c r="R1043" s="199">
        <v>0.69</v>
      </c>
      <c r="T1043" s="149"/>
      <c r="U1043" s="149">
        <v>1.7</v>
      </c>
      <c r="V1043" s="149">
        <v>0.25</v>
      </c>
      <c r="W1043" s="149">
        <f t="shared" si="63"/>
        <v>0.69</v>
      </c>
      <c r="X1043" s="152">
        <f t="shared" si="62"/>
        <v>4.8299999999999996E-2</v>
      </c>
      <c r="Y1043" s="150">
        <f t="shared" si="61"/>
        <v>1.01</v>
      </c>
      <c r="Z1043" s="152"/>
      <c r="AC1043" s="154"/>
      <c r="AD1043" s="154"/>
      <c r="AE1043" s="154"/>
      <c r="AF1043" s="154"/>
    </row>
    <row r="1044" spans="1:32" x14ac:dyDescent="0.25">
      <c r="A1044" s="196">
        <v>765</v>
      </c>
      <c r="B1044" s="196" t="s">
        <v>5810</v>
      </c>
      <c r="C1044" s="196" t="s">
        <v>5811</v>
      </c>
      <c r="D1044" s="196" t="s">
        <v>2209</v>
      </c>
      <c r="F1044" s="196">
        <v>2009</v>
      </c>
      <c r="H1044" s="196" t="s">
        <v>1878</v>
      </c>
      <c r="I1044" s="184" t="s">
        <v>1929</v>
      </c>
      <c r="K1044" s="196" t="s">
        <v>1881</v>
      </c>
      <c r="L1044" s="184" t="s">
        <v>5812</v>
      </c>
      <c r="M1044" s="196">
        <v>192</v>
      </c>
      <c r="O1044" s="196" t="s">
        <v>5168</v>
      </c>
      <c r="P1044" s="17">
        <v>264</v>
      </c>
      <c r="Q1044" s="175">
        <f t="shared" si="60"/>
        <v>2.5093000000000001</v>
      </c>
      <c r="R1044" s="199">
        <v>0.99</v>
      </c>
      <c r="T1044" s="149"/>
      <c r="U1044" s="149">
        <v>1.2</v>
      </c>
      <c r="V1044" s="151">
        <v>0.25</v>
      </c>
      <c r="W1044" s="149">
        <f t="shared" si="63"/>
        <v>0.99</v>
      </c>
      <c r="X1044" s="152">
        <f t="shared" si="62"/>
        <v>6.93E-2</v>
      </c>
      <c r="Y1044" s="150">
        <f t="shared" si="61"/>
        <v>1.01</v>
      </c>
      <c r="Z1044" s="152"/>
      <c r="AC1044" s="154"/>
      <c r="AD1044" s="154"/>
      <c r="AE1044" s="154"/>
      <c r="AF1044" s="154"/>
    </row>
    <row r="1045" spans="1:32" x14ac:dyDescent="0.25">
      <c r="A1045" s="196">
        <v>2514</v>
      </c>
      <c r="B1045" s="196" t="s">
        <v>4479</v>
      </c>
      <c r="C1045" s="196" t="s">
        <v>5813</v>
      </c>
      <c r="D1045" s="196" t="s">
        <v>1912</v>
      </c>
      <c r="F1045" s="196">
        <v>1997</v>
      </c>
      <c r="H1045" s="196" t="s">
        <v>1878</v>
      </c>
      <c r="I1045" s="184" t="s">
        <v>1879</v>
      </c>
      <c r="K1045" s="196" t="s">
        <v>1881</v>
      </c>
      <c r="L1045" s="184" t="s">
        <v>5814</v>
      </c>
      <c r="M1045" s="196">
        <v>416</v>
      </c>
      <c r="O1045" s="196" t="s">
        <v>5169</v>
      </c>
      <c r="P1045" s="17">
        <v>367</v>
      </c>
      <c r="Q1045" s="175">
        <f t="shared" si="60"/>
        <v>1.9742999999999999</v>
      </c>
      <c r="R1045" s="199">
        <v>0.49</v>
      </c>
      <c r="T1045" s="149"/>
      <c r="U1045" s="149">
        <v>1.2</v>
      </c>
      <c r="V1045" s="149">
        <v>0.25</v>
      </c>
      <c r="W1045" s="149">
        <f t="shared" si="63"/>
        <v>0.49</v>
      </c>
      <c r="X1045" s="152">
        <f t="shared" si="62"/>
        <v>3.4299999999999997E-2</v>
      </c>
      <c r="Y1045" s="150">
        <f t="shared" si="61"/>
        <v>1.01</v>
      </c>
      <c r="Z1045" s="152"/>
      <c r="AC1045" s="154"/>
      <c r="AD1045" s="154"/>
      <c r="AE1045" s="154"/>
      <c r="AF1045" s="154"/>
    </row>
    <row r="1046" spans="1:32" x14ac:dyDescent="0.25">
      <c r="A1046" s="196">
        <v>319</v>
      </c>
      <c r="C1046" s="196" t="s">
        <v>5815</v>
      </c>
      <c r="D1046" s="196" t="s">
        <v>5816</v>
      </c>
      <c r="E1046" s="182" t="s">
        <v>1899</v>
      </c>
      <c r="F1046" s="196">
        <v>2011</v>
      </c>
      <c r="H1046" s="196" t="s">
        <v>1878</v>
      </c>
      <c r="I1046" s="184" t="s">
        <v>1879</v>
      </c>
      <c r="J1046" s="196" t="s">
        <v>2237</v>
      </c>
      <c r="K1046" s="196" t="s">
        <v>1881</v>
      </c>
      <c r="M1046" s="196">
        <v>256</v>
      </c>
      <c r="O1046" s="196" t="s">
        <v>5170</v>
      </c>
      <c r="P1046" s="17">
        <v>625</v>
      </c>
      <c r="Q1046" s="175">
        <f t="shared" si="60"/>
        <v>5.1493000000000002</v>
      </c>
      <c r="R1046" s="199">
        <v>2.99</v>
      </c>
      <c r="T1046" s="149"/>
      <c r="U1046" s="149">
        <v>1.7</v>
      </c>
      <c r="V1046" s="151">
        <v>0.25</v>
      </c>
      <c r="W1046" s="149">
        <f t="shared" si="63"/>
        <v>2.99</v>
      </c>
      <c r="X1046" s="152">
        <f t="shared" si="62"/>
        <v>0.20930000000000001</v>
      </c>
      <c r="Y1046" s="150">
        <f t="shared" si="61"/>
        <v>1.01</v>
      </c>
      <c r="Z1046" s="152"/>
      <c r="AC1046" s="154"/>
      <c r="AD1046" s="154"/>
      <c r="AE1046" s="154"/>
      <c r="AF1046" s="154"/>
    </row>
    <row r="1047" spans="1:32" x14ac:dyDescent="0.25">
      <c r="A1047" s="196">
        <v>2518</v>
      </c>
      <c r="B1047" s="196" t="s">
        <v>5817</v>
      </c>
      <c r="C1047" s="196" t="s">
        <v>5818</v>
      </c>
      <c r="D1047" s="196" t="s">
        <v>2300</v>
      </c>
      <c r="E1047" s="196" t="s">
        <v>1877</v>
      </c>
      <c r="F1047" s="196">
        <v>2011</v>
      </c>
      <c r="H1047" s="196" t="s">
        <v>1878</v>
      </c>
      <c r="I1047" s="184" t="s">
        <v>1879</v>
      </c>
      <c r="J1047" s="196" t="s">
        <v>2237</v>
      </c>
      <c r="K1047" s="196" t="s">
        <v>1881</v>
      </c>
      <c r="L1047" s="184" t="s">
        <v>5819</v>
      </c>
      <c r="M1047" s="196">
        <v>288</v>
      </c>
      <c r="O1047" s="196" t="s">
        <v>5171</v>
      </c>
      <c r="P1047" s="17">
        <v>403</v>
      </c>
      <c r="Q1047" s="175">
        <f t="shared" si="60"/>
        <v>2.5093000000000001</v>
      </c>
      <c r="R1047" s="199">
        <v>0.99</v>
      </c>
      <c r="T1047" s="149"/>
      <c r="U1047" s="149">
        <v>1.2</v>
      </c>
      <c r="V1047" s="149">
        <v>0.25</v>
      </c>
      <c r="W1047" s="149">
        <f t="shared" si="63"/>
        <v>0.99</v>
      </c>
      <c r="X1047" s="152">
        <f t="shared" si="62"/>
        <v>6.93E-2</v>
      </c>
      <c r="Y1047" s="150">
        <f t="shared" si="61"/>
        <v>1.01</v>
      </c>
      <c r="Z1047" s="152"/>
      <c r="AC1047" s="154"/>
      <c r="AD1047" s="154"/>
      <c r="AE1047" s="154"/>
      <c r="AF1047" s="154"/>
    </row>
    <row r="1048" spans="1:32" x14ac:dyDescent="0.25">
      <c r="A1048" s="196">
        <v>2649</v>
      </c>
      <c r="B1048" s="196" t="s">
        <v>3667</v>
      </c>
      <c r="C1048" s="196" t="s">
        <v>5820</v>
      </c>
      <c r="D1048" s="196" t="s">
        <v>2103</v>
      </c>
      <c r="F1048" s="196">
        <v>2012</v>
      </c>
      <c r="H1048" s="196" t="s">
        <v>1878</v>
      </c>
      <c r="I1048" s="184" t="s">
        <v>1879</v>
      </c>
      <c r="J1048" s="196" t="s">
        <v>2237</v>
      </c>
      <c r="K1048" s="196" t="s">
        <v>1881</v>
      </c>
      <c r="L1048" s="184" t="s">
        <v>3650</v>
      </c>
      <c r="M1048" s="196">
        <v>146</v>
      </c>
      <c r="O1048" s="196" t="s">
        <v>5172</v>
      </c>
      <c r="P1048" s="17">
        <v>93</v>
      </c>
      <c r="Q1048" s="175">
        <f t="shared" si="60"/>
        <v>2.7232999999999996</v>
      </c>
      <c r="R1048" s="199">
        <v>1.19</v>
      </c>
      <c r="T1048" s="149"/>
      <c r="U1048" s="149">
        <v>1.2</v>
      </c>
      <c r="V1048" s="151">
        <v>0.25</v>
      </c>
      <c r="W1048" s="149">
        <f t="shared" si="63"/>
        <v>1.19</v>
      </c>
      <c r="X1048" s="152">
        <f t="shared" si="62"/>
        <v>8.3299999999999999E-2</v>
      </c>
      <c r="Y1048" s="150">
        <f t="shared" si="61"/>
        <v>1.01</v>
      </c>
      <c r="Z1048" s="152"/>
      <c r="AC1048" s="154"/>
      <c r="AD1048" s="154"/>
      <c r="AE1048" s="154"/>
      <c r="AF1048" s="154"/>
    </row>
    <row r="1049" spans="1:32" x14ac:dyDescent="0.25">
      <c r="A1049" s="196">
        <v>2906</v>
      </c>
      <c r="C1049" s="196" t="s">
        <v>5821</v>
      </c>
      <c r="D1049" s="196" t="s">
        <v>4930</v>
      </c>
      <c r="F1049" s="196">
        <v>2013</v>
      </c>
      <c r="H1049" s="196" t="s">
        <v>5112</v>
      </c>
      <c r="I1049" s="184" t="s">
        <v>1879</v>
      </c>
      <c r="J1049" s="196" t="s">
        <v>2237</v>
      </c>
      <c r="K1049" s="196" t="s">
        <v>1881</v>
      </c>
      <c r="M1049" s="196">
        <v>160</v>
      </c>
      <c r="O1049" s="196" t="s">
        <v>5173</v>
      </c>
      <c r="P1049" s="17">
        <v>415</v>
      </c>
      <c r="Q1049" s="175">
        <f t="shared" si="60"/>
        <v>1.9742999999999999</v>
      </c>
      <c r="R1049" s="199">
        <v>0.49</v>
      </c>
      <c r="T1049" s="149"/>
      <c r="U1049" s="149">
        <v>1.2</v>
      </c>
      <c r="V1049" s="149">
        <v>0.25</v>
      </c>
      <c r="W1049" s="149">
        <f t="shared" si="63"/>
        <v>0.49</v>
      </c>
      <c r="X1049" s="152">
        <f t="shared" si="62"/>
        <v>3.4299999999999997E-2</v>
      </c>
      <c r="Y1049" s="150">
        <f t="shared" si="61"/>
        <v>1.01</v>
      </c>
      <c r="Z1049" s="152"/>
      <c r="AC1049" s="154"/>
      <c r="AD1049" s="154"/>
      <c r="AE1049" s="154"/>
      <c r="AF1049" s="154"/>
    </row>
    <row r="1050" spans="1:32" x14ac:dyDescent="0.25">
      <c r="A1050" s="196">
        <v>765</v>
      </c>
      <c r="B1050" s="196" t="s">
        <v>5822</v>
      </c>
      <c r="C1050" s="196" t="s">
        <v>5823</v>
      </c>
      <c r="D1050" s="196" t="s">
        <v>2257</v>
      </c>
      <c r="F1050" s="196">
        <v>2005</v>
      </c>
      <c r="H1050" s="196" t="s">
        <v>1878</v>
      </c>
      <c r="I1050" s="184" t="s">
        <v>1879</v>
      </c>
      <c r="J1050" s="196" t="s">
        <v>3202</v>
      </c>
      <c r="K1050" s="196" t="s">
        <v>1881</v>
      </c>
      <c r="L1050" s="184" t="s">
        <v>5824</v>
      </c>
      <c r="M1050" s="196">
        <v>176</v>
      </c>
      <c r="O1050" s="196" t="s">
        <v>5174</v>
      </c>
      <c r="P1050" s="17">
        <v>143</v>
      </c>
      <c r="Q1050" s="175">
        <f t="shared" si="60"/>
        <v>3.4722999999999997</v>
      </c>
      <c r="R1050" s="199">
        <v>1.89</v>
      </c>
      <c r="T1050" s="149"/>
      <c r="U1050" s="149">
        <v>1.2</v>
      </c>
      <c r="V1050" s="151">
        <v>0.25</v>
      </c>
      <c r="W1050" s="149">
        <f t="shared" si="63"/>
        <v>1.89</v>
      </c>
      <c r="X1050" s="152">
        <f t="shared" si="62"/>
        <v>0.1323</v>
      </c>
      <c r="Y1050" s="150">
        <f t="shared" si="61"/>
        <v>1.01</v>
      </c>
      <c r="Z1050" s="152"/>
      <c r="AC1050" s="154"/>
      <c r="AD1050" s="154"/>
      <c r="AE1050" s="154"/>
      <c r="AF1050" s="154"/>
    </row>
    <row r="1051" spans="1:32" x14ac:dyDescent="0.25">
      <c r="A1051" s="196">
        <v>1386</v>
      </c>
      <c r="B1051" s="196" t="s">
        <v>5825</v>
      </c>
      <c r="C1051" s="196" t="s">
        <v>5826</v>
      </c>
      <c r="D1051" s="196" t="s">
        <v>5005</v>
      </c>
      <c r="F1051" s="196">
        <v>2002</v>
      </c>
      <c r="H1051" s="196" t="s">
        <v>1878</v>
      </c>
      <c r="I1051" s="184" t="s">
        <v>1879</v>
      </c>
      <c r="K1051" s="196" t="s">
        <v>1881</v>
      </c>
      <c r="M1051" s="196">
        <v>448</v>
      </c>
      <c r="O1051" s="196" t="s">
        <v>5175</v>
      </c>
      <c r="P1051" s="17">
        <v>323</v>
      </c>
      <c r="Q1051" s="175">
        <f t="shared" si="60"/>
        <v>1.9742999999999999</v>
      </c>
      <c r="R1051" s="199">
        <v>0.49</v>
      </c>
      <c r="T1051" s="149"/>
      <c r="U1051" s="149">
        <v>1.2</v>
      </c>
      <c r="V1051" s="149">
        <v>0.25</v>
      </c>
      <c r="W1051" s="149">
        <f t="shared" si="63"/>
        <v>0.49</v>
      </c>
      <c r="X1051" s="152">
        <f t="shared" si="62"/>
        <v>3.4299999999999997E-2</v>
      </c>
      <c r="Y1051" s="150">
        <f t="shared" si="61"/>
        <v>1.01</v>
      </c>
      <c r="Z1051" s="152"/>
      <c r="AC1051" s="154"/>
      <c r="AD1051" s="154"/>
      <c r="AE1051" s="154"/>
      <c r="AF1051" s="154"/>
    </row>
    <row r="1052" spans="1:32" x14ac:dyDescent="0.25">
      <c r="A1052" s="196">
        <v>8</v>
      </c>
      <c r="B1052" s="196" t="s">
        <v>5827</v>
      </c>
      <c r="C1052" s="196" t="s">
        <v>5828</v>
      </c>
      <c r="D1052" s="196" t="s">
        <v>1998</v>
      </c>
      <c r="E1052" s="196" t="s">
        <v>2175</v>
      </c>
      <c r="F1052" s="196">
        <v>2005</v>
      </c>
      <c r="H1052" s="196" t="s">
        <v>2734</v>
      </c>
      <c r="I1052" s="184" t="s">
        <v>1879</v>
      </c>
      <c r="J1052" s="196" t="s">
        <v>3202</v>
      </c>
      <c r="K1052" s="196" t="s">
        <v>1881</v>
      </c>
      <c r="L1052" s="184" t="s">
        <v>5829</v>
      </c>
      <c r="M1052" s="196">
        <v>354</v>
      </c>
      <c r="O1052" s="196" t="s">
        <v>5176</v>
      </c>
      <c r="P1052" s="17">
        <v>455</v>
      </c>
      <c r="Q1052" s="175">
        <f t="shared" si="60"/>
        <v>2.5093000000000001</v>
      </c>
      <c r="R1052" s="199">
        <v>0.99</v>
      </c>
      <c r="T1052" s="149"/>
      <c r="U1052" s="149">
        <v>1.2</v>
      </c>
      <c r="V1052" s="151">
        <v>0.25</v>
      </c>
      <c r="W1052" s="149">
        <f t="shared" si="63"/>
        <v>0.99</v>
      </c>
      <c r="X1052" s="152">
        <f t="shared" si="62"/>
        <v>6.93E-2</v>
      </c>
      <c r="Y1052" s="150">
        <f t="shared" si="61"/>
        <v>1.01</v>
      </c>
      <c r="Z1052" s="152"/>
      <c r="AC1052" s="154"/>
      <c r="AD1052" s="154"/>
      <c r="AE1052" s="154"/>
      <c r="AF1052" s="154"/>
    </row>
    <row r="1053" spans="1:32" x14ac:dyDescent="0.25">
      <c r="A1053" s="196">
        <v>1325</v>
      </c>
      <c r="B1053" s="196" t="s">
        <v>5830</v>
      </c>
      <c r="C1053" s="196" t="s">
        <v>5831</v>
      </c>
      <c r="D1053" s="196" t="s">
        <v>5832</v>
      </c>
      <c r="E1053" s="196" t="s">
        <v>1913</v>
      </c>
      <c r="F1053" s="196">
        <v>2006</v>
      </c>
      <c r="H1053" s="196" t="s">
        <v>2734</v>
      </c>
      <c r="I1053" s="184" t="s">
        <v>1929</v>
      </c>
      <c r="K1053" s="196" t="s">
        <v>1881</v>
      </c>
      <c r="L1053" s="184" t="s">
        <v>5833</v>
      </c>
      <c r="M1053" s="196">
        <v>122</v>
      </c>
      <c r="O1053" s="196" t="s">
        <v>5177</v>
      </c>
      <c r="P1053" s="17">
        <v>287</v>
      </c>
      <c r="Q1053" s="175">
        <f t="shared" si="60"/>
        <v>3.5792999999999999</v>
      </c>
      <c r="R1053" s="199">
        <v>1.99</v>
      </c>
      <c r="T1053" s="149"/>
      <c r="U1053" s="149">
        <v>1.2</v>
      </c>
      <c r="V1053" s="149">
        <v>0.25</v>
      </c>
      <c r="W1053" s="149">
        <f t="shared" si="63"/>
        <v>1.99</v>
      </c>
      <c r="X1053" s="152">
        <f t="shared" si="62"/>
        <v>0.13930000000000001</v>
      </c>
      <c r="Y1053" s="150">
        <f t="shared" si="61"/>
        <v>1.01</v>
      </c>
      <c r="Z1053" s="152"/>
      <c r="AC1053" s="154"/>
      <c r="AD1053" s="154"/>
      <c r="AE1053" s="154"/>
      <c r="AF1053" s="154"/>
    </row>
    <row r="1054" spans="1:32" x14ac:dyDescent="0.25">
      <c r="A1054" s="196">
        <v>692</v>
      </c>
      <c r="B1054" s="196" t="s">
        <v>3517</v>
      </c>
      <c r="C1054" s="196" t="s">
        <v>5834</v>
      </c>
      <c r="D1054" s="196" t="s">
        <v>2644</v>
      </c>
      <c r="E1054" s="196"/>
      <c r="F1054" s="196">
        <v>2001</v>
      </c>
      <c r="H1054" s="196" t="s">
        <v>2734</v>
      </c>
      <c r="I1054" s="184" t="s">
        <v>1879</v>
      </c>
      <c r="K1054" s="196" t="s">
        <v>1881</v>
      </c>
      <c r="L1054" s="184" t="s">
        <v>5835</v>
      </c>
      <c r="M1054" s="196">
        <v>274</v>
      </c>
      <c r="O1054" s="196" t="s">
        <v>5178</v>
      </c>
      <c r="P1054" s="17">
        <v>294</v>
      </c>
      <c r="Q1054" s="175">
        <f t="shared" si="60"/>
        <v>2.5093000000000001</v>
      </c>
      <c r="R1054" s="199">
        <v>0.99</v>
      </c>
      <c r="T1054" s="149"/>
      <c r="U1054" s="149">
        <v>1.2</v>
      </c>
      <c r="V1054" s="151">
        <v>0.25</v>
      </c>
      <c r="W1054" s="149">
        <f t="shared" si="63"/>
        <v>0.99</v>
      </c>
      <c r="X1054" s="152">
        <f t="shared" si="62"/>
        <v>6.93E-2</v>
      </c>
      <c r="Y1054" s="150">
        <f t="shared" si="61"/>
        <v>1.01</v>
      </c>
      <c r="Z1054" s="152"/>
      <c r="AC1054" s="154"/>
      <c r="AD1054" s="154"/>
      <c r="AE1054" s="154"/>
      <c r="AF1054" s="154"/>
    </row>
    <row r="1055" spans="1:32" x14ac:dyDescent="0.25">
      <c r="A1055" s="196">
        <v>8</v>
      </c>
      <c r="B1055" s="196" t="s">
        <v>5836</v>
      </c>
      <c r="C1055" s="196" t="s">
        <v>5837</v>
      </c>
      <c r="D1055" s="196" t="s">
        <v>5838</v>
      </c>
      <c r="F1055" s="196">
        <v>2006</v>
      </c>
      <c r="H1055" s="196" t="s">
        <v>1878</v>
      </c>
      <c r="I1055" s="184" t="s">
        <v>1879</v>
      </c>
      <c r="K1055" s="196" t="s">
        <v>1881</v>
      </c>
      <c r="L1055" s="184" t="s">
        <v>5839</v>
      </c>
      <c r="M1055" s="196">
        <v>144</v>
      </c>
      <c r="O1055" s="196" t="s">
        <v>5179</v>
      </c>
      <c r="P1055" s="17">
        <v>126</v>
      </c>
      <c r="Q1055" s="175">
        <f t="shared" si="60"/>
        <v>5.1843000000000004</v>
      </c>
      <c r="R1055" s="199">
        <v>3.49</v>
      </c>
      <c r="T1055" s="149"/>
      <c r="U1055" s="149">
        <v>1.2</v>
      </c>
      <c r="V1055" s="149">
        <v>0.25</v>
      </c>
      <c r="W1055" s="149">
        <f t="shared" si="63"/>
        <v>3.49</v>
      </c>
      <c r="X1055" s="152">
        <f t="shared" si="62"/>
        <v>0.24430000000000002</v>
      </c>
      <c r="Y1055" s="150">
        <f t="shared" si="61"/>
        <v>1.01</v>
      </c>
      <c r="Z1055" s="152"/>
      <c r="AC1055" s="154"/>
      <c r="AD1055" s="154"/>
      <c r="AE1055" s="154"/>
      <c r="AF1055" s="154"/>
    </row>
    <row r="1056" spans="1:32" x14ac:dyDescent="0.25">
      <c r="A1056" s="196">
        <v>2547</v>
      </c>
      <c r="B1056" s="196" t="s">
        <v>3941</v>
      </c>
      <c r="C1056" s="196" t="s">
        <v>5840</v>
      </c>
      <c r="D1056" s="196" t="s">
        <v>1912</v>
      </c>
      <c r="F1056" s="196">
        <v>2002</v>
      </c>
      <c r="H1056" s="196" t="s">
        <v>1878</v>
      </c>
      <c r="I1056" s="184" t="s">
        <v>1929</v>
      </c>
      <c r="J1056" s="54" t="s">
        <v>3854</v>
      </c>
      <c r="K1056" s="196" t="s">
        <v>1881</v>
      </c>
      <c r="L1056" s="184" t="s">
        <v>5841</v>
      </c>
      <c r="M1056" s="196">
        <v>144</v>
      </c>
      <c r="O1056" s="196" t="s">
        <v>5180</v>
      </c>
      <c r="P1056" s="17">
        <v>164</v>
      </c>
      <c r="Q1056" s="175">
        <f t="shared" si="60"/>
        <v>2.5093000000000001</v>
      </c>
      <c r="R1056" s="199">
        <v>0.99</v>
      </c>
      <c r="T1056" s="149"/>
      <c r="U1056" s="149">
        <v>1.2</v>
      </c>
      <c r="V1056" s="151">
        <v>0.25</v>
      </c>
      <c r="W1056" s="149">
        <f t="shared" si="63"/>
        <v>0.99</v>
      </c>
      <c r="X1056" s="152">
        <f t="shared" si="62"/>
        <v>6.93E-2</v>
      </c>
      <c r="Y1056" s="150">
        <f t="shared" si="61"/>
        <v>1.01</v>
      </c>
      <c r="Z1056" s="152"/>
      <c r="AC1056" s="154"/>
      <c r="AD1056" s="154"/>
      <c r="AE1056" s="154"/>
      <c r="AF1056" s="154"/>
    </row>
    <row r="1057" spans="1:32" x14ac:dyDescent="0.25">
      <c r="A1057" s="196">
        <v>2547</v>
      </c>
      <c r="B1057" s="196" t="s">
        <v>5842</v>
      </c>
      <c r="C1057" s="196" t="s">
        <v>5843</v>
      </c>
      <c r="D1057" s="196" t="s">
        <v>1912</v>
      </c>
      <c r="E1057" s="196" t="s">
        <v>1913</v>
      </c>
      <c r="F1057" s="196">
        <v>2006</v>
      </c>
      <c r="H1057" s="196" t="s">
        <v>2734</v>
      </c>
      <c r="I1057" s="184" t="s">
        <v>1929</v>
      </c>
      <c r="K1057" s="196" t="s">
        <v>1881</v>
      </c>
      <c r="L1057" s="184" t="s">
        <v>6178</v>
      </c>
      <c r="M1057" s="196">
        <v>418</v>
      </c>
      <c r="O1057" s="196" t="s">
        <v>5181</v>
      </c>
      <c r="P1057" s="17">
        <v>668</v>
      </c>
      <c r="Q1057" s="175">
        <f t="shared" si="60"/>
        <v>4.0792999999999999</v>
      </c>
      <c r="R1057" s="199">
        <v>1.99</v>
      </c>
      <c r="T1057" s="149"/>
      <c r="U1057" s="149">
        <v>1.7</v>
      </c>
      <c r="V1057" s="149">
        <v>0.25</v>
      </c>
      <c r="W1057" s="149">
        <f t="shared" si="63"/>
        <v>1.99</v>
      </c>
      <c r="X1057" s="152">
        <f t="shared" si="62"/>
        <v>0.13930000000000001</v>
      </c>
      <c r="Y1057" s="150">
        <f t="shared" si="61"/>
        <v>1.01</v>
      </c>
      <c r="Z1057" s="152"/>
      <c r="AC1057" s="154"/>
      <c r="AD1057" s="154"/>
      <c r="AE1057" s="154"/>
      <c r="AF1057" s="154"/>
    </row>
    <row r="1058" spans="1:32" x14ac:dyDescent="0.25">
      <c r="A1058" s="196">
        <v>1327</v>
      </c>
      <c r="B1058" s="196" t="s">
        <v>3334</v>
      </c>
      <c r="C1058" s="196" t="s">
        <v>5844</v>
      </c>
      <c r="D1058" s="196" t="s">
        <v>5845</v>
      </c>
      <c r="F1058" s="196">
        <v>1990</v>
      </c>
      <c r="H1058" s="196" t="s">
        <v>2734</v>
      </c>
      <c r="I1058" s="184" t="s">
        <v>1879</v>
      </c>
      <c r="K1058" s="196" t="s">
        <v>1881</v>
      </c>
      <c r="L1058" s="184" t="s">
        <v>5846</v>
      </c>
      <c r="M1058" s="196">
        <v>418</v>
      </c>
      <c r="O1058" s="196" t="s">
        <v>5182</v>
      </c>
      <c r="P1058" s="17">
        <v>576</v>
      </c>
      <c r="Q1058" s="175">
        <f t="shared" si="60"/>
        <v>3.0093000000000001</v>
      </c>
      <c r="R1058" s="199">
        <v>0.99</v>
      </c>
      <c r="T1058" s="149"/>
      <c r="U1058" s="149">
        <v>1.7</v>
      </c>
      <c r="V1058" s="151">
        <v>0.25</v>
      </c>
      <c r="W1058" s="149">
        <f t="shared" si="63"/>
        <v>0.99</v>
      </c>
      <c r="X1058" s="152">
        <f t="shared" si="62"/>
        <v>6.93E-2</v>
      </c>
      <c r="Y1058" s="150">
        <f t="shared" si="61"/>
        <v>1.01</v>
      </c>
      <c r="Z1058" s="152"/>
      <c r="AC1058" s="154"/>
      <c r="AD1058" s="154"/>
      <c r="AE1058" s="154"/>
      <c r="AF1058" s="154"/>
    </row>
    <row r="1059" spans="1:32" x14ac:dyDescent="0.25">
      <c r="A1059" s="196">
        <v>2522</v>
      </c>
      <c r="B1059" s="196" t="s">
        <v>5847</v>
      </c>
      <c r="C1059" s="196" t="s">
        <v>5848</v>
      </c>
      <c r="D1059" s="196" t="s">
        <v>3524</v>
      </c>
      <c r="E1059" s="196" t="s">
        <v>1913</v>
      </c>
      <c r="F1059" s="196">
        <v>2012</v>
      </c>
      <c r="H1059" s="196" t="s">
        <v>1878</v>
      </c>
      <c r="I1059" s="184" t="s">
        <v>1914</v>
      </c>
      <c r="K1059" s="196" t="s">
        <v>1881</v>
      </c>
      <c r="L1059" s="184" t="s">
        <v>5849</v>
      </c>
      <c r="M1059" s="196">
        <v>368</v>
      </c>
      <c r="O1059" s="196" t="s">
        <v>5183</v>
      </c>
      <c r="P1059" s="17">
        <v>373</v>
      </c>
      <c r="Q1059" s="175">
        <f t="shared" si="60"/>
        <v>3.5792999999999999</v>
      </c>
      <c r="R1059" s="199">
        <v>1.99</v>
      </c>
      <c r="T1059" s="149"/>
      <c r="U1059" s="149">
        <v>1.2</v>
      </c>
      <c r="V1059" s="149">
        <v>0.25</v>
      </c>
      <c r="W1059" s="149">
        <f t="shared" si="63"/>
        <v>1.99</v>
      </c>
      <c r="X1059" s="152">
        <f t="shared" si="62"/>
        <v>0.13930000000000001</v>
      </c>
      <c r="Y1059" s="150">
        <f t="shared" si="61"/>
        <v>1.01</v>
      </c>
      <c r="Z1059" s="152"/>
      <c r="AC1059" s="154"/>
      <c r="AD1059" s="154"/>
      <c r="AE1059" s="154"/>
      <c r="AF1059" s="154"/>
    </row>
    <row r="1060" spans="1:32" x14ac:dyDescent="0.25">
      <c r="A1060" s="196">
        <v>1231</v>
      </c>
      <c r="B1060" s="196" t="s">
        <v>1996</v>
      </c>
      <c r="C1060" s="196" t="s">
        <v>5850</v>
      </c>
      <c r="D1060" s="196" t="s">
        <v>1998</v>
      </c>
      <c r="E1060" s="196" t="s">
        <v>1913</v>
      </c>
      <c r="F1060" s="196">
        <v>1998</v>
      </c>
      <c r="H1060" s="196" t="s">
        <v>2734</v>
      </c>
      <c r="I1060" s="184" t="s">
        <v>1879</v>
      </c>
      <c r="K1060" s="196" t="s">
        <v>1881</v>
      </c>
      <c r="L1060" s="184" t="s">
        <v>6179</v>
      </c>
      <c r="M1060" s="196">
        <v>226</v>
      </c>
      <c r="O1060" s="196" t="s">
        <v>5184</v>
      </c>
      <c r="P1060" s="17">
        <v>491</v>
      </c>
      <c r="Q1060" s="175">
        <f t="shared" si="60"/>
        <v>3.0093000000000001</v>
      </c>
      <c r="R1060" s="199">
        <v>0.99</v>
      </c>
      <c r="T1060" s="149"/>
      <c r="U1060" s="149">
        <v>1.7</v>
      </c>
      <c r="V1060" s="151">
        <v>0.25</v>
      </c>
      <c r="W1060" s="149">
        <f t="shared" si="63"/>
        <v>0.99</v>
      </c>
      <c r="X1060" s="152">
        <f t="shared" si="62"/>
        <v>6.93E-2</v>
      </c>
      <c r="Y1060" s="150">
        <f t="shared" si="61"/>
        <v>1.01</v>
      </c>
      <c r="Z1060" s="152"/>
      <c r="AC1060" s="154"/>
      <c r="AD1060" s="154"/>
      <c r="AE1060" s="154"/>
      <c r="AF1060" s="154"/>
    </row>
    <row r="1061" spans="1:32" x14ac:dyDescent="0.25">
      <c r="A1061" s="196">
        <v>765</v>
      </c>
      <c r="B1061" s="196" t="s">
        <v>5851</v>
      </c>
      <c r="C1061" s="196" t="s">
        <v>5852</v>
      </c>
      <c r="D1061" s="196" t="s">
        <v>2419</v>
      </c>
      <c r="E1061" s="196" t="s">
        <v>1899</v>
      </c>
      <c r="F1061" s="196">
        <v>2007</v>
      </c>
      <c r="H1061" s="196" t="s">
        <v>1878</v>
      </c>
      <c r="I1061" s="184" t="s">
        <v>1879</v>
      </c>
      <c r="K1061" s="196" t="s">
        <v>1881</v>
      </c>
      <c r="L1061" s="184" t="s">
        <v>5853</v>
      </c>
      <c r="M1061" s="196">
        <v>208</v>
      </c>
      <c r="O1061" s="196" t="s">
        <v>5185</v>
      </c>
      <c r="P1061" s="17">
        <v>343</v>
      </c>
      <c r="Q1061" s="175">
        <f t="shared" si="60"/>
        <v>3.0442999999999998</v>
      </c>
      <c r="R1061" s="199">
        <v>1.49</v>
      </c>
      <c r="T1061" s="149"/>
      <c r="U1061" s="149">
        <v>1.2</v>
      </c>
      <c r="V1061" s="149">
        <v>0.25</v>
      </c>
      <c r="W1061" s="149">
        <f t="shared" si="63"/>
        <v>1.49</v>
      </c>
      <c r="X1061" s="152">
        <f t="shared" si="62"/>
        <v>0.1043</v>
      </c>
      <c r="Y1061" s="150">
        <f t="shared" si="61"/>
        <v>1.01</v>
      </c>
      <c r="Z1061" s="152"/>
      <c r="AC1061" s="154"/>
      <c r="AD1061" s="154"/>
      <c r="AE1061" s="154"/>
      <c r="AF1061" s="154"/>
    </row>
    <row r="1062" spans="1:32" x14ac:dyDescent="0.25">
      <c r="A1062" s="196">
        <v>774</v>
      </c>
      <c r="B1062" s="196" t="s">
        <v>4827</v>
      </c>
      <c r="C1062" s="196" t="s">
        <v>5854</v>
      </c>
      <c r="D1062" s="196" t="s">
        <v>1876</v>
      </c>
      <c r="F1062" s="196">
        <v>2001</v>
      </c>
      <c r="H1062" s="196" t="s">
        <v>1878</v>
      </c>
      <c r="I1062" s="184" t="s">
        <v>1879</v>
      </c>
      <c r="K1062" s="196" t="s">
        <v>1881</v>
      </c>
      <c r="L1062" s="184" t="s">
        <v>5855</v>
      </c>
      <c r="M1062" s="196">
        <v>320</v>
      </c>
      <c r="O1062" s="196" t="s">
        <v>5186</v>
      </c>
      <c r="P1062" s="17">
        <v>274</v>
      </c>
      <c r="Q1062" s="175">
        <f t="shared" si="60"/>
        <v>1.9742999999999999</v>
      </c>
      <c r="R1062" s="199">
        <v>0.49</v>
      </c>
      <c r="T1062" s="149"/>
      <c r="U1062" s="149">
        <v>1.2</v>
      </c>
      <c r="V1062" s="151">
        <v>0.25</v>
      </c>
      <c r="W1062" s="149">
        <f t="shared" si="63"/>
        <v>0.49</v>
      </c>
      <c r="X1062" s="152">
        <f t="shared" si="62"/>
        <v>3.4299999999999997E-2</v>
      </c>
      <c r="Y1062" s="150">
        <f t="shared" si="61"/>
        <v>1.01</v>
      </c>
      <c r="Z1062" s="152"/>
      <c r="AC1062" s="154"/>
      <c r="AD1062" s="154"/>
      <c r="AE1062" s="154"/>
      <c r="AF1062" s="154"/>
    </row>
    <row r="1063" spans="1:32" x14ac:dyDescent="0.25">
      <c r="A1063" s="196">
        <v>796</v>
      </c>
      <c r="B1063" s="196" t="s">
        <v>5856</v>
      </c>
      <c r="C1063" s="196" t="s">
        <v>5857</v>
      </c>
      <c r="D1063" s="196" t="s">
        <v>2257</v>
      </c>
      <c r="F1063" s="196">
        <v>2007</v>
      </c>
      <c r="H1063" s="196" t="s">
        <v>1878</v>
      </c>
      <c r="I1063" s="184" t="s">
        <v>1879</v>
      </c>
      <c r="K1063" s="196" t="s">
        <v>1881</v>
      </c>
      <c r="L1063" s="184" t="s">
        <v>5858</v>
      </c>
      <c r="M1063" s="196">
        <v>336</v>
      </c>
      <c r="O1063" s="196" t="s">
        <v>5187</v>
      </c>
      <c r="P1063" s="17">
        <v>299</v>
      </c>
      <c r="Q1063" s="175">
        <f t="shared" si="60"/>
        <v>1.9742999999999999</v>
      </c>
      <c r="R1063" s="199">
        <v>0.49</v>
      </c>
      <c r="T1063" s="149"/>
      <c r="U1063" s="149">
        <v>1.2</v>
      </c>
      <c r="V1063" s="149">
        <v>0.25</v>
      </c>
      <c r="W1063" s="149">
        <f t="shared" si="63"/>
        <v>0.49</v>
      </c>
      <c r="X1063" s="152">
        <f t="shared" si="62"/>
        <v>3.4299999999999997E-2</v>
      </c>
      <c r="Y1063" s="150">
        <f t="shared" si="61"/>
        <v>1.01</v>
      </c>
      <c r="Z1063" s="152"/>
      <c r="AC1063" s="154"/>
      <c r="AD1063" s="154"/>
      <c r="AE1063" s="154"/>
      <c r="AF1063" s="154"/>
    </row>
    <row r="1064" spans="1:32" x14ac:dyDescent="0.25">
      <c r="A1064" s="196">
        <v>632</v>
      </c>
      <c r="B1064" s="196" t="s">
        <v>5859</v>
      </c>
      <c r="C1064" s="196" t="s">
        <v>5860</v>
      </c>
      <c r="D1064" s="196" t="s">
        <v>2209</v>
      </c>
      <c r="F1064" s="196">
        <v>2002</v>
      </c>
      <c r="H1064" s="196" t="s">
        <v>1878</v>
      </c>
      <c r="I1064" s="184" t="s">
        <v>1879</v>
      </c>
      <c r="K1064" s="196" t="s">
        <v>1881</v>
      </c>
      <c r="L1064" s="184" t="s">
        <v>5861</v>
      </c>
      <c r="M1064" s="196">
        <v>608</v>
      </c>
      <c r="O1064" s="196" t="s">
        <v>5188</v>
      </c>
      <c r="P1064" s="17">
        <v>412</v>
      </c>
      <c r="Q1064" s="175">
        <f t="shared" ref="Q1064:Q1127" si="64">SUM(T1064:X1064)</f>
        <v>2.6162999999999998</v>
      </c>
      <c r="R1064" s="199">
        <v>1.0900000000000001</v>
      </c>
      <c r="T1064" s="149"/>
      <c r="U1064" s="149">
        <v>1.2</v>
      </c>
      <c r="V1064" s="151">
        <v>0.25</v>
      </c>
      <c r="W1064" s="149">
        <f t="shared" si="63"/>
        <v>1.0900000000000001</v>
      </c>
      <c r="X1064" s="152">
        <f t="shared" si="62"/>
        <v>7.6300000000000007E-2</v>
      </c>
      <c r="Y1064" s="150">
        <f t="shared" si="61"/>
        <v>1.01</v>
      </c>
      <c r="Z1064" s="152"/>
      <c r="AC1064" s="154"/>
      <c r="AD1064" s="154"/>
      <c r="AE1064" s="154"/>
      <c r="AF1064" s="154"/>
    </row>
    <row r="1065" spans="1:32" x14ac:dyDescent="0.25">
      <c r="A1065" s="196">
        <v>1001</v>
      </c>
      <c r="B1065" s="196" t="s">
        <v>5862</v>
      </c>
      <c r="C1065" s="196" t="s">
        <v>5863</v>
      </c>
      <c r="D1065" s="196" t="s">
        <v>5864</v>
      </c>
      <c r="F1065" s="196">
        <v>2002</v>
      </c>
      <c r="H1065" s="196" t="s">
        <v>2734</v>
      </c>
      <c r="I1065" s="184" t="s">
        <v>1879</v>
      </c>
      <c r="K1065" s="196" t="s">
        <v>1881</v>
      </c>
      <c r="L1065" s="184" t="s">
        <v>5865</v>
      </c>
      <c r="O1065" s="196" t="s">
        <v>5189</v>
      </c>
      <c r="P1065" s="17">
        <v>169</v>
      </c>
      <c r="Q1065" s="175">
        <f t="shared" si="64"/>
        <v>1.9742999999999999</v>
      </c>
      <c r="R1065" s="199">
        <v>0.49</v>
      </c>
      <c r="T1065" s="149"/>
      <c r="U1065" s="149">
        <v>1.2</v>
      </c>
      <c r="V1065" s="149">
        <v>0.25</v>
      </c>
      <c r="W1065" s="149">
        <f t="shared" si="63"/>
        <v>0.49</v>
      </c>
      <c r="X1065" s="152">
        <f t="shared" si="62"/>
        <v>3.4299999999999997E-2</v>
      </c>
      <c r="Y1065" s="150">
        <f t="shared" si="61"/>
        <v>1.01</v>
      </c>
      <c r="Z1065" s="152"/>
      <c r="AC1065" s="154"/>
      <c r="AD1065" s="154"/>
      <c r="AE1065" s="154"/>
      <c r="AF1065" s="154"/>
    </row>
    <row r="1066" spans="1:32" x14ac:dyDescent="0.25">
      <c r="A1066" s="196">
        <v>904</v>
      </c>
      <c r="B1066" s="196" t="s">
        <v>5866</v>
      </c>
      <c r="C1066" s="196" t="s">
        <v>5867</v>
      </c>
      <c r="D1066" s="196" t="s">
        <v>2419</v>
      </c>
      <c r="E1066" s="196" t="s">
        <v>2032</v>
      </c>
      <c r="F1066" s="196">
        <v>2001</v>
      </c>
      <c r="H1066" s="196" t="s">
        <v>1878</v>
      </c>
      <c r="I1066" s="184" t="s">
        <v>1914</v>
      </c>
      <c r="K1066" s="196" t="s">
        <v>1881</v>
      </c>
      <c r="L1066" s="184" t="s">
        <v>5868</v>
      </c>
      <c r="M1066" s="196">
        <v>336</v>
      </c>
      <c r="O1066" s="196" t="s">
        <v>5190</v>
      </c>
      <c r="P1066" s="17">
        <v>244</v>
      </c>
      <c r="Q1066" s="175">
        <f t="shared" si="64"/>
        <v>5.1843000000000004</v>
      </c>
      <c r="R1066" s="199">
        <v>3.49</v>
      </c>
      <c r="T1066" s="149"/>
      <c r="U1066" s="149">
        <v>1.2</v>
      </c>
      <c r="V1066" s="151">
        <v>0.25</v>
      </c>
      <c r="W1066" s="149">
        <f t="shared" si="63"/>
        <v>3.49</v>
      </c>
      <c r="X1066" s="152">
        <f t="shared" si="62"/>
        <v>0.24430000000000002</v>
      </c>
      <c r="Y1066" s="150">
        <f t="shared" si="61"/>
        <v>1.01</v>
      </c>
      <c r="Z1066" s="152"/>
      <c r="AC1066" s="154"/>
      <c r="AD1066" s="154"/>
      <c r="AE1066" s="154"/>
      <c r="AF1066" s="154"/>
    </row>
    <row r="1067" spans="1:32" x14ac:dyDescent="0.25">
      <c r="A1067" s="196">
        <v>2522</v>
      </c>
      <c r="B1067" s="196" t="s">
        <v>2470</v>
      </c>
      <c r="C1067" s="196" t="s">
        <v>5869</v>
      </c>
      <c r="D1067" s="196" t="s">
        <v>2209</v>
      </c>
      <c r="E1067" s="196" t="s">
        <v>2937</v>
      </c>
      <c r="F1067" s="196">
        <v>2002</v>
      </c>
      <c r="H1067" s="196" t="s">
        <v>1878</v>
      </c>
      <c r="I1067" s="184" t="s">
        <v>1879</v>
      </c>
      <c r="K1067" s="196" t="s">
        <v>1881</v>
      </c>
      <c r="L1067" s="184" t="s">
        <v>5870</v>
      </c>
      <c r="M1067" s="196">
        <v>496</v>
      </c>
      <c r="O1067" s="196" t="s">
        <v>5191</v>
      </c>
      <c r="P1067" s="17">
        <v>322</v>
      </c>
      <c r="Q1067" s="175">
        <f t="shared" si="64"/>
        <v>1.9742999999999999</v>
      </c>
      <c r="R1067" s="199">
        <v>0.49</v>
      </c>
      <c r="T1067" s="149"/>
      <c r="U1067" s="149">
        <v>1.2</v>
      </c>
      <c r="V1067" s="149">
        <v>0.25</v>
      </c>
      <c r="W1067" s="149">
        <f t="shared" si="63"/>
        <v>0.49</v>
      </c>
      <c r="X1067" s="152">
        <f t="shared" si="62"/>
        <v>3.4299999999999997E-2</v>
      </c>
      <c r="Y1067" s="150">
        <f t="shared" si="61"/>
        <v>1.01</v>
      </c>
      <c r="Z1067" s="152"/>
      <c r="AC1067" s="154"/>
      <c r="AD1067" s="154"/>
      <c r="AE1067" s="154"/>
      <c r="AF1067" s="154"/>
    </row>
    <row r="1068" spans="1:32" x14ac:dyDescent="0.25">
      <c r="A1068" s="196">
        <v>689</v>
      </c>
      <c r="B1068" s="196" t="s">
        <v>2470</v>
      </c>
      <c r="C1068" s="196" t="s">
        <v>5871</v>
      </c>
      <c r="D1068" s="196" t="s">
        <v>1920</v>
      </c>
      <c r="F1068" s="196">
        <v>1999</v>
      </c>
      <c r="H1068" s="196" t="s">
        <v>1878</v>
      </c>
      <c r="I1068" s="184" t="s">
        <v>1914</v>
      </c>
      <c r="K1068" s="196" t="s">
        <v>1881</v>
      </c>
      <c r="L1068" s="184" t="s">
        <v>5872</v>
      </c>
      <c r="M1068" s="196">
        <v>640</v>
      </c>
      <c r="O1068" s="196" t="s">
        <v>5192</v>
      </c>
      <c r="P1068" s="17">
        <v>553</v>
      </c>
      <c r="Q1068" s="175">
        <f t="shared" si="64"/>
        <v>2.4742999999999999</v>
      </c>
      <c r="R1068" s="199">
        <v>0.49</v>
      </c>
      <c r="T1068" s="149"/>
      <c r="U1068" s="149">
        <v>1.7</v>
      </c>
      <c r="V1068" s="151">
        <v>0.25</v>
      </c>
      <c r="W1068" s="149">
        <f t="shared" si="63"/>
        <v>0.49</v>
      </c>
      <c r="X1068" s="152">
        <f t="shared" si="62"/>
        <v>3.4299999999999997E-2</v>
      </c>
      <c r="Y1068" s="150">
        <f t="shared" ref="Y1068:Y1131" si="65">(IF(Z1068&gt;AA1068,Z1068,AA1068)*0.08)+1.01</f>
        <v>1.01</v>
      </c>
      <c r="Z1068" s="152"/>
      <c r="AC1068" s="154"/>
      <c r="AD1068" s="154"/>
      <c r="AE1068" s="154"/>
      <c r="AF1068" s="154"/>
    </row>
    <row r="1069" spans="1:32" x14ac:dyDescent="0.25">
      <c r="A1069" s="196">
        <v>302</v>
      </c>
      <c r="B1069" s="196" t="s">
        <v>5873</v>
      </c>
      <c r="C1069" s="196" t="s">
        <v>5874</v>
      </c>
      <c r="D1069" s="196" t="s">
        <v>2209</v>
      </c>
      <c r="E1069" s="196" t="s">
        <v>2922</v>
      </c>
      <c r="F1069" s="196">
        <v>1988</v>
      </c>
      <c r="H1069" s="196" t="s">
        <v>1878</v>
      </c>
      <c r="I1069" s="184" t="s">
        <v>1879</v>
      </c>
      <c r="K1069" s="196" t="s">
        <v>1881</v>
      </c>
      <c r="L1069" s="184" t="s">
        <v>5875</v>
      </c>
      <c r="M1069" s="196">
        <v>288</v>
      </c>
      <c r="O1069" s="196" t="s">
        <v>5193</v>
      </c>
      <c r="P1069" s="17">
        <v>257</v>
      </c>
      <c r="Q1069" s="175">
        <f t="shared" si="64"/>
        <v>4.1143000000000001</v>
      </c>
      <c r="R1069" s="199">
        <v>2.4900000000000002</v>
      </c>
      <c r="T1069" s="149"/>
      <c r="U1069" s="149">
        <v>1.2</v>
      </c>
      <c r="V1069" s="149">
        <v>0.25</v>
      </c>
      <c r="W1069" s="149">
        <f t="shared" si="63"/>
        <v>2.4900000000000002</v>
      </c>
      <c r="X1069" s="152">
        <f t="shared" si="62"/>
        <v>0.17430000000000001</v>
      </c>
      <c r="Y1069" s="150">
        <f t="shared" si="65"/>
        <v>1.01</v>
      </c>
      <c r="Z1069" s="152"/>
      <c r="AC1069" s="154"/>
      <c r="AD1069" s="154"/>
      <c r="AE1069" s="154"/>
      <c r="AF1069" s="154"/>
    </row>
    <row r="1070" spans="1:32" x14ac:dyDescent="0.25">
      <c r="A1070" s="196">
        <v>66</v>
      </c>
      <c r="B1070" s="196" t="s">
        <v>5876</v>
      </c>
      <c r="C1070" s="196" t="s">
        <v>464</v>
      </c>
      <c r="D1070" s="196" t="s">
        <v>5877</v>
      </c>
      <c r="E1070" s="196" t="s">
        <v>5035</v>
      </c>
      <c r="F1070" s="196">
        <v>1988</v>
      </c>
      <c r="H1070" s="196" t="s">
        <v>1878</v>
      </c>
      <c r="I1070" s="184" t="s">
        <v>1879</v>
      </c>
      <c r="K1070" s="196" t="s">
        <v>1881</v>
      </c>
      <c r="L1070" s="184" t="s">
        <v>5878</v>
      </c>
      <c r="M1070" s="196">
        <v>192</v>
      </c>
      <c r="O1070" s="196" t="s">
        <v>5194</v>
      </c>
      <c r="P1070" s="17">
        <v>170</v>
      </c>
      <c r="Q1070" s="175">
        <f t="shared" si="64"/>
        <v>2.7232999999999996</v>
      </c>
      <c r="R1070" s="199">
        <v>1.19</v>
      </c>
      <c r="T1070" s="149"/>
      <c r="U1070" s="149">
        <v>1.2</v>
      </c>
      <c r="V1070" s="151">
        <v>0.25</v>
      </c>
      <c r="W1070" s="149">
        <f t="shared" si="63"/>
        <v>1.19</v>
      </c>
      <c r="X1070" s="152">
        <f t="shared" si="62"/>
        <v>8.3299999999999999E-2</v>
      </c>
      <c r="Y1070" s="150">
        <f t="shared" si="65"/>
        <v>1.01</v>
      </c>
      <c r="Z1070" s="152"/>
      <c r="AC1070" s="154"/>
      <c r="AD1070" s="154"/>
      <c r="AE1070" s="154"/>
      <c r="AF1070" s="154"/>
    </row>
    <row r="1071" spans="1:32" x14ac:dyDescent="0.25">
      <c r="A1071" s="196">
        <v>2522</v>
      </c>
      <c r="B1071" s="196" t="s">
        <v>5879</v>
      </c>
      <c r="C1071" s="196" t="s">
        <v>5880</v>
      </c>
      <c r="D1071" s="196" t="s">
        <v>2300</v>
      </c>
      <c r="F1071" s="196">
        <v>2005</v>
      </c>
      <c r="H1071" s="196" t="s">
        <v>1878</v>
      </c>
      <c r="I1071" s="184" t="s">
        <v>1914</v>
      </c>
      <c r="K1071" s="196" t="s">
        <v>1881</v>
      </c>
      <c r="L1071" s="184" t="s">
        <v>5881</v>
      </c>
      <c r="M1071" s="196">
        <v>512</v>
      </c>
      <c r="O1071" s="196" t="s">
        <v>5195</v>
      </c>
      <c r="P1071" s="17">
        <v>462</v>
      </c>
      <c r="Q1071" s="175">
        <f t="shared" si="64"/>
        <v>1.9742999999999999</v>
      </c>
      <c r="R1071" s="199">
        <v>0.49</v>
      </c>
      <c r="T1071" s="149"/>
      <c r="U1071" s="149">
        <v>1.2</v>
      </c>
      <c r="V1071" s="149">
        <v>0.25</v>
      </c>
      <c r="W1071" s="149">
        <f t="shared" si="63"/>
        <v>0.49</v>
      </c>
      <c r="X1071" s="152">
        <f t="shared" ref="X1071:X1134" si="66">(T1071+W1071)/100*7</f>
        <v>3.4299999999999997E-2</v>
      </c>
      <c r="Y1071" s="150">
        <f t="shared" si="65"/>
        <v>1.01</v>
      </c>
      <c r="Z1071" s="152"/>
      <c r="AC1071" s="154"/>
      <c r="AD1071" s="154"/>
      <c r="AE1071" s="154"/>
      <c r="AF1071" s="154"/>
    </row>
    <row r="1072" spans="1:32" x14ac:dyDescent="0.25">
      <c r="A1072" s="196">
        <v>811</v>
      </c>
      <c r="B1072" s="196" t="s">
        <v>5883</v>
      </c>
      <c r="C1072" s="196" t="s">
        <v>5882</v>
      </c>
      <c r="D1072" s="196" t="s">
        <v>5884</v>
      </c>
      <c r="H1072" s="196" t="s">
        <v>2734</v>
      </c>
      <c r="I1072" s="184" t="s">
        <v>1879</v>
      </c>
      <c r="K1072" s="196" t="s">
        <v>1881</v>
      </c>
      <c r="L1072" s="184" t="s">
        <v>5885</v>
      </c>
      <c r="M1072" s="196">
        <v>194</v>
      </c>
      <c r="O1072" s="196" t="s">
        <v>5196</v>
      </c>
      <c r="P1072" s="17">
        <v>945</v>
      </c>
      <c r="Q1072" s="175">
        <f t="shared" si="64"/>
        <v>3.2232999999999996</v>
      </c>
      <c r="R1072" s="199">
        <v>1.19</v>
      </c>
      <c r="T1072" s="149"/>
      <c r="U1072" s="149">
        <v>1.7</v>
      </c>
      <c r="V1072" s="151">
        <v>0.25</v>
      </c>
      <c r="W1072" s="149">
        <f t="shared" si="63"/>
        <v>1.19</v>
      </c>
      <c r="X1072" s="152">
        <f t="shared" si="66"/>
        <v>8.3299999999999999E-2</v>
      </c>
      <c r="Y1072" s="150">
        <f t="shared" si="65"/>
        <v>1.01</v>
      </c>
      <c r="Z1072" s="152"/>
      <c r="AC1072" s="154"/>
      <c r="AD1072" s="154"/>
      <c r="AE1072" s="154"/>
      <c r="AF1072" s="154"/>
    </row>
    <row r="1073" spans="1:32" x14ac:dyDescent="0.25">
      <c r="A1073" s="196">
        <v>803</v>
      </c>
      <c r="B1073" s="196" t="s">
        <v>5886</v>
      </c>
      <c r="C1073" s="196" t="s">
        <v>5887</v>
      </c>
      <c r="D1073" s="196" t="s">
        <v>5888</v>
      </c>
      <c r="E1073" s="196" t="s">
        <v>1877</v>
      </c>
      <c r="F1073" s="196">
        <v>2001</v>
      </c>
      <c r="H1073" s="196" t="s">
        <v>2734</v>
      </c>
      <c r="I1073" s="184" t="s">
        <v>1879</v>
      </c>
      <c r="K1073" s="196" t="s">
        <v>1881</v>
      </c>
      <c r="L1073" s="184" t="s">
        <v>5889</v>
      </c>
      <c r="M1073" s="196">
        <v>130</v>
      </c>
      <c r="O1073" s="196" t="s">
        <v>5197</v>
      </c>
      <c r="P1073" s="17">
        <v>851</v>
      </c>
      <c r="Q1073" s="175">
        <f t="shared" si="64"/>
        <v>3.2232999999999996</v>
      </c>
      <c r="R1073" s="199">
        <v>1.19</v>
      </c>
      <c r="T1073" s="149"/>
      <c r="U1073" s="149">
        <v>1.7</v>
      </c>
      <c r="V1073" s="149">
        <v>0.25</v>
      </c>
      <c r="W1073" s="149">
        <f t="shared" si="63"/>
        <v>1.19</v>
      </c>
      <c r="X1073" s="152">
        <f t="shared" si="66"/>
        <v>8.3299999999999999E-2</v>
      </c>
      <c r="Y1073" s="150">
        <f t="shared" si="65"/>
        <v>1.01</v>
      </c>
      <c r="Z1073" s="152"/>
      <c r="AC1073" s="154"/>
      <c r="AD1073" s="154"/>
      <c r="AE1073" s="154"/>
      <c r="AF1073" s="154"/>
    </row>
    <row r="1074" spans="1:32" x14ac:dyDescent="0.25">
      <c r="A1074" s="196">
        <v>1336</v>
      </c>
      <c r="C1074" s="196" t="s">
        <v>5890</v>
      </c>
      <c r="D1074" s="196" t="s">
        <v>3332</v>
      </c>
      <c r="H1074" s="196" t="s">
        <v>2734</v>
      </c>
      <c r="I1074" s="184" t="s">
        <v>1879</v>
      </c>
      <c r="K1074" s="196" t="s">
        <v>1881</v>
      </c>
      <c r="L1074" s="184" t="s">
        <v>5891</v>
      </c>
      <c r="M1074" s="196">
        <v>242</v>
      </c>
      <c r="O1074" s="196" t="s">
        <v>5198</v>
      </c>
      <c r="P1074" s="17">
        <v>1295</v>
      </c>
      <c r="Q1074" s="175">
        <f t="shared" si="64"/>
        <v>4.5643000000000002</v>
      </c>
      <c r="R1074" s="199">
        <v>0.49</v>
      </c>
      <c r="T1074" s="149"/>
      <c r="U1074" s="149">
        <v>3.79</v>
      </c>
      <c r="V1074" s="151">
        <v>0.25</v>
      </c>
      <c r="W1074" s="149">
        <f t="shared" si="63"/>
        <v>0.49</v>
      </c>
      <c r="X1074" s="152">
        <f t="shared" si="66"/>
        <v>3.4299999999999997E-2</v>
      </c>
      <c r="Y1074" s="150">
        <f t="shared" si="65"/>
        <v>1.01</v>
      </c>
      <c r="Z1074" s="152"/>
      <c r="AC1074" s="154"/>
      <c r="AD1074" s="154"/>
      <c r="AE1074" s="154"/>
      <c r="AF1074" s="154"/>
    </row>
    <row r="1075" spans="1:32" x14ac:dyDescent="0.25">
      <c r="A1075" s="196">
        <v>2681</v>
      </c>
      <c r="C1075" s="196" t="s">
        <v>5892</v>
      </c>
      <c r="D1075" s="196" t="s">
        <v>3761</v>
      </c>
      <c r="F1075" s="196">
        <v>2010</v>
      </c>
      <c r="H1075" s="196" t="s">
        <v>2734</v>
      </c>
      <c r="I1075" s="184" t="s">
        <v>1929</v>
      </c>
      <c r="K1075" s="196" t="s">
        <v>1881</v>
      </c>
      <c r="L1075" s="184" t="s">
        <v>5893</v>
      </c>
      <c r="M1075" s="196">
        <v>98</v>
      </c>
      <c r="O1075" s="196" t="s">
        <v>5199</v>
      </c>
      <c r="P1075" s="17">
        <v>772</v>
      </c>
      <c r="Q1075" s="175">
        <f t="shared" si="64"/>
        <v>4.0792999999999999</v>
      </c>
      <c r="R1075" s="199">
        <v>1.99</v>
      </c>
      <c r="T1075" s="149"/>
      <c r="U1075" s="149">
        <v>1.7</v>
      </c>
      <c r="V1075" s="149">
        <v>0.25</v>
      </c>
      <c r="W1075" s="149">
        <f t="shared" si="63"/>
        <v>1.99</v>
      </c>
      <c r="X1075" s="152">
        <f t="shared" si="66"/>
        <v>0.13930000000000001</v>
      </c>
      <c r="Y1075" s="150">
        <f t="shared" si="65"/>
        <v>1.01</v>
      </c>
      <c r="Z1075" s="152"/>
      <c r="AC1075" s="154"/>
      <c r="AD1075" s="154"/>
      <c r="AE1075" s="154"/>
      <c r="AF1075" s="154"/>
    </row>
    <row r="1076" spans="1:32" x14ac:dyDescent="0.25">
      <c r="A1076" s="196">
        <v>2852</v>
      </c>
      <c r="B1076" s="196" t="s">
        <v>5894</v>
      </c>
      <c r="C1076" s="196" t="s">
        <v>5895</v>
      </c>
      <c r="D1076" s="196" t="s">
        <v>3761</v>
      </c>
      <c r="F1076" s="196">
        <v>2009</v>
      </c>
      <c r="H1076" s="196" t="s">
        <v>2734</v>
      </c>
      <c r="I1076" s="184" t="s">
        <v>1929</v>
      </c>
      <c r="K1076" s="196" t="s">
        <v>1881</v>
      </c>
      <c r="L1076" s="184" t="s">
        <v>5896</v>
      </c>
      <c r="M1076" s="196">
        <v>642</v>
      </c>
      <c r="O1076" s="196" t="s">
        <v>5200</v>
      </c>
      <c r="P1076" s="17">
        <v>2816</v>
      </c>
      <c r="Q1076" s="175">
        <f t="shared" si="64"/>
        <v>12.863299999999999</v>
      </c>
      <c r="R1076" s="199">
        <v>6.19</v>
      </c>
      <c r="T1076" s="149"/>
      <c r="U1076" s="149">
        <v>5.99</v>
      </c>
      <c r="V1076" s="151">
        <v>0.25</v>
      </c>
      <c r="W1076" s="149">
        <f t="shared" si="63"/>
        <v>6.19</v>
      </c>
      <c r="X1076" s="152">
        <f t="shared" si="66"/>
        <v>0.43330000000000002</v>
      </c>
      <c r="Y1076" s="150">
        <f t="shared" si="65"/>
        <v>1.01</v>
      </c>
      <c r="Z1076" s="152"/>
      <c r="AC1076" s="154"/>
      <c r="AD1076" s="154"/>
      <c r="AE1076" s="154"/>
      <c r="AF1076" s="154"/>
    </row>
    <row r="1077" spans="1:32" x14ac:dyDescent="0.25">
      <c r="A1077" s="196">
        <v>821</v>
      </c>
      <c r="C1077" s="196" t="s">
        <v>5897</v>
      </c>
      <c r="H1077" s="196" t="s">
        <v>2734</v>
      </c>
      <c r="I1077" s="184" t="s">
        <v>1879</v>
      </c>
      <c r="K1077" s="196" t="s">
        <v>1881</v>
      </c>
      <c r="L1077" s="184" t="s">
        <v>5898</v>
      </c>
      <c r="M1077" s="196">
        <v>162</v>
      </c>
      <c r="O1077" s="196" t="s">
        <v>5201</v>
      </c>
      <c r="P1077" s="17">
        <v>925</v>
      </c>
      <c r="Q1077" s="175">
        <f t="shared" si="64"/>
        <v>3.0093000000000001</v>
      </c>
      <c r="R1077" s="199">
        <v>0.99</v>
      </c>
      <c r="T1077" s="149"/>
      <c r="U1077" s="149">
        <v>1.7</v>
      </c>
      <c r="V1077" s="149">
        <v>0.25</v>
      </c>
      <c r="W1077" s="149">
        <f t="shared" ref="W1077:W1140" si="67">IF(R1077&gt;T1077,R1077,T1077)</f>
        <v>0.99</v>
      </c>
      <c r="X1077" s="152">
        <f t="shared" si="66"/>
        <v>6.93E-2</v>
      </c>
      <c r="Y1077" s="150">
        <f t="shared" si="65"/>
        <v>1.01</v>
      </c>
      <c r="Z1077" s="152"/>
      <c r="AC1077" s="154"/>
      <c r="AD1077" s="154"/>
      <c r="AE1077" s="154"/>
      <c r="AF1077" s="154"/>
    </row>
    <row r="1078" spans="1:32" x14ac:dyDescent="0.25">
      <c r="A1078" s="196">
        <v>818</v>
      </c>
      <c r="B1078" s="182" t="s">
        <v>5899</v>
      </c>
      <c r="C1078" s="196" t="s">
        <v>5900</v>
      </c>
      <c r="D1078" s="196" t="s">
        <v>4930</v>
      </c>
      <c r="F1078" s="196">
        <v>1991</v>
      </c>
      <c r="H1078" s="196" t="s">
        <v>2734</v>
      </c>
      <c r="I1078" s="184" t="s">
        <v>1879</v>
      </c>
      <c r="K1078" s="196" t="s">
        <v>1881</v>
      </c>
      <c r="M1078" s="196">
        <v>178</v>
      </c>
      <c r="O1078" s="196" t="s">
        <v>5202</v>
      </c>
      <c r="P1078" s="17">
        <v>775</v>
      </c>
      <c r="Q1078" s="175">
        <f t="shared" si="64"/>
        <v>8.3593000000000011</v>
      </c>
      <c r="R1078" s="199">
        <v>5.99</v>
      </c>
      <c r="T1078" s="149"/>
      <c r="U1078" s="149">
        <v>1.7</v>
      </c>
      <c r="V1078" s="151">
        <v>0.25</v>
      </c>
      <c r="W1078" s="149">
        <f t="shared" si="67"/>
        <v>5.99</v>
      </c>
      <c r="X1078" s="152">
        <f t="shared" si="66"/>
        <v>0.41930000000000001</v>
      </c>
      <c r="Y1078" s="150">
        <f t="shared" si="65"/>
        <v>1.01</v>
      </c>
      <c r="Z1078" s="152"/>
      <c r="AC1078" s="154"/>
      <c r="AD1078" s="154"/>
      <c r="AE1078" s="154"/>
      <c r="AF1078" s="154"/>
    </row>
    <row r="1079" spans="1:32" x14ac:dyDescent="0.25">
      <c r="A1079" s="196">
        <v>647</v>
      </c>
      <c r="C1079" s="196" t="s">
        <v>5901</v>
      </c>
      <c r="D1079" s="196" t="s">
        <v>5902</v>
      </c>
      <c r="F1079" s="196">
        <v>2009</v>
      </c>
      <c r="H1079" s="196" t="s">
        <v>2734</v>
      </c>
      <c r="I1079" s="184" t="s">
        <v>1929</v>
      </c>
      <c r="K1079" s="196" t="s">
        <v>1881</v>
      </c>
      <c r="L1079" s="184" t="s">
        <v>5903</v>
      </c>
      <c r="M1079" s="196">
        <v>442</v>
      </c>
      <c r="O1079" s="196" t="s">
        <v>5203</v>
      </c>
      <c r="P1079" s="17">
        <v>1377</v>
      </c>
      <c r="Q1079" s="175">
        <f t="shared" si="64"/>
        <v>5.0993000000000004</v>
      </c>
      <c r="R1079" s="199">
        <v>0.99</v>
      </c>
      <c r="T1079" s="149"/>
      <c r="U1079" s="149">
        <v>3.79</v>
      </c>
      <c r="V1079" s="149">
        <v>0.25</v>
      </c>
      <c r="W1079" s="149">
        <f t="shared" si="67"/>
        <v>0.99</v>
      </c>
      <c r="X1079" s="152">
        <f t="shared" si="66"/>
        <v>6.93E-2</v>
      </c>
      <c r="Y1079" s="150">
        <f t="shared" si="65"/>
        <v>1.01</v>
      </c>
      <c r="Z1079" s="152"/>
      <c r="AC1079" s="154"/>
      <c r="AD1079" s="154"/>
      <c r="AE1079" s="154"/>
      <c r="AF1079" s="154"/>
    </row>
    <row r="1080" spans="1:32" x14ac:dyDescent="0.25">
      <c r="A1080" s="196">
        <v>863</v>
      </c>
      <c r="B1080" s="182" t="s">
        <v>5904</v>
      </c>
      <c r="C1080" s="196" t="s">
        <v>5905</v>
      </c>
      <c r="D1080" s="196" t="s">
        <v>5906</v>
      </c>
      <c r="F1080" s="196">
        <v>1968</v>
      </c>
      <c r="H1080" s="196" t="s">
        <v>2734</v>
      </c>
      <c r="I1080" s="184" t="s">
        <v>1879</v>
      </c>
      <c r="J1080" s="182" t="s">
        <v>2222</v>
      </c>
      <c r="K1080" s="196" t="s">
        <v>1881</v>
      </c>
      <c r="M1080" s="196">
        <v>114</v>
      </c>
      <c r="O1080" s="196" t="s">
        <v>5204</v>
      </c>
      <c r="P1080" s="17">
        <v>587</v>
      </c>
      <c r="Q1080" s="175">
        <f t="shared" si="64"/>
        <v>2.4742999999999999</v>
      </c>
      <c r="R1080" s="199">
        <v>0.49</v>
      </c>
      <c r="T1080" s="149"/>
      <c r="U1080" s="149">
        <v>1.7</v>
      </c>
      <c r="V1080" s="151">
        <v>0.25</v>
      </c>
      <c r="W1080" s="149">
        <f t="shared" si="67"/>
        <v>0.49</v>
      </c>
      <c r="X1080" s="152">
        <f t="shared" si="66"/>
        <v>3.4299999999999997E-2</v>
      </c>
      <c r="Y1080" s="150">
        <f t="shared" si="65"/>
        <v>1.01</v>
      </c>
      <c r="Z1080" s="152"/>
      <c r="AC1080" s="154"/>
      <c r="AD1080" s="154"/>
      <c r="AE1080" s="154"/>
      <c r="AF1080" s="154"/>
    </row>
    <row r="1081" spans="1:32" x14ac:dyDescent="0.25">
      <c r="A1081" s="196">
        <v>796</v>
      </c>
      <c r="B1081" s="196" t="s">
        <v>5907</v>
      </c>
      <c r="C1081" s="196" t="s">
        <v>5908</v>
      </c>
      <c r="D1081" s="196" t="s">
        <v>4693</v>
      </c>
      <c r="F1081" s="196">
        <v>2001</v>
      </c>
      <c r="H1081" s="196" t="s">
        <v>2734</v>
      </c>
      <c r="I1081" s="184" t="s">
        <v>1879</v>
      </c>
      <c r="K1081" s="196" t="s">
        <v>1881</v>
      </c>
      <c r="M1081" s="196">
        <v>170</v>
      </c>
      <c r="O1081" s="196" t="s">
        <v>5205</v>
      </c>
      <c r="P1081" s="17">
        <v>898</v>
      </c>
      <c r="Q1081" s="175">
        <f t="shared" si="64"/>
        <v>3.0093000000000001</v>
      </c>
      <c r="R1081" s="199">
        <v>0.99</v>
      </c>
      <c r="T1081" s="149"/>
      <c r="U1081" s="149">
        <v>1.7</v>
      </c>
      <c r="V1081" s="149">
        <v>0.25</v>
      </c>
      <c r="W1081" s="149">
        <f t="shared" si="67"/>
        <v>0.99</v>
      </c>
      <c r="X1081" s="152">
        <f t="shared" si="66"/>
        <v>6.93E-2</v>
      </c>
      <c r="Y1081" s="150">
        <f t="shared" si="65"/>
        <v>1.01</v>
      </c>
      <c r="Z1081" s="152"/>
      <c r="AC1081" s="154"/>
      <c r="AD1081" s="154"/>
      <c r="AE1081" s="154"/>
      <c r="AF1081" s="154"/>
    </row>
    <row r="1082" spans="1:32" x14ac:dyDescent="0.25">
      <c r="A1082" s="196">
        <v>2973</v>
      </c>
      <c r="C1082" s="196" t="s">
        <v>5909</v>
      </c>
      <c r="D1082" s="196" t="s">
        <v>5910</v>
      </c>
      <c r="F1082" s="196">
        <v>1994</v>
      </c>
      <c r="H1082" s="196" t="s">
        <v>2734</v>
      </c>
      <c r="I1082" s="184" t="s">
        <v>1879</v>
      </c>
      <c r="J1082" s="182" t="s">
        <v>2369</v>
      </c>
      <c r="K1082" s="196" t="s">
        <v>1881</v>
      </c>
      <c r="M1082" s="196">
        <v>158</v>
      </c>
      <c r="O1082" s="196" t="s">
        <v>5206</v>
      </c>
      <c r="P1082" s="17">
        <v>613</v>
      </c>
      <c r="Q1082" s="175">
        <f t="shared" si="64"/>
        <v>3.1162999999999998</v>
      </c>
      <c r="R1082" s="199">
        <v>1.0900000000000001</v>
      </c>
      <c r="T1082" s="149"/>
      <c r="U1082" s="149">
        <v>1.7</v>
      </c>
      <c r="V1082" s="151">
        <v>0.25</v>
      </c>
      <c r="W1082" s="149">
        <f t="shared" si="67"/>
        <v>1.0900000000000001</v>
      </c>
      <c r="X1082" s="152">
        <f t="shared" si="66"/>
        <v>7.6300000000000007E-2</v>
      </c>
      <c r="Y1082" s="150">
        <f t="shared" si="65"/>
        <v>1.01</v>
      </c>
      <c r="Z1082" s="152"/>
      <c r="AC1082" s="154"/>
      <c r="AD1082" s="154"/>
      <c r="AE1082" s="154"/>
      <c r="AF1082" s="154"/>
    </row>
    <row r="1083" spans="1:32" x14ac:dyDescent="0.25">
      <c r="A1083" s="196">
        <v>691</v>
      </c>
      <c r="C1083" s="196" t="s">
        <v>5911</v>
      </c>
      <c r="D1083" s="196" t="s">
        <v>5912</v>
      </c>
      <c r="F1083" s="196">
        <v>2004</v>
      </c>
      <c r="H1083" s="196" t="s">
        <v>2734</v>
      </c>
      <c r="I1083" s="184" t="s">
        <v>1929</v>
      </c>
      <c r="K1083" s="196" t="s">
        <v>1881</v>
      </c>
      <c r="L1083" s="184" t="s">
        <v>5913</v>
      </c>
      <c r="M1083" s="196">
        <v>62</v>
      </c>
      <c r="O1083" s="196" t="s">
        <v>5207</v>
      </c>
      <c r="P1083" s="17">
        <v>447</v>
      </c>
      <c r="Q1083" s="175">
        <f t="shared" si="64"/>
        <v>4.7563000000000004</v>
      </c>
      <c r="R1083" s="199">
        <v>3.09</v>
      </c>
      <c r="T1083" s="149"/>
      <c r="U1083" s="149">
        <v>1.2</v>
      </c>
      <c r="V1083" s="149">
        <v>0.25</v>
      </c>
      <c r="W1083" s="149">
        <f t="shared" si="67"/>
        <v>3.09</v>
      </c>
      <c r="X1083" s="152">
        <f t="shared" si="66"/>
        <v>0.21629999999999999</v>
      </c>
      <c r="Y1083" s="150">
        <f t="shared" si="65"/>
        <v>1.01</v>
      </c>
      <c r="Z1083" s="152"/>
      <c r="AC1083" s="154"/>
      <c r="AD1083" s="154"/>
      <c r="AE1083" s="154"/>
      <c r="AF1083" s="154"/>
    </row>
    <row r="1084" spans="1:32" x14ac:dyDescent="0.25">
      <c r="A1084" s="196">
        <v>2689</v>
      </c>
      <c r="B1084" s="182" t="s">
        <v>5914</v>
      </c>
      <c r="C1084" s="196" t="s">
        <v>5915</v>
      </c>
      <c r="D1084" s="196" t="s">
        <v>5916</v>
      </c>
      <c r="F1084" s="196">
        <v>2000</v>
      </c>
      <c r="H1084" s="196" t="s">
        <v>2734</v>
      </c>
      <c r="I1084" s="184" t="s">
        <v>1879</v>
      </c>
      <c r="J1084" s="182" t="s">
        <v>2369</v>
      </c>
      <c r="K1084" s="196" t="s">
        <v>1881</v>
      </c>
      <c r="L1084" s="184" t="s">
        <v>5917</v>
      </c>
      <c r="M1084" s="196">
        <v>300</v>
      </c>
      <c r="O1084" s="196" t="s">
        <v>5208</v>
      </c>
      <c r="P1084" s="17">
        <v>726</v>
      </c>
      <c r="Q1084" s="175">
        <f t="shared" si="64"/>
        <v>2.2175000000000002</v>
      </c>
      <c r="R1084" s="199">
        <v>0.25</v>
      </c>
      <c r="T1084" s="149"/>
      <c r="U1084" s="149">
        <v>1.7</v>
      </c>
      <c r="V1084" s="151">
        <v>0.25</v>
      </c>
      <c r="W1084" s="149">
        <f t="shared" si="67"/>
        <v>0.25</v>
      </c>
      <c r="X1084" s="152">
        <f t="shared" si="66"/>
        <v>1.7500000000000002E-2</v>
      </c>
      <c r="Y1084" s="150">
        <f t="shared" si="65"/>
        <v>1.01</v>
      </c>
      <c r="Z1084" s="152"/>
      <c r="AC1084" s="154"/>
      <c r="AD1084" s="154"/>
      <c r="AE1084" s="154"/>
      <c r="AF1084" s="154"/>
    </row>
    <row r="1085" spans="1:32" x14ac:dyDescent="0.25">
      <c r="A1085" s="196">
        <v>534</v>
      </c>
      <c r="B1085" s="196" t="s">
        <v>5918</v>
      </c>
      <c r="C1085" s="196" t="s">
        <v>5919</v>
      </c>
      <c r="D1085" s="196" t="s">
        <v>5920</v>
      </c>
      <c r="F1085" s="196">
        <v>1956</v>
      </c>
      <c r="H1085" s="196" t="s">
        <v>2008</v>
      </c>
      <c r="I1085" s="184" t="s">
        <v>1879</v>
      </c>
      <c r="J1085" s="196" t="s">
        <v>2222</v>
      </c>
      <c r="K1085" s="196" t="s">
        <v>1881</v>
      </c>
      <c r="M1085" s="196">
        <v>148</v>
      </c>
      <c r="O1085" s="196" t="s">
        <v>5209</v>
      </c>
      <c r="P1085" s="17">
        <v>312</v>
      </c>
      <c r="Q1085" s="175">
        <f t="shared" si="64"/>
        <v>4.1143000000000001</v>
      </c>
      <c r="R1085" s="199">
        <v>2.4900000000000002</v>
      </c>
      <c r="T1085" s="149"/>
      <c r="U1085" s="149">
        <v>1.2</v>
      </c>
      <c r="V1085" s="149">
        <v>0.25</v>
      </c>
      <c r="W1085" s="149">
        <f t="shared" si="67"/>
        <v>2.4900000000000002</v>
      </c>
      <c r="X1085" s="152">
        <f t="shared" si="66"/>
        <v>0.17430000000000001</v>
      </c>
      <c r="Y1085" s="150">
        <f t="shared" si="65"/>
        <v>1.01</v>
      </c>
      <c r="Z1085" s="152"/>
      <c r="AC1085" s="154"/>
      <c r="AD1085" s="154"/>
      <c r="AE1085" s="154"/>
      <c r="AF1085" s="154"/>
    </row>
    <row r="1086" spans="1:32" x14ac:dyDescent="0.25">
      <c r="A1086" s="196">
        <v>1324</v>
      </c>
      <c r="C1086" s="196" t="s">
        <v>5921</v>
      </c>
      <c r="D1086" s="196" t="s">
        <v>5922</v>
      </c>
      <c r="E1086" s="182" t="s">
        <v>1913</v>
      </c>
      <c r="F1086" s="196">
        <v>1998</v>
      </c>
      <c r="H1086" s="196" t="s">
        <v>4297</v>
      </c>
      <c r="I1086" s="184" t="s">
        <v>1879</v>
      </c>
      <c r="K1086" s="196" t="s">
        <v>1881</v>
      </c>
      <c r="L1086" s="184" t="s">
        <v>5923</v>
      </c>
      <c r="M1086" s="196">
        <v>148</v>
      </c>
      <c r="O1086" s="196" t="s">
        <v>5210</v>
      </c>
      <c r="P1086" s="17">
        <v>372</v>
      </c>
      <c r="Q1086" s="175">
        <f t="shared" si="64"/>
        <v>2.5093000000000001</v>
      </c>
      <c r="R1086" s="199">
        <v>0.99</v>
      </c>
      <c r="T1086" s="149"/>
      <c r="U1086" s="149">
        <v>1.2</v>
      </c>
      <c r="V1086" s="151">
        <v>0.25</v>
      </c>
      <c r="W1086" s="149">
        <f t="shared" si="67"/>
        <v>0.99</v>
      </c>
      <c r="X1086" s="152">
        <f t="shared" si="66"/>
        <v>6.93E-2</v>
      </c>
      <c r="Y1086" s="150">
        <f t="shared" si="65"/>
        <v>1.01</v>
      </c>
      <c r="Z1086" s="152"/>
      <c r="AC1086" s="154"/>
      <c r="AD1086" s="154"/>
      <c r="AE1086" s="154"/>
      <c r="AF1086" s="154"/>
    </row>
    <row r="1087" spans="1:32" x14ac:dyDescent="0.25">
      <c r="A1087" s="196">
        <v>1321</v>
      </c>
      <c r="B1087" s="182" t="s">
        <v>5924</v>
      </c>
      <c r="C1087" s="196" t="s">
        <v>5925</v>
      </c>
      <c r="D1087" s="196" t="s">
        <v>5926</v>
      </c>
      <c r="F1087" s="196">
        <v>1994</v>
      </c>
      <c r="H1087" s="196" t="s">
        <v>2734</v>
      </c>
      <c r="I1087" s="184" t="s">
        <v>1879</v>
      </c>
      <c r="K1087" s="196" t="s">
        <v>1881</v>
      </c>
      <c r="L1087" s="184" t="s">
        <v>5927</v>
      </c>
      <c r="M1087" s="196">
        <v>98</v>
      </c>
      <c r="O1087" s="196" t="s">
        <v>5211</v>
      </c>
      <c r="P1087" s="17">
        <v>485</v>
      </c>
      <c r="Q1087" s="175">
        <f t="shared" si="64"/>
        <v>3.0442999999999998</v>
      </c>
      <c r="R1087" s="199">
        <v>1.49</v>
      </c>
      <c r="T1087" s="149"/>
      <c r="U1087" s="149">
        <v>1.2</v>
      </c>
      <c r="V1087" s="149">
        <v>0.25</v>
      </c>
      <c r="W1087" s="149">
        <f t="shared" si="67"/>
        <v>1.49</v>
      </c>
      <c r="X1087" s="152">
        <f t="shared" si="66"/>
        <v>0.1043</v>
      </c>
      <c r="Y1087" s="150">
        <f t="shared" si="65"/>
        <v>1.01</v>
      </c>
      <c r="Z1087" s="152"/>
      <c r="AC1087" s="154"/>
      <c r="AD1087" s="154"/>
      <c r="AE1087" s="154"/>
      <c r="AF1087" s="154"/>
    </row>
    <row r="1088" spans="1:32" x14ac:dyDescent="0.25">
      <c r="A1088" s="196">
        <v>323</v>
      </c>
      <c r="B1088" s="196" t="s">
        <v>5928</v>
      </c>
      <c r="C1088" s="196" t="s">
        <v>5929</v>
      </c>
      <c r="D1088" s="196" t="s">
        <v>5930</v>
      </c>
      <c r="F1088" s="196">
        <v>2004</v>
      </c>
      <c r="H1088" s="196" t="s">
        <v>2734</v>
      </c>
      <c r="I1088" s="184" t="s">
        <v>1929</v>
      </c>
      <c r="K1088" s="196" t="s">
        <v>1881</v>
      </c>
      <c r="L1088" s="184" t="s">
        <v>5931</v>
      </c>
      <c r="M1088" s="196">
        <v>130</v>
      </c>
      <c r="O1088" s="196" t="s">
        <v>5212</v>
      </c>
      <c r="P1088" s="17">
        <v>398</v>
      </c>
      <c r="Q1088" s="175">
        <f t="shared" si="64"/>
        <v>2.6162999999999998</v>
      </c>
      <c r="R1088" s="199">
        <v>1.0900000000000001</v>
      </c>
      <c r="T1088" s="149"/>
      <c r="U1088" s="149">
        <v>1.2</v>
      </c>
      <c r="V1088" s="151">
        <v>0.25</v>
      </c>
      <c r="W1088" s="149">
        <f t="shared" si="67"/>
        <v>1.0900000000000001</v>
      </c>
      <c r="X1088" s="152">
        <f t="shared" si="66"/>
        <v>7.6300000000000007E-2</v>
      </c>
      <c r="Y1088" s="150">
        <f t="shared" si="65"/>
        <v>1.01</v>
      </c>
      <c r="Z1088" s="152"/>
      <c r="AC1088" s="154"/>
      <c r="AD1088" s="154"/>
      <c r="AE1088" s="154"/>
      <c r="AF1088" s="154"/>
    </row>
    <row r="1089" spans="1:32" x14ac:dyDescent="0.25">
      <c r="A1089" s="196">
        <v>972</v>
      </c>
      <c r="B1089" s="196" t="s">
        <v>5932</v>
      </c>
      <c r="C1089" s="196" t="s">
        <v>5933</v>
      </c>
      <c r="D1089" s="196" t="s">
        <v>2640</v>
      </c>
      <c r="F1089" s="196">
        <v>1993</v>
      </c>
      <c r="H1089" s="196" t="s">
        <v>2734</v>
      </c>
      <c r="I1089" s="184" t="s">
        <v>1879</v>
      </c>
      <c r="J1089" s="182" t="s">
        <v>5934</v>
      </c>
      <c r="K1089" s="196" t="s">
        <v>2025</v>
      </c>
      <c r="L1089" s="184" t="s">
        <v>5935</v>
      </c>
      <c r="M1089" s="196">
        <v>312</v>
      </c>
      <c r="O1089" s="196" t="s">
        <v>5213</v>
      </c>
      <c r="P1089" s="17">
        <v>682</v>
      </c>
      <c r="Q1089" s="175">
        <f t="shared" si="64"/>
        <v>4.6143000000000001</v>
      </c>
      <c r="R1089" s="199">
        <v>2.4900000000000002</v>
      </c>
      <c r="T1089" s="149"/>
      <c r="U1089" s="149">
        <v>1.7</v>
      </c>
      <c r="V1089" s="149">
        <v>0.25</v>
      </c>
      <c r="W1089" s="149">
        <f t="shared" si="67"/>
        <v>2.4900000000000002</v>
      </c>
      <c r="X1089" s="152">
        <f t="shared" si="66"/>
        <v>0.17430000000000001</v>
      </c>
      <c r="Y1089" s="150">
        <f t="shared" si="65"/>
        <v>1.01</v>
      </c>
      <c r="Z1089" s="152"/>
      <c r="AC1089" s="154"/>
      <c r="AD1089" s="154"/>
      <c r="AE1089" s="154"/>
      <c r="AF1089" s="154"/>
    </row>
    <row r="1090" spans="1:32" x14ac:dyDescent="0.25">
      <c r="A1090" s="196">
        <v>689</v>
      </c>
      <c r="B1090" s="196" t="s">
        <v>5936</v>
      </c>
      <c r="C1090" s="196" t="s">
        <v>5937</v>
      </c>
      <c r="D1090" s="196" t="s">
        <v>2897</v>
      </c>
      <c r="E1090" s="196" t="s">
        <v>1913</v>
      </c>
      <c r="F1090" s="196">
        <v>1998</v>
      </c>
      <c r="H1090" s="196" t="s">
        <v>2734</v>
      </c>
      <c r="I1090" s="184" t="s">
        <v>1879</v>
      </c>
      <c r="K1090" s="196" t="s">
        <v>1881</v>
      </c>
      <c r="L1090" s="184" t="s">
        <v>5938</v>
      </c>
      <c r="M1090" s="196">
        <v>354</v>
      </c>
      <c r="O1090" s="196" t="s">
        <v>5214</v>
      </c>
      <c r="P1090" s="17">
        <v>550</v>
      </c>
      <c r="Q1090" s="175">
        <f t="shared" si="64"/>
        <v>2.4742999999999999</v>
      </c>
      <c r="R1090" s="199">
        <v>0.49</v>
      </c>
      <c r="T1090" s="149"/>
      <c r="U1090" s="149">
        <v>1.7</v>
      </c>
      <c r="V1090" s="151">
        <v>0.25</v>
      </c>
      <c r="W1090" s="149">
        <f t="shared" si="67"/>
        <v>0.49</v>
      </c>
      <c r="X1090" s="152">
        <f t="shared" si="66"/>
        <v>3.4299999999999997E-2</v>
      </c>
      <c r="Y1090" s="150">
        <f t="shared" si="65"/>
        <v>1.01</v>
      </c>
      <c r="Z1090" s="152"/>
      <c r="AC1090" s="154"/>
      <c r="AD1090" s="154"/>
      <c r="AE1090" s="154"/>
      <c r="AF1090" s="154"/>
    </row>
    <row r="1091" spans="1:32" x14ac:dyDescent="0.25">
      <c r="A1091" s="196">
        <v>700</v>
      </c>
      <c r="B1091" s="196" t="s">
        <v>5939</v>
      </c>
      <c r="C1091" s="196" t="s">
        <v>5940</v>
      </c>
      <c r="D1091" s="196" t="s">
        <v>5941</v>
      </c>
      <c r="F1091" s="196">
        <v>1990</v>
      </c>
      <c r="H1091" s="196" t="s">
        <v>2734</v>
      </c>
      <c r="I1091" s="184" t="s">
        <v>1879</v>
      </c>
      <c r="K1091" s="196" t="s">
        <v>1881</v>
      </c>
      <c r="L1091" s="184" t="s">
        <v>5942</v>
      </c>
      <c r="M1091" s="196">
        <v>156</v>
      </c>
      <c r="O1091" s="196" t="s">
        <v>5215</v>
      </c>
      <c r="P1091" s="17">
        <v>381</v>
      </c>
      <c r="Q1091" s="175">
        <f t="shared" si="64"/>
        <v>5.7193000000000005</v>
      </c>
      <c r="R1091" s="199">
        <v>3.99</v>
      </c>
      <c r="T1091" s="149"/>
      <c r="U1091" s="149">
        <v>1.2</v>
      </c>
      <c r="V1091" s="149">
        <v>0.25</v>
      </c>
      <c r="W1091" s="149">
        <f t="shared" si="67"/>
        <v>3.99</v>
      </c>
      <c r="X1091" s="152">
        <f t="shared" si="66"/>
        <v>0.27930000000000005</v>
      </c>
      <c r="Y1091" s="150">
        <f t="shared" si="65"/>
        <v>1.01</v>
      </c>
      <c r="Z1091" s="152"/>
      <c r="AC1091" s="154"/>
      <c r="AD1091" s="154"/>
      <c r="AE1091" s="154"/>
      <c r="AF1091" s="154"/>
    </row>
    <row r="1092" spans="1:32" x14ac:dyDescent="0.25">
      <c r="A1092" s="196">
        <v>972</v>
      </c>
      <c r="B1092" s="196" t="s">
        <v>2321</v>
      </c>
      <c r="C1092" s="196" t="s">
        <v>5943</v>
      </c>
      <c r="D1092" s="196" t="s">
        <v>5944</v>
      </c>
      <c r="F1092" s="196">
        <v>1999</v>
      </c>
      <c r="H1092" s="196" t="s">
        <v>2734</v>
      </c>
      <c r="I1092" s="184" t="s">
        <v>1879</v>
      </c>
      <c r="J1092" s="182" t="s">
        <v>5945</v>
      </c>
      <c r="K1092" s="196" t="s">
        <v>2025</v>
      </c>
      <c r="L1092" s="184" t="s">
        <v>5946</v>
      </c>
      <c r="M1092" s="196">
        <v>344</v>
      </c>
      <c r="O1092" s="196" t="s">
        <v>5216</v>
      </c>
      <c r="P1092" s="17">
        <v>602</v>
      </c>
      <c r="Q1092" s="175">
        <f t="shared" si="64"/>
        <v>3.9722999999999997</v>
      </c>
      <c r="R1092" s="199">
        <v>1.89</v>
      </c>
      <c r="T1092" s="149"/>
      <c r="U1092" s="149">
        <v>1.7</v>
      </c>
      <c r="V1092" s="151">
        <v>0.25</v>
      </c>
      <c r="W1092" s="149">
        <f t="shared" si="67"/>
        <v>1.89</v>
      </c>
      <c r="X1092" s="152">
        <f t="shared" si="66"/>
        <v>0.1323</v>
      </c>
      <c r="Y1092" s="150">
        <f t="shared" si="65"/>
        <v>1.01</v>
      </c>
      <c r="Z1092" s="152"/>
      <c r="AC1092" s="154"/>
      <c r="AD1092" s="154"/>
      <c r="AE1092" s="154"/>
      <c r="AF1092" s="154"/>
    </row>
    <row r="1093" spans="1:32" x14ac:dyDescent="0.25">
      <c r="A1093" s="196">
        <v>2547</v>
      </c>
      <c r="B1093" s="196" t="s">
        <v>5842</v>
      </c>
      <c r="C1093" s="196" t="s">
        <v>5947</v>
      </c>
      <c r="D1093" s="196" t="s">
        <v>1912</v>
      </c>
      <c r="E1093" s="196" t="s">
        <v>1913</v>
      </c>
      <c r="F1093" s="196">
        <v>2004</v>
      </c>
      <c r="H1093" s="196" t="s">
        <v>2734</v>
      </c>
      <c r="I1093" s="184" t="s">
        <v>1929</v>
      </c>
      <c r="K1093" s="196" t="s">
        <v>1881</v>
      </c>
      <c r="L1093" s="184" t="s">
        <v>5948</v>
      </c>
      <c r="M1093" s="196">
        <v>450</v>
      </c>
      <c r="O1093" s="196" t="s">
        <v>5217</v>
      </c>
      <c r="P1093" s="17">
        <v>704</v>
      </c>
      <c r="Q1093" s="175">
        <f t="shared" si="64"/>
        <v>3.0093000000000001</v>
      </c>
      <c r="R1093" s="199">
        <v>0.99</v>
      </c>
      <c r="T1093" s="149"/>
      <c r="U1093" s="149">
        <v>1.7</v>
      </c>
      <c r="V1093" s="149">
        <v>0.25</v>
      </c>
      <c r="W1093" s="149">
        <f t="shared" si="67"/>
        <v>0.99</v>
      </c>
      <c r="X1093" s="152">
        <f t="shared" si="66"/>
        <v>6.93E-2</v>
      </c>
      <c r="Y1093" s="150">
        <f t="shared" si="65"/>
        <v>1.01</v>
      </c>
      <c r="Z1093" s="152"/>
      <c r="AC1093" s="154"/>
      <c r="AD1093" s="154"/>
      <c r="AE1093" s="154"/>
      <c r="AF1093" s="154"/>
    </row>
    <row r="1094" spans="1:32" x14ac:dyDescent="0.25">
      <c r="A1094" s="196">
        <v>1324</v>
      </c>
      <c r="B1094" s="196" t="s">
        <v>5949</v>
      </c>
      <c r="C1094" s="196" t="s">
        <v>5950</v>
      </c>
      <c r="D1094" s="196" t="s">
        <v>5926</v>
      </c>
      <c r="F1094" s="196">
        <v>2000</v>
      </c>
      <c r="H1094" s="196" t="s">
        <v>2734</v>
      </c>
      <c r="I1094" s="184" t="s">
        <v>1929</v>
      </c>
      <c r="K1094" s="196" t="s">
        <v>1881</v>
      </c>
      <c r="L1094" s="184" t="s">
        <v>5951</v>
      </c>
      <c r="M1094" s="196">
        <v>290</v>
      </c>
      <c r="O1094" s="196" t="s">
        <v>5218</v>
      </c>
      <c r="P1094" s="17">
        <v>759</v>
      </c>
      <c r="Q1094" s="175">
        <f t="shared" si="64"/>
        <v>3.1162999999999998</v>
      </c>
      <c r="R1094" s="199">
        <v>1.0900000000000001</v>
      </c>
      <c r="T1094" s="149"/>
      <c r="U1094" s="149">
        <v>1.7</v>
      </c>
      <c r="V1094" s="151">
        <v>0.25</v>
      </c>
      <c r="W1094" s="149">
        <f t="shared" si="67"/>
        <v>1.0900000000000001</v>
      </c>
      <c r="X1094" s="152">
        <f t="shared" si="66"/>
        <v>7.6300000000000007E-2</v>
      </c>
      <c r="Y1094" s="150">
        <f t="shared" si="65"/>
        <v>1.01</v>
      </c>
      <c r="Z1094" s="152"/>
      <c r="AC1094" s="154"/>
      <c r="AD1094" s="154"/>
      <c r="AE1094" s="154"/>
      <c r="AF1094" s="154"/>
    </row>
    <row r="1095" spans="1:32" x14ac:dyDescent="0.25">
      <c r="A1095" s="196">
        <v>2522</v>
      </c>
      <c r="B1095" s="196" t="s">
        <v>5952</v>
      </c>
      <c r="C1095" s="196" t="s">
        <v>5953</v>
      </c>
      <c r="D1095" s="196" t="s">
        <v>1993</v>
      </c>
      <c r="E1095" s="196" t="s">
        <v>1913</v>
      </c>
      <c r="F1095" s="196">
        <v>2008</v>
      </c>
      <c r="H1095" s="196" t="s">
        <v>1878</v>
      </c>
      <c r="I1095" s="184" t="s">
        <v>1914</v>
      </c>
      <c r="K1095" s="196" t="s">
        <v>1881</v>
      </c>
      <c r="L1095" s="184" t="s">
        <v>5954</v>
      </c>
      <c r="M1095" s="196">
        <v>384</v>
      </c>
      <c r="O1095" s="196" t="s">
        <v>5219</v>
      </c>
      <c r="P1095" s="17">
        <v>297</v>
      </c>
      <c r="Q1095" s="175">
        <f t="shared" si="64"/>
        <v>2.9373</v>
      </c>
      <c r="R1095" s="199">
        <v>1.39</v>
      </c>
      <c r="T1095" s="149"/>
      <c r="U1095" s="149">
        <v>1.2</v>
      </c>
      <c r="V1095" s="149">
        <v>0.25</v>
      </c>
      <c r="W1095" s="149">
        <f t="shared" si="67"/>
        <v>1.39</v>
      </c>
      <c r="X1095" s="152">
        <f t="shared" si="66"/>
        <v>9.7299999999999998E-2</v>
      </c>
      <c r="Y1095" s="150">
        <f t="shared" si="65"/>
        <v>1.01</v>
      </c>
      <c r="Z1095" s="152"/>
      <c r="AC1095" s="154"/>
      <c r="AD1095" s="154"/>
      <c r="AE1095" s="154"/>
      <c r="AF1095" s="154"/>
    </row>
    <row r="1096" spans="1:32" x14ac:dyDescent="0.25">
      <c r="A1096" s="196">
        <v>2792</v>
      </c>
      <c r="B1096" s="196" t="s">
        <v>5955</v>
      </c>
      <c r="C1096" s="196" t="s">
        <v>5956</v>
      </c>
      <c r="D1096" s="196" t="s">
        <v>4517</v>
      </c>
      <c r="E1096" s="196" t="s">
        <v>1913</v>
      </c>
      <c r="F1096" s="196">
        <v>2003</v>
      </c>
      <c r="H1096" s="196" t="s">
        <v>1878</v>
      </c>
      <c r="I1096" s="184" t="s">
        <v>1914</v>
      </c>
      <c r="K1096" s="196" t="s">
        <v>1881</v>
      </c>
      <c r="L1096" s="184" t="s">
        <v>5957</v>
      </c>
      <c r="M1096" s="196">
        <v>400</v>
      </c>
      <c r="O1096" s="196" t="s">
        <v>5220</v>
      </c>
      <c r="P1096" s="17">
        <v>329</v>
      </c>
      <c r="Q1096" s="175">
        <f t="shared" si="64"/>
        <v>1.9742999999999999</v>
      </c>
      <c r="R1096" s="199">
        <v>0.49</v>
      </c>
      <c r="T1096" s="149"/>
      <c r="U1096" s="149">
        <v>1.2</v>
      </c>
      <c r="V1096" s="151">
        <v>0.25</v>
      </c>
      <c r="W1096" s="149">
        <f t="shared" si="67"/>
        <v>0.49</v>
      </c>
      <c r="X1096" s="152">
        <f t="shared" si="66"/>
        <v>3.4299999999999997E-2</v>
      </c>
      <c r="Y1096" s="150">
        <f t="shared" si="65"/>
        <v>1.01</v>
      </c>
      <c r="Z1096" s="152"/>
      <c r="AC1096" s="154"/>
      <c r="AD1096" s="154"/>
      <c r="AE1096" s="154"/>
      <c r="AF1096" s="154"/>
    </row>
    <row r="1097" spans="1:32" x14ac:dyDescent="0.25">
      <c r="A1097" s="196">
        <v>1031</v>
      </c>
      <c r="B1097" s="196" t="s">
        <v>5958</v>
      </c>
      <c r="C1097" s="196" t="s">
        <v>5959</v>
      </c>
      <c r="D1097" s="196" t="s">
        <v>5960</v>
      </c>
      <c r="H1097" s="196" t="s">
        <v>2734</v>
      </c>
      <c r="I1097" s="184" t="s">
        <v>1879</v>
      </c>
      <c r="K1097" s="196" t="s">
        <v>1881</v>
      </c>
      <c r="M1097" s="196">
        <v>314</v>
      </c>
      <c r="O1097" s="196" t="s">
        <v>5221</v>
      </c>
      <c r="P1097" s="17">
        <v>449</v>
      </c>
      <c r="Q1097" s="175">
        <f t="shared" si="64"/>
        <v>1.7603</v>
      </c>
      <c r="R1097" s="199">
        <v>0.28999999999999998</v>
      </c>
      <c r="T1097" s="149"/>
      <c r="U1097" s="149">
        <v>1.2</v>
      </c>
      <c r="V1097" s="149">
        <v>0.25</v>
      </c>
      <c r="W1097" s="149">
        <f t="shared" si="67"/>
        <v>0.28999999999999998</v>
      </c>
      <c r="X1097" s="152">
        <f t="shared" si="66"/>
        <v>2.0299999999999999E-2</v>
      </c>
      <c r="Y1097" s="150">
        <f t="shared" si="65"/>
        <v>1.01</v>
      </c>
      <c r="Z1097" s="152"/>
      <c r="AC1097" s="154"/>
      <c r="AD1097" s="154"/>
      <c r="AE1097" s="154"/>
      <c r="AF1097" s="154"/>
    </row>
    <row r="1098" spans="1:32" x14ac:dyDescent="0.25">
      <c r="A1098" s="196">
        <v>2712</v>
      </c>
      <c r="B1098" s="196" t="s">
        <v>5961</v>
      </c>
      <c r="C1098" s="196" t="s">
        <v>5962</v>
      </c>
      <c r="D1098" s="196" t="s">
        <v>5941</v>
      </c>
      <c r="F1098" s="196">
        <v>1976</v>
      </c>
      <c r="H1098" s="196" t="s">
        <v>2734</v>
      </c>
      <c r="I1098" s="184" t="s">
        <v>1879</v>
      </c>
      <c r="J1098" s="182" t="s">
        <v>5934</v>
      </c>
      <c r="K1098" s="196" t="s">
        <v>1881</v>
      </c>
      <c r="L1098" s="184" t="s">
        <v>5963</v>
      </c>
      <c r="M1098" s="196">
        <v>758</v>
      </c>
      <c r="O1098" s="196" t="s">
        <v>5222</v>
      </c>
      <c r="P1098" s="17">
        <v>882</v>
      </c>
      <c r="Q1098" s="175">
        <f t="shared" si="64"/>
        <v>3.1162999999999998</v>
      </c>
      <c r="R1098" s="199">
        <v>1.0900000000000001</v>
      </c>
      <c r="T1098" s="149"/>
      <c r="U1098" s="149">
        <v>1.7</v>
      </c>
      <c r="V1098" s="151">
        <v>0.25</v>
      </c>
      <c r="W1098" s="149">
        <f t="shared" si="67"/>
        <v>1.0900000000000001</v>
      </c>
      <c r="X1098" s="152">
        <f t="shared" si="66"/>
        <v>7.6300000000000007E-2</v>
      </c>
      <c r="Y1098" s="150">
        <f t="shared" si="65"/>
        <v>1.01</v>
      </c>
      <c r="Z1098" s="152"/>
      <c r="AC1098" s="154"/>
      <c r="AD1098" s="154"/>
      <c r="AE1098" s="154"/>
      <c r="AF1098" s="154"/>
    </row>
    <row r="1099" spans="1:32" x14ac:dyDescent="0.25">
      <c r="A1099" s="196">
        <v>973</v>
      </c>
      <c r="B1099" s="196" t="s">
        <v>5964</v>
      </c>
      <c r="C1099" s="196" t="s">
        <v>5965</v>
      </c>
      <c r="F1099" s="196">
        <v>1999</v>
      </c>
      <c r="H1099" s="196" t="s">
        <v>2734</v>
      </c>
      <c r="I1099" s="184" t="s">
        <v>1879</v>
      </c>
      <c r="K1099" s="196" t="s">
        <v>2025</v>
      </c>
      <c r="L1099" s="184" t="s">
        <v>5966</v>
      </c>
      <c r="M1099" s="196">
        <v>268</v>
      </c>
      <c r="O1099" s="196" t="s">
        <v>5223</v>
      </c>
      <c r="P1099" s="17">
        <v>573</v>
      </c>
      <c r="Q1099" s="175">
        <f t="shared" si="64"/>
        <v>17.9893</v>
      </c>
      <c r="R1099" s="199">
        <v>14.99</v>
      </c>
      <c r="T1099" s="149"/>
      <c r="U1099" s="149">
        <v>1.7</v>
      </c>
      <c r="V1099" s="149">
        <v>0.25</v>
      </c>
      <c r="W1099" s="149">
        <f t="shared" si="67"/>
        <v>14.99</v>
      </c>
      <c r="X1099" s="152">
        <f t="shared" si="66"/>
        <v>1.0493000000000001</v>
      </c>
      <c r="Y1099" s="150">
        <f t="shared" si="65"/>
        <v>1.01</v>
      </c>
      <c r="Z1099" s="152"/>
      <c r="AC1099" s="154"/>
      <c r="AD1099" s="154"/>
      <c r="AE1099" s="154"/>
      <c r="AF1099" s="154"/>
    </row>
    <row r="1100" spans="1:32" x14ac:dyDescent="0.25">
      <c r="A1100" s="196">
        <v>766</v>
      </c>
      <c r="B1100" s="196" t="s">
        <v>5967</v>
      </c>
      <c r="C1100" s="196" t="s">
        <v>5968</v>
      </c>
      <c r="D1100" s="196" t="s">
        <v>2300</v>
      </c>
      <c r="F1100" s="196">
        <v>1999</v>
      </c>
      <c r="H1100" s="196" t="s">
        <v>1878</v>
      </c>
      <c r="I1100" s="184" t="s">
        <v>1879</v>
      </c>
      <c r="K1100" s="196" t="s">
        <v>1881</v>
      </c>
      <c r="L1100" s="184" t="s">
        <v>5969</v>
      </c>
      <c r="M1100" s="196">
        <v>128</v>
      </c>
      <c r="O1100" s="196" t="s">
        <v>5224</v>
      </c>
      <c r="P1100" s="17">
        <v>151</v>
      </c>
      <c r="Q1100" s="175">
        <f t="shared" si="64"/>
        <v>2.7232999999999996</v>
      </c>
      <c r="R1100" s="199">
        <v>1.19</v>
      </c>
      <c r="T1100" s="149"/>
      <c r="U1100" s="149">
        <v>1.2</v>
      </c>
      <c r="V1100" s="151">
        <v>0.25</v>
      </c>
      <c r="W1100" s="149">
        <f t="shared" si="67"/>
        <v>1.19</v>
      </c>
      <c r="X1100" s="152">
        <f t="shared" si="66"/>
        <v>8.3299999999999999E-2</v>
      </c>
      <c r="Y1100" s="150">
        <f t="shared" si="65"/>
        <v>1.01</v>
      </c>
      <c r="Z1100" s="152"/>
      <c r="AC1100" s="154"/>
      <c r="AD1100" s="154"/>
      <c r="AE1100" s="154"/>
      <c r="AF1100" s="154"/>
    </row>
    <row r="1101" spans="1:32" x14ac:dyDescent="0.25">
      <c r="A1101" s="196">
        <v>1216</v>
      </c>
      <c r="B1101" s="196" t="s">
        <v>5970</v>
      </c>
      <c r="C1101" s="196" t="s">
        <v>5971</v>
      </c>
      <c r="D1101" s="196" t="s">
        <v>5972</v>
      </c>
      <c r="F1101" s="196">
        <v>1983</v>
      </c>
      <c r="H1101" s="196" t="s">
        <v>1878</v>
      </c>
      <c r="I1101" s="184" t="s">
        <v>1879</v>
      </c>
      <c r="K1101" s="196" t="s">
        <v>1881</v>
      </c>
      <c r="L1101" s="184" t="s">
        <v>5973</v>
      </c>
      <c r="M1101" s="196">
        <v>192</v>
      </c>
      <c r="O1101" s="196" t="s">
        <v>5225</v>
      </c>
      <c r="P1101" s="17">
        <v>269</v>
      </c>
      <c r="Q1101" s="175">
        <f t="shared" si="64"/>
        <v>2.8303000000000003</v>
      </c>
      <c r="R1101" s="199">
        <v>1.29</v>
      </c>
      <c r="T1101" s="149"/>
      <c r="U1101" s="149">
        <v>1.2</v>
      </c>
      <c r="V1101" s="149">
        <v>0.25</v>
      </c>
      <c r="W1101" s="149">
        <f t="shared" si="67"/>
        <v>1.29</v>
      </c>
      <c r="X1101" s="152">
        <f t="shared" si="66"/>
        <v>9.0300000000000005E-2</v>
      </c>
      <c r="Y1101" s="150">
        <f t="shared" si="65"/>
        <v>1.01</v>
      </c>
      <c r="Z1101" s="152"/>
      <c r="AC1101" s="154"/>
      <c r="AD1101" s="154"/>
      <c r="AE1101" s="154"/>
      <c r="AF1101" s="154"/>
    </row>
    <row r="1102" spans="1:32" x14ac:dyDescent="0.25">
      <c r="A1102" s="196">
        <v>704</v>
      </c>
      <c r="B1102" s="196" t="s">
        <v>5974</v>
      </c>
      <c r="C1102" s="196" t="s">
        <v>5975</v>
      </c>
      <c r="D1102" s="196" t="s">
        <v>5976</v>
      </c>
      <c r="E1102" s="196" t="s">
        <v>1913</v>
      </c>
      <c r="F1102" s="196">
        <v>2012</v>
      </c>
      <c r="H1102" s="196" t="s">
        <v>1878</v>
      </c>
      <c r="I1102" s="184" t="s">
        <v>1879</v>
      </c>
      <c r="K1102" s="196" t="s">
        <v>1881</v>
      </c>
      <c r="L1102" s="184" t="s">
        <v>5977</v>
      </c>
      <c r="M1102" s="196">
        <v>208</v>
      </c>
      <c r="O1102" s="196" t="s">
        <v>5226</v>
      </c>
      <c r="P1102" s="17">
        <v>234</v>
      </c>
      <c r="Q1102" s="175">
        <f t="shared" si="64"/>
        <v>3.0442999999999998</v>
      </c>
      <c r="R1102" s="199">
        <v>1.49</v>
      </c>
      <c r="T1102" s="149"/>
      <c r="U1102" s="149">
        <v>1.2</v>
      </c>
      <c r="V1102" s="151">
        <v>0.25</v>
      </c>
      <c r="W1102" s="149">
        <f t="shared" si="67"/>
        <v>1.49</v>
      </c>
      <c r="X1102" s="152">
        <f t="shared" si="66"/>
        <v>0.1043</v>
      </c>
      <c r="Y1102" s="150">
        <f t="shared" si="65"/>
        <v>1.01</v>
      </c>
      <c r="Z1102" s="152"/>
      <c r="AC1102" s="154"/>
      <c r="AD1102" s="154"/>
      <c r="AE1102" s="154"/>
      <c r="AF1102" s="154"/>
    </row>
    <row r="1103" spans="1:32" x14ac:dyDescent="0.25">
      <c r="A1103" s="196">
        <v>651</v>
      </c>
      <c r="B1103" s="196" t="s">
        <v>5978</v>
      </c>
      <c r="C1103" s="196" t="s">
        <v>5979</v>
      </c>
      <c r="D1103" s="196" t="s">
        <v>2117</v>
      </c>
      <c r="E1103" s="196" t="s">
        <v>1913</v>
      </c>
      <c r="F1103" s="196">
        <v>2000</v>
      </c>
      <c r="H1103" s="196" t="s">
        <v>1878</v>
      </c>
      <c r="I1103" s="184" t="s">
        <v>1879</v>
      </c>
      <c r="K1103" s="196" t="s">
        <v>1881</v>
      </c>
      <c r="L1103" s="184" t="s">
        <v>5980</v>
      </c>
      <c r="M1103" s="196">
        <v>32</v>
      </c>
      <c r="O1103" s="196" t="s">
        <v>5227</v>
      </c>
      <c r="P1103" s="17">
        <v>128</v>
      </c>
      <c r="Q1103" s="175">
        <f t="shared" si="64"/>
        <v>4.1143000000000001</v>
      </c>
      <c r="R1103" s="199">
        <v>2.4900000000000002</v>
      </c>
      <c r="T1103" s="149"/>
      <c r="U1103" s="149">
        <v>1.2</v>
      </c>
      <c r="V1103" s="149">
        <v>0.25</v>
      </c>
      <c r="W1103" s="149">
        <f t="shared" si="67"/>
        <v>2.4900000000000002</v>
      </c>
      <c r="X1103" s="152">
        <f t="shared" si="66"/>
        <v>0.17430000000000001</v>
      </c>
      <c r="Y1103" s="150">
        <f t="shared" si="65"/>
        <v>1.01</v>
      </c>
      <c r="Z1103" s="152"/>
      <c r="AC1103" s="154"/>
      <c r="AD1103" s="154"/>
      <c r="AE1103" s="154"/>
      <c r="AF1103" s="154"/>
    </row>
    <row r="1104" spans="1:32" x14ac:dyDescent="0.25">
      <c r="A1104" s="196">
        <v>1395</v>
      </c>
      <c r="B1104" s="196" t="s">
        <v>5981</v>
      </c>
      <c r="C1104" s="196" t="s">
        <v>5982</v>
      </c>
      <c r="D1104" s="196" t="s">
        <v>1920</v>
      </c>
      <c r="F1104" s="196">
        <v>2005</v>
      </c>
      <c r="H1104" s="196" t="s">
        <v>1878</v>
      </c>
      <c r="I1104" s="184" t="s">
        <v>1879</v>
      </c>
      <c r="K1104" s="196" t="s">
        <v>1881</v>
      </c>
      <c r="L1104" s="184" t="s">
        <v>5983</v>
      </c>
      <c r="M1104" s="196">
        <v>336</v>
      </c>
      <c r="O1104" s="196" t="s">
        <v>5228</v>
      </c>
      <c r="P1104" s="17">
        <v>289</v>
      </c>
      <c r="Q1104" s="175">
        <f t="shared" si="64"/>
        <v>2.4022999999999999</v>
      </c>
      <c r="R1104" s="199">
        <v>0.89</v>
      </c>
      <c r="T1104" s="149"/>
      <c r="U1104" s="149">
        <v>1.2</v>
      </c>
      <c r="V1104" s="151">
        <v>0.25</v>
      </c>
      <c r="W1104" s="149">
        <f t="shared" si="67"/>
        <v>0.89</v>
      </c>
      <c r="X1104" s="152">
        <f t="shared" si="66"/>
        <v>6.2300000000000001E-2</v>
      </c>
      <c r="Y1104" s="150">
        <f t="shared" si="65"/>
        <v>1.01</v>
      </c>
      <c r="Z1104" s="152"/>
      <c r="AC1104" s="154"/>
      <c r="AD1104" s="154"/>
      <c r="AE1104" s="154"/>
      <c r="AF1104" s="154"/>
    </row>
    <row r="1105" spans="1:32" x14ac:dyDescent="0.25">
      <c r="A1105" s="196">
        <v>1386</v>
      </c>
      <c r="B1105" s="196" t="s">
        <v>5984</v>
      </c>
      <c r="C1105" s="196" t="s">
        <v>5985</v>
      </c>
      <c r="D1105" s="196" t="s">
        <v>2309</v>
      </c>
      <c r="E1105" s="196" t="s">
        <v>1877</v>
      </c>
      <c r="F1105" s="196">
        <v>2005</v>
      </c>
      <c r="H1105" s="196" t="s">
        <v>1878</v>
      </c>
      <c r="I1105" s="184" t="s">
        <v>1929</v>
      </c>
      <c r="J1105" s="143" t="s">
        <v>3854</v>
      </c>
      <c r="K1105" s="196" t="s">
        <v>1881</v>
      </c>
      <c r="L1105" s="184" t="s">
        <v>5986</v>
      </c>
      <c r="M1105" s="196">
        <v>274</v>
      </c>
      <c r="O1105" s="196" t="s">
        <v>5229</v>
      </c>
      <c r="P1105" s="17">
        <v>408</v>
      </c>
      <c r="Q1105" s="175">
        <f t="shared" si="64"/>
        <v>3.4722999999999997</v>
      </c>
      <c r="R1105" s="199">
        <v>1.89</v>
      </c>
      <c r="T1105" s="149"/>
      <c r="U1105" s="149">
        <v>1.2</v>
      </c>
      <c r="V1105" s="149">
        <v>0.25</v>
      </c>
      <c r="W1105" s="149">
        <f t="shared" si="67"/>
        <v>1.89</v>
      </c>
      <c r="X1105" s="152">
        <f t="shared" si="66"/>
        <v>0.1323</v>
      </c>
      <c r="Y1105" s="150">
        <f t="shared" si="65"/>
        <v>1.01</v>
      </c>
      <c r="Z1105" s="152"/>
      <c r="AC1105" s="154"/>
      <c r="AD1105" s="154"/>
      <c r="AE1105" s="154"/>
      <c r="AF1105" s="154"/>
    </row>
    <row r="1106" spans="1:32" x14ac:dyDescent="0.25">
      <c r="A1106" s="196">
        <v>1395</v>
      </c>
      <c r="B1106" s="196" t="s">
        <v>3305</v>
      </c>
      <c r="C1106" s="196" t="s">
        <v>5987</v>
      </c>
      <c r="D1106" s="196" t="s">
        <v>2424</v>
      </c>
      <c r="F1106" s="196">
        <v>2016</v>
      </c>
      <c r="H1106" s="196" t="s">
        <v>1878</v>
      </c>
      <c r="I1106" s="184" t="s">
        <v>1929</v>
      </c>
      <c r="K1106" s="196" t="s">
        <v>1881</v>
      </c>
      <c r="L1106" s="184" t="s">
        <v>5988</v>
      </c>
      <c r="M1106" s="196">
        <v>368</v>
      </c>
      <c r="O1106" s="196" t="s">
        <v>5230</v>
      </c>
      <c r="P1106" s="17">
        <v>305</v>
      </c>
      <c r="Q1106" s="175">
        <f t="shared" si="64"/>
        <v>3.5792999999999999</v>
      </c>
      <c r="R1106" s="199">
        <v>1.99</v>
      </c>
      <c r="T1106" s="149"/>
      <c r="U1106" s="149">
        <v>1.2</v>
      </c>
      <c r="V1106" s="151">
        <v>0.25</v>
      </c>
      <c r="W1106" s="149">
        <f t="shared" si="67"/>
        <v>1.99</v>
      </c>
      <c r="X1106" s="152">
        <f t="shared" si="66"/>
        <v>0.13930000000000001</v>
      </c>
      <c r="Y1106" s="150">
        <f t="shared" si="65"/>
        <v>1.01</v>
      </c>
      <c r="Z1106" s="152"/>
      <c r="AC1106" s="154"/>
      <c r="AD1106" s="154"/>
      <c r="AE1106" s="154"/>
      <c r="AF1106" s="154"/>
    </row>
    <row r="1107" spans="1:32" x14ac:dyDescent="0.25">
      <c r="A1107" s="196">
        <v>632</v>
      </c>
      <c r="B1107" s="196" t="s">
        <v>2515</v>
      </c>
      <c r="C1107" s="196" t="s">
        <v>5989</v>
      </c>
      <c r="D1107" s="196" t="s">
        <v>4517</v>
      </c>
      <c r="E1107" s="196" t="s">
        <v>1877</v>
      </c>
      <c r="F1107" s="196">
        <v>2001</v>
      </c>
      <c r="H1107" s="196" t="s">
        <v>1878</v>
      </c>
      <c r="I1107" s="184" t="s">
        <v>1914</v>
      </c>
      <c r="K1107" s="196" t="s">
        <v>1881</v>
      </c>
      <c r="L1107" s="184" t="s">
        <v>5990</v>
      </c>
      <c r="M1107" s="196">
        <v>576</v>
      </c>
      <c r="O1107" s="196" t="s">
        <v>5231</v>
      </c>
      <c r="P1107" s="17">
        <v>624</v>
      </c>
      <c r="Q1107" s="175">
        <f t="shared" si="64"/>
        <v>2.4742999999999999</v>
      </c>
      <c r="R1107" s="199">
        <v>0.49</v>
      </c>
      <c r="T1107" s="149"/>
      <c r="U1107" s="149">
        <v>1.7</v>
      </c>
      <c r="V1107" s="149">
        <v>0.25</v>
      </c>
      <c r="W1107" s="149">
        <f t="shared" si="67"/>
        <v>0.49</v>
      </c>
      <c r="X1107" s="152">
        <f t="shared" si="66"/>
        <v>3.4299999999999997E-2</v>
      </c>
      <c r="Y1107" s="150">
        <f t="shared" si="65"/>
        <v>1.01</v>
      </c>
      <c r="Z1107" s="152"/>
      <c r="AC1107" s="154"/>
      <c r="AD1107" s="154"/>
      <c r="AE1107" s="154"/>
      <c r="AF1107" s="154"/>
    </row>
    <row r="1108" spans="1:32" x14ac:dyDescent="0.25">
      <c r="A1108" s="196">
        <v>632</v>
      </c>
      <c r="B1108" s="196" t="s">
        <v>2467</v>
      </c>
      <c r="C1108" s="196" t="s">
        <v>5991</v>
      </c>
      <c r="D1108" s="196" t="s">
        <v>2257</v>
      </c>
      <c r="F1108" s="196">
        <v>2012</v>
      </c>
      <c r="H1108" s="196" t="s">
        <v>1878</v>
      </c>
      <c r="I1108" s="184" t="s">
        <v>1914</v>
      </c>
      <c r="K1108" s="196" t="s">
        <v>1881</v>
      </c>
      <c r="L1108" s="184" t="s">
        <v>5992</v>
      </c>
      <c r="M1108" s="196">
        <v>640</v>
      </c>
      <c r="O1108" s="196" t="s">
        <v>5232</v>
      </c>
      <c r="P1108" s="17">
        <v>481</v>
      </c>
      <c r="Q1108" s="175">
        <f t="shared" si="64"/>
        <v>2.5093000000000001</v>
      </c>
      <c r="R1108" s="199">
        <v>0.99</v>
      </c>
      <c r="T1108" s="149"/>
      <c r="U1108" s="149">
        <v>1.2</v>
      </c>
      <c r="V1108" s="151">
        <v>0.25</v>
      </c>
      <c r="W1108" s="149">
        <f t="shared" si="67"/>
        <v>0.99</v>
      </c>
      <c r="X1108" s="152">
        <f t="shared" si="66"/>
        <v>6.93E-2</v>
      </c>
      <c r="Y1108" s="150">
        <f t="shared" si="65"/>
        <v>1.01</v>
      </c>
      <c r="Z1108" s="152"/>
      <c r="AC1108" s="154"/>
      <c r="AD1108" s="154"/>
      <c r="AE1108" s="154"/>
      <c r="AF1108" s="154"/>
    </row>
    <row r="1109" spans="1:32" x14ac:dyDescent="0.25">
      <c r="A1109" s="196">
        <v>1927</v>
      </c>
      <c r="B1109" s="196" t="s">
        <v>5993</v>
      </c>
      <c r="C1109" s="196" t="s">
        <v>5994</v>
      </c>
      <c r="D1109" s="196" t="s">
        <v>5926</v>
      </c>
      <c r="F1109" s="196">
        <v>1999</v>
      </c>
      <c r="H1109" s="196" t="s">
        <v>1878</v>
      </c>
      <c r="I1109" s="184" t="s">
        <v>1879</v>
      </c>
      <c r="K1109" s="196" t="s">
        <v>1881</v>
      </c>
      <c r="L1109" s="184" t="s">
        <v>5995</v>
      </c>
      <c r="M1109" s="196">
        <v>320</v>
      </c>
      <c r="O1109" s="196" t="s">
        <v>5233</v>
      </c>
      <c r="P1109" s="17">
        <v>308</v>
      </c>
      <c r="Q1109" s="175">
        <f t="shared" si="64"/>
        <v>1.9742999999999999</v>
      </c>
      <c r="R1109" s="199">
        <v>0.49</v>
      </c>
      <c r="T1109" s="149"/>
      <c r="U1109" s="149">
        <v>1.2</v>
      </c>
      <c r="V1109" s="149">
        <v>0.25</v>
      </c>
      <c r="W1109" s="149">
        <f t="shared" si="67"/>
        <v>0.49</v>
      </c>
      <c r="X1109" s="152">
        <f t="shared" si="66"/>
        <v>3.4299999999999997E-2</v>
      </c>
      <c r="Y1109" s="150">
        <f t="shared" si="65"/>
        <v>1.01</v>
      </c>
      <c r="Z1109" s="152"/>
      <c r="AC1109" s="154"/>
      <c r="AD1109" s="154"/>
      <c r="AE1109" s="154"/>
      <c r="AF1109" s="154"/>
    </row>
    <row r="1110" spans="1:32" x14ac:dyDescent="0.25">
      <c r="A1110" s="196">
        <v>632</v>
      </c>
      <c r="B1110" s="196" t="s">
        <v>5996</v>
      </c>
      <c r="C1110" s="196" t="s">
        <v>5997</v>
      </c>
      <c r="D1110" s="196" t="s">
        <v>2609</v>
      </c>
      <c r="E1110" s="196" t="s">
        <v>1877</v>
      </c>
      <c r="F1110" s="196">
        <v>2006</v>
      </c>
      <c r="H1110" s="196" t="s">
        <v>1878</v>
      </c>
      <c r="I1110" s="184" t="s">
        <v>1879</v>
      </c>
      <c r="K1110" s="196" t="s">
        <v>1881</v>
      </c>
      <c r="L1110" s="184" t="s">
        <v>5998</v>
      </c>
      <c r="M1110" s="196">
        <v>320</v>
      </c>
      <c r="O1110" s="196" t="s">
        <v>5234</v>
      </c>
      <c r="P1110" s="17">
        <v>278</v>
      </c>
      <c r="Q1110" s="175">
        <f t="shared" si="64"/>
        <v>1.9742999999999999</v>
      </c>
      <c r="R1110" s="199">
        <v>0.49</v>
      </c>
      <c r="T1110" s="149"/>
      <c r="U1110" s="149">
        <v>1.2</v>
      </c>
      <c r="V1110" s="151">
        <v>0.25</v>
      </c>
      <c r="W1110" s="149">
        <f t="shared" si="67"/>
        <v>0.49</v>
      </c>
      <c r="X1110" s="152">
        <f t="shared" si="66"/>
        <v>3.4299999999999997E-2</v>
      </c>
      <c r="Y1110" s="150">
        <f t="shared" si="65"/>
        <v>1.01</v>
      </c>
      <c r="Z1110" s="152"/>
      <c r="AC1110" s="154"/>
      <c r="AD1110" s="154"/>
      <c r="AE1110" s="154"/>
      <c r="AF1110" s="154"/>
    </row>
    <row r="1111" spans="1:32" x14ac:dyDescent="0.25">
      <c r="A1111" s="196">
        <v>1395</v>
      </c>
      <c r="B1111" s="196" t="s">
        <v>2464</v>
      </c>
      <c r="C1111" s="196" t="s">
        <v>5999</v>
      </c>
      <c r="D1111" s="196" t="s">
        <v>1876</v>
      </c>
      <c r="E1111" s="196" t="s">
        <v>2412</v>
      </c>
      <c r="F1111" s="196">
        <v>2007</v>
      </c>
      <c r="H1111" s="196" t="s">
        <v>2734</v>
      </c>
      <c r="I1111" s="184" t="s">
        <v>1879</v>
      </c>
      <c r="K1111" s="196" t="s">
        <v>1881</v>
      </c>
      <c r="L1111" s="184" t="s">
        <v>6000</v>
      </c>
      <c r="M1111" s="196">
        <v>226</v>
      </c>
      <c r="O1111" s="196" t="s">
        <v>5235</v>
      </c>
      <c r="P1111" s="17">
        <v>333</v>
      </c>
      <c r="Q1111" s="175">
        <f t="shared" si="64"/>
        <v>2.5093000000000001</v>
      </c>
      <c r="R1111" s="199">
        <v>0.99</v>
      </c>
      <c r="T1111" s="149"/>
      <c r="U1111" s="149">
        <v>1.2</v>
      </c>
      <c r="V1111" s="149">
        <v>0.25</v>
      </c>
      <c r="W1111" s="149">
        <f t="shared" si="67"/>
        <v>0.99</v>
      </c>
      <c r="X1111" s="152">
        <f t="shared" si="66"/>
        <v>6.93E-2</v>
      </c>
      <c r="Y1111" s="150">
        <f t="shared" si="65"/>
        <v>1.01</v>
      </c>
      <c r="Z1111" s="152"/>
      <c r="AC1111" s="154"/>
      <c r="AD1111" s="154"/>
      <c r="AE1111" s="154"/>
      <c r="AF1111" s="154"/>
    </row>
    <row r="1112" spans="1:32" x14ac:dyDescent="0.25">
      <c r="A1112" s="196">
        <v>920</v>
      </c>
      <c r="B1112" s="196" t="s">
        <v>6001</v>
      </c>
      <c r="C1112" s="196" t="s">
        <v>6002</v>
      </c>
      <c r="D1112" s="196" t="s">
        <v>4841</v>
      </c>
      <c r="F1112" s="196">
        <v>1985</v>
      </c>
      <c r="H1112" s="196" t="s">
        <v>1878</v>
      </c>
      <c r="I1112" s="184" t="s">
        <v>1914</v>
      </c>
      <c r="K1112" s="196" t="s">
        <v>1881</v>
      </c>
      <c r="L1112" s="184" t="s">
        <v>6003</v>
      </c>
      <c r="M1112" s="196">
        <v>160</v>
      </c>
      <c r="O1112" s="196" t="s">
        <v>5236</v>
      </c>
      <c r="P1112" s="17">
        <v>113</v>
      </c>
      <c r="Q1112" s="175">
        <f t="shared" si="64"/>
        <v>2.5093000000000001</v>
      </c>
      <c r="R1112" s="199">
        <v>0.99</v>
      </c>
      <c r="T1112" s="149"/>
      <c r="U1112" s="149">
        <v>1.2</v>
      </c>
      <c r="V1112" s="151">
        <v>0.25</v>
      </c>
      <c r="W1112" s="149">
        <f t="shared" si="67"/>
        <v>0.99</v>
      </c>
      <c r="X1112" s="152">
        <f t="shared" si="66"/>
        <v>6.93E-2</v>
      </c>
      <c r="Y1112" s="150">
        <f t="shared" si="65"/>
        <v>1.01</v>
      </c>
      <c r="Z1112" s="152"/>
      <c r="AC1112" s="154"/>
      <c r="AD1112" s="154"/>
      <c r="AE1112" s="154"/>
      <c r="AF1112" s="154"/>
    </row>
    <row r="1113" spans="1:32" x14ac:dyDescent="0.25">
      <c r="A1113" s="196">
        <v>1395</v>
      </c>
      <c r="B1113" s="196" t="s">
        <v>6004</v>
      </c>
      <c r="C1113" s="196" t="s">
        <v>6005</v>
      </c>
      <c r="D1113" s="196" t="s">
        <v>2309</v>
      </c>
      <c r="E1113" s="196" t="s">
        <v>2412</v>
      </c>
      <c r="F1113" s="196">
        <v>2011</v>
      </c>
      <c r="H1113" s="196" t="s">
        <v>1878</v>
      </c>
      <c r="I1113" s="184" t="s">
        <v>1879</v>
      </c>
      <c r="J1113" s="196" t="s">
        <v>6006</v>
      </c>
      <c r="K1113" s="196" t="s">
        <v>1881</v>
      </c>
      <c r="L1113" s="184" t="s">
        <v>6007</v>
      </c>
      <c r="M1113" s="196">
        <v>400</v>
      </c>
      <c r="O1113" s="196" t="s">
        <v>5237</v>
      </c>
      <c r="P1113" s="17">
        <v>339</v>
      </c>
      <c r="Q1113" s="175">
        <f t="shared" si="64"/>
        <v>2.5093000000000001</v>
      </c>
      <c r="R1113" s="199">
        <v>0.99</v>
      </c>
      <c r="T1113" s="149"/>
      <c r="U1113" s="149">
        <v>1.2</v>
      </c>
      <c r="V1113" s="149">
        <v>0.25</v>
      </c>
      <c r="W1113" s="149">
        <f t="shared" si="67"/>
        <v>0.99</v>
      </c>
      <c r="X1113" s="152">
        <f t="shared" si="66"/>
        <v>6.93E-2</v>
      </c>
      <c r="Y1113" s="150">
        <f t="shared" si="65"/>
        <v>1.01</v>
      </c>
      <c r="Z1113" s="152"/>
      <c r="AC1113" s="154"/>
      <c r="AD1113" s="154"/>
      <c r="AE1113" s="154"/>
      <c r="AF1113" s="154"/>
    </row>
    <row r="1114" spans="1:32" x14ac:dyDescent="0.25">
      <c r="A1114" s="196">
        <v>1287</v>
      </c>
      <c r="B1114" s="196" t="s">
        <v>6008</v>
      </c>
      <c r="C1114" s="196" t="s">
        <v>6009</v>
      </c>
      <c r="D1114" s="196" t="s">
        <v>6010</v>
      </c>
      <c r="H1114" s="196" t="s">
        <v>2734</v>
      </c>
      <c r="I1114" s="184" t="s">
        <v>1879</v>
      </c>
      <c r="J1114" s="182" t="s">
        <v>5945</v>
      </c>
      <c r="K1114" s="196" t="s">
        <v>1881</v>
      </c>
      <c r="M1114" s="196">
        <v>618</v>
      </c>
      <c r="O1114" s="196" t="s">
        <v>5238</v>
      </c>
      <c r="P1114" s="17">
        <v>1398</v>
      </c>
      <c r="Q1114" s="175">
        <f t="shared" si="64"/>
        <v>6.7042999999999999</v>
      </c>
      <c r="R1114" s="199">
        <v>2.4900000000000002</v>
      </c>
      <c r="T1114" s="149"/>
      <c r="U1114" s="149">
        <v>3.79</v>
      </c>
      <c r="V1114" s="151">
        <v>0.25</v>
      </c>
      <c r="W1114" s="149">
        <f t="shared" si="67"/>
        <v>2.4900000000000002</v>
      </c>
      <c r="X1114" s="152">
        <f t="shared" si="66"/>
        <v>0.17430000000000001</v>
      </c>
      <c r="Y1114" s="150">
        <f t="shared" si="65"/>
        <v>1.01</v>
      </c>
      <c r="Z1114" s="152"/>
      <c r="AC1114" s="154"/>
      <c r="AD1114" s="154"/>
      <c r="AE1114" s="154"/>
      <c r="AF1114" s="154"/>
    </row>
    <row r="1115" spans="1:32" x14ac:dyDescent="0.25">
      <c r="A1115" s="196">
        <v>1875</v>
      </c>
      <c r="C1115" s="196" t="s">
        <v>6011</v>
      </c>
      <c r="D1115" s="196" t="s">
        <v>4841</v>
      </c>
      <c r="F1115" s="196">
        <v>1996</v>
      </c>
      <c r="H1115" s="196" t="s">
        <v>2734</v>
      </c>
      <c r="I1115" s="184" t="s">
        <v>1879</v>
      </c>
      <c r="K1115" s="196" t="s">
        <v>1881</v>
      </c>
      <c r="L1115" s="184" t="s">
        <v>6012</v>
      </c>
      <c r="M1115" s="196">
        <v>98</v>
      </c>
      <c r="O1115" s="196" t="s">
        <v>5239</v>
      </c>
      <c r="P1115" s="17">
        <v>435</v>
      </c>
      <c r="Q1115" s="175">
        <f t="shared" si="64"/>
        <v>2.7232999999999996</v>
      </c>
      <c r="R1115" s="199">
        <v>1.19</v>
      </c>
      <c r="T1115" s="149"/>
      <c r="U1115" s="149">
        <v>1.2</v>
      </c>
      <c r="V1115" s="149">
        <v>0.25</v>
      </c>
      <c r="W1115" s="149">
        <f t="shared" si="67"/>
        <v>1.19</v>
      </c>
      <c r="X1115" s="152">
        <f t="shared" si="66"/>
        <v>8.3299999999999999E-2</v>
      </c>
      <c r="Y1115" s="150">
        <f t="shared" si="65"/>
        <v>1.01</v>
      </c>
      <c r="Z1115" s="152"/>
      <c r="AC1115" s="154"/>
      <c r="AD1115" s="154"/>
      <c r="AE1115" s="154"/>
      <c r="AF1115" s="154"/>
    </row>
    <row r="1116" spans="1:32" x14ac:dyDescent="0.25">
      <c r="A1116" s="196">
        <v>990</v>
      </c>
      <c r="B1116" s="196" t="s">
        <v>6013</v>
      </c>
      <c r="C1116" s="196" t="s">
        <v>6014</v>
      </c>
      <c r="D1116" s="196" t="s">
        <v>6015</v>
      </c>
      <c r="F1116" s="196">
        <v>2006</v>
      </c>
      <c r="H1116" s="196" t="s">
        <v>2734</v>
      </c>
      <c r="I1116" s="184" t="s">
        <v>1879</v>
      </c>
      <c r="K1116" s="196" t="s">
        <v>1881</v>
      </c>
      <c r="L1116" s="184" t="s">
        <v>6016</v>
      </c>
      <c r="M1116" s="196">
        <v>142</v>
      </c>
      <c r="O1116" s="196" t="s">
        <v>5240</v>
      </c>
      <c r="P1116" s="17">
        <v>295</v>
      </c>
      <c r="Q1116" s="175">
        <f t="shared" si="64"/>
        <v>4.6493000000000002</v>
      </c>
      <c r="R1116" s="199">
        <v>2.99</v>
      </c>
      <c r="T1116" s="149"/>
      <c r="U1116" s="149">
        <v>1.2</v>
      </c>
      <c r="V1116" s="151">
        <v>0.25</v>
      </c>
      <c r="W1116" s="149">
        <f t="shared" si="67"/>
        <v>2.99</v>
      </c>
      <c r="X1116" s="152">
        <f t="shared" si="66"/>
        <v>0.20930000000000001</v>
      </c>
      <c r="Y1116" s="150">
        <f t="shared" si="65"/>
        <v>1.01</v>
      </c>
      <c r="Z1116" s="152"/>
      <c r="AC1116" s="154"/>
      <c r="AD1116" s="154"/>
      <c r="AE1116" s="154"/>
      <c r="AF1116" s="154"/>
    </row>
    <row r="1117" spans="1:32" x14ac:dyDescent="0.25">
      <c r="A1117" s="196">
        <v>606</v>
      </c>
      <c r="B1117" s="196" t="s">
        <v>6017</v>
      </c>
      <c r="C1117" s="196" t="s">
        <v>6018</v>
      </c>
      <c r="D1117" s="196" t="s">
        <v>6019</v>
      </c>
      <c r="F1117" s="196">
        <v>1953</v>
      </c>
      <c r="H1117" s="196" t="s">
        <v>2734</v>
      </c>
      <c r="I1117" s="184" t="s">
        <v>1914</v>
      </c>
      <c r="J1117" s="182" t="s">
        <v>5934</v>
      </c>
      <c r="K1117" s="196" t="s">
        <v>1881</v>
      </c>
      <c r="M1117" s="196">
        <v>254</v>
      </c>
      <c r="O1117" s="196" t="s">
        <v>5241</v>
      </c>
      <c r="P1117" s="17">
        <v>520</v>
      </c>
      <c r="Q1117" s="175">
        <f t="shared" si="64"/>
        <v>2.3672999999999997</v>
      </c>
      <c r="R1117" s="199">
        <v>0.39</v>
      </c>
      <c r="T1117" s="149"/>
      <c r="U1117" s="149">
        <v>1.7</v>
      </c>
      <c r="V1117" s="149">
        <v>0.25</v>
      </c>
      <c r="W1117" s="149">
        <f t="shared" si="67"/>
        <v>0.39</v>
      </c>
      <c r="X1117" s="152">
        <f t="shared" si="66"/>
        <v>2.7300000000000001E-2</v>
      </c>
      <c r="Y1117" s="150">
        <f t="shared" si="65"/>
        <v>1.01</v>
      </c>
      <c r="Z1117" s="152"/>
      <c r="AC1117" s="154"/>
      <c r="AD1117" s="154"/>
      <c r="AE1117" s="154"/>
      <c r="AF1117" s="154"/>
    </row>
    <row r="1118" spans="1:32" x14ac:dyDescent="0.25">
      <c r="A1118" s="196">
        <v>1875</v>
      </c>
      <c r="C1118" s="196" t="s">
        <v>6020</v>
      </c>
      <c r="D1118" s="196" t="s">
        <v>6021</v>
      </c>
      <c r="E1118" s="182" t="s">
        <v>2922</v>
      </c>
      <c r="F1118" s="196">
        <v>1991</v>
      </c>
      <c r="H1118" s="196" t="s">
        <v>2734</v>
      </c>
      <c r="I1118" s="184" t="s">
        <v>1879</v>
      </c>
      <c r="K1118" s="196" t="s">
        <v>1881</v>
      </c>
      <c r="L1118" s="184" t="s">
        <v>6022</v>
      </c>
      <c r="M1118" s="196">
        <v>74</v>
      </c>
      <c r="O1118" s="196" t="s">
        <v>5242</v>
      </c>
      <c r="P1118" s="17">
        <v>171</v>
      </c>
      <c r="Q1118" s="175">
        <f t="shared" si="64"/>
        <v>2.6162999999999998</v>
      </c>
      <c r="R1118" s="199">
        <v>1.0900000000000001</v>
      </c>
      <c r="T1118" s="149"/>
      <c r="U1118" s="149">
        <v>1.2</v>
      </c>
      <c r="V1118" s="151">
        <v>0.25</v>
      </c>
      <c r="W1118" s="149">
        <f t="shared" si="67"/>
        <v>1.0900000000000001</v>
      </c>
      <c r="X1118" s="152">
        <f t="shared" si="66"/>
        <v>7.6300000000000007E-2</v>
      </c>
      <c r="Y1118" s="150">
        <f t="shared" si="65"/>
        <v>1.01</v>
      </c>
      <c r="Z1118" s="152"/>
      <c r="AC1118" s="154"/>
      <c r="AD1118" s="154"/>
      <c r="AE1118" s="154"/>
      <c r="AF1118" s="154"/>
    </row>
    <row r="1119" spans="1:32" x14ac:dyDescent="0.25">
      <c r="A1119" s="196">
        <v>704</v>
      </c>
      <c r="B1119" s="196" t="s">
        <v>6023</v>
      </c>
      <c r="C1119" s="196" t="s">
        <v>6024</v>
      </c>
      <c r="D1119" s="196" t="s">
        <v>5762</v>
      </c>
      <c r="F1119" s="196">
        <v>2007</v>
      </c>
      <c r="H1119" s="196" t="s">
        <v>2734</v>
      </c>
      <c r="I1119" s="184" t="s">
        <v>1929</v>
      </c>
      <c r="K1119" s="196" t="s">
        <v>1881</v>
      </c>
      <c r="L1119" s="184" t="s">
        <v>6025</v>
      </c>
      <c r="M1119" s="196">
        <v>198</v>
      </c>
      <c r="O1119" s="196" t="s">
        <v>5243</v>
      </c>
      <c r="P1119" s="17">
        <v>390</v>
      </c>
      <c r="Q1119" s="175">
        <f t="shared" si="64"/>
        <v>2.6162999999999998</v>
      </c>
      <c r="R1119" s="199">
        <v>1.0900000000000001</v>
      </c>
      <c r="T1119" s="149"/>
      <c r="U1119" s="149">
        <v>1.2</v>
      </c>
      <c r="V1119" s="149">
        <v>0.25</v>
      </c>
      <c r="W1119" s="149">
        <f t="shared" si="67"/>
        <v>1.0900000000000001</v>
      </c>
      <c r="X1119" s="152">
        <f t="shared" si="66"/>
        <v>7.6300000000000007E-2</v>
      </c>
      <c r="Y1119" s="150">
        <f t="shared" si="65"/>
        <v>1.01</v>
      </c>
      <c r="Z1119" s="152"/>
      <c r="AC1119" s="154"/>
      <c r="AD1119" s="154"/>
      <c r="AE1119" s="154"/>
      <c r="AF1119" s="154"/>
    </row>
    <row r="1120" spans="1:32" x14ac:dyDescent="0.25">
      <c r="A1120" s="196">
        <v>721</v>
      </c>
      <c r="C1120" s="196" t="s">
        <v>6026</v>
      </c>
      <c r="D1120" s="196" t="s">
        <v>6027</v>
      </c>
      <c r="F1120" s="196">
        <v>2009</v>
      </c>
      <c r="H1120" s="196" t="s">
        <v>1878</v>
      </c>
      <c r="I1120" s="184" t="s">
        <v>1879</v>
      </c>
      <c r="K1120" s="196" t="s">
        <v>1881</v>
      </c>
      <c r="L1120" s="184" t="s">
        <v>3683</v>
      </c>
      <c r="M1120" s="196">
        <v>64</v>
      </c>
      <c r="O1120" s="196" t="s">
        <v>5244</v>
      </c>
      <c r="P1120" s="17">
        <v>88</v>
      </c>
      <c r="Q1120" s="175">
        <f t="shared" si="64"/>
        <v>2.1882999999999995</v>
      </c>
      <c r="R1120" s="199">
        <v>0.69</v>
      </c>
      <c r="T1120" s="149"/>
      <c r="U1120" s="149">
        <v>1.2</v>
      </c>
      <c r="V1120" s="151">
        <v>0.25</v>
      </c>
      <c r="W1120" s="149">
        <f t="shared" si="67"/>
        <v>0.69</v>
      </c>
      <c r="X1120" s="152">
        <f t="shared" si="66"/>
        <v>4.8299999999999996E-2</v>
      </c>
      <c r="Y1120" s="150">
        <f t="shared" si="65"/>
        <v>1.01</v>
      </c>
      <c r="Z1120" s="152"/>
      <c r="AC1120" s="154"/>
      <c r="AD1120" s="154"/>
      <c r="AE1120" s="154"/>
      <c r="AF1120" s="154"/>
    </row>
    <row r="1121" spans="1:32" x14ac:dyDescent="0.25">
      <c r="A1121" s="196">
        <v>2522</v>
      </c>
      <c r="B1121" s="196" t="s">
        <v>6028</v>
      </c>
      <c r="C1121" s="196" t="s">
        <v>6029</v>
      </c>
      <c r="D1121" s="196" t="s">
        <v>2036</v>
      </c>
      <c r="F1121" s="196">
        <v>1997</v>
      </c>
      <c r="H1121" s="196" t="s">
        <v>2734</v>
      </c>
      <c r="I1121" s="184" t="s">
        <v>1879</v>
      </c>
      <c r="K1121" s="196" t="s">
        <v>1881</v>
      </c>
      <c r="L1121" s="184" t="s">
        <v>6030</v>
      </c>
      <c r="M1121" s="196">
        <v>386</v>
      </c>
      <c r="O1121" s="196" t="s">
        <v>5245</v>
      </c>
      <c r="P1121" s="17">
        <v>435</v>
      </c>
      <c r="Q1121" s="175">
        <f t="shared" si="64"/>
        <v>1.9742999999999999</v>
      </c>
      <c r="R1121" s="199">
        <v>0.49</v>
      </c>
      <c r="T1121" s="149"/>
      <c r="U1121" s="149">
        <v>1.2</v>
      </c>
      <c r="V1121" s="149">
        <v>0.25</v>
      </c>
      <c r="W1121" s="149">
        <f t="shared" si="67"/>
        <v>0.49</v>
      </c>
      <c r="X1121" s="152">
        <f t="shared" si="66"/>
        <v>3.4299999999999997E-2</v>
      </c>
      <c r="Y1121" s="150">
        <f t="shared" si="65"/>
        <v>1.01</v>
      </c>
      <c r="Z1121" s="152"/>
      <c r="AC1121" s="154"/>
      <c r="AD1121" s="154"/>
      <c r="AE1121" s="154"/>
      <c r="AF1121" s="154"/>
    </row>
    <row r="1122" spans="1:32" x14ac:dyDescent="0.25">
      <c r="A1122" s="196">
        <v>943</v>
      </c>
      <c r="B1122" s="196" t="s">
        <v>6031</v>
      </c>
      <c r="C1122" s="196" t="s">
        <v>6032</v>
      </c>
      <c r="D1122" s="196" t="s">
        <v>2054</v>
      </c>
      <c r="F1122" s="196">
        <v>1999</v>
      </c>
      <c r="H1122" s="196" t="s">
        <v>2734</v>
      </c>
      <c r="I1122" s="184" t="s">
        <v>1929</v>
      </c>
      <c r="K1122" s="196" t="s">
        <v>1881</v>
      </c>
      <c r="L1122" s="184" t="s">
        <v>6033</v>
      </c>
      <c r="M1122" s="196">
        <v>258</v>
      </c>
      <c r="O1122" s="196" t="s">
        <v>5246</v>
      </c>
      <c r="P1122" s="17">
        <v>756</v>
      </c>
      <c r="Q1122" s="175">
        <f t="shared" si="64"/>
        <v>3.5442999999999998</v>
      </c>
      <c r="R1122" s="199">
        <v>1.49</v>
      </c>
      <c r="T1122" s="149"/>
      <c r="U1122" s="149">
        <v>1.7</v>
      </c>
      <c r="V1122" s="151">
        <v>0.25</v>
      </c>
      <c r="W1122" s="149">
        <f t="shared" si="67"/>
        <v>1.49</v>
      </c>
      <c r="X1122" s="152">
        <f t="shared" si="66"/>
        <v>0.1043</v>
      </c>
      <c r="Y1122" s="150">
        <f t="shared" si="65"/>
        <v>1.01</v>
      </c>
      <c r="Z1122" s="152"/>
      <c r="AC1122" s="154"/>
      <c r="AD1122" s="154"/>
      <c r="AE1122" s="154"/>
      <c r="AF1122" s="154"/>
    </row>
    <row r="1123" spans="1:32" x14ac:dyDescent="0.25">
      <c r="A1123" s="196">
        <v>1299</v>
      </c>
      <c r="B1123" s="196" t="s">
        <v>6038</v>
      </c>
      <c r="C1123" s="196" t="s">
        <v>6037</v>
      </c>
      <c r="D1123" s="196" t="s">
        <v>2068</v>
      </c>
      <c r="F1123" s="196">
        <v>1996</v>
      </c>
      <c r="H1123" s="196" t="s">
        <v>2734</v>
      </c>
      <c r="I1123" s="184" t="s">
        <v>1929</v>
      </c>
      <c r="K1123" s="196" t="s">
        <v>1881</v>
      </c>
      <c r="L1123" s="184" t="s">
        <v>6039</v>
      </c>
      <c r="M1123" s="196">
        <v>130</v>
      </c>
      <c r="O1123" s="196" t="s">
        <v>5248</v>
      </c>
      <c r="P1123" s="17">
        <v>770</v>
      </c>
      <c r="Q1123" s="175">
        <f t="shared" si="64"/>
        <v>3.8653000000000004</v>
      </c>
      <c r="R1123" s="199">
        <v>1.79</v>
      </c>
      <c r="T1123" s="149"/>
      <c r="U1123" s="149">
        <v>1.7</v>
      </c>
      <c r="V1123" s="151">
        <v>0.25</v>
      </c>
      <c r="W1123" s="149">
        <f t="shared" si="67"/>
        <v>1.79</v>
      </c>
      <c r="X1123" s="152">
        <f t="shared" si="66"/>
        <v>0.12529999999999999</v>
      </c>
      <c r="Y1123" s="150">
        <f t="shared" si="65"/>
        <v>1.01</v>
      </c>
      <c r="Z1123" s="152"/>
      <c r="AC1123" s="154"/>
      <c r="AD1123" s="154"/>
      <c r="AE1123" s="154"/>
      <c r="AF1123" s="154"/>
    </row>
    <row r="1124" spans="1:32" x14ac:dyDescent="0.25">
      <c r="A1124" s="196">
        <v>1243</v>
      </c>
      <c r="B1124" s="196" t="s">
        <v>6040</v>
      </c>
      <c r="C1124" s="196" t="s">
        <v>6041</v>
      </c>
      <c r="D1124" s="196" t="s">
        <v>2068</v>
      </c>
      <c r="F1124" s="196">
        <v>2000</v>
      </c>
      <c r="H1124" s="196" t="s">
        <v>2734</v>
      </c>
      <c r="I1124" s="184" t="s">
        <v>1929</v>
      </c>
      <c r="K1124" s="196" t="s">
        <v>1881</v>
      </c>
      <c r="L1124" s="184" t="s">
        <v>6042</v>
      </c>
      <c r="M1124" s="196">
        <v>354</v>
      </c>
      <c r="O1124" s="196" t="s">
        <v>5249</v>
      </c>
      <c r="P1124" s="17">
        <v>978</v>
      </c>
      <c r="Q1124" s="175">
        <f t="shared" si="64"/>
        <v>3.8653000000000004</v>
      </c>
      <c r="R1124" s="199">
        <v>1.79</v>
      </c>
      <c r="T1124" s="149"/>
      <c r="U1124" s="149">
        <v>1.7</v>
      </c>
      <c r="V1124" s="149">
        <v>0.25</v>
      </c>
      <c r="W1124" s="149">
        <f t="shared" si="67"/>
        <v>1.79</v>
      </c>
      <c r="X1124" s="152">
        <f t="shared" si="66"/>
        <v>0.12529999999999999</v>
      </c>
      <c r="Y1124" s="150">
        <f t="shared" si="65"/>
        <v>1.01</v>
      </c>
      <c r="Z1124" s="152"/>
      <c r="AC1124" s="154"/>
      <c r="AD1124" s="154"/>
      <c r="AE1124" s="154"/>
      <c r="AF1124" s="154"/>
    </row>
    <row r="1125" spans="1:32" x14ac:dyDescent="0.25">
      <c r="A1125" s="196">
        <v>1324</v>
      </c>
      <c r="C1125" s="196" t="s">
        <v>6043</v>
      </c>
      <c r="D1125" s="196" t="s">
        <v>2036</v>
      </c>
      <c r="F1125" s="196">
        <v>2000</v>
      </c>
      <c r="H1125" s="196" t="s">
        <v>2734</v>
      </c>
      <c r="I1125" s="184" t="s">
        <v>1879</v>
      </c>
      <c r="K1125" s="196" t="s">
        <v>1881</v>
      </c>
      <c r="L1125" s="184" t="s">
        <v>6044</v>
      </c>
      <c r="M1125" s="196">
        <v>532</v>
      </c>
      <c r="O1125" s="196" t="s">
        <v>5250</v>
      </c>
      <c r="P1125" s="17">
        <v>1036</v>
      </c>
      <c r="Q1125" s="175">
        <f t="shared" si="64"/>
        <v>4.5643000000000002</v>
      </c>
      <c r="R1125" s="199">
        <v>0.49</v>
      </c>
      <c r="T1125" s="149"/>
      <c r="U1125" s="149">
        <v>3.79</v>
      </c>
      <c r="V1125" s="151">
        <v>0.25</v>
      </c>
      <c r="W1125" s="149">
        <f t="shared" si="67"/>
        <v>0.49</v>
      </c>
      <c r="X1125" s="152">
        <f t="shared" si="66"/>
        <v>3.4299999999999997E-2</v>
      </c>
      <c r="Y1125" s="150">
        <f t="shared" si="65"/>
        <v>1.01</v>
      </c>
      <c r="Z1125" s="152"/>
      <c r="AC1125" s="154"/>
      <c r="AD1125" s="154"/>
      <c r="AE1125" s="154"/>
      <c r="AF1125" s="154"/>
    </row>
    <row r="1126" spans="1:32" x14ac:dyDescent="0.25">
      <c r="A1126" s="196">
        <v>2666</v>
      </c>
      <c r="C1126" s="196" t="s">
        <v>6045</v>
      </c>
      <c r="D1126" s="196" t="s">
        <v>6046</v>
      </c>
      <c r="E1126" s="182" t="s">
        <v>1877</v>
      </c>
      <c r="F1126" s="196">
        <v>1999</v>
      </c>
      <c r="H1126" s="196" t="s">
        <v>2734</v>
      </c>
      <c r="I1126" s="184" t="s">
        <v>1879</v>
      </c>
      <c r="K1126" s="196" t="s">
        <v>1881</v>
      </c>
      <c r="L1126" s="184" t="s">
        <v>6047</v>
      </c>
      <c r="M1126" s="196">
        <v>386</v>
      </c>
      <c r="O1126" s="196" t="s">
        <v>5251</v>
      </c>
      <c r="P1126" s="17">
        <v>957</v>
      </c>
      <c r="Q1126" s="175">
        <f t="shared" si="64"/>
        <v>15.849299999999999</v>
      </c>
      <c r="R1126" s="199">
        <v>12.99</v>
      </c>
      <c r="T1126" s="149"/>
      <c r="U1126" s="149">
        <v>1.7</v>
      </c>
      <c r="V1126" s="149">
        <v>0.25</v>
      </c>
      <c r="W1126" s="149">
        <f t="shared" si="67"/>
        <v>12.99</v>
      </c>
      <c r="X1126" s="152">
        <f t="shared" si="66"/>
        <v>0.90930000000000011</v>
      </c>
      <c r="Y1126" s="150">
        <f t="shared" si="65"/>
        <v>1.01</v>
      </c>
      <c r="Z1126" s="152"/>
      <c r="AC1126" s="154"/>
      <c r="AD1126" s="154"/>
      <c r="AE1126" s="154"/>
      <c r="AF1126" s="154"/>
    </row>
    <row r="1127" spans="1:32" x14ac:dyDescent="0.25">
      <c r="A1127" s="196">
        <v>993</v>
      </c>
      <c r="C1127" s="196" t="s">
        <v>6048</v>
      </c>
      <c r="D1127" s="196" t="s">
        <v>6049</v>
      </c>
      <c r="F1127" s="196">
        <v>2003</v>
      </c>
      <c r="H1127" s="196" t="s">
        <v>2734</v>
      </c>
      <c r="I1127" s="184" t="s">
        <v>1929</v>
      </c>
      <c r="K1127" s="196" t="s">
        <v>1881</v>
      </c>
      <c r="L1127" s="184" t="s">
        <v>6050</v>
      </c>
      <c r="M1127" s="196">
        <v>430</v>
      </c>
      <c r="O1127" s="196" t="s">
        <v>5252</v>
      </c>
      <c r="P1127" s="17">
        <v>1119</v>
      </c>
      <c r="Q1127" s="175">
        <f t="shared" si="64"/>
        <v>17.939300000000003</v>
      </c>
      <c r="R1127" s="199">
        <v>12.99</v>
      </c>
      <c r="T1127" s="149"/>
      <c r="U1127" s="149">
        <v>3.79</v>
      </c>
      <c r="V1127" s="151">
        <v>0.25</v>
      </c>
      <c r="W1127" s="149">
        <f t="shared" si="67"/>
        <v>12.99</v>
      </c>
      <c r="X1127" s="152">
        <f t="shared" si="66"/>
        <v>0.90930000000000011</v>
      </c>
      <c r="Y1127" s="150">
        <f t="shared" si="65"/>
        <v>1.01</v>
      </c>
      <c r="Z1127" s="152"/>
      <c r="AC1127" s="154"/>
      <c r="AD1127" s="154"/>
      <c r="AE1127" s="154"/>
      <c r="AF1127" s="154"/>
    </row>
    <row r="1128" spans="1:32" x14ac:dyDescent="0.25">
      <c r="A1128" s="196">
        <v>796</v>
      </c>
      <c r="C1128" s="196" t="s">
        <v>6051</v>
      </c>
      <c r="D1128" s="196" t="s">
        <v>5902</v>
      </c>
      <c r="F1128" s="196">
        <v>2001</v>
      </c>
      <c r="H1128" s="196" t="s">
        <v>2734</v>
      </c>
      <c r="I1128" s="184" t="s">
        <v>1929</v>
      </c>
      <c r="K1128" s="196" t="s">
        <v>1881</v>
      </c>
      <c r="L1128" s="184" t="s">
        <v>6052</v>
      </c>
      <c r="M1128" s="196">
        <v>258</v>
      </c>
      <c r="O1128" s="196" t="s">
        <v>5253</v>
      </c>
      <c r="P1128" s="17">
        <v>777</v>
      </c>
      <c r="Q1128" s="175">
        <f t="shared" ref="Q1128:Q1191" si="68">SUM(T1128:X1128)</f>
        <v>3.0093000000000001</v>
      </c>
      <c r="R1128" s="199">
        <v>0.99</v>
      </c>
      <c r="T1128" s="149"/>
      <c r="U1128" s="149">
        <v>1.7</v>
      </c>
      <c r="V1128" s="149">
        <v>0.25</v>
      </c>
      <c r="W1128" s="149">
        <f t="shared" si="67"/>
        <v>0.99</v>
      </c>
      <c r="X1128" s="152">
        <f t="shared" si="66"/>
        <v>6.93E-2</v>
      </c>
      <c r="Y1128" s="150">
        <f t="shared" si="65"/>
        <v>1.01</v>
      </c>
      <c r="Z1128" s="152"/>
      <c r="AC1128" s="154"/>
      <c r="AD1128" s="154"/>
      <c r="AE1128" s="154"/>
      <c r="AF1128" s="154"/>
    </row>
    <row r="1129" spans="1:32" x14ac:dyDescent="0.25">
      <c r="A1129" s="196">
        <v>1324</v>
      </c>
      <c r="B1129" s="182" t="s">
        <v>6053</v>
      </c>
      <c r="C1129" s="196" t="s">
        <v>6054</v>
      </c>
      <c r="D1129" s="196" t="s">
        <v>2054</v>
      </c>
      <c r="F1129" s="196">
        <v>2006</v>
      </c>
      <c r="H1129" s="196" t="s">
        <v>1878</v>
      </c>
      <c r="I1129" s="184" t="s">
        <v>1879</v>
      </c>
      <c r="K1129" s="196" t="s">
        <v>1881</v>
      </c>
      <c r="L1129" s="184" t="s">
        <v>6055</v>
      </c>
      <c r="M1129" s="196">
        <v>144</v>
      </c>
      <c r="O1129" s="196" t="s">
        <v>5254</v>
      </c>
      <c r="P1129" s="17">
        <v>430</v>
      </c>
      <c r="Q1129" s="175">
        <f t="shared" si="68"/>
        <v>2.5093000000000001</v>
      </c>
      <c r="R1129" s="199">
        <v>0.99</v>
      </c>
      <c r="T1129" s="149"/>
      <c r="U1129" s="149">
        <v>1.2</v>
      </c>
      <c r="V1129" s="151">
        <v>0.25</v>
      </c>
      <c r="W1129" s="149">
        <f t="shared" si="67"/>
        <v>0.99</v>
      </c>
      <c r="X1129" s="152">
        <f t="shared" si="66"/>
        <v>6.93E-2</v>
      </c>
      <c r="Y1129" s="150">
        <f t="shared" si="65"/>
        <v>1.01</v>
      </c>
      <c r="Z1129" s="152"/>
      <c r="AC1129" s="154"/>
      <c r="AD1129" s="154"/>
      <c r="AE1129" s="154"/>
      <c r="AF1129" s="154"/>
    </row>
    <row r="1130" spans="1:32" x14ac:dyDescent="0.25">
      <c r="A1130" s="196">
        <v>665</v>
      </c>
      <c r="C1130" s="196" t="s">
        <v>6056</v>
      </c>
      <c r="D1130" s="196" t="s">
        <v>6057</v>
      </c>
      <c r="F1130" s="196">
        <v>2005</v>
      </c>
      <c r="H1130" s="196" t="s">
        <v>1878</v>
      </c>
      <c r="I1130" s="184" t="s">
        <v>1879</v>
      </c>
      <c r="K1130" s="196" t="s">
        <v>1881</v>
      </c>
      <c r="L1130" s="184" t="s">
        <v>6058</v>
      </c>
      <c r="M1130" s="196">
        <v>160</v>
      </c>
      <c r="O1130" s="196" t="s">
        <v>5255</v>
      </c>
      <c r="P1130" s="17">
        <v>291</v>
      </c>
      <c r="Q1130" s="175">
        <f t="shared" si="68"/>
        <v>4.6493000000000002</v>
      </c>
      <c r="R1130" s="199">
        <v>2.99</v>
      </c>
      <c r="T1130" s="149"/>
      <c r="U1130" s="149">
        <v>1.2</v>
      </c>
      <c r="V1130" s="149">
        <v>0.25</v>
      </c>
      <c r="W1130" s="149">
        <f t="shared" si="67"/>
        <v>2.99</v>
      </c>
      <c r="X1130" s="152">
        <f t="shared" si="66"/>
        <v>0.20930000000000001</v>
      </c>
      <c r="Y1130" s="150">
        <f t="shared" si="65"/>
        <v>1.01</v>
      </c>
      <c r="Z1130" s="152"/>
      <c r="AC1130" s="154"/>
      <c r="AD1130" s="154"/>
      <c r="AE1130" s="154"/>
      <c r="AF1130" s="154"/>
    </row>
    <row r="1131" spans="1:32" x14ac:dyDescent="0.25">
      <c r="A1131" s="196">
        <v>796</v>
      </c>
      <c r="B1131" s="182" t="s">
        <v>6059</v>
      </c>
      <c r="C1131" s="196" t="s">
        <v>6060</v>
      </c>
      <c r="D1131" s="196" t="s">
        <v>2244</v>
      </c>
      <c r="E1131" s="196" t="s">
        <v>1899</v>
      </c>
      <c r="F1131" s="196">
        <v>2010</v>
      </c>
      <c r="H1131" s="196" t="s">
        <v>2734</v>
      </c>
      <c r="I1131" s="184" t="s">
        <v>1879</v>
      </c>
      <c r="K1131" s="196" t="s">
        <v>1881</v>
      </c>
      <c r="L1131" s="184" t="s">
        <v>6061</v>
      </c>
      <c r="M1131" s="196">
        <v>642</v>
      </c>
      <c r="O1131" s="196" t="s">
        <v>5256</v>
      </c>
      <c r="P1131" s="17">
        <v>897</v>
      </c>
      <c r="Q1131" s="175">
        <f t="shared" si="68"/>
        <v>2.7953000000000001</v>
      </c>
      <c r="R1131" s="199">
        <v>0.79</v>
      </c>
      <c r="T1131" s="149"/>
      <c r="U1131" s="149">
        <v>1.7</v>
      </c>
      <c r="V1131" s="151">
        <v>0.25</v>
      </c>
      <c r="W1131" s="149">
        <f t="shared" si="67"/>
        <v>0.79</v>
      </c>
      <c r="X1131" s="152">
        <f t="shared" si="66"/>
        <v>5.5300000000000002E-2</v>
      </c>
      <c r="Y1131" s="150">
        <f t="shared" si="65"/>
        <v>1.01</v>
      </c>
      <c r="Z1131" s="152"/>
      <c r="AC1131" s="154"/>
      <c r="AD1131" s="154"/>
      <c r="AE1131" s="154"/>
      <c r="AF1131" s="154"/>
    </row>
    <row r="1132" spans="1:32" x14ac:dyDescent="0.25">
      <c r="A1132" s="196">
        <v>1939</v>
      </c>
      <c r="B1132" s="182" t="s">
        <v>6062</v>
      </c>
      <c r="C1132" s="196" t="s">
        <v>6063</v>
      </c>
      <c r="D1132" s="196" t="s">
        <v>2300</v>
      </c>
      <c r="F1132" s="196">
        <v>1994</v>
      </c>
      <c r="H1132" s="196" t="s">
        <v>1878</v>
      </c>
      <c r="I1132" s="184" t="s">
        <v>1879</v>
      </c>
      <c r="K1132" s="196" t="s">
        <v>1881</v>
      </c>
      <c r="M1132" s="196">
        <v>160</v>
      </c>
      <c r="O1132" s="196" t="s">
        <v>5257</v>
      </c>
      <c r="P1132" s="17">
        <v>135</v>
      </c>
      <c r="Q1132" s="175">
        <f t="shared" si="68"/>
        <v>1.9742999999999999</v>
      </c>
      <c r="R1132" s="199">
        <v>0.49</v>
      </c>
      <c r="T1132" s="149"/>
      <c r="U1132" s="149">
        <v>1.2</v>
      </c>
      <c r="V1132" s="149">
        <v>0.25</v>
      </c>
      <c r="W1132" s="149">
        <f t="shared" si="67"/>
        <v>0.49</v>
      </c>
      <c r="X1132" s="152">
        <f t="shared" si="66"/>
        <v>3.4299999999999997E-2</v>
      </c>
      <c r="Y1132" s="150">
        <f t="shared" ref="Y1132:Y1195" si="69">(IF(Z1132&gt;AA1132,Z1132,AA1132)*0.08)+1.01</f>
        <v>1.01</v>
      </c>
      <c r="Z1132" s="152"/>
      <c r="AC1132" s="154"/>
      <c r="AD1132" s="154"/>
      <c r="AE1132" s="154"/>
      <c r="AF1132" s="154"/>
    </row>
    <row r="1133" spans="1:32" x14ac:dyDescent="0.25">
      <c r="A1133" s="196">
        <v>1395</v>
      </c>
      <c r="B1133" s="196" t="s">
        <v>6064</v>
      </c>
      <c r="C1133" s="196" t="s">
        <v>6065</v>
      </c>
      <c r="D1133" s="196" t="s">
        <v>6066</v>
      </c>
      <c r="F1133" s="196">
        <v>2005</v>
      </c>
      <c r="H1133" s="196" t="s">
        <v>1878</v>
      </c>
      <c r="I1133" s="184" t="s">
        <v>1879</v>
      </c>
      <c r="K1133" s="196" t="s">
        <v>1881</v>
      </c>
      <c r="L1133" s="184" t="s">
        <v>6067</v>
      </c>
      <c r="M1133" s="196">
        <v>336</v>
      </c>
      <c r="O1133" s="196" t="s">
        <v>5258</v>
      </c>
      <c r="P1133" s="17">
        <v>379</v>
      </c>
      <c r="Q1133" s="175">
        <f t="shared" si="68"/>
        <v>2.7232999999999996</v>
      </c>
      <c r="R1133" s="199">
        <v>1.19</v>
      </c>
      <c r="T1133" s="149"/>
      <c r="U1133" s="149">
        <v>1.2</v>
      </c>
      <c r="V1133" s="151">
        <v>0.25</v>
      </c>
      <c r="W1133" s="149">
        <f t="shared" si="67"/>
        <v>1.19</v>
      </c>
      <c r="X1133" s="152">
        <f t="shared" si="66"/>
        <v>8.3299999999999999E-2</v>
      </c>
      <c r="Y1133" s="150">
        <f t="shared" si="69"/>
        <v>1.01</v>
      </c>
      <c r="Z1133" s="152"/>
      <c r="AC1133" s="154"/>
      <c r="AD1133" s="154"/>
      <c r="AE1133" s="154"/>
      <c r="AF1133" s="154"/>
    </row>
    <row r="1134" spans="1:32" x14ac:dyDescent="0.25">
      <c r="A1134" s="196">
        <v>2516</v>
      </c>
      <c r="B1134" s="196" t="s">
        <v>6068</v>
      </c>
      <c r="C1134" s="196" t="s">
        <v>6069</v>
      </c>
      <c r="D1134" s="196" t="s">
        <v>2209</v>
      </c>
      <c r="F1134" s="196">
        <v>1992</v>
      </c>
      <c r="H1134" s="196" t="s">
        <v>2734</v>
      </c>
      <c r="I1134" s="184" t="s">
        <v>1914</v>
      </c>
      <c r="K1134" s="196" t="s">
        <v>1881</v>
      </c>
      <c r="M1134" s="196">
        <v>434</v>
      </c>
      <c r="O1134" s="196" t="s">
        <v>5259</v>
      </c>
      <c r="P1134" s="17">
        <v>499</v>
      </c>
      <c r="Q1134" s="175">
        <f t="shared" si="68"/>
        <v>2.4742999999999999</v>
      </c>
      <c r="R1134" s="199">
        <v>0.49</v>
      </c>
      <c r="T1134" s="149"/>
      <c r="U1134" s="149">
        <v>1.7</v>
      </c>
      <c r="V1134" s="149">
        <v>0.25</v>
      </c>
      <c r="W1134" s="149">
        <f t="shared" si="67"/>
        <v>0.49</v>
      </c>
      <c r="X1134" s="152">
        <f t="shared" si="66"/>
        <v>3.4299999999999997E-2</v>
      </c>
      <c r="Y1134" s="150">
        <f t="shared" si="69"/>
        <v>1.01</v>
      </c>
      <c r="Z1134" s="152"/>
      <c r="AC1134" s="154"/>
      <c r="AD1134" s="154"/>
      <c r="AE1134" s="154"/>
      <c r="AF1134" s="154"/>
    </row>
    <row r="1135" spans="1:32" x14ac:dyDescent="0.25">
      <c r="A1135" s="196">
        <v>2576</v>
      </c>
      <c r="B1135" s="196" t="s">
        <v>6070</v>
      </c>
      <c r="C1135" s="196" t="s">
        <v>6071</v>
      </c>
      <c r="D1135" s="196" t="s">
        <v>2453</v>
      </c>
      <c r="E1135" s="196" t="s">
        <v>1913</v>
      </c>
      <c r="F1135" s="196">
        <v>2010</v>
      </c>
      <c r="H1135" s="196" t="s">
        <v>1878</v>
      </c>
      <c r="I1135" s="184" t="s">
        <v>1914</v>
      </c>
      <c r="K1135" s="196" t="s">
        <v>1881</v>
      </c>
      <c r="L1135" s="184" t="s">
        <v>6072</v>
      </c>
      <c r="M1135" s="196">
        <v>224</v>
      </c>
      <c r="O1135" s="196" t="s">
        <v>5260</v>
      </c>
      <c r="P1135" s="17">
        <v>247</v>
      </c>
      <c r="Q1135" s="175">
        <f t="shared" si="68"/>
        <v>2.6162999999999998</v>
      </c>
      <c r="R1135" s="199">
        <v>1.0900000000000001</v>
      </c>
      <c r="T1135" s="149"/>
      <c r="U1135" s="149">
        <v>1.2</v>
      </c>
      <c r="V1135" s="151">
        <v>0.25</v>
      </c>
      <c r="W1135" s="149">
        <f t="shared" si="67"/>
        <v>1.0900000000000001</v>
      </c>
      <c r="X1135" s="152">
        <f t="shared" ref="X1135:X1197" si="70">(T1135+W1135)/100*7</f>
        <v>7.6300000000000007E-2</v>
      </c>
      <c r="Y1135" s="150">
        <f t="shared" si="69"/>
        <v>1.01</v>
      </c>
      <c r="Z1135" s="152"/>
      <c r="AC1135" s="154"/>
      <c r="AD1135" s="154"/>
      <c r="AE1135" s="154"/>
      <c r="AF1135" s="154"/>
    </row>
    <row r="1136" spans="1:32" x14ac:dyDescent="0.25">
      <c r="A1136" s="196">
        <v>1327</v>
      </c>
      <c r="B1136" s="196" t="s">
        <v>6073</v>
      </c>
      <c r="C1136" s="196" t="s">
        <v>6074</v>
      </c>
      <c r="D1136" s="196" t="s">
        <v>5941</v>
      </c>
      <c r="F1136" s="196">
        <v>2004</v>
      </c>
      <c r="H1136" s="196" t="s">
        <v>2734</v>
      </c>
      <c r="I1136" s="184" t="s">
        <v>1929</v>
      </c>
      <c r="K1136" s="196" t="s">
        <v>1881</v>
      </c>
      <c r="M1136" s="196">
        <v>514</v>
      </c>
      <c r="O1136" s="196" t="s">
        <v>5261</v>
      </c>
      <c r="P1136" s="17">
        <v>980</v>
      </c>
      <c r="Q1136" s="175">
        <f t="shared" si="68"/>
        <v>3.0093000000000001</v>
      </c>
      <c r="R1136" s="199">
        <v>0.99</v>
      </c>
      <c r="T1136" s="149"/>
      <c r="U1136" s="149">
        <v>1.7</v>
      </c>
      <c r="V1136" s="149">
        <v>0.25</v>
      </c>
      <c r="W1136" s="149">
        <f t="shared" si="67"/>
        <v>0.99</v>
      </c>
      <c r="X1136" s="152">
        <f t="shared" si="70"/>
        <v>6.93E-2</v>
      </c>
      <c r="Y1136" s="150">
        <f t="shared" si="69"/>
        <v>1.01</v>
      </c>
      <c r="Z1136" s="152"/>
      <c r="AC1136" s="154"/>
      <c r="AD1136" s="154"/>
      <c r="AE1136" s="154"/>
      <c r="AF1136" s="154"/>
    </row>
    <row r="1137" spans="1:32" x14ac:dyDescent="0.25">
      <c r="A1137" s="196">
        <v>2522</v>
      </c>
      <c r="B1137" s="196" t="s">
        <v>6075</v>
      </c>
      <c r="C1137" s="196" t="s">
        <v>6076</v>
      </c>
      <c r="D1137" s="196" t="s">
        <v>2036</v>
      </c>
      <c r="F1137" s="196">
        <v>2000</v>
      </c>
      <c r="H1137" s="196" t="s">
        <v>2734</v>
      </c>
      <c r="I1137" s="184" t="s">
        <v>1879</v>
      </c>
      <c r="K1137" s="196" t="s">
        <v>1881</v>
      </c>
      <c r="L1137" s="184" t="s">
        <v>6077</v>
      </c>
      <c r="M1137" s="196">
        <v>530</v>
      </c>
      <c r="O1137" s="196" t="s">
        <v>5262</v>
      </c>
      <c r="P1137" s="17">
        <v>724</v>
      </c>
      <c r="Q1137" s="175">
        <f t="shared" si="68"/>
        <v>2.4742999999999999</v>
      </c>
      <c r="R1137" s="199">
        <v>0.49</v>
      </c>
      <c r="T1137" s="149"/>
      <c r="U1137" s="149">
        <v>1.7</v>
      </c>
      <c r="V1137" s="151">
        <v>0.25</v>
      </c>
      <c r="W1137" s="149">
        <f t="shared" si="67"/>
        <v>0.49</v>
      </c>
      <c r="X1137" s="152">
        <f t="shared" si="70"/>
        <v>3.4299999999999997E-2</v>
      </c>
      <c r="Y1137" s="150">
        <f t="shared" si="69"/>
        <v>1.01</v>
      </c>
      <c r="Z1137" s="152"/>
      <c r="AC1137" s="154"/>
      <c r="AD1137" s="154"/>
      <c r="AE1137" s="154"/>
      <c r="AF1137" s="154"/>
    </row>
    <row r="1138" spans="1:32" x14ac:dyDescent="0.25">
      <c r="A1138" s="196">
        <v>1333</v>
      </c>
      <c r="B1138" s="196" t="s">
        <v>6078</v>
      </c>
      <c r="C1138" s="196" t="s">
        <v>6079</v>
      </c>
      <c r="D1138" s="196" t="s">
        <v>4693</v>
      </c>
      <c r="E1138" s="196" t="s">
        <v>2175</v>
      </c>
      <c r="F1138" s="196">
        <v>2008</v>
      </c>
      <c r="H1138" s="196" t="s">
        <v>1878</v>
      </c>
      <c r="I1138" s="184" t="s">
        <v>1879</v>
      </c>
      <c r="K1138" s="196" t="s">
        <v>1881</v>
      </c>
      <c r="L1138" s="184" t="s">
        <v>6080</v>
      </c>
      <c r="M1138" s="196">
        <v>64</v>
      </c>
      <c r="O1138" s="196" t="s">
        <v>5263</v>
      </c>
      <c r="P1138" s="17">
        <v>162</v>
      </c>
      <c r="Q1138" s="175">
        <f t="shared" si="68"/>
        <v>2.5093000000000001</v>
      </c>
      <c r="R1138" s="199">
        <v>0.99</v>
      </c>
      <c r="T1138" s="149"/>
      <c r="U1138" s="149">
        <v>1.2</v>
      </c>
      <c r="V1138" s="149">
        <v>0.25</v>
      </c>
      <c r="W1138" s="149">
        <f t="shared" si="67"/>
        <v>0.99</v>
      </c>
      <c r="X1138" s="152">
        <f t="shared" si="70"/>
        <v>6.93E-2</v>
      </c>
      <c r="Y1138" s="150">
        <f t="shared" si="69"/>
        <v>1.01</v>
      </c>
      <c r="Z1138" s="152"/>
      <c r="AC1138" s="154"/>
      <c r="AD1138" s="154"/>
      <c r="AE1138" s="154"/>
      <c r="AF1138" s="154"/>
    </row>
    <row r="1139" spans="1:32" x14ac:dyDescent="0.25">
      <c r="A1139" s="196">
        <v>1333</v>
      </c>
      <c r="C1139" s="196" t="s">
        <v>6081</v>
      </c>
      <c r="D1139" s="196" t="s">
        <v>3332</v>
      </c>
      <c r="H1139" s="196" t="s">
        <v>1878</v>
      </c>
      <c r="I1139" s="184" t="s">
        <v>1929</v>
      </c>
      <c r="K1139" s="196" t="s">
        <v>1881</v>
      </c>
      <c r="L1139" s="184" t="s">
        <v>6082</v>
      </c>
      <c r="M1139" s="196">
        <v>96</v>
      </c>
      <c r="O1139" s="196" t="s">
        <v>5264</v>
      </c>
      <c r="P1139" s="17">
        <v>245</v>
      </c>
      <c r="Q1139" s="175">
        <f t="shared" si="68"/>
        <v>2.7232999999999996</v>
      </c>
      <c r="R1139" s="199">
        <v>1.19</v>
      </c>
      <c r="T1139" s="149"/>
      <c r="U1139" s="149">
        <v>1.2</v>
      </c>
      <c r="V1139" s="151">
        <v>0.25</v>
      </c>
      <c r="W1139" s="149">
        <f t="shared" si="67"/>
        <v>1.19</v>
      </c>
      <c r="X1139" s="152">
        <f t="shared" si="70"/>
        <v>8.3299999999999999E-2</v>
      </c>
      <c r="Y1139" s="150">
        <f t="shared" si="69"/>
        <v>1.01</v>
      </c>
      <c r="Z1139" s="152"/>
      <c r="AC1139" s="154"/>
      <c r="AD1139" s="154"/>
      <c r="AE1139" s="154"/>
      <c r="AF1139" s="154"/>
    </row>
    <row r="1140" spans="1:32" x14ac:dyDescent="0.25">
      <c r="A1140" s="196">
        <v>1314</v>
      </c>
      <c r="B1140" s="196" t="s">
        <v>6086</v>
      </c>
      <c r="C1140" s="196" t="s">
        <v>6087</v>
      </c>
      <c r="D1140" s="196" t="s">
        <v>2822</v>
      </c>
      <c r="F1140" s="196">
        <v>2003</v>
      </c>
      <c r="H1140" s="196" t="s">
        <v>1878</v>
      </c>
      <c r="I1140" s="184" t="s">
        <v>1879</v>
      </c>
      <c r="J1140" s="54" t="s">
        <v>3854</v>
      </c>
      <c r="K1140" s="196" t="s">
        <v>1881</v>
      </c>
      <c r="L1140" s="184" t="s">
        <v>6088</v>
      </c>
      <c r="M1140" s="196">
        <v>176</v>
      </c>
      <c r="O1140" s="196" t="s">
        <v>5266</v>
      </c>
      <c r="P1140" s="17">
        <v>199</v>
      </c>
      <c r="Q1140" s="175">
        <f t="shared" si="68"/>
        <v>2.5093000000000001</v>
      </c>
      <c r="R1140" s="199">
        <v>0.99</v>
      </c>
      <c r="T1140" s="149"/>
      <c r="U1140" s="149">
        <v>1.2</v>
      </c>
      <c r="V1140" s="149">
        <v>0.25</v>
      </c>
      <c r="W1140" s="149">
        <f t="shared" si="67"/>
        <v>0.99</v>
      </c>
      <c r="X1140" s="152">
        <f t="shared" si="70"/>
        <v>6.93E-2</v>
      </c>
      <c r="Y1140" s="150">
        <f t="shared" si="69"/>
        <v>1.01</v>
      </c>
      <c r="Z1140" s="152"/>
      <c r="AC1140" s="154"/>
      <c r="AD1140" s="154"/>
      <c r="AE1140" s="154"/>
      <c r="AF1140" s="154"/>
    </row>
    <row r="1141" spans="1:32" x14ac:dyDescent="0.25">
      <c r="A1141" s="196">
        <v>634</v>
      </c>
      <c r="B1141" s="196" t="s">
        <v>6089</v>
      </c>
      <c r="C1141" s="196" t="s">
        <v>6090</v>
      </c>
      <c r="D1141" s="196" t="s">
        <v>2151</v>
      </c>
      <c r="F1141" s="196">
        <v>1982</v>
      </c>
      <c r="H1141" s="196" t="s">
        <v>1878</v>
      </c>
      <c r="I1141" s="184" t="s">
        <v>1914</v>
      </c>
      <c r="K1141" s="196" t="s">
        <v>1881</v>
      </c>
      <c r="M1141" s="196">
        <v>162</v>
      </c>
      <c r="O1141" s="196" t="s">
        <v>5267</v>
      </c>
      <c r="P1141" s="17">
        <v>111</v>
      </c>
      <c r="Q1141" s="175">
        <f t="shared" si="68"/>
        <v>2.5093000000000001</v>
      </c>
      <c r="R1141" s="199">
        <v>0.99</v>
      </c>
      <c r="T1141" s="149"/>
      <c r="U1141" s="149">
        <v>1.2</v>
      </c>
      <c r="V1141" s="151">
        <v>0.25</v>
      </c>
      <c r="W1141" s="149">
        <f t="shared" ref="W1141:W1201" si="71">IF(R1141&gt;T1141,R1141,T1141)</f>
        <v>0.99</v>
      </c>
      <c r="X1141" s="152">
        <f t="shared" si="70"/>
        <v>6.93E-2</v>
      </c>
      <c r="Y1141" s="150">
        <f t="shared" si="69"/>
        <v>1.01</v>
      </c>
      <c r="Z1141" s="152"/>
      <c r="AC1141" s="154"/>
      <c r="AD1141" s="154"/>
      <c r="AE1141" s="154"/>
      <c r="AF1141" s="154"/>
    </row>
    <row r="1142" spans="1:32" x14ac:dyDescent="0.25">
      <c r="A1142" s="196">
        <v>1395</v>
      </c>
      <c r="B1142" s="196" t="s">
        <v>6091</v>
      </c>
      <c r="C1142" s="196" t="s">
        <v>6092</v>
      </c>
      <c r="D1142" s="196" t="s">
        <v>2257</v>
      </c>
      <c r="F1142" s="196">
        <v>1998</v>
      </c>
      <c r="H1142" s="196" t="s">
        <v>1878</v>
      </c>
      <c r="I1142" s="184" t="s">
        <v>1879</v>
      </c>
      <c r="J1142" s="54" t="s">
        <v>3854</v>
      </c>
      <c r="K1142" s="196" t="s">
        <v>1881</v>
      </c>
      <c r="L1142" s="184" t="s">
        <v>6093</v>
      </c>
      <c r="M1142" s="196">
        <v>288</v>
      </c>
      <c r="O1142" s="196" t="s">
        <v>5268</v>
      </c>
      <c r="P1142" s="17">
        <v>344</v>
      </c>
      <c r="Q1142" s="175">
        <f t="shared" si="68"/>
        <v>2.5093000000000001</v>
      </c>
      <c r="R1142" s="199">
        <v>0.99</v>
      </c>
      <c r="T1142" s="149"/>
      <c r="U1142" s="149">
        <v>1.2</v>
      </c>
      <c r="V1142" s="149">
        <v>0.25</v>
      </c>
      <c r="W1142" s="149">
        <f t="shared" si="71"/>
        <v>0.99</v>
      </c>
      <c r="X1142" s="152">
        <f t="shared" si="70"/>
        <v>6.93E-2</v>
      </c>
      <c r="Y1142" s="150">
        <f t="shared" si="69"/>
        <v>1.01</v>
      </c>
      <c r="Z1142" s="152"/>
      <c r="AC1142" s="154"/>
      <c r="AD1142" s="154"/>
      <c r="AE1142" s="154"/>
      <c r="AF1142" s="154"/>
    </row>
    <row r="1143" spans="1:32" x14ac:dyDescent="0.25">
      <c r="A1143" s="196">
        <v>2551</v>
      </c>
      <c r="B1143" s="196" t="s">
        <v>4238</v>
      </c>
      <c r="C1143" s="196" t="s">
        <v>6094</v>
      </c>
      <c r="D1143" s="196" t="s">
        <v>2232</v>
      </c>
      <c r="E1143" s="196" t="s">
        <v>1913</v>
      </c>
      <c r="F1143" s="196">
        <v>2001</v>
      </c>
      <c r="H1143" s="196" t="s">
        <v>1878</v>
      </c>
      <c r="I1143" s="184" t="s">
        <v>1879</v>
      </c>
      <c r="K1143" s="196" t="s">
        <v>1881</v>
      </c>
      <c r="L1143" s="184" t="s">
        <v>6095</v>
      </c>
      <c r="M1143" s="196">
        <v>288</v>
      </c>
      <c r="O1143" s="196" t="s">
        <v>5269</v>
      </c>
      <c r="P1143" s="17">
        <v>275</v>
      </c>
      <c r="Q1143" s="175">
        <f t="shared" si="68"/>
        <v>2.5093000000000001</v>
      </c>
      <c r="R1143" s="199">
        <v>0.99</v>
      </c>
      <c r="T1143" s="149"/>
      <c r="U1143" s="149">
        <v>1.2</v>
      </c>
      <c r="V1143" s="151">
        <v>0.25</v>
      </c>
      <c r="W1143" s="149">
        <f t="shared" si="71"/>
        <v>0.99</v>
      </c>
      <c r="X1143" s="152">
        <f t="shared" si="70"/>
        <v>6.93E-2</v>
      </c>
      <c r="Y1143" s="150">
        <f t="shared" si="69"/>
        <v>1.01</v>
      </c>
      <c r="Z1143" s="152"/>
      <c r="AC1143" s="154"/>
      <c r="AD1143" s="154"/>
      <c r="AE1143" s="154"/>
      <c r="AF1143" s="154"/>
    </row>
    <row r="1144" spans="1:32" x14ac:dyDescent="0.25">
      <c r="A1144" s="196">
        <v>2571</v>
      </c>
      <c r="B1144" s="196" t="s">
        <v>6073</v>
      </c>
      <c r="C1144" s="196" t="s">
        <v>6096</v>
      </c>
      <c r="D1144" s="196" t="s">
        <v>1988</v>
      </c>
      <c r="E1144" s="196" t="s">
        <v>6097</v>
      </c>
      <c r="F1144" s="196">
        <v>1997</v>
      </c>
      <c r="H1144" s="196" t="s">
        <v>1878</v>
      </c>
      <c r="I1144" s="184" t="s">
        <v>1879</v>
      </c>
      <c r="K1144" s="196" t="s">
        <v>1881</v>
      </c>
      <c r="L1144" s="184" t="s">
        <v>6098</v>
      </c>
      <c r="M1144" s="196">
        <v>688</v>
      </c>
      <c r="O1144" s="196" t="s">
        <v>5270</v>
      </c>
      <c r="P1144" s="17">
        <v>501</v>
      </c>
      <c r="Q1144" s="175">
        <f t="shared" si="68"/>
        <v>3.0093000000000001</v>
      </c>
      <c r="R1144" s="199">
        <v>0.99</v>
      </c>
      <c r="T1144" s="149"/>
      <c r="U1144" s="149">
        <v>1.7</v>
      </c>
      <c r="V1144" s="149">
        <v>0.25</v>
      </c>
      <c r="W1144" s="149">
        <f t="shared" si="71"/>
        <v>0.99</v>
      </c>
      <c r="X1144" s="152">
        <f t="shared" si="70"/>
        <v>6.93E-2</v>
      </c>
      <c r="Y1144" s="150">
        <f t="shared" si="69"/>
        <v>1.01</v>
      </c>
      <c r="Z1144" s="152"/>
      <c r="AC1144" s="154"/>
      <c r="AD1144" s="154"/>
      <c r="AE1144" s="154"/>
      <c r="AF1144" s="154"/>
    </row>
    <row r="1145" spans="1:32" x14ac:dyDescent="0.25">
      <c r="A1145" s="196">
        <v>2522</v>
      </c>
      <c r="B1145" s="196" t="s">
        <v>6099</v>
      </c>
      <c r="C1145" s="196" t="s">
        <v>6100</v>
      </c>
      <c r="D1145" s="196" t="s">
        <v>4476</v>
      </c>
      <c r="E1145" s="196" t="s">
        <v>1913</v>
      </c>
      <c r="F1145" s="196">
        <v>1999</v>
      </c>
      <c r="H1145" s="196" t="s">
        <v>2734</v>
      </c>
      <c r="I1145" s="184" t="s">
        <v>1929</v>
      </c>
      <c r="K1145" s="196" t="s">
        <v>1881</v>
      </c>
      <c r="L1145" s="184" t="s">
        <v>6101</v>
      </c>
      <c r="M1145" s="196">
        <v>290</v>
      </c>
      <c r="O1145" s="196" t="s">
        <v>5271</v>
      </c>
      <c r="P1145" s="17">
        <v>491</v>
      </c>
      <c r="Q1145" s="175">
        <f t="shared" si="68"/>
        <v>3.0093000000000001</v>
      </c>
      <c r="R1145" s="199">
        <v>0.99</v>
      </c>
      <c r="T1145" s="149"/>
      <c r="U1145" s="149">
        <v>1.7</v>
      </c>
      <c r="V1145" s="151">
        <v>0.25</v>
      </c>
      <c r="W1145" s="149">
        <f t="shared" si="71"/>
        <v>0.99</v>
      </c>
      <c r="X1145" s="152">
        <f t="shared" si="70"/>
        <v>6.93E-2</v>
      </c>
      <c r="Y1145" s="150">
        <f t="shared" si="69"/>
        <v>1.01</v>
      </c>
      <c r="Z1145" s="152"/>
      <c r="AC1145" s="154"/>
      <c r="AD1145" s="154"/>
      <c r="AE1145" s="154"/>
      <c r="AF1145" s="154"/>
    </row>
    <row r="1146" spans="1:32" x14ac:dyDescent="0.25">
      <c r="A1146" s="196">
        <v>2522</v>
      </c>
      <c r="B1146" s="196" t="s">
        <v>6102</v>
      </c>
      <c r="C1146" s="196" t="s">
        <v>6103</v>
      </c>
      <c r="D1146" s="196" t="s">
        <v>2386</v>
      </c>
      <c r="F1146" s="196">
        <v>1999</v>
      </c>
      <c r="H1146" s="196" t="s">
        <v>2734</v>
      </c>
      <c r="I1146" s="184" t="s">
        <v>1879</v>
      </c>
      <c r="K1146" s="196" t="s">
        <v>1881</v>
      </c>
      <c r="L1146" s="184" t="s">
        <v>6104</v>
      </c>
      <c r="M1146" s="196">
        <v>546</v>
      </c>
      <c r="O1146" s="196" t="s">
        <v>5272</v>
      </c>
      <c r="P1146" s="17">
        <v>751</v>
      </c>
      <c r="Q1146" s="175">
        <f t="shared" si="68"/>
        <v>3.1162999999999998</v>
      </c>
      <c r="R1146" s="199">
        <v>1.0900000000000001</v>
      </c>
      <c r="T1146" s="149"/>
      <c r="U1146" s="149">
        <v>1.7</v>
      </c>
      <c r="V1146" s="149">
        <v>0.25</v>
      </c>
      <c r="W1146" s="149">
        <f t="shared" si="71"/>
        <v>1.0900000000000001</v>
      </c>
      <c r="X1146" s="152">
        <f t="shared" si="70"/>
        <v>7.6300000000000007E-2</v>
      </c>
      <c r="Y1146" s="150">
        <f t="shared" si="69"/>
        <v>1.01</v>
      </c>
      <c r="Z1146" s="152"/>
      <c r="AC1146" s="154"/>
      <c r="AD1146" s="154"/>
      <c r="AE1146" s="154"/>
      <c r="AF1146" s="154"/>
    </row>
    <row r="1147" spans="1:32" x14ac:dyDescent="0.25">
      <c r="A1147" s="196">
        <v>2522</v>
      </c>
      <c r="B1147" s="196" t="s">
        <v>6105</v>
      </c>
      <c r="C1147" s="196" t="s">
        <v>6106</v>
      </c>
      <c r="D1147" s="196" t="s">
        <v>2209</v>
      </c>
      <c r="E1147" s="196" t="s">
        <v>1877</v>
      </c>
      <c r="F1147" s="196">
        <v>2013</v>
      </c>
      <c r="H1147" s="196" t="s">
        <v>1878</v>
      </c>
      <c r="I1147" s="184" t="s">
        <v>1879</v>
      </c>
      <c r="K1147" s="196" t="s">
        <v>1881</v>
      </c>
      <c r="L1147" s="184" t="s">
        <v>6107</v>
      </c>
      <c r="M1147" s="196">
        <v>400</v>
      </c>
      <c r="O1147" s="196" t="s">
        <v>5273</v>
      </c>
      <c r="P1147" s="17">
        <v>524</v>
      </c>
      <c r="Q1147" s="175">
        <f t="shared" si="68"/>
        <v>3.2232999999999996</v>
      </c>
      <c r="R1147" s="199">
        <v>1.19</v>
      </c>
      <c r="T1147" s="149"/>
      <c r="U1147" s="149">
        <v>1.7</v>
      </c>
      <c r="V1147" s="151">
        <v>0.25</v>
      </c>
      <c r="W1147" s="149">
        <f t="shared" si="71"/>
        <v>1.19</v>
      </c>
      <c r="X1147" s="152">
        <f t="shared" si="70"/>
        <v>8.3299999999999999E-2</v>
      </c>
      <c r="Y1147" s="150">
        <f t="shared" si="69"/>
        <v>1.01</v>
      </c>
      <c r="Z1147" s="152"/>
      <c r="AC1147" s="154"/>
      <c r="AD1147" s="154"/>
      <c r="AE1147" s="154"/>
      <c r="AF1147" s="154"/>
    </row>
    <row r="1148" spans="1:32" x14ac:dyDescent="0.25">
      <c r="A1148" s="196">
        <v>1327</v>
      </c>
      <c r="B1148" s="196" t="s">
        <v>6108</v>
      </c>
      <c r="C1148" s="196" t="s">
        <v>6109</v>
      </c>
      <c r="D1148" s="196" t="s">
        <v>1912</v>
      </c>
      <c r="E1148" s="196" t="s">
        <v>2335</v>
      </c>
      <c r="F1148" s="196">
        <v>2001</v>
      </c>
      <c r="H1148" s="196" t="s">
        <v>1878</v>
      </c>
      <c r="I1148" s="184" t="s">
        <v>1879</v>
      </c>
      <c r="K1148" s="196" t="s">
        <v>1881</v>
      </c>
      <c r="L1148" s="184" t="s">
        <v>6110</v>
      </c>
      <c r="M1148" s="196">
        <v>896</v>
      </c>
      <c r="O1148" s="196" t="s">
        <v>5274</v>
      </c>
      <c r="P1148" s="17">
        <v>588</v>
      </c>
      <c r="Q1148" s="175">
        <f t="shared" si="68"/>
        <v>2.4742999999999999</v>
      </c>
      <c r="R1148" s="199">
        <v>0.49</v>
      </c>
      <c r="T1148" s="149"/>
      <c r="U1148" s="149">
        <v>1.7</v>
      </c>
      <c r="V1148" s="149">
        <v>0.25</v>
      </c>
      <c r="W1148" s="149">
        <f t="shared" si="71"/>
        <v>0.49</v>
      </c>
      <c r="X1148" s="152">
        <f t="shared" si="70"/>
        <v>3.4299999999999997E-2</v>
      </c>
      <c r="Y1148" s="150">
        <f t="shared" si="69"/>
        <v>1.01</v>
      </c>
      <c r="Z1148" s="152"/>
      <c r="AC1148" s="154"/>
      <c r="AD1148" s="154"/>
      <c r="AE1148" s="154"/>
      <c r="AF1148" s="154"/>
    </row>
    <row r="1149" spans="1:32" x14ac:dyDescent="0.25">
      <c r="A1149" s="196">
        <v>2571</v>
      </c>
      <c r="B1149" s="196" t="s">
        <v>6111</v>
      </c>
      <c r="C1149" s="196" t="s">
        <v>6112</v>
      </c>
      <c r="D1149" s="196" t="s">
        <v>6113</v>
      </c>
      <c r="H1149" s="196" t="s">
        <v>1878</v>
      </c>
      <c r="I1149" s="184" t="s">
        <v>1879</v>
      </c>
      <c r="K1149" s="196" t="s">
        <v>1881</v>
      </c>
      <c r="L1149" s="184" t="s">
        <v>6114</v>
      </c>
      <c r="M1149" s="196">
        <v>128</v>
      </c>
      <c r="O1149" s="196" t="s">
        <v>5275</v>
      </c>
      <c r="P1149" s="17">
        <v>146</v>
      </c>
      <c r="Q1149" s="175">
        <f t="shared" si="68"/>
        <v>3.3653000000000004</v>
      </c>
      <c r="R1149" s="199">
        <v>1.79</v>
      </c>
      <c r="T1149" s="149"/>
      <c r="U1149" s="149">
        <v>1.2</v>
      </c>
      <c r="V1149" s="151">
        <v>0.25</v>
      </c>
      <c r="W1149" s="149">
        <f t="shared" si="71"/>
        <v>1.79</v>
      </c>
      <c r="X1149" s="152">
        <f t="shared" si="70"/>
        <v>0.12529999999999999</v>
      </c>
      <c r="Y1149" s="150">
        <f t="shared" si="69"/>
        <v>1.01</v>
      </c>
      <c r="Z1149" s="152"/>
      <c r="AC1149" s="154"/>
      <c r="AD1149" s="154"/>
      <c r="AE1149" s="154"/>
      <c r="AF1149" s="154"/>
    </row>
    <row r="1150" spans="1:32" x14ac:dyDescent="0.25">
      <c r="A1150" s="196">
        <v>692</v>
      </c>
      <c r="B1150" s="196" t="s">
        <v>3637</v>
      </c>
      <c r="C1150" s="196" t="s">
        <v>6115</v>
      </c>
      <c r="D1150" s="196" t="s">
        <v>1993</v>
      </c>
      <c r="F1150" s="196">
        <v>2011</v>
      </c>
      <c r="H1150" s="196" t="s">
        <v>1878</v>
      </c>
      <c r="I1150" s="184" t="s">
        <v>1879</v>
      </c>
      <c r="K1150" s="196" t="s">
        <v>1881</v>
      </c>
      <c r="M1150" s="196">
        <v>448</v>
      </c>
      <c r="O1150" s="196" t="s">
        <v>5276</v>
      </c>
      <c r="P1150" s="17">
        <v>329</v>
      </c>
      <c r="Q1150" s="175">
        <f t="shared" si="68"/>
        <v>2.2953000000000001</v>
      </c>
      <c r="R1150" s="199">
        <v>0.79</v>
      </c>
      <c r="T1150" s="149"/>
      <c r="U1150" s="149">
        <v>1.2</v>
      </c>
      <c r="V1150" s="149">
        <v>0.25</v>
      </c>
      <c r="W1150" s="149">
        <f t="shared" si="71"/>
        <v>0.79</v>
      </c>
      <c r="X1150" s="152">
        <f t="shared" si="70"/>
        <v>5.5300000000000002E-2</v>
      </c>
      <c r="Y1150" s="150">
        <f t="shared" si="69"/>
        <v>1.01</v>
      </c>
      <c r="Z1150" s="152"/>
      <c r="AC1150" s="154"/>
      <c r="AD1150" s="154"/>
      <c r="AE1150" s="154"/>
      <c r="AF1150" s="154"/>
    </row>
    <row r="1151" spans="1:32" x14ac:dyDescent="0.25">
      <c r="A1151" s="196">
        <v>1327</v>
      </c>
      <c r="B1151" s="196" t="s">
        <v>4505</v>
      </c>
      <c r="C1151" s="196" t="s">
        <v>6116</v>
      </c>
      <c r="D1151" s="196" t="s">
        <v>1912</v>
      </c>
      <c r="E1151" s="196" t="s">
        <v>1877</v>
      </c>
      <c r="F1151" s="196">
        <v>1984</v>
      </c>
      <c r="H1151" s="196" t="s">
        <v>1878</v>
      </c>
      <c r="I1151" s="184" t="s">
        <v>1914</v>
      </c>
      <c r="K1151" s="196" t="s">
        <v>1881</v>
      </c>
      <c r="L1151" s="184" t="s">
        <v>6117</v>
      </c>
      <c r="M1151" s="196">
        <v>512</v>
      </c>
      <c r="O1151" s="196" t="s">
        <v>5277</v>
      </c>
      <c r="P1151" s="17">
        <v>303</v>
      </c>
      <c r="Q1151" s="175">
        <f t="shared" si="68"/>
        <v>2.7232999999999996</v>
      </c>
      <c r="R1151" s="199">
        <v>1.19</v>
      </c>
      <c r="T1151" s="149"/>
      <c r="U1151" s="149">
        <v>1.2</v>
      </c>
      <c r="V1151" s="151">
        <v>0.25</v>
      </c>
      <c r="W1151" s="149">
        <f t="shared" si="71"/>
        <v>1.19</v>
      </c>
      <c r="X1151" s="152">
        <f t="shared" si="70"/>
        <v>8.3299999999999999E-2</v>
      </c>
      <c r="Y1151" s="150">
        <f t="shared" si="69"/>
        <v>1.01</v>
      </c>
      <c r="Z1151" s="152"/>
      <c r="AC1151" s="154"/>
      <c r="AD1151" s="154"/>
      <c r="AE1151" s="154"/>
      <c r="AF1151" s="154"/>
    </row>
    <row r="1152" spans="1:32" x14ac:dyDescent="0.25">
      <c r="A1152" s="196">
        <v>1327</v>
      </c>
      <c r="B1152" s="196" t="s">
        <v>6118</v>
      </c>
      <c r="C1152" s="196" t="s">
        <v>6119</v>
      </c>
      <c r="D1152" s="196" t="s">
        <v>6120</v>
      </c>
      <c r="H1152" s="196" t="s">
        <v>2734</v>
      </c>
      <c r="I1152" s="184" t="s">
        <v>1914</v>
      </c>
      <c r="K1152" s="196" t="s">
        <v>1881</v>
      </c>
      <c r="L1152" s="184" t="s">
        <v>6121</v>
      </c>
      <c r="M1152" s="196">
        <v>290</v>
      </c>
      <c r="O1152" s="196" t="s">
        <v>5278</v>
      </c>
      <c r="P1152" s="17">
        <v>526</v>
      </c>
      <c r="Q1152" s="175">
        <f t="shared" si="68"/>
        <v>4.0792999999999999</v>
      </c>
      <c r="R1152" s="199">
        <v>1.99</v>
      </c>
      <c r="T1152" s="149"/>
      <c r="U1152" s="149">
        <v>1.7</v>
      </c>
      <c r="V1152" s="149">
        <v>0.25</v>
      </c>
      <c r="W1152" s="149">
        <f t="shared" si="71"/>
        <v>1.99</v>
      </c>
      <c r="X1152" s="152">
        <f t="shared" si="70"/>
        <v>0.13930000000000001</v>
      </c>
      <c r="Y1152" s="150">
        <f t="shared" si="69"/>
        <v>1.01</v>
      </c>
      <c r="Z1152" s="152"/>
      <c r="AC1152" s="154"/>
      <c r="AD1152" s="154"/>
      <c r="AE1152" s="154"/>
      <c r="AF1152" s="154"/>
    </row>
    <row r="1153" spans="1:32" x14ac:dyDescent="0.25">
      <c r="A1153" s="196">
        <v>1327</v>
      </c>
      <c r="B1153" s="196" t="s">
        <v>6122</v>
      </c>
      <c r="C1153" s="196" t="s">
        <v>6123</v>
      </c>
      <c r="D1153" s="196" t="s">
        <v>1912</v>
      </c>
      <c r="E1153" s="196" t="s">
        <v>1913</v>
      </c>
      <c r="F1153" s="196">
        <v>1989</v>
      </c>
      <c r="H1153" s="196" t="s">
        <v>1878</v>
      </c>
      <c r="I1153" s="184" t="s">
        <v>1914</v>
      </c>
      <c r="K1153" s="196" t="s">
        <v>1881</v>
      </c>
      <c r="L1153" s="184" t="s">
        <v>6124</v>
      </c>
      <c r="M1153" s="196">
        <v>288</v>
      </c>
      <c r="O1153" s="196" t="s">
        <v>5279</v>
      </c>
      <c r="P1153" s="17">
        <v>221</v>
      </c>
      <c r="Q1153" s="175">
        <f t="shared" si="68"/>
        <v>2.6162999999999998</v>
      </c>
      <c r="R1153" s="199">
        <v>1.0900000000000001</v>
      </c>
      <c r="T1153" s="149"/>
      <c r="U1153" s="149">
        <v>1.2</v>
      </c>
      <c r="V1153" s="151">
        <v>0.25</v>
      </c>
      <c r="W1153" s="149">
        <f t="shared" si="71"/>
        <v>1.0900000000000001</v>
      </c>
      <c r="X1153" s="152">
        <f t="shared" si="70"/>
        <v>7.6300000000000007E-2</v>
      </c>
      <c r="Y1153" s="150">
        <f t="shared" si="69"/>
        <v>1.01</v>
      </c>
      <c r="Z1153" s="152"/>
      <c r="AC1153" s="154"/>
      <c r="AD1153" s="154"/>
      <c r="AE1153" s="154"/>
      <c r="AF1153" s="154"/>
    </row>
    <row r="1154" spans="1:32" x14ac:dyDescent="0.25">
      <c r="A1154" s="196">
        <v>1327</v>
      </c>
      <c r="B1154" s="196" t="s">
        <v>6125</v>
      </c>
      <c r="C1154" s="196" t="s">
        <v>6126</v>
      </c>
      <c r="D1154" s="196" t="s">
        <v>6127</v>
      </c>
      <c r="H1154" s="196" t="s">
        <v>2734</v>
      </c>
      <c r="I1154" s="184" t="s">
        <v>1879</v>
      </c>
      <c r="K1154" s="196" t="s">
        <v>1881</v>
      </c>
      <c r="M1154" s="196">
        <v>114</v>
      </c>
      <c r="O1154" s="196" t="s">
        <v>5280</v>
      </c>
      <c r="P1154" s="17">
        <v>347</v>
      </c>
      <c r="Q1154" s="175">
        <f t="shared" si="68"/>
        <v>3.0442999999999998</v>
      </c>
      <c r="R1154" s="199">
        <v>1.49</v>
      </c>
      <c r="T1154" s="149"/>
      <c r="U1154" s="149">
        <v>1.2</v>
      </c>
      <c r="V1154" s="149">
        <v>0.25</v>
      </c>
      <c r="W1154" s="149">
        <f t="shared" si="71"/>
        <v>1.49</v>
      </c>
      <c r="X1154" s="152">
        <f t="shared" si="70"/>
        <v>0.1043</v>
      </c>
      <c r="Y1154" s="150">
        <f t="shared" si="69"/>
        <v>1.01</v>
      </c>
      <c r="Z1154" s="152"/>
      <c r="AC1154" s="154"/>
      <c r="AD1154" s="154"/>
      <c r="AE1154" s="154"/>
      <c r="AF1154" s="154"/>
    </row>
    <row r="1155" spans="1:32" x14ac:dyDescent="0.25">
      <c r="A1155" s="196">
        <v>1327</v>
      </c>
      <c r="B1155" s="196" t="s">
        <v>6128</v>
      </c>
      <c r="C1155" s="196" t="s">
        <v>6129</v>
      </c>
      <c r="D1155" s="196" t="s">
        <v>3312</v>
      </c>
      <c r="F1155" s="196">
        <v>1997</v>
      </c>
      <c r="H1155" s="196" t="s">
        <v>2734</v>
      </c>
      <c r="I1155" s="184" t="s">
        <v>1879</v>
      </c>
      <c r="K1155" s="196" t="s">
        <v>1881</v>
      </c>
      <c r="M1155" s="196">
        <v>434</v>
      </c>
      <c r="O1155" s="196" t="s">
        <v>5281</v>
      </c>
      <c r="P1155" s="17">
        <v>511</v>
      </c>
      <c r="Q1155" s="175">
        <f t="shared" si="68"/>
        <v>2.7953000000000001</v>
      </c>
      <c r="R1155" s="199">
        <v>0.79</v>
      </c>
      <c r="T1155" s="149"/>
      <c r="U1155" s="149">
        <v>1.7</v>
      </c>
      <c r="V1155" s="151">
        <v>0.25</v>
      </c>
      <c r="W1155" s="149">
        <f t="shared" si="71"/>
        <v>0.79</v>
      </c>
      <c r="X1155" s="152">
        <f t="shared" si="70"/>
        <v>5.5300000000000002E-2</v>
      </c>
      <c r="Y1155" s="150">
        <f t="shared" si="69"/>
        <v>1.01</v>
      </c>
      <c r="Z1155" s="152"/>
      <c r="AC1155" s="154"/>
      <c r="AD1155" s="154"/>
      <c r="AE1155" s="154"/>
      <c r="AF1155" s="154"/>
    </row>
    <row r="1156" spans="1:32" x14ac:dyDescent="0.25">
      <c r="A1156" s="196">
        <v>1395</v>
      </c>
      <c r="B1156" s="196" t="s">
        <v>6130</v>
      </c>
      <c r="C1156" s="196" t="s">
        <v>6131</v>
      </c>
      <c r="D1156" s="196" t="s">
        <v>6132</v>
      </c>
      <c r="F1156" s="196">
        <v>2013</v>
      </c>
      <c r="H1156" s="196" t="s">
        <v>2734</v>
      </c>
      <c r="I1156" s="184" t="s">
        <v>1929</v>
      </c>
      <c r="K1156" s="196" t="s">
        <v>1881</v>
      </c>
      <c r="M1156" s="196">
        <v>194</v>
      </c>
      <c r="O1156" s="196" t="s">
        <v>5282</v>
      </c>
      <c r="P1156" s="17">
        <v>350</v>
      </c>
      <c r="Q1156" s="175">
        <f t="shared" si="68"/>
        <v>3.5792999999999999</v>
      </c>
      <c r="R1156" s="199">
        <v>1.99</v>
      </c>
      <c r="T1156" s="149"/>
      <c r="U1156" s="149">
        <v>1.2</v>
      </c>
      <c r="V1156" s="149">
        <v>0.25</v>
      </c>
      <c r="W1156" s="149">
        <f t="shared" si="71"/>
        <v>1.99</v>
      </c>
      <c r="X1156" s="152">
        <f t="shared" si="70"/>
        <v>0.13930000000000001</v>
      </c>
      <c r="Y1156" s="150">
        <f t="shared" si="69"/>
        <v>1.01</v>
      </c>
      <c r="Z1156" s="152"/>
      <c r="AC1156" s="154"/>
      <c r="AD1156" s="154"/>
      <c r="AE1156" s="154"/>
      <c r="AF1156" s="154"/>
    </row>
    <row r="1157" spans="1:32" x14ac:dyDescent="0.25">
      <c r="A1157" s="196">
        <v>2522</v>
      </c>
      <c r="B1157" s="196" t="s">
        <v>6133</v>
      </c>
      <c r="C1157" s="196" t="s">
        <v>6134</v>
      </c>
      <c r="D1157" s="196" t="s">
        <v>6135</v>
      </c>
      <c r="F1157" s="196">
        <v>2017</v>
      </c>
      <c r="H1157" s="196" t="s">
        <v>1878</v>
      </c>
      <c r="I1157" s="184" t="s">
        <v>1879</v>
      </c>
      <c r="K1157" s="196" t="s">
        <v>1881</v>
      </c>
      <c r="L1157" s="184" t="s">
        <v>6136</v>
      </c>
      <c r="M1157" s="196">
        <v>400</v>
      </c>
      <c r="O1157" s="196" t="s">
        <v>5283</v>
      </c>
      <c r="P1157" s="17">
        <v>572</v>
      </c>
      <c r="Q1157" s="175">
        <f t="shared" si="68"/>
        <v>3.8653000000000004</v>
      </c>
      <c r="R1157" s="199">
        <v>1.79</v>
      </c>
      <c r="T1157" s="149"/>
      <c r="U1157" s="149">
        <v>1.7</v>
      </c>
      <c r="V1157" s="151">
        <v>0.25</v>
      </c>
      <c r="W1157" s="149">
        <f t="shared" si="71"/>
        <v>1.79</v>
      </c>
      <c r="X1157" s="152">
        <f t="shared" si="70"/>
        <v>0.12529999999999999</v>
      </c>
      <c r="Y1157" s="150">
        <f t="shared" si="69"/>
        <v>1.01</v>
      </c>
      <c r="Z1157" s="152"/>
      <c r="AC1157" s="154"/>
      <c r="AD1157" s="154"/>
      <c r="AE1157" s="154"/>
      <c r="AF1157" s="154"/>
    </row>
    <row r="1158" spans="1:32" x14ac:dyDescent="0.25">
      <c r="A1158" s="196">
        <v>796</v>
      </c>
      <c r="B1158" s="196" t="s">
        <v>6137</v>
      </c>
      <c r="C1158" s="196" t="s">
        <v>6138</v>
      </c>
      <c r="D1158" s="196" t="s">
        <v>2209</v>
      </c>
      <c r="F1158" s="196">
        <v>2010</v>
      </c>
      <c r="H1158" s="196" t="s">
        <v>1878</v>
      </c>
      <c r="I1158" s="184" t="s">
        <v>1879</v>
      </c>
      <c r="K1158" s="196" t="s">
        <v>1881</v>
      </c>
      <c r="L1158" s="184" t="s">
        <v>6139</v>
      </c>
      <c r="M1158" s="196">
        <v>400</v>
      </c>
      <c r="O1158" s="196" t="s">
        <v>5284</v>
      </c>
      <c r="P1158" s="17">
        <v>323</v>
      </c>
      <c r="Q1158" s="175">
        <f t="shared" si="68"/>
        <v>2.5093000000000001</v>
      </c>
      <c r="R1158" s="199">
        <v>0.99</v>
      </c>
      <c r="T1158" s="149"/>
      <c r="U1158" s="149">
        <v>1.2</v>
      </c>
      <c r="V1158" s="149">
        <v>0.25</v>
      </c>
      <c r="W1158" s="149">
        <f t="shared" si="71"/>
        <v>0.99</v>
      </c>
      <c r="X1158" s="152">
        <f t="shared" si="70"/>
        <v>6.93E-2</v>
      </c>
      <c r="Y1158" s="150">
        <f t="shared" si="69"/>
        <v>1.01</v>
      </c>
      <c r="Z1158" s="152"/>
      <c r="AC1158" s="154"/>
      <c r="AD1158" s="154"/>
      <c r="AE1158" s="154"/>
      <c r="AF1158" s="154"/>
    </row>
    <row r="1159" spans="1:32" x14ac:dyDescent="0.25">
      <c r="A1159" s="196">
        <v>573</v>
      </c>
      <c r="B1159" s="196" t="s">
        <v>6140</v>
      </c>
      <c r="C1159" s="196" t="s">
        <v>6142</v>
      </c>
      <c r="D1159" s="196" t="s">
        <v>6141</v>
      </c>
      <c r="F1159" s="196">
        <v>1991</v>
      </c>
      <c r="H1159" s="196" t="s">
        <v>1878</v>
      </c>
      <c r="I1159" s="184" t="s">
        <v>1879</v>
      </c>
      <c r="K1159" s="196" t="s">
        <v>1881</v>
      </c>
      <c r="L1159" s="184" t="s">
        <v>6143</v>
      </c>
      <c r="M1159" s="196">
        <v>192</v>
      </c>
      <c r="O1159" s="196" t="s">
        <v>5285</v>
      </c>
      <c r="P1159" s="17">
        <v>288</v>
      </c>
      <c r="Q1159" s="175">
        <f t="shared" si="68"/>
        <v>7.8593000000000002</v>
      </c>
      <c r="R1159" s="199">
        <v>5.99</v>
      </c>
      <c r="T1159" s="149"/>
      <c r="U1159" s="149">
        <v>1.2</v>
      </c>
      <c r="V1159" s="151">
        <v>0.25</v>
      </c>
      <c r="W1159" s="149">
        <f t="shared" si="71"/>
        <v>5.99</v>
      </c>
      <c r="X1159" s="152">
        <f t="shared" si="70"/>
        <v>0.41930000000000001</v>
      </c>
      <c r="Y1159" s="150">
        <f t="shared" si="69"/>
        <v>1.01</v>
      </c>
      <c r="Z1159" s="152"/>
      <c r="AC1159" s="154"/>
      <c r="AD1159" s="154"/>
      <c r="AE1159" s="154"/>
      <c r="AF1159" s="154"/>
    </row>
    <row r="1160" spans="1:32" x14ac:dyDescent="0.25">
      <c r="A1160" s="196">
        <v>573</v>
      </c>
      <c r="B1160" s="196" t="s">
        <v>6140</v>
      </c>
      <c r="C1160" s="196" t="s">
        <v>6144</v>
      </c>
      <c r="D1160" s="196" t="s">
        <v>6141</v>
      </c>
      <c r="F1160" s="196">
        <v>1996</v>
      </c>
      <c r="H1160" s="196" t="s">
        <v>1878</v>
      </c>
      <c r="I1160" s="184" t="s">
        <v>1879</v>
      </c>
      <c r="K1160" s="196" t="s">
        <v>1881</v>
      </c>
      <c r="L1160" s="184" t="s">
        <v>6145</v>
      </c>
      <c r="M1160" s="196">
        <v>224</v>
      </c>
      <c r="O1160" s="196" t="s">
        <v>5286</v>
      </c>
      <c r="P1160" s="17">
        <v>326</v>
      </c>
      <c r="Q1160" s="175">
        <f t="shared" si="68"/>
        <v>9.9992999999999999</v>
      </c>
      <c r="R1160" s="199">
        <v>7.99</v>
      </c>
      <c r="T1160" s="149"/>
      <c r="U1160" s="149">
        <v>1.2</v>
      </c>
      <c r="V1160" s="149">
        <v>0.25</v>
      </c>
      <c r="W1160" s="149">
        <f t="shared" si="71"/>
        <v>7.99</v>
      </c>
      <c r="X1160" s="152">
        <f t="shared" si="70"/>
        <v>0.55930000000000002</v>
      </c>
      <c r="Y1160" s="150">
        <f t="shared" si="69"/>
        <v>1.01</v>
      </c>
      <c r="Z1160" s="152"/>
      <c r="AC1160" s="154"/>
      <c r="AD1160" s="154"/>
      <c r="AE1160" s="154"/>
      <c r="AF1160" s="154"/>
    </row>
    <row r="1161" spans="1:32" x14ac:dyDescent="0.25">
      <c r="A1161" s="196">
        <v>2522</v>
      </c>
      <c r="B1161" s="196" t="s">
        <v>6146</v>
      </c>
      <c r="C1161" s="196" t="s">
        <v>6180</v>
      </c>
      <c r="D1161" s="196" t="s">
        <v>1912</v>
      </c>
      <c r="F1161" s="196">
        <v>1995</v>
      </c>
      <c r="H1161" s="196" t="s">
        <v>1878</v>
      </c>
      <c r="I1161" s="184" t="s">
        <v>1879</v>
      </c>
      <c r="K1161" s="196" t="s">
        <v>1881</v>
      </c>
      <c r="M1161" s="196">
        <v>576</v>
      </c>
      <c r="O1161" s="196" t="s">
        <v>5287</v>
      </c>
      <c r="P1161" s="17">
        <v>416</v>
      </c>
      <c r="Q1161" s="175">
        <f t="shared" si="68"/>
        <v>2.5093000000000001</v>
      </c>
      <c r="R1161" s="199">
        <v>0.99</v>
      </c>
      <c r="T1161" s="149"/>
      <c r="U1161" s="149">
        <v>1.2</v>
      </c>
      <c r="V1161" s="151">
        <v>0.25</v>
      </c>
      <c r="W1161" s="149">
        <f t="shared" si="71"/>
        <v>0.99</v>
      </c>
      <c r="X1161" s="152">
        <f t="shared" si="70"/>
        <v>6.93E-2</v>
      </c>
      <c r="Y1161" s="150">
        <f t="shared" si="69"/>
        <v>1.01</v>
      </c>
      <c r="Z1161" s="152"/>
      <c r="AC1161" s="154"/>
      <c r="AD1161" s="154"/>
      <c r="AE1161" s="154"/>
      <c r="AF1161" s="154"/>
    </row>
    <row r="1162" spans="1:32" x14ac:dyDescent="0.25">
      <c r="A1162" s="196">
        <v>765</v>
      </c>
      <c r="B1162" s="196" t="s">
        <v>6147</v>
      </c>
      <c r="C1162" s="196" t="s">
        <v>6148</v>
      </c>
      <c r="D1162" s="196" t="s">
        <v>2300</v>
      </c>
      <c r="E1162" s="196" t="s">
        <v>1913</v>
      </c>
      <c r="F1162" s="196">
        <v>1992</v>
      </c>
      <c r="H1162" s="196" t="s">
        <v>2734</v>
      </c>
      <c r="I1162" s="184" t="s">
        <v>1879</v>
      </c>
      <c r="J1162" s="196" t="s">
        <v>5945</v>
      </c>
      <c r="K1162" s="196" t="s">
        <v>1881</v>
      </c>
      <c r="L1162" s="184" t="s">
        <v>6149</v>
      </c>
      <c r="M1162" s="196">
        <v>418</v>
      </c>
      <c r="O1162" s="196" t="s">
        <v>5288</v>
      </c>
      <c r="P1162" s="17">
        <v>582</v>
      </c>
      <c r="Q1162" s="175">
        <f t="shared" si="68"/>
        <v>4.0792999999999999</v>
      </c>
      <c r="R1162" s="199">
        <v>1.99</v>
      </c>
      <c r="T1162" s="149"/>
      <c r="U1162" s="149">
        <v>1.7</v>
      </c>
      <c r="V1162" s="149">
        <v>0.25</v>
      </c>
      <c r="W1162" s="149">
        <f t="shared" si="71"/>
        <v>1.99</v>
      </c>
      <c r="X1162" s="152">
        <f t="shared" si="70"/>
        <v>0.13930000000000001</v>
      </c>
      <c r="Y1162" s="150">
        <f t="shared" si="69"/>
        <v>1.01</v>
      </c>
      <c r="Z1162" s="152"/>
      <c r="AC1162" s="154"/>
      <c r="AD1162" s="154"/>
      <c r="AE1162" s="154"/>
      <c r="AF1162" s="154"/>
    </row>
    <row r="1163" spans="1:32" x14ac:dyDescent="0.25">
      <c r="A1163" s="196">
        <v>692</v>
      </c>
      <c r="B1163" s="196" t="s">
        <v>4031</v>
      </c>
      <c r="C1163" s="196" t="s">
        <v>6150</v>
      </c>
      <c r="D1163" s="196" t="s">
        <v>2609</v>
      </c>
      <c r="F1163" s="196">
        <v>1996</v>
      </c>
      <c r="H1163" s="196" t="s">
        <v>1878</v>
      </c>
      <c r="I1163" s="184" t="s">
        <v>1879</v>
      </c>
      <c r="K1163" s="196" t="s">
        <v>1881</v>
      </c>
      <c r="L1163" s="184" t="s">
        <v>6151</v>
      </c>
      <c r="M1163" s="196">
        <v>272</v>
      </c>
      <c r="O1163" s="196" t="s">
        <v>5289</v>
      </c>
      <c r="P1163" s="17">
        <v>228</v>
      </c>
      <c r="Q1163" s="175">
        <f t="shared" si="68"/>
        <v>1.9742999999999999</v>
      </c>
      <c r="R1163" s="199">
        <v>0.49</v>
      </c>
      <c r="T1163" s="149"/>
      <c r="U1163" s="149">
        <v>1.2</v>
      </c>
      <c r="V1163" s="151">
        <v>0.25</v>
      </c>
      <c r="W1163" s="149">
        <f t="shared" si="71"/>
        <v>0.49</v>
      </c>
      <c r="X1163" s="152">
        <f t="shared" si="70"/>
        <v>3.4299999999999997E-2</v>
      </c>
      <c r="Y1163" s="150">
        <f t="shared" si="69"/>
        <v>1.01</v>
      </c>
      <c r="Z1163" s="152"/>
      <c r="AC1163" s="154"/>
      <c r="AD1163" s="154"/>
      <c r="AE1163" s="154"/>
      <c r="AF1163" s="154"/>
    </row>
    <row r="1164" spans="1:32" x14ac:dyDescent="0.25">
      <c r="A1164" s="196">
        <v>1327</v>
      </c>
      <c r="B1164" s="196" t="s">
        <v>6152</v>
      </c>
      <c r="C1164" s="196" t="s">
        <v>6153</v>
      </c>
      <c r="D1164" s="196" t="s">
        <v>2419</v>
      </c>
      <c r="E1164" s="196" t="s">
        <v>1877</v>
      </c>
      <c r="F1164" s="196">
        <v>1996</v>
      </c>
      <c r="H1164" s="196" t="s">
        <v>1878</v>
      </c>
      <c r="I1164" s="184" t="s">
        <v>1914</v>
      </c>
      <c r="K1164" s="196" t="s">
        <v>1881</v>
      </c>
      <c r="L1164" s="184" t="s">
        <v>6154</v>
      </c>
      <c r="M1164" s="196">
        <v>264</v>
      </c>
      <c r="O1164" s="196" t="s">
        <v>5290</v>
      </c>
      <c r="P1164" s="17">
        <v>176</v>
      </c>
      <c r="Q1164" s="175">
        <f t="shared" si="68"/>
        <v>2.5093000000000001</v>
      </c>
      <c r="R1164" s="199">
        <v>0.99</v>
      </c>
      <c r="T1164" s="149"/>
      <c r="U1164" s="149">
        <v>1.2</v>
      </c>
      <c r="V1164" s="149">
        <v>0.25</v>
      </c>
      <c r="W1164" s="149">
        <f t="shared" si="71"/>
        <v>0.99</v>
      </c>
      <c r="X1164" s="152">
        <f t="shared" si="70"/>
        <v>6.93E-2</v>
      </c>
      <c r="Y1164" s="150">
        <f t="shared" si="69"/>
        <v>1.01</v>
      </c>
      <c r="Z1164" s="152"/>
      <c r="AC1164" s="154"/>
      <c r="AD1164" s="154"/>
      <c r="AE1164" s="154"/>
      <c r="AF1164" s="154"/>
    </row>
    <row r="1165" spans="1:32" x14ac:dyDescent="0.25">
      <c r="A1165" s="196">
        <v>632</v>
      </c>
      <c r="B1165" s="196" t="s">
        <v>6155</v>
      </c>
      <c r="C1165" s="196" t="s">
        <v>6156</v>
      </c>
      <c r="D1165" s="196" t="s">
        <v>2644</v>
      </c>
      <c r="F1165" s="196">
        <v>2005</v>
      </c>
      <c r="H1165" s="196" t="s">
        <v>1878</v>
      </c>
      <c r="I1165" s="184" t="s">
        <v>1914</v>
      </c>
      <c r="K1165" s="196" t="s">
        <v>1881</v>
      </c>
      <c r="L1165" s="184" t="s">
        <v>6157</v>
      </c>
      <c r="M1165" s="196">
        <v>688</v>
      </c>
      <c r="O1165" s="196" t="s">
        <v>5291</v>
      </c>
      <c r="P1165" s="17">
        <v>478</v>
      </c>
      <c r="Q1165" s="175">
        <f t="shared" si="68"/>
        <v>3.3653000000000004</v>
      </c>
      <c r="R1165" s="199">
        <v>1.79</v>
      </c>
      <c r="T1165" s="149"/>
      <c r="U1165" s="149">
        <v>1.2</v>
      </c>
      <c r="V1165" s="151">
        <v>0.25</v>
      </c>
      <c r="W1165" s="149">
        <f t="shared" si="71"/>
        <v>1.79</v>
      </c>
      <c r="X1165" s="152">
        <f t="shared" si="70"/>
        <v>0.12529999999999999</v>
      </c>
      <c r="Y1165" s="150">
        <f t="shared" si="69"/>
        <v>1.01</v>
      </c>
      <c r="Z1165" s="152"/>
      <c r="AC1165" s="154"/>
      <c r="AD1165" s="154"/>
      <c r="AE1165" s="154"/>
      <c r="AF1165" s="154"/>
    </row>
    <row r="1166" spans="1:32" x14ac:dyDescent="0.25">
      <c r="A1166" s="196">
        <v>1327</v>
      </c>
      <c r="B1166" s="196" t="s">
        <v>6158</v>
      </c>
      <c r="C1166" s="196" t="s">
        <v>6159</v>
      </c>
      <c r="D1166" s="196" t="s">
        <v>1912</v>
      </c>
      <c r="E1166" s="196" t="s">
        <v>1913</v>
      </c>
      <c r="F1166" s="196">
        <v>2003</v>
      </c>
      <c r="H1166" s="196" t="s">
        <v>1878</v>
      </c>
      <c r="I1166" s="184" t="s">
        <v>1879</v>
      </c>
      <c r="J1166" s="143" t="s">
        <v>3854</v>
      </c>
      <c r="K1166" s="196" t="s">
        <v>1881</v>
      </c>
      <c r="L1166" s="184" t="s">
        <v>6160</v>
      </c>
      <c r="M1166" s="196">
        <v>320</v>
      </c>
      <c r="O1166" s="196" t="s">
        <v>5292</v>
      </c>
      <c r="P1166" s="17">
        <v>287</v>
      </c>
      <c r="Q1166" s="175">
        <f t="shared" si="68"/>
        <v>2.5093000000000001</v>
      </c>
      <c r="R1166" s="199">
        <v>0.99</v>
      </c>
      <c r="T1166" s="149"/>
      <c r="U1166" s="149">
        <v>1.2</v>
      </c>
      <c r="V1166" s="149">
        <v>0.25</v>
      </c>
      <c r="W1166" s="149">
        <f t="shared" si="71"/>
        <v>0.99</v>
      </c>
      <c r="X1166" s="152">
        <f t="shared" si="70"/>
        <v>6.93E-2</v>
      </c>
      <c r="Y1166" s="150">
        <f t="shared" si="69"/>
        <v>1.01</v>
      </c>
      <c r="Z1166" s="152"/>
      <c r="AC1166" s="154"/>
      <c r="AD1166" s="154"/>
      <c r="AE1166" s="154"/>
      <c r="AF1166" s="154"/>
    </row>
    <row r="1167" spans="1:32" x14ac:dyDescent="0.25">
      <c r="Y1167" s="150">
        <f t="shared" si="69"/>
        <v>1.01</v>
      </c>
    </row>
    <row r="1168" spans="1:32" x14ac:dyDescent="0.25">
      <c r="A1168" s="196">
        <v>704</v>
      </c>
      <c r="B1168" s="196" t="s">
        <v>6164</v>
      </c>
      <c r="C1168" s="196" t="s">
        <v>6165</v>
      </c>
      <c r="D1168" s="196" t="s">
        <v>2300</v>
      </c>
      <c r="E1168" s="196" t="s">
        <v>1913</v>
      </c>
      <c r="F1168" s="196">
        <v>1988</v>
      </c>
      <c r="H1168" s="196" t="s">
        <v>1878</v>
      </c>
      <c r="I1168" s="184" t="s">
        <v>1879</v>
      </c>
      <c r="K1168" s="196" t="s">
        <v>1881</v>
      </c>
      <c r="L1168" s="184" t="s">
        <v>6166</v>
      </c>
      <c r="M1168" s="196">
        <v>224</v>
      </c>
      <c r="O1168" s="196" t="s">
        <v>5294</v>
      </c>
      <c r="P1168" s="17">
        <v>297</v>
      </c>
      <c r="Q1168" s="175">
        <f t="shared" si="68"/>
        <v>2.7232999999999996</v>
      </c>
      <c r="R1168" s="199">
        <v>1.19</v>
      </c>
      <c r="T1168" s="149"/>
      <c r="U1168" s="149">
        <v>1.2</v>
      </c>
      <c r="V1168" s="149">
        <v>0.25</v>
      </c>
      <c r="W1168" s="149">
        <f t="shared" si="71"/>
        <v>1.19</v>
      </c>
      <c r="X1168" s="152">
        <f t="shared" si="70"/>
        <v>8.3299999999999999E-2</v>
      </c>
      <c r="Y1168" s="150">
        <f t="shared" si="69"/>
        <v>1.01</v>
      </c>
      <c r="Z1168" s="152"/>
      <c r="AC1168" s="154"/>
      <c r="AD1168" s="154"/>
      <c r="AE1168" s="154"/>
      <c r="AF1168" s="154"/>
    </row>
    <row r="1169" spans="1:36" x14ac:dyDescent="0.25">
      <c r="A1169" s="196">
        <v>1327</v>
      </c>
      <c r="B1169" s="196" t="s">
        <v>6167</v>
      </c>
      <c r="C1169" s="196" t="s">
        <v>6168</v>
      </c>
      <c r="D1169" s="196" t="s">
        <v>2644</v>
      </c>
      <c r="F1169" s="196">
        <v>1991</v>
      </c>
      <c r="H1169" s="196" t="s">
        <v>2734</v>
      </c>
      <c r="I1169" s="184" t="s">
        <v>1879</v>
      </c>
      <c r="K1169" s="196" t="s">
        <v>1881</v>
      </c>
      <c r="L1169" s="184" t="s">
        <v>6169</v>
      </c>
      <c r="M1169" s="196">
        <v>134</v>
      </c>
      <c r="O1169" s="196" t="s">
        <v>5295</v>
      </c>
      <c r="P1169" s="17">
        <v>272</v>
      </c>
      <c r="Q1169" s="175">
        <f t="shared" si="68"/>
        <v>2.5093000000000001</v>
      </c>
      <c r="R1169" s="199">
        <v>0.99</v>
      </c>
      <c r="T1169" s="149"/>
      <c r="U1169" s="149">
        <v>1.2</v>
      </c>
      <c r="V1169" s="151">
        <v>0.25</v>
      </c>
      <c r="W1169" s="149">
        <f t="shared" si="71"/>
        <v>0.99</v>
      </c>
      <c r="X1169" s="152">
        <f t="shared" si="70"/>
        <v>6.93E-2</v>
      </c>
      <c r="Y1169" s="150">
        <f t="shared" si="69"/>
        <v>1.01</v>
      </c>
      <c r="Z1169" s="152"/>
      <c r="AC1169" s="154"/>
      <c r="AD1169" s="154"/>
      <c r="AE1169" s="154"/>
      <c r="AF1169" s="154"/>
    </row>
    <row r="1170" spans="1:36" x14ac:dyDescent="0.25">
      <c r="B1170" s="196" t="s">
        <v>6171</v>
      </c>
      <c r="C1170" s="196" t="s">
        <v>6172</v>
      </c>
      <c r="D1170" s="196" t="s">
        <v>6173</v>
      </c>
      <c r="F1170" s="196">
        <v>1986</v>
      </c>
      <c r="H1170" s="196" t="s">
        <v>2734</v>
      </c>
      <c r="I1170" s="184" t="s">
        <v>1914</v>
      </c>
      <c r="K1170" s="196" t="s">
        <v>1881</v>
      </c>
      <c r="L1170" s="184" t="s">
        <v>6170</v>
      </c>
      <c r="M1170" s="196">
        <v>162</v>
      </c>
      <c r="O1170" s="196" t="s">
        <v>5296</v>
      </c>
      <c r="P1170" s="17">
        <v>251</v>
      </c>
      <c r="Q1170" s="175">
        <f t="shared" si="68"/>
        <v>2.9373</v>
      </c>
      <c r="R1170" s="199">
        <v>1.39</v>
      </c>
      <c r="T1170" s="149"/>
      <c r="U1170" s="149">
        <v>1.2</v>
      </c>
      <c r="V1170" s="149">
        <v>0.25</v>
      </c>
      <c r="W1170" s="149">
        <f t="shared" si="71"/>
        <v>1.39</v>
      </c>
      <c r="X1170" s="152">
        <f t="shared" si="70"/>
        <v>9.7299999999999998E-2</v>
      </c>
      <c r="Y1170" s="150">
        <f t="shared" si="69"/>
        <v>1.01</v>
      </c>
      <c r="Z1170" s="152"/>
      <c r="AC1170" s="154"/>
      <c r="AD1170" s="154"/>
      <c r="AE1170" s="154"/>
      <c r="AF1170" s="154"/>
    </row>
    <row r="1171" spans="1:36" x14ac:dyDescent="0.25">
      <c r="A1171" s="196">
        <v>2898</v>
      </c>
      <c r="B1171" s="196" t="s">
        <v>6174</v>
      </c>
      <c r="C1171" s="196" t="s">
        <v>6175</v>
      </c>
      <c r="D1171" s="196" t="s">
        <v>6176</v>
      </c>
      <c r="F1171" s="196">
        <v>1977</v>
      </c>
      <c r="H1171" s="196" t="s">
        <v>2734</v>
      </c>
      <c r="I1171" s="184" t="s">
        <v>1914</v>
      </c>
      <c r="K1171" s="196" t="s">
        <v>1881</v>
      </c>
      <c r="L1171" s="184" t="s">
        <v>6177</v>
      </c>
      <c r="M1171" s="196">
        <v>82</v>
      </c>
      <c r="O1171" s="196" t="s">
        <v>5297</v>
      </c>
      <c r="P1171" s="17">
        <v>99</v>
      </c>
      <c r="Q1171" s="175">
        <f t="shared" si="68"/>
        <v>2.5093000000000001</v>
      </c>
      <c r="R1171" s="199">
        <v>0.99</v>
      </c>
      <c r="T1171" s="149"/>
      <c r="U1171" s="149">
        <v>1.2</v>
      </c>
      <c r="V1171" s="151">
        <v>0.25</v>
      </c>
      <c r="W1171" s="149">
        <f t="shared" si="71"/>
        <v>0.99</v>
      </c>
      <c r="X1171" s="152">
        <f t="shared" si="70"/>
        <v>6.93E-2</v>
      </c>
      <c r="Y1171" s="150">
        <f t="shared" si="69"/>
        <v>1.01</v>
      </c>
      <c r="Z1171" s="152"/>
      <c r="AC1171" s="154"/>
      <c r="AD1171" s="154"/>
      <c r="AE1171" s="154"/>
      <c r="AF1171" s="154"/>
    </row>
    <row r="1172" spans="1:36" s="146" customFormat="1" x14ac:dyDescent="0.25">
      <c r="A1172" s="196">
        <v>2522</v>
      </c>
      <c r="B1172" s="196" t="s">
        <v>2191</v>
      </c>
      <c r="C1172" s="196" t="s">
        <v>6181</v>
      </c>
      <c r="D1172" s="196" t="s">
        <v>1912</v>
      </c>
      <c r="E1172" s="196" t="s">
        <v>2335</v>
      </c>
      <c r="F1172" s="196">
        <v>2000</v>
      </c>
      <c r="G1172" s="196"/>
      <c r="H1172" s="196" t="s">
        <v>1878</v>
      </c>
      <c r="I1172" s="141" t="s">
        <v>1879</v>
      </c>
      <c r="J1172" s="196"/>
      <c r="K1172" s="196" t="s">
        <v>1881</v>
      </c>
      <c r="L1172" s="141" t="s">
        <v>6182</v>
      </c>
      <c r="M1172" s="196">
        <v>416</v>
      </c>
      <c r="N1172" s="196"/>
      <c r="O1172" s="196" t="s">
        <v>5298</v>
      </c>
      <c r="P1172" s="144">
        <v>276</v>
      </c>
      <c r="Q1172" s="175">
        <f t="shared" si="68"/>
        <v>2.5093000000000001</v>
      </c>
      <c r="R1172" s="203">
        <v>0.99</v>
      </c>
      <c r="S1172" s="203"/>
      <c r="T1172" s="151"/>
      <c r="U1172" s="149">
        <v>1.2</v>
      </c>
      <c r="V1172" s="149">
        <v>0.25</v>
      </c>
      <c r="W1172" s="149">
        <f t="shared" si="71"/>
        <v>0.99</v>
      </c>
      <c r="X1172" s="152">
        <f t="shared" si="70"/>
        <v>6.93E-2</v>
      </c>
      <c r="Y1172" s="150">
        <f t="shared" si="69"/>
        <v>1.01</v>
      </c>
      <c r="Z1172" s="152"/>
      <c r="AC1172" s="153"/>
      <c r="AD1172" s="153"/>
      <c r="AE1172" s="153"/>
      <c r="AF1172" s="153"/>
      <c r="AG1172" s="198"/>
      <c r="AJ1172" s="147"/>
    </row>
    <row r="1173" spans="1:36" s="146" customFormat="1" x14ac:dyDescent="0.25">
      <c r="A1173" s="196">
        <v>1396</v>
      </c>
      <c r="B1173" s="196" t="s">
        <v>6183</v>
      </c>
      <c r="C1173" s="196" t="s">
        <v>6184</v>
      </c>
      <c r="D1173" s="196" t="s">
        <v>2257</v>
      </c>
      <c r="E1173" s="196"/>
      <c r="F1173" s="196">
        <v>2003</v>
      </c>
      <c r="G1173" s="196"/>
      <c r="H1173" s="196" t="s">
        <v>1878</v>
      </c>
      <c r="I1173" s="141" t="s">
        <v>1879</v>
      </c>
      <c r="J1173" s="196"/>
      <c r="K1173" s="196" t="s">
        <v>1881</v>
      </c>
      <c r="L1173" s="141" t="s">
        <v>6185</v>
      </c>
      <c r="M1173" s="196">
        <v>448</v>
      </c>
      <c r="N1173" s="196"/>
      <c r="O1173" s="196" t="s">
        <v>5299</v>
      </c>
      <c r="P1173" s="144">
        <v>246</v>
      </c>
      <c r="Q1173" s="175">
        <f t="shared" si="68"/>
        <v>2.5093000000000001</v>
      </c>
      <c r="R1173" s="203">
        <v>0.99</v>
      </c>
      <c r="S1173" s="203"/>
      <c r="T1173" s="151"/>
      <c r="U1173" s="149">
        <v>1.2</v>
      </c>
      <c r="V1173" s="151">
        <v>0.25</v>
      </c>
      <c r="W1173" s="149">
        <f t="shared" si="71"/>
        <v>0.99</v>
      </c>
      <c r="X1173" s="152">
        <f t="shared" si="70"/>
        <v>6.93E-2</v>
      </c>
      <c r="Y1173" s="150">
        <f t="shared" si="69"/>
        <v>1.01</v>
      </c>
      <c r="Z1173" s="152"/>
      <c r="AC1173" s="153"/>
      <c r="AD1173" s="153"/>
      <c r="AE1173" s="153"/>
      <c r="AF1173" s="153"/>
      <c r="AG1173" s="198"/>
      <c r="AJ1173" s="147"/>
    </row>
    <row r="1174" spans="1:36" s="146" customFormat="1" x14ac:dyDescent="0.25">
      <c r="A1174" s="196">
        <v>796</v>
      </c>
      <c r="B1174" s="196" t="s">
        <v>6186</v>
      </c>
      <c r="C1174" s="196" t="s">
        <v>6187</v>
      </c>
      <c r="D1174" s="196" t="s">
        <v>2300</v>
      </c>
      <c r="E1174" s="196"/>
      <c r="F1174" s="196">
        <v>2006</v>
      </c>
      <c r="G1174" s="196"/>
      <c r="H1174" s="196" t="s">
        <v>1878</v>
      </c>
      <c r="I1174" s="141" t="s">
        <v>1879</v>
      </c>
      <c r="J1174" s="196"/>
      <c r="K1174" s="196" t="s">
        <v>1881</v>
      </c>
      <c r="L1174" s="141" t="s">
        <v>6188</v>
      </c>
      <c r="M1174" s="196">
        <v>224</v>
      </c>
      <c r="N1174" s="196"/>
      <c r="O1174" s="196" t="s">
        <v>5300</v>
      </c>
      <c r="P1174" s="144">
        <v>210</v>
      </c>
      <c r="Q1174" s="175">
        <f t="shared" si="68"/>
        <v>2.5093000000000001</v>
      </c>
      <c r="R1174" s="203">
        <v>0.99</v>
      </c>
      <c r="S1174" s="203"/>
      <c r="T1174" s="151"/>
      <c r="U1174" s="149">
        <v>1.2</v>
      </c>
      <c r="V1174" s="149">
        <v>0.25</v>
      </c>
      <c r="W1174" s="149">
        <f t="shared" si="71"/>
        <v>0.99</v>
      </c>
      <c r="X1174" s="152">
        <f t="shared" si="70"/>
        <v>6.93E-2</v>
      </c>
      <c r="Y1174" s="150">
        <f t="shared" si="69"/>
        <v>1.01</v>
      </c>
      <c r="Z1174" s="152"/>
      <c r="AC1174" s="153"/>
      <c r="AD1174" s="153"/>
      <c r="AE1174" s="153"/>
      <c r="AF1174" s="153"/>
      <c r="AG1174" s="198"/>
      <c r="AJ1174" s="147"/>
    </row>
    <row r="1175" spans="1:36" s="146" customFormat="1" x14ac:dyDescent="0.25">
      <c r="A1175" s="196">
        <v>1244</v>
      </c>
      <c r="B1175" s="196"/>
      <c r="C1175" s="196" t="s">
        <v>6189</v>
      </c>
      <c r="D1175" s="196" t="s">
        <v>6190</v>
      </c>
      <c r="E1175" s="196"/>
      <c r="F1175" s="196"/>
      <c r="G1175" s="196"/>
      <c r="H1175" s="196" t="s">
        <v>1878</v>
      </c>
      <c r="I1175" s="141" t="s">
        <v>1929</v>
      </c>
      <c r="J1175" s="196"/>
      <c r="K1175" s="196" t="s">
        <v>6191</v>
      </c>
      <c r="L1175" s="141" t="s">
        <v>6192</v>
      </c>
      <c r="M1175" s="196"/>
      <c r="N1175" s="196"/>
      <c r="O1175" s="196" t="s">
        <v>5301</v>
      </c>
      <c r="P1175" s="144">
        <v>234</v>
      </c>
      <c r="Q1175" s="175">
        <f t="shared" si="68"/>
        <v>4.6493000000000002</v>
      </c>
      <c r="R1175" s="203">
        <v>2.99</v>
      </c>
      <c r="S1175" s="203"/>
      <c r="T1175" s="151"/>
      <c r="U1175" s="149">
        <v>1.2</v>
      </c>
      <c r="V1175" s="151">
        <v>0.25</v>
      </c>
      <c r="W1175" s="149">
        <f t="shared" si="71"/>
        <v>2.99</v>
      </c>
      <c r="X1175" s="152">
        <f t="shared" si="70"/>
        <v>0.20930000000000001</v>
      </c>
      <c r="Y1175" s="150">
        <f t="shared" si="69"/>
        <v>1.01</v>
      </c>
      <c r="Z1175" s="152"/>
      <c r="AC1175" s="153"/>
      <c r="AD1175" s="153"/>
      <c r="AE1175" s="153"/>
      <c r="AF1175" s="153"/>
      <c r="AG1175" s="198"/>
      <c r="AJ1175" s="147"/>
    </row>
    <row r="1176" spans="1:36" s="146" customFormat="1" x14ac:dyDescent="0.25">
      <c r="A1176" s="196">
        <v>632</v>
      </c>
      <c r="B1176" s="196" t="s">
        <v>6193</v>
      </c>
      <c r="C1176" s="196" t="s">
        <v>6194</v>
      </c>
      <c r="D1176" s="196" t="s">
        <v>2054</v>
      </c>
      <c r="E1176" s="196"/>
      <c r="F1176" s="196">
        <v>2007</v>
      </c>
      <c r="G1176" s="196"/>
      <c r="H1176" s="196" t="s">
        <v>1878</v>
      </c>
      <c r="I1176" s="141" t="s">
        <v>1914</v>
      </c>
      <c r="J1176" s="196"/>
      <c r="K1176" s="196" t="s">
        <v>1881</v>
      </c>
      <c r="L1176" s="141" t="s">
        <v>6195</v>
      </c>
      <c r="M1176" s="196">
        <v>576</v>
      </c>
      <c r="N1176" s="196"/>
      <c r="O1176" s="196" t="s">
        <v>5302</v>
      </c>
      <c r="P1176" s="144">
        <v>425</v>
      </c>
      <c r="Q1176" s="175">
        <f t="shared" si="68"/>
        <v>2.5093000000000001</v>
      </c>
      <c r="R1176" s="203">
        <v>0.99</v>
      </c>
      <c r="S1176" s="203"/>
      <c r="T1176" s="151"/>
      <c r="U1176" s="149">
        <v>1.2</v>
      </c>
      <c r="V1176" s="149">
        <v>0.25</v>
      </c>
      <c r="W1176" s="149">
        <f t="shared" si="71"/>
        <v>0.99</v>
      </c>
      <c r="X1176" s="152">
        <f t="shared" si="70"/>
        <v>6.93E-2</v>
      </c>
      <c r="Y1176" s="150">
        <f t="shared" si="69"/>
        <v>1.01</v>
      </c>
      <c r="Z1176" s="152"/>
      <c r="AC1176" s="153"/>
      <c r="AD1176" s="153"/>
      <c r="AE1176" s="153"/>
      <c r="AF1176" s="153"/>
      <c r="AG1176" s="198"/>
      <c r="AJ1176" s="147"/>
    </row>
    <row r="1177" spans="1:36" s="146" customFormat="1" x14ac:dyDescent="0.25">
      <c r="A1177" s="196">
        <v>2649</v>
      </c>
      <c r="B1177" s="196" t="s">
        <v>6196</v>
      </c>
      <c r="C1177" s="196" t="s">
        <v>6197</v>
      </c>
      <c r="D1177" s="196" t="s">
        <v>2103</v>
      </c>
      <c r="E1177" s="196"/>
      <c r="F1177" s="196">
        <v>2012</v>
      </c>
      <c r="G1177" s="196"/>
      <c r="H1177" s="196" t="s">
        <v>1878</v>
      </c>
      <c r="I1177" s="141" t="s">
        <v>1914</v>
      </c>
      <c r="J1177" s="196"/>
      <c r="K1177" s="196" t="s">
        <v>1881</v>
      </c>
      <c r="L1177" s="141" t="s">
        <v>6198</v>
      </c>
      <c r="M1177" s="196">
        <v>258</v>
      </c>
      <c r="N1177" s="196"/>
      <c r="O1177" s="196" t="s">
        <v>5303</v>
      </c>
      <c r="P1177" s="144">
        <v>160</v>
      </c>
      <c r="Q1177" s="175">
        <f t="shared" si="68"/>
        <v>2.7232999999999996</v>
      </c>
      <c r="R1177" s="203">
        <v>1.19</v>
      </c>
      <c r="S1177" s="203"/>
      <c r="T1177" s="151"/>
      <c r="U1177" s="149">
        <v>1.2</v>
      </c>
      <c r="V1177" s="151">
        <v>0.25</v>
      </c>
      <c r="W1177" s="149">
        <f t="shared" si="71"/>
        <v>1.19</v>
      </c>
      <c r="X1177" s="152">
        <f t="shared" si="70"/>
        <v>8.3299999999999999E-2</v>
      </c>
      <c r="Y1177" s="150">
        <f t="shared" si="69"/>
        <v>1.01</v>
      </c>
      <c r="Z1177" s="152"/>
      <c r="AC1177" s="153"/>
      <c r="AD1177" s="153"/>
      <c r="AE1177" s="153"/>
      <c r="AF1177" s="153"/>
      <c r="AG1177" s="198"/>
      <c r="AJ1177" s="147"/>
    </row>
    <row r="1178" spans="1:36" s="146" customFormat="1" x14ac:dyDescent="0.25">
      <c r="A1178" s="196">
        <v>765</v>
      </c>
      <c r="B1178" s="196" t="s">
        <v>4797</v>
      </c>
      <c r="C1178" s="196" t="s">
        <v>6199</v>
      </c>
      <c r="D1178" s="196" t="s">
        <v>1876</v>
      </c>
      <c r="E1178" s="196" t="s">
        <v>3053</v>
      </c>
      <c r="F1178" s="196">
        <v>2002</v>
      </c>
      <c r="G1178" s="196"/>
      <c r="H1178" s="196" t="s">
        <v>1878</v>
      </c>
      <c r="I1178" s="141" t="s">
        <v>1879</v>
      </c>
      <c r="J1178" s="196"/>
      <c r="K1178" s="196" t="s">
        <v>1881</v>
      </c>
      <c r="L1178" s="141" t="s">
        <v>6200</v>
      </c>
      <c r="M1178" s="196">
        <v>96</v>
      </c>
      <c r="N1178" s="196"/>
      <c r="O1178" s="196" t="s">
        <v>5304</v>
      </c>
      <c r="P1178" s="144">
        <v>175</v>
      </c>
      <c r="Q1178" s="175">
        <f t="shared" si="68"/>
        <v>2.5093000000000001</v>
      </c>
      <c r="R1178" s="203">
        <v>0.99</v>
      </c>
      <c r="S1178" s="203"/>
      <c r="T1178" s="151"/>
      <c r="U1178" s="149">
        <v>1.2</v>
      </c>
      <c r="V1178" s="149">
        <v>0.25</v>
      </c>
      <c r="W1178" s="149">
        <f t="shared" si="71"/>
        <v>0.99</v>
      </c>
      <c r="X1178" s="152">
        <f t="shared" si="70"/>
        <v>6.93E-2</v>
      </c>
      <c r="Y1178" s="150">
        <f t="shared" si="69"/>
        <v>1.01</v>
      </c>
      <c r="Z1178" s="152"/>
      <c r="AC1178" s="153"/>
      <c r="AD1178" s="153"/>
      <c r="AE1178" s="153"/>
      <c r="AF1178" s="153"/>
      <c r="AG1178" s="198"/>
      <c r="AJ1178" s="147"/>
    </row>
    <row r="1179" spans="1:36" s="146" customFormat="1" x14ac:dyDescent="0.25">
      <c r="A1179" s="196">
        <v>1395</v>
      </c>
      <c r="B1179" s="196" t="s">
        <v>6201</v>
      </c>
      <c r="C1179" s="196" t="s">
        <v>6202</v>
      </c>
      <c r="D1179" s="196" t="s">
        <v>2209</v>
      </c>
      <c r="E1179" s="196"/>
      <c r="F1179" s="196">
        <v>2005</v>
      </c>
      <c r="G1179" s="196"/>
      <c r="H1179" s="196" t="s">
        <v>1878</v>
      </c>
      <c r="I1179" s="141" t="s">
        <v>1879</v>
      </c>
      <c r="J1179" s="143" t="s">
        <v>3854</v>
      </c>
      <c r="K1179" s="196" t="s">
        <v>1881</v>
      </c>
      <c r="L1179" s="141" t="s">
        <v>6203</v>
      </c>
      <c r="M1179" s="196">
        <v>416</v>
      </c>
      <c r="N1179" s="196"/>
      <c r="O1179" s="196" t="s">
        <v>5305</v>
      </c>
      <c r="P1179" s="144">
        <v>340</v>
      </c>
      <c r="Q1179" s="175">
        <f t="shared" si="68"/>
        <v>2.5093000000000001</v>
      </c>
      <c r="R1179" s="203">
        <v>0.99</v>
      </c>
      <c r="S1179" s="203"/>
      <c r="T1179" s="151"/>
      <c r="U1179" s="149">
        <v>1.2</v>
      </c>
      <c r="V1179" s="151">
        <v>0.25</v>
      </c>
      <c r="W1179" s="149">
        <f t="shared" si="71"/>
        <v>0.99</v>
      </c>
      <c r="X1179" s="152">
        <f t="shared" si="70"/>
        <v>6.93E-2</v>
      </c>
      <c r="Y1179" s="150">
        <f t="shared" si="69"/>
        <v>1.01</v>
      </c>
      <c r="Z1179" s="152"/>
      <c r="AC1179" s="153"/>
      <c r="AD1179" s="153"/>
      <c r="AE1179" s="153"/>
      <c r="AF1179" s="153"/>
      <c r="AG1179" s="198"/>
      <c r="AJ1179" s="147"/>
    </row>
    <row r="1180" spans="1:36" s="146" customFormat="1" x14ac:dyDescent="0.25">
      <c r="A1180" s="196">
        <v>618</v>
      </c>
      <c r="B1180" s="196" t="s">
        <v>6204</v>
      </c>
      <c r="C1180" s="196" t="s">
        <v>6205</v>
      </c>
      <c r="D1180" s="196" t="s">
        <v>2209</v>
      </c>
      <c r="E1180" s="196"/>
      <c r="F1180" s="196">
        <v>1986</v>
      </c>
      <c r="G1180" s="196"/>
      <c r="H1180" s="196" t="s">
        <v>1878</v>
      </c>
      <c r="I1180" s="141" t="s">
        <v>1914</v>
      </c>
      <c r="J1180" s="196"/>
      <c r="K1180" s="196" t="s">
        <v>1881</v>
      </c>
      <c r="L1180" s="141" t="s">
        <v>6206</v>
      </c>
      <c r="M1180" s="196">
        <v>336</v>
      </c>
      <c r="N1180" s="196"/>
      <c r="O1180" s="196" t="s">
        <v>5306</v>
      </c>
      <c r="P1180" s="144">
        <v>191</v>
      </c>
      <c r="Q1180" s="175">
        <f t="shared" si="68"/>
        <v>2.5093000000000001</v>
      </c>
      <c r="R1180" s="203">
        <v>0.99</v>
      </c>
      <c r="S1180" s="203"/>
      <c r="T1180" s="151"/>
      <c r="U1180" s="149">
        <v>1.2</v>
      </c>
      <c r="V1180" s="149">
        <v>0.25</v>
      </c>
      <c r="W1180" s="149">
        <f t="shared" si="71"/>
        <v>0.99</v>
      </c>
      <c r="X1180" s="152">
        <f t="shared" si="70"/>
        <v>6.93E-2</v>
      </c>
      <c r="Y1180" s="150">
        <f t="shared" si="69"/>
        <v>1.01</v>
      </c>
      <c r="Z1180" s="152"/>
      <c r="AC1180" s="153"/>
      <c r="AD1180" s="153"/>
      <c r="AE1180" s="153"/>
      <c r="AF1180" s="153"/>
      <c r="AG1180" s="198"/>
      <c r="AJ1180" s="147"/>
    </row>
    <row r="1181" spans="1:36" s="146" customFormat="1" x14ac:dyDescent="0.25">
      <c r="A1181" s="196">
        <v>1395</v>
      </c>
      <c r="B1181" s="196" t="s">
        <v>6207</v>
      </c>
      <c r="C1181" s="196" t="s">
        <v>6208</v>
      </c>
      <c r="D1181" s="196" t="s">
        <v>1912</v>
      </c>
      <c r="E1181" s="196" t="s">
        <v>2518</v>
      </c>
      <c r="F1181" s="196">
        <v>2010</v>
      </c>
      <c r="G1181" s="196"/>
      <c r="H1181" s="196" t="s">
        <v>1878</v>
      </c>
      <c r="I1181" s="141" t="s">
        <v>1914</v>
      </c>
      <c r="J1181" s="196"/>
      <c r="K1181" s="196" t="s">
        <v>1881</v>
      </c>
      <c r="L1181" s="141" t="s">
        <v>6209</v>
      </c>
      <c r="M1181" s="196">
        <v>288</v>
      </c>
      <c r="N1181" s="196"/>
      <c r="O1181" s="196" t="s">
        <v>5307</v>
      </c>
      <c r="P1181" s="144">
        <v>239</v>
      </c>
      <c r="Q1181" s="175">
        <f t="shared" si="68"/>
        <v>2.5093000000000001</v>
      </c>
      <c r="R1181" s="203">
        <v>0.99</v>
      </c>
      <c r="S1181" s="203"/>
      <c r="T1181" s="151"/>
      <c r="U1181" s="149">
        <v>1.2</v>
      </c>
      <c r="V1181" s="151">
        <v>0.25</v>
      </c>
      <c r="W1181" s="149">
        <f t="shared" si="71"/>
        <v>0.99</v>
      </c>
      <c r="X1181" s="152">
        <f t="shared" si="70"/>
        <v>6.93E-2</v>
      </c>
      <c r="Y1181" s="150">
        <f t="shared" si="69"/>
        <v>1.01</v>
      </c>
      <c r="Z1181" s="152"/>
      <c r="AC1181" s="153"/>
      <c r="AD1181" s="153"/>
      <c r="AE1181" s="153"/>
      <c r="AF1181" s="153"/>
      <c r="AG1181" s="198"/>
      <c r="AJ1181" s="147"/>
    </row>
    <row r="1182" spans="1:36" s="146" customFormat="1" x14ac:dyDescent="0.25">
      <c r="A1182" s="196">
        <v>632</v>
      </c>
      <c r="B1182" s="196" t="s">
        <v>6210</v>
      </c>
      <c r="C1182" s="196" t="s">
        <v>6211</v>
      </c>
      <c r="D1182" s="196" t="s">
        <v>1988</v>
      </c>
      <c r="E1182" s="196"/>
      <c r="F1182" s="196">
        <v>1999</v>
      </c>
      <c r="G1182" s="196"/>
      <c r="H1182" s="196" t="s">
        <v>1878</v>
      </c>
      <c r="I1182" s="141" t="s">
        <v>1879</v>
      </c>
      <c r="J1182" s="196"/>
      <c r="K1182" s="196" t="s">
        <v>1881</v>
      </c>
      <c r="L1182" s="141" t="s">
        <v>6212</v>
      </c>
      <c r="M1182" s="196">
        <v>240</v>
      </c>
      <c r="N1182" s="196"/>
      <c r="O1182" s="196" t="s">
        <v>5308</v>
      </c>
      <c r="P1182" s="144">
        <v>213</v>
      </c>
      <c r="Q1182" s="175">
        <f t="shared" si="68"/>
        <v>3.0442999999999998</v>
      </c>
      <c r="R1182" s="203">
        <v>1.49</v>
      </c>
      <c r="S1182" s="203"/>
      <c r="T1182" s="151"/>
      <c r="U1182" s="149">
        <v>1.2</v>
      </c>
      <c r="V1182" s="149">
        <v>0.25</v>
      </c>
      <c r="W1182" s="149">
        <f t="shared" si="71"/>
        <v>1.49</v>
      </c>
      <c r="X1182" s="152">
        <f t="shared" si="70"/>
        <v>0.1043</v>
      </c>
      <c r="Y1182" s="150">
        <f t="shared" si="69"/>
        <v>1.01</v>
      </c>
      <c r="Z1182" s="152"/>
      <c r="AC1182" s="153"/>
      <c r="AD1182" s="153"/>
      <c r="AE1182" s="153"/>
      <c r="AF1182" s="153"/>
      <c r="AG1182" s="198"/>
      <c r="AJ1182" s="147"/>
    </row>
    <row r="1183" spans="1:36" s="146" customFormat="1" x14ac:dyDescent="0.25">
      <c r="A1183" s="196">
        <v>1939</v>
      </c>
      <c r="B1183" s="196" t="s">
        <v>6213</v>
      </c>
      <c r="C1183" s="196" t="s">
        <v>6214</v>
      </c>
      <c r="D1183" s="196" t="s">
        <v>2209</v>
      </c>
      <c r="E1183" s="196"/>
      <c r="F1183" s="196">
        <v>2008</v>
      </c>
      <c r="G1183" s="196"/>
      <c r="H1183" s="196" t="s">
        <v>1878</v>
      </c>
      <c r="I1183" s="141" t="s">
        <v>1929</v>
      </c>
      <c r="J1183" s="196"/>
      <c r="K1183" s="196" t="s">
        <v>1881</v>
      </c>
      <c r="L1183" s="141" t="s">
        <v>6215</v>
      </c>
      <c r="M1183" s="196">
        <v>96</v>
      </c>
      <c r="N1183" s="196"/>
      <c r="O1183" s="196" t="s">
        <v>5309</v>
      </c>
      <c r="P1183" s="144">
        <v>166</v>
      </c>
      <c r="Q1183" s="175">
        <f t="shared" si="68"/>
        <v>4.5423</v>
      </c>
      <c r="R1183" s="203">
        <v>2.89</v>
      </c>
      <c r="S1183" s="203"/>
      <c r="T1183" s="151"/>
      <c r="U1183" s="149">
        <v>1.2</v>
      </c>
      <c r="V1183" s="151">
        <v>0.25</v>
      </c>
      <c r="W1183" s="149">
        <f t="shared" si="71"/>
        <v>2.89</v>
      </c>
      <c r="X1183" s="152">
        <f t="shared" si="70"/>
        <v>0.20230000000000001</v>
      </c>
      <c r="Y1183" s="150">
        <f t="shared" si="69"/>
        <v>1.01</v>
      </c>
      <c r="Z1183" s="152"/>
      <c r="AC1183" s="153"/>
      <c r="AD1183" s="153"/>
      <c r="AE1183" s="153"/>
      <c r="AF1183" s="153"/>
      <c r="AG1183" s="198"/>
      <c r="AJ1183" s="147"/>
    </row>
    <row r="1184" spans="1:36" s="146" customFormat="1" x14ac:dyDescent="0.25">
      <c r="A1184" s="196">
        <v>2463</v>
      </c>
      <c r="B1184" s="196" t="s">
        <v>6216</v>
      </c>
      <c r="C1184" s="196" t="s">
        <v>6217</v>
      </c>
      <c r="D1184" s="196" t="s">
        <v>6218</v>
      </c>
      <c r="E1184" s="196"/>
      <c r="F1184" s="196">
        <v>2002</v>
      </c>
      <c r="G1184" s="196"/>
      <c r="H1184" s="196" t="s">
        <v>1878</v>
      </c>
      <c r="I1184" s="141" t="s">
        <v>1929</v>
      </c>
      <c r="J1184" s="196"/>
      <c r="K1184" s="196" t="s">
        <v>1881</v>
      </c>
      <c r="L1184" s="141" t="s">
        <v>6219</v>
      </c>
      <c r="M1184" s="196">
        <v>128</v>
      </c>
      <c r="N1184" s="196"/>
      <c r="O1184" s="196" t="s">
        <v>5310</v>
      </c>
      <c r="P1184" s="144">
        <v>193</v>
      </c>
      <c r="Q1184" s="175">
        <f t="shared" si="68"/>
        <v>1.9742999999999999</v>
      </c>
      <c r="R1184" s="203">
        <v>0.49</v>
      </c>
      <c r="S1184" s="203"/>
      <c r="T1184" s="151"/>
      <c r="U1184" s="149">
        <v>1.2</v>
      </c>
      <c r="V1184" s="149">
        <v>0.25</v>
      </c>
      <c r="W1184" s="149">
        <f t="shared" si="71"/>
        <v>0.49</v>
      </c>
      <c r="X1184" s="152">
        <f t="shared" si="70"/>
        <v>3.4299999999999997E-2</v>
      </c>
      <c r="Y1184" s="150">
        <f t="shared" si="69"/>
        <v>1.01</v>
      </c>
      <c r="Z1184" s="152"/>
      <c r="AC1184" s="153"/>
      <c r="AD1184" s="153"/>
      <c r="AE1184" s="153"/>
      <c r="AF1184" s="153"/>
      <c r="AG1184" s="198"/>
      <c r="AJ1184" s="147"/>
    </row>
    <row r="1185" spans="1:36" s="146" customFormat="1" x14ac:dyDescent="0.25">
      <c r="A1185" s="196">
        <v>1314</v>
      </c>
      <c r="B1185" s="196" t="s">
        <v>6220</v>
      </c>
      <c r="C1185" s="196" t="s">
        <v>6221</v>
      </c>
      <c r="D1185" s="196" t="s">
        <v>2209</v>
      </c>
      <c r="E1185" s="196"/>
      <c r="F1185" s="196">
        <v>2003</v>
      </c>
      <c r="G1185" s="196"/>
      <c r="H1185" s="196" t="s">
        <v>1878</v>
      </c>
      <c r="I1185" s="141" t="s">
        <v>1879</v>
      </c>
      <c r="J1185" s="196"/>
      <c r="K1185" s="196" t="s">
        <v>1881</v>
      </c>
      <c r="L1185" s="141" t="s">
        <v>6222</v>
      </c>
      <c r="M1185" s="196">
        <v>224</v>
      </c>
      <c r="N1185" s="196"/>
      <c r="O1185" s="196" t="s">
        <v>5311</v>
      </c>
      <c r="P1185" s="144">
        <v>225</v>
      </c>
      <c r="Q1185" s="175">
        <f t="shared" si="68"/>
        <v>2.5093000000000001</v>
      </c>
      <c r="R1185" s="203">
        <v>0.99</v>
      </c>
      <c r="S1185" s="203"/>
      <c r="T1185" s="151"/>
      <c r="U1185" s="149">
        <v>1.2</v>
      </c>
      <c r="V1185" s="151">
        <v>0.25</v>
      </c>
      <c r="W1185" s="149">
        <f t="shared" si="71"/>
        <v>0.99</v>
      </c>
      <c r="X1185" s="152">
        <f t="shared" si="70"/>
        <v>6.93E-2</v>
      </c>
      <c r="Y1185" s="150">
        <f t="shared" si="69"/>
        <v>1.01</v>
      </c>
      <c r="Z1185" s="152"/>
      <c r="AC1185" s="153"/>
      <c r="AD1185" s="153"/>
      <c r="AE1185" s="153"/>
      <c r="AF1185" s="153"/>
      <c r="AG1185" s="198"/>
      <c r="AJ1185" s="147"/>
    </row>
    <row r="1186" spans="1:36" s="146" customFormat="1" x14ac:dyDescent="0.25">
      <c r="A1186" s="196">
        <v>1314</v>
      </c>
      <c r="B1186" s="196" t="s">
        <v>4127</v>
      </c>
      <c r="C1186" s="196" t="s">
        <v>6223</v>
      </c>
      <c r="D1186" s="196" t="s">
        <v>3116</v>
      </c>
      <c r="E1186" s="196" t="s">
        <v>1877</v>
      </c>
      <c r="F1186" s="196">
        <v>2008</v>
      </c>
      <c r="G1186" s="196"/>
      <c r="H1186" s="196" t="s">
        <v>1878</v>
      </c>
      <c r="I1186" s="141" t="s">
        <v>1879</v>
      </c>
      <c r="J1186" s="196"/>
      <c r="K1186" s="196" t="s">
        <v>1881</v>
      </c>
      <c r="L1186" s="141" t="s">
        <v>6224</v>
      </c>
      <c r="M1186" s="196">
        <v>256</v>
      </c>
      <c r="N1186" s="196"/>
      <c r="O1186" s="196" t="s">
        <v>5312</v>
      </c>
      <c r="P1186" s="144">
        <v>401</v>
      </c>
      <c r="Q1186" s="175">
        <f t="shared" si="68"/>
        <v>2.7232999999999996</v>
      </c>
      <c r="R1186" s="203">
        <v>1.19</v>
      </c>
      <c r="S1186" s="203"/>
      <c r="T1186" s="151"/>
      <c r="U1186" s="149">
        <v>1.2</v>
      </c>
      <c r="V1186" s="149">
        <v>0.25</v>
      </c>
      <c r="W1186" s="149">
        <f t="shared" si="71"/>
        <v>1.19</v>
      </c>
      <c r="X1186" s="152">
        <f t="shared" si="70"/>
        <v>8.3299999999999999E-2</v>
      </c>
      <c r="Y1186" s="150">
        <f t="shared" si="69"/>
        <v>1.01</v>
      </c>
      <c r="Z1186" s="152"/>
      <c r="AC1186" s="153"/>
      <c r="AD1186" s="153"/>
      <c r="AE1186" s="153"/>
      <c r="AF1186" s="153"/>
      <c r="AG1186" s="198"/>
      <c r="AJ1186" s="147"/>
    </row>
    <row r="1187" spans="1:36" s="146" customFormat="1" x14ac:dyDescent="0.25">
      <c r="A1187" s="196">
        <v>2551</v>
      </c>
      <c r="B1187" s="196" t="s">
        <v>6225</v>
      </c>
      <c r="C1187" s="196" t="s">
        <v>6226</v>
      </c>
      <c r="D1187" s="196" t="s">
        <v>2054</v>
      </c>
      <c r="E1187" s="196"/>
      <c r="F1187" s="196">
        <v>2012</v>
      </c>
      <c r="G1187" s="196"/>
      <c r="H1187" s="196" t="s">
        <v>1878</v>
      </c>
      <c r="I1187" s="141" t="s">
        <v>1879</v>
      </c>
      <c r="J1187" s="196"/>
      <c r="K1187" s="196" t="s">
        <v>1881</v>
      </c>
      <c r="L1187" s="141" t="s">
        <v>6227</v>
      </c>
      <c r="M1187" s="196">
        <v>512</v>
      </c>
      <c r="N1187" s="196"/>
      <c r="O1187" s="196" t="s">
        <v>5313</v>
      </c>
      <c r="P1187" s="144">
        <v>638</v>
      </c>
      <c r="Q1187" s="175">
        <f t="shared" si="68"/>
        <v>3.2232999999999996</v>
      </c>
      <c r="R1187" s="203">
        <v>1.19</v>
      </c>
      <c r="S1187" s="203"/>
      <c r="T1187" s="151"/>
      <c r="U1187" s="149">
        <v>1.7</v>
      </c>
      <c r="V1187" s="151">
        <v>0.25</v>
      </c>
      <c r="W1187" s="149">
        <f t="shared" si="71"/>
        <v>1.19</v>
      </c>
      <c r="X1187" s="152">
        <f t="shared" si="70"/>
        <v>8.3299999999999999E-2</v>
      </c>
      <c r="Y1187" s="150">
        <f t="shared" si="69"/>
        <v>1.01</v>
      </c>
      <c r="Z1187" s="152"/>
      <c r="AC1187" s="153"/>
      <c r="AD1187" s="153"/>
      <c r="AE1187" s="153"/>
      <c r="AF1187" s="153"/>
      <c r="AG1187" s="198"/>
      <c r="AJ1187" s="147"/>
    </row>
    <row r="1188" spans="1:36" s="146" customFormat="1" x14ac:dyDescent="0.25">
      <c r="A1188" s="196">
        <v>2551</v>
      </c>
      <c r="B1188" s="196" t="s">
        <v>4238</v>
      </c>
      <c r="C1188" s="196" t="s">
        <v>6228</v>
      </c>
      <c r="D1188" s="196" t="s">
        <v>5005</v>
      </c>
      <c r="E1188" s="196"/>
      <c r="F1188" s="196">
        <v>2001</v>
      </c>
      <c r="G1188" s="196"/>
      <c r="H1188" s="196" t="s">
        <v>1878</v>
      </c>
      <c r="I1188" s="141" t="s">
        <v>1914</v>
      </c>
      <c r="J1188" s="196"/>
      <c r="K1188" s="196" t="s">
        <v>1881</v>
      </c>
      <c r="L1188" s="141"/>
      <c r="M1188" s="196">
        <v>320</v>
      </c>
      <c r="N1188" s="196"/>
      <c r="O1188" s="196" t="s">
        <v>5314</v>
      </c>
      <c r="P1188" s="144">
        <v>235</v>
      </c>
      <c r="Q1188" s="175">
        <f t="shared" si="68"/>
        <v>2.5093000000000001</v>
      </c>
      <c r="R1188" s="203">
        <v>0.99</v>
      </c>
      <c r="S1188" s="203"/>
      <c r="T1188" s="151"/>
      <c r="U1188" s="149">
        <v>1.2</v>
      </c>
      <c r="V1188" s="149">
        <v>0.25</v>
      </c>
      <c r="W1188" s="149">
        <f t="shared" si="71"/>
        <v>0.99</v>
      </c>
      <c r="X1188" s="152">
        <f t="shared" si="70"/>
        <v>6.93E-2</v>
      </c>
      <c r="Y1188" s="150">
        <f t="shared" si="69"/>
        <v>1.01</v>
      </c>
      <c r="Z1188" s="152"/>
      <c r="AC1188" s="153"/>
      <c r="AD1188" s="153"/>
      <c r="AE1188" s="153"/>
      <c r="AF1188" s="153"/>
      <c r="AG1188" s="198"/>
      <c r="AJ1188" s="147"/>
    </row>
    <row r="1189" spans="1:36" s="146" customFormat="1" x14ac:dyDescent="0.25">
      <c r="A1189" s="196">
        <v>692</v>
      </c>
      <c r="B1189" s="196" t="s">
        <v>6229</v>
      </c>
      <c r="C1189" s="196" t="s">
        <v>6230</v>
      </c>
      <c r="D1189" s="196" t="s">
        <v>2309</v>
      </c>
      <c r="E1189" s="196" t="s">
        <v>1899</v>
      </c>
      <c r="F1189" s="196">
        <v>2009</v>
      </c>
      <c r="G1189" s="196"/>
      <c r="H1189" s="196" t="s">
        <v>1878</v>
      </c>
      <c r="I1189" s="141" t="s">
        <v>1879</v>
      </c>
      <c r="J1189" s="196" t="s">
        <v>4291</v>
      </c>
      <c r="K1189" s="196" t="s">
        <v>1881</v>
      </c>
      <c r="L1189" s="141" t="s">
        <v>6231</v>
      </c>
      <c r="M1189" s="196">
        <v>242</v>
      </c>
      <c r="N1189" s="196"/>
      <c r="O1189" s="196" t="s">
        <v>5315</v>
      </c>
      <c r="P1189" s="144">
        <v>403</v>
      </c>
      <c r="Q1189" s="175">
        <f t="shared" si="68"/>
        <v>2.5093000000000001</v>
      </c>
      <c r="R1189" s="203">
        <v>0.99</v>
      </c>
      <c r="S1189" s="203"/>
      <c r="T1189" s="151"/>
      <c r="U1189" s="149">
        <v>1.2</v>
      </c>
      <c r="V1189" s="151">
        <v>0.25</v>
      </c>
      <c r="W1189" s="149">
        <f t="shared" si="71"/>
        <v>0.99</v>
      </c>
      <c r="X1189" s="152">
        <f t="shared" si="70"/>
        <v>6.93E-2</v>
      </c>
      <c r="Y1189" s="150">
        <f t="shared" si="69"/>
        <v>1.01</v>
      </c>
      <c r="Z1189" s="152"/>
      <c r="AC1189" s="153"/>
      <c r="AD1189" s="153"/>
      <c r="AE1189" s="153"/>
      <c r="AF1189" s="153"/>
      <c r="AG1189" s="198"/>
      <c r="AJ1189" s="147"/>
    </row>
    <row r="1190" spans="1:36" s="146" customFormat="1" x14ac:dyDescent="0.25">
      <c r="A1190" s="196">
        <v>1386</v>
      </c>
      <c r="B1190" s="196" t="s">
        <v>6232</v>
      </c>
      <c r="C1190" s="196" t="s">
        <v>3814</v>
      </c>
      <c r="D1190" s="196" t="s">
        <v>5005</v>
      </c>
      <c r="E1190" s="196"/>
      <c r="F1190" s="196">
        <v>2006</v>
      </c>
      <c r="G1190" s="196"/>
      <c r="H1190" s="196" t="s">
        <v>1878</v>
      </c>
      <c r="I1190" s="141" t="s">
        <v>1914</v>
      </c>
      <c r="J1190" s="196"/>
      <c r="K1190" s="196" t="s">
        <v>1881</v>
      </c>
      <c r="L1190" s="141"/>
      <c r="M1190" s="196">
        <v>416</v>
      </c>
      <c r="N1190" s="196"/>
      <c r="O1190" s="196" t="s">
        <v>5316</v>
      </c>
      <c r="P1190" s="144">
        <v>303</v>
      </c>
      <c r="Q1190" s="175">
        <f t="shared" si="68"/>
        <v>2.5093000000000001</v>
      </c>
      <c r="R1190" s="203">
        <v>0.99</v>
      </c>
      <c r="S1190" s="203"/>
      <c r="T1190" s="151"/>
      <c r="U1190" s="149">
        <v>1.2</v>
      </c>
      <c r="V1190" s="149">
        <v>0.25</v>
      </c>
      <c r="W1190" s="149">
        <f t="shared" si="71"/>
        <v>0.99</v>
      </c>
      <c r="X1190" s="152">
        <f t="shared" si="70"/>
        <v>6.93E-2</v>
      </c>
      <c r="Y1190" s="150">
        <f t="shared" si="69"/>
        <v>1.01</v>
      </c>
      <c r="Z1190" s="152"/>
      <c r="AC1190" s="153"/>
      <c r="AD1190" s="153"/>
      <c r="AE1190" s="153"/>
      <c r="AF1190" s="153"/>
      <c r="AG1190" s="198"/>
      <c r="AJ1190" s="147"/>
    </row>
    <row r="1191" spans="1:36" s="146" customFormat="1" x14ac:dyDescent="0.25">
      <c r="A1191" s="196">
        <v>1395</v>
      </c>
      <c r="B1191" s="196" t="s">
        <v>6233</v>
      </c>
      <c r="C1191" s="196" t="s">
        <v>6234</v>
      </c>
      <c r="D1191" s="196" t="s">
        <v>2644</v>
      </c>
      <c r="E1191" s="196"/>
      <c r="F1191" s="196">
        <v>2009</v>
      </c>
      <c r="G1191" s="196"/>
      <c r="H1191" s="196" t="s">
        <v>1878</v>
      </c>
      <c r="I1191" s="141" t="s">
        <v>1929</v>
      </c>
      <c r="J1191" s="196"/>
      <c r="K1191" s="196" t="s">
        <v>1881</v>
      </c>
      <c r="L1191" s="141" t="s">
        <v>6241</v>
      </c>
      <c r="M1191" s="196">
        <v>320</v>
      </c>
      <c r="N1191" s="196"/>
      <c r="O1191" s="196" t="s">
        <v>5317</v>
      </c>
      <c r="P1191" s="144">
        <v>274</v>
      </c>
      <c r="Q1191" s="175">
        <f t="shared" si="68"/>
        <v>2.5093000000000001</v>
      </c>
      <c r="R1191" s="203">
        <v>0.99</v>
      </c>
      <c r="S1191" s="203"/>
      <c r="T1191" s="151"/>
      <c r="U1191" s="149">
        <v>1.2</v>
      </c>
      <c r="V1191" s="151">
        <v>0.25</v>
      </c>
      <c r="W1191" s="149">
        <f t="shared" si="71"/>
        <v>0.99</v>
      </c>
      <c r="X1191" s="152">
        <f t="shared" si="70"/>
        <v>6.93E-2</v>
      </c>
      <c r="Y1191" s="150">
        <f t="shared" si="69"/>
        <v>1.01</v>
      </c>
      <c r="Z1191" s="152"/>
      <c r="AC1191" s="153"/>
      <c r="AD1191" s="153"/>
      <c r="AE1191" s="153"/>
      <c r="AF1191" s="153"/>
      <c r="AG1191" s="198"/>
      <c r="AJ1191" s="147"/>
    </row>
    <row r="1192" spans="1:36" s="146" customFormat="1" x14ac:dyDescent="0.25">
      <c r="A1192" s="196">
        <v>704</v>
      </c>
      <c r="B1192" s="196" t="s">
        <v>6235</v>
      </c>
      <c r="C1192" s="196" t="s">
        <v>6236</v>
      </c>
      <c r="D1192" s="196" t="s">
        <v>1876</v>
      </c>
      <c r="E1192" s="196" t="s">
        <v>2175</v>
      </c>
      <c r="F1192" s="196">
        <v>2014</v>
      </c>
      <c r="G1192" s="196"/>
      <c r="H1192" s="196" t="s">
        <v>1878</v>
      </c>
      <c r="I1192" s="141" t="s">
        <v>1879</v>
      </c>
      <c r="J1192" s="143" t="s">
        <v>3854</v>
      </c>
      <c r="K1192" s="196" t="s">
        <v>1881</v>
      </c>
      <c r="L1192" s="141" t="s">
        <v>6240</v>
      </c>
      <c r="M1192" s="196">
        <v>320</v>
      </c>
      <c r="N1192" s="196"/>
      <c r="O1192" s="196" t="s">
        <v>5318</v>
      </c>
      <c r="P1192" s="144">
        <v>271</v>
      </c>
      <c r="Q1192" s="175">
        <f t="shared" ref="Q1192:Q1201" si="72">SUM(T1192:X1192)</f>
        <v>3.2582999999999998</v>
      </c>
      <c r="R1192" s="203">
        <v>1.69</v>
      </c>
      <c r="S1192" s="203"/>
      <c r="T1192" s="151"/>
      <c r="U1192" s="149">
        <v>1.2</v>
      </c>
      <c r="V1192" s="149">
        <v>0.25</v>
      </c>
      <c r="W1192" s="149">
        <f t="shared" si="71"/>
        <v>1.69</v>
      </c>
      <c r="X1192" s="152">
        <f t="shared" si="70"/>
        <v>0.11829999999999999</v>
      </c>
      <c r="Y1192" s="150">
        <f t="shared" si="69"/>
        <v>1.01</v>
      </c>
      <c r="Z1192" s="152"/>
      <c r="AC1192" s="153"/>
      <c r="AD1192" s="153"/>
      <c r="AE1192" s="153"/>
      <c r="AF1192" s="153"/>
      <c r="AG1192" s="198"/>
      <c r="AJ1192" s="147"/>
    </row>
    <row r="1193" spans="1:36" s="146" customFormat="1" x14ac:dyDescent="0.25">
      <c r="A1193" s="196">
        <v>1321</v>
      </c>
      <c r="B1193" s="196" t="s">
        <v>6237</v>
      </c>
      <c r="C1193" s="196" t="s">
        <v>6238</v>
      </c>
      <c r="D1193" s="196" t="s">
        <v>2257</v>
      </c>
      <c r="E1193" s="196"/>
      <c r="F1193" s="196">
        <v>2006</v>
      </c>
      <c r="G1193" s="196"/>
      <c r="H1193" s="196" t="s">
        <v>1878</v>
      </c>
      <c r="I1193" s="141" t="s">
        <v>1879</v>
      </c>
      <c r="J1193" s="196" t="s">
        <v>4291</v>
      </c>
      <c r="K1193" s="196" t="s">
        <v>1881</v>
      </c>
      <c r="L1193" s="141" t="s">
        <v>6239</v>
      </c>
      <c r="M1193" s="196">
        <v>240</v>
      </c>
      <c r="N1193" s="196"/>
      <c r="O1193" s="196" t="s">
        <v>5319</v>
      </c>
      <c r="P1193" s="144">
        <v>220</v>
      </c>
      <c r="Q1193" s="175">
        <f t="shared" si="72"/>
        <v>2.6162999999999998</v>
      </c>
      <c r="R1193" s="203">
        <v>1.0900000000000001</v>
      </c>
      <c r="S1193" s="203"/>
      <c r="T1193" s="151"/>
      <c r="U1193" s="149">
        <v>1.2</v>
      </c>
      <c r="V1193" s="151">
        <v>0.25</v>
      </c>
      <c r="W1193" s="149">
        <f t="shared" si="71"/>
        <v>1.0900000000000001</v>
      </c>
      <c r="X1193" s="152">
        <f t="shared" si="70"/>
        <v>7.6300000000000007E-2</v>
      </c>
      <c r="Y1193" s="150">
        <f t="shared" si="69"/>
        <v>1.01</v>
      </c>
      <c r="Z1193" s="152"/>
      <c r="AC1193" s="153"/>
      <c r="AD1193" s="153"/>
      <c r="AE1193" s="153"/>
      <c r="AF1193" s="153"/>
      <c r="AG1193" s="198"/>
      <c r="AJ1193" s="147"/>
    </row>
    <row r="1194" spans="1:36" s="146" customFormat="1" x14ac:dyDescent="0.25">
      <c r="A1194" s="196">
        <v>1395</v>
      </c>
      <c r="B1194" s="196" t="s">
        <v>6242</v>
      </c>
      <c r="C1194" s="196" t="s">
        <v>6243</v>
      </c>
      <c r="D1194" s="196" t="s">
        <v>1912</v>
      </c>
      <c r="E1194" s="196" t="s">
        <v>2412</v>
      </c>
      <c r="F1194" s="196">
        <v>2007</v>
      </c>
      <c r="G1194" s="196"/>
      <c r="H1194" s="196" t="s">
        <v>1878</v>
      </c>
      <c r="I1194" s="141" t="s">
        <v>1914</v>
      </c>
      <c r="J1194" s="196"/>
      <c r="K1194" s="196" t="s">
        <v>1881</v>
      </c>
      <c r="L1194" s="141" t="s">
        <v>6244</v>
      </c>
      <c r="M1194" s="196">
        <v>448</v>
      </c>
      <c r="N1194" s="196"/>
      <c r="O1194" s="196" t="s">
        <v>5320</v>
      </c>
      <c r="P1194" s="144">
        <v>369</v>
      </c>
      <c r="Q1194" s="175">
        <f t="shared" si="72"/>
        <v>1.9742999999999999</v>
      </c>
      <c r="R1194" s="203">
        <v>0.49</v>
      </c>
      <c r="S1194" s="203"/>
      <c r="T1194" s="151"/>
      <c r="U1194" s="149">
        <v>1.2</v>
      </c>
      <c r="V1194" s="149">
        <v>0.25</v>
      </c>
      <c r="W1194" s="149">
        <f t="shared" si="71"/>
        <v>0.49</v>
      </c>
      <c r="X1194" s="152">
        <f t="shared" si="70"/>
        <v>3.4299999999999997E-2</v>
      </c>
      <c r="Y1194" s="150">
        <f t="shared" si="69"/>
        <v>1.01</v>
      </c>
      <c r="Z1194" s="152"/>
      <c r="AC1194" s="153"/>
      <c r="AD1194" s="153"/>
      <c r="AE1194" s="153"/>
      <c r="AF1194" s="153"/>
      <c r="AG1194" s="198"/>
      <c r="AJ1194" s="147"/>
    </row>
    <row r="1195" spans="1:36" s="146" customFormat="1" x14ac:dyDescent="0.25">
      <c r="A1195" s="196">
        <v>704</v>
      </c>
      <c r="B1195" s="196" t="s">
        <v>6245</v>
      </c>
      <c r="C1195" s="196" t="s">
        <v>6246</v>
      </c>
      <c r="D1195" s="196" t="s">
        <v>2309</v>
      </c>
      <c r="E1195" s="196" t="s">
        <v>2358</v>
      </c>
      <c r="F1195" s="196">
        <v>2010</v>
      </c>
      <c r="G1195" s="196"/>
      <c r="H1195" s="196" t="s">
        <v>1878</v>
      </c>
      <c r="I1195" s="141" t="s">
        <v>1879</v>
      </c>
      <c r="J1195" s="196"/>
      <c r="K1195" s="196" t="s">
        <v>1881</v>
      </c>
      <c r="L1195" s="141" t="s">
        <v>6247</v>
      </c>
      <c r="M1195" s="196">
        <v>192</v>
      </c>
      <c r="N1195" s="196"/>
      <c r="O1195" s="196" t="s">
        <v>5321</v>
      </c>
      <c r="P1195" s="144">
        <v>210</v>
      </c>
      <c r="Q1195" s="175">
        <f t="shared" si="72"/>
        <v>2.5093000000000001</v>
      </c>
      <c r="R1195" s="203">
        <v>0.99</v>
      </c>
      <c r="S1195" s="203"/>
      <c r="T1195" s="151"/>
      <c r="U1195" s="149">
        <v>1.2</v>
      </c>
      <c r="V1195" s="151">
        <v>0.25</v>
      </c>
      <c r="W1195" s="149">
        <f t="shared" si="71"/>
        <v>0.99</v>
      </c>
      <c r="X1195" s="152">
        <f t="shared" si="70"/>
        <v>6.93E-2</v>
      </c>
      <c r="Y1195" s="150">
        <f t="shared" si="69"/>
        <v>1.01</v>
      </c>
      <c r="Z1195" s="152"/>
      <c r="AC1195" s="153"/>
      <c r="AD1195" s="153"/>
      <c r="AE1195" s="153"/>
      <c r="AF1195" s="153"/>
      <c r="AG1195" s="198"/>
      <c r="AJ1195" s="147"/>
    </row>
    <row r="1196" spans="1:36" s="146" customFormat="1" x14ac:dyDescent="0.25">
      <c r="A1196" s="196">
        <v>796</v>
      </c>
      <c r="B1196" s="196" t="s">
        <v>6248</v>
      </c>
      <c r="C1196" s="196" t="s">
        <v>6249</v>
      </c>
      <c r="D1196" s="196" t="s">
        <v>1993</v>
      </c>
      <c r="E1196" s="196" t="s">
        <v>1877</v>
      </c>
      <c r="F1196" s="196">
        <v>2014</v>
      </c>
      <c r="G1196" s="196"/>
      <c r="H1196" s="196" t="s">
        <v>1878</v>
      </c>
      <c r="I1196" s="141" t="s">
        <v>1879</v>
      </c>
      <c r="J1196" s="196" t="s">
        <v>4291</v>
      </c>
      <c r="K1196" s="196" t="s">
        <v>1881</v>
      </c>
      <c r="L1196" s="141" t="s">
        <v>6250</v>
      </c>
      <c r="M1196" s="196">
        <v>272</v>
      </c>
      <c r="N1196" s="196"/>
      <c r="O1196" s="196" t="s">
        <v>5322</v>
      </c>
      <c r="P1196" s="144">
        <v>231</v>
      </c>
      <c r="Q1196" s="175">
        <f t="shared" si="72"/>
        <v>5.6123000000000003</v>
      </c>
      <c r="R1196" s="203">
        <v>3.89</v>
      </c>
      <c r="S1196" s="203"/>
      <c r="T1196" s="151"/>
      <c r="U1196" s="149">
        <v>1.2</v>
      </c>
      <c r="V1196" s="149">
        <v>0.25</v>
      </c>
      <c r="W1196" s="149">
        <f t="shared" si="71"/>
        <v>3.89</v>
      </c>
      <c r="X1196" s="152">
        <f t="shared" si="70"/>
        <v>0.27230000000000004</v>
      </c>
      <c r="Y1196" s="150">
        <f t="shared" ref="Y1196:Y1259" si="73">(IF(Z1196&gt;AA1196,Z1196,AA1196)*0.08)+1.01</f>
        <v>1.01</v>
      </c>
      <c r="Z1196" s="152"/>
      <c r="AC1196" s="153"/>
      <c r="AD1196" s="153"/>
      <c r="AE1196" s="153"/>
      <c r="AF1196" s="153"/>
      <c r="AG1196" s="198"/>
      <c r="AJ1196" s="147"/>
    </row>
    <row r="1197" spans="1:36" s="146" customFormat="1" x14ac:dyDescent="0.25">
      <c r="A1197" s="196">
        <v>2522</v>
      </c>
      <c r="B1197" s="196" t="s">
        <v>3835</v>
      </c>
      <c r="C1197" s="196" t="s">
        <v>6251</v>
      </c>
      <c r="D1197" s="196" t="s">
        <v>2054</v>
      </c>
      <c r="E1197" s="196"/>
      <c r="F1197" s="196">
        <v>2018</v>
      </c>
      <c r="G1197" s="196"/>
      <c r="H1197" s="196" t="s">
        <v>1878</v>
      </c>
      <c r="I1197" s="141" t="s">
        <v>1879</v>
      </c>
      <c r="J1197" s="196" t="s">
        <v>2237</v>
      </c>
      <c r="K1197" s="196" t="s">
        <v>1881</v>
      </c>
      <c r="L1197" s="141" t="s">
        <v>6252</v>
      </c>
      <c r="M1197" s="196">
        <v>432</v>
      </c>
      <c r="N1197" s="196"/>
      <c r="O1197" s="196" t="s">
        <v>5323</v>
      </c>
      <c r="P1197" s="144">
        <v>422</v>
      </c>
      <c r="Q1197" s="175">
        <f t="shared" si="72"/>
        <v>4.1143000000000001</v>
      </c>
      <c r="R1197" s="203">
        <v>2.4900000000000002</v>
      </c>
      <c r="S1197" s="203"/>
      <c r="T1197" s="151"/>
      <c r="U1197" s="149">
        <v>1.2</v>
      </c>
      <c r="V1197" s="151">
        <v>0.25</v>
      </c>
      <c r="W1197" s="149">
        <f t="shared" si="71"/>
        <v>2.4900000000000002</v>
      </c>
      <c r="X1197" s="152">
        <f t="shared" si="70"/>
        <v>0.17430000000000001</v>
      </c>
      <c r="Y1197" s="150">
        <f t="shared" si="73"/>
        <v>1.01</v>
      </c>
      <c r="Z1197" s="152"/>
      <c r="AC1197" s="153"/>
      <c r="AD1197" s="153"/>
      <c r="AE1197" s="153"/>
      <c r="AF1197" s="153"/>
      <c r="AG1197" s="198"/>
      <c r="AJ1197" s="147"/>
    </row>
    <row r="1198" spans="1:36" x14ac:dyDescent="0.25">
      <c r="Y1198" s="150">
        <f t="shared" si="73"/>
        <v>1.01</v>
      </c>
    </row>
    <row r="1199" spans="1:36" s="146" customFormat="1" x14ac:dyDescent="0.25">
      <c r="A1199" s="196">
        <v>632</v>
      </c>
      <c r="B1199" s="196" t="s">
        <v>6256</v>
      </c>
      <c r="C1199" s="196" t="s">
        <v>6257</v>
      </c>
      <c r="D1199" s="196" t="s">
        <v>1920</v>
      </c>
      <c r="E1199" s="196"/>
      <c r="F1199" s="196">
        <v>1998</v>
      </c>
      <c r="G1199" s="196"/>
      <c r="H1199" s="196" t="s">
        <v>1878</v>
      </c>
      <c r="I1199" s="141" t="s">
        <v>1879</v>
      </c>
      <c r="J1199" s="196"/>
      <c r="K1199" s="196" t="s">
        <v>1881</v>
      </c>
      <c r="L1199" s="141" t="s">
        <v>6258</v>
      </c>
      <c r="M1199" s="196">
        <v>720</v>
      </c>
      <c r="N1199" s="196"/>
      <c r="O1199" s="196" t="s">
        <v>5325</v>
      </c>
      <c r="P1199" s="144">
        <v>608</v>
      </c>
      <c r="Q1199" s="175">
        <f t="shared" si="72"/>
        <v>3.0093000000000001</v>
      </c>
      <c r="R1199" s="203">
        <v>0.99</v>
      </c>
      <c r="S1199" s="203"/>
      <c r="T1199" s="151"/>
      <c r="U1199" s="149">
        <v>1.7</v>
      </c>
      <c r="V1199" s="151">
        <v>0.25</v>
      </c>
      <c r="W1199" s="149">
        <f t="shared" si="71"/>
        <v>0.99</v>
      </c>
      <c r="X1199" s="152">
        <f t="shared" ref="X1199:X1262" si="74">(T1199+W1199)/100*7</f>
        <v>6.93E-2</v>
      </c>
      <c r="Y1199" s="150">
        <f t="shared" si="73"/>
        <v>1.01</v>
      </c>
      <c r="Z1199" s="152"/>
      <c r="AC1199" s="153"/>
      <c r="AD1199" s="153"/>
      <c r="AE1199" s="153"/>
      <c r="AF1199" s="153"/>
      <c r="AG1199" s="198"/>
      <c r="AJ1199" s="147"/>
    </row>
    <row r="1200" spans="1:36" s="146" customFormat="1" x14ac:dyDescent="0.25">
      <c r="A1200" s="196">
        <v>766</v>
      </c>
      <c r="B1200" s="196" t="s">
        <v>6259</v>
      </c>
      <c r="C1200" s="196" t="s">
        <v>6260</v>
      </c>
      <c r="D1200" s="196" t="s">
        <v>4841</v>
      </c>
      <c r="E1200" s="196"/>
      <c r="F1200" s="196">
        <v>1997</v>
      </c>
      <c r="G1200" s="196"/>
      <c r="H1200" s="196" t="s">
        <v>1878</v>
      </c>
      <c r="I1200" s="141" t="s">
        <v>1879</v>
      </c>
      <c r="J1200" s="196"/>
      <c r="K1200" s="196" t="s">
        <v>1881</v>
      </c>
      <c r="L1200" s="141" t="s">
        <v>6261</v>
      </c>
      <c r="M1200" s="196">
        <v>208</v>
      </c>
      <c r="N1200" s="196"/>
      <c r="O1200" s="196" t="s">
        <v>5326</v>
      </c>
      <c r="P1200" s="144">
        <v>293</v>
      </c>
      <c r="Q1200" s="175">
        <f t="shared" si="72"/>
        <v>3.4722999999999997</v>
      </c>
      <c r="R1200" s="203">
        <v>1.89</v>
      </c>
      <c r="S1200" s="203"/>
      <c r="T1200" s="151"/>
      <c r="U1200" s="149">
        <v>1.2</v>
      </c>
      <c r="V1200" s="149">
        <v>0.25</v>
      </c>
      <c r="W1200" s="149">
        <f t="shared" si="71"/>
        <v>1.89</v>
      </c>
      <c r="X1200" s="152">
        <f t="shared" si="74"/>
        <v>0.1323</v>
      </c>
      <c r="Y1200" s="150">
        <f t="shared" si="73"/>
        <v>1.01</v>
      </c>
      <c r="Z1200" s="152"/>
      <c r="AC1200" s="153"/>
      <c r="AD1200" s="153"/>
      <c r="AE1200" s="153"/>
      <c r="AF1200" s="153"/>
      <c r="AG1200" s="198"/>
      <c r="AJ1200" s="147"/>
    </row>
    <row r="1201" spans="1:36" s="146" customFormat="1" x14ac:dyDescent="0.25">
      <c r="A1201" s="196">
        <v>2522</v>
      </c>
      <c r="B1201" s="196" t="s">
        <v>6262</v>
      </c>
      <c r="C1201" s="196" t="s">
        <v>6263</v>
      </c>
      <c r="D1201" s="196" t="s">
        <v>2209</v>
      </c>
      <c r="E1201" s="196"/>
      <c r="F1201" s="196">
        <v>2008</v>
      </c>
      <c r="G1201" s="196"/>
      <c r="H1201" s="196" t="s">
        <v>1878</v>
      </c>
      <c r="I1201" s="141" t="s">
        <v>1879</v>
      </c>
      <c r="J1201" s="196"/>
      <c r="K1201" s="196" t="s">
        <v>1881</v>
      </c>
      <c r="L1201" s="141" t="s">
        <v>6264</v>
      </c>
      <c r="M1201" s="196">
        <v>528</v>
      </c>
      <c r="N1201" s="196"/>
      <c r="O1201" s="196" t="s">
        <v>5327</v>
      </c>
      <c r="P1201" s="144">
        <v>312</v>
      </c>
      <c r="Q1201" s="175">
        <f t="shared" si="72"/>
        <v>2.5093000000000001</v>
      </c>
      <c r="R1201" s="203">
        <v>0.99</v>
      </c>
      <c r="S1201" s="203"/>
      <c r="T1201" s="151"/>
      <c r="U1201" s="149">
        <v>1.2</v>
      </c>
      <c r="V1201" s="151">
        <v>0.25</v>
      </c>
      <c r="W1201" s="149">
        <f t="shared" si="71"/>
        <v>0.99</v>
      </c>
      <c r="X1201" s="152">
        <f t="shared" si="74"/>
        <v>6.93E-2</v>
      </c>
      <c r="Y1201" s="150">
        <f t="shared" si="73"/>
        <v>1.01</v>
      </c>
      <c r="Z1201" s="152"/>
      <c r="AC1201" s="153"/>
      <c r="AD1201" s="153"/>
      <c r="AE1201" s="153"/>
      <c r="AF1201" s="153"/>
      <c r="AG1201" s="198"/>
      <c r="AJ1201" s="147"/>
    </row>
    <row r="1202" spans="1:36" s="146" customFormat="1" x14ac:dyDescent="0.25">
      <c r="A1202" s="196">
        <v>766</v>
      </c>
      <c r="B1202" s="196" t="s">
        <v>6237</v>
      </c>
      <c r="C1202" s="196" t="s">
        <v>6265</v>
      </c>
      <c r="D1202" s="196" t="s">
        <v>2257</v>
      </c>
      <c r="E1202" s="196"/>
      <c r="F1202" s="196">
        <v>2004</v>
      </c>
      <c r="G1202" s="196"/>
      <c r="H1202" s="196" t="s">
        <v>1878</v>
      </c>
      <c r="I1202" s="141" t="s">
        <v>1879</v>
      </c>
      <c r="J1202" s="196"/>
      <c r="K1202" s="196" t="s">
        <v>1881</v>
      </c>
      <c r="L1202" s="141" t="s">
        <v>6266</v>
      </c>
      <c r="M1202" s="196">
        <v>224</v>
      </c>
      <c r="N1202" s="196"/>
      <c r="O1202" s="196" t="s">
        <v>5328</v>
      </c>
      <c r="P1202" s="144">
        <v>207</v>
      </c>
      <c r="Q1202" s="145">
        <f>SUM(U1202:X1202)</f>
        <v>1.8148</v>
      </c>
      <c r="R1202" s="203">
        <v>0.25</v>
      </c>
      <c r="S1202" s="203"/>
      <c r="T1202" s="151">
        <v>0.32</v>
      </c>
      <c r="U1202" s="151">
        <v>1.2</v>
      </c>
      <c r="V1202" s="149">
        <v>0.25</v>
      </c>
      <c r="W1202" s="151">
        <f>IF(R1202&gt;T1202,R1202,T1202)</f>
        <v>0.32</v>
      </c>
      <c r="X1202" s="152">
        <f t="shared" si="74"/>
        <v>4.48E-2</v>
      </c>
      <c r="Y1202" s="150">
        <f t="shared" si="73"/>
        <v>1.01</v>
      </c>
      <c r="Z1202" s="152"/>
      <c r="AC1202" s="153"/>
      <c r="AD1202" s="153"/>
      <c r="AE1202" s="153"/>
      <c r="AF1202" s="153"/>
      <c r="AJ1202" s="147"/>
    </row>
    <row r="1203" spans="1:36" x14ac:dyDescent="0.25">
      <c r="A1203" s="196">
        <v>1231</v>
      </c>
      <c r="B1203" s="196" t="s">
        <v>6267</v>
      </c>
      <c r="C1203" s="196" t="s">
        <v>6268</v>
      </c>
      <c r="D1203" s="196" t="s">
        <v>2850</v>
      </c>
      <c r="F1203" s="196">
        <v>2015</v>
      </c>
      <c r="H1203" s="196" t="s">
        <v>1878</v>
      </c>
      <c r="I1203" s="184" t="s">
        <v>1879</v>
      </c>
      <c r="K1203" s="196" t="s">
        <v>1881</v>
      </c>
      <c r="L1203" s="184" t="s">
        <v>6269</v>
      </c>
      <c r="M1203" s="196">
        <v>320</v>
      </c>
      <c r="O1203" s="196" t="s">
        <v>5329</v>
      </c>
      <c r="P1203" s="17">
        <v>359</v>
      </c>
      <c r="Q1203" s="175">
        <f t="shared" ref="Q1203:Q1266" si="75">SUM(T1203:X1203)</f>
        <v>3.3974000000000002</v>
      </c>
      <c r="R1203" s="199">
        <v>1.5</v>
      </c>
      <c r="T1203" s="149">
        <v>0.32</v>
      </c>
      <c r="U1203" s="149">
        <v>1.2</v>
      </c>
      <c r="V1203" s="151">
        <v>0.25</v>
      </c>
      <c r="W1203" s="149">
        <f t="shared" ref="W1203:W1266" si="76">IF(R1203&gt;T1203,R1203,T1203)</f>
        <v>1.5</v>
      </c>
      <c r="X1203" s="152">
        <f t="shared" si="74"/>
        <v>0.12740000000000001</v>
      </c>
      <c r="Y1203" s="150">
        <f t="shared" si="73"/>
        <v>1.01</v>
      </c>
      <c r="Z1203" s="152"/>
      <c r="AC1203" s="154"/>
      <c r="AD1203" s="154"/>
      <c r="AE1203" s="154"/>
      <c r="AF1203" s="154"/>
    </row>
    <row r="1204" spans="1:36" x14ac:dyDescent="0.25">
      <c r="A1204" s="196">
        <v>631</v>
      </c>
      <c r="B1204" s="196" t="s">
        <v>6270</v>
      </c>
      <c r="C1204" s="196" t="s">
        <v>6271</v>
      </c>
      <c r="D1204" s="196" t="s">
        <v>2300</v>
      </c>
      <c r="F1204" s="196">
        <v>2009</v>
      </c>
      <c r="H1204" s="196" t="s">
        <v>1878</v>
      </c>
      <c r="I1204" s="184" t="s">
        <v>1914</v>
      </c>
      <c r="K1204" s="196" t="s">
        <v>1881</v>
      </c>
      <c r="L1204" s="184" t="s">
        <v>6272</v>
      </c>
      <c r="M1204" s="196">
        <v>352</v>
      </c>
      <c r="O1204" s="196" t="s">
        <v>5330</v>
      </c>
      <c r="P1204" s="17">
        <v>292</v>
      </c>
      <c r="Q1204" s="175">
        <f t="shared" si="75"/>
        <v>3.8788999999999998</v>
      </c>
      <c r="R1204" s="199">
        <v>1.95</v>
      </c>
      <c r="T1204" s="149">
        <v>0.32</v>
      </c>
      <c r="U1204" s="149">
        <v>1.2</v>
      </c>
      <c r="V1204" s="149">
        <v>0.25</v>
      </c>
      <c r="W1204" s="149">
        <f t="shared" si="76"/>
        <v>1.95</v>
      </c>
      <c r="X1204" s="152">
        <f t="shared" si="74"/>
        <v>0.15890000000000001</v>
      </c>
      <c r="Y1204" s="150">
        <f t="shared" si="73"/>
        <v>1.01</v>
      </c>
      <c r="Z1204" s="152"/>
      <c r="AC1204" s="154"/>
      <c r="AD1204" s="154"/>
      <c r="AE1204" s="154"/>
      <c r="AF1204" s="154"/>
    </row>
    <row r="1205" spans="1:36" ht="132" x14ac:dyDescent="0.25">
      <c r="A1205" s="196">
        <v>2522</v>
      </c>
      <c r="B1205" s="196" t="s">
        <v>6273</v>
      </c>
      <c r="C1205" s="196" t="s">
        <v>6274</v>
      </c>
      <c r="D1205" s="196" t="s">
        <v>6275</v>
      </c>
      <c r="E1205" s="196" t="s">
        <v>1913</v>
      </c>
      <c r="F1205" s="196">
        <v>2012</v>
      </c>
      <c r="H1205" s="196" t="s">
        <v>2734</v>
      </c>
      <c r="I1205" s="184" t="s">
        <v>1879</v>
      </c>
      <c r="J1205" s="50" t="s">
        <v>6276</v>
      </c>
      <c r="K1205" s="196" t="s">
        <v>1881</v>
      </c>
      <c r="L1205" s="184" t="s">
        <v>6277</v>
      </c>
      <c r="M1205" s="196">
        <v>226</v>
      </c>
      <c r="O1205" s="196" t="s">
        <v>5331</v>
      </c>
      <c r="P1205" s="17">
        <v>378</v>
      </c>
      <c r="Q1205" s="175">
        <f t="shared" si="75"/>
        <v>7.1316999999999995</v>
      </c>
      <c r="R1205" s="199">
        <v>4.99</v>
      </c>
      <c r="T1205" s="149">
        <v>0.32</v>
      </c>
      <c r="U1205" s="149">
        <v>1.2</v>
      </c>
      <c r="V1205" s="151">
        <v>0.25</v>
      </c>
      <c r="W1205" s="149">
        <f t="shared" si="76"/>
        <v>4.99</v>
      </c>
      <c r="X1205" s="152">
        <f t="shared" si="74"/>
        <v>0.37170000000000003</v>
      </c>
      <c r="Y1205" s="150">
        <f t="shared" si="73"/>
        <v>1.01</v>
      </c>
      <c r="Z1205" s="152"/>
      <c r="AC1205" s="154"/>
      <c r="AD1205" s="154"/>
      <c r="AE1205" s="154"/>
      <c r="AF1205" s="154"/>
    </row>
    <row r="1206" spans="1:36" x14ac:dyDescent="0.25">
      <c r="A1206" s="196">
        <v>2967</v>
      </c>
      <c r="B1206" s="196" t="s">
        <v>6278</v>
      </c>
      <c r="C1206" s="196" t="s">
        <v>6279</v>
      </c>
      <c r="D1206" s="196" t="s">
        <v>2257</v>
      </c>
      <c r="F1206" s="196">
        <v>2010</v>
      </c>
      <c r="H1206" s="196" t="s">
        <v>1878</v>
      </c>
      <c r="I1206" s="184" t="s">
        <v>1914</v>
      </c>
      <c r="J1206" s="143" t="s">
        <v>3854</v>
      </c>
      <c r="K1206" s="196" t="s">
        <v>1881</v>
      </c>
      <c r="L1206" s="184" t="s">
        <v>6280</v>
      </c>
      <c r="M1206" s="196">
        <v>304</v>
      </c>
      <c r="O1206" s="196" t="s">
        <v>5332</v>
      </c>
      <c r="P1206" s="17">
        <v>231</v>
      </c>
      <c r="Q1206" s="175">
        <f t="shared" si="75"/>
        <v>3.0763999999999996</v>
      </c>
      <c r="R1206" s="199">
        <v>1.2</v>
      </c>
      <c r="T1206" s="149">
        <v>0.32</v>
      </c>
      <c r="U1206" s="149">
        <v>1.2</v>
      </c>
      <c r="V1206" s="149">
        <v>0.25</v>
      </c>
      <c r="W1206" s="149">
        <f t="shared" si="76"/>
        <v>1.2</v>
      </c>
      <c r="X1206" s="152">
        <f t="shared" si="74"/>
        <v>0.10639999999999999</v>
      </c>
      <c r="Y1206" s="150">
        <f t="shared" si="73"/>
        <v>1.01</v>
      </c>
      <c r="Z1206" s="152"/>
      <c r="AC1206" s="154"/>
      <c r="AD1206" s="154"/>
      <c r="AE1206" s="154"/>
      <c r="AF1206" s="154"/>
    </row>
    <row r="1207" spans="1:36" x14ac:dyDescent="0.25">
      <c r="A1207" s="196">
        <v>1321</v>
      </c>
      <c r="B1207" s="196" t="s">
        <v>6281</v>
      </c>
      <c r="C1207" s="196" t="s">
        <v>6282</v>
      </c>
      <c r="D1207" s="196" t="s">
        <v>6283</v>
      </c>
      <c r="E1207" s="196" t="s">
        <v>1877</v>
      </c>
      <c r="F1207" s="196">
        <v>2003</v>
      </c>
      <c r="H1207" s="196" t="s">
        <v>1878</v>
      </c>
      <c r="I1207" s="184" t="s">
        <v>1879</v>
      </c>
      <c r="K1207" s="196" t="s">
        <v>1881</v>
      </c>
      <c r="L1207" s="184" t="s">
        <v>6284</v>
      </c>
      <c r="M1207" s="196">
        <v>128</v>
      </c>
      <c r="O1207" s="196" t="s">
        <v>5333</v>
      </c>
      <c r="P1207" s="17">
        <v>269</v>
      </c>
      <c r="Q1207" s="175">
        <f t="shared" si="75"/>
        <v>4.3925000000000001</v>
      </c>
      <c r="R1207" s="199">
        <v>2.4300000000000002</v>
      </c>
      <c r="T1207" s="149">
        <v>0.32</v>
      </c>
      <c r="U1207" s="149">
        <v>1.2</v>
      </c>
      <c r="V1207" s="151">
        <v>0.25</v>
      </c>
      <c r="W1207" s="149">
        <f t="shared" si="76"/>
        <v>2.4300000000000002</v>
      </c>
      <c r="X1207" s="152">
        <f t="shared" si="74"/>
        <v>0.1925</v>
      </c>
      <c r="Y1207" s="150">
        <f t="shared" si="73"/>
        <v>1.01</v>
      </c>
      <c r="Z1207" s="152"/>
      <c r="AC1207" s="154"/>
      <c r="AD1207" s="154"/>
      <c r="AE1207" s="154"/>
      <c r="AF1207" s="154"/>
    </row>
    <row r="1208" spans="1:36" x14ac:dyDescent="0.25">
      <c r="A1208" s="196">
        <v>1231</v>
      </c>
      <c r="B1208" s="196" t="s">
        <v>6285</v>
      </c>
      <c r="C1208" s="196" t="s">
        <v>6286</v>
      </c>
      <c r="D1208" s="196" t="s">
        <v>4834</v>
      </c>
      <c r="E1208" s="196" t="s">
        <v>2375</v>
      </c>
      <c r="F1208" s="196">
        <v>1983</v>
      </c>
      <c r="H1208" s="196" t="s">
        <v>1878</v>
      </c>
      <c r="I1208" s="184" t="s">
        <v>1914</v>
      </c>
      <c r="K1208" s="196" t="s">
        <v>1881</v>
      </c>
      <c r="L1208" s="184" t="s">
        <v>6287</v>
      </c>
      <c r="M1208" s="196">
        <v>152</v>
      </c>
      <c r="O1208" s="196" t="s">
        <v>5334</v>
      </c>
      <c r="P1208" s="17">
        <v>186</v>
      </c>
      <c r="Q1208" s="175">
        <f t="shared" si="75"/>
        <v>2.1347999999999998</v>
      </c>
      <c r="R1208" s="199">
        <v>0.25</v>
      </c>
      <c r="T1208" s="149">
        <v>0.32</v>
      </c>
      <c r="U1208" s="149">
        <v>1.2</v>
      </c>
      <c r="V1208" s="149">
        <v>0.25</v>
      </c>
      <c r="W1208" s="149">
        <f t="shared" si="76"/>
        <v>0.32</v>
      </c>
      <c r="X1208" s="152">
        <f t="shared" si="74"/>
        <v>4.48E-2</v>
      </c>
      <c r="Y1208" s="150">
        <f t="shared" si="73"/>
        <v>1.01</v>
      </c>
      <c r="Z1208" s="152"/>
      <c r="AC1208" s="154"/>
      <c r="AD1208" s="154"/>
      <c r="AE1208" s="154"/>
      <c r="AF1208" s="154"/>
    </row>
    <row r="1209" spans="1:36" x14ac:dyDescent="0.25">
      <c r="A1209" s="196">
        <v>618</v>
      </c>
      <c r="B1209" s="196" t="s">
        <v>6288</v>
      </c>
      <c r="C1209" s="196" t="s">
        <v>6289</v>
      </c>
      <c r="D1209" s="196" t="s">
        <v>1920</v>
      </c>
      <c r="F1209" s="196">
        <v>1986</v>
      </c>
      <c r="H1209" s="196" t="s">
        <v>1878</v>
      </c>
      <c r="I1209" s="184" t="s">
        <v>1914</v>
      </c>
      <c r="K1209" s="196" t="s">
        <v>1881</v>
      </c>
      <c r="L1209" s="184" t="s">
        <v>6290</v>
      </c>
      <c r="M1209" s="196">
        <v>224</v>
      </c>
      <c r="O1209" s="196" t="s">
        <v>5335</v>
      </c>
      <c r="P1209" s="17">
        <v>130</v>
      </c>
      <c r="Q1209" s="175">
        <f t="shared" si="75"/>
        <v>3.3974000000000002</v>
      </c>
      <c r="R1209" s="199">
        <v>1.5</v>
      </c>
      <c r="T1209" s="149">
        <v>0.32</v>
      </c>
      <c r="U1209" s="149">
        <v>1.2</v>
      </c>
      <c r="V1209" s="151">
        <v>0.25</v>
      </c>
      <c r="W1209" s="149">
        <f t="shared" si="76"/>
        <v>1.5</v>
      </c>
      <c r="X1209" s="152">
        <f t="shared" si="74"/>
        <v>0.12740000000000001</v>
      </c>
      <c r="Y1209" s="150">
        <f t="shared" si="73"/>
        <v>1.01</v>
      </c>
      <c r="Z1209" s="152"/>
      <c r="AC1209" s="154"/>
      <c r="AD1209" s="154"/>
      <c r="AE1209" s="154"/>
      <c r="AF1209" s="154"/>
    </row>
    <row r="1210" spans="1:36" x14ac:dyDescent="0.25">
      <c r="A1210" s="196">
        <v>758</v>
      </c>
      <c r="B1210" s="196" t="s">
        <v>6291</v>
      </c>
      <c r="C1210" s="196" t="s">
        <v>6292</v>
      </c>
      <c r="D1210" s="196" t="s">
        <v>1912</v>
      </c>
      <c r="E1210" s="196" t="s">
        <v>2175</v>
      </c>
      <c r="F1210" s="196">
        <v>2005</v>
      </c>
      <c r="H1210" s="196" t="s">
        <v>1878</v>
      </c>
      <c r="I1210" s="184" t="s">
        <v>1879</v>
      </c>
      <c r="K1210" s="196" t="s">
        <v>1881</v>
      </c>
      <c r="L1210" s="184" t="s">
        <v>6293</v>
      </c>
      <c r="M1210" s="196">
        <v>192</v>
      </c>
      <c r="O1210" s="196" t="s">
        <v>5336</v>
      </c>
      <c r="P1210" s="17">
        <v>190</v>
      </c>
      <c r="Q1210" s="175">
        <f t="shared" si="75"/>
        <v>3.7184000000000004</v>
      </c>
      <c r="R1210" s="199">
        <v>1.8</v>
      </c>
      <c r="T1210" s="149">
        <v>0.32</v>
      </c>
      <c r="U1210" s="149">
        <v>1.2</v>
      </c>
      <c r="V1210" s="149">
        <v>0.25</v>
      </c>
      <c r="W1210" s="149">
        <f t="shared" si="76"/>
        <v>1.8</v>
      </c>
      <c r="X1210" s="152">
        <f t="shared" si="74"/>
        <v>0.1484</v>
      </c>
      <c r="Y1210" s="150">
        <f t="shared" si="73"/>
        <v>1.01</v>
      </c>
      <c r="Z1210" s="152"/>
      <c r="AC1210" s="154"/>
      <c r="AD1210" s="154"/>
      <c r="AE1210" s="154"/>
      <c r="AF1210" s="154"/>
    </row>
    <row r="1211" spans="1:36" x14ac:dyDescent="0.25">
      <c r="A1211" s="196">
        <v>692</v>
      </c>
      <c r="B1211" s="196" t="s">
        <v>6294</v>
      </c>
      <c r="C1211" s="196" t="s">
        <v>6295</v>
      </c>
      <c r="D1211" s="196" t="s">
        <v>6296</v>
      </c>
      <c r="F1211" s="196">
        <v>1984</v>
      </c>
      <c r="H1211" s="196" t="s">
        <v>2734</v>
      </c>
      <c r="I1211" s="184" t="s">
        <v>1879</v>
      </c>
      <c r="J1211" s="182" t="s">
        <v>5945</v>
      </c>
      <c r="K1211" s="196" t="s">
        <v>1881</v>
      </c>
      <c r="M1211" s="196">
        <v>310</v>
      </c>
      <c r="O1211" s="196" t="s">
        <v>5337</v>
      </c>
      <c r="P1211" s="17">
        <v>434</v>
      </c>
      <c r="Q1211" s="175">
        <f t="shared" si="75"/>
        <v>2.5306999999999999</v>
      </c>
      <c r="R1211" s="199">
        <v>0.69</v>
      </c>
      <c r="T1211" s="149">
        <v>0.32</v>
      </c>
      <c r="U1211" s="149">
        <v>1.2</v>
      </c>
      <c r="V1211" s="151">
        <v>0.25</v>
      </c>
      <c r="W1211" s="149">
        <f t="shared" si="76"/>
        <v>0.69</v>
      </c>
      <c r="X1211" s="152">
        <f t="shared" si="74"/>
        <v>7.0699999999999999E-2</v>
      </c>
      <c r="Y1211" s="150">
        <f t="shared" si="73"/>
        <v>1.01</v>
      </c>
      <c r="Z1211" s="152"/>
      <c r="AC1211" s="154"/>
      <c r="AD1211" s="154"/>
      <c r="AE1211" s="154"/>
      <c r="AF1211" s="154"/>
    </row>
    <row r="1212" spans="1:36" x14ac:dyDescent="0.25">
      <c r="A1212" s="196">
        <v>1898</v>
      </c>
      <c r="B1212" s="196" t="s">
        <v>6297</v>
      </c>
      <c r="C1212" s="196" t="s">
        <v>6298</v>
      </c>
      <c r="D1212" s="196" t="s">
        <v>6299</v>
      </c>
      <c r="F1212" s="196">
        <v>1992</v>
      </c>
      <c r="H1212" s="196" t="s">
        <v>1878</v>
      </c>
      <c r="I1212" s="184" t="s">
        <v>1879</v>
      </c>
      <c r="K1212" s="196" t="s">
        <v>1881</v>
      </c>
      <c r="L1212" s="184" t="s">
        <v>6300</v>
      </c>
      <c r="M1212" s="196">
        <v>120</v>
      </c>
      <c r="O1212" s="196" t="s">
        <v>5338</v>
      </c>
      <c r="P1212" s="17">
        <v>233</v>
      </c>
      <c r="Q1212" s="175">
        <f t="shared" si="75"/>
        <v>4.4139000000000008</v>
      </c>
      <c r="R1212" s="199">
        <v>2.4500000000000002</v>
      </c>
      <c r="T1212" s="149">
        <v>0.32</v>
      </c>
      <c r="U1212" s="149">
        <v>1.2</v>
      </c>
      <c r="V1212" s="149">
        <v>0.25</v>
      </c>
      <c r="W1212" s="149">
        <f t="shared" si="76"/>
        <v>2.4500000000000002</v>
      </c>
      <c r="X1212" s="152">
        <f t="shared" si="74"/>
        <v>0.19389999999999999</v>
      </c>
      <c r="Y1212" s="150">
        <f t="shared" si="73"/>
        <v>1.01</v>
      </c>
      <c r="Z1212" s="152"/>
      <c r="AC1212" s="154"/>
      <c r="AD1212" s="154"/>
      <c r="AE1212" s="154"/>
      <c r="AF1212" s="154"/>
    </row>
    <row r="1213" spans="1:36" x14ac:dyDescent="0.25">
      <c r="A1213" s="196">
        <v>1360</v>
      </c>
      <c r="B1213" s="196" t="s">
        <v>6301</v>
      </c>
      <c r="C1213" s="196" t="s">
        <v>6302</v>
      </c>
      <c r="D1213" s="196" t="s">
        <v>2209</v>
      </c>
      <c r="E1213" s="196" t="s">
        <v>2518</v>
      </c>
      <c r="F1213" s="196">
        <v>2014</v>
      </c>
      <c r="H1213" s="196" t="s">
        <v>1878</v>
      </c>
      <c r="I1213" s="184" t="s">
        <v>1929</v>
      </c>
      <c r="K1213" s="196" t="s">
        <v>1881</v>
      </c>
      <c r="L1213" s="184" t="s">
        <v>6303</v>
      </c>
      <c r="M1213" s="196">
        <v>384</v>
      </c>
      <c r="O1213" s="196" t="s">
        <v>5339</v>
      </c>
      <c r="P1213" s="17">
        <v>309</v>
      </c>
      <c r="Q1213" s="175">
        <f t="shared" si="75"/>
        <v>2.6484000000000001</v>
      </c>
      <c r="R1213" s="199">
        <v>0.8</v>
      </c>
      <c r="T1213" s="149">
        <v>0.32</v>
      </c>
      <c r="U1213" s="149">
        <v>1.2</v>
      </c>
      <c r="V1213" s="151">
        <v>0.25</v>
      </c>
      <c r="W1213" s="149">
        <f t="shared" si="76"/>
        <v>0.8</v>
      </c>
      <c r="X1213" s="152">
        <f t="shared" si="74"/>
        <v>7.8400000000000011E-2</v>
      </c>
      <c r="Y1213" s="150">
        <f t="shared" si="73"/>
        <v>1.01</v>
      </c>
      <c r="Z1213" s="152"/>
      <c r="AC1213" s="154"/>
      <c r="AD1213" s="154"/>
      <c r="AE1213" s="154"/>
      <c r="AF1213" s="154"/>
    </row>
    <row r="1214" spans="1:36" x14ac:dyDescent="0.25">
      <c r="A1214" s="196">
        <v>1360</v>
      </c>
      <c r="B1214" s="196" t="s">
        <v>6304</v>
      </c>
      <c r="C1214" s="196" t="s">
        <v>6305</v>
      </c>
      <c r="D1214" s="196" t="s">
        <v>2068</v>
      </c>
      <c r="F1214" s="196">
        <v>1983</v>
      </c>
      <c r="H1214" s="196" t="s">
        <v>1878</v>
      </c>
      <c r="I1214" s="184" t="s">
        <v>1914</v>
      </c>
      <c r="K1214" s="196" t="s">
        <v>1881</v>
      </c>
      <c r="L1214" s="184" t="s">
        <v>6306</v>
      </c>
      <c r="M1214" s="196">
        <v>128</v>
      </c>
      <c r="O1214" s="196" t="s">
        <v>5340</v>
      </c>
      <c r="P1214" s="17">
        <v>177</v>
      </c>
      <c r="Q1214" s="175">
        <f t="shared" si="75"/>
        <v>2.4236999999999997</v>
      </c>
      <c r="R1214" s="199">
        <v>0.59</v>
      </c>
      <c r="T1214" s="149">
        <v>0.32</v>
      </c>
      <c r="U1214" s="149">
        <v>1.2</v>
      </c>
      <c r="V1214" s="149">
        <v>0.25</v>
      </c>
      <c r="W1214" s="149">
        <f t="shared" si="76"/>
        <v>0.59</v>
      </c>
      <c r="X1214" s="152">
        <f t="shared" si="74"/>
        <v>6.3699999999999993E-2</v>
      </c>
      <c r="Y1214" s="150">
        <f t="shared" si="73"/>
        <v>1.01</v>
      </c>
      <c r="Z1214" s="152"/>
      <c r="AC1214" s="154"/>
      <c r="AD1214" s="154"/>
      <c r="AE1214" s="154"/>
      <c r="AF1214" s="154"/>
    </row>
    <row r="1215" spans="1:36" x14ac:dyDescent="0.25">
      <c r="A1215" s="196">
        <v>1324</v>
      </c>
      <c r="B1215" s="196" t="s">
        <v>6307</v>
      </c>
      <c r="C1215" s="196" t="s">
        <v>6308</v>
      </c>
      <c r="D1215" s="196" t="s">
        <v>5743</v>
      </c>
      <c r="E1215" s="196" t="s">
        <v>2375</v>
      </c>
      <c r="F1215" s="196">
        <v>2001</v>
      </c>
      <c r="H1215" s="196" t="s">
        <v>1878</v>
      </c>
      <c r="I1215" s="184" t="s">
        <v>1879</v>
      </c>
      <c r="K1215" s="196" t="s">
        <v>1881</v>
      </c>
      <c r="L1215" s="184" t="s">
        <v>6309</v>
      </c>
      <c r="M1215" s="196">
        <v>184</v>
      </c>
      <c r="O1215" s="196" t="s">
        <v>5341</v>
      </c>
      <c r="P1215" s="17">
        <v>474</v>
      </c>
      <c r="Q1215" s="175">
        <f t="shared" si="75"/>
        <v>2.2097000000000002</v>
      </c>
      <c r="R1215" s="199">
        <v>0.39</v>
      </c>
      <c r="T1215" s="149">
        <v>0.32</v>
      </c>
      <c r="U1215" s="149">
        <v>1.2</v>
      </c>
      <c r="V1215" s="151">
        <v>0.25</v>
      </c>
      <c r="W1215" s="149">
        <f t="shared" si="76"/>
        <v>0.39</v>
      </c>
      <c r="X1215" s="152">
        <f t="shared" si="74"/>
        <v>4.9699999999999994E-2</v>
      </c>
      <c r="Y1215" s="150">
        <f t="shared" si="73"/>
        <v>1.01</v>
      </c>
      <c r="Z1215" s="152"/>
      <c r="AC1215" s="154"/>
      <c r="AD1215" s="154"/>
      <c r="AE1215" s="154"/>
      <c r="AF1215" s="154"/>
    </row>
    <row r="1216" spans="1:36" x14ac:dyDescent="0.25">
      <c r="A1216" s="196">
        <v>991</v>
      </c>
      <c r="C1216" s="196" t="s">
        <v>6310</v>
      </c>
      <c r="D1216" s="196" t="s">
        <v>6311</v>
      </c>
      <c r="F1216" s="196">
        <v>2006</v>
      </c>
      <c r="H1216" s="196" t="s">
        <v>1878</v>
      </c>
      <c r="I1216" s="184" t="s">
        <v>1879</v>
      </c>
      <c r="J1216" s="182" t="s">
        <v>4291</v>
      </c>
      <c r="K1216" s="196" t="s">
        <v>1881</v>
      </c>
      <c r="L1216" s="184" t="s">
        <v>6312</v>
      </c>
      <c r="M1216" s="196">
        <v>256</v>
      </c>
      <c r="O1216" s="196" t="s">
        <v>5342</v>
      </c>
      <c r="P1216" s="17">
        <v>288</v>
      </c>
      <c r="Q1216" s="175">
        <f t="shared" si="75"/>
        <v>2.6377000000000002</v>
      </c>
      <c r="R1216" s="199">
        <v>0.79</v>
      </c>
      <c r="T1216" s="149">
        <v>0.32</v>
      </c>
      <c r="U1216" s="149">
        <v>1.2</v>
      </c>
      <c r="V1216" s="149">
        <v>0.25</v>
      </c>
      <c r="W1216" s="149">
        <f t="shared" si="76"/>
        <v>0.79</v>
      </c>
      <c r="X1216" s="152">
        <f t="shared" si="74"/>
        <v>7.7700000000000005E-2</v>
      </c>
      <c r="Y1216" s="150">
        <f t="shared" si="73"/>
        <v>1.01</v>
      </c>
      <c r="Z1216" s="152"/>
      <c r="AC1216" s="154"/>
      <c r="AD1216" s="154"/>
      <c r="AE1216" s="154"/>
      <c r="AF1216" s="154"/>
    </row>
    <row r="1217" spans="1:32" x14ac:dyDescent="0.25">
      <c r="A1217" s="196">
        <v>2522</v>
      </c>
      <c r="B1217" s="196" t="s">
        <v>6313</v>
      </c>
      <c r="C1217" s="196" t="s">
        <v>6314</v>
      </c>
      <c r="D1217" s="196" t="s">
        <v>2232</v>
      </c>
      <c r="E1217" s="196" t="s">
        <v>1913</v>
      </c>
      <c r="F1217" s="196">
        <v>2018</v>
      </c>
      <c r="H1217" s="196" t="s">
        <v>1878</v>
      </c>
      <c r="I1217" s="184" t="s">
        <v>1929</v>
      </c>
      <c r="K1217" s="196" t="s">
        <v>1881</v>
      </c>
      <c r="L1217" s="184" t="s">
        <v>6315</v>
      </c>
      <c r="M1217" s="196">
        <v>352</v>
      </c>
      <c r="O1217" s="196" t="s">
        <v>5343</v>
      </c>
      <c r="P1217" s="17">
        <v>418</v>
      </c>
      <c r="Q1217" s="175">
        <f t="shared" si="75"/>
        <v>3.3866999999999998</v>
      </c>
      <c r="R1217" s="199">
        <v>1.49</v>
      </c>
      <c r="T1217" s="149">
        <v>0.32</v>
      </c>
      <c r="U1217" s="149">
        <v>1.2</v>
      </c>
      <c r="V1217" s="151">
        <v>0.25</v>
      </c>
      <c r="W1217" s="149">
        <f t="shared" si="76"/>
        <v>1.49</v>
      </c>
      <c r="X1217" s="152">
        <f t="shared" si="74"/>
        <v>0.12670000000000001</v>
      </c>
      <c r="Y1217" s="150">
        <f t="shared" si="73"/>
        <v>1.01</v>
      </c>
      <c r="Z1217" s="152"/>
      <c r="AC1217" s="154"/>
      <c r="AD1217" s="154"/>
      <c r="AE1217" s="154"/>
      <c r="AF1217" s="154"/>
    </row>
    <row r="1218" spans="1:32" x14ac:dyDescent="0.25">
      <c r="A1218" s="196">
        <v>8</v>
      </c>
      <c r="B1218" s="196" t="s">
        <v>6316</v>
      </c>
      <c r="C1218" s="196" t="s">
        <v>6317</v>
      </c>
      <c r="D1218" s="196" t="s">
        <v>2257</v>
      </c>
      <c r="E1218" s="196" t="s">
        <v>2175</v>
      </c>
      <c r="F1218" s="196">
        <v>1993</v>
      </c>
      <c r="H1218" s="196" t="s">
        <v>1878</v>
      </c>
      <c r="I1218" s="184" t="s">
        <v>1914</v>
      </c>
      <c r="K1218" s="196" t="s">
        <v>1881</v>
      </c>
      <c r="L1218" s="184" t="s">
        <v>6318</v>
      </c>
      <c r="M1218" s="196">
        <v>432</v>
      </c>
      <c r="O1218" s="196" t="s">
        <v>5344</v>
      </c>
      <c r="P1218" s="17">
        <v>293</v>
      </c>
      <c r="Q1218" s="175">
        <f t="shared" si="75"/>
        <v>2.5306999999999999</v>
      </c>
      <c r="R1218" s="199">
        <v>0.69</v>
      </c>
      <c r="T1218" s="149">
        <v>0.32</v>
      </c>
      <c r="U1218" s="149">
        <v>1.2</v>
      </c>
      <c r="V1218" s="149">
        <v>0.25</v>
      </c>
      <c r="W1218" s="149">
        <f t="shared" si="76"/>
        <v>0.69</v>
      </c>
      <c r="X1218" s="152">
        <f t="shared" si="74"/>
        <v>7.0699999999999999E-2</v>
      </c>
      <c r="Y1218" s="150">
        <f t="shared" si="73"/>
        <v>1.01</v>
      </c>
      <c r="Z1218" s="152"/>
      <c r="AC1218" s="154"/>
      <c r="AD1218" s="154"/>
      <c r="AE1218" s="154"/>
      <c r="AF1218" s="154"/>
    </row>
    <row r="1219" spans="1:32" x14ac:dyDescent="0.25">
      <c r="A1219" s="196">
        <v>1875</v>
      </c>
      <c r="B1219" s="196" t="s">
        <v>6319</v>
      </c>
      <c r="C1219" s="196" t="s">
        <v>6320</v>
      </c>
      <c r="D1219" s="196" t="s">
        <v>2818</v>
      </c>
      <c r="E1219" s="196" t="s">
        <v>1899</v>
      </c>
      <c r="F1219" s="196">
        <v>2000</v>
      </c>
      <c r="H1219" s="196" t="s">
        <v>2734</v>
      </c>
      <c r="I1219" s="184" t="s">
        <v>1879</v>
      </c>
      <c r="K1219" s="196" t="s">
        <v>1881</v>
      </c>
      <c r="L1219" s="184" t="s">
        <v>6321</v>
      </c>
      <c r="O1219" s="196" t="s">
        <v>5345</v>
      </c>
      <c r="P1219" s="17">
        <v>171</v>
      </c>
      <c r="Q1219" s="175">
        <f t="shared" si="75"/>
        <v>3.0657000000000001</v>
      </c>
      <c r="R1219" s="199">
        <v>1.19</v>
      </c>
      <c r="T1219" s="149">
        <v>0.32</v>
      </c>
      <c r="U1219" s="149">
        <v>1.2</v>
      </c>
      <c r="V1219" s="151">
        <v>0.25</v>
      </c>
      <c r="W1219" s="149">
        <f t="shared" si="76"/>
        <v>1.19</v>
      </c>
      <c r="X1219" s="152">
        <f t="shared" si="74"/>
        <v>0.1057</v>
      </c>
      <c r="Y1219" s="150">
        <f t="shared" si="73"/>
        <v>1.01</v>
      </c>
      <c r="Z1219" s="152"/>
      <c r="AC1219" s="154"/>
      <c r="AD1219" s="154"/>
      <c r="AE1219" s="154"/>
      <c r="AF1219" s="154"/>
    </row>
    <row r="1220" spans="1:32" x14ac:dyDescent="0.25">
      <c r="A1220" s="196">
        <v>689</v>
      </c>
      <c r="B1220" s="196" t="s">
        <v>6322</v>
      </c>
      <c r="C1220" s="196" t="s">
        <v>6323</v>
      </c>
      <c r="D1220" s="196" t="s">
        <v>5005</v>
      </c>
      <c r="F1220" s="196">
        <v>2003</v>
      </c>
      <c r="H1220" s="196" t="s">
        <v>1878</v>
      </c>
      <c r="I1220" s="184" t="s">
        <v>1914</v>
      </c>
      <c r="K1220" s="196" t="s">
        <v>1881</v>
      </c>
      <c r="M1220" s="196">
        <v>576</v>
      </c>
      <c r="O1220" s="196" t="s">
        <v>5346</v>
      </c>
      <c r="P1220" s="17">
        <v>414</v>
      </c>
      <c r="Q1220" s="175">
        <f t="shared" si="75"/>
        <v>2.1347999999999998</v>
      </c>
      <c r="R1220" s="199">
        <v>0.25</v>
      </c>
      <c r="T1220" s="149">
        <v>0.32</v>
      </c>
      <c r="U1220" s="149">
        <v>1.2</v>
      </c>
      <c r="V1220" s="149">
        <v>0.25</v>
      </c>
      <c r="W1220" s="149">
        <f t="shared" si="76"/>
        <v>0.32</v>
      </c>
      <c r="X1220" s="152">
        <f t="shared" si="74"/>
        <v>4.48E-2</v>
      </c>
      <c r="Y1220" s="150">
        <f t="shared" si="73"/>
        <v>1.01</v>
      </c>
      <c r="Z1220" s="152"/>
      <c r="AC1220" s="154"/>
      <c r="AD1220" s="154"/>
      <c r="AE1220" s="154"/>
      <c r="AF1220" s="154"/>
    </row>
    <row r="1221" spans="1:32" x14ac:dyDescent="0.25">
      <c r="A1221" s="196">
        <v>1957</v>
      </c>
      <c r="B1221" s="196" t="s">
        <v>6324</v>
      </c>
      <c r="C1221" s="196" t="s">
        <v>6325</v>
      </c>
      <c r="D1221" s="196" t="s">
        <v>2209</v>
      </c>
      <c r="E1221" s="196" t="s">
        <v>1877</v>
      </c>
      <c r="F1221" s="196">
        <v>1993</v>
      </c>
      <c r="H1221" s="196" t="s">
        <v>1878</v>
      </c>
      <c r="I1221" s="184" t="s">
        <v>1914</v>
      </c>
      <c r="K1221" s="196" t="s">
        <v>1881</v>
      </c>
      <c r="L1221" s="184" t="s">
        <v>6326</v>
      </c>
      <c r="M1221" s="196">
        <v>432</v>
      </c>
      <c r="O1221" s="196" t="s">
        <v>5347</v>
      </c>
      <c r="P1221" s="17">
        <v>288</v>
      </c>
      <c r="Q1221" s="175">
        <f t="shared" si="75"/>
        <v>2.7446999999999999</v>
      </c>
      <c r="R1221" s="199">
        <v>0.89</v>
      </c>
      <c r="T1221" s="149">
        <v>0.32</v>
      </c>
      <c r="U1221" s="149">
        <v>1.2</v>
      </c>
      <c r="V1221" s="151">
        <v>0.25</v>
      </c>
      <c r="W1221" s="149">
        <f t="shared" si="76"/>
        <v>0.89</v>
      </c>
      <c r="X1221" s="152">
        <f t="shared" si="74"/>
        <v>8.4699999999999998E-2</v>
      </c>
      <c r="Y1221" s="150">
        <f t="shared" si="73"/>
        <v>1.01</v>
      </c>
      <c r="Z1221" s="152"/>
      <c r="AC1221" s="154"/>
      <c r="AD1221" s="154"/>
      <c r="AE1221" s="154"/>
      <c r="AF1221" s="154"/>
    </row>
    <row r="1222" spans="1:32" x14ac:dyDescent="0.25">
      <c r="A1222" s="196">
        <v>2551</v>
      </c>
      <c r="B1222" s="196" t="s">
        <v>6327</v>
      </c>
      <c r="C1222" s="196" t="s">
        <v>6328</v>
      </c>
      <c r="D1222" s="196" t="s">
        <v>2232</v>
      </c>
      <c r="E1222" s="196" t="s">
        <v>1921</v>
      </c>
      <c r="F1222" s="196">
        <v>2001</v>
      </c>
      <c r="H1222" s="196" t="s">
        <v>1878</v>
      </c>
      <c r="I1222" s="184" t="s">
        <v>1879</v>
      </c>
      <c r="K1222" s="196" t="s">
        <v>1881</v>
      </c>
      <c r="L1222" s="184" t="s">
        <v>6329</v>
      </c>
      <c r="M1222" s="196">
        <v>384</v>
      </c>
      <c r="O1222" s="196" t="s">
        <v>5348</v>
      </c>
      <c r="P1222" s="17">
        <v>322</v>
      </c>
      <c r="Q1222" s="175">
        <f t="shared" si="75"/>
        <v>2.3167</v>
      </c>
      <c r="R1222" s="199">
        <v>0.49</v>
      </c>
      <c r="T1222" s="149">
        <v>0.32</v>
      </c>
      <c r="U1222" s="149">
        <v>1.2</v>
      </c>
      <c r="V1222" s="149">
        <v>0.25</v>
      </c>
      <c r="W1222" s="149">
        <f t="shared" si="76"/>
        <v>0.49</v>
      </c>
      <c r="X1222" s="152">
        <f t="shared" si="74"/>
        <v>5.6700000000000007E-2</v>
      </c>
      <c r="Y1222" s="150">
        <f t="shared" si="73"/>
        <v>1.01</v>
      </c>
      <c r="Z1222" s="152"/>
      <c r="AC1222" s="154"/>
      <c r="AD1222" s="154"/>
      <c r="AE1222" s="154"/>
      <c r="AF1222" s="154"/>
    </row>
    <row r="1223" spans="1:32" x14ac:dyDescent="0.25">
      <c r="A1223" s="196">
        <v>647</v>
      </c>
      <c r="B1223" s="196" t="s">
        <v>6330</v>
      </c>
      <c r="C1223" s="196" t="s">
        <v>6331</v>
      </c>
      <c r="D1223" s="196" t="s">
        <v>2068</v>
      </c>
      <c r="F1223" s="196">
        <v>2001</v>
      </c>
      <c r="H1223" s="196" t="s">
        <v>1878</v>
      </c>
      <c r="I1223" s="184" t="s">
        <v>1879</v>
      </c>
      <c r="K1223" s="196" t="s">
        <v>1881</v>
      </c>
      <c r="L1223" s="184" t="s">
        <v>6332</v>
      </c>
      <c r="M1223" s="196">
        <v>160</v>
      </c>
      <c r="O1223" s="196" t="s">
        <v>5349</v>
      </c>
      <c r="P1223" s="17">
        <v>260</v>
      </c>
      <c r="Q1223" s="175">
        <f t="shared" si="75"/>
        <v>2.7446999999999999</v>
      </c>
      <c r="R1223" s="199">
        <v>0.89</v>
      </c>
      <c r="T1223" s="149">
        <v>0.32</v>
      </c>
      <c r="U1223" s="149">
        <v>1.2</v>
      </c>
      <c r="V1223" s="151">
        <v>0.25</v>
      </c>
      <c r="W1223" s="149">
        <f t="shared" si="76"/>
        <v>0.89</v>
      </c>
      <c r="X1223" s="152">
        <f t="shared" si="74"/>
        <v>8.4699999999999998E-2</v>
      </c>
      <c r="Y1223" s="150">
        <f t="shared" si="73"/>
        <v>1.01</v>
      </c>
      <c r="Z1223" s="152"/>
      <c r="AC1223" s="154"/>
      <c r="AD1223" s="154"/>
      <c r="AE1223" s="154"/>
      <c r="AF1223" s="154"/>
    </row>
    <row r="1224" spans="1:32" x14ac:dyDescent="0.25">
      <c r="A1224" s="196">
        <v>1927</v>
      </c>
      <c r="B1224" s="196" t="s">
        <v>6333</v>
      </c>
      <c r="C1224" s="196" t="s">
        <v>6334</v>
      </c>
      <c r="D1224" s="196" t="s">
        <v>2054</v>
      </c>
      <c r="F1224" s="196">
        <v>2011</v>
      </c>
      <c r="H1224" s="196" t="s">
        <v>1878</v>
      </c>
      <c r="I1224" s="184" t="s">
        <v>1879</v>
      </c>
      <c r="K1224" s="196" t="s">
        <v>1881</v>
      </c>
      <c r="L1224" s="184" t="s">
        <v>6335</v>
      </c>
      <c r="M1224" s="196">
        <v>192</v>
      </c>
      <c r="O1224" s="196" t="s">
        <v>5350</v>
      </c>
      <c r="P1224" s="17">
        <v>360</v>
      </c>
      <c r="Q1224" s="175">
        <f t="shared" si="75"/>
        <v>5.9546999999999999</v>
      </c>
      <c r="R1224" s="199">
        <v>3.89</v>
      </c>
      <c r="T1224" s="149">
        <v>0.32</v>
      </c>
      <c r="U1224" s="149">
        <v>1.2</v>
      </c>
      <c r="V1224" s="149">
        <v>0.25</v>
      </c>
      <c r="W1224" s="149">
        <f t="shared" si="76"/>
        <v>3.89</v>
      </c>
      <c r="X1224" s="152">
        <f t="shared" si="74"/>
        <v>0.29469999999999996</v>
      </c>
      <c r="Y1224" s="150">
        <f t="shared" si="73"/>
        <v>1.01</v>
      </c>
      <c r="Z1224" s="152"/>
      <c r="AC1224" s="154"/>
      <c r="AD1224" s="154"/>
      <c r="AE1224" s="154"/>
      <c r="AF1224" s="154"/>
    </row>
    <row r="1225" spans="1:32" x14ac:dyDescent="0.25">
      <c r="A1225" s="196">
        <v>1395</v>
      </c>
      <c r="B1225" s="196" t="s">
        <v>6336</v>
      </c>
      <c r="C1225" s="196" t="s">
        <v>6337</v>
      </c>
      <c r="D1225" s="196" t="s">
        <v>1912</v>
      </c>
      <c r="E1225" s="196" t="s">
        <v>1913</v>
      </c>
      <c r="F1225" s="196">
        <v>2012</v>
      </c>
      <c r="H1225" s="196" t="s">
        <v>1878</v>
      </c>
      <c r="I1225" s="184" t="s">
        <v>1879</v>
      </c>
      <c r="J1225" s="143" t="s">
        <v>3854</v>
      </c>
      <c r="K1225" s="196" t="s">
        <v>1881</v>
      </c>
      <c r="L1225" s="184" t="s">
        <v>6338</v>
      </c>
      <c r="M1225" s="196">
        <v>320</v>
      </c>
      <c r="O1225" s="196" t="s">
        <v>5351</v>
      </c>
      <c r="P1225" s="17">
        <v>292</v>
      </c>
      <c r="Q1225" s="175">
        <f t="shared" si="75"/>
        <v>2.3167</v>
      </c>
      <c r="R1225" s="199">
        <v>0.49</v>
      </c>
      <c r="T1225" s="149">
        <v>0.32</v>
      </c>
      <c r="U1225" s="149">
        <v>1.2</v>
      </c>
      <c r="V1225" s="151">
        <v>0.25</v>
      </c>
      <c r="W1225" s="149">
        <f t="shared" si="76"/>
        <v>0.49</v>
      </c>
      <c r="X1225" s="152">
        <f t="shared" si="74"/>
        <v>5.6700000000000007E-2</v>
      </c>
      <c r="Y1225" s="150">
        <f t="shared" si="73"/>
        <v>1.01</v>
      </c>
      <c r="Z1225" s="152"/>
      <c r="AC1225" s="154"/>
      <c r="AD1225" s="154"/>
      <c r="AE1225" s="154"/>
      <c r="AF1225" s="154"/>
    </row>
    <row r="1226" spans="1:32" x14ac:dyDescent="0.25">
      <c r="A1226" s="196">
        <v>2571</v>
      </c>
      <c r="B1226" s="196" t="s">
        <v>6339</v>
      </c>
      <c r="C1226" s="196" t="s">
        <v>6340</v>
      </c>
      <c r="D1226" s="196" t="s">
        <v>2257</v>
      </c>
      <c r="F1226" s="196">
        <v>2008</v>
      </c>
      <c r="H1226" s="196" t="s">
        <v>1878</v>
      </c>
      <c r="I1226" s="184" t="s">
        <v>1914</v>
      </c>
      <c r="K1226" s="196" t="s">
        <v>1881</v>
      </c>
      <c r="L1226" s="184" t="s">
        <v>6341</v>
      </c>
      <c r="M1226" s="196">
        <v>528</v>
      </c>
      <c r="O1226" s="196" t="s">
        <v>5352</v>
      </c>
      <c r="P1226" s="17">
        <v>354</v>
      </c>
      <c r="Q1226" s="175">
        <f t="shared" si="75"/>
        <v>2.9587000000000003</v>
      </c>
      <c r="R1226" s="199">
        <v>1.0900000000000001</v>
      </c>
      <c r="T1226" s="149">
        <v>0.32</v>
      </c>
      <c r="U1226" s="149">
        <v>1.2</v>
      </c>
      <c r="V1226" s="149">
        <v>0.25</v>
      </c>
      <c r="W1226" s="149">
        <f t="shared" si="76"/>
        <v>1.0900000000000001</v>
      </c>
      <c r="X1226" s="152">
        <f t="shared" si="74"/>
        <v>9.870000000000001E-2</v>
      </c>
      <c r="Y1226" s="150">
        <f t="shared" si="73"/>
        <v>1.01</v>
      </c>
      <c r="Z1226" s="152"/>
      <c r="AC1226" s="154"/>
      <c r="AD1226" s="154"/>
      <c r="AE1226" s="154"/>
      <c r="AF1226" s="154"/>
    </row>
    <row r="1227" spans="1:32" x14ac:dyDescent="0.25">
      <c r="A1227" s="196">
        <v>2851</v>
      </c>
      <c r="B1227" s="196" t="s">
        <v>6342</v>
      </c>
      <c r="C1227" s="196" t="s">
        <v>6343</v>
      </c>
      <c r="D1227" s="196" t="s">
        <v>2176</v>
      </c>
      <c r="F1227" s="196">
        <v>1999</v>
      </c>
      <c r="H1227" s="196" t="s">
        <v>2734</v>
      </c>
      <c r="I1227" s="184" t="s">
        <v>1929</v>
      </c>
      <c r="K1227" s="196" t="s">
        <v>1881</v>
      </c>
      <c r="L1227" s="184" t="s">
        <v>6344</v>
      </c>
      <c r="M1227" s="196">
        <v>562</v>
      </c>
      <c r="O1227" s="196" t="s">
        <v>5353</v>
      </c>
      <c r="P1227" s="17">
        <v>977</v>
      </c>
      <c r="Q1227" s="175">
        <f t="shared" si="75"/>
        <v>3.2446999999999999</v>
      </c>
      <c r="R1227" s="199">
        <v>0.89</v>
      </c>
      <c r="T1227" s="149">
        <v>0.32</v>
      </c>
      <c r="U1227" s="149">
        <v>1.7</v>
      </c>
      <c r="V1227" s="151">
        <v>0.25</v>
      </c>
      <c r="W1227" s="149">
        <f t="shared" si="76"/>
        <v>0.89</v>
      </c>
      <c r="X1227" s="152">
        <f t="shared" si="74"/>
        <v>8.4699999999999998E-2</v>
      </c>
      <c r="Y1227" s="150">
        <f t="shared" si="73"/>
        <v>1.01</v>
      </c>
      <c r="Z1227" s="152"/>
      <c r="AC1227" s="154"/>
      <c r="AD1227" s="154"/>
      <c r="AE1227" s="154"/>
      <c r="AF1227" s="154"/>
    </row>
    <row r="1228" spans="1:32" x14ac:dyDescent="0.25">
      <c r="A1228" s="196">
        <v>2571</v>
      </c>
      <c r="B1228" s="196" t="s">
        <v>6345</v>
      </c>
      <c r="C1228" s="196" t="s">
        <v>6346</v>
      </c>
      <c r="D1228" s="196" t="s">
        <v>2300</v>
      </c>
      <c r="F1228" s="196">
        <v>2012</v>
      </c>
      <c r="H1228" s="196" t="s">
        <v>1878</v>
      </c>
      <c r="I1228" s="184" t="s">
        <v>1879</v>
      </c>
      <c r="J1228" s="143" t="s">
        <v>3854</v>
      </c>
      <c r="K1228" s="196" t="s">
        <v>1881</v>
      </c>
      <c r="L1228" s="184" t="s">
        <v>6347</v>
      </c>
      <c r="M1228" s="196">
        <v>384</v>
      </c>
      <c r="O1228" s="196" t="s">
        <v>5354</v>
      </c>
      <c r="P1228" s="17">
        <v>343</v>
      </c>
      <c r="Q1228" s="175">
        <f t="shared" si="75"/>
        <v>2.4236999999999997</v>
      </c>
      <c r="R1228" s="199">
        <v>0.59</v>
      </c>
      <c r="T1228" s="149">
        <v>0.32</v>
      </c>
      <c r="U1228" s="149">
        <v>1.2</v>
      </c>
      <c r="V1228" s="149">
        <v>0.25</v>
      </c>
      <c r="W1228" s="149">
        <f t="shared" si="76"/>
        <v>0.59</v>
      </c>
      <c r="X1228" s="152">
        <f t="shared" si="74"/>
        <v>6.3699999999999993E-2</v>
      </c>
      <c r="Y1228" s="150">
        <f t="shared" si="73"/>
        <v>1.01</v>
      </c>
      <c r="Z1228" s="152"/>
      <c r="AC1228" s="154"/>
      <c r="AD1228" s="154"/>
      <c r="AE1228" s="154"/>
      <c r="AF1228" s="154"/>
    </row>
    <row r="1229" spans="1:32" x14ac:dyDescent="0.25">
      <c r="A1229" s="196">
        <v>689</v>
      </c>
      <c r="B1229" s="196" t="s">
        <v>2470</v>
      </c>
      <c r="C1229" s="196" t="s">
        <v>6348</v>
      </c>
      <c r="D1229" s="196" t="s">
        <v>4669</v>
      </c>
      <c r="F1229" s="196">
        <v>2004</v>
      </c>
      <c r="H1229" s="196" t="s">
        <v>2734</v>
      </c>
      <c r="I1229" s="184" t="s">
        <v>1929</v>
      </c>
      <c r="K1229" s="196" t="s">
        <v>1881</v>
      </c>
      <c r="L1229" s="184" t="s">
        <v>6349</v>
      </c>
      <c r="M1229" s="196">
        <v>242</v>
      </c>
      <c r="O1229" s="196" t="s">
        <v>5355</v>
      </c>
      <c r="P1229" s="17">
        <v>460</v>
      </c>
      <c r="Q1229" s="175">
        <f t="shared" si="75"/>
        <v>2.8516999999999997</v>
      </c>
      <c r="R1229" s="199">
        <v>0.99</v>
      </c>
      <c r="T1229" s="149">
        <v>0.32</v>
      </c>
      <c r="U1229" s="149">
        <v>1.2</v>
      </c>
      <c r="V1229" s="151">
        <v>0.25</v>
      </c>
      <c r="W1229" s="149">
        <f t="shared" si="76"/>
        <v>0.99</v>
      </c>
      <c r="X1229" s="152">
        <f t="shared" si="74"/>
        <v>9.1700000000000004E-2</v>
      </c>
      <c r="Y1229" s="150">
        <f t="shared" si="73"/>
        <v>1.01</v>
      </c>
      <c r="Z1229" s="152"/>
      <c r="AC1229" s="154"/>
      <c r="AD1229" s="154"/>
      <c r="AE1229" s="154"/>
      <c r="AF1229" s="154"/>
    </row>
    <row r="1230" spans="1:32" x14ac:dyDescent="0.25">
      <c r="A1230" s="196">
        <v>1395</v>
      </c>
      <c r="B1230" s="196" t="s">
        <v>6350</v>
      </c>
      <c r="C1230" s="196" t="s">
        <v>6351</v>
      </c>
      <c r="D1230" s="196" t="s">
        <v>1993</v>
      </c>
      <c r="E1230" s="196" t="s">
        <v>1913</v>
      </c>
      <c r="F1230" s="196">
        <v>2011</v>
      </c>
      <c r="H1230" s="196" t="s">
        <v>1878</v>
      </c>
      <c r="I1230" s="184" t="s">
        <v>1879</v>
      </c>
      <c r="K1230" s="196" t="s">
        <v>1881</v>
      </c>
      <c r="L1230" s="184" t="s">
        <v>6352</v>
      </c>
      <c r="M1230" s="196">
        <v>352</v>
      </c>
      <c r="O1230" s="196" t="s">
        <v>5356</v>
      </c>
      <c r="P1230" s="17">
        <v>296</v>
      </c>
      <c r="Q1230" s="175">
        <f t="shared" si="75"/>
        <v>2.1347999999999998</v>
      </c>
      <c r="R1230" s="199">
        <v>0.25</v>
      </c>
      <c r="T1230" s="149">
        <v>0.32</v>
      </c>
      <c r="U1230" s="149">
        <v>1.2</v>
      </c>
      <c r="V1230" s="149">
        <v>0.25</v>
      </c>
      <c r="W1230" s="149">
        <f t="shared" si="76"/>
        <v>0.32</v>
      </c>
      <c r="X1230" s="152">
        <f t="shared" si="74"/>
        <v>4.48E-2</v>
      </c>
      <c r="Y1230" s="150">
        <f t="shared" si="73"/>
        <v>1.01</v>
      </c>
      <c r="Z1230" s="152"/>
      <c r="AC1230" s="154"/>
      <c r="AD1230" s="154"/>
      <c r="AE1230" s="154"/>
      <c r="AF1230" s="154"/>
    </row>
    <row r="1231" spans="1:32" x14ac:dyDescent="0.25">
      <c r="A1231" s="196">
        <v>1327</v>
      </c>
      <c r="B1231" s="196" t="s">
        <v>6353</v>
      </c>
      <c r="C1231" s="196" t="s">
        <v>6354</v>
      </c>
      <c r="D1231" s="196" t="s">
        <v>2151</v>
      </c>
      <c r="E1231" s="196" t="s">
        <v>1877</v>
      </c>
      <c r="F1231" s="196">
        <v>1985</v>
      </c>
      <c r="H1231" s="196" t="s">
        <v>1878</v>
      </c>
      <c r="I1231" s="184" t="s">
        <v>1914</v>
      </c>
      <c r="K1231" s="196" t="s">
        <v>1881</v>
      </c>
      <c r="L1231" s="184" t="s">
        <v>6355</v>
      </c>
      <c r="M1231" s="196">
        <v>240</v>
      </c>
      <c r="O1231" s="196" t="s">
        <v>5357</v>
      </c>
      <c r="P1231" s="17">
        <v>142</v>
      </c>
      <c r="Q1231" s="175">
        <f t="shared" si="75"/>
        <v>2.1347999999999998</v>
      </c>
      <c r="R1231" s="199">
        <v>0.25</v>
      </c>
      <c r="T1231" s="149">
        <v>0.32</v>
      </c>
      <c r="U1231" s="149">
        <v>1.2</v>
      </c>
      <c r="V1231" s="151">
        <v>0.25</v>
      </c>
      <c r="W1231" s="149">
        <f t="shared" si="76"/>
        <v>0.32</v>
      </c>
      <c r="X1231" s="152">
        <f t="shared" si="74"/>
        <v>4.48E-2</v>
      </c>
      <c r="Y1231" s="150">
        <f t="shared" si="73"/>
        <v>1.01</v>
      </c>
      <c r="Z1231" s="152"/>
      <c r="AC1231" s="154"/>
      <c r="AD1231" s="154"/>
      <c r="AE1231" s="154"/>
      <c r="AF1231" s="154"/>
    </row>
    <row r="1232" spans="1:32" ht="21" customHeight="1" x14ac:dyDescent="0.25">
      <c r="A1232" s="196">
        <v>2851</v>
      </c>
      <c r="B1232" s="196" t="s">
        <v>6357</v>
      </c>
      <c r="C1232" s="196" t="s">
        <v>6358</v>
      </c>
      <c r="D1232" s="196" t="s">
        <v>3864</v>
      </c>
      <c r="F1232" s="196">
        <v>2016</v>
      </c>
      <c r="H1232" s="196" t="s">
        <v>2734</v>
      </c>
      <c r="I1232" s="184" t="s">
        <v>1929</v>
      </c>
      <c r="J1232" s="50" t="s">
        <v>6375</v>
      </c>
      <c r="K1232" s="196" t="s">
        <v>1881</v>
      </c>
      <c r="L1232" s="184" t="s">
        <v>6360</v>
      </c>
      <c r="O1232" s="196" t="s">
        <v>5358</v>
      </c>
      <c r="P1232" s="17">
        <v>384</v>
      </c>
      <c r="Q1232" s="175">
        <f t="shared" si="75"/>
        <v>1.6303000000000001</v>
      </c>
      <c r="R1232" s="199">
        <v>0.99</v>
      </c>
      <c r="T1232" s="55">
        <v>0.3</v>
      </c>
      <c r="U1232" s="149"/>
      <c r="V1232" s="149">
        <v>0.25</v>
      </c>
      <c r="W1232" s="149">
        <f t="shared" si="76"/>
        <v>0.99</v>
      </c>
      <c r="X1232" s="152">
        <f t="shared" si="74"/>
        <v>9.0300000000000005E-2</v>
      </c>
      <c r="Y1232" s="150">
        <f t="shared" si="73"/>
        <v>1.01</v>
      </c>
      <c r="Z1232" s="152"/>
      <c r="AC1232" s="86"/>
      <c r="AD1232" s="86"/>
      <c r="AE1232" s="86"/>
      <c r="AF1232" s="86"/>
    </row>
    <row r="1233" spans="1:32" ht="18.75" customHeight="1" x14ac:dyDescent="0.25">
      <c r="A1233" s="196">
        <v>655</v>
      </c>
      <c r="B1233" s="196" t="s">
        <v>6362</v>
      </c>
      <c r="C1233" s="196" t="s">
        <v>6363</v>
      </c>
      <c r="D1233" s="196" t="s">
        <v>2117</v>
      </c>
      <c r="E1233" s="196" t="s">
        <v>1913</v>
      </c>
      <c r="F1233" s="196">
        <v>2016</v>
      </c>
      <c r="I1233" s="184" t="s">
        <v>1929</v>
      </c>
      <c r="J1233" s="52" t="s">
        <v>3854</v>
      </c>
      <c r="K1233" s="196" t="s">
        <v>6364</v>
      </c>
      <c r="L1233" s="184" t="s">
        <v>6361</v>
      </c>
      <c r="M1233" s="196">
        <v>50</v>
      </c>
      <c r="O1233" s="196" t="s">
        <v>5359</v>
      </c>
      <c r="P1233" s="17">
        <v>330</v>
      </c>
      <c r="Q1233" s="175">
        <f t="shared" si="75"/>
        <v>4.8403</v>
      </c>
      <c r="R1233" s="199">
        <v>3.99</v>
      </c>
      <c r="T1233" s="55">
        <v>0.3</v>
      </c>
      <c r="U1233" s="149"/>
      <c r="V1233" s="151">
        <v>0.25</v>
      </c>
      <c r="W1233" s="149">
        <f t="shared" si="76"/>
        <v>3.99</v>
      </c>
      <c r="X1233" s="152">
        <f t="shared" si="74"/>
        <v>0.30030000000000001</v>
      </c>
      <c r="Y1233" s="150">
        <f t="shared" si="73"/>
        <v>1.01</v>
      </c>
      <c r="Z1233" s="152"/>
      <c r="AC1233" s="86"/>
      <c r="AD1233" s="86"/>
      <c r="AE1233" s="86"/>
      <c r="AF1233" s="86"/>
    </row>
    <row r="1234" spans="1:32" ht="12" customHeight="1" x14ac:dyDescent="0.25">
      <c r="A1234" s="196">
        <v>704</v>
      </c>
      <c r="B1234" s="196" t="s">
        <v>6365</v>
      </c>
      <c r="C1234" s="196" t="s">
        <v>6366</v>
      </c>
      <c r="D1234" s="196" t="s">
        <v>6367</v>
      </c>
      <c r="F1234" s="196">
        <v>2013</v>
      </c>
      <c r="H1234" s="196" t="s">
        <v>1878</v>
      </c>
      <c r="I1234" s="184" t="s">
        <v>1929</v>
      </c>
      <c r="J1234" s="52" t="s">
        <v>3854</v>
      </c>
      <c r="K1234" s="196" t="s">
        <v>1881</v>
      </c>
      <c r="L1234" s="184" t="s">
        <v>6368</v>
      </c>
      <c r="M1234" s="196">
        <v>208</v>
      </c>
      <c r="O1234" s="196" t="s">
        <v>5360</v>
      </c>
      <c r="P1234" s="17">
        <v>316</v>
      </c>
      <c r="Q1234" s="175">
        <f t="shared" si="75"/>
        <v>4.3052999999999999</v>
      </c>
      <c r="R1234" s="199">
        <v>3.49</v>
      </c>
      <c r="T1234" s="55">
        <v>0.3</v>
      </c>
      <c r="U1234" s="149"/>
      <c r="V1234" s="149">
        <v>0.25</v>
      </c>
      <c r="W1234" s="149">
        <f t="shared" si="76"/>
        <v>3.49</v>
      </c>
      <c r="X1234" s="152">
        <f t="shared" si="74"/>
        <v>0.26530000000000004</v>
      </c>
      <c r="Y1234" s="150">
        <f t="shared" si="73"/>
        <v>1.01</v>
      </c>
      <c r="Z1234" s="152"/>
      <c r="AC1234" s="86"/>
      <c r="AD1234" s="86"/>
      <c r="AE1234" s="86"/>
      <c r="AF1234" s="86"/>
    </row>
    <row r="1235" spans="1:32" ht="14.25" customHeight="1" x14ac:dyDescent="0.25">
      <c r="A1235" s="196">
        <v>2706</v>
      </c>
      <c r="B1235" s="196" t="s">
        <v>6369</v>
      </c>
      <c r="C1235" s="196" t="s">
        <v>6370</v>
      </c>
      <c r="D1235" s="196" t="s">
        <v>2117</v>
      </c>
      <c r="E1235" s="196" t="s">
        <v>1913</v>
      </c>
      <c r="F1235" s="196">
        <v>2013</v>
      </c>
      <c r="H1235" s="196" t="s">
        <v>1878</v>
      </c>
      <c r="I1235" s="184" t="s">
        <v>1929</v>
      </c>
      <c r="J1235" s="52" t="s">
        <v>3854</v>
      </c>
      <c r="K1235" s="196" t="s">
        <v>1881</v>
      </c>
      <c r="L1235" s="184" t="s">
        <v>6371</v>
      </c>
      <c r="M1235" s="196">
        <v>128</v>
      </c>
      <c r="O1235" s="196" t="s">
        <v>5361</v>
      </c>
      <c r="P1235" s="17">
        <v>274</v>
      </c>
      <c r="Q1235" s="175">
        <f t="shared" si="75"/>
        <v>2.7002999999999999</v>
      </c>
      <c r="R1235" s="199">
        <v>1.99</v>
      </c>
      <c r="T1235" s="55">
        <v>0.3</v>
      </c>
      <c r="U1235" s="149"/>
      <c r="V1235" s="151">
        <v>0.25</v>
      </c>
      <c r="W1235" s="149">
        <f t="shared" si="76"/>
        <v>1.99</v>
      </c>
      <c r="X1235" s="152">
        <f t="shared" si="74"/>
        <v>0.1603</v>
      </c>
      <c r="Y1235" s="150">
        <f t="shared" si="73"/>
        <v>1.01</v>
      </c>
      <c r="Z1235" s="152"/>
      <c r="AC1235" s="86"/>
      <c r="AD1235" s="86"/>
      <c r="AE1235" s="86"/>
      <c r="AF1235" s="86"/>
    </row>
    <row r="1236" spans="1:32" ht="13.5" customHeight="1" x14ac:dyDescent="0.25">
      <c r="A1236" s="196">
        <v>2706</v>
      </c>
      <c r="B1236" s="196" t="s">
        <v>6372</v>
      </c>
      <c r="C1236" s="196" t="s">
        <v>6373</v>
      </c>
      <c r="D1236" s="196" t="s">
        <v>2117</v>
      </c>
      <c r="E1236" s="196" t="s">
        <v>1877</v>
      </c>
      <c r="F1236" s="196">
        <v>2014</v>
      </c>
      <c r="H1236" s="196" t="s">
        <v>1878</v>
      </c>
      <c r="I1236" s="184" t="s">
        <v>1929</v>
      </c>
      <c r="J1236" s="52"/>
      <c r="K1236" s="196" t="s">
        <v>1881</v>
      </c>
      <c r="L1236" s="184" t="s">
        <v>6374</v>
      </c>
      <c r="M1236" s="196">
        <v>144</v>
      </c>
      <c r="O1236" s="196" t="s">
        <v>5362</v>
      </c>
      <c r="P1236" s="17">
        <v>328</v>
      </c>
      <c r="Q1236" s="175">
        <f t="shared" si="75"/>
        <v>2.0583</v>
      </c>
      <c r="R1236" s="199">
        <v>1.39</v>
      </c>
      <c r="T1236" s="55">
        <v>0.3</v>
      </c>
      <c r="U1236" s="149"/>
      <c r="V1236" s="149">
        <v>0.25</v>
      </c>
      <c r="W1236" s="149">
        <f t="shared" si="76"/>
        <v>1.39</v>
      </c>
      <c r="X1236" s="152">
        <f t="shared" si="74"/>
        <v>0.11829999999999999</v>
      </c>
      <c r="Y1236" s="150">
        <f t="shared" si="73"/>
        <v>1.01</v>
      </c>
      <c r="Z1236" s="152"/>
      <c r="AC1236" s="86"/>
      <c r="AD1236" s="86"/>
      <c r="AE1236" s="86"/>
      <c r="AF1236" s="86"/>
    </row>
    <row r="1237" spans="1:32" ht="14.25" customHeight="1" x14ac:dyDescent="0.25">
      <c r="A1237" s="196">
        <v>689</v>
      </c>
      <c r="B1237" s="196" t="s">
        <v>6376</v>
      </c>
      <c r="C1237" s="196" t="s">
        <v>6377</v>
      </c>
      <c r="D1237" s="196" t="s">
        <v>2822</v>
      </c>
      <c r="E1237" s="196" t="s">
        <v>1877</v>
      </c>
      <c r="F1237" s="196">
        <v>2018</v>
      </c>
      <c r="H1237" s="196" t="s">
        <v>1878</v>
      </c>
      <c r="I1237" s="184" t="s">
        <v>1929</v>
      </c>
      <c r="J1237" s="52" t="s">
        <v>3854</v>
      </c>
      <c r="K1237" s="196" t="s">
        <v>1881</v>
      </c>
      <c r="L1237" s="184" t="s">
        <v>6378</v>
      </c>
      <c r="M1237" s="196">
        <v>400</v>
      </c>
      <c r="O1237" s="196" t="s">
        <v>5363</v>
      </c>
      <c r="P1237" s="17">
        <v>485</v>
      </c>
      <c r="Q1237" s="175">
        <f t="shared" si="75"/>
        <v>5.3753000000000002</v>
      </c>
      <c r="R1237" s="199">
        <v>4.49</v>
      </c>
      <c r="T1237" s="55">
        <v>0.3</v>
      </c>
      <c r="U1237" s="149"/>
      <c r="V1237" s="151">
        <v>0.25</v>
      </c>
      <c r="W1237" s="149">
        <f t="shared" si="76"/>
        <v>4.49</v>
      </c>
      <c r="X1237" s="152">
        <f t="shared" si="74"/>
        <v>0.33529999999999999</v>
      </c>
      <c r="Y1237" s="150">
        <f t="shared" si="73"/>
        <v>1.01</v>
      </c>
      <c r="Z1237" s="152"/>
      <c r="AC1237" s="86"/>
      <c r="AD1237" s="86"/>
      <c r="AE1237" s="86"/>
      <c r="AF1237" s="86"/>
    </row>
    <row r="1238" spans="1:32" ht="13.5" customHeight="1" x14ac:dyDescent="0.25">
      <c r="A1238" s="196">
        <v>634</v>
      </c>
      <c r="B1238" s="196" t="s">
        <v>6379</v>
      </c>
      <c r="C1238" s="196" t="s">
        <v>6380</v>
      </c>
      <c r="D1238" s="196" t="s">
        <v>2609</v>
      </c>
      <c r="F1238" s="196">
        <v>2015</v>
      </c>
      <c r="H1238" s="196" t="s">
        <v>1878</v>
      </c>
      <c r="I1238" s="184" t="s">
        <v>1929</v>
      </c>
      <c r="J1238" s="52" t="s">
        <v>3854</v>
      </c>
      <c r="K1238" s="196" t="s">
        <v>1881</v>
      </c>
      <c r="L1238" s="184" t="s">
        <v>6381</v>
      </c>
      <c r="M1238" s="196">
        <v>352</v>
      </c>
      <c r="O1238" s="196" t="s">
        <v>5364</v>
      </c>
      <c r="P1238" s="17">
        <v>306</v>
      </c>
      <c r="Q1238" s="175">
        <f t="shared" si="75"/>
        <v>2.2830000000000004</v>
      </c>
      <c r="R1238" s="199">
        <v>1.6</v>
      </c>
      <c r="T1238" s="55">
        <v>0.3</v>
      </c>
      <c r="U1238" s="149"/>
      <c r="V1238" s="149">
        <v>0.25</v>
      </c>
      <c r="W1238" s="149">
        <f t="shared" si="76"/>
        <v>1.6</v>
      </c>
      <c r="X1238" s="152">
        <f t="shared" si="74"/>
        <v>0.13300000000000001</v>
      </c>
      <c r="Y1238" s="150">
        <f t="shared" si="73"/>
        <v>1.01</v>
      </c>
      <c r="Z1238" s="152"/>
      <c r="AC1238" s="86"/>
      <c r="AD1238" s="86"/>
      <c r="AE1238" s="86"/>
      <c r="AF1238" s="86"/>
    </row>
    <row r="1239" spans="1:32" ht="17.25" customHeight="1" x14ac:dyDescent="0.25">
      <c r="A1239" s="196">
        <v>704</v>
      </c>
      <c r="B1239" s="196" t="s">
        <v>6382</v>
      </c>
      <c r="C1239" s="196" t="s">
        <v>6383</v>
      </c>
      <c r="D1239" s="196" t="s">
        <v>2901</v>
      </c>
      <c r="E1239" s="196" t="s">
        <v>1913</v>
      </c>
      <c r="F1239" s="196">
        <v>2010</v>
      </c>
      <c r="H1239" s="196" t="s">
        <v>2734</v>
      </c>
      <c r="I1239" s="184" t="s">
        <v>1929</v>
      </c>
      <c r="J1239" s="52"/>
      <c r="K1239" s="196" t="s">
        <v>1881</v>
      </c>
      <c r="L1239" s="184" t="s">
        <v>6384</v>
      </c>
      <c r="O1239" s="196" t="s">
        <v>5365</v>
      </c>
      <c r="P1239" s="17">
        <v>170</v>
      </c>
      <c r="Q1239" s="175">
        <f t="shared" si="75"/>
        <v>3.6633000000000004</v>
      </c>
      <c r="R1239" s="199">
        <v>2.89</v>
      </c>
      <c r="T1239" s="55">
        <v>0.3</v>
      </c>
      <c r="U1239" s="149"/>
      <c r="V1239" s="151">
        <v>0.25</v>
      </c>
      <c r="W1239" s="149">
        <f t="shared" si="76"/>
        <v>2.89</v>
      </c>
      <c r="X1239" s="152">
        <f t="shared" si="74"/>
        <v>0.2233</v>
      </c>
      <c r="Y1239" s="150">
        <f t="shared" si="73"/>
        <v>1.01</v>
      </c>
      <c r="Z1239" s="152"/>
      <c r="AC1239" s="86"/>
      <c r="AD1239" s="86"/>
      <c r="AE1239" s="86"/>
      <c r="AF1239" s="86"/>
    </row>
    <row r="1240" spans="1:32" ht="17.25" customHeight="1" x14ac:dyDescent="0.25">
      <c r="A1240" s="196">
        <v>1395</v>
      </c>
      <c r="B1240" s="196" t="s">
        <v>6385</v>
      </c>
      <c r="C1240" s="196" t="s">
        <v>6386</v>
      </c>
      <c r="D1240" s="196" t="s">
        <v>2257</v>
      </c>
      <c r="E1240" s="196" t="s">
        <v>1921</v>
      </c>
      <c r="F1240" s="196">
        <v>2011</v>
      </c>
      <c r="H1240" s="196" t="s">
        <v>1878</v>
      </c>
      <c r="I1240" s="184" t="s">
        <v>1929</v>
      </c>
      <c r="J1240" s="52" t="s">
        <v>3854</v>
      </c>
      <c r="K1240" s="196" t="s">
        <v>1881</v>
      </c>
      <c r="L1240" s="184" t="s">
        <v>6387</v>
      </c>
      <c r="M1240" s="196">
        <v>448</v>
      </c>
      <c r="O1240" s="196" t="s">
        <v>5366</v>
      </c>
      <c r="P1240" s="17">
        <v>291</v>
      </c>
      <c r="Q1240" s="175">
        <f t="shared" si="75"/>
        <v>2.1759999999999997</v>
      </c>
      <c r="R1240" s="199">
        <v>1.5</v>
      </c>
      <c r="T1240" s="55">
        <v>0.3</v>
      </c>
      <c r="U1240" s="149"/>
      <c r="V1240" s="149">
        <v>0.25</v>
      </c>
      <c r="W1240" s="149">
        <f t="shared" si="76"/>
        <v>1.5</v>
      </c>
      <c r="X1240" s="152">
        <f t="shared" si="74"/>
        <v>0.126</v>
      </c>
      <c r="Y1240" s="150">
        <f t="shared" si="73"/>
        <v>1.01</v>
      </c>
      <c r="Z1240" s="152"/>
      <c r="AC1240" s="86"/>
      <c r="AD1240" s="86"/>
      <c r="AE1240" s="86"/>
      <c r="AF1240" s="86"/>
    </row>
    <row r="1241" spans="1:32" x14ac:dyDescent="0.25">
      <c r="A1241" s="196">
        <v>2522</v>
      </c>
      <c r="B1241" s="196" t="s">
        <v>6388</v>
      </c>
      <c r="C1241" s="196" t="s">
        <v>6389</v>
      </c>
      <c r="D1241" s="196" t="s">
        <v>1912</v>
      </c>
      <c r="E1241" s="196" t="s">
        <v>1921</v>
      </c>
      <c r="F1241" s="196">
        <v>2008</v>
      </c>
      <c r="H1241" s="196" t="s">
        <v>1878</v>
      </c>
      <c r="I1241" s="184" t="s">
        <v>1914</v>
      </c>
      <c r="K1241" s="196" t="s">
        <v>1881</v>
      </c>
      <c r="L1241" s="184" t="s">
        <v>6390</v>
      </c>
      <c r="M1241" s="196">
        <v>510</v>
      </c>
      <c r="O1241" s="196" t="s">
        <v>5367</v>
      </c>
      <c r="P1241" s="17">
        <v>415</v>
      </c>
      <c r="Q1241" s="175">
        <f t="shared" si="75"/>
        <v>0.51749999999999996</v>
      </c>
      <c r="R1241" s="199">
        <v>0.25</v>
      </c>
      <c r="T1241" s="197"/>
      <c r="U1241" s="149"/>
      <c r="V1241" s="151">
        <v>0.25</v>
      </c>
      <c r="W1241" s="149">
        <f t="shared" si="76"/>
        <v>0.25</v>
      </c>
      <c r="X1241" s="152">
        <f t="shared" si="74"/>
        <v>1.7500000000000002E-2</v>
      </c>
      <c r="Y1241" s="150">
        <f t="shared" si="73"/>
        <v>1.01</v>
      </c>
      <c r="Z1241" s="152"/>
      <c r="AC1241" s="154"/>
      <c r="AD1241" s="154"/>
      <c r="AE1241" s="154"/>
      <c r="AF1241" s="154"/>
    </row>
    <row r="1242" spans="1:32" x14ac:dyDescent="0.25">
      <c r="A1242" s="196">
        <v>2681</v>
      </c>
      <c r="B1242" s="196" t="s">
        <v>6391</v>
      </c>
      <c r="C1242" s="196" t="s">
        <v>6392</v>
      </c>
      <c r="D1242" s="196" t="s">
        <v>6393</v>
      </c>
      <c r="F1242" s="196">
        <v>2016</v>
      </c>
      <c r="H1242" s="196" t="s">
        <v>1878</v>
      </c>
      <c r="I1242" s="184" t="s">
        <v>1929</v>
      </c>
      <c r="J1242" s="52" t="s">
        <v>3854</v>
      </c>
      <c r="K1242" s="196" t="s">
        <v>1881</v>
      </c>
      <c r="L1242" s="184" t="s">
        <v>6394</v>
      </c>
      <c r="M1242" s="196">
        <v>240</v>
      </c>
      <c r="O1242" s="196" t="s">
        <v>5368</v>
      </c>
      <c r="P1242" s="17">
        <v>471</v>
      </c>
      <c r="Q1242" s="175">
        <f t="shared" si="75"/>
        <v>5.1612999999999998</v>
      </c>
      <c r="R1242" s="199">
        <v>4.29</v>
      </c>
      <c r="T1242" s="55">
        <v>0.3</v>
      </c>
      <c r="U1242" s="149"/>
      <c r="V1242" s="149">
        <v>0.25</v>
      </c>
      <c r="W1242" s="149">
        <f t="shared" si="76"/>
        <v>4.29</v>
      </c>
      <c r="X1242" s="152">
        <f t="shared" si="74"/>
        <v>0.32129999999999997</v>
      </c>
      <c r="Y1242" s="150">
        <f t="shared" si="73"/>
        <v>1.01</v>
      </c>
      <c r="Z1242" s="152"/>
      <c r="AC1242" s="86"/>
      <c r="AD1242" s="86"/>
      <c r="AE1242" s="86"/>
      <c r="AF1242" s="86"/>
    </row>
    <row r="1243" spans="1:32" x14ac:dyDescent="0.25">
      <c r="A1243" s="196">
        <v>2894</v>
      </c>
      <c r="C1243" s="196" t="s">
        <v>6395</v>
      </c>
      <c r="D1243" s="196" t="s">
        <v>6396</v>
      </c>
      <c r="E1243" s="196" t="s">
        <v>1913</v>
      </c>
      <c r="F1243" s="196">
        <v>2015</v>
      </c>
      <c r="H1243" s="196" t="s">
        <v>2734</v>
      </c>
      <c r="I1243" s="184" t="s">
        <v>1929</v>
      </c>
      <c r="J1243" s="52" t="s">
        <v>3854</v>
      </c>
      <c r="K1243" s="196" t="s">
        <v>1881</v>
      </c>
      <c r="L1243" s="184" t="s">
        <v>6397</v>
      </c>
      <c r="M1243" s="196">
        <v>50</v>
      </c>
      <c r="O1243" s="196" t="s">
        <v>5369</v>
      </c>
      <c r="P1243" s="17">
        <v>250</v>
      </c>
      <c r="Q1243" s="175">
        <f t="shared" si="75"/>
        <v>3.7703000000000002</v>
      </c>
      <c r="R1243" s="199">
        <v>2.99</v>
      </c>
      <c r="T1243" s="55">
        <v>0.3</v>
      </c>
      <c r="U1243" s="149"/>
      <c r="V1243" s="151">
        <v>0.25</v>
      </c>
      <c r="W1243" s="149">
        <f t="shared" si="76"/>
        <v>2.99</v>
      </c>
      <c r="X1243" s="152">
        <f t="shared" si="74"/>
        <v>0.2303</v>
      </c>
      <c r="Y1243" s="150">
        <f t="shared" si="73"/>
        <v>1.01</v>
      </c>
      <c r="Z1243" s="152"/>
      <c r="AC1243" s="86"/>
      <c r="AD1243" s="86"/>
      <c r="AE1243" s="86"/>
      <c r="AF1243" s="86"/>
    </row>
    <row r="1244" spans="1:32" x14ac:dyDescent="0.25">
      <c r="A1244" s="196">
        <v>593</v>
      </c>
      <c r="B1244" s="196" t="s">
        <v>6398</v>
      </c>
      <c r="C1244" s="196" t="s">
        <v>6399</v>
      </c>
      <c r="D1244" s="196" t="s">
        <v>4693</v>
      </c>
      <c r="H1244" s="196" t="s">
        <v>1878</v>
      </c>
      <c r="I1244" s="184" t="s">
        <v>1929</v>
      </c>
      <c r="K1244" s="196" t="s">
        <v>1881</v>
      </c>
      <c r="L1244" s="184" t="s">
        <v>6400</v>
      </c>
      <c r="M1244" s="196">
        <v>64</v>
      </c>
      <c r="O1244" s="196" t="s">
        <v>5370</v>
      </c>
      <c r="P1244" s="17">
        <v>177</v>
      </c>
      <c r="Q1244" s="175">
        <f t="shared" si="75"/>
        <v>3.4493</v>
      </c>
      <c r="R1244" s="199">
        <v>2.69</v>
      </c>
      <c r="T1244" s="55">
        <v>0.3</v>
      </c>
      <c r="U1244" s="149"/>
      <c r="V1244" s="149">
        <v>0.25</v>
      </c>
      <c r="W1244" s="149">
        <f t="shared" si="76"/>
        <v>2.69</v>
      </c>
      <c r="X1244" s="152">
        <f t="shared" si="74"/>
        <v>0.20929999999999999</v>
      </c>
      <c r="Y1244" s="150">
        <f t="shared" si="73"/>
        <v>1.01</v>
      </c>
      <c r="Z1244" s="152"/>
      <c r="AC1244" s="86"/>
      <c r="AD1244" s="86"/>
      <c r="AE1244" s="86"/>
      <c r="AF1244" s="86"/>
    </row>
    <row r="1245" spans="1:32" x14ac:dyDescent="0.25">
      <c r="A1245" s="196">
        <v>987</v>
      </c>
      <c r="B1245" s="196" t="s">
        <v>6401</v>
      </c>
      <c r="C1245" s="196" t="s">
        <v>6402</v>
      </c>
      <c r="D1245" s="196" t="s">
        <v>6403</v>
      </c>
      <c r="E1245" s="196" t="s">
        <v>1877</v>
      </c>
      <c r="F1245" s="196">
        <v>2012</v>
      </c>
      <c r="H1245" s="196" t="s">
        <v>1878</v>
      </c>
      <c r="I1245" s="184" t="s">
        <v>1929</v>
      </c>
      <c r="J1245" s="52" t="s">
        <v>3854</v>
      </c>
      <c r="K1245" s="196" t="s">
        <v>1881</v>
      </c>
      <c r="L1245" s="184" t="s">
        <v>6404</v>
      </c>
      <c r="M1245" s="196">
        <v>268</v>
      </c>
      <c r="O1245" s="196" t="s">
        <v>5371</v>
      </c>
      <c r="P1245" s="17">
        <v>391</v>
      </c>
      <c r="Q1245" s="175">
        <f t="shared" si="75"/>
        <v>3.7168000000000001</v>
      </c>
      <c r="R1245" s="199">
        <v>2.94</v>
      </c>
      <c r="T1245" s="55">
        <v>0.3</v>
      </c>
      <c r="U1245" s="149"/>
      <c r="V1245" s="151">
        <v>0.25</v>
      </c>
      <c r="W1245" s="149">
        <f t="shared" si="76"/>
        <v>2.94</v>
      </c>
      <c r="X1245" s="152">
        <f t="shared" si="74"/>
        <v>0.2268</v>
      </c>
      <c r="Y1245" s="150">
        <f t="shared" si="73"/>
        <v>1.01</v>
      </c>
      <c r="Z1245" s="152"/>
      <c r="AC1245" s="86"/>
      <c r="AD1245" s="86"/>
      <c r="AE1245" s="86"/>
      <c r="AF1245" s="86"/>
    </row>
    <row r="1246" spans="1:32" x14ac:dyDescent="0.25">
      <c r="A1246" s="196">
        <v>651</v>
      </c>
      <c r="B1246" s="196" t="s">
        <v>2115</v>
      </c>
      <c r="C1246" s="196" t="s">
        <v>6405</v>
      </c>
      <c r="D1246" s="196" t="s">
        <v>2117</v>
      </c>
      <c r="E1246" s="196" t="s">
        <v>1913</v>
      </c>
      <c r="F1246" s="196">
        <v>2013</v>
      </c>
      <c r="H1246" s="196" t="s">
        <v>1878</v>
      </c>
      <c r="I1246" s="184" t="s">
        <v>1929</v>
      </c>
      <c r="J1246" s="52" t="s">
        <v>3854</v>
      </c>
      <c r="K1246" s="196" t="s">
        <v>1881</v>
      </c>
      <c r="L1246" s="184" t="s">
        <v>6406</v>
      </c>
      <c r="M1246" s="196">
        <v>48</v>
      </c>
      <c r="O1246" s="196" t="s">
        <v>5372</v>
      </c>
      <c r="P1246" s="17">
        <v>222</v>
      </c>
      <c r="Q1246" s="175">
        <f t="shared" si="75"/>
        <v>3.5562999999999998</v>
      </c>
      <c r="R1246" s="199">
        <v>2.79</v>
      </c>
      <c r="T1246" s="55">
        <v>0.3</v>
      </c>
      <c r="U1246" s="149"/>
      <c r="V1246" s="149">
        <v>0.25</v>
      </c>
      <c r="W1246" s="149">
        <f t="shared" si="76"/>
        <v>2.79</v>
      </c>
      <c r="X1246" s="152">
        <f t="shared" si="74"/>
        <v>0.21629999999999999</v>
      </c>
      <c r="Y1246" s="150">
        <f t="shared" si="73"/>
        <v>1.01</v>
      </c>
      <c r="Z1246" s="152"/>
      <c r="AC1246" s="86"/>
      <c r="AD1246" s="86"/>
      <c r="AE1246" s="86"/>
      <c r="AF1246" s="86"/>
    </row>
    <row r="1247" spans="1:32" x14ac:dyDescent="0.25">
      <c r="A1247" s="196">
        <v>651</v>
      </c>
      <c r="B1247" s="196" t="s">
        <v>6407</v>
      </c>
      <c r="C1247" s="196" t="s">
        <v>6408</v>
      </c>
      <c r="D1247" s="196" t="s">
        <v>2117</v>
      </c>
      <c r="E1247" s="196" t="s">
        <v>1913</v>
      </c>
      <c r="F1247" s="196">
        <v>2014</v>
      </c>
      <c r="H1247" s="196" t="s">
        <v>1878</v>
      </c>
      <c r="I1247" s="184" t="s">
        <v>1929</v>
      </c>
      <c r="J1247" s="52" t="s">
        <v>3854</v>
      </c>
      <c r="K1247" s="196" t="s">
        <v>1881</v>
      </c>
      <c r="L1247" s="184" t="s">
        <v>6409</v>
      </c>
      <c r="M1247" s="196">
        <v>32</v>
      </c>
      <c r="O1247" s="196" t="s">
        <v>5373</v>
      </c>
      <c r="P1247" s="17">
        <v>135</v>
      </c>
      <c r="Q1247" s="175">
        <f t="shared" si="75"/>
        <v>3.2353000000000001</v>
      </c>
      <c r="R1247" s="199">
        <v>2.4900000000000002</v>
      </c>
      <c r="T1247" s="55">
        <v>0.3</v>
      </c>
      <c r="U1247" s="149"/>
      <c r="V1247" s="151">
        <v>0.25</v>
      </c>
      <c r="W1247" s="149">
        <f t="shared" si="76"/>
        <v>2.4900000000000002</v>
      </c>
      <c r="X1247" s="152">
        <f t="shared" si="74"/>
        <v>0.1953</v>
      </c>
      <c r="Y1247" s="150">
        <f t="shared" si="73"/>
        <v>1.01</v>
      </c>
      <c r="Z1247" s="152"/>
      <c r="AC1247" s="86"/>
      <c r="AD1247" s="86"/>
      <c r="AE1247" s="86"/>
      <c r="AF1247" s="86"/>
    </row>
    <row r="1248" spans="1:32" x14ac:dyDescent="0.25">
      <c r="A1248" s="196">
        <v>593</v>
      </c>
      <c r="B1248" s="196" t="s">
        <v>6410</v>
      </c>
      <c r="C1248" s="196" t="s">
        <v>6411</v>
      </c>
      <c r="D1248" s="196" t="s">
        <v>2117</v>
      </c>
      <c r="E1248" s="196" t="s">
        <v>1913</v>
      </c>
      <c r="F1248" s="196">
        <v>2013</v>
      </c>
      <c r="H1248" s="196" t="s">
        <v>2734</v>
      </c>
      <c r="I1248" s="184" t="s">
        <v>1929</v>
      </c>
      <c r="K1248" s="196" t="s">
        <v>1881</v>
      </c>
      <c r="L1248" s="184" t="s">
        <v>6412</v>
      </c>
      <c r="M1248" s="196">
        <v>66</v>
      </c>
      <c r="O1248" s="196" t="s">
        <v>5374</v>
      </c>
      <c r="P1248" s="17">
        <v>254</v>
      </c>
      <c r="Q1248" s="175">
        <f t="shared" si="75"/>
        <v>1.6303000000000001</v>
      </c>
      <c r="R1248" s="199">
        <v>0.99</v>
      </c>
      <c r="T1248" s="55">
        <v>0.3</v>
      </c>
      <c r="U1248" s="149"/>
      <c r="V1248" s="149">
        <v>0.25</v>
      </c>
      <c r="W1248" s="149">
        <f t="shared" si="76"/>
        <v>0.99</v>
      </c>
      <c r="X1248" s="152">
        <f t="shared" si="74"/>
        <v>9.0300000000000005E-2</v>
      </c>
      <c r="Y1248" s="150">
        <f t="shared" si="73"/>
        <v>1.01</v>
      </c>
      <c r="Z1248" s="152"/>
      <c r="AC1248" s="86"/>
      <c r="AD1248" s="86"/>
      <c r="AE1248" s="86"/>
      <c r="AF1248" s="86"/>
    </row>
    <row r="1249" spans="1:32" x14ac:dyDescent="0.25">
      <c r="A1249" s="196">
        <v>593</v>
      </c>
      <c r="B1249" s="196" t="s">
        <v>6410</v>
      </c>
      <c r="C1249" s="196" t="s">
        <v>6413</v>
      </c>
      <c r="D1249" s="196" t="s">
        <v>2117</v>
      </c>
      <c r="E1249" s="196" t="s">
        <v>1913</v>
      </c>
      <c r="F1249" s="196">
        <v>2013</v>
      </c>
      <c r="H1249" s="196" t="s">
        <v>2734</v>
      </c>
      <c r="I1249" s="184" t="s">
        <v>1929</v>
      </c>
      <c r="K1249" s="196" t="s">
        <v>1881</v>
      </c>
      <c r="L1249" s="184" t="s">
        <v>6414</v>
      </c>
      <c r="M1249" s="196">
        <v>66</v>
      </c>
      <c r="O1249" s="196" t="s">
        <v>5375</v>
      </c>
      <c r="P1249" s="17">
        <v>257</v>
      </c>
      <c r="Q1249" s="175">
        <f t="shared" si="75"/>
        <v>3.2353000000000001</v>
      </c>
      <c r="R1249" s="199">
        <v>2.4900000000000002</v>
      </c>
      <c r="T1249" s="55">
        <v>0.3</v>
      </c>
      <c r="U1249" s="149"/>
      <c r="V1249" s="151">
        <v>0.25</v>
      </c>
      <c r="W1249" s="149">
        <f t="shared" si="76"/>
        <v>2.4900000000000002</v>
      </c>
      <c r="X1249" s="152">
        <f t="shared" si="74"/>
        <v>0.1953</v>
      </c>
      <c r="Y1249" s="150">
        <f t="shared" si="73"/>
        <v>1.01</v>
      </c>
      <c r="Z1249" s="152"/>
      <c r="AC1249" s="86"/>
      <c r="AD1249" s="86"/>
      <c r="AE1249" s="86"/>
      <c r="AF1249" s="86"/>
    </row>
    <row r="1250" spans="1:32" x14ac:dyDescent="0.25">
      <c r="A1250" s="196">
        <v>765</v>
      </c>
      <c r="B1250" s="196" t="s">
        <v>6415</v>
      </c>
      <c r="C1250" s="196" t="s">
        <v>6416</v>
      </c>
      <c r="D1250" s="196" t="s">
        <v>2117</v>
      </c>
      <c r="F1250" s="196">
        <v>2016</v>
      </c>
      <c r="H1250" s="196" t="s">
        <v>1878</v>
      </c>
      <c r="I1250" s="184" t="s">
        <v>1929</v>
      </c>
      <c r="K1250" s="196" t="s">
        <v>1881</v>
      </c>
      <c r="L1250" s="184" t="s">
        <v>6417</v>
      </c>
      <c r="M1250" s="196">
        <v>64</v>
      </c>
      <c r="O1250" s="196" t="s">
        <v>5376</v>
      </c>
      <c r="P1250" s="17">
        <v>166</v>
      </c>
      <c r="Q1250" s="175">
        <f t="shared" si="75"/>
        <v>2.6575000000000002</v>
      </c>
      <c r="R1250" s="199">
        <v>1.95</v>
      </c>
      <c r="T1250" s="55">
        <v>0.3</v>
      </c>
      <c r="U1250" s="149"/>
      <c r="V1250" s="149">
        <v>0.25</v>
      </c>
      <c r="W1250" s="149">
        <f t="shared" si="76"/>
        <v>1.95</v>
      </c>
      <c r="X1250" s="152">
        <f t="shared" si="74"/>
        <v>0.1575</v>
      </c>
      <c r="Y1250" s="150">
        <f t="shared" si="73"/>
        <v>1.01</v>
      </c>
      <c r="Z1250" s="152"/>
      <c r="AC1250" s="86"/>
      <c r="AD1250" s="86"/>
      <c r="AE1250" s="86"/>
      <c r="AF1250" s="86"/>
    </row>
    <row r="1251" spans="1:32" x14ac:dyDescent="0.25">
      <c r="A1251" s="196">
        <v>765</v>
      </c>
      <c r="B1251" s="196" t="s">
        <v>6415</v>
      </c>
      <c r="C1251" s="196" t="s">
        <v>6418</v>
      </c>
      <c r="D1251" s="196" t="s">
        <v>2117</v>
      </c>
      <c r="F1251" s="196">
        <v>2016</v>
      </c>
      <c r="H1251" s="196" t="s">
        <v>1878</v>
      </c>
      <c r="I1251" s="184" t="s">
        <v>1929</v>
      </c>
      <c r="K1251" s="196" t="s">
        <v>1881</v>
      </c>
      <c r="L1251" s="184" t="s">
        <v>6419</v>
      </c>
      <c r="M1251" s="196">
        <v>64</v>
      </c>
      <c r="O1251" s="196" t="s">
        <v>5377</v>
      </c>
      <c r="P1251" s="17">
        <v>165</v>
      </c>
      <c r="Q1251" s="175">
        <f t="shared" si="75"/>
        <v>2.6575000000000002</v>
      </c>
      <c r="R1251" s="199">
        <v>1.95</v>
      </c>
      <c r="T1251" s="55">
        <v>0.3</v>
      </c>
      <c r="U1251" s="149"/>
      <c r="V1251" s="151">
        <v>0.25</v>
      </c>
      <c r="W1251" s="149">
        <f t="shared" si="76"/>
        <v>1.95</v>
      </c>
      <c r="X1251" s="152">
        <f t="shared" si="74"/>
        <v>0.1575</v>
      </c>
      <c r="Y1251" s="150">
        <f t="shared" si="73"/>
        <v>1.01</v>
      </c>
      <c r="Z1251" s="152"/>
      <c r="AC1251" s="86"/>
      <c r="AD1251" s="86"/>
      <c r="AE1251" s="86"/>
      <c r="AF1251" s="86"/>
    </row>
    <row r="1252" spans="1:32" x14ac:dyDescent="0.25">
      <c r="A1252" s="196">
        <v>2522</v>
      </c>
      <c r="B1252" s="196" t="s">
        <v>6420</v>
      </c>
      <c r="C1252" s="196" t="s">
        <v>6421</v>
      </c>
      <c r="D1252" s="196" t="s">
        <v>2209</v>
      </c>
      <c r="F1252" s="196">
        <v>1994</v>
      </c>
      <c r="H1252" s="196" t="s">
        <v>1878</v>
      </c>
      <c r="I1252" s="184" t="s">
        <v>1914</v>
      </c>
      <c r="K1252" s="196" t="s">
        <v>1881</v>
      </c>
      <c r="L1252" s="184" t="s">
        <v>6423</v>
      </c>
      <c r="M1252" s="196">
        <v>512</v>
      </c>
      <c r="O1252" s="196" t="s">
        <v>5378</v>
      </c>
      <c r="P1252" s="17">
        <v>334</v>
      </c>
      <c r="Q1252" s="175">
        <f t="shared" si="75"/>
        <v>0.98829999999999996</v>
      </c>
      <c r="R1252" s="199">
        <v>0.69</v>
      </c>
      <c r="T1252" s="149"/>
      <c r="U1252" s="149"/>
      <c r="V1252" s="149">
        <v>0.25</v>
      </c>
      <c r="W1252" s="149">
        <f t="shared" si="76"/>
        <v>0.69</v>
      </c>
      <c r="X1252" s="152">
        <f t="shared" si="74"/>
        <v>4.8299999999999996E-2</v>
      </c>
      <c r="Y1252" s="150">
        <f t="shared" si="73"/>
        <v>1.01</v>
      </c>
      <c r="Z1252" s="152"/>
      <c r="AC1252" s="86"/>
      <c r="AD1252" s="86"/>
      <c r="AE1252" s="86"/>
      <c r="AF1252" s="86"/>
    </row>
    <row r="1253" spans="1:32" x14ac:dyDescent="0.25">
      <c r="A1253" s="196">
        <v>2522</v>
      </c>
      <c r="B1253" s="196" t="s">
        <v>6424</v>
      </c>
      <c r="C1253" s="196" t="s">
        <v>6425</v>
      </c>
      <c r="D1253" s="196" t="s">
        <v>1912</v>
      </c>
      <c r="E1253" s="196" t="s">
        <v>2032</v>
      </c>
      <c r="F1253" s="196">
        <v>2014</v>
      </c>
      <c r="H1253" s="196" t="s">
        <v>1878</v>
      </c>
      <c r="I1253" s="184" t="s">
        <v>1879</v>
      </c>
      <c r="K1253" s="196" t="s">
        <v>1881</v>
      </c>
      <c r="L1253" s="184" t="s">
        <v>6426</v>
      </c>
      <c r="M1253" s="196">
        <v>480</v>
      </c>
      <c r="O1253" s="196" t="s">
        <v>5379</v>
      </c>
      <c r="P1253" s="17">
        <v>567</v>
      </c>
      <c r="Q1253" s="175">
        <f t="shared" si="75"/>
        <v>0.98829999999999996</v>
      </c>
      <c r="R1253" s="199">
        <v>0.69</v>
      </c>
      <c r="T1253" s="149"/>
      <c r="U1253" s="149"/>
      <c r="V1253" s="151">
        <v>0.25</v>
      </c>
      <c r="W1253" s="149">
        <f t="shared" si="76"/>
        <v>0.69</v>
      </c>
      <c r="X1253" s="152">
        <f t="shared" si="74"/>
        <v>4.8299999999999996E-2</v>
      </c>
      <c r="Y1253" s="150">
        <f t="shared" si="73"/>
        <v>1.01</v>
      </c>
      <c r="Z1253" s="152"/>
      <c r="AC1253" s="154"/>
      <c r="AD1253" s="154"/>
      <c r="AE1253" s="154"/>
      <c r="AF1253" s="154"/>
    </row>
    <row r="1254" spans="1:32" x14ac:dyDescent="0.25">
      <c r="A1254" s="196">
        <v>2522</v>
      </c>
      <c r="B1254" s="196" t="s">
        <v>6424</v>
      </c>
      <c r="C1254" s="196" t="s">
        <v>6427</v>
      </c>
      <c r="D1254" s="196" t="s">
        <v>1912</v>
      </c>
      <c r="E1254" s="196" t="s">
        <v>1921</v>
      </c>
      <c r="F1254" s="196">
        <v>2014</v>
      </c>
      <c r="H1254" s="196" t="s">
        <v>1878</v>
      </c>
      <c r="I1254" s="184" t="s">
        <v>1879</v>
      </c>
      <c r="K1254" s="196" t="s">
        <v>1881</v>
      </c>
      <c r="L1254" s="184" t="s">
        <v>6428</v>
      </c>
      <c r="M1254" s="196">
        <v>512</v>
      </c>
      <c r="O1254" s="196" t="s">
        <v>5380</v>
      </c>
      <c r="P1254" s="17">
        <v>582</v>
      </c>
      <c r="Q1254" s="175">
        <f t="shared" si="75"/>
        <v>1.3092999999999999</v>
      </c>
      <c r="R1254" s="199">
        <v>0.99</v>
      </c>
      <c r="T1254" s="149"/>
      <c r="U1254" s="149"/>
      <c r="V1254" s="149">
        <v>0.25</v>
      </c>
      <c r="W1254" s="149">
        <f t="shared" si="76"/>
        <v>0.99</v>
      </c>
      <c r="X1254" s="152">
        <f t="shared" si="74"/>
        <v>6.93E-2</v>
      </c>
      <c r="Y1254" s="150">
        <f t="shared" si="73"/>
        <v>1.01</v>
      </c>
      <c r="Z1254" s="152"/>
      <c r="AC1254" s="154"/>
      <c r="AD1254" s="154"/>
      <c r="AE1254" s="154"/>
      <c r="AF1254" s="154"/>
    </row>
    <row r="1255" spans="1:32" x14ac:dyDescent="0.25">
      <c r="A1255" s="196">
        <v>2522</v>
      </c>
      <c r="B1255" s="196" t="s">
        <v>6424</v>
      </c>
      <c r="C1255" s="196" t="s">
        <v>6429</v>
      </c>
      <c r="D1255" s="196" t="s">
        <v>1912</v>
      </c>
      <c r="E1255" s="196" t="s">
        <v>1921</v>
      </c>
      <c r="F1255" s="196">
        <v>2014</v>
      </c>
      <c r="H1255" s="196" t="s">
        <v>1878</v>
      </c>
      <c r="I1255" s="184" t="s">
        <v>1879</v>
      </c>
      <c r="K1255" s="196" t="s">
        <v>1881</v>
      </c>
      <c r="L1255" s="184" t="s">
        <v>6430</v>
      </c>
      <c r="M1255" s="196">
        <v>448</v>
      </c>
      <c r="O1255" s="196" t="s">
        <v>5381</v>
      </c>
      <c r="P1255" s="17">
        <v>582</v>
      </c>
      <c r="Q1255" s="175">
        <f t="shared" si="75"/>
        <v>1.8443000000000001</v>
      </c>
      <c r="R1255" s="199">
        <v>1.49</v>
      </c>
      <c r="T1255" s="149"/>
      <c r="U1255" s="149"/>
      <c r="V1255" s="151">
        <v>0.25</v>
      </c>
      <c r="W1255" s="149">
        <f t="shared" si="76"/>
        <v>1.49</v>
      </c>
      <c r="X1255" s="152">
        <f t="shared" si="74"/>
        <v>0.1043</v>
      </c>
      <c r="Y1255" s="150">
        <f t="shared" si="73"/>
        <v>1.01</v>
      </c>
      <c r="Z1255" s="152"/>
      <c r="AC1255" s="154"/>
      <c r="AD1255" s="154"/>
      <c r="AE1255" s="154"/>
      <c r="AF1255" s="154"/>
    </row>
    <row r="1256" spans="1:32" x14ac:dyDescent="0.25">
      <c r="A1256" s="196">
        <v>2522</v>
      </c>
      <c r="B1256" s="196" t="s">
        <v>6431</v>
      </c>
      <c r="C1256" s="196" t="s">
        <v>6432</v>
      </c>
      <c r="D1256" s="196" t="s">
        <v>1912</v>
      </c>
      <c r="E1256" s="196" t="s">
        <v>1913</v>
      </c>
      <c r="F1256" s="196">
        <v>2004</v>
      </c>
      <c r="H1256" s="196" t="s">
        <v>1878</v>
      </c>
      <c r="I1256" s="184" t="s">
        <v>1914</v>
      </c>
      <c r="K1256" s="196" t="s">
        <v>1881</v>
      </c>
      <c r="L1256" s="184" t="s">
        <v>6433</v>
      </c>
      <c r="M1256" s="196">
        <v>416</v>
      </c>
      <c r="O1256" s="196" t="s">
        <v>5382</v>
      </c>
      <c r="P1256" s="17">
        <v>364</v>
      </c>
      <c r="Q1256" s="175">
        <f t="shared" si="75"/>
        <v>0.77429999999999999</v>
      </c>
      <c r="R1256" s="199">
        <v>0.49</v>
      </c>
      <c r="T1256" s="149"/>
      <c r="U1256" s="149"/>
      <c r="V1256" s="149">
        <v>0.25</v>
      </c>
      <c r="W1256" s="149">
        <f t="shared" si="76"/>
        <v>0.49</v>
      </c>
      <c r="X1256" s="152">
        <f t="shared" si="74"/>
        <v>3.4299999999999997E-2</v>
      </c>
      <c r="Y1256" s="150">
        <f t="shared" si="73"/>
        <v>1.01</v>
      </c>
      <c r="Z1256" s="152"/>
      <c r="AC1256" s="154"/>
      <c r="AD1256" s="154"/>
      <c r="AE1256" s="154"/>
      <c r="AF1256" s="154"/>
    </row>
    <row r="1257" spans="1:32" x14ac:dyDescent="0.25">
      <c r="Y1257" s="150">
        <f t="shared" si="73"/>
        <v>1.01</v>
      </c>
    </row>
    <row r="1258" spans="1:32" x14ac:dyDescent="0.25">
      <c r="A1258" s="196">
        <v>2522</v>
      </c>
      <c r="B1258" s="196" t="s">
        <v>6437</v>
      </c>
      <c r="C1258" s="196" t="s">
        <v>6438</v>
      </c>
      <c r="D1258" s="196" t="s">
        <v>1988</v>
      </c>
      <c r="F1258" s="196">
        <v>2014</v>
      </c>
      <c r="H1258" s="196" t="s">
        <v>1878</v>
      </c>
      <c r="I1258" s="184" t="s">
        <v>1929</v>
      </c>
      <c r="K1258" s="196" t="s">
        <v>1881</v>
      </c>
      <c r="M1258" s="196">
        <v>432</v>
      </c>
      <c r="O1258" s="196" t="s">
        <v>5384</v>
      </c>
      <c r="P1258" s="17">
        <v>312</v>
      </c>
      <c r="Q1258" s="175">
        <f t="shared" si="75"/>
        <v>0.98829999999999996</v>
      </c>
      <c r="R1258" s="199">
        <v>0.69</v>
      </c>
      <c r="T1258" s="149"/>
      <c r="U1258" s="149"/>
      <c r="V1258" s="149">
        <v>0.25</v>
      </c>
      <c r="W1258" s="149">
        <f t="shared" si="76"/>
        <v>0.69</v>
      </c>
      <c r="X1258" s="152">
        <f t="shared" si="74"/>
        <v>4.8299999999999996E-2</v>
      </c>
      <c r="Y1258" s="150">
        <f t="shared" si="73"/>
        <v>1.01</v>
      </c>
      <c r="Z1258" s="152"/>
      <c r="AC1258" s="154"/>
      <c r="AD1258" s="154"/>
      <c r="AE1258" s="154"/>
      <c r="AF1258" s="154"/>
    </row>
    <row r="1259" spans="1:32" x14ac:dyDescent="0.25">
      <c r="A1259" s="196">
        <v>2522</v>
      </c>
      <c r="B1259" s="196" t="s">
        <v>6439</v>
      </c>
      <c r="C1259" s="196" t="s">
        <v>6440</v>
      </c>
      <c r="D1259" s="196" t="s">
        <v>2054</v>
      </c>
      <c r="F1259" s="196">
        <v>2009</v>
      </c>
      <c r="H1259" s="196" t="s">
        <v>1878</v>
      </c>
      <c r="I1259" s="184" t="s">
        <v>1914</v>
      </c>
      <c r="K1259" s="196" t="s">
        <v>1881</v>
      </c>
      <c r="L1259" s="184" t="s">
        <v>6441</v>
      </c>
      <c r="M1259" s="196">
        <v>272</v>
      </c>
      <c r="O1259" s="196" t="s">
        <v>5385</v>
      </c>
      <c r="P1259" s="17">
        <v>267</v>
      </c>
      <c r="Q1259" s="175">
        <f t="shared" si="75"/>
        <v>3.3423000000000003</v>
      </c>
      <c r="R1259" s="199">
        <v>2.89</v>
      </c>
      <c r="T1259" s="149"/>
      <c r="U1259" s="149"/>
      <c r="V1259" s="151">
        <v>0.25</v>
      </c>
      <c r="W1259" s="149">
        <f t="shared" si="76"/>
        <v>2.89</v>
      </c>
      <c r="X1259" s="152">
        <f t="shared" si="74"/>
        <v>0.20230000000000001</v>
      </c>
      <c r="Y1259" s="150">
        <f t="shared" si="73"/>
        <v>1.01</v>
      </c>
      <c r="Z1259" s="152"/>
      <c r="AC1259" s="154"/>
      <c r="AD1259" s="154"/>
      <c r="AE1259" s="154"/>
      <c r="AF1259" s="154"/>
    </row>
    <row r="1260" spans="1:32" x14ac:dyDescent="0.25">
      <c r="A1260" s="196">
        <v>1386</v>
      </c>
      <c r="B1260" s="196" t="s">
        <v>6442</v>
      </c>
      <c r="C1260" s="196" t="s">
        <v>6443</v>
      </c>
      <c r="D1260" s="196" t="s">
        <v>2232</v>
      </c>
      <c r="E1260" s="196" t="s">
        <v>1913</v>
      </c>
      <c r="F1260" s="196">
        <v>2001</v>
      </c>
      <c r="H1260" s="196" t="s">
        <v>1878</v>
      </c>
      <c r="I1260" s="184" t="s">
        <v>1929</v>
      </c>
      <c r="J1260" s="52" t="s">
        <v>3854</v>
      </c>
      <c r="K1260" s="196" t="s">
        <v>1881</v>
      </c>
      <c r="L1260" s="184" t="s">
        <v>6444</v>
      </c>
      <c r="M1260" s="196">
        <v>352</v>
      </c>
      <c r="O1260" s="196" t="s">
        <v>5386</v>
      </c>
      <c r="P1260" s="17">
        <v>331</v>
      </c>
      <c r="Q1260" s="175">
        <f t="shared" si="75"/>
        <v>0.6673</v>
      </c>
      <c r="R1260" s="199">
        <v>0.39</v>
      </c>
      <c r="T1260" s="149"/>
      <c r="U1260" s="149"/>
      <c r="V1260" s="149">
        <v>0.25</v>
      </c>
      <c r="W1260" s="149">
        <f t="shared" si="76"/>
        <v>0.39</v>
      </c>
      <c r="X1260" s="152">
        <f t="shared" si="74"/>
        <v>2.7300000000000001E-2</v>
      </c>
      <c r="Y1260" s="150">
        <f t="shared" ref="Y1260:Y1323" si="77">(IF(Z1260&gt;AA1260,Z1260,AA1260)*0.08)+1.01</f>
        <v>1.01</v>
      </c>
      <c r="Z1260" s="152"/>
      <c r="AC1260" s="154"/>
      <c r="AD1260" s="154"/>
      <c r="AE1260" s="154"/>
      <c r="AF1260" s="154"/>
    </row>
    <row r="1261" spans="1:32" x14ac:dyDescent="0.25">
      <c r="A1261" s="196">
        <v>774</v>
      </c>
      <c r="B1261" s="196" t="s">
        <v>6445</v>
      </c>
      <c r="C1261" s="196" t="s">
        <v>6446</v>
      </c>
      <c r="D1261" s="196" t="s">
        <v>2209</v>
      </c>
      <c r="E1261" s="196" t="s">
        <v>1877</v>
      </c>
      <c r="F1261" s="196">
        <v>2001</v>
      </c>
      <c r="H1261" s="196" t="s">
        <v>1878</v>
      </c>
      <c r="I1261" s="184" t="s">
        <v>1914</v>
      </c>
      <c r="K1261" s="196" t="s">
        <v>1881</v>
      </c>
      <c r="M1261" s="196">
        <v>544</v>
      </c>
      <c r="O1261" s="196" t="s">
        <v>5387</v>
      </c>
      <c r="P1261" s="17">
        <v>421</v>
      </c>
      <c r="Q1261" s="175">
        <f t="shared" si="75"/>
        <v>0.51749999999999996</v>
      </c>
      <c r="R1261" s="199">
        <v>0.25</v>
      </c>
      <c r="T1261" s="149"/>
      <c r="U1261" s="149"/>
      <c r="V1261" s="151">
        <v>0.25</v>
      </c>
      <c r="W1261" s="149">
        <f t="shared" si="76"/>
        <v>0.25</v>
      </c>
      <c r="X1261" s="152">
        <f t="shared" si="74"/>
        <v>1.7500000000000002E-2</v>
      </c>
      <c r="Y1261" s="150">
        <f t="shared" si="77"/>
        <v>1.01</v>
      </c>
      <c r="Z1261" s="152"/>
      <c r="AC1261" s="154"/>
      <c r="AD1261" s="154"/>
      <c r="AE1261" s="154"/>
      <c r="AF1261" s="154"/>
    </row>
    <row r="1262" spans="1:32" x14ac:dyDescent="0.25">
      <c r="A1262" s="196">
        <v>796</v>
      </c>
      <c r="B1262" s="196" t="s">
        <v>6447</v>
      </c>
      <c r="C1262" s="196" t="s">
        <v>6448</v>
      </c>
      <c r="D1262" s="196" t="s">
        <v>2424</v>
      </c>
      <c r="E1262" s="196" t="s">
        <v>1899</v>
      </c>
      <c r="F1262" s="196">
        <v>2014</v>
      </c>
      <c r="H1262" s="196" t="s">
        <v>1878</v>
      </c>
      <c r="I1262" s="184" t="s">
        <v>1929</v>
      </c>
      <c r="J1262" s="52" t="s">
        <v>3854</v>
      </c>
      <c r="K1262" s="196" t="s">
        <v>1881</v>
      </c>
      <c r="L1262" s="184" t="s">
        <v>6449</v>
      </c>
      <c r="M1262" s="196">
        <v>368</v>
      </c>
      <c r="O1262" s="196" t="s">
        <v>5388</v>
      </c>
      <c r="P1262" s="17">
        <v>494</v>
      </c>
      <c r="Q1262" s="175">
        <f t="shared" si="75"/>
        <v>1.6303000000000001</v>
      </c>
      <c r="R1262" s="199">
        <v>0.99</v>
      </c>
      <c r="T1262" s="55">
        <v>0.3</v>
      </c>
      <c r="U1262" s="149"/>
      <c r="V1262" s="149">
        <v>0.25</v>
      </c>
      <c r="W1262" s="149">
        <f t="shared" si="76"/>
        <v>0.99</v>
      </c>
      <c r="X1262" s="152">
        <f t="shared" si="74"/>
        <v>9.0300000000000005E-2</v>
      </c>
      <c r="Y1262" s="150">
        <f t="shared" si="77"/>
        <v>1.01</v>
      </c>
      <c r="Z1262" s="152"/>
      <c r="AC1262" s="86"/>
      <c r="AD1262" s="86"/>
      <c r="AE1262" s="86"/>
      <c r="AF1262" s="86"/>
    </row>
    <row r="1263" spans="1:32" x14ac:dyDescent="0.25">
      <c r="A1263" s="196">
        <v>2593</v>
      </c>
      <c r="B1263" s="196" t="s">
        <v>6450</v>
      </c>
      <c r="C1263" s="196" t="s">
        <v>6451</v>
      </c>
      <c r="D1263" s="196" t="s">
        <v>4877</v>
      </c>
      <c r="E1263" s="196" t="s">
        <v>6452</v>
      </c>
      <c r="F1263" s="196">
        <v>2010</v>
      </c>
      <c r="H1263" s="196" t="s">
        <v>1878</v>
      </c>
      <c r="I1263" s="184" t="s">
        <v>1929</v>
      </c>
      <c r="J1263" s="52" t="s">
        <v>3854</v>
      </c>
      <c r="K1263" s="196" t="s">
        <v>1881</v>
      </c>
      <c r="L1263" s="184" t="s">
        <v>6453</v>
      </c>
      <c r="M1263" s="196">
        <v>480</v>
      </c>
      <c r="O1263" s="196" t="s">
        <v>5389</v>
      </c>
      <c r="P1263" s="17">
        <v>588</v>
      </c>
      <c r="Q1263" s="175">
        <f t="shared" si="75"/>
        <v>5.3753000000000002</v>
      </c>
      <c r="R1263" s="199">
        <v>4.49</v>
      </c>
      <c r="T1263" s="55">
        <v>0.3</v>
      </c>
      <c r="U1263" s="149"/>
      <c r="V1263" s="151">
        <v>0.25</v>
      </c>
      <c r="W1263" s="149">
        <f t="shared" si="76"/>
        <v>4.49</v>
      </c>
      <c r="X1263" s="152">
        <f t="shared" ref="X1263:X1326" si="78">(T1263+W1263)/100*7</f>
        <v>0.33529999999999999</v>
      </c>
      <c r="Y1263" s="150">
        <f t="shared" si="77"/>
        <v>1.01</v>
      </c>
      <c r="Z1263" s="152"/>
      <c r="AC1263" s="86"/>
      <c r="AD1263" s="86"/>
      <c r="AE1263" s="86"/>
      <c r="AF1263" s="86"/>
    </row>
    <row r="1264" spans="1:32" x14ac:dyDescent="0.25">
      <c r="A1264" s="196">
        <v>1927</v>
      </c>
      <c r="B1264" s="196" t="s">
        <v>6454</v>
      </c>
      <c r="C1264" s="196" t="s">
        <v>6455</v>
      </c>
      <c r="D1264" s="196" t="s">
        <v>6456</v>
      </c>
      <c r="F1264" s="196">
        <v>2018</v>
      </c>
      <c r="H1264" s="196" t="s">
        <v>1878</v>
      </c>
      <c r="I1264" s="184" t="s">
        <v>1929</v>
      </c>
      <c r="J1264" s="52" t="s">
        <v>3854</v>
      </c>
      <c r="K1264" s="196" t="s">
        <v>1881</v>
      </c>
      <c r="L1264" s="184" t="s">
        <v>6457</v>
      </c>
      <c r="M1264" s="196">
        <v>280</v>
      </c>
      <c r="O1264" s="196" t="s">
        <v>5390</v>
      </c>
      <c r="P1264" s="17">
        <v>287</v>
      </c>
      <c r="Q1264" s="175">
        <f t="shared" si="75"/>
        <v>4.3052999999999999</v>
      </c>
      <c r="R1264" s="199">
        <v>3.49</v>
      </c>
      <c r="T1264" s="55">
        <v>0.3</v>
      </c>
      <c r="U1264" s="149"/>
      <c r="V1264" s="149">
        <v>0.25</v>
      </c>
      <c r="W1264" s="149">
        <f t="shared" si="76"/>
        <v>3.49</v>
      </c>
      <c r="X1264" s="152">
        <f t="shared" si="78"/>
        <v>0.26530000000000004</v>
      </c>
      <c r="Y1264" s="150">
        <f t="shared" si="77"/>
        <v>1.01</v>
      </c>
      <c r="Z1264" s="152"/>
      <c r="AC1264" s="86"/>
      <c r="AD1264" s="86"/>
      <c r="AE1264" s="86"/>
      <c r="AF1264" s="86"/>
    </row>
    <row r="1265" spans="1:32" x14ac:dyDescent="0.25">
      <c r="A1265" s="196">
        <v>651</v>
      </c>
      <c r="B1265" s="196" t="s">
        <v>6458</v>
      </c>
      <c r="C1265" s="196" t="s">
        <v>6459</v>
      </c>
      <c r="D1265" s="196" t="s">
        <v>2117</v>
      </c>
      <c r="E1265" s="196" t="s">
        <v>1913</v>
      </c>
      <c r="F1265" s="196">
        <v>2016</v>
      </c>
      <c r="H1265" s="196" t="s">
        <v>1878</v>
      </c>
      <c r="I1265" s="184" t="s">
        <v>1929</v>
      </c>
      <c r="K1265" s="196" t="s">
        <v>1881</v>
      </c>
      <c r="L1265" s="184" t="s">
        <v>6460</v>
      </c>
      <c r="M1265" s="196">
        <v>30</v>
      </c>
      <c r="O1265" s="196" t="s">
        <v>5391</v>
      </c>
      <c r="P1265" s="17">
        <v>207</v>
      </c>
      <c r="Q1265" s="175">
        <f t="shared" si="75"/>
        <v>3.2353000000000001</v>
      </c>
      <c r="R1265" s="199">
        <v>2.4900000000000002</v>
      </c>
      <c r="T1265" s="55">
        <v>0.3</v>
      </c>
      <c r="U1265" s="149"/>
      <c r="V1265" s="151">
        <v>0.25</v>
      </c>
      <c r="W1265" s="149">
        <f t="shared" si="76"/>
        <v>2.4900000000000002</v>
      </c>
      <c r="X1265" s="152">
        <f t="shared" si="78"/>
        <v>0.1953</v>
      </c>
      <c r="Y1265" s="150">
        <f t="shared" si="77"/>
        <v>1.01</v>
      </c>
      <c r="Z1265" s="152"/>
      <c r="AC1265" s="86"/>
      <c r="AD1265" s="86"/>
      <c r="AE1265" s="86"/>
      <c r="AF1265" s="86"/>
    </row>
    <row r="1266" spans="1:32" x14ac:dyDescent="0.25">
      <c r="A1266" s="196">
        <v>704</v>
      </c>
      <c r="B1266" s="196" t="s">
        <v>6461</v>
      </c>
      <c r="C1266" s="196" t="s">
        <v>6462</v>
      </c>
      <c r="D1266" s="196" t="s">
        <v>4626</v>
      </c>
      <c r="E1266" s="196" t="s">
        <v>1877</v>
      </c>
      <c r="F1266" s="196">
        <v>2015</v>
      </c>
      <c r="H1266" s="196" t="s">
        <v>1878</v>
      </c>
      <c r="I1266" s="184" t="s">
        <v>1929</v>
      </c>
      <c r="K1266" s="196" t="s">
        <v>1881</v>
      </c>
      <c r="L1266" s="184" t="s">
        <v>6463</v>
      </c>
      <c r="M1266" s="196">
        <v>256</v>
      </c>
      <c r="O1266" s="196" t="s">
        <v>5392</v>
      </c>
      <c r="P1266" s="17">
        <v>344</v>
      </c>
      <c r="Q1266" s="175">
        <f t="shared" si="75"/>
        <v>3.2353000000000001</v>
      </c>
      <c r="R1266" s="199">
        <v>2.4900000000000002</v>
      </c>
      <c r="T1266" s="55">
        <v>0.3</v>
      </c>
      <c r="U1266" s="149"/>
      <c r="V1266" s="149">
        <v>0.25</v>
      </c>
      <c r="W1266" s="149">
        <f t="shared" si="76"/>
        <v>2.4900000000000002</v>
      </c>
      <c r="X1266" s="152">
        <f t="shared" si="78"/>
        <v>0.1953</v>
      </c>
      <c r="Y1266" s="150">
        <f t="shared" si="77"/>
        <v>1.01</v>
      </c>
      <c r="Z1266" s="152"/>
      <c r="AC1266" s="86"/>
      <c r="AD1266" s="86"/>
      <c r="AE1266" s="86"/>
      <c r="AF1266" s="86"/>
    </row>
    <row r="1267" spans="1:32" x14ac:dyDescent="0.25">
      <c r="A1267" s="196">
        <v>2518</v>
      </c>
      <c r="B1267" s="196" t="s">
        <v>6464</v>
      </c>
      <c r="C1267" s="196" t="s">
        <v>6465</v>
      </c>
      <c r="D1267" s="196" t="s">
        <v>1912</v>
      </c>
      <c r="E1267" s="196" t="s">
        <v>1877</v>
      </c>
      <c r="F1267" s="196">
        <v>2015</v>
      </c>
      <c r="H1267" s="196" t="s">
        <v>2734</v>
      </c>
      <c r="I1267" s="184" t="s">
        <v>1929</v>
      </c>
      <c r="J1267" s="52" t="s">
        <v>3854</v>
      </c>
      <c r="K1267" s="196" t="s">
        <v>1881</v>
      </c>
      <c r="L1267" s="184" t="s">
        <v>6466</v>
      </c>
      <c r="M1267" s="196">
        <v>450</v>
      </c>
      <c r="O1267" s="196" t="s">
        <v>5393</v>
      </c>
      <c r="P1267" s="17">
        <v>710</v>
      </c>
      <c r="Q1267" s="175">
        <f t="shared" ref="Q1267:Q1330" si="79">SUM(T1267:X1267)</f>
        <v>2.1653000000000002</v>
      </c>
      <c r="R1267" s="199">
        <v>1.49</v>
      </c>
      <c r="T1267" s="55">
        <v>0.3</v>
      </c>
      <c r="U1267" s="149"/>
      <c r="V1267" s="151">
        <v>0.25</v>
      </c>
      <c r="W1267" s="149">
        <f t="shared" ref="W1267:W1330" si="80">IF(R1267&gt;T1267,R1267,T1267)</f>
        <v>1.49</v>
      </c>
      <c r="X1267" s="152">
        <f t="shared" si="78"/>
        <v>0.12529999999999999</v>
      </c>
      <c r="Y1267" s="150">
        <f t="shared" si="77"/>
        <v>1.01</v>
      </c>
      <c r="Z1267" s="152"/>
      <c r="AC1267" s="86"/>
      <c r="AD1267" s="86"/>
      <c r="AE1267" s="86"/>
      <c r="AF1267" s="86"/>
    </row>
    <row r="1268" spans="1:32" x14ac:dyDescent="0.25">
      <c r="A1268" s="196">
        <v>651</v>
      </c>
      <c r="B1268" s="196" t="s">
        <v>2115</v>
      </c>
      <c r="C1268" s="196" t="s">
        <v>6467</v>
      </c>
      <c r="D1268" s="196" t="s">
        <v>2117</v>
      </c>
      <c r="E1268" s="196" t="s">
        <v>1913</v>
      </c>
      <c r="F1268" s="196">
        <v>2014</v>
      </c>
      <c r="H1268" s="196" t="s">
        <v>1878</v>
      </c>
      <c r="I1268" s="184" t="s">
        <v>1929</v>
      </c>
      <c r="K1268" s="196" t="s">
        <v>1881</v>
      </c>
      <c r="L1268" s="184" t="s">
        <v>6468</v>
      </c>
      <c r="M1268" s="196">
        <v>32</v>
      </c>
      <c r="O1268" s="196" t="s">
        <v>5394</v>
      </c>
      <c r="P1268" s="17">
        <v>138</v>
      </c>
      <c r="Q1268" s="175">
        <f t="shared" si="79"/>
        <v>4.3052999999999999</v>
      </c>
      <c r="R1268" s="199">
        <v>3.49</v>
      </c>
      <c r="T1268" s="55">
        <v>0.3</v>
      </c>
      <c r="U1268" s="149"/>
      <c r="V1268" s="149">
        <v>0.25</v>
      </c>
      <c r="W1268" s="149">
        <f t="shared" si="80"/>
        <v>3.49</v>
      </c>
      <c r="X1268" s="152">
        <f t="shared" si="78"/>
        <v>0.26530000000000004</v>
      </c>
      <c r="Y1268" s="150">
        <f t="shared" si="77"/>
        <v>1.01</v>
      </c>
      <c r="Z1268" s="152"/>
      <c r="AC1268" s="86"/>
      <c r="AD1268" s="86"/>
      <c r="AE1268" s="86"/>
      <c r="AF1268" s="86"/>
    </row>
    <row r="1269" spans="1:32" x14ac:dyDescent="0.25">
      <c r="A1269" s="196">
        <v>689</v>
      </c>
      <c r="B1269" s="196" t="s">
        <v>6469</v>
      </c>
      <c r="C1269" s="196" t="s">
        <v>6470</v>
      </c>
      <c r="D1269" s="196" t="s">
        <v>2530</v>
      </c>
      <c r="F1269" s="196">
        <v>2017</v>
      </c>
      <c r="H1269" s="196" t="s">
        <v>2734</v>
      </c>
      <c r="I1269" s="184" t="s">
        <v>1929</v>
      </c>
      <c r="J1269" s="52" t="s">
        <v>3854</v>
      </c>
      <c r="K1269" s="196" t="s">
        <v>1881</v>
      </c>
      <c r="L1269" s="184" t="s">
        <v>6471</v>
      </c>
      <c r="M1269" s="196">
        <v>466</v>
      </c>
      <c r="O1269" s="196" t="s">
        <v>5395</v>
      </c>
      <c r="P1269" s="17">
        <v>765</v>
      </c>
      <c r="Q1269" s="175">
        <f t="shared" si="79"/>
        <v>4.6262999999999996</v>
      </c>
      <c r="R1269" s="199">
        <v>3.79</v>
      </c>
      <c r="T1269" s="55">
        <v>0.3</v>
      </c>
      <c r="U1269" s="149"/>
      <c r="V1269" s="151">
        <v>0.25</v>
      </c>
      <c r="W1269" s="149">
        <f t="shared" si="80"/>
        <v>3.79</v>
      </c>
      <c r="X1269" s="152">
        <f t="shared" si="78"/>
        <v>0.2863</v>
      </c>
      <c r="Y1269" s="150">
        <f t="shared" si="77"/>
        <v>1.01</v>
      </c>
      <c r="Z1269" s="152"/>
      <c r="AC1269" s="86"/>
      <c r="AD1269" s="86"/>
      <c r="AE1269" s="86"/>
      <c r="AF1269" s="86"/>
    </row>
    <row r="1270" spans="1:32" x14ac:dyDescent="0.25">
      <c r="A1270" s="196">
        <v>651</v>
      </c>
      <c r="B1270" s="196" t="s">
        <v>6472</v>
      </c>
      <c r="C1270" s="196" t="s">
        <v>6473</v>
      </c>
      <c r="D1270" s="196" t="s">
        <v>2117</v>
      </c>
      <c r="E1270" s="196" t="s">
        <v>1913</v>
      </c>
      <c r="F1270" s="196">
        <v>2015</v>
      </c>
      <c r="H1270" s="196" t="s">
        <v>1878</v>
      </c>
      <c r="I1270" s="184" t="s">
        <v>1929</v>
      </c>
      <c r="K1270" s="196" t="s">
        <v>1881</v>
      </c>
      <c r="L1270" s="184" t="s">
        <v>6474</v>
      </c>
      <c r="M1270" s="196">
        <v>48</v>
      </c>
      <c r="O1270" s="196" t="s">
        <v>5396</v>
      </c>
      <c r="P1270" s="17">
        <v>209</v>
      </c>
      <c r="Q1270" s="175">
        <f t="shared" si="79"/>
        <v>1.8443000000000001</v>
      </c>
      <c r="R1270" s="199">
        <v>1.19</v>
      </c>
      <c r="T1270" s="55">
        <v>0.3</v>
      </c>
      <c r="U1270" s="149"/>
      <c r="V1270" s="149">
        <v>0.25</v>
      </c>
      <c r="W1270" s="149">
        <f t="shared" si="80"/>
        <v>1.19</v>
      </c>
      <c r="X1270" s="152">
        <f t="shared" si="78"/>
        <v>0.1043</v>
      </c>
      <c r="Y1270" s="150">
        <f t="shared" si="77"/>
        <v>1.01</v>
      </c>
      <c r="Z1270" s="152"/>
      <c r="AC1270" s="86"/>
      <c r="AD1270" s="86"/>
      <c r="AE1270" s="86"/>
      <c r="AF1270" s="86"/>
    </row>
    <row r="1271" spans="1:32" x14ac:dyDescent="0.25">
      <c r="A1271" s="196">
        <v>1332</v>
      </c>
      <c r="B1271" s="196" t="s">
        <v>6475</v>
      </c>
      <c r="C1271" s="196" t="s">
        <v>6476</v>
      </c>
      <c r="D1271" s="196" t="s">
        <v>2117</v>
      </c>
      <c r="E1271" s="196" t="s">
        <v>1913</v>
      </c>
      <c r="F1271" s="196">
        <v>2016</v>
      </c>
      <c r="H1271" s="196" t="s">
        <v>1878</v>
      </c>
      <c r="I1271" s="184" t="s">
        <v>1929</v>
      </c>
      <c r="K1271" s="196" t="s">
        <v>1881</v>
      </c>
      <c r="L1271" s="184" t="s">
        <v>6477</v>
      </c>
      <c r="M1271" s="196">
        <v>48</v>
      </c>
      <c r="O1271" s="196" t="s">
        <v>5397</v>
      </c>
      <c r="P1271" s="17">
        <v>203</v>
      </c>
      <c r="Q1271" s="175">
        <f t="shared" si="79"/>
        <v>1.9513</v>
      </c>
      <c r="R1271" s="199">
        <v>1.29</v>
      </c>
      <c r="T1271" s="55">
        <v>0.3</v>
      </c>
      <c r="U1271" s="149"/>
      <c r="V1271" s="151">
        <v>0.25</v>
      </c>
      <c r="W1271" s="149">
        <f t="shared" si="80"/>
        <v>1.29</v>
      </c>
      <c r="X1271" s="152">
        <f t="shared" si="78"/>
        <v>0.11130000000000001</v>
      </c>
      <c r="Y1271" s="150">
        <f t="shared" si="77"/>
        <v>1.01</v>
      </c>
      <c r="Z1271" s="152"/>
      <c r="AC1271" s="86"/>
      <c r="AD1271" s="86"/>
      <c r="AE1271" s="86"/>
      <c r="AF1271" s="86"/>
    </row>
    <row r="1272" spans="1:32" x14ac:dyDescent="0.25">
      <c r="A1272" s="196">
        <v>651</v>
      </c>
      <c r="B1272" s="196" t="s">
        <v>6478</v>
      </c>
      <c r="C1272" s="196" t="s">
        <v>6479</v>
      </c>
      <c r="D1272" s="196" t="s">
        <v>2117</v>
      </c>
      <c r="E1272" s="196" t="s">
        <v>1913</v>
      </c>
      <c r="F1272" s="196">
        <v>2014</v>
      </c>
      <c r="H1272" s="196" t="s">
        <v>1878</v>
      </c>
      <c r="I1272" s="184" t="s">
        <v>1929</v>
      </c>
      <c r="K1272" s="196" t="s">
        <v>1881</v>
      </c>
      <c r="L1272" s="184" t="s">
        <v>6480</v>
      </c>
      <c r="M1272" s="196">
        <v>32</v>
      </c>
      <c r="O1272" s="196" t="s">
        <v>5398</v>
      </c>
      <c r="P1272" s="17">
        <v>188</v>
      </c>
      <c r="Q1272" s="175">
        <f t="shared" si="79"/>
        <v>1.9513</v>
      </c>
      <c r="R1272" s="199">
        <v>1.29</v>
      </c>
      <c r="T1272" s="55">
        <v>0.3</v>
      </c>
      <c r="U1272" s="149"/>
      <c r="V1272" s="149">
        <v>0.25</v>
      </c>
      <c r="W1272" s="149">
        <f t="shared" si="80"/>
        <v>1.29</v>
      </c>
      <c r="X1272" s="152">
        <f t="shared" si="78"/>
        <v>0.11130000000000001</v>
      </c>
      <c r="Y1272" s="150">
        <f t="shared" si="77"/>
        <v>1.01</v>
      </c>
      <c r="Z1272" s="152"/>
      <c r="AC1272" s="86"/>
      <c r="AD1272" s="86"/>
      <c r="AE1272" s="86"/>
      <c r="AF1272" s="86"/>
    </row>
    <row r="1273" spans="1:32" x14ac:dyDescent="0.25">
      <c r="A1273" s="196">
        <v>704</v>
      </c>
      <c r="B1273" s="196" t="s">
        <v>6481</v>
      </c>
      <c r="C1273" s="196" t="s">
        <v>6482</v>
      </c>
      <c r="D1273" s="196" t="s">
        <v>6456</v>
      </c>
      <c r="F1273" s="196">
        <v>2017</v>
      </c>
      <c r="H1273" s="196" t="s">
        <v>1878</v>
      </c>
      <c r="I1273" s="184" t="s">
        <v>1929</v>
      </c>
      <c r="J1273" s="52" t="s">
        <v>3854</v>
      </c>
      <c r="K1273" s="196" t="s">
        <v>1881</v>
      </c>
      <c r="L1273" s="184" t="s">
        <v>6483</v>
      </c>
      <c r="M1273" s="196">
        <v>232</v>
      </c>
      <c r="O1273" s="196" t="s">
        <v>5399</v>
      </c>
      <c r="P1273" s="17">
        <v>238</v>
      </c>
      <c r="Q1273" s="175">
        <f t="shared" si="79"/>
        <v>3.2353000000000001</v>
      </c>
      <c r="R1273" s="199">
        <v>2.4900000000000002</v>
      </c>
      <c r="T1273" s="55">
        <v>0.3</v>
      </c>
      <c r="U1273" s="149"/>
      <c r="V1273" s="151">
        <v>0.25</v>
      </c>
      <c r="W1273" s="149">
        <f t="shared" si="80"/>
        <v>2.4900000000000002</v>
      </c>
      <c r="X1273" s="152">
        <f t="shared" si="78"/>
        <v>0.1953</v>
      </c>
      <c r="Y1273" s="150">
        <f t="shared" si="77"/>
        <v>1.01</v>
      </c>
      <c r="Z1273" s="152"/>
      <c r="AC1273" s="86"/>
      <c r="AD1273" s="86"/>
      <c r="AE1273" s="86"/>
      <c r="AF1273" s="86"/>
    </row>
    <row r="1274" spans="1:32" x14ac:dyDescent="0.25">
      <c r="A1274" s="196">
        <v>742</v>
      </c>
      <c r="B1274" s="196" t="s">
        <v>6484</v>
      </c>
      <c r="C1274" s="196" t="s">
        <v>6485</v>
      </c>
      <c r="D1274" s="196" t="s">
        <v>6456</v>
      </c>
      <c r="F1274" s="196">
        <v>2018</v>
      </c>
      <c r="H1274" s="196" t="s">
        <v>1878</v>
      </c>
      <c r="I1274" s="184" t="s">
        <v>1929</v>
      </c>
      <c r="J1274" s="52" t="s">
        <v>3854</v>
      </c>
      <c r="K1274" s="196" t="s">
        <v>1881</v>
      </c>
      <c r="L1274" s="184" t="s">
        <v>6486</v>
      </c>
      <c r="M1274" s="196">
        <v>280</v>
      </c>
      <c r="O1274" s="196" t="s">
        <v>5400</v>
      </c>
      <c r="P1274" s="17">
        <v>285</v>
      </c>
      <c r="Q1274" s="175">
        <f t="shared" si="79"/>
        <v>4.3052999999999999</v>
      </c>
      <c r="R1274" s="199">
        <v>3.49</v>
      </c>
      <c r="T1274" s="55">
        <v>0.3</v>
      </c>
      <c r="U1274" s="149"/>
      <c r="V1274" s="149">
        <v>0.25</v>
      </c>
      <c r="W1274" s="149">
        <f t="shared" si="80"/>
        <v>3.49</v>
      </c>
      <c r="X1274" s="152">
        <f t="shared" si="78"/>
        <v>0.26530000000000004</v>
      </c>
      <c r="Y1274" s="150">
        <f t="shared" si="77"/>
        <v>1.01</v>
      </c>
      <c r="Z1274" s="152"/>
      <c r="AC1274" s="86"/>
      <c r="AD1274" s="86"/>
      <c r="AE1274" s="86"/>
      <c r="AF1274" s="86"/>
    </row>
    <row r="1275" spans="1:32" x14ac:dyDescent="0.25">
      <c r="A1275" s="196">
        <v>1231</v>
      </c>
      <c r="B1275" s="196" t="s">
        <v>6487</v>
      </c>
      <c r="C1275" s="196" t="s">
        <v>6488</v>
      </c>
      <c r="D1275" s="196" t="s">
        <v>6489</v>
      </c>
      <c r="F1275" s="196">
        <v>2012</v>
      </c>
      <c r="H1275" s="196" t="s">
        <v>1878</v>
      </c>
      <c r="I1275" s="184" t="s">
        <v>1879</v>
      </c>
      <c r="J1275" s="52" t="s">
        <v>3854</v>
      </c>
      <c r="K1275" s="196" t="s">
        <v>1881</v>
      </c>
      <c r="L1275" s="184" t="s">
        <v>6490</v>
      </c>
      <c r="M1275" s="196">
        <v>304</v>
      </c>
      <c r="O1275" s="196" t="s">
        <v>5401</v>
      </c>
      <c r="P1275" s="17">
        <v>486</v>
      </c>
      <c r="Q1275" s="175">
        <f t="shared" si="79"/>
        <v>3.2353000000000001</v>
      </c>
      <c r="R1275" s="199">
        <v>2.4900000000000002</v>
      </c>
      <c r="T1275" s="55">
        <v>0.3</v>
      </c>
      <c r="U1275" s="149"/>
      <c r="V1275" s="151">
        <v>0.25</v>
      </c>
      <c r="W1275" s="149">
        <f t="shared" si="80"/>
        <v>2.4900000000000002</v>
      </c>
      <c r="X1275" s="152">
        <f t="shared" si="78"/>
        <v>0.1953</v>
      </c>
      <c r="Y1275" s="150">
        <f t="shared" si="77"/>
        <v>1.01</v>
      </c>
      <c r="Z1275" s="152"/>
      <c r="AC1275" s="86"/>
      <c r="AD1275" s="86"/>
      <c r="AE1275" s="86"/>
      <c r="AF1275" s="86"/>
    </row>
    <row r="1276" spans="1:32" x14ac:dyDescent="0.25">
      <c r="A1276" s="196">
        <v>1339</v>
      </c>
      <c r="B1276" s="196" t="s">
        <v>6491</v>
      </c>
      <c r="C1276" s="196" t="s">
        <v>6492</v>
      </c>
      <c r="D1276" s="196" t="s">
        <v>4693</v>
      </c>
      <c r="E1276" s="196" t="s">
        <v>1913</v>
      </c>
      <c r="F1276" s="196">
        <v>2016</v>
      </c>
      <c r="H1276" s="196" t="s">
        <v>1878</v>
      </c>
      <c r="I1276" s="184" t="s">
        <v>1929</v>
      </c>
      <c r="J1276" s="52" t="s">
        <v>3854</v>
      </c>
      <c r="K1276" s="196" t="s">
        <v>1881</v>
      </c>
      <c r="L1276" s="184" t="s">
        <v>6493</v>
      </c>
      <c r="M1276" s="196">
        <v>176</v>
      </c>
      <c r="O1276" s="196" t="s">
        <v>5402</v>
      </c>
      <c r="P1276" s="17">
        <v>521</v>
      </c>
      <c r="Q1276" s="175">
        <f t="shared" si="79"/>
        <v>2.1653000000000002</v>
      </c>
      <c r="R1276" s="199">
        <v>1.49</v>
      </c>
      <c r="T1276" s="55">
        <v>0.3</v>
      </c>
      <c r="U1276" s="149"/>
      <c r="V1276" s="149">
        <v>0.25</v>
      </c>
      <c r="W1276" s="149">
        <f t="shared" si="80"/>
        <v>1.49</v>
      </c>
      <c r="X1276" s="152">
        <f t="shared" si="78"/>
        <v>0.12529999999999999</v>
      </c>
      <c r="Y1276" s="150">
        <f t="shared" si="77"/>
        <v>1.01</v>
      </c>
      <c r="Z1276" s="152"/>
      <c r="AC1276" s="86"/>
      <c r="AD1276" s="86"/>
      <c r="AE1276" s="86"/>
      <c r="AF1276" s="86"/>
    </row>
    <row r="1277" spans="1:32" x14ac:dyDescent="0.25">
      <c r="A1277" s="196">
        <v>612</v>
      </c>
      <c r="C1277" s="196" t="s">
        <v>6494</v>
      </c>
      <c r="D1277" s="196" t="s">
        <v>6495</v>
      </c>
      <c r="E1277" s="182" t="s">
        <v>2032</v>
      </c>
      <c r="F1277" s="196">
        <v>1989</v>
      </c>
      <c r="H1277" s="196" t="s">
        <v>2734</v>
      </c>
      <c r="I1277" s="184" t="s">
        <v>1929</v>
      </c>
      <c r="K1277" s="196" t="s">
        <v>1881</v>
      </c>
      <c r="L1277" s="184" t="s">
        <v>6496</v>
      </c>
      <c r="M1277" s="196">
        <v>554</v>
      </c>
      <c r="O1277" s="196" t="s">
        <v>5403</v>
      </c>
      <c r="P1277" s="17">
        <v>856</v>
      </c>
      <c r="Q1277" s="175">
        <f t="shared" si="79"/>
        <v>5.3753000000000002</v>
      </c>
      <c r="R1277" s="199">
        <v>4.49</v>
      </c>
      <c r="T1277" s="55">
        <v>0.3</v>
      </c>
      <c r="U1277" s="149"/>
      <c r="V1277" s="151">
        <v>0.25</v>
      </c>
      <c r="W1277" s="149">
        <f t="shared" si="80"/>
        <v>4.49</v>
      </c>
      <c r="X1277" s="152">
        <f t="shared" si="78"/>
        <v>0.33529999999999999</v>
      </c>
      <c r="Y1277" s="150">
        <f t="shared" si="77"/>
        <v>1.01</v>
      </c>
      <c r="Z1277" s="152"/>
      <c r="AC1277" s="86"/>
      <c r="AD1277" s="86"/>
      <c r="AE1277" s="86"/>
      <c r="AF1277" s="86"/>
    </row>
    <row r="1278" spans="1:32" x14ac:dyDescent="0.25">
      <c r="A1278" s="196">
        <v>704</v>
      </c>
      <c r="B1278" s="196" t="s">
        <v>4624</v>
      </c>
      <c r="C1278" s="196" t="s">
        <v>6497</v>
      </c>
      <c r="D1278" s="196" t="s">
        <v>4626</v>
      </c>
      <c r="E1278" s="196" t="s">
        <v>1913</v>
      </c>
      <c r="F1278" s="196">
        <v>2014</v>
      </c>
      <c r="H1278" s="196" t="s">
        <v>2734</v>
      </c>
      <c r="I1278" s="184" t="s">
        <v>1929</v>
      </c>
      <c r="J1278" s="52" t="s">
        <v>3854</v>
      </c>
      <c r="K1278" s="196" t="s">
        <v>1881</v>
      </c>
      <c r="L1278" s="184" t="s">
        <v>6500</v>
      </c>
      <c r="M1278" s="196">
        <v>98</v>
      </c>
      <c r="O1278" s="196" t="s">
        <v>5404</v>
      </c>
      <c r="P1278" s="17">
        <v>179</v>
      </c>
      <c r="Q1278" s="175">
        <f t="shared" si="79"/>
        <v>4.3052999999999999</v>
      </c>
      <c r="R1278" s="199">
        <v>3.49</v>
      </c>
      <c r="T1278" s="55">
        <v>0.3</v>
      </c>
      <c r="U1278" s="149"/>
      <c r="V1278" s="149">
        <v>0.25</v>
      </c>
      <c r="W1278" s="149">
        <f t="shared" si="80"/>
        <v>3.49</v>
      </c>
      <c r="X1278" s="152">
        <f t="shared" si="78"/>
        <v>0.26530000000000004</v>
      </c>
      <c r="Y1278" s="150">
        <f t="shared" si="77"/>
        <v>1.01</v>
      </c>
      <c r="Z1278" s="152"/>
      <c r="AC1278" s="86"/>
      <c r="AD1278" s="86"/>
      <c r="AE1278" s="86"/>
      <c r="AF1278" s="86"/>
    </row>
    <row r="1279" spans="1:32" x14ac:dyDescent="0.25">
      <c r="A1279" s="196">
        <v>2894</v>
      </c>
      <c r="C1279" s="196" t="s">
        <v>6498</v>
      </c>
      <c r="D1279" s="196" t="s">
        <v>6499</v>
      </c>
      <c r="F1279" s="196">
        <v>2010</v>
      </c>
      <c r="H1279" s="196" t="s">
        <v>1878</v>
      </c>
      <c r="I1279" s="184" t="s">
        <v>1929</v>
      </c>
      <c r="K1279" s="196" t="s">
        <v>1881</v>
      </c>
      <c r="L1279" s="184" t="s">
        <v>6501</v>
      </c>
      <c r="M1279" s="196">
        <v>32</v>
      </c>
      <c r="O1279" s="196" t="s">
        <v>5405</v>
      </c>
      <c r="P1279" s="17">
        <v>99</v>
      </c>
      <c r="Q1279" s="175">
        <f t="shared" si="79"/>
        <v>3.2353000000000001</v>
      </c>
      <c r="R1279" s="199">
        <v>2.4900000000000002</v>
      </c>
      <c r="T1279" s="55">
        <v>0.3</v>
      </c>
      <c r="U1279" s="149"/>
      <c r="V1279" s="151">
        <v>0.25</v>
      </c>
      <c r="W1279" s="149">
        <f t="shared" si="80"/>
        <v>2.4900000000000002</v>
      </c>
      <c r="X1279" s="152">
        <f t="shared" si="78"/>
        <v>0.1953</v>
      </c>
      <c r="Y1279" s="150">
        <f t="shared" si="77"/>
        <v>1.01</v>
      </c>
      <c r="Z1279" s="152"/>
      <c r="AC1279" s="86"/>
      <c r="AD1279" s="86"/>
      <c r="AE1279" s="86"/>
      <c r="AF1279" s="86"/>
    </row>
    <row r="1280" spans="1:32" x14ac:dyDescent="0.25">
      <c r="A1280" s="196">
        <v>2894</v>
      </c>
      <c r="B1280" s="196" t="s">
        <v>6502</v>
      </c>
      <c r="C1280" s="196" t="s">
        <v>6503</v>
      </c>
      <c r="D1280" s="196" t="s">
        <v>2117</v>
      </c>
      <c r="E1280" s="196" t="s">
        <v>1913</v>
      </c>
      <c r="F1280" s="196">
        <v>2015</v>
      </c>
      <c r="H1280" s="196" t="s">
        <v>1878</v>
      </c>
      <c r="I1280" s="184" t="s">
        <v>1929</v>
      </c>
      <c r="K1280" s="196" t="s">
        <v>1881</v>
      </c>
      <c r="L1280" s="184" t="s">
        <v>6504</v>
      </c>
      <c r="M1280" s="196">
        <v>64</v>
      </c>
      <c r="O1280" s="196" t="s">
        <v>5406</v>
      </c>
      <c r="P1280" s="17">
        <v>251</v>
      </c>
      <c r="Q1280" s="175">
        <f t="shared" si="79"/>
        <v>2.4863</v>
      </c>
      <c r="R1280" s="199">
        <v>1.79</v>
      </c>
      <c r="T1280" s="55">
        <v>0.3</v>
      </c>
      <c r="U1280" s="149"/>
      <c r="V1280" s="149">
        <v>0.25</v>
      </c>
      <c r="W1280" s="149">
        <f t="shared" si="80"/>
        <v>1.79</v>
      </c>
      <c r="X1280" s="152">
        <f t="shared" si="78"/>
        <v>0.14629999999999999</v>
      </c>
      <c r="Y1280" s="150">
        <f t="shared" si="77"/>
        <v>1.01</v>
      </c>
      <c r="Z1280" s="152"/>
      <c r="AC1280" s="86"/>
      <c r="AD1280" s="86"/>
      <c r="AE1280" s="86"/>
      <c r="AF1280" s="86"/>
    </row>
    <row r="1281" spans="1:36" x14ac:dyDescent="0.25">
      <c r="A1281" s="196">
        <v>2522</v>
      </c>
      <c r="B1281" s="196" t="s">
        <v>4078</v>
      </c>
      <c r="C1281" s="196" t="s">
        <v>6505</v>
      </c>
      <c r="D1281" s="196" t="s">
        <v>1920</v>
      </c>
      <c r="H1281" s="196" t="s">
        <v>1878</v>
      </c>
      <c r="I1281" s="184" t="s">
        <v>1914</v>
      </c>
      <c r="K1281" s="196" t="s">
        <v>1881</v>
      </c>
      <c r="L1281" s="184" t="s">
        <v>6506</v>
      </c>
      <c r="M1281" s="196">
        <v>416</v>
      </c>
      <c r="O1281" s="196" t="s">
        <v>5407</v>
      </c>
      <c r="P1281" s="17">
        <v>365</v>
      </c>
      <c r="Q1281" s="175">
        <f t="shared" si="79"/>
        <v>0.89200000000000013</v>
      </c>
      <c r="R1281" s="199">
        <v>0.25</v>
      </c>
      <c r="T1281" s="55">
        <v>0.3</v>
      </c>
      <c r="U1281" s="149"/>
      <c r="V1281" s="151">
        <v>0.25</v>
      </c>
      <c r="W1281" s="149">
        <f t="shared" si="80"/>
        <v>0.3</v>
      </c>
      <c r="X1281" s="152">
        <f t="shared" si="78"/>
        <v>4.2000000000000003E-2</v>
      </c>
      <c r="Y1281" s="150">
        <f t="shared" si="77"/>
        <v>1.01</v>
      </c>
      <c r="Z1281" s="152"/>
      <c r="AC1281" s="86"/>
      <c r="AD1281" s="86"/>
      <c r="AE1281" s="86"/>
      <c r="AF1281" s="86"/>
    </row>
    <row r="1282" spans="1:36" x14ac:dyDescent="0.25">
      <c r="A1282" s="196">
        <v>985</v>
      </c>
      <c r="C1282" s="196" t="s">
        <v>6507</v>
      </c>
      <c r="D1282" s="196" t="s">
        <v>6367</v>
      </c>
      <c r="F1282" s="196">
        <v>2016</v>
      </c>
      <c r="H1282" s="196" t="s">
        <v>2734</v>
      </c>
      <c r="I1282" s="184" t="s">
        <v>1879</v>
      </c>
      <c r="J1282" s="52" t="s">
        <v>3854</v>
      </c>
      <c r="K1282" s="196" t="s">
        <v>1881</v>
      </c>
      <c r="L1282" s="184" t="s">
        <v>6508</v>
      </c>
      <c r="M1282" s="196">
        <v>146</v>
      </c>
      <c r="O1282" s="196" t="s">
        <v>5408</v>
      </c>
      <c r="P1282" s="17">
        <v>815</v>
      </c>
      <c r="Q1282" s="175">
        <f t="shared" si="79"/>
        <v>4.6262999999999996</v>
      </c>
      <c r="R1282" s="199">
        <v>3.79</v>
      </c>
      <c r="T1282" s="55">
        <v>0.3</v>
      </c>
      <c r="U1282" s="149"/>
      <c r="V1282" s="149">
        <v>0.25</v>
      </c>
      <c r="W1282" s="149">
        <f t="shared" si="80"/>
        <v>3.79</v>
      </c>
      <c r="X1282" s="152">
        <f t="shared" si="78"/>
        <v>0.2863</v>
      </c>
      <c r="Y1282" s="150">
        <f t="shared" si="77"/>
        <v>1.01</v>
      </c>
      <c r="Z1282" s="152"/>
      <c r="AC1282" s="86"/>
      <c r="AD1282" s="86"/>
      <c r="AE1282" s="86"/>
      <c r="AF1282" s="86"/>
    </row>
    <row r="1283" spans="1:36" x14ac:dyDescent="0.25">
      <c r="A1283" s="196">
        <v>1355</v>
      </c>
      <c r="C1283" s="196" t="s">
        <v>6509</v>
      </c>
      <c r="D1283" s="196" t="s">
        <v>2082</v>
      </c>
      <c r="F1283" s="196">
        <v>2018</v>
      </c>
      <c r="H1283" s="196" t="s">
        <v>2734</v>
      </c>
      <c r="I1283" s="184" t="s">
        <v>1929</v>
      </c>
      <c r="J1283" s="52" t="s">
        <v>3854</v>
      </c>
      <c r="K1283" s="196" t="s">
        <v>1881</v>
      </c>
      <c r="L1283" s="184" t="s">
        <v>6510</v>
      </c>
      <c r="M1283" s="196">
        <v>126</v>
      </c>
      <c r="O1283" s="196" t="s">
        <v>5409</v>
      </c>
      <c r="P1283" s="17">
        <v>605</v>
      </c>
      <c r="Q1283" s="175">
        <f t="shared" si="79"/>
        <v>5.4822999999999995</v>
      </c>
      <c r="R1283" s="199">
        <v>4.59</v>
      </c>
      <c r="T1283" s="55">
        <v>0.3</v>
      </c>
      <c r="U1283" s="149"/>
      <c r="V1283" s="151">
        <v>0.25</v>
      </c>
      <c r="W1283" s="149">
        <f t="shared" si="80"/>
        <v>4.59</v>
      </c>
      <c r="X1283" s="152">
        <f t="shared" si="78"/>
        <v>0.34229999999999999</v>
      </c>
      <c r="Y1283" s="150">
        <f t="shared" si="77"/>
        <v>1.01</v>
      </c>
      <c r="Z1283" s="152"/>
      <c r="AC1283" s="86"/>
      <c r="AD1283" s="86"/>
      <c r="AE1283" s="86"/>
      <c r="AF1283" s="86"/>
    </row>
    <row r="1284" spans="1:36" x14ac:dyDescent="0.25">
      <c r="A1284" s="196">
        <v>2906</v>
      </c>
      <c r="B1284" s="182" t="s">
        <v>6511</v>
      </c>
      <c r="C1284" s="196" t="s">
        <v>6512</v>
      </c>
      <c r="D1284" s="196" t="s">
        <v>2117</v>
      </c>
      <c r="E1284" s="196" t="s">
        <v>1913</v>
      </c>
      <c r="F1284" s="196">
        <v>2012</v>
      </c>
      <c r="H1284" s="196" t="s">
        <v>2734</v>
      </c>
      <c r="I1284" s="184" t="s">
        <v>1929</v>
      </c>
      <c r="J1284" s="52" t="s">
        <v>3854</v>
      </c>
      <c r="K1284" s="196" t="s">
        <v>1881</v>
      </c>
      <c r="L1284" s="184" t="s">
        <v>6513</v>
      </c>
      <c r="M1284" s="196">
        <v>82</v>
      </c>
      <c r="O1284" s="196" t="s">
        <v>5410</v>
      </c>
      <c r="P1284" s="17">
        <v>538</v>
      </c>
      <c r="Q1284" s="175">
        <f t="shared" si="79"/>
        <v>3.2353000000000001</v>
      </c>
      <c r="R1284" s="199">
        <v>2.4900000000000002</v>
      </c>
      <c r="T1284" s="55">
        <v>0.3</v>
      </c>
      <c r="U1284" s="149"/>
      <c r="V1284" s="149">
        <v>0.25</v>
      </c>
      <c r="W1284" s="149">
        <f t="shared" si="80"/>
        <v>2.4900000000000002</v>
      </c>
      <c r="X1284" s="152">
        <f t="shared" si="78"/>
        <v>0.1953</v>
      </c>
      <c r="Y1284" s="150">
        <f t="shared" si="77"/>
        <v>1.01</v>
      </c>
      <c r="Z1284" s="152"/>
      <c r="AC1284" s="86"/>
      <c r="AD1284" s="86"/>
      <c r="AE1284" s="86"/>
      <c r="AF1284" s="86"/>
    </row>
    <row r="1285" spans="1:36" x14ac:dyDescent="0.25">
      <c r="A1285" s="196">
        <v>614</v>
      </c>
      <c r="B1285" s="196" t="s">
        <v>6514</v>
      </c>
      <c r="C1285" s="196" t="s">
        <v>6515</v>
      </c>
      <c r="D1285" s="196" t="s">
        <v>6516</v>
      </c>
      <c r="E1285" s="196" t="s">
        <v>1913</v>
      </c>
      <c r="F1285" s="196">
        <v>2014</v>
      </c>
      <c r="H1285" s="196" t="s">
        <v>2734</v>
      </c>
      <c r="I1285" s="184" t="s">
        <v>1929</v>
      </c>
      <c r="K1285" s="196" t="s">
        <v>1881</v>
      </c>
      <c r="L1285" s="184" t="s">
        <v>6517</v>
      </c>
      <c r="M1285" s="196">
        <v>258</v>
      </c>
      <c r="O1285" s="196" t="s">
        <v>5411</v>
      </c>
      <c r="P1285" s="17">
        <v>1127</v>
      </c>
      <c r="Q1285" s="175">
        <f t="shared" si="79"/>
        <v>0.89200000000000013</v>
      </c>
      <c r="T1285" s="55">
        <v>0.3</v>
      </c>
      <c r="U1285" s="149"/>
      <c r="V1285" s="151">
        <v>0.25</v>
      </c>
      <c r="W1285" s="149">
        <f t="shared" si="80"/>
        <v>0.3</v>
      </c>
      <c r="X1285" s="152">
        <f t="shared" si="78"/>
        <v>4.2000000000000003E-2</v>
      </c>
      <c r="Y1285" s="150">
        <f t="shared" si="77"/>
        <v>1.01</v>
      </c>
      <c r="Z1285" s="152"/>
      <c r="AC1285" s="86"/>
      <c r="AD1285" s="86"/>
      <c r="AE1285" s="86"/>
      <c r="AF1285" s="86"/>
    </row>
    <row r="1286" spans="1:36" x14ac:dyDescent="0.25">
      <c r="A1286" s="196">
        <v>651</v>
      </c>
      <c r="B1286" s="196" t="s">
        <v>6518</v>
      </c>
      <c r="C1286" s="196" t="s">
        <v>6519</v>
      </c>
      <c r="D1286" s="196" t="s">
        <v>2117</v>
      </c>
      <c r="E1286" s="196" t="s">
        <v>1913</v>
      </c>
      <c r="F1286" s="196">
        <v>2015</v>
      </c>
      <c r="H1286" s="196" t="s">
        <v>2734</v>
      </c>
      <c r="I1286" s="184" t="s">
        <v>1929</v>
      </c>
      <c r="K1286" s="196" t="s">
        <v>1881</v>
      </c>
      <c r="L1286" s="184" t="s">
        <v>6520</v>
      </c>
      <c r="M1286" s="196">
        <v>138</v>
      </c>
      <c r="O1286" s="196" t="s">
        <v>5412</v>
      </c>
      <c r="P1286" s="17">
        <v>818</v>
      </c>
      <c r="Q1286" s="175">
        <f t="shared" si="79"/>
        <v>4.7333000000000007</v>
      </c>
      <c r="R1286" s="199">
        <v>3.89</v>
      </c>
      <c r="T1286" s="55">
        <v>0.3</v>
      </c>
      <c r="U1286" s="149"/>
      <c r="V1286" s="149">
        <v>0.25</v>
      </c>
      <c r="W1286" s="149">
        <f t="shared" si="80"/>
        <v>3.89</v>
      </c>
      <c r="X1286" s="152">
        <f t="shared" si="78"/>
        <v>0.29330000000000006</v>
      </c>
      <c r="Y1286" s="150">
        <f t="shared" si="77"/>
        <v>1.01</v>
      </c>
      <c r="Z1286" s="152"/>
      <c r="AC1286" s="86"/>
      <c r="AD1286" s="86"/>
      <c r="AE1286" s="86"/>
      <c r="AF1286" s="86"/>
    </row>
    <row r="1287" spans="1:36" x14ac:dyDescent="0.25">
      <c r="A1287" s="196">
        <v>1285</v>
      </c>
      <c r="C1287" s="196" t="s">
        <v>6525</v>
      </c>
      <c r="D1287" s="196" t="s">
        <v>6526</v>
      </c>
      <c r="F1287" s="196">
        <v>2004</v>
      </c>
      <c r="H1287" s="196" t="s">
        <v>2734</v>
      </c>
      <c r="I1287" s="184" t="s">
        <v>1929</v>
      </c>
      <c r="J1287" s="52" t="s">
        <v>3854</v>
      </c>
      <c r="K1287" s="196" t="s">
        <v>1881</v>
      </c>
      <c r="L1287" s="184" t="s">
        <v>6527</v>
      </c>
      <c r="M1287" s="196">
        <v>130</v>
      </c>
      <c r="O1287" s="196" t="s">
        <v>5414</v>
      </c>
      <c r="P1287" s="17">
        <v>887</v>
      </c>
      <c r="Q1287" s="175">
        <f t="shared" si="79"/>
        <v>2.9143000000000003</v>
      </c>
      <c r="R1287" s="199">
        <v>2.19</v>
      </c>
      <c r="T1287" s="55">
        <v>0.3</v>
      </c>
      <c r="U1287" s="149"/>
      <c r="V1287" s="151">
        <v>0.25</v>
      </c>
      <c r="W1287" s="149">
        <f t="shared" si="80"/>
        <v>2.19</v>
      </c>
      <c r="X1287" s="152">
        <f t="shared" si="78"/>
        <v>0.17429999999999998</v>
      </c>
      <c r="Y1287" s="150">
        <f t="shared" si="77"/>
        <v>1.01</v>
      </c>
      <c r="Z1287" s="152"/>
      <c r="AC1287" s="86"/>
      <c r="AD1287" s="86"/>
      <c r="AE1287" s="86"/>
      <c r="AF1287" s="86"/>
    </row>
    <row r="1288" spans="1:36" x14ac:dyDescent="0.25">
      <c r="A1288" s="196">
        <v>1285</v>
      </c>
      <c r="B1288" s="196" t="s">
        <v>6529</v>
      </c>
      <c r="C1288" s="196" t="s">
        <v>6528</v>
      </c>
      <c r="F1288" s="196">
        <v>2007</v>
      </c>
      <c r="H1288" s="196" t="s">
        <v>2734</v>
      </c>
      <c r="I1288" s="184" t="s">
        <v>1929</v>
      </c>
      <c r="J1288" s="52" t="s">
        <v>3854</v>
      </c>
      <c r="K1288" s="196" t="s">
        <v>1881</v>
      </c>
      <c r="L1288" s="184" t="s">
        <v>6530</v>
      </c>
      <c r="M1288" s="196">
        <v>50</v>
      </c>
      <c r="O1288" s="196" t="s">
        <v>5415</v>
      </c>
      <c r="P1288" s="17">
        <v>404</v>
      </c>
      <c r="Q1288" s="175">
        <f t="shared" si="79"/>
        <v>0.89200000000000013</v>
      </c>
      <c r="R1288" s="199">
        <v>0.15</v>
      </c>
      <c r="T1288" s="55">
        <v>0.3</v>
      </c>
      <c r="U1288" s="149"/>
      <c r="V1288" s="149">
        <v>0.25</v>
      </c>
      <c r="W1288" s="149">
        <f t="shared" si="80"/>
        <v>0.3</v>
      </c>
      <c r="X1288" s="152">
        <f t="shared" si="78"/>
        <v>4.2000000000000003E-2</v>
      </c>
      <c r="Y1288" s="150">
        <f t="shared" si="77"/>
        <v>1.01</v>
      </c>
      <c r="Z1288" s="152"/>
      <c r="AC1288" s="86"/>
      <c r="AD1288" s="86"/>
      <c r="AE1288" s="86"/>
      <c r="AF1288" s="86"/>
    </row>
    <row r="1289" spans="1:36" x14ac:dyDescent="0.25">
      <c r="A1289" s="196">
        <v>1299</v>
      </c>
      <c r="C1289" s="196" t="s">
        <v>6531</v>
      </c>
      <c r="D1289" s="196" t="s">
        <v>2117</v>
      </c>
      <c r="E1289" s="182" t="s">
        <v>1913</v>
      </c>
      <c r="F1289" s="196">
        <v>2016</v>
      </c>
      <c r="H1289" s="196" t="s">
        <v>5112</v>
      </c>
      <c r="I1289" s="184" t="s">
        <v>1929</v>
      </c>
      <c r="K1289" s="196" t="s">
        <v>1881</v>
      </c>
      <c r="L1289" s="184" t="s">
        <v>6532</v>
      </c>
      <c r="O1289" s="196" t="s">
        <v>5416</v>
      </c>
      <c r="P1289" s="17">
        <v>683</v>
      </c>
      <c r="Q1289" s="175">
        <f t="shared" si="79"/>
        <v>5.3753000000000002</v>
      </c>
      <c r="R1289" s="199">
        <v>4.49</v>
      </c>
      <c r="T1289" s="55">
        <v>0.3</v>
      </c>
      <c r="U1289" s="149"/>
      <c r="V1289" s="151">
        <v>0.25</v>
      </c>
      <c r="W1289" s="149">
        <f t="shared" si="80"/>
        <v>4.49</v>
      </c>
      <c r="X1289" s="152">
        <f t="shared" si="78"/>
        <v>0.33529999999999999</v>
      </c>
      <c r="Y1289" s="150">
        <f t="shared" si="77"/>
        <v>1.01</v>
      </c>
      <c r="Z1289" s="152"/>
      <c r="AC1289" s="86"/>
      <c r="AD1289" s="86"/>
      <c r="AE1289" s="86"/>
      <c r="AF1289" s="86"/>
    </row>
    <row r="1290" spans="1:36" x14ac:dyDescent="0.25">
      <c r="A1290" s="196">
        <v>1972</v>
      </c>
      <c r="B1290" s="196" t="s">
        <v>6533</v>
      </c>
      <c r="C1290" s="196" t="s">
        <v>6534</v>
      </c>
      <c r="D1290" s="196" t="s">
        <v>6535</v>
      </c>
      <c r="E1290" s="196" t="s">
        <v>1913</v>
      </c>
      <c r="F1290" s="196">
        <v>2016</v>
      </c>
      <c r="H1290" s="196" t="s">
        <v>2734</v>
      </c>
      <c r="I1290" s="184" t="s">
        <v>1929</v>
      </c>
      <c r="J1290" s="52" t="s">
        <v>3854</v>
      </c>
      <c r="K1290" s="196" t="s">
        <v>1881</v>
      </c>
      <c r="L1290" s="184" t="s">
        <v>6536</v>
      </c>
      <c r="M1290" s="196">
        <v>210</v>
      </c>
      <c r="O1290" s="196" t="s">
        <v>5417</v>
      </c>
      <c r="P1290" s="17">
        <v>755</v>
      </c>
      <c r="Q1290" s="175">
        <f t="shared" si="79"/>
        <v>2.1653000000000002</v>
      </c>
      <c r="R1290" s="199">
        <v>1.49</v>
      </c>
      <c r="T1290" s="55">
        <v>0.3</v>
      </c>
      <c r="U1290" s="149"/>
      <c r="V1290" s="149">
        <v>0.25</v>
      </c>
      <c r="W1290" s="149">
        <f t="shared" si="80"/>
        <v>1.49</v>
      </c>
      <c r="X1290" s="152">
        <f t="shared" si="78"/>
        <v>0.12529999999999999</v>
      </c>
      <c r="Y1290" s="150">
        <f t="shared" si="77"/>
        <v>1.01</v>
      </c>
      <c r="Z1290" s="152"/>
      <c r="AC1290" s="86"/>
      <c r="AD1290" s="86"/>
      <c r="AE1290" s="86"/>
      <c r="AF1290" s="86"/>
    </row>
    <row r="1291" spans="1:36" x14ac:dyDescent="0.25">
      <c r="A1291" s="196">
        <v>1940</v>
      </c>
      <c r="B1291" s="196" t="s">
        <v>6537</v>
      </c>
      <c r="C1291" s="196" t="s">
        <v>6538</v>
      </c>
      <c r="D1291" s="196" t="s">
        <v>3524</v>
      </c>
      <c r="E1291" s="196" t="s">
        <v>1913</v>
      </c>
      <c r="F1291" s="196">
        <v>1993</v>
      </c>
      <c r="H1291" s="196" t="s">
        <v>2734</v>
      </c>
      <c r="I1291" s="184" t="s">
        <v>6422</v>
      </c>
      <c r="K1291" s="196" t="s">
        <v>1881</v>
      </c>
      <c r="L1291" s="184" t="s">
        <v>6539</v>
      </c>
      <c r="M1291" s="196">
        <v>94</v>
      </c>
      <c r="O1291" s="196" t="s">
        <v>5418</v>
      </c>
      <c r="P1291" s="17">
        <v>615</v>
      </c>
      <c r="Q1291" s="175">
        <f t="shared" si="79"/>
        <v>0.59240000000000004</v>
      </c>
      <c r="R1291" s="199">
        <v>0.32</v>
      </c>
      <c r="T1291" s="149"/>
      <c r="U1291" s="149"/>
      <c r="V1291" s="151">
        <v>0.25</v>
      </c>
      <c r="W1291" s="149">
        <f t="shared" si="80"/>
        <v>0.32</v>
      </c>
      <c r="X1291" s="152">
        <f t="shared" si="78"/>
        <v>2.24E-2</v>
      </c>
      <c r="Y1291" s="150">
        <f t="shared" si="77"/>
        <v>1.01</v>
      </c>
      <c r="Z1291" s="152"/>
      <c r="AC1291" s="86"/>
      <c r="AD1291" s="86"/>
      <c r="AE1291" s="86"/>
      <c r="AF1291" s="86"/>
    </row>
    <row r="1292" spans="1:36" x14ac:dyDescent="0.25">
      <c r="A1292" s="196">
        <v>106</v>
      </c>
      <c r="B1292" s="196" t="s">
        <v>6540</v>
      </c>
      <c r="C1292" s="196" t="s">
        <v>6541</v>
      </c>
      <c r="D1292" s="196" t="s">
        <v>6542</v>
      </c>
      <c r="E1292" s="196" t="s">
        <v>1913</v>
      </c>
      <c r="F1292" s="196">
        <v>2004</v>
      </c>
      <c r="H1292" s="196" t="s">
        <v>2734</v>
      </c>
      <c r="I1292" s="184" t="s">
        <v>1929</v>
      </c>
      <c r="K1292" s="196" t="s">
        <v>1881</v>
      </c>
      <c r="L1292" s="184" t="s">
        <v>6543</v>
      </c>
      <c r="M1292" s="196">
        <v>182</v>
      </c>
      <c r="O1292" s="196" t="s">
        <v>5419</v>
      </c>
      <c r="P1292" s="17">
        <v>737</v>
      </c>
      <c r="Q1292" s="175">
        <f t="shared" si="79"/>
        <v>0.77429999999999999</v>
      </c>
      <c r="R1292" s="199">
        <v>0.49</v>
      </c>
      <c r="T1292" s="149"/>
      <c r="U1292" s="149"/>
      <c r="V1292" s="149">
        <v>0.25</v>
      </c>
      <c r="W1292" s="149">
        <f t="shared" si="80"/>
        <v>0.49</v>
      </c>
      <c r="X1292" s="152">
        <f t="shared" si="78"/>
        <v>3.4299999999999997E-2</v>
      </c>
      <c r="Y1292" s="150">
        <f t="shared" si="77"/>
        <v>1.01</v>
      </c>
      <c r="Z1292" s="152"/>
      <c r="AC1292" s="86"/>
      <c r="AD1292" s="86"/>
      <c r="AE1292" s="86"/>
      <c r="AF1292" s="86"/>
    </row>
    <row r="1293" spans="1:36" ht="26.4" x14ac:dyDescent="0.25">
      <c r="A1293" s="196">
        <v>18</v>
      </c>
      <c r="B1293" s="196" t="s">
        <v>6544</v>
      </c>
      <c r="C1293" s="196" t="s">
        <v>6545</v>
      </c>
      <c r="D1293" s="196" t="s">
        <v>6546</v>
      </c>
      <c r="H1293" s="196" t="s">
        <v>2734</v>
      </c>
      <c r="I1293" s="184" t="s">
        <v>1929</v>
      </c>
      <c r="J1293" s="50" t="s">
        <v>6359</v>
      </c>
      <c r="K1293" s="196" t="s">
        <v>1881</v>
      </c>
      <c r="L1293" s="184" t="s">
        <v>6547</v>
      </c>
      <c r="O1293" s="196" t="s">
        <v>5420</v>
      </c>
      <c r="P1293" s="17">
        <v>592</v>
      </c>
      <c r="Q1293" s="175">
        <f t="shared" si="79"/>
        <v>1.6303000000000001</v>
      </c>
      <c r="R1293" s="199">
        <v>0.99</v>
      </c>
      <c r="T1293" s="55">
        <v>0.3</v>
      </c>
      <c r="U1293" s="149"/>
      <c r="V1293" s="151">
        <v>0.25</v>
      </c>
      <c r="W1293" s="149">
        <f t="shared" si="80"/>
        <v>0.99</v>
      </c>
      <c r="X1293" s="152">
        <f t="shared" si="78"/>
        <v>9.0300000000000005E-2</v>
      </c>
      <c r="Y1293" s="150">
        <f t="shared" si="77"/>
        <v>1.01</v>
      </c>
      <c r="Z1293" s="152"/>
      <c r="AC1293" s="86"/>
      <c r="AD1293" s="86"/>
      <c r="AE1293" s="86"/>
      <c r="AF1293" s="86"/>
    </row>
    <row r="1294" spans="1:36" x14ac:dyDescent="0.25">
      <c r="Y1294" s="150">
        <f t="shared" si="77"/>
        <v>1.01</v>
      </c>
    </row>
    <row r="1295" spans="1:36" s="146" customFormat="1" x14ac:dyDescent="0.25">
      <c r="A1295" s="196">
        <v>624</v>
      </c>
      <c r="B1295" s="196" t="s">
        <v>6552</v>
      </c>
      <c r="C1295" s="196" t="s">
        <v>6551</v>
      </c>
      <c r="D1295" s="196" t="s">
        <v>3116</v>
      </c>
      <c r="E1295" s="196" t="s">
        <v>1913</v>
      </c>
      <c r="F1295" s="196">
        <v>1993</v>
      </c>
      <c r="G1295" s="196"/>
      <c r="H1295" s="196" t="s">
        <v>2734</v>
      </c>
      <c r="I1295" s="141" t="s">
        <v>1929</v>
      </c>
      <c r="J1295" s="52" t="s">
        <v>3854</v>
      </c>
      <c r="K1295" s="196" t="s">
        <v>1881</v>
      </c>
      <c r="L1295" s="141" t="s">
        <v>6553</v>
      </c>
      <c r="M1295" s="196">
        <v>114</v>
      </c>
      <c r="N1295" s="196"/>
      <c r="O1295" s="196" t="s">
        <v>5422</v>
      </c>
      <c r="P1295" s="144">
        <v>580</v>
      </c>
      <c r="Q1295" s="145">
        <f t="shared" si="79"/>
        <v>2.9249999999999998</v>
      </c>
      <c r="R1295" s="203">
        <v>2.2000000000000002</v>
      </c>
      <c r="S1295" s="203"/>
      <c r="T1295" s="78">
        <v>0.3</v>
      </c>
      <c r="U1295" s="151"/>
      <c r="V1295" s="151">
        <v>0.25</v>
      </c>
      <c r="W1295" s="151">
        <f t="shared" si="80"/>
        <v>2.2000000000000002</v>
      </c>
      <c r="X1295" s="152">
        <f t="shared" si="78"/>
        <v>0.17500000000000002</v>
      </c>
      <c r="Y1295" s="150">
        <f t="shared" si="77"/>
        <v>1.01</v>
      </c>
      <c r="Z1295" s="152"/>
      <c r="AA1295" s="148"/>
      <c r="AB1295" s="148"/>
      <c r="AC1295" s="87"/>
      <c r="AD1295" s="87"/>
      <c r="AE1295" s="87"/>
      <c r="AF1295" s="87"/>
      <c r="AJ1295" s="147"/>
    </row>
    <row r="1296" spans="1:36" x14ac:dyDescent="0.25">
      <c r="A1296" s="196">
        <v>1309</v>
      </c>
      <c r="B1296" s="196" t="s">
        <v>7094</v>
      </c>
      <c r="C1296" s="196" t="s">
        <v>7095</v>
      </c>
      <c r="D1296" s="196" t="s">
        <v>3524</v>
      </c>
      <c r="E1296" s="196" t="s">
        <v>1913</v>
      </c>
      <c r="F1296" s="196">
        <v>2016</v>
      </c>
      <c r="H1296" s="196" t="s">
        <v>2734</v>
      </c>
      <c r="I1296" s="184" t="s">
        <v>1929</v>
      </c>
      <c r="J1296" s="52" t="s">
        <v>3854</v>
      </c>
      <c r="K1296" s="196" t="s">
        <v>1881</v>
      </c>
      <c r="L1296" s="184" t="s">
        <v>7096</v>
      </c>
      <c r="M1296" s="196">
        <v>126</v>
      </c>
      <c r="O1296" s="196" t="s">
        <v>5423</v>
      </c>
      <c r="P1296" s="17">
        <v>543</v>
      </c>
      <c r="Q1296" s="175">
        <f t="shared" si="79"/>
        <v>3.2567000000000004</v>
      </c>
      <c r="R1296" s="199">
        <v>2.4900000000000002</v>
      </c>
      <c r="T1296" s="149">
        <v>0.32</v>
      </c>
      <c r="U1296" s="149"/>
      <c r="V1296" s="149">
        <v>0.25</v>
      </c>
      <c r="W1296" s="149">
        <f t="shared" si="80"/>
        <v>2.4900000000000002</v>
      </c>
      <c r="X1296" s="152">
        <f t="shared" si="78"/>
        <v>0.19669999999999999</v>
      </c>
      <c r="Y1296" s="150">
        <f t="shared" si="77"/>
        <v>1.01</v>
      </c>
      <c r="Z1296" s="152"/>
      <c r="AC1296" s="154"/>
      <c r="AD1296" s="154"/>
      <c r="AE1296" s="154"/>
      <c r="AF1296" s="154"/>
    </row>
    <row r="1297" spans="1:36" x14ac:dyDescent="0.25">
      <c r="A1297" s="196">
        <v>651</v>
      </c>
      <c r="C1297" s="196" t="s">
        <v>7097</v>
      </c>
      <c r="D1297" s="196" t="s">
        <v>2117</v>
      </c>
      <c r="E1297" s="196" t="s">
        <v>1913</v>
      </c>
      <c r="F1297" s="196">
        <v>2013</v>
      </c>
      <c r="H1297" s="196" t="s">
        <v>2734</v>
      </c>
      <c r="I1297" s="184" t="s">
        <v>1929</v>
      </c>
      <c r="K1297" s="196" t="s">
        <v>1881</v>
      </c>
      <c r="L1297" s="184" t="s">
        <v>7098</v>
      </c>
      <c r="M1297" s="196">
        <v>66</v>
      </c>
      <c r="O1297" s="196" t="s">
        <v>5424</v>
      </c>
      <c r="P1297" s="17">
        <v>478</v>
      </c>
      <c r="Q1297" s="175">
        <f t="shared" si="79"/>
        <v>4.4337</v>
      </c>
      <c r="R1297" s="199">
        <v>3.59</v>
      </c>
      <c r="T1297" s="149">
        <v>0.32</v>
      </c>
      <c r="U1297" s="149"/>
      <c r="V1297" s="151">
        <v>0.25</v>
      </c>
      <c r="W1297" s="149">
        <f t="shared" si="80"/>
        <v>3.59</v>
      </c>
      <c r="X1297" s="152">
        <f t="shared" si="78"/>
        <v>0.27369999999999994</v>
      </c>
      <c r="Y1297" s="150">
        <f t="shared" si="77"/>
        <v>1.01</v>
      </c>
      <c r="Z1297" s="152"/>
      <c r="AC1297" s="154"/>
      <c r="AD1297" s="154"/>
      <c r="AE1297" s="154"/>
      <c r="AF1297" s="154"/>
    </row>
    <row r="1298" spans="1:36" x14ac:dyDescent="0.25">
      <c r="A1298" s="196">
        <v>13</v>
      </c>
      <c r="C1298" s="196" t="s">
        <v>7099</v>
      </c>
      <c r="D1298" s="196" t="s">
        <v>7100</v>
      </c>
      <c r="H1298" s="196" t="s">
        <v>1878</v>
      </c>
      <c r="I1298" s="184" t="s">
        <v>1879</v>
      </c>
      <c r="J1298" s="52" t="s">
        <v>3854</v>
      </c>
      <c r="K1298" s="196" t="s">
        <v>1881</v>
      </c>
      <c r="L1298" s="184" t="s">
        <v>7101</v>
      </c>
      <c r="M1298" s="196">
        <v>116</v>
      </c>
      <c r="O1298" s="196" t="s">
        <v>5425</v>
      </c>
      <c r="P1298" s="17">
        <v>424</v>
      </c>
      <c r="Q1298" s="175">
        <f t="shared" si="79"/>
        <v>8.0716999999999999</v>
      </c>
      <c r="R1298" s="199">
        <v>6.99</v>
      </c>
      <c r="T1298" s="149">
        <v>0.32</v>
      </c>
      <c r="U1298" s="149"/>
      <c r="V1298" s="149">
        <v>0.25</v>
      </c>
      <c r="W1298" s="149">
        <f t="shared" si="80"/>
        <v>6.99</v>
      </c>
      <c r="X1298" s="152">
        <f t="shared" si="78"/>
        <v>0.51170000000000004</v>
      </c>
      <c r="Y1298" s="150">
        <f t="shared" si="77"/>
        <v>1.01</v>
      </c>
      <c r="Z1298" s="152"/>
      <c r="AC1298" s="154"/>
      <c r="AD1298" s="154"/>
      <c r="AE1298" s="154"/>
      <c r="AF1298" s="154"/>
    </row>
    <row r="1299" spans="1:36" x14ac:dyDescent="0.25">
      <c r="A1299" s="196">
        <v>735</v>
      </c>
      <c r="C1299" s="182" t="s">
        <v>7102</v>
      </c>
      <c r="D1299" s="196" t="s">
        <v>7103</v>
      </c>
      <c r="F1299" s="196">
        <v>2017</v>
      </c>
      <c r="H1299" s="196" t="s">
        <v>5119</v>
      </c>
      <c r="I1299" s="184" t="s">
        <v>1879</v>
      </c>
      <c r="K1299" s="196" t="s">
        <v>1881</v>
      </c>
      <c r="L1299" s="184" t="s">
        <v>7104</v>
      </c>
      <c r="M1299" s="196">
        <v>98</v>
      </c>
      <c r="O1299" s="196" t="s">
        <v>5426</v>
      </c>
      <c r="P1299" s="17">
        <v>321</v>
      </c>
      <c r="Q1299" s="175">
        <f t="shared" si="79"/>
        <v>12.351700000000001</v>
      </c>
      <c r="R1299" s="199">
        <v>10.99</v>
      </c>
      <c r="T1299" s="149">
        <v>0.32</v>
      </c>
      <c r="U1299" s="149"/>
      <c r="V1299" s="151">
        <v>0.25</v>
      </c>
      <c r="W1299" s="149">
        <f t="shared" si="80"/>
        <v>10.99</v>
      </c>
      <c r="X1299" s="152">
        <f t="shared" si="78"/>
        <v>0.79170000000000007</v>
      </c>
      <c r="Y1299" s="150">
        <f t="shared" si="77"/>
        <v>1.01</v>
      </c>
      <c r="Z1299" s="152"/>
      <c r="AC1299" s="154"/>
      <c r="AD1299" s="154"/>
      <c r="AE1299" s="154"/>
      <c r="AF1299" s="154"/>
    </row>
    <row r="1300" spans="1:36" x14ac:dyDescent="0.25">
      <c r="Y1300" s="150">
        <f t="shared" si="77"/>
        <v>1.01</v>
      </c>
    </row>
    <row r="1301" spans="1:36" x14ac:dyDescent="0.25">
      <c r="A1301" s="196">
        <v>2671</v>
      </c>
      <c r="C1301" s="196" t="s">
        <v>7107</v>
      </c>
      <c r="D1301" s="196" t="s">
        <v>2117</v>
      </c>
      <c r="E1301" s="196" t="s">
        <v>1913</v>
      </c>
      <c r="F1301" s="196">
        <v>2012</v>
      </c>
      <c r="H1301" s="196" t="s">
        <v>1878</v>
      </c>
      <c r="I1301" s="184" t="s">
        <v>1929</v>
      </c>
      <c r="J1301" s="52" t="s">
        <v>3854</v>
      </c>
      <c r="K1301" s="196" t="s">
        <v>1881</v>
      </c>
      <c r="L1301" s="184" t="s">
        <v>7108</v>
      </c>
      <c r="M1301" s="196">
        <v>132</v>
      </c>
      <c r="O1301" s="196" t="s">
        <v>5428</v>
      </c>
      <c r="P1301" s="17">
        <v>582</v>
      </c>
      <c r="Q1301" s="175">
        <f t="shared" si="79"/>
        <v>1.9727000000000001</v>
      </c>
      <c r="R1301" s="199">
        <v>1.29</v>
      </c>
      <c r="T1301" s="149">
        <v>0.32</v>
      </c>
      <c r="U1301" s="149"/>
      <c r="V1301" s="151">
        <v>0.25</v>
      </c>
      <c r="W1301" s="149">
        <f t="shared" si="80"/>
        <v>1.29</v>
      </c>
      <c r="X1301" s="152">
        <f t="shared" si="78"/>
        <v>0.11269999999999999</v>
      </c>
      <c r="Y1301" s="150">
        <f t="shared" si="77"/>
        <v>1.01</v>
      </c>
      <c r="Z1301" s="152"/>
      <c r="AC1301" s="154"/>
      <c r="AD1301" s="154"/>
      <c r="AE1301" s="154"/>
      <c r="AF1301" s="154"/>
    </row>
    <row r="1302" spans="1:36" x14ac:dyDescent="0.25">
      <c r="A1302" s="196">
        <v>2000</v>
      </c>
      <c r="C1302" s="196" t="s">
        <v>7109</v>
      </c>
      <c r="D1302" s="196" t="s">
        <v>2117</v>
      </c>
      <c r="F1302" s="196">
        <v>2016</v>
      </c>
      <c r="H1302" s="196" t="s">
        <v>5112</v>
      </c>
      <c r="I1302" s="184" t="s">
        <v>1929</v>
      </c>
      <c r="K1302" s="196" t="s">
        <v>1881</v>
      </c>
      <c r="L1302" s="184" t="s">
        <v>7110</v>
      </c>
      <c r="M1302" s="196">
        <v>48</v>
      </c>
      <c r="O1302" s="196" t="s">
        <v>5429</v>
      </c>
      <c r="P1302" s="17">
        <v>263</v>
      </c>
      <c r="Q1302" s="175">
        <f t="shared" si="79"/>
        <v>2.7109999999999999</v>
      </c>
      <c r="R1302" s="199">
        <v>1.98</v>
      </c>
      <c r="T1302" s="149">
        <v>0.32</v>
      </c>
      <c r="U1302" s="149"/>
      <c r="V1302" s="149">
        <v>0.25</v>
      </c>
      <c r="W1302" s="149">
        <f t="shared" si="80"/>
        <v>1.98</v>
      </c>
      <c r="X1302" s="152">
        <f t="shared" si="78"/>
        <v>0.161</v>
      </c>
      <c r="Y1302" s="150">
        <f t="shared" si="77"/>
        <v>1.01</v>
      </c>
      <c r="Z1302" s="152"/>
      <c r="AC1302" s="154"/>
      <c r="AD1302" s="154"/>
      <c r="AE1302" s="154"/>
      <c r="AF1302" s="154"/>
    </row>
    <row r="1303" spans="1:36" x14ac:dyDescent="0.25">
      <c r="A1303" s="196">
        <v>990</v>
      </c>
      <c r="B1303" s="182" t="s">
        <v>7111</v>
      </c>
      <c r="C1303" s="196" t="s">
        <v>7112</v>
      </c>
      <c r="D1303" s="196" t="s">
        <v>6546</v>
      </c>
      <c r="H1303" s="196" t="s">
        <v>2734</v>
      </c>
      <c r="I1303" s="184" t="s">
        <v>1929</v>
      </c>
      <c r="J1303" s="182" t="s">
        <v>7113</v>
      </c>
      <c r="K1303" s="196" t="s">
        <v>1881</v>
      </c>
      <c r="L1303" s="184" t="s">
        <v>7114</v>
      </c>
      <c r="O1303" s="196" t="s">
        <v>5430</v>
      </c>
      <c r="P1303" s="17">
        <v>1063</v>
      </c>
      <c r="Q1303" s="175">
        <f t="shared" si="79"/>
        <v>17.701699999999999</v>
      </c>
      <c r="R1303" s="199">
        <v>15.99</v>
      </c>
      <c r="T1303" s="149">
        <v>0.32</v>
      </c>
      <c r="U1303" s="149"/>
      <c r="V1303" s="151">
        <v>0.25</v>
      </c>
      <c r="W1303" s="149">
        <f t="shared" si="80"/>
        <v>15.99</v>
      </c>
      <c r="X1303" s="152">
        <f t="shared" si="78"/>
        <v>1.1416999999999999</v>
      </c>
      <c r="Y1303" s="150">
        <f t="shared" si="77"/>
        <v>1.01</v>
      </c>
      <c r="Z1303" s="152"/>
      <c r="AC1303" s="154"/>
      <c r="AD1303" s="154"/>
      <c r="AE1303" s="154"/>
      <c r="AF1303" s="154"/>
    </row>
    <row r="1304" spans="1:36" x14ac:dyDescent="0.25">
      <c r="A1304" s="196">
        <v>2000</v>
      </c>
      <c r="C1304" s="196" t="s">
        <v>7115</v>
      </c>
      <c r="D1304" s="196" t="s">
        <v>2117</v>
      </c>
      <c r="E1304" s="182" t="s">
        <v>1913</v>
      </c>
      <c r="F1304" s="196">
        <v>2016</v>
      </c>
      <c r="H1304" s="196" t="s">
        <v>1878</v>
      </c>
      <c r="I1304" s="184" t="s">
        <v>1929</v>
      </c>
      <c r="K1304" s="196" t="s">
        <v>1881</v>
      </c>
      <c r="L1304" s="184" t="s">
        <v>7116</v>
      </c>
      <c r="O1304" s="196" t="s">
        <v>5431</v>
      </c>
      <c r="P1304" s="17">
        <v>258</v>
      </c>
      <c r="Q1304" s="175">
        <f t="shared" si="79"/>
        <v>2.1867000000000001</v>
      </c>
      <c r="R1304" s="199">
        <v>1.49</v>
      </c>
      <c r="T1304" s="149">
        <v>0.32</v>
      </c>
      <c r="U1304" s="149"/>
      <c r="V1304" s="149">
        <v>0.25</v>
      </c>
      <c r="W1304" s="149">
        <f t="shared" si="80"/>
        <v>1.49</v>
      </c>
      <c r="X1304" s="152">
        <f t="shared" si="78"/>
        <v>0.12670000000000001</v>
      </c>
      <c r="Y1304" s="150">
        <f t="shared" si="77"/>
        <v>1.01</v>
      </c>
      <c r="Z1304" s="152"/>
      <c r="AC1304" s="154"/>
      <c r="AD1304" s="154"/>
      <c r="AE1304" s="154"/>
      <c r="AF1304" s="154"/>
    </row>
    <row r="1305" spans="1:36" x14ac:dyDescent="0.25">
      <c r="A1305" s="196">
        <v>2706</v>
      </c>
      <c r="B1305" s="182" t="s">
        <v>7117</v>
      </c>
      <c r="C1305" s="196" t="s">
        <v>7118</v>
      </c>
      <c r="D1305" s="196" t="s">
        <v>7119</v>
      </c>
      <c r="F1305" s="196">
        <v>2009</v>
      </c>
      <c r="H1305" s="196" t="s">
        <v>2734</v>
      </c>
      <c r="I1305" s="184" t="s">
        <v>1929</v>
      </c>
      <c r="J1305" s="52" t="s">
        <v>3854</v>
      </c>
      <c r="K1305" s="196" t="s">
        <v>1881</v>
      </c>
      <c r="L1305" s="184" t="s">
        <v>7120</v>
      </c>
      <c r="M1305" s="196">
        <v>162</v>
      </c>
      <c r="O1305" s="196" t="s">
        <v>5432</v>
      </c>
      <c r="P1305" s="17">
        <v>1030</v>
      </c>
      <c r="Q1305" s="175">
        <f t="shared" si="79"/>
        <v>9.1417000000000002</v>
      </c>
      <c r="R1305" s="199">
        <v>7.99</v>
      </c>
      <c r="T1305" s="149">
        <v>0.32</v>
      </c>
      <c r="U1305" s="149"/>
      <c r="V1305" s="151">
        <v>0.25</v>
      </c>
      <c r="W1305" s="149">
        <f t="shared" si="80"/>
        <v>7.99</v>
      </c>
      <c r="X1305" s="152">
        <f t="shared" si="78"/>
        <v>0.58170000000000011</v>
      </c>
      <c r="Y1305" s="150">
        <f t="shared" si="77"/>
        <v>1.01</v>
      </c>
      <c r="Z1305" s="152"/>
      <c r="AC1305" s="154"/>
      <c r="AD1305" s="154"/>
      <c r="AE1305" s="154"/>
      <c r="AF1305" s="154"/>
    </row>
    <row r="1306" spans="1:36" x14ac:dyDescent="0.25">
      <c r="A1306" s="196">
        <v>1282</v>
      </c>
      <c r="C1306" s="196" t="s">
        <v>7122</v>
      </c>
      <c r="D1306" s="196" t="s">
        <v>7121</v>
      </c>
      <c r="F1306" s="196">
        <v>2002</v>
      </c>
      <c r="H1306" s="196" t="s">
        <v>1878</v>
      </c>
      <c r="I1306" s="184" t="s">
        <v>1929</v>
      </c>
      <c r="J1306" s="52" t="s">
        <v>3854</v>
      </c>
      <c r="K1306" s="196" t="s">
        <v>1881</v>
      </c>
      <c r="L1306" s="184" t="s">
        <v>7123</v>
      </c>
      <c r="M1306" s="196">
        <v>296</v>
      </c>
      <c r="O1306" s="196" t="s">
        <v>5433</v>
      </c>
      <c r="P1306" s="17">
        <v>1541</v>
      </c>
      <c r="Q1306" s="175">
        <f t="shared" si="79"/>
        <v>8.0716999999999999</v>
      </c>
      <c r="R1306" s="199">
        <v>6.99</v>
      </c>
      <c r="T1306" s="149">
        <v>0.32</v>
      </c>
      <c r="U1306" s="149"/>
      <c r="V1306" s="149">
        <v>0.25</v>
      </c>
      <c r="W1306" s="149">
        <f t="shared" si="80"/>
        <v>6.99</v>
      </c>
      <c r="X1306" s="152">
        <f t="shared" si="78"/>
        <v>0.51170000000000004</v>
      </c>
      <c r="Y1306" s="150">
        <f t="shared" si="77"/>
        <v>1.01</v>
      </c>
      <c r="Z1306" s="152"/>
      <c r="AC1306" s="154"/>
      <c r="AD1306" s="154"/>
      <c r="AE1306" s="154"/>
      <c r="AF1306" s="154"/>
    </row>
    <row r="1307" spans="1:36" x14ac:dyDescent="0.25">
      <c r="A1307" s="196">
        <v>1389</v>
      </c>
      <c r="C1307" s="196" t="s">
        <v>7124</v>
      </c>
      <c r="D1307" s="196" t="s">
        <v>2117</v>
      </c>
      <c r="E1307" s="182" t="s">
        <v>1913</v>
      </c>
      <c r="F1307" s="196">
        <v>2011</v>
      </c>
      <c r="H1307" s="196" t="s">
        <v>1878</v>
      </c>
      <c r="I1307" s="184" t="s">
        <v>1929</v>
      </c>
      <c r="J1307" s="52" t="s">
        <v>3854</v>
      </c>
      <c r="K1307" s="196" t="s">
        <v>1881</v>
      </c>
      <c r="L1307" s="184" t="s">
        <v>7125</v>
      </c>
      <c r="M1307" s="196">
        <v>134</v>
      </c>
      <c r="O1307" s="196" t="s">
        <v>5434</v>
      </c>
      <c r="P1307" s="17">
        <v>824</v>
      </c>
      <c r="Q1307" s="175">
        <f t="shared" si="79"/>
        <v>2.8287</v>
      </c>
      <c r="R1307" s="199">
        <v>2.09</v>
      </c>
      <c r="T1307" s="149">
        <v>0.32</v>
      </c>
      <c r="U1307" s="149"/>
      <c r="V1307" s="151">
        <v>0.25</v>
      </c>
      <c r="W1307" s="149">
        <f t="shared" si="80"/>
        <v>2.09</v>
      </c>
      <c r="X1307" s="152">
        <f t="shared" si="78"/>
        <v>0.16869999999999996</v>
      </c>
      <c r="Y1307" s="150">
        <f t="shared" si="77"/>
        <v>1.01</v>
      </c>
      <c r="Z1307" s="152"/>
      <c r="AC1307" s="154"/>
      <c r="AD1307" s="154"/>
      <c r="AE1307" s="154"/>
      <c r="AF1307" s="154"/>
    </row>
    <row r="1308" spans="1:36" x14ac:dyDescent="0.25">
      <c r="A1308" s="196">
        <v>1389</v>
      </c>
      <c r="B1308" s="182" t="s">
        <v>7126</v>
      </c>
      <c r="C1308" s="196" t="s">
        <v>7127</v>
      </c>
      <c r="D1308" s="196" t="s">
        <v>6499</v>
      </c>
      <c r="H1308" s="196" t="s">
        <v>2734</v>
      </c>
      <c r="I1308" s="184" t="s">
        <v>1929</v>
      </c>
      <c r="J1308" s="182" t="s">
        <v>7113</v>
      </c>
      <c r="K1308" s="196" t="s">
        <v>1881</v>
      </c>
      <c r="L1308" s="184" t="s">
        <v>7128</v>
      </c>
      <c r="O1308" s="196" t="s">
        <v>5435</v>
      </c>
      <c r="P1308" s="17">
        <v>438</v>
      </c>
      <c r="Q1308" s="175">
        <f t="shared" si="79"/>
        <v>1.8656999999999999</v>
      </c>
      <c r="R1308" s="199">
        <v>1.19</v>
      </c>
      <c r="T1308" s="149">
        <v>0.32</v>
      </c>
      <c r="U1308" s="149"/>
      <c r="V1308" s="149">
        <v>0.25</v>
      </c>
      <c r="W1308" s="149">
        <f t="shared" si="80"/>
        <v>1.19</v>
      </c>
      <c r="X1308" s="152">
        <f t="shared" si="78"/>
        <v>0.1057</v>
      </c>
      <c r="Y1308" s="150">
        <f t="shared" si="77"/>
        <v>1.01</v>
      </c>
      <c r="Z1308" s="152"/>
      <c r="AC1308" s="154"/>
      <c r="AD1308" s="154"/>
      <c r="AE1308" s="154"/>
      <c r="AF1308" s="154"/>
    </row>
    <row r="1309" spans="1:36" x14ac:dyDescent="0.25">
      <c r="A1309" s="196">
        <v>651</v>
      </c>
      <c r="C1309" s="196" t="s">
        <v>7129</v>
      </c>
      <c r="D1309" s="196" t="s">
        <v>2117</v>
      </c>
      <c r="E1309" s="182" t="s">
        <v>1913</v>
      </c>
      <c r="F1309" s="196">
        <v>2013</v>
      </c>
      <c r="H1309" s="196" t="s">
        <v>2734</v>
      </c>
      <c r="I1309" s="184" t="s">
        <v>1929</v>
      </c>
      <c r="J1309" s="52" t="s">
        <v>3854</v>
      </c>
      <c r="K1309" s="196" t="s">
        <v>1881</v>
      </c>
      <c r="L1309" s="184" t="s">
        <v>7130</v>
      </c>
      <c r="M1309" s="196">
        <v>82</v>
      </c>
      <c r="O1309" s="196" t="s">
        <v>5436</v>
      </c>
      <c r="P1309" s="17">
        <v>481</v>
      </c>
      <c r="Q1309" s="175">
        <f t="shared" si="79"/>
        <v>2.4434999999999998</v>
      </c>
      <c r="R1309" s="199">
        <v>1.73</v>
      </c>
      <c r="T1309" s="149">
        <v>0.32</v>
      </c>
      <c r="U1309" s="149"/>
      <c r="V1309" s="151">
        <v>0.25</v>
      </c>
      <c r="W1309" s="149">
        <f t="shared" si="80"/>
        <v>1.73</v>
      </c>
      <c r="X1309" s="152">
        <f t="shared" si="78"/>
        <v>0.14349999999999999</v>
      </c>
      <c r="Y1309" s="150">
        <f t="shared" si="77"/>
        <v>1.01</v>
      </c>
      <c r="Z1309" s="152"/>
      <c r="AC1309" s="154"/>
      <c r="AD1309" s="154"/>
      <c r="AE1309" s="154"/>
      <c r="AF1309" s="154"/>
    </row>
    <row r="1310" spans="1:36" s="146" customFormat="1" x14ac:dyDescent="0.25">
      <c r="A1310" s="196">
        <v>2000</v>
      </c>
      <c r="B1310" s="196"/>
      <c r="C1310" s="196" t="s">
        <v>7131</v>
      </c>
      <c r="D1310" s="196" t="s">
        <v>2117</v>
      </c>
      <c r="E1310" s="196" t="s">
        <v>1913</v>
      </c>
      <c r="F1310" s="196">
        <v>2016</v>
      </c>
      <c r="G1310" s="196"/>
      <c r="H1310" s="196" t="s">
        <v>1878</v>
      </c>
      <c r="I1310" s="141" t="s">
        <v>1929</v>
      </c>
      <c r="J1310" s="196"/>
      <c r="K1310" s="196" t="s">
        <v>1881</v>
      </c>
      <c r="L1310" s="141" t="s">
        <v>7132</v>
      </c>
      <c r="M1310" s="196">
        <v>32</v>
      </c>
      <c r="N1310" s="196"/>
      <c r="O1310" s="196" t="s">
        <v>5437</v>
      </c>
      <c r="P1310" s="144">
        <v>176</v>
      </c>
      <c r="Q1310" s="145">
        <f t="shared" si="79"/>
        <v>3.1497000000000002</v>
      </c>
      <c r="R1310" s="203">
        <v>2.39</v>
      </c>
      <c r="S1310" s="203"/>
      <c r="T1310" s="151">
        <v>0.32</v>
      </c>
      <c r="U1310" s="151"/>
      <c r="V1310" s="149">
        <v>0.25</v>
      </c>
      <c r="W1310" s="151">
        <f t="shared" si="80"/>
        <v>2.39</v>
      </c>
      <c r="X1310" s="152">
        <f t="shared" si="78"/>
        <v>0.18969999999999998</v>
      </c>
      <c r="Y1310" s="150">
        <f t="shared" si="77"/>
        <v>1.01</v>
      </c>
      <c r="Z1310" s="152"/>
      <c r="AA1310" s="148"/>
      <c r="AB1310" s="148"/>
      <c r="AC1310" s="153"/>
      <c r="AD1310" s="153"/>
      <c r="AE1310" s="153"/>
      <c r="AF1310" s="153"/>
      <c r="AJ1310" s="147"/>
    </row>
    <row r="1311" spans="1:36" x14ac:dyDescent="0.25">
      <c r="A1311" s="196">
        <v>1717</v>
      </c>
      <c r="B1311" s="182" t="s">
        <v>7133</v>
      </c>
      <c r="C1311" s="196" t="s">
        <v>7134</v>
      </c>
      <c r="D1311" s="196" t="s">
        <v>2209</v>
      </c>
      <c r="F1311" s="196">
        <v>1999</v>
      </c>
      <c r="H1311" s="196" t="s">
        <v>1878</v>
      </c>
      <c r="I1311" s="184" t="s">
        <v>1879</v>
      </c>
      <c r="J1311" s="142"/>
      <c r="K1311" s="196" t="s">
        <v>1881</v>
      </c>
      <c r="L1311" s="184" t="s">
        <v>7135</v>
      </c>
      <c r="M1311" s="196">
        <v>156</v>
      </c>
      <c r="O1311" s="196" t="s">
        <v>5438</v>
      </c>
      <c r="P1311" s="17">
        <v>729</v>
      </c>
      <c r="Q1311" s="175">
        <f t="shared" si="79"/>
        <v>1.2237000000000002</v>
      </c>
      <c r="R1311" s="199">
        <v>0.59</v>
      </c>
      <c r="T1311" s="149">
        <v>0.32</v>
      </c>
      <c r="U1311" s="149"/>
      <c r="V1311" s="151">
        <v>0.25</v>
      </c>
      <c r="W1311" s="149">
        <f t="shared" si="80"/>
        <v>0.59</v>
      </c>
      <c r="X1311" s="152">
        <f t="shared" si="78"/>
        <v>6.3699999999999993E-2</v>
      </c>
      <c r="Y1311" s="150">
        <f t="shared" si="77"/>
        <v>1.01</v>
      </c>
      <c r="Z1311" s="152"/>
      <c r="AC1311" s="154"/>
      <c r="AD1311" s="154"/>
      <c r="AE1311" s="154"/>
      <c r="AF1311" s="154"/>
    </row>
    <row r="1312" spans="1:36" x14ac:dyDescent="0.25">
      <c r="A1312" s="196">
        <v>137</v>
      </c>
      <c r="B1312" s="182" t="s">
        <v>5745</v>
      </c>
      <c r="C1312" s="196" t="s">
        <v>7136</v>
      </c>
      <c r="D1312" s="196" t="s">
        <v>7137</v>
      </c>
      <c r="F1312" s="196">
        <v>2007</v>
      </c>
      <c r="H1312" s="196" t="s">
        <v>1878</v>
      </c>
      <c r="I1312" s="184" t="s">
        <v>1914</v>
      </c>
      <c r="K1312" s="196" t="s">
        <v>5748</v>
      </c>
      <c r="L1312" s="184" t="s">
        <v>7138</v>
      </c>
      <c r="M1312" s="196">
        <v>160</v>
      </c>
      <c r="O1312" s="196" t="s">
        <v>5439</v>
      </c>
      <c r="P1312" s="17">
        <v>467</v>
      </c>
      <c r="Q1312" s="175">
        <f t="shared" si="79"/>
        <v>3.7917000000000005</v>
      </c>
      <c r="R1312" s="199">
        <v>2.99</v>
      </c>
      <c r="T1312" s="149">
        <v>0.32</v>
      </c>
      <c r="U1312" s="149"/>
      <c r="V1312" s="149">
        <v>0.25</v>
      </c>
      <c r="W1312" s="149">
        <f t="shared" si="80"/>
        <v>2.99</v>
      </c>
      <c r="X1312" s="152">
        <f t="shared" si="78"/>
        <v>0.23169999999999999</v>
      </c>
      <c r="Y1312" s="150">
        <f t="shared" si="77"/>
        <v>1.01</v>
      </c>
      <c r="Z1312" s="152"/>
      <c r="AC1312" s="154"/>
      <c r="AD1312" s="154"/>
      <c r="AE1312" s="154"/>
      <c r="AF1312" s="154"/>
    </row>
    <row r="1313" spans="1:32" x14ac:dyDescent="0.25">
      <c r="A1313" s="196">
        <v>1320</v>
      </c>
      <c r="B1313" s="196" t="s">
        <v>7139</v>
      </c>
      <c r="C1313" s="196" t="s">
        <v>7140</v>
      </c>
      <c r="D1313" s="196" t="s">
        <v>5743</v>
      </c>
      <c r="F1313" s="196">
        <v>2009</v>
      </c>
      <c r="H1313" s="196" t="s">
        <v>2734</v>
      </c>
      <c r="I1313" s="184" t="s">
        <v>1929</v>
      </c>
      <c r="K1313" s="196" t="s">
        <v>1881</v>
      </c>
      <c r="L1313" s="184" t="s">
        <v>7141</v>
      </c>
      <c r="M1313" s="196">
        <v>394</v>
      </c>
      <c r="O1313" s="196" t="s">
        <v>5440</v>
      </c>
      <c r="P1313" s="17">
        <v>1381</v>
      </c>
      <c r="Q1313" s="175">
        <f t="shared" si="79"/>
        <v>5.7177000000000007</v>
      </c>
      <c r="R1313" s="199">
        <v>4.79</v>
      </c>
      <c r="T1313" s="149">
        <v>0.32</v>
      </c>
      <c r="U1313" s="149"/>
      <c r="V1313" s="151">
        <v>0.25</v>
      </c>
      <c r="W1313" s="149">
        <f t="shared" si="80"/>
        <v>4.79</v>
      </c>
      <c r="X1313" s="152">
        <f t="shared" si="78"/>
        <v>0.35770000000000002</v>
      </c>
      <c r="Y1313" s="150">
        <f t="shared" si="77"/>
        <v>1.01</v>
      </c>
      <c r="Z1313" s="152"/>
      <c r="AC1313" s="154"/>
      <c r="AD1313" s="154"/>
      <c r="AE1313" s="154"/>
      <c r="AF1313" s="154"/>
    </row>
    <row r="1314" spans="1:32" x14ac:dyDescent="0.25">
      <c r="A1314" s="196">
        <v>1927</v>
      </c>
      <c r="C1314" s="196" t="s">
        <v>7142</v>
      </c>
      <c r="D1314" s="196" t="s">
        <v>7143</v>
      </c>
      <c r="F1314" s="196">
        <v>2001</v>
      </c>
      <c r="H1314" s="196" t="s">
        <v>2734</v>
      </c>
      <c r="I1314" s="184" t="s">
        <v>1929</v>
      </c>
      <c r="K1314" s="196" t="s">
        <v>1881</v>
      </c>
      <c r="L1314" s="184" t="s">
        <v>7144</v>
      </c>
      <c r="M1314" s="196">
        <v>234</v>
      </c>
      <c r="O1314" s="196" t="s">
        <v>5441</v>
      </c>
      <c r="P1314" s="17">
        <v>1117</v>
      </c>
      <c r="Q1314" s="175">
        <f t="shared" si="79"/>
        <v>1.1167</v>
      </c>
      <c r="R1314" s="199">
        <v>0.49</v>
      </c>
      <c r="T1314" s="149">
        <v>0.32</v>
      </c>
      <c r="U1314" s="149"/>
      <c r="V1314" s="149">
        <v>0.25</v>
      </c>
      <c r="W1314" s="149">
        <f t="shared" si="80"/>
        <v>0.49</v>
      </c>
      <c r="X1314" s="152">
        <f t="shared" si="78"/>
        <v>5.6700000000000007E-2</v>
      </c>
      <c r="Y1314" s="150">
        <f t="shared" si="77"/>
        <v>1.01</v>
      </c>
      <c r="Z1314" s="152"/>
      <c r="AC1314" s="154"/>
      <c r="AD1314" s="154"/>
      <c r="AE1314" s="154"/>
      <c r="AF1314" s="154"/>
    </row>
    <row r="1315" spans="1:32" x14ac:dyDescent="0.25">
      <c r="A1315" s="196">
        <v>1322</v>
      </c>
      <c r="B1315" s="196" t="s">
        <v>7145</v>
      </c>
      <c r="C1315" s="196" t="s">
        <v>7146</v>
      </c>
      <c r="D1315" s="196" t="s">
        <v>7147</v>
      </c>
      <c r="F1315" s="196">
        <v>1996</v>
      </c>
      <c r="H1315" s="196" t="s">
        <v>2734</v>
      </c>
      <c r="I1315" s="184" t="s">
        <v>1879</v>
      </c>
      <c r="K1315" s="196" t="s">
        <v>1881</v>
      </c>
      <c r="L1315" s="184" t="s">
        <v>7148</v>
      </c>
      <c r="M1315" s="196">
        <v>146</v>
      </c>
      <c r="O1315" s="196" t="s">
        <v>5442</v>
      </c>
      <c r="P1315" s="17">
        <v>698</v>
      </c>
      <c r="Q1315" s="175">
        <f t="shared" si="79"/>
        <v>1.9727000000000001</v>
      </c>
      <c r="R1315" s="199">
        <v>1.29</v>
      </c>
      <c r="T1315" s="149">
        <v>0.32</v>
      </c>
      <c r="U1315" s="149"/>
      <c r="V1315" s="151">
        <v>0.25</v>
      </c>
      <c r="W1315" s="149">
        <f t="shared" si="80"/>
        <v>1.29</v>
      </c>
      <c r="X1315" s="152">
        <f t="shared" si="78"/>
        <v>0.11269999999999999</v>
      </c>
      <c r="Y1315" s="150">
        <f t="shared" si="77"/>
        <v>1.01</v>
      </c>
      <c r="Z1315" s="152"/>
      <c r="AC1315" s="154"/>
      <c r="AD1315" s="154"/>
      <c r="AE1315" s="154"/>
      <c r="AF1315" s="154"/>
    </row>
    <row r="1316" spans="1:32" x14ac:dyDescent="0.25">
      <c r="A1316" s="196">
        <v>624</v>
      </c>
      <c r="B1316" s="196" t="s">
        <v>7151</v>
      </c>
      <c r="C1316" s="196" t="s">
        <v>7152</v>
      </c>
      <c r="D1316" s="196" t="s">
        <v>4334</v>
      </c>
      <c r="F1316" s="196">
        <v>1983</v>
      </c>
      <c r="H1316" s="196" t="s">
        <v>2734</v>
      </c>
      <c r="I1316" s="184" t="s">
        <v>1914</v>
      </c>
      <c r="K1316" s="196" t="s">
        <v>1881</v>
      </c>
      <c r="M1316" s="196">
        <v>158</v>
      </c>
      <c r="O1316" s="196" t="s">
        <v>5444</v>
      </c>
      <c r="P1316" s="17">
        <v>815</v>
      </c>
      <c r="Q1316" s="175">
        <f t="shared" si="79"/>
        <v>8.0716999999999999</v>
      </c>
      <c r="R1316" s="199">
        <v>6.99</v>
      </c>
      <c r="T1316" s="149">
        <v>0.32</v>
      </c>
      <c r="U1316" s="149"/>
      <c r="V1316" s="151">
        <v>0.25</v>
      </c>
      <c r="W1316" s="149">
        <f t="shared" si="80"/>
        <v>6.99</v>
      </c>
      <c r="X1316" s="152">
        <f t="shared" si="78"/>
        <v>0.51170000000000004</v>
      </c>
      <c r="Y1316" s="150">
        <f t="shared" si="77"/>
        <v>1.01</v>
      </c>
      <c r="Z1316" s="152"/>
      <c r="AC1316" s="154"/>
      <c r="AD1316" s="154"/>
      <c r="AE1316" s="154"/>
      <c r="AF1316" s="154"/>
    </row>
    <row r="1317" spans="1:32" x14ac:dyDescent="0.25">
      <c r="A1317" s="196">
        <v>1324</v>
      </c>
      <c r="B1317" s="196" t="s">
        <v>7153</v>
      </c>
      <c r="C1317" s="196" t="s">
        <v>7154</v>
      </c>
      <c r="D1317" s="196" t="s">
        <v>7155</v>
      </c>
      <c r="F1317" s="196">
        <v>1958</v>
      </c>
      <c r="H1317" s="196" t="s">
        <v>2734</v>
      </c>
      <c r="I1317" s="184" t="s">
        <v>1914</v>
      </c>
      <c r="K1317" s="196" t="s">
        <v>1881</v>
      </c>
      <c r="M1317" s="196">
        <v>70</v>
      </c>
      <c r="O1317" s="196" t="s">
        <v>5445</v>
      </c>
      <c r="P1317" s="17">
        <v>779</v>
      </c>
      <c r="Q1317" s="175">
        <f t="shared" si="79"/>
        <v>1.2237000000000002</v>
      </c>
      <c r="R1317" s="199">
        <v>0.59</v>
      </c>
      <c r="T1317" s="149">
        <v>0.32</v>
      </c>
      <c r="U1317" s="149"/>
      <c r="V1317" s="149">
        <v>0.25</v>
      </c>
      <c r="W1317" s="149">
        <f t="shared" si="80"/>
        <v>0.59</v>
      </c>
      <c r="X1317" s="152">
        <f t="shared" si="78"/>
        <v>6.3699999999999993E-2</v>
      </c>
      <c r="Y1317" s="150">
        <f t="shared" si="77"/>
        <v>1.01</v>
      </c>
      <c r="Z1317" s="152"/>
      <c r="AC1317" s="154"/>
      <c r="AD1317" s="154"/>
      <c r="AE1317" s="154"/>
      <c r="AF1317" s="154"/>
    </row>
    <row r="1318" spans="1:32" x14ac:dyDescent="0.25">
      <c r="A1318" s="196">
        <v>722</v>
      </c>
      <c r="C1318" s="196" t="s">
        <v>7156</v>
      </c>
      <c r="D1318" s="196" t="s">
        <v>7157</v>
      </c>
      <c r="H1318" s="196" t="s">
        <v>2734</v>
      </c>
      <c r="I1318" s="184" t="s">
        <v>1879</v>
      </c>
      <c r="K1318" s="196" t="s">
        <v>1881</v>
      </c>
      <c r="M1318" s="196">
        <v>258</v>
      </c>
      <c r="O1318" s="196" t="s">
        <v>5446</v>
      </c>
      <c r="P1318" s="17">
        <v>1646</v>
      </c>
      <c r="Q1318" s="175">
        <f t="shared" si="79"/>
        <v>5.8247</v>
      </c>
      <c r="R1318" s="199">
        <v>4.8899999999999997</v>
      </c>
      <c r="T1318" s="149">
        <v>0.32</v>
      </c>
      <c r="U1318" s="149"/>
      <c r="V1318" s="151">
        <v>0.25</v>
      </c>
      <c r="W1318" s="149">
        <f t="shared" si="80"/>
        <v>4.8899999999999997</v>
      </c>
      <c r="X1318" s="152">
        <f t="shared" si="78"/>
        <v>0.36470000000000002</v>
      </c>
      <c r="Y1318" s="150">
        <f t="shared" si="77"/>
        <v>1.01</v>
      </c>
      <c r="Z1318" s="152"/>
      <c r="AC1318" s="154"/>
      <c r="AD1318" s="154"/>
      <c r="AE1318" s="154"/>
      <c r="AF1318" s="154"/>
    </row>
    <row r="1319" spans="1:32" x14ac:dyDescent="0.25">
      <c r="A1319" s="196">
        <v>1253</v>
      </c>
      <c r="C1319" s="196" t="s">
        <v>7158</v>
      </c>
      <c r="D1319" s="196" t="s">
        <v>5708</v>
      </c>
      <c r="F1319" s="196">
        <v>2003</v>
      </c>
      <c r="H1319" s="196" t="s">
        <v>2734</v>
      </c>
      <c r="I1319" s="184" t="s">
        <v>1929</v>
      </c>
      <c r="K1319" s="196" t="s">
        <v>1881</v>
      </c>
      <c r="L1319" s="184" t="s">
        <v>7159</v>
      </c>
      <c r="M1319" s="196">
        <v>386</v>
      </c>
      <c r="O1319" s="196" t="s">
        <v>5447</v>
      </c>
      <c r="P1319" s="17">
        <v>1616</v>
      </c>
      <c r="Q1319" s="175">
        <f t="shared" si="79"/>
        <v>1.2237000000000002</v>
      </c>
      <c r="R1319" s="199">
        <v>0.59</v>
      </c>
      <c r="T1319" s="149">
        <v>0.32</v>
      </c>
      <c r="U1319" s="149"/>
      <c r="V1319" s="149">
        <v>0.25</v>
      </c>
      <c r="W1319" s="149">
        <f t="shared" si="80"/>
        <v>0.59</v>
      </c>
      <c r="X1319" s="152">
        <f t="shared" si="78"/>
        <v>6.3699999999999993E-2</v>
      </c>
      <c r="Y1319" s="150">
        <f t="shared" si="77"/>
        <v>1.01</v>
      </c>
      <c r="Z1319" s="152"/>
      <c r="AC1319" s="154"/>
      <c r="AD1319" s="154"/>
      <c r="AE1319" s="154"/>
      <c r="AF1319" s="154"/>
    </row>
    <row r="1320" spans="1:32" x14ac:dyDescent="0.25">
      <c r="A1320" s="196">
        <v>270</v>
      </c>
      <c r="B1320" s="182" t="s">
        <v>7160</v>
      </c>
      <c r="C1320" s="196" t="s">
        <v>7161</v>
      </c>
      <c r="D1320" s="196" t="s">
        <v>2054</v>
      </c>
      <c r="F1320" s="196">
        <v>1994</v>
      </c>
      <c r="H1320" s="196" t="s">
        <v>2734</v>
      </c>
      <c r="I1320" s="184" t="s">
        <v>1879</v>
      </c>
      <c r="K1320" s="196" t="s">
        <v>1881</v>
      </c>
      <c r="L1320" s="184" t="s">
        <v>7162</v>
      </c>
      <c r="M1320" s="196">
        <v>146</v>
      </c>
      <c r="O1320" s="196" t="s">
        <v>5448</v>
      </c>
      <c r="P1320" s="17">
        <v>995</v>
      </c>
      <c r="Q1320" s="175">
        <f t="shared" si="79"/>
        <v>1.7587000000000002</v>
      </c>
      <c r="R1320" s="199">
        <v>1.0900000000000001</v>
      </c>
      <c r="T1320" s="149">
        <v>0.32</v>
      </c>
      <c r="U1320" s="149"/>
      <c r="V1320" s="151">
        <v>0.25</v>
      </c>
      <c r="W1320" s="149">
        <f t="shared" si="80"/>
        <v>1.0900000000000001</v>
      </c>
      <c r="X1320" s="152">
        <f t="shared" si="78"/>
        <v>9.870000000000001E-2</v>
      </c>
      <c r="Y1320" s="150">
        <f t="shared" si="77"/>
        <v>1.01</v>
      </c>
      <c r="Z1320" s="152"/>
      <c r="AC1320" s="154"/>
      <c r="AD1320" s="154"/>
      <c r="AE1320" s="154"/>
      <c r="AF1320" s="154"/>
    </row>
    <row r="1321" spans="1:32" x14ac:dyDescent="0.25">
      <c r="A1321" s="196">
        <v>806</v>
      </c>
      <c r="C1321" s="196" t="s">
        <v>7163</v>
      </c>
      <c r="D1321" s="196" t="s">
        <v>7157</v>
      </c>
      <c r="H1321" s="196" t="s">
        <v>2734</v>
      </c>
      <c r="I1321" s="184" t="s">
        <v>1879</v>
      </c>
      <c r="K1321" s="196" t="s">
        <v>1881</v>
      </c>
      <c r="M1321" s="196">
        <v>258</v>
      </c>
      <c r="O1321" s="196" t="s">
        <v>5449</v>
      </c>
      <c r="P1321" s="17">
        <v>1598</v>
      </c>
      <c r="Q1321" s="175">
        <f t="shared" si="79"/>
        <v>4.0057</v>
      </c>
      <c r="R1321" s="199">
        <v>3.19</v>
      </c>
      <c r="T1321" s="149">
        <v>0.32</v>
      </c>
      <c r="U1321" s="149"/>
      <c r="V1321" s="149">
        <v>0.25</v>
      </c>
      <c r="W1321" s="149">
        <f t="shared" si="80"/>
        <v>3.19</v>
      </c>
      <c r="X1321" s="152">
        <f t="shared" si="78"/>
        <v>0.2457</v>
      </c>
      <c r="Y1321" s="150">
        <f t="shared" si="77"/>
        <v>1.01</v>
      </c>
      <c r="Z1321" s="152"/>
      <c r="AC1321" s="154"/>
      <c r="AD1321" s="154"/>
      <c r="AE1321" s="154"/>
      <c r="AF1321" s="154"/>
    </row>
    <row r="1322" spans="1:32" x14ac:dyDescent="0.25">
      <c r="A1322" s="196">
        <v>2442</v>
      </c>
      <c r="C1322" s="196" t="s">
        <v>7208</v>
      </c>
      <c r="D1322" s="196" t="s">
        <v>7164</v>
      </c>
      <c r="F1322" s="196">
        <v>1979</v>
      </c>
      <c r="H1322" s="196" t="s">
        <v>2734</v>
      </c>
      <c r="I1322" s="184" t="s">
        <v>1879</v>
      </c>
      <c r="K1322" s="196" t="s">
        <v>2025</v>
      </c>
      <c r="M1322" s="196">
        <v>130</v>
      </c>
      <c r="O1322" s="196" t="s">
        <v>5450</v>
      </c>
      <c r="P1322" s="17">
        <v>1034</v>
      </c>
      <c r="Q1322" s="175">
        <f t="shared" si="79"/>
        <v>14.4917</v>
      </c>
      <c r="R1322" s="199">
        <v>12.99</v>
      </c>
      <c r="T1322" s="149">
        <v>0.32</v>
      </c>
      <c r="U1322" s="149"/>
      <c r="V1322" s="151">
        <v>0.25</v>
      </c>
      <c r="W1322" s="149">
        <f t="shared" si="80"/>
        <v>12.99</v>
      </c>
      <c r="X1322" s="152">
        <f t="shared" si="78"/>
        <v>0.93169999999999997</v>
      </c>
      <c r="Y1322" s="150">
        <f t="shared" si="77"/>
        <v>1.01</v>
      </c>
      <c r="Z1322" s="152"/>
      <c r="AC1322" s="154"/>
      <c r="AD1322" s="154"/>
      <c r="AE1322" s="154"/>
      <c r="AF1322" s="154"/>
    </row>
    <row r="1323" spans="1:32" x14ac:dyDescent="0.25">
      <c r="A1323" s="196">
        <v>844</v>
      </c>
      <c r="B1323" s="182" t="s">
        <v>7165</v>
      </c>
      <c r="C1323" s="196" t="s">
        <v>7166</v>
      </c>
      <c r="E1323" s="182" t="s">
        <v>3141</v>
      </c>
      <c r="H1323" s="196" t="s">
        <v>2734</v>
      </c>
      <c r="I1323" s="184" t="s">
        <v>1929</v>
      </c>
      <c r="K1323" s="196" t="s">
        <v>1881</v>
      </c>
      <c r="L1323" s="184" t="s">
        <v>7167</v>
      </c>
      <c r="M1323" s="196">
        <v>28</v>
      </c>
      <c r="O1323" s="196" t="s">
        <v>5451</v>
      </c>
      <c r="P1323" s="17">
        <v>301</v>
      </c>
      <c r="Q1323" s="175">
        <f t="shared" si="79"/>
        <v>2.2937000000000003</v>
      </c>
      <c r="R1323" s="199">
        <v>1.59</v>
      </c>
      <c r="T1323" s="149">
        <v>0.32</v>
      </c>
      <c r="U1323" s="149"/>
      <c r="V1323" s="149">
        <v>0.25</v>
      </c>
      <c r="W1323" s="149">
        <f t="shared" si="80"/>
        <v>1.59</v>
      </c>
      <c r="X1323" s="152">
        <f t="shared" si="78"/>
        <v>0.13370000000000001</v>
      </c>
      <c r="Y1323" s="150">
        <f t="shared" si="77"/>
        <v>1.01</v>
      </c>
      <c r="Z1323" s="152"/>
      <c r="AC1323" s="154"/>
      <c r="AD1323" s="154"/>
      <c r="AE1323" s="154"/>
      <c r="AF1323" s="154"/>
    </row>
    <row r="1324" spans="1:32" x14ac:dyDescent="0.25">
      <c r="A1324" s="196">
        <v>2634</v>
      </c>
      <c r="C1324" s="196" t="s">
        <v>7168</v>
      </c>
      <c r="D1324" s="196" t="s">
        <v>7169</v>
      </c>
      <c r="F1324" s="196">
        <v>1982</v>
      </c>
      <c r="H1324" s="196" t="s">
        <v>2734</v>
      </c>
      <c r="I1324" s="184" t="s">
        <v>1879</v>
      </c>
      <c r="K1324" s="196" t="s">
        <v>1881</v>
      </c>
      <c r="L1324" s="184" t="s">
        <v>7170</v>
      </c>
      <c r="M1324" s="196">
        <v>210</v>
      </c>
      <c r="O1324" s="196" t="s">
        <v>5452</v>
      </c>
      <c r="P1324" s="17">
        <v>1519</v>
      </c>
      <c r="Q1324" s="175">
        <f t="shared" si="79"/>
        <v>4.1127000000000002</v>
      </c>
      <c r="R1324" s="199">
        <v>3.29</v>
      </c>
      <c r="T1324" s="149">
        <v>0.32</v>
      </c>
      <c r="U1324" s="149"/>
      <c r="V1324" s="151">
        <v>0.25</v>
      </c>
      <c r="W1324" s="149">
        <f t="shared" si="80"/>
        <v>3.29</v>
      </c>
      <c r="X1324" s="152">
        <f t="shared" si="78"/>
        <v>0.25269999999999998</v>
      </c>
      <c r="Y1324" s="150">
        <f t="shared" ref="Y1324:Y1387" si="81">(IF(Z1324&gt;AA1324,Z1324,AA1324)*0.08)+1.01</f>
        <v>1.01</v>
      </c>
      <c r="Z1324" s="152"/>
      <c r="AC1324" s="154"/>
      <c r="AD1324" s="154"/>
      <c r="AE1324" s="154"/>
      <c r="AF1324" s="154"/>
    </row>
    <row r="1325" spans="1:32" x14ac:dyDescent="0.25">
      <c r="A1325" s="196">
        <v>212</v>
      </c>
      <c r="C1325" s="196" t="s">
        <v>7171</v>
      </c>
      <c r="D1325" s="196" t="s">
        <v>2050</v>
      </c>
      <c r="F1325" s="196">
        <v>1990</v>
      </c>
      <c r="H1325" s="196" t="s">
        <v>2734</v>
      </c>
      <c r="I1325" s="184" t="s">
        <v>1879</v>
      </c>
      <c r="K1325" s="196" t="s">
        <v>1881</v>
      </c>
      <c r="L1325" s="184" t="s">
        <v>7172</v>
      </c>
      <c r="M1325" s="196">
        <v>98</v>
      </c>
      <c r="O1325" s="196" t="s">
        <v>5453</v>
      </c>
      <c r="P1325" s="17">
        <v>722</v>
      </c>
      <c r="Q1325" s="175">
        <f t="shared" si="79"/>
        <v>1.3307</v>
      </c>
      <c r="R1325" s="199">
        <v>0.69</v>
      </c>
      <c r="T1325" s="149">
        <v>0.32</v>
      </c>
      <c r="U1325" s="149"/>
      <c r="V1325" s="149">
        <v>0.25</v>
      </c>
      <c r="W1325" s="149">
        <f t="shared" si="80"/>
        <v>0.69</v>
      </c>
      <c r="X1325" s="152">
        <f t="shared" si="78"/>
        <v>7.0699999999999999E-2</v>
      </c>
      <c r="Y1325" s="150">
        <f t="shared" si="81"/>
        <v>1.01</v>
      </c>
      <c r="Z1325" s="152"/>
      <c r="AC1325" s="154"/>
      <c r="AD1325" s="154"/>
      <c r="AE1325" s="154"/>
      <c r="AF1325" s="154"/>
    </row>
    <row r="1326" spans="1:32" x14ac:dyDescent="0.25">
      <c r="A1326" s="196">
        <v>273</v>
      </c>
      <c r="B1326" s="182" t="s">
        <v>7174</v>
      </c>
      <c r="C1326" s="196" t="s">
        <v>7173</v>
      </c>
      <c r="F1326" s="196">
        <v>1963</v>
      </c>
      <c r="H1326" s="196" t="s">
        <v>2734</v>
      </c>
      <c r="I1326" s="184" t="s">
        <v>1879</v>
      </c>
      <c r="K1326" s="196" t="s">
        <v>1881</v>
      </c>
      <c r="M1326" s="196">
        <v>98</v>
      </c>
      <c r="O1326" s="196" t="s">
        <v>5454</v>
      </c>
      <c r="P1326" s="17">
        <v>1129</v>
      </c>
      <c r="Q1326" s="175">
        <f t="shared" si="79"/>
        <v>3.4706999999999999</v>
      </c>
      <c r="R1326" s="199">
        <v>2.69</v>
      </c>
      <c r="T1326" s="149">
        <v>0.32</v>
      </c>
      <c r="U1326" s="149"/>
      <c r="V1326" s="151">
        <v>0.25</v>
      </c>
      <c r="W1326" s="149">
        <f t="shared" si="80"/>
        <v>2.69</v>
      </c>
      <c r="X1326" s="152">
        <f t="shared" si="78"/>
        <v>0.2107</v>
      </c>
      <c r="Y1326" s="150">
        <f t="shared" si="81"/>
        <v>1.01</v>
      </c>
      <c r="Z1326" s="152"/>
      <c r="AC1326" s="154"/>
      <c r="AD1326" s="154"/>
      <c r="AE1326" s="154"/>
      <c r="AF1326" s="154"/>
    </row>
    <row r="1327" spans="1:32" x14ac:dyDescent="0.25">
      <c r="A1327" s="196">
        <v>273</v>
      </c>
      <c r="C1327" s="196" t="s">
        <v>7175</v>
      </c>
      <c r="D1327" s="196" t="s">
        <v>5005</v>
      </c>
      <c r="F1327" s="196">
        <v>1967</v>
      </c>
      <c r="H1327" s="196" t="s">
        <v>2734</v>
      </c>
      <c r="I1327" s="184" t="s">
        <v>1879</v>
      </c>
      <c r="K1327" s="196" t="s">
        <v>1881</v>
      </c>
      <c r="M1327" s="196">
        <v>176</v>
      </c>
      <c r="O1327" s="196" t="s">
        <v>5455</v>
      </c>
      <c r="P1327" s="17">
        <v>925</v>
      </c>
      <c r="Q1327" s="175">
        <f t="shared" si="79"/>
        <v>1.6516999999999999</v>
      </c>
      <c r="R1327" s="199">
        <v>0.99</v>
      </c>
      <c r="T1327" s="149">
        <v>0.32</v>
      </c>
      <c r="U1327" s="149"/>
      <c r="V1327" s="149">
        <v>0.25</v>
      </c>
      <c r="W1327" s="149">
        <f t="shared" si="80"/>
        <v>0.99</v>
      </c>
      <c r="X1327" s="152">
        <f t="shared" ref="X1327:X1390" si="82">(T1327+W1327)/100*7</f>
        <v>9.1700000000000004E-2</v>
      </c>
      <c r="Y1327" s="150">
        <f t="shared" si="81"/>
        <v>1.01</v>
      </c>
      <c r="Z1327" s="152"/>
      <c r="AC1327" s="154"/>
      <c r="AD1327" s="154"/>
      <c r="AE1327" s="154"/>
      <c r="AF1327" s="154"/>
    </row>
    <row r="1328" spans="1:32" x14ac:dyDescent="0.25">
      <c r="A1328" s="196">
        <v>692</v>
      </c>
      <c r="B1328" s="182" t="s">
        <v>7176</v>
      </c>
      <c r="C1328" s="196" t="s">
        <v>7177</v>
      </c>
      <c r="D1328" s="196" t="s">
        <v>7178</v>
      </c>
      <c r="F1328" s="196">
        <v>2010</v>
      </c>
      <c r="H1328" s="196" t="s">
        <v>1878</v>
      </c>
      <c r="I1328" s="184" t="s">
        <v>1929</v>
      </c>
      <c r="K1328" s="196" t="s">
        <v>1881</v>
      </c>
      <c r="L1328" s="184" t="s">
        <v>7179</v>
      </c>
      <c r="M1328" s="196">
        <v>304</v>
      </c>
      <c r="O1328" s="196" t="s">
        <v>5456</v>
      </c>
      <c r="P1328" s="17">
        <v>276</v>
      </c>
      <c r="Q1328" s="175">
        <f t="shared" si="79"/>
        <v>1.6516999999999999</v>
      </c>
      <c r="R1328" s="199">
        <v>0.99</v>
      </c>
      <c r="T1328" s="149">
        <v>0.32</v>
      </c>
      <c r="U1328" s="149"/>
      <c r="V1328" s="151">
        <v>0.25</v>
      </c>
      <c r="W1328" s="149">
        <f t="shared" si="80"/>
        <v>0.99</v>
      </c>
      <c r="X1328" s="152">
        <f t="shared" si="82"/>
        <v>9.1700000000000004E-2</v>
      </c>
      <c r="Y1328" s="150">
        <f t="shared" si="81"/>
        <v>1.01</v>
      </c>
      <c r="Z1328" s="152"/>
      <c r="AC1328" s="154"/>
      <c r="AD1328" s="154"/>
      <c r="AE1328" s="154"/>
      <c r="AF1328" s="154"/>
    </row>
    <row r="1329" spans="1:36" x14ac:dyDescent="0.25">
      <c r="A1329" s="196">
        <v>796</v>
      </c>
      <c r="B1329" s="182" t="s">
        <v>6253</v>
      </c>
      <c r="C1329" s="196" t="s">
        <v>7180</v>
      </c>
      <c r="D1329" s="196" t="s">
        <v>2609</v>
      </c>
      <c r="F1329" s="196">
        <v>2008</v>
      </c>
      <c r="H1329" s="196" t="s">
        <v>1878</v>
      </c>
      <c r="I1329" s="184" t="s">
        <v>1879</v>
      </c>
      <c r="K1329" s="196" t="s">
        <v>1881</v>
      </c>
      <c r="L1329" s="184" t="s">
        <v>7181</v>
      </c>
      <c r="M1329" s="196">
        <v>448</v>
      </c>
      <c r="O1329" s="196" t="s">
        <v>5457</v>
      </c>
      <c r="P1329" s="17">
        <v>438</v>
      </c>
      <c r="Q1329" s="175">
        <f t="shared" si="79"/>
        <v>0.93480000000000008</v>
      </c>
      <c r="R1329" s="199">
        <v>0.25</v>
      </c>
      <c r="T1329" s="149">
        <v>0.32</v>
      </c>
      <c r="U1329" s="149"/>
      <c r="V1329" s="149">
        <v>0.25</v>
      </c>
      <c r="W1329" s="149">
        <f t="shared" si="80"/>
        <v>0.32</v>
      </c>
      <c r="X1329" s="152">
        <f t="shared" si="82"/>
        <v>4.48E-2</v>
      </c>
      <c r="Y1329" s="150">
        <f t="shared" si="81"/>
        <v>1.01</v>
      </c>
      <c r="Z1329" s="152"/>
      <c r="AC1329" s="154"/>
      <c r="AD1329" s="154"/>
      <c r="AE1329" s="154"/>
      <c r="AF1329" s="154"/>
    </row>
    <row r="1330" spans="1:36" x14ac:dyDescent="0.25">
      <c r="A1330" s="196">
        <v>1315</v>
      </c>
      <c r="B1330" s="196" t="s">
        <v>7182</v>
      </c>
      <c r="C1330" s="196" t="s">
        <v>7183</v>
      </c>
      <c r="D1330" s="196" t="s">
        <v>2402</v>
      </c>
      <c r="F1330" s="196">
        <v>2003</v>
      </c>
      <c r="H1330" s="196" t="s">
        <v>2734</v>
      </c>
      <c r="I1330" s="184" t="s">
        <v>1879</v>
      </c>
      <c r="K1330" s="196" t="s">
        <v>1881</v>
      </c>
      <c r="L1330" s="184" t="s">
        <v>7184</v>
      </c>
      <c r="M1330" s="196">
        <v>386</v>
      </c>
      <c r="O1330" s="196" t="s">
        <v>5458</v>
      </c>
      <c r="P1330" s="17">
        <v>677</v>
      </c>
      <c r="Q1330" s="175">
        <f t="shared" si="79"/>
        <v>1.1167</v>
      </c>
      <c r="R1330" s="199">
        <v>0.49</v>
      </c>
      <c r="T1330" s="149">
        <v>0.32</v>
      </c>
      <c r="U1330" s="149"/>
      <c r="V1330" s="151">
        <v>0.25</v>
      </c>
      <c r="W1330" s="149">
        <f t="shared" si="80"/>
        <v>0.49</v>
      </c>
      <c r="X1330" s="152">
        <f t="shared" si="82"/>
        <v>5.6700000000000007E-2</v>
      </c>
      <c r="Y1330" s="150">
        <f t="shared" si="81"/>
        <v>1.01</v>
      </c>
      <c r="Z1330" s="152"/>
      <c r="AC1330" s="154"/>
      <c r="AD1330" s="154"/>
      <c r="AE1330" s="154"/>
      <c r="AF1330" s="154"/>
    </row>
    <row r="1331" spans="1:36" x14ac:dyDescent="0.25">
      <c r="A1331" s="196">
        <v>1395</v>
      </c>
      <c r="B1331" s="196" t="s">
        <v>7185</v>
      </c>
      <c r="C1331" s="196" t="s">
        <v>7186</v>
      </c>
      <c r="D1331" s="196" t="s">
        <v>1993</v>
      </c>
      <c r="E1331" s="196" t="s">
        <v>1913</v>
      </c>
      <c r="F1331" s="196">
        <v>2016</v>
      </c>
      <c r="H1331" s="196" t="s">
        <v>1878</v>
      </c>
      <c r="I1331" s="184" t="s">
        <v>1879</v>
      </c>
      <c r="J1331" s="52" t="s">
        <v>3854</v>
      </c>
      <c r="K1331" s="196" t="s">
        <v>1881</v>
      </c>
      <c r="L1331" s="184" t="s">
        <v>7187</v>
      </c>
      <c r="M1331" s="196">
        <v>416</v>
      </c>
      <c r="O1331" s="196" t="s">
        <v>5459</v>
      </c>
      <c r="P1331" s="17">
        <v>346</v>
      </c>
      <c r="Q1331" s="175">
        <f t="shared" ref="Q1331:Q1339" si="83">SUM(T1331:X1331)</f>
        <v>2.6147</v>
      </c>
      <c r="R1331" s="199">
        <v>1.89</v>
      </c>
      <c r="T1331" s="149">
        <v>0.32</v>
      </c>
      <c r="U1331" s="149"/>
      <c r="V1331" s="149">
        <v>0.25</v>
      </c>
      <c r="W1331" s="149">
        <f t="shared" ref="W1331:W1394" si="84">IF(R1331&gt;T1331,R1331,T1331)</f>
        <v>1.89</v>
      </c>
      <c r="X1331" s="152">
        <f t="shared" si="82"/>
        <v>0.15469999999999998</v>
      </c>
      <c r="Y1331" s="150">
        <f t="shared" si="81"/>
        <v>1.01</v>
      </c>
      <c r="Z1331" s="152"/>
      <c r="AC1331" s="154"/>
      <c r="AD1331" s="154"/>
      <c r="AE1331" s="154"/>
      <c r="AF1331" s="154"/>
    </row>
    <row r="1332" spans="1:36" x14ac:dyDescent="0.25">
      <c r="A1332" s="196">
        <v>2522</v>
      </c>
      <c r="B1332" s="196" t="s">
        <v>3832</v>
      </c>
      <c r="C1332" s="196" t="s">
        <v>7188</v>
      </c>
      <c r="D1332" s="196" t="s">
        <v>1920</v>
      </c>
      <c r="F1332" s="196">
        <v>2000</v>
      </c>
      <c r="H1332" s="196" t="s">
        <v>1878</v>
      </c>
      <c r="I1332" s="184" t="s">
        <v>1914</v>
      </c>
      <c r="K1332" s="196" t="s">
        <v>1881</v>
      </c>
      <c r="L1332" s="184" t="s">
        <v>7189</v>
      </c>
      <c r="M1332" s="196">
        <v>464</v>
      </c>
      <c r="O1332" s="196" t="s">
        <v>5460</v>
      </c>
      <c r="P1332" s="17">
        <v>394</v>
      </c>
      <c r="Q1332" s="175">
        <f t="shared" si="83"/>
        <v>0.93480000000000008</v>
      </c>
      <c r="R1332" s="199">
        <v>0.25</v>
      </c>
      <c r="T1332" s="149">
        <v>0.32</v>
      </c>
      <c r="U1332" s="149"/>
      <c r="V1332" s="151">
        <v>0.25</v>
      </c>
      <c r="W1332" s="149">
        <f t="shared" si="84"/>
        <v>0.32</v>
      </c>
      <c r="X1332" s="152">
        <f t="shared" si="82"/>
        <v>4.48E-2</v>
      </c>
      <c r="Y1332" s="150">
        <f t="shared" si="81"/>
        <v>1.01</v>
      </c>
      <c r="Z1332" s="152"/>
      <c r="AC1332" s="154"/>
      <c r="AD1332" s="154"/>
      <c r="AE1332" s="154"/>
      <c r="AF1332" s="154"/>
    </row>
    <row r="1333" spans="1:36" x14ac:dyDescent="0.25">
      <c r="A1333" s="196">
        <v>2522</v>
      </c>
      <c r="B1333" s="196" t="s">
        <v>4599</v>
      </c>
      <c r="C1333" s="196" t="s">
        <v>7190</v>
      </c>
      <c r="D1333" s="196" t="s">
        <v>2257</v>
      </c>
      <c r="F1333" s="196">
        <v>2010</v>
      </c>
      <c r="H1333" s="196" t="s">
        <v>1878</v>
      </c>
      <c r="I1333" s="184" t="s">
        <v>1879</v>
      </c>
      <c r="J1333" s="52" t="s">
        <v>3854</v>
      </c>
      <c r="K1333" s="196" t="s">
        <v>1881</v>
      </c>
      <c r="L1333" s="184" t="s">
        <v>7191</v>
      </c>
      <c r="M1333" s="196">
        <v>528</v>
      </c>
      <c r="O1333" s="196" t="s">
        <v>5461</v>
      </c>
      <c r="P1333" s="17">
        <v>528</v>
      </c>
      <c r="Q1333" s="175">
        <f t="shared" si="83"/>
        <v>1.6516999999999999</v>
      </c>
      <c r="R1333" s="199">
        <v>0.99</v>
      </c>
      <c r="T1333" s="149">
        <v>0.32</v>
      </c>
      <c r="U1333" s="149"/>
      <c r="V1333" s="149">
        <v>0.25</v>
      </c>
      <c r="W1333" s="149">
        <f t="shared" si="84"/>
        <v>0.99</v>
      </c>
      <c r="X1333" s="152">
        <f t="shared" si="82"/>
        <v>9.1700000000000004E-2</v>
      </c>
      <c r="Y1333" s="150">
        <f t="shared" si="81"/>
        <v>1.01</v>
      </c>
      <c r="Z1333" s="152"/>
      <c r="AC1333" s="154"/>
      <c r="AD1333" s="154"/>
      <c r="AE1333" s="154"/>
      <c r="AF1333" s="154"/>
    </row>
    <row r="1334" spans="1:36" x14ac:dyDescent="0.25">
      <c r="A1334" s="196">
        <v>2522</v>
      </c>
      <c r="B1334" s="196" t="s">
        <v>7192</v>
      </c>
      <c r="C1334" s="196" t="s">
        <v>7193</v>
      </c>
      <c r="D1334" s="196" t="s">
        <v>1912</v>
      </c>
      <c r="E1334" s="196" t="s">
        <v>1913</v>
      </c>
      <c r="F1334" s="196">
        <v>2007</v>
      </c>
      <c r="H1334" s="196" t="s">
        <v>1878</v>
      </c>
      <c r="I1334" s="184" t="s">
        <v>1879</v>
      </c>
      <c r="K1334" s="196" t="s">
        <v>1881</v>
      </c>
      <c r="L1334" s="184" t="s">
        <v>7194</v>
      </c>
      <c r="M1334" s="196">
        <v>512</v>
      </c>
      <c r="O1334" s="196" t="s">
        <v>5462</v>
      </c>
      <c r="P1334" s="17">
        <v>425</v>
      </c>
      <c r="Q1334" s="175">
        <f t="shared" si="83"/>
        <v>1.3307</v>
      </c>
      <c r="R1334" s="199">
        <v>0.69</v>
      </c>
      <c r="T1334" s="149">
        <v>0.32</v>
      </c>
      <c r="U1334" s="149"/>
      <c r="V1334" s="151">
        <v>0.25</v>
      </c>
      <c r="W1334" s="149">
        <f t="shared" si="84"/>
        <v>0.69</v>
      </c>
      <c r="X1334" s="152">
        <f t="shared" si="82"/>
        <v>7.0699999999999999E-2</v>
      </c>
      <c r="Y1334" s="150">
        <f t="shared" si="81"/>
        <v>1.01</v>
      </c>
      <c r="Z1334" s="152"/>
      <c r="AC1334" s="154"/>
      <c r="AD1334" s="154"/>
      <c r="AE1334" s="154"/>
      <c r="AF1334" s="154"/>
    </row>
    <row r="1335" spans="1:36" x14ac:dyDescent="0.25">
      <c r="A1335" s="196">
        <v>1315</v>
      </c>
      <c r="B1335" s="196" t="s">
        <v>4186</v>
      </c>
      <c r="C1335" s="196" t="s">
        <v>7195</v>
      </c>
      <c r="D1335" s="196" t="s">
        <v>3312</v>
      </c>
      <c r="F1335" s="196">
        <v>2003</v>
      </c>
      <c r="H1335" s="196" t="s">
        <v>2734</v>
      </c>
      <c r="I1335" s="184" t="s">
        <v>1879</v>
      </c>
      <c r="J1335" s="52" t="s">
        <v>3854</v>
      </c>
      <c r="K1335" s="196" t="s">
        <v>1881</v>
      </c>
      <c r="L1335" s="184" t="s">
        <v>7196</v>
      </c>
      <c r="M1335" s="196">
        <v>322</v>
      </c>
      <c r="O1335" s="196" t="s">
        <v>5463</v>
      </c>
      <c r="P1335" s="17">
        <v>568</v>
      </c>
      <c r="Q1335" s="175">
        <f t="shared" si="83"/>
        <v>1.1167</v>
      </c>
      <c r="R1335" s="199">
        <v>0.49</v>
      </c>
      <c r="T1335" s="149">
        <v>0.32</v>
      </c>
      <c r="U1335" s="149"/>
      <c r="V1335" s="149">
        <v>0.25</v>
      </c>
      <c r="W1335" s="149">
        <f t="shared" si="84"/>
        <v>0.49</v>
      </c>
      <c r="X1335" s="152">
        <f t="shared" si="82"/>
        <v>5.6700000000000007E-2</v>
      </c>
      <c r="Y1335" s="150">
        <f t="shared" si="81"/>
        <v>1.01</v>
      </c>
      <c r="Z1335" s="152"/>
      <c r="AC1335" s="154"/>
      <c r="AD1335" s="154"/>
      <c r="AE1335" s="154"/>
      <c r="AF1335" s="154"/>
    </row>
    <row r="1336" spans="1:36" x14ac:dyDescent="0.25">
      <c r="A1336" s="196">
        <v>1231</v>
      </c>
      <c r="B1336" s="196" t="s">
        <v>7197</v>
      </c>
      <c r="C1336" s="196" t="s">
        <v>7198</v>
      </c>
      <c r="D1336" s="196" t="s">
        <v>4841</v>
      </c>
      <c r="F1336" s="196">
        <v>2007</v>
      </c>
      <c r="H1336" s="196" t="s">
        <v>2734</v>
      </c>
      <c r="I1336" s="184" t="s">
        <v>1929</v>
      </c>
      <c r="K1336" s="196" t="s">
        <v>1881</v>
      </c>
      <c r="L1336" s="184" t="s">
        <v>7199</v>
      </c>
      <c r="M1336" s="196">
        <v>226</v>
      </c>
      <c r="O1336" s="196" t="s">
        <v>5464</v>
      </c>
      <c r="P1336" s="17">
        <v>418</v>
      </c>
      <c r="Q1336" s="175">
        <f t="shared" si="83"/>
        <v>1.8656999999999999</v>
      </c>
      <c r="R1336" s="199">
        <v>1.19</v>
      </c>
      <c r="T1336" s="149">
        <v>0.32</v>
      </c>
      <c r="U1336" s="149"/>
      <c r="V1336" s="151">
        <v>0.25</v>
      </c>
      <c r="W1336" s="149">
        <f t="shared" si="84"/>
        <v>1.19</v>
      </c>
      <c r="X1336" s="152">
        <f t="shared" si="82"/>
        <v>0.1057</v>
      </c>
      <c r="Y1336" s="150">
        <f t="shared" si="81"/>
        <v>1.01</v>
      </c>
      <c r="Z1336" s="152"/>
      <c r="AC1336" s="154"/>
      <c r="AD1336" s="154"/>
      <c r="AE1336" s="154"/>
      <c r="AF1336" s="154"/>
    </row>
    <row r="1337" spans="1:36" x14ac:dyDescent="0.25">
      <c r="A1337" s="196">
        <v>1231</v>
      </c>
      <c r="B1337" s="196" t="s">
        <v>7200</v>
      </c>
      <c r="C1337" s="196" t="s">
        <v>7201</v>
      </c>
      <c r="D1337" s="196" t="s">
        <v>1998</v>
      </c>
      <c r="E1337" s="196" t="s">
        <v>1899</v>
      </c>
      <c r="F1337" s="196">
        <v>2000</v>
      </c>
      <c r="H1337" s="196" t="s">
        <v>2734</v>
      </c>
      <c r="I1337" s="184" t="s">
        <v>1929</v>
      </c>
      <c r="K1337" s="196" t="s">
        <v>1881</v>
      </c>
      <c r="L1337" s="184" t="s">
        <v>7202</v>
      </c>
      <c r="M1337" s="196">
        <v>258</v>
      </c>
      <c r="O1337" s="196" t="s">
        <v>5465</v>
      </c>
      <c r="P1337" s="17">
        <v>474</v>
      </c>
      <c r="Q1337" s="175">
        <f t="shared" si="83"/>
        <v>1.3307</v>
      </c>
      <c r="R1337" s="199">
        <v>0.69</v>
      </c>
      <c r="T1337" s="149">
        <v>0.32</v>
      </c>
      <c r="U1337" s="149"/>
      <c r="V1337" s="149">
        <v>0.25</v>
      </c>
      <c r="W1337" s="149">
        <f t="shared" si="84"/>
        <v>0.69</v>
      </c>
      <c r="X1337" s="152">
        <f t="shared" si="82"/>
        <v>7.0699999999999999E-2</v>
      </c>
      <c r="Y1337" s="150">
        <f t="shared" si="81"/>
        <v>1.01</v>
      </c>
      <c r="Z1337" s="152"/>
      <c r="AC1337" s="154"/>
      <c r="AD1337" s="154"/>
      <c r="AE1337" s="154"/>
      <c r="AF1337" s="154"/>
    </row>
    <row r="1338" spans="1:36" x14ac:dyDescent="0.25">
      <c r="A1338" s="196">
        <v>1327</v>
      </c>
      <c r="B1338" s="196" t="s">
        <v>7203</v>
      </c>
      <c r="C1338" s="196" t="s">
        <v>7204</v>
      </c>
      <c r="D1338" s="196" t="s">
        <v>2609</v>
      </c>
      <c r="F1338" s="196">
        <v>2008</v>
      </c>
      <c r="H1338" s="196" t="s">
        <v>2734</v>
      </c>
      <c r="I1338" s="184" t="s">
        <v>1879</v>
      </c>
      <c r="K1338" s="196" t="s">
        <v>1881</v>
      </c>
      <c r="M1338" s="196">
        <v>450</v>
      </c>
      <c r="O1338" s="196" t="s">
        <v>5466</v>
      </c>
      <c r="P1338" s="17">
        <v>624</v>
      </c>
      <c r="Q1338" s="175">
        <f t="shared" si="83"/>
        <v>0.93480000000000008</v>
      </c>
      <c r="R1338" s="199">
        <v>0.25</v>
      </c>
      <c r="T1338" s="149">
        <v>0.32</v>
      </c>
      <c r="U1338" s="149"/>
      <c r="V1338" s="151">
        <v>0.25</v>
      </c>
      <c r="W1338" s="149">
        <f t="shared" si="84"/>
        <v>0.32</v>
      </c>
      <c r="X1338" s="152">
        <f t="shared" si="82"/>
        <v>4.48E-2</v>
      </c>
      <c r="Y1338" s="150">
        <f t="shared" si="81"/>
        <v>1.01</v>
      </c>
      <c r="Z1338" s="152"/>
      <c r="AC1338" s="154"/>
      <c r="AD1338" s="154"/>
      <c r="AE1338" s="154"/>
      <c r="AF1338" s="154"/>
    </row>
    <row r="1339" spans="1:36" s="146" customFormat="1" x14ac:dyDescent="0.25">
      <c r="A1339" s="196">
        <v>721</v>
      </c>
      <c r="B1339" s="196" t="s">
        <v>7205</v>
      </c>
      <c r="C1339" s="196" t="s">
        <v>7206</v>
      </c>
      <c r="D1339" s="196" t="s">
        <v>3057</v>
      </c>
      <c r="E1339" s="196"/>
      <c r="F1339" s="196"/>
      <c r="G1339" s="196"/>
      <c r="H1339" s="196" t="s">
        <v>1878</v>
      </c>
      <c r="I1339" s="141" t="s">
        <v>1879</v>
      </c>
      <c r="J1339" s="196"/>
      <c r="K1339" s="196" t="s">
        <v>1881</v>
      </c>
      <c r="L1339" s="141" t="s">
        <v>7207</v>
      </c>
      <c r="M1339" s="196">
        <v>128</v>
      </c>
      <c r="N1339" s="196"/>
      <c r="O1339" s="196" t="s">
        <v>5467</v>
      </c>
      <c r="P1339" s="144">
        <v>359</v>
      </c>
      <c r="Q1339" s="145">
        <f t="shared" si="83"/>
        <v>2.1867000000000001</v>
      </c>
      <c r="R1339" s="203">
        <v>1.49</v>
      </c>
      <c r="S1339" s="203"/>
      <c r="T1339" s="151">
        <v>0.32</v>
      </c>
      <c r="U1339" s="151"/>
      <c r="V1339" s="149">
        <v>0.25</v>
      </c>
      <c r="W1339" s="151">
        <f t="shared" si="84"/>
        <v>1.49</v>
      </c>
      <c r="X1339" s="152">
        <f t="shared" si="82"/>
        <v>0.12670000000000001</v>
      </c>
      <c r="Y1339" s="150">
        <f t="shared" si="81"/>
        <v>1.01</v>
      </c>
      <c r="Z1339" s="152"/>
      <c r="AA1339" s="148"/>
      <c r="AB1339" s="148"/>
      <c r="AC1339" s="153"/>
      <c r="AD1339" s="153"/>
      <c r="AE1339" s="153"/>
      <c r="AF1339" s="153"/>
      <c r="AJ1339" s="147"/>
    </row>
    <row r="1340" spans="1:36" x14ac:dyDescent="0.25">
      <c r="A1340" s="196">
        <v>2514</v>
      </c>
      <c r="B1340" s="196" t="s">
        <v>7212</v>
      </c>
      <c r="C1340" s="196" t="s">
        <v>7213</v>
      </c>
      <c r="D1340" s="196" t="s">
        <v>7214</v>
      </c>
      <c r="E1340" s="196" t="s">
        <v>1877</v>
      </c>
      <c r="F1340" s="196">
        <v>1992</v>
      </c>
      <c r="H1340" s="196" t="s">
        <v>2734</v>
      </c>
      <c r="I1340" s="184" t="s">
        <v>1914</v>
      </c>
      <c r="J1340" s="196" t="s">
        <v>7225</v>
      </c>
      <c r="K1340" s="196" t="s">
        <v>1881</v>
      </c>
      <c r="L1340" s="184" t="s">
        <v>7215</v>
      </c>
      <c r="M1340" s="196">
        <v>130</v>
      </c>
      <c r="O1340" s="196" t="s">
        <v>5468</v>
      </c>
      <c r="P1340" s="17">
        <v>280</v>
      </c>
      <c r="Q1340" s="175">
        <f>SUM(U1340:X1340)</f>
        <v>1.3317000000000001</v>
      </c>
      <c r="R1340" s="199">
        <v>0.99</v>
      </c>
      <c r="T1340" s="149">
        <v>0.32</v>
      </c>
      <c r="U1340" s="149"/>
      <c r="V1340" s="151">
        <v>0.25</v>
      </c>
      <c r="W1340" s="149">
        <f t="shared" si="84"/>
        <v>0.99</v>
      </c>
      <c r="X1340" s="152">
        <f t="shared" si="82"/>
        <v>9.1700000000000004E-2</v>
      </c>
      <c r="Y1340" s="150">
        <f t="shared" si="81"/>
        <v>1.01</v>
      </c>
      <c r="Z1340" s="152"/>
      <c r="AC1340" s="154"/>
      <c r="AD1340" s="154"/>
      <c r="AE1340" s="154"/>
      <c r="AF1340" s="154"/>
    </row>
    <row r="1341" spans="1:36" x14ac:dyDescent="0.25">
      <c r="A1341" s="196">
        <v>2514</v>
      </c>
      <c r="B1341" s="196" t="s">
        <v>7216</v>
      </c>
      <c r="C1341" s="196" t="s">
        <v>7217</v>
      </c>
      <c r="D1341" s="196" t="s">
        <v>4435</v>
      </c>
      <c r="F1341" s="196">
        <v>2004</v>
      </c>
      <c r="H1341" s="196" t="s">
        <v>2734</v>
      </c>
      <c r="I1341" s="184" t="s">
        <v>1879</v>
      </c>
      <c r="K1341" s="196" t="s">
        <v>1881</v>
      </c>
      <c r="L1341" s="184" t="s">
        <v>7218</v>
      </c>
      <c r="M1341" s="196">
        <v>238</v>
      </c>
      <c r="O1341" s="196" t="s">
        <v>5469</v>
      </c>
      <c r="P1341" s="17">
        <v>498</v>
      </c>
      <c r="Q1341" s="175">
        <f t="shared" ref="Q1341:Q1403" si="85">SUM(U1341:X1341)</f>
        <v>0.79669999999999996</v>
      </c>
      <c r="R1341" s="199">
        <v>0.49</v>
      </c>
      <c r="T1341" s="149">
        <v>0.32</v>
      </c>
      <c r="U1341" s="149"/>
      <c r="V1341" s="149">
        <v>0.25</v>
      </c>
      <c r="W1341" s="149">
        <f t="shared" si="84"/>
        <v>0.49</v>
      </c>
      <c r="X1341" s="152">
        <f t="shared" si="82"/>
        <v>5.6700000000000007E-2</v>
      </c>
      <c r="Y1341" s="150">
        <f t="shared" si="81"/>
        <v>1.01</v>
      </c>
      <c r="Z1341" s="152"/>
      <c r="AC1341" s="154"/>
      <c r="AD1341" s="154"/>
      <c r="AE1341" s="154"/>
      <c r="AF1341" s="154"/>
    </row>
    <row r="1342" spans="1:36" x14ac:dyDescent="0.25">
      <c r="A1342" s="196">
        <v>2514</v>
      </c>
      <c r="B1342" s="196" t="s">
        <v>7219</v>
      </c>
      <c r="C1342" s="196" t="s">
        <v>7220</v>
      </c>
      <c r="D1342" s="196" t="s">
        <v>2402</v>
      </c>
      <c r="F1342" s="196">
        <v>1992</v>
      </c>
      <c r="H1342" s="196" t="s">
        <v>2734</v>
      </c>
      <c r="I1342" s="184" t="s">
        <v>1914</v>
      </c>
      <c r="K1342" s="196" t="s">
        <v>1881</v>
      </c>
      <c r="L1342" s="184" t="s">
        <v>7221</v>
      </c>
      <c r="M1342" s="196">
        <v>126</v>
      </c>
      <c r="O1342" s="196" t="s">
        <v>5470</v>
      </c>
      <c r="P1342" s="17">
        <v>189</v>
      </c>
      <c r="Q1342" s="175">
        <f t="shared" si="85"/>
        <v>0.79669999999999996</v>
      </c>
      <c r="R1342" s="199">
        <v>0.49</v>
      </c>
      <c r="T1342" s="149">
        <v>0.32</v>
      </c>
      <c r="U1342" s="149"/>
      <c r="V1342" s="151">
        <v>0.25</v>
      </c>
      <c r="W1342" s="149">
        <f t="shared" si="84"/>
        <v>0.49</v>
      </c>
      <c r="X1342" s="152">
        <f t="shared" si="82"/>
        <v>5.6700000000000007E-2</v>
      </c>
      <c r="Y1342" s="150">
        <f t="shared" si="81"/>
        <v>1.01</v>
      </c>
      <c r="Z1342" s="152"/>
      <c r="AC1342" s="154"/>
      <c r="AD1342" s="154"/>
      <c r="AE1342" s="154"/>
      <c r="AF1342" s="154"/>
    </row>
    <row r="1343" spans="1:36" x14ac:dyDescent="0.25">
      <c r="A1343" s="196">
        <v>2514</v>
      </c>
      <c r="B1343" s="196" t="s">
        <v>7222</v>
      </c>
      <c r="C1343" s="196" t="s">
        <v>7223</v>
      </c>
      <c r="D1343" s="196" t="s">
        <v>2402</v>
      </c>
      <c r="F1343" s="196">
        <v>1993</v>
      </c>
      <c r="H1343" s="196" t="s">
        <v>2734</v>
      </c>
      <c r="I1343" s="184" t="s">
        <v>1879</v>
      </c>
      <c r="J1343" s="196" t="s">
        <v>7224</v>
      </c>
      <c r="K1343" s="196" t="s">
        <v>1881</v>
      </c>
      <c r="L1343" s="184" t="s">
        <v>7226</v>
      </c>
      <c r="M1343" s="196">
        <v>224</v>
      </c>
      <c r="O1343" s="196" t="s">
        <v>5471</v>
      </c>
      <c r="P1343" s="17">
        <v>313</v>
      </c>
      <c r="Q1343" s="175">
        <f t="shared" si="85"/>
        <v>0.79669999999999996</v>
      </c>
      <c r="R1343" s="199">
        <v>0.49</v>
      </c>
      <c r="T1343" s="149">
        <v>0.32</v>
      </c>
      <c r="U1343" s="149"/>
      <c r="V1343" s="149">
        <v>0.25</v>
      </c>
      <c r="W1343" s="149">
        <f t="shared" si="84"/>
        <v>0.49</v>
      </c>
      <c r="X1343" s="152">
        <f t="shared" si="82"/>
        <v>5.6700000000000007E-2</v>
      </c>
      <c r="Y1343" s="150">
        <f t="shared" si="81"/>
        <v>1.01</v>
      </c>
      <c r="Z1343" s="152"/>
      <c r="AC1343" s="154"/>
      <c r="AD1343" s="154"/>
      <c r="AE1343" s="154"/>
      <c r="AF1343" s="154"/>
    </row>
    <row r="1344" spans="1:36" x14ac:dyDescent="0.25">
      <c r="A1344" s="196">
        <v>2514</v>
      </c>
      <c r="B1344" s="196" t="s">
        <v>7227</v>
      </c>
      <c r="C1344" s="196" t="s">
        <v>7228</v>
      </c>
      <c r="D1344" s="196" t="s">
        <v>3524</v>
      </c>
      <c r="E1344" s="196" t="s">
        <v>1913</v>
      </c>
      <c r="F1344" s="196">
        <v>2010</v>
      </c>
      <c r="H1344" s="196" t="s">
        <v>1878</v>
      </c>
      <c r="I1344" s="184" t="s">
        <v>1879</v>
      </c>
      <c r="K1344" s="196" t="s">
        <v>1881</v>
      </c>
      <c r="L1344" s="184" t="s">
        <v>7229</v>
      </c>
      <c r="M1344" s="196">
        <v>288</v>
      </c>
      <c r="O1344" s="196" t="s">
        <v>5472</v>
      </c>
      <c r="P1344" s="17">
        <v>331</v>
      </c>
      <c r="Q1344" s="175">
        <f t="shared" si="85"/>
        <v>1.4387000000000001</v>
      </c>
      <c r="R1344" s="199">
        <v>1.0900000000000001</v>
      </c>
      <c r="T1344" s="149">
        <v>0.32</v>
      </c>
      <c r="U1344" s="149"/>
      <c r="V1344" s="151">
        <v>0.25</v>
      </c>
      <c r="W1344" s="149">
        <f t="shared" si="84"/>
        <v>1.0900000000000001</v>
      </c>
      <c r="X1344" s="152">
        <f t="shared" si="82"/>
        <v>9.870000000000001E-2</v>
      </c>
      <c r="Y1344" s="150">
        <f t="shared" si="81"/>
        <v>1.01</v>
      </c>
      <c r="Z1344" s="152"/>
      <c r="AC1344" s="154"/>
      <c r="AD1344" s="154"/>
      <c r="AE1344" s="154"/>
      <c r="AF1344" s="154"/>
    </row>
    <row r="1345" spans="1:32" x14ac:dyDescent="0.25">
      <c r="Y1345" s="150">
        <f t="shared" si="81"/>
        <v>1.01</v>
      </c>
    </row>
    <row r="1346" spans="1:32" x14ac:dyDescent="0.25">
      <c r="A1346" s="196">
        <v>2514</v>
      </c>
      <c r="B1346" s="196" t="s">
        <v>7233</v>
      </c>
      <c r="C1346" s="196" t="s">
        <v>7234</v>
      </c>
      <c r="D1346" s="196" t="s">
        <v>2402</v>
      </c>
      <c r="F1346" s="196">
        <v>2010</v>
      </c>
      <c r="H1346" s="196" t="s">
        <v>2734</v>
      </c>
      <c r="I1346" s="184" t="s">
        <v>1879</v>
      </c>
      <c r="K1346" s="196" t="s">
        <v>1881</v>
      </c>
      <c r="L1346" s="184" t="s">
        <v>7235</v>
      </c>
      <c r="M1346" s="196">
        <v>98</v>
      </c>
      <c r="O1346" s="196" t="s">
        <v>5474</v>
      </c>
      <c r="P1346" s="17">
        <v>244</v>
      </c>
      <c r="Q1346" s="175">
        <f t="shared" si="85"/>
        <v>2.4017000000000004</v>
      </c>
      <c r="R1346" s="199">
        <v>1.99</v>
      </c>
      <c r="T1346" s="149">
        <v>0.32</v>
      </c>
      <c r="U1346" s="149"/>
      <c r="V1346" s="151">
        <v>0.25</v>
      </c>
      <c r="W1346" s="149">
        <f t="shared" si="84"/>
        <v>1.99</v>
      </c>
      <c r="X1346" s="152">
        <f t="shared" si="82"/>
        <v>0.16169999999999998</v>
      </c>
      <c r="Y1346" s="150">
        <f t="shared" si="81"/>
        <v>1.01</v>
      </c>
      <c r="Z1346" s="152"/>
      <c r="AC1346" s="154"/>
      <c r="AD1346" s="154"/>
      <c r="AE1346" s="154"/>
      <c r="AF1346" s="154"/>
    </row>
    <row r="1347" spans="1:32" x14ac:dyDescent="0.25">
      <c r="A1347" s="196">
        <v>2514</v>
      </c>
      <c r="B1347" s="196" t="s">
        <v>7236</v>
      </c>
      <c r="C1347" s="196" t="s">
        <v>7237</v>
      </c>
      <c r="D1347" s="196" t="s">
        <v>2402</v>
      </c>
      <c r="F1347" s="196">
        <v>1976</v>
      </c>
      <c r="H1347" s="196" t="s">
        <v>2734</v>
      </c>
      <c r="I1347" s="184" t="s">
        <v>1914</v>
      </c>
      <c r="K1347" s="196" t="s">
        <v>1881</v>
      </c>
      <c r="L1347" s="184" t="s">
        <v>7238</v>
      </c>
      <c r="M1347" s="196">
        <v>126</v>
      </c>
      <c r="O1347" s="196" t="s">
        <v>5475</v>
      </c>
      <c r="P1347" s="17">
        <v>195</v>
      </c>
      <c r="Q1347" s="175">
        <f t="shared" si="85"/>
        <v>0.79669999999999996</v>
      </c>
      <c r="R1347" s="199">
        <v>0.49</v>
      </c>
      <c r="T1347" s="149">
        <v>0.32</v>
      </c>
      <c r="U1347" s="149"/>
      <c r="V1347" s="149">
        <v>0.25</v>
      </c>
      <c r="W1347" s="149">
        <f t="shared" si="84"/>
        <v>0.49</v>
      </c>
      <c r="X1347" s="152">
        <f t="shared" si="82"/>
        <v>5.6700000000000007E-2</v>
      </c>
      <c r="Y1347" s="150">
        <f t="shared" si="81"/>
        <v>1.01</v>
      </c>
      <c r="Z1347" s="152"/>
      <c r="AC1347" s="154"/>
      <c r="AD1347" s="154"/>
      <c r="AE1347" s="154"/>
      <c r="AF1347" s="154"/>
    </row>
    <row r="1348" spans="1:32" x14ac:dyDescent="0.25">
      <c r="A1348" s="196">
        <v>2514</v>
      </c>
      <c r="B1348" s="196" t="s">
        <v>7236</v>
      </c>
      <c r="C1348" s="196" t="s">
        <v>7239</v>
      </c>
      <c r="D1348" s="196" t="s">
        <v>2402</v>
      </c>
      <c r="F1348" s="196">
        <v>1972</v>
      </c>
      <c r="H1348" s="196" t="s">
        <v>2734</v>
      </c>
      <c r="I1348" s="184" t="s">
        <v>1914</v>
      </c>
      <c r="K1348" s="196" t="s">
        <v>1881</v>
      </c>
      <c r="L1348" s="184" t="s">
        <v>7240</v>
      </c>
      <c r="M1348" s="196">
        <v>126</v>
      </c>
      <c r="O1348" s="196" t="s">
        <v>5476</v>
      </c>
      <c r="P1348" s="17">
        <v>201</v>
      </c>
      <c r="Q1348" s="175">
        <f t="shared" si="85"/>
        <v>0.79669999999999996</v>
      </c>
      <c r="R1348" s="199">
        <v>0.49</v>
      </c>
      <c r="T1348" s="149">
        <v>0.32</v>
      </c>
      <c r="U1348" s="149"/>
      <c r="V1348" s="151">
        <v>0.25</v>
      </c>
      <c r="W1348" s="149">
        <f t="shared" si="84"/>
        <v>0.49</v>
      </c>
      <c r="X1348" s="152">
        <f t="shared" si="82"/>
        <v>5.6700000000000007E-2</v>
      </c>
      <c r="Y1348" s="150">
        <f t="shared" si="81"/>
        <v>1.01</v>
      </c>
      <c r="Z1348" s="152"/>
      <c r="AC1348" s="154"/>
      <c r="AD1348" s="154"/>
      <c r="AE1348" s="154"/>
      <c r="AF1348" s="154"/>
    </row>
    <row r="1349" spans="1:32" x14ac:dyDescent="0.25">
      <c r="A1349" s="196">
        <v>2776</v>
      </c>
      <c r="C1349" s="196" t="s">
        <v>7241</v>
      </c>
      <c r="D1349" s="196" t="s">
        <v>7242</v>
      </c>
      <c r="F1349" s="196">
        <v>2017</v>
      </c>
      <c r="H1349" s="196" t="s">
        <v>1878</v>
      </c>
      <c r="I1349" s="184" t="s">
        <v>1929</v>
      </c>
      <c r="J1349" s="182" t="s">
        <v>7243</v>
      </c>
      <c r="K1349" s="196" t="s">
        <v>1881</v>
      </c>
      <c r="L1349" s="184" t="s">
        <v>7244</v>
      </c>
      <c r="O1349" s="196" t="s">
        <v>5477</v>
      </c>
      <c r="P1349" s="17">
        <v>476</v>
      </c>
      <c r="Q1349" s="175">
        <f t="shared" si="85"/>
        <v>5.5689000000000002</v>
      </c>
      <c r="R1349" s="199">
        <v>4.95</v>
      </c>
      <c r="T1349" s="149">
        <v>0.32</v>
      </c>
      <c r="U1349" s="149"/>
      <c r="V1349" s="149">
        <v>0.25</v>
      </c>
      <c r="W1349" s="149">
        <f t="shared" si="84"/>
        <v>4.95</v>
      </c>
      <c r="X1349" s="152">
        <f t="shared" si="82"/>
        <v>0.36890000000000001</v>
      </c>
      <c r="Y1349" s="150">
        <f t="shared" si="81"/>
        <v>1.01</v>
      </c>
      <c r="Z1349" s="152"/>
      <c r="AC1349" s="154"/>
      <c r="AD1349" s="154"/>
      <c r="AE1349" s="154"/>
      <c r="AF1349" s="154"/>
    </row>
    <row r="1350" spans="1:32" x14ac:dyDescent="0.25">
      <c r="A1350" s="196">
        <v>2522</v>
      </c>
      <c r="B1350" s="196" t="s">
        <v>7245</v>
      </c>
      <c r="C1350" s="196" t="s">
        <v>7246</v>
      </c>
      <c r="D1350" s="196" t="s">
        <v>5005</v>
      </c>
      <c r="F1350" s="196">
        <v>2009</v>
      </c>
      <c r="H1350" s="196" t="s">
        <v>1878</v>
      </c>
      <c r="I1350" s="184" t="s">
        <v>1879</v>
      </c>
      <c r="K1350" s="196" t="s">
        <v>1881</v>
      </c>
      <c r="M1350" s="196">
        <v>416</v>
      </c>
      <c r="O1350" s="196" t="s">
        <v>5478</v>
      </c>
      <c r="P1350" s="17">
        <v>302</v>
      </c>
      <c r="Q1350" s="175">
        <f t="shared" si="85"/>
        <v>0.79669999999999996</v>
      </c>
      <c r="R1350" s="199">
        <v>0.49</v>
      </c>
      <c r="T1350" s="149">
        <v>0.32</v>
      </c>
      <c r="U1350" s="149"/>
      <c r="V1350" s="151">
        <v>0.25</v>
      </c>
      <c r="W1350" s="149">
        <f t="shared" si="84"/>
        <v>0.49</v>
      </c>
      <c r="X1350" s="152">
        <f t="shared" si="82"/>
        <v>5.6700000000000007E-2</v>
      </c>
      <c r="Y1350" s="150">
        <f t="shared" si="81"/>
        <v>1.01</v>
      </c>
      <c r="Z1350" s="152"/>
      <c r="AC1350" s="154"/>
      <c r="AD1350" s="154"/>
      <c r="AE1350" s="154"/>
      <c r="AF1350" s="154"/>
    </row>
    <row r="1351" spans="1:32" x14ac:dyDescent="0.25">
      <c r="A1351" s="196">
        <v>2518</v>
      </c>
      <c r="B1351" s="196" t="s">
        <v>5033</v>
      </c>
      <c r="C1351" s="196" t="s">
        <v>7247</v>
      </c>
      <c r="D1351" s="196" t="s">
        <v>7248</v>
      </c>
      <c r="E1351" s="196" t="s">
        <v>2937</v>
      </c>
      <c r="F1351" s="196">
        <v>2004</v>
      </c>
      <c r="H1351" s="196" t="s">
        <v>1878</v>
      </c>
      <c r="I1351" s="184" t="s">
        <v>1879</v>
      </c>
      <c r="K1351" s="196" t="s">
        <v>1881</v>
      </c>
      <c r="L1351" s="184" t="s">
        <v>7249</v>
      </c>
      <c r="M1351" s="196">
        <v>352</v>
      </c>
      <c r="O1351" s="196" t="s">
        <v>5479</v>
      </c>
      <c r="P1351" s="17">
        <v>254</v>
      </c>
      <c r="Q1351" s="175">
        <f t="shared" si="85"/>
        <v>0.79669999999999996</v>
      </c>
      <c r="R1351" s="199">
        <v>0.49</v>
      </c>
      <c r="T1351" s="149">
        <v>0.32</v>
      </c>
      <c r="U1351" s="149"/>
      <c r="V1351" s="149">
        <v>0.25</v>
      </c>
      <c r="W1351" s="149">
        <f t="shared" si="84"/>
        <v>0.49</v>
      </c>
      <c r="X1351" s="152">
        <f t="shared" si="82"/>
        <v>5.6700000000000007E-2</v>
      </c>
      <c r="Y1351" s="150">
        <f t="shared" si="81"/>
        <v>1.01</v>
      </c>
      <c r="Z1351" s="152"/>
      <c r="AC1351" s="154"/>
      <c r="AD1351" s="154"/>
      <c r="AE1351" s="154"/>
      <c r="AF1351" s="154"/>
    </row>
    <row r="1352" spans="1:32" x14ac:dyDescent="0.25">
      <c r="A1352" s="196">
        <v>1386</v>
      </c>
      <c r="B1352" s="196" t="s">
        <v>2242</v>
      </c>
      <c r="C1352" s="196" t="s">
        <v>7250</v>
      </c>
      <c r="D1352" s="196" t="s">
        <v>2609</v>
      </c>
      <c r="F1352" s="196">
        <v>1994</v>
      </c>
      <c r="H1352" s="196" t="s">
        <v>1878</v>
      </c>
      <c r="I1352" s="184" t="s">
        <v>6422</v>
      </c>
      <c r="K1352" s="196" t="s">
        <v>1881</v>
      </c>
      <c r="L1352" s="184" t="s">
        <v>7251</v>
      </c>
      <c r="M1352" s="196">
        <v>288</v>
      </c>
      <c r="O1352" s="196" t="s">
        <v>5480</v>
      </c>
      <c r="P1352" s="17">
        <v>186</v>
      </c>
      <c r="Q1352" s="175">
        <f t="shared" si="85"/>
        <v>0.79669999999999996</v>
      </c>
      <c r="R1352" s="199">
        <v>0.49</v>
      </c>
      <c r="T1352" s="149">
        <v>0.32</v>
      </c>
      <c r="U1352" s="149"/>
      <c r="V1352" s="151">
        <v>0.25</v>
      </c>
      <c r="W1352" s="149">
        <f t="shared" si="84"/>
        <v>0.49</v>
      </c>
      <c r="X1352" s="152">
        <f t="shared" si="82"/>
        <v>5.6700000000000007E-2</v>
      </c>
      <c r="Y1352" s="150">
        <f t="shared" si="81"/>
        <v>1.01</v>
      </c>
      <c r="Z1352" s="152"/>
      <c r="AC1352" s="154"/>
      <c r="AD1352" s="154"/>
      <c r="AE1352" s="154"/>
      <c r="AF1352" s="154"/>
    </row>
    <row r="1353" spans="1:32" x14ac:dyDescent="0.25">
      <c r="A1353" s="196">
        <v>2851</v>
      </c>
      <c r="B1353" s="196" t="s">
        <v>7252</v>
      </c>
      <c r="C1353" s="143" t="s">
        <v>7253</v>
      </c>
      <c r="D1353" s="196" t="s">
        <v>1920</v>
      </c>
      <c r="F1353" s="196">
        <v>1998</v>
      </c>
      <c r="H1353" s="196" t="s">
        <v>1878</v>
      </c>
      <c r="I1353" s="184" t="s">
        <v>1914</v>
      </c>
      <c r="K1353" s="196" t="s">
        <v>1881</v>
      </c>
      <c r="L1353" s="184" t="s">
        <v>7254</v>
      </c>
      <c r="M1353" s="196">
        <v>392</v>
      </c>
      <c r="O1353" s="196" t="s">
        <v>5481</v>
      </c>
      <c r="P1353" s="17">
        <v>329</v>
      </c>
      <c r="Q1353" s="175">
        <f t="shared" si="85"/>
        <v>1.3317000000000001</v>
      </c>
      <c r="R1353" s="199">
        <v>0.99</v>
      </c>
      <c r="T1353" s="149">
        <v>0.32</v>
      </c>
      <c r="U1353" s="149"/>
      <c r="V1353" s="149">
        <v>0.25</v>
      </c>
      <c r="W1353" s="149">
        <f t="shared" si="84"/>
        <v>0.99</v>
      </c>
      <c r="X1353" s="152">
        <f t="shared" si="82"/>
        <v>9.1700000000000004E-2</v>
      </c>
      <c r="Y1353" s="150">
        <f t="shared" si="81"/>
        <v>1.01</v>
      </c>
      <c r="Z1353" s="152"/>
      <c r="AC1353" s="154"/>
      <c r="AD1353" s="154"/>
      <c r="AE1353" s="154"/>
      <c r="AF1353" s="154"/>
    </row>
    <row r="1354" spans="1:32" x14ac:dyDescent="0.25">
      <c r="A1354" s="196">
        <v>2522</v>
      </c>
      <c r="B1354" s="196" t="s">
        <v>7255</v>
      </c>
      <c r="C1354" s="196" t="s">
        <v>7256</v>
      </c>
      <c r="D1354" s="196" t="s">
        <v>2300</v>
      </c>
      <c r="F1354" s="196">
        <v>1990</v>
      </c>
      <c r="H1354" s="196" t="s">
        <v>1878</v>
      </c>
      <c r="I1354" s="184" t="s">
        <v>1914</v>
      </c>
      <c r="K1354" s="196" t="s">
        <v>1881</v>
      </c>
      <c r="L1354" s="184" t="s">
        <v>7257</v>
      </c>
      <c r="M1354" s="196">
        <v>542</v>
      </c>
      <c r="O1354" s="196" t="s">
        <v>5482</v>
      </c>
      <c r="P1354" s="17">
        <v>321</v>
      </c>
      <c r="Q1354" s="175">
        <f t="shared" si="85"/>
        <v>0.79669999999999996</v>
      </c>
      <c r="R1354" s="199">
        <v>0.49</v>
      </c>
      <c r="T1354" s="149">
        <v>0.32</v>
      </c>
      <c r="U1354" s="149"/>
      <c r="V1354" s="151">
        <v>0.25</v>
      </c>
      <c r="W1354" s="149">
        <f t="shared" si="84"/>
        <v>0.49</v>
      </c>
      <c r="X1354" s="152">
        <f t="shared" si="82"/>
        <v>5.6700000000000007E-2</v>
      </c>
      <c r="Y1354" s="150">
        <f t="shared" si="81"/>
        <v>1.01</v>
      </c>
      <c r="Z1354" s="152"/>
      <c r="AC1354" s="154"/>
      <c r="AD1354" s="154"/>
      <c r="AE1354" s="154"/>
      <c r="AF1354" s="154"/>
    </row>
    <row r="1355" spans="1:32" x14ac:dyDescent="0.25">
      <c r="A1355" s="196">
        <v>1327</v>
      </c>
      <c r="B1355" s="196" t="s">
        <v>7258</v>
      </c>
      <c r="C1355" s="196" t="s">
        <v>7259</v>
      </c>
      <c r="D1355" s="196" t="s">
        <v>7260</v>
      </c>
      <c r="F1355" s="196">
        <v>1970</v>
      </c>
      <c r="H1355" s="196" t="s">
        <v>2734</v>
      </c>
      <c r="I1355" s="184" t="s">
        <v>1879</v>
      </c>
      <c r="K1355" s="196" t="s">
        <v>1881</v>
      </c>
      <c r="M1355" s="196">
        <v>402</v>
      </c>
      <c r="O1355" s="196" t="s">
        <v>5483</v>
      </c>
      <c r="P1355" s="17">
        <v>577</v>
      </c>
      <c r="Q1355" s="175">
        <f t="shared" si="85"/>
        <v>0.79669999999999996</v>
      </c>
      <c r="R1355" s="199">
        <v>0.49</v>
      </c>
      <c r="T1355" s="149">
        <v>0.32</v>
      </c>
      <c r="U1355" s="149"/>
      <c r="V1355" s="149">
        <v>0.25</v>
      </c>
      <c r="W1355" s="149">
        <f t="shared" si="84"/>
        <v>0.49</v>
      </c>
      <c r="X1355" s="152">
        <f t="shared" si="82"/>
        <v>5.6700000000000007E-2</v>
      </c>
      <c r="Y1355" s="150">
        <f t="shared" si="81"/>
        <v>1.01</v>
      </c>
      <c r="Z1355" s="152"/>
      <c r="AC1355" s="154"/>
      <c r="AD1355" s="154"/>
      <c r="AE1355" s="154"/>
      <c r="AF1355" s="154"/>
    </row>
    <row r="1356" spans="1:32" x14ac:dyDescent="0.25">
      <c r="A1356" s="196">
        <v>2518</v>
      </c>
      <c r="B1356" s="196" t="s">
        <v>5033</v>
      </c>
      <c r="C1356" s="196" t="s">
        <v>7261</v>
      </c>
      <c r="D1356" s="196" t="s">
        <v>7260</v>
      </c>
      <c r="F1356" s="196">
        <v>2001</v>
      </c>
      <c r="H1356" s="196" t="s">
        <v>2734</v>
      </c>
      <c r="I1356" s="184" t="s">
        <v>1929</v>
      </c>
      <c r="J1356" s="182" t="s">
        <v>7262</v>
      </c>
      <c r="K1356" s="196" t="s">
        <v>1881</v>
      </c>
      <c r="L1356" s="184" t="s">
        <v>7263</v>
      </c>
      <c r="M1356" s="196">
        <v>386</v>
      </c>
      <c r="O1356" s="196" t="s">
        <v>5484</v>
      </c>
      <c r="P1356" s="17">
        <v>578</v>
      </c>
      <c r="Q1356" s="175">
        <f t="shared" si="85"/>
        <v>0.79669999999999996</v>
      </c>
      <c r="R1356" s="199">
        <v>0.49</v>
      </c>
      <c r="T1356" s="149">
        <v>0.32</v>
      </c>
      <c r="U1356" s="149"/>
      <c r="V1356" s="151">
        <v>0.25</v>
      </c>
      <c r="W1356" s="149">
        <f t="shared" si="84"/>
        <v>0.49</v>
      </c>
      <c r="X1356" s="152">
        <f t="shared" si="82"/>
        <v>5.6700000000000007E-2</v>
      </c>
      <c r="Y1356" s="150">
        <f t="shared" si="81"/>
        <v>1.01</v>
      </c>
      <c r="Z1356" s="152"/>
      <c r="AC1356" s="154"/>
      <c r="AD1356" s="154"/>
      <c r="AE1356" s="154"/>
      <c r="AF1356" s="154"/>
    </row>
    <row r="1357" spans="1:32" x14ac:dyDescent="0.25">
      <c r="A1357" s="196">
        <v>2522</v>
      </c>
      <c r="B1357" s="196" t="s">
        <v>2889</v>
      </c>
      <c r="C1357" s="196" t="s">
        <v>7264</v>
      </c>
      <c r="D1357" s="196" t="s">
        <v>2054</v>
      </c>
      <c r="E1357" s="196" t="s">
        <v>3141</v>
      </c>
      <c r="F1357" s="196">
        <v>2008</v>
      </c>
      <c r="H1357" s="196" t="s">
        <v>1878</v>
      </c>
      <c r="I1357" s="184" t="s">
        <v>1929</v>
      </c>
      <c r="K1357" s="196" t="s">
        <v>1881</v>
      </c>
      <c r="L1357" s="184" t="s">
        <v>7265</v>
      </c>
      <c r="M1357" s="196">
        <v>320</v>
      </c>
      <c r="O1357" s="196" t="s">
        <v>5485</v>
      </c>
      <c r="P1357" s="17">
        <v>308</v>
      </c>
      <c r="Q1357" s="175">
        <f t="shared" si="85"/>
        <v>1.2247000000000001</v>
      </c>
      <c r="R1357" s="199">
        <v>0.89</v>
      </c>
      <c r="T1357" s="149">
        <v>0.32</v>
      </c>
      <c r="U1357" s="149"/>
      <c r="V1357" s="149">
        <v>0.25</v>
      </c>
      <c r="W1357" s="149">
        <f t="shared" si="84"/>
        <v>0.89</v>
      </c>
      <c r="X1357" s="152">
        <f t="shared" si="82"/>
        <v>8.4699999999999998E-2</v>
      </c>
      <c r="Y1357" s="150">
        <f t="shared" si="81"/>
        <v>1.01</v>
      </c>
      <c r="Z1357" s="152"/>
      <c r="AC1357" s="154"/>
      <c r="AD1357" s="154"/>
      <c r="AE1357" s="154"/>
      <c r="AF1357" s="154"/>
    </row>
    <row r="1358" spans="1:32" x14ac:dyDescent="0.25">
      <c r="A1358" s="196">
        <v>735</v>
      </c>
      <c r="B1358" s="196" t="s">
        <v>7266</v>
      </c>
      <c r="C1358" s="196" t="s">
        <v>7267</v>
      </c>
      <c r="D1358" s="196" t="s">
        <v>2209</v>
      </c>
      <c r="E1358" s="196" t="s">
        <v>1921</v>
      </c>
      <c r="F1358" s="196">
        <v>1987</v>
      </c>
      <c r="H1358" s="196" t="s">
        <v>1878</v>
      </c>
      <c r="I1358" s="184" t="s">
        <v>1914</v>
      </c>
      <c r="K1358" s="196" t="s">
        <v>1881</v>
      </c>
      <c r="L1358" s="184" t="s">
        <v>7268</v>
      </c>
      <c r="M1358" s="196">
        <v>288</v>
      </c>
      <c r="O1358" s="196" t="s">
        <v>5486</v>
      </c>
      <c r="P1358" s="17">
        <v>160</v>
      </c>
      <c r="Q1358" s="175">
        <f t="shared" si="85"/>
        <v>0.79669999999999996</v>
      </c>
      <c r="R1358" s="199">
        <v>0.49</v>
      </c>
      <c r="T1358" s="149">
        <v>0.32</v>
      </c>
      <c r="U1358" s="149"/>
      <c r="V1358" s="151">
        <v>0.25</v>
      </c>
      <c r="W1358" s="149">
        <f t="shared" si="84"/>
        <v>0.49</v>
      </c>
      <c r="X1358" s="152">
        <f t="shared" si="82"/>
        <v>5.6700000000000007E-2</v>
      </c>
      <c r="Y1358" s="150">
        <f t="shared" si="81"/>
        <v>1.01</v>
      </c>
      <c r="Z1358" s="152"/>
      <c r="AC1358" s="154"/>
      <c r="AD1358" s="154"/>
      <c r="AE1358" s="154"/>
      <c r="AF1358" s="154"/>
    </row>
    <row r="1359" spans="1:32" x14ac:dyDescent="0.25">
      <c r="A1359" s="196">
        <v>2681</v>
      </c>
      <c r="C1359" s="196" t="s">
        <v>7269</v>
      </c>
      <c r="D1359" s="196" t="s">
        <v>1927</v>
      </c>
      <c r="H1359" s="196" t="s">
        <v>2734</v>
      </c>
      <c r="I1359" s="184" t="s">
        <v>1929</v>
      </c>
      <c r="K1359" s="196" t="s">
        <v>1881</v>
      </c>
      <c r="L1359" s="184" t="s">
        <v>7270</v>
      </c>
      <c r="M1359" s="196">
        <v>210</v>
      </c>
      <c r="O1359" s="196" t="s">
        <v>5487</v>
      </c>
      <c r="P1359" s="17">
        <v>312</v>
      </c>
      <c r="Q1359" s="175">
        <f t="shared" si="85"/>
        <v>1.3317000000000001</v>
      </c>
      <c r="R1359" s="199">
        <v>0.99</v>
      </c>
      <c r="T1359" s="149">
        <v>0.32</v>
      </c>
      <c r="U1359" s="149"/>
      <c r="V1359" s="149">
        <v>0.25</v>
      </c>
      <c r="W1359" s="149">
        <f t="shared" si="84"/>
        <v>0.99</v>
      </c>
      <c r="X1359" s="152">
        <f t="shared" si="82"/>
        <v>9.1700000000000004E-2</v>
      </c>
      <c r="Y1359" s="150">
        <f t="shared" si="81"/>
        <v>1.01</v>
      </c>
      <c r="Z1359" s="152"/>
      <c r="AC1359" s="154"/>
      <c r="AD1359" s="154"/>
      <c r="AE1359" s="154"/>
      <c r="AF1359" s="154"/>
    </row>
    <row r="1360" spans="1:32" x14ac:dyDescent="0.25">
      <c r="A1360" s="196">
        <v>632</v>
      </c>
      <c r="B1360" s="196" t="s">
        <v>2870</v>
      </c>
      <c r="C1360" s="196" t="s">
        <v>5050</v>
      </c>
      <c r="D1360" s="196" t="s">
        <v>2609</v>
      </c>
      <c r="E1360" s="196" t="s">
        <v>2055</v>
      </c>
      <c r="F1360" s="196">
        <v>1988</v>
      </c>
      <c r="H1360" s="196" t="s">
        <v>2734</v>
      </c>
      <c r="I1360" s="184" t="s">
        <v>1879</v>
      </c>
      <c r="K1360" s="196" t="s">
        <v>1881</v>
      </c>
      <c r="M1360" s="196">
        <v>658</v>
      </c>
      <c r="O1360" s="196" t="s">
        <v>5488</v>
      </c>
      <c r="P1360" s="17">
        <v>837</v>
      </c>
      <c r="Q1360" s="175">
        <f t="shared" si="85"/>
        <v>0.79669999999999996</v>
      </c>
      <c r="R1360" s="199">
        <v>0.49</v>
      </c>
      <c r="T1360" s="149">
        <v>0.32</v>
      </c>
      <c r="U1360" s="149"/>
      <c r="V1360" s="151">
        <v>0.25</v>
      </c>
      <c r="W1360" s="149">
        <f t="shared" si="84"/>
        <v>0.49</v>
      </c>
      <c r="X1360" s="152">
        <f t="shared" si="82"/>
        <v>5.6700000000000007E-2</v>
      </c>
      <c r="Y1360" s="150">
        <f t="shared" si="81"/>
        <v>1.01</v>
      </c>
      <c r="Z1360" s="152"/>
      <c r="AC1360" s="154"/>
      <c r="AD1360" s="154"/>
      <c r="AE1360" s="154"/>
      <c r="AF1360" s="154"/>
    </row>
    <row r="1361" spans="1:32" x14ac:dyDescent="0.25">
      <c r="A1361" s="196">
        <v>774</v>
      </c>
      <c r="B1361" s="196" t="s">
        <v>7271</v>
      </c>
      <c r="C1361" s="196" t="s">
        <v>7272</v>
      </c>
      <c r="D1361" s="196" t="s">
        <v>2209</v>
      </c>
      <c r="E1361" s="196" t="s">
        <v>1921</v>
      </c>
      <c r="F1361" s="196">
        <v>1985</v>
      </c>
      <c r="H1361" s="196" t="s">
        <v>1878</v>
      </c>
      <c r="I1361" s="184" t="s">
        <v>1914</v>
      </c>
      <c r="K1361" s="196" t="s">
        <v>1881</v>
      </c>
      <c r="L1361" s="184" t="s">
        <v>7273</v>
      </c>
      <c r="M1361" s="196">
        <v>224</v>
      </c>
      <c r="O1361" s="196" t="s">
        <v>5489</v>
      </c>
      <c r="P1361" s="17">
        <v>156</v>
      </c>
      <c r="Q1361" s="175">
        <f t="shared" si="85"/>
        <v>1.0106999999999999</v>
      </c>
      <c r="R1361" s="199">
        <v>0.69</v>
      </c>
      <c r="T1361" s="149">
        <v>0.32</v>
      </c>
      <c r="U1361" s="149"/>
      <c r="V1361" s="149">
        <v>0.25</v>
      </c>
      <c r="W1361" s="149">
        <f t="shared" si="84"/>
        <v>0.69</v>
      </c>
      <c r="X1361" s="152">
        <f t="shared" si="82"/>
        <v>7.0699999999999999E-2</v>
      </c>
      <c r="Y1361" s="150">
        <f t="shared" si="81"/>
        <v>1.01</v>
      </c>
      <c r="Z1361" s="152"/>
      <c r="AC1361" s="154"/>
      <c r="AD1361" s="154"/>
      <c r="AE1361" s="154"/>
      <c r="AF1361" s="154"/>
    </row>
    <row r="1362" spans="1:32" x14ac:dyDescent="0.25">
      <c r="A1362" s="196">
        <v>735</v>
      </c>
      <c r="B1362" s="196" t="s">
        <v>7274</v>
      </c>
      <c r="C1362" s="196" t="s">
        <v>7275</v>
      </c>
      <c r="D1362" s="196" t="s">
        <v>1912</v>
      </c>
      <c r="E1362" s="196" t="s">
        <v>1899</v>
      </c>
      <c r="F1362" s="196">
        <v>1984</v>
      </c>
      <c r="H1362" s="196" t="s">
        <v>1878</v>
      </c>
      <c r="I1362" s="184" t="s">
        <v>1914</v>
      </c>
      <c r="K1362" s="196" t="s">
        <v>1881</v>
      </c>
      <c r="L1362" s="184" t="s">
        <v>7276</v>
      </c>
      <c r="M1362" s="196">
        <v>368</v>
      </c>
      <c r="O1362" s="196" t="s">
        <v>5490</v>
      </c>
      <c r="P1362" s="17">
        <v>217</v>
      </c>
      <c r="Q1362" s="175">
        <f t="shared" si="85"/>
        <v>0.79669999999999996</v>
      </c>
      <c r="R1362" s="199">
        <v>0.49</v>
      </c>
      <c r="T1362" s="149">
        <v>0.32</v>
      </c>
      <c r="U1362" s="149"/>
      <c r="V1362" s="151">
        <v>0.25</v>
      </c>
      <c r="W1362" s="149">
        <f t="shared" si="84"/>
        <v>0.49</v>
      </c>
      <c r="X1362" s="152">
        <f t="shared" si="82"/>
        <v>5.6700000000000007E-2</v>
      </c>
      <c r="Y1362" s="150">
        <f t="shared" si="81"/>
        <v>1.01</v>
      </c>
      <c r="Z1362" s="152"/>
      <c r="AC1362" s="154"/>
      <c r="AD1362" s="154"/>
      <c r="AE1362" s="154"/>
      <c r="AF1362" s="154"/>
    </row>
    <row r="1363" spans="1:32" x14ac:dyDescent="0.25">
      <c r="A1363" s="196">
        <v>2522</v>
      </c>
      <c r="B1363" s="196" t="s">
        <v>7277</v>
      </c>
      <c r="C1363" s="196" t="s">
        <v>7278</v>
      </c>
      <c r="D1363" s="196" t="s">
        <v>2209</v>
      </c>
      <c r="F1363" s="196">
        <v>1998</v>
      </c>
      <c r="H1363" s="196" t="s">
        <v>1878</v>
      </c>
      <c r="I1363" s="184" t="s">
        <v>1914</v>
      </c>
      <c r="K1363" s="196" t="s">
        <v>1881</v>
      </c>
      <c r="L1363" s="184" t="s">
        <v>7279</v>
      </c>
      <c r="M1363" s="196">
        <v>576</v>
      </c>
      <c r="O1363" s="196" t="s">
        <v>5491</v>
      </c>
      <c r="P1363" s="17">
        <v>319</v>
      </c>
      <c r="Q1363" s="175">
        <f t="shared" si="85"/>
        <v>0.79669999999999996</v>
      </c>
      <c r="R1363" s="199">
        <v>0.49</v>
      </c>
      <c r="T1363" s="149">
        <v>0.32</v>
      </c>
      <c r="U1363" s="149"/>
      <c r="V1363" s="149">
        <v>0.25</v>
      </c>
      <c r="W1363" s="149">
        <f t="shared" si="84"/>
        <v>0.49</v>
      </c>
      <c r="X1363" s="152">
        <f t="shared" si="82"/>
        <v>5.6700000000000007E-2</v>
      </c>
      <c r="Y1363" s="150">
        <f t="shared" si="81"/>
        <v>1.01</v>
      </c>
      <c r="Z1363" s="152"/>
      <c r="AC1363" s="154"/>
      <c r="AD1363" s="154"/>
      <c r="AE1363" s="154"/>
      <c r="AF1363" s="154"/>
    </row>
    <row r="1364" spans="1:32" x14ac:dyDescent="0.25">
      <c r="A1364" s="196">
        <v>2894</v>
      </c>
      <c r="B1364" s="196" t="s">
        <v>7280</v>
      </c>
      <c r="C1364" s="196" t="s">
        <v>7281</v>
      </c>
      <c r="D1364" s="196" t="s">
        <v>7280</v>
      </c>
      <c r="E1364" s="196" t="s">
        <v>1877</v>
      </c>
      <c r="F1364" s="196">
        <v>2013</v>
      </c>
      <c r="H1364" s="196" t="s">
        <v>1878</v>
      </c>
      <c r="I1364" s="184" t="s">
        <v>1929</v>
      </c>
      <c r="K1364" s="196" t="s">
        <v>1881</v>
      </c>
      <c r="L1364" s="184" t="s">
        <v>7282</v>
      </c>
      <c r="M1364" s="196">
        <v>30</v>
      </c>
      <c r="O1364" s="196" t="s">
        <v>5492</v>
      </c>
      <c r="P1364" s="17">
        <v>54</v>
      </c>
      <c r="Q1364" s="175">
        <f t="shared" si="85"/>
        <v>0.79669999999999996</v>
      </c>
      <c r="R1364" s="199">
        <v>0.49</v>
      </c>
      <c r="T1364" s="149">
        <v>0.32</v>
      </c>
      <c r="U1364" s="149"/>
      <c r="V1364" s="151">
        <v>0.25</v>
      </c>
      <c r="W1364" s="149">
        <f t="shared" si="84"/>
        <v>0.49</v>
      </c>
      <c r="X1364" s="152">
        <f t="shared" si="82"/>
        <v>5.6700000000000007E-2</v>
      </c>
      <c r="Y1364" s="150">
        <f t="shared" si="81"/>
        <v>1.01</v>
      </c>
      <c r="Z1364" s="152"/>
      <c r="AC1364" s="154"/>
      <c r="AD1364" s="154"/>
      <c r="AE1364" s="154"/>
      <c r="AF1364" s="154"/>
    </row>
    <row r="1365" spans="1:32" x14ac:dyDescent="0.25">
      <c r="A1365" s="196">
        <v>2522</v>
      </c>
      <c r="B1365" s="196" t="s">
        <v>7283</v>
      </c>
      <c r="C1365" s="196" t="s">
        <v>7284</v>
      </c>
      <c r="D1365" s="196" t="s">
        <v>1920</v>
      </c>
      <c r="F1365" s="196">
        <v>2014</v>
      </c>
      <c r="H1365" s="196" t="s">
        <v>1878</v>
      </c>
      <c r="I1365" s="184" t="s">
        <v>1879</v>
      </c>
      <c r="J1365" s="52" t="s">
        <v>3854</v>
      </c>
      <c r="K1365" s="196" t="s">
        <v>1881</v>
      </c>
      <c r="L1365" s="184" t="s">
        <v>7285</v>
      </c>
      <c r="M1365" s="196">
        <v>512</v>
      </c>
      <c r="O1365" s="196" t="s">
        <v>5493</v>
      </c>
      <c r="P1365" s="17">
        <v>439</v>
      </c>
      <c r="Q1365" s="175">
        <f t="shared" si="85"/>
        <v>1.8667</v>
      </c>
      <c r="R1365" s="199">
        <v>1.49</v>
      </c>
      <c r="T1365" s="149">
        <v>0.32</v>
      </c>
      <c r="U1365" s="149"/>
      <c r="V1365" s="149">
        <v>0.25</v>
      </c>
      <c r="W1365" s="149">
        <f t="shared" si="84"/>
        <v>1.49</v>
      </c>
      <c r="X1365" s="152">
        <f t="shared" si="82"/>
        <v>0.12670000000000001</v>
      </c>
      <c r="Y1365" s="150">
        <f t="shared" si="81"/>
        <v>1.01</v>
      </c>
      <c r="Z1365" s="152"/>
      <c r="AC1365" s="154"/>
      <c r="AD1365" s="154"/>
      <c r="AE1365" s="154"/>
      <c r="AF1365" s="154"/>
    </row>
    <row r="1366" spans="1:32" x14ac:dyDescent="0.25">
      <c r="A1366" s="196">
        <v>1231</v>
      </c>
      <c r="B1366" s="196" t="s">
        <v>7286</v>
      </c>
      <c r="C1366" s="196" t="s">
        <v>7287</v>
      </c>
      <c r="D1366" s="196" t="s">
        <v>7288</v>
      </c>
      <c r="F1366" s="196">
        <v>2002</v>
      </c>
      <c r="H1366" s="196" t="s">
        <v>1878</v>
      </c>
      <c r="I1366" s="184" t="s">
        <v>1914</v>
      </c>
      <c r="K1366" s="196" t="s">
        <v>1881</v>
      </c>
      <c r="L1366" s="184" t="s">
        <v>7289</v>
      </c>
      <c r="M1366" s="196">
        <v>224</v>
      </c>
      <c r="O1366" s="196" t="s">
        <v>5494</v>
      </c>
      <c r="P1366" s="17">
        <v>315</v>
      </c>
      <c r="Q1366" s="175">
        <f t="shared" si="85"/>
        <v>5.0767000000000007</v>
      </c>
      <c r="R1366" s="199">
        <v>4.49</v>
      </c>
      <c r="T1366" s="149">
        <v>0.32</v>
      </c>
      <c r="U1366" s="149"/>
      <c r="V1366" s="151">
        <v>0.25</v>
      </c>
      <c r="W1366" s="149">
        <f t="shared" si="84"/>
        <v>4.49</v>
      </c>
      <c r="X1366" s="152">
        <f t="shared" si="82"/>
        <v>0.3367</v>
      </c>
      <c r="Y1366" s="150">
        <f t="shared" si="81"/>
        <v>1.01</v>
      </c>
      <c r="Z1366" s="152"/>
      <c r="AC1366" s="154"/>
      <c r="AD1366" s="154"/>
      <c r="AE1366" s="154"/>
      <c r="AF1366" s="154"/>
    </row>
    <row r="1367" spans="1:32" x14ac:dyDescent="0.25">
      <c r="A1367" s="196">
        <v>692</v>
      </c>
      <c r="B1367" s="196" t="s">
        <v>7290</v>
      </c>
      <c r="C1367" s="196" t="s">
        <v>7291</v>
      </c>
      <c r="D1367" s="196" t="s">
        <v>2609</v>
      </c>
      <c r="F1367" s="196">
        <v>1999</v>
      </c>
      <c r="H1367" s="196" t="s">
        <v>1878</v>
      </c>
      <c r="I1367" s="184" t="s">
        <v>1879</v>
      </c>
      <c r="K1367" s="196" t="s">
        <v>1881</v>
      </c>
      <c r="L1367" s="184" t="s">
        <v>7292</v>
      </c>
      <c r="M1367" s="196">
        <v>288</v>
      </c>
      <c r="O1367" s="196" t="s">
        <v>5495</v>
      </c>
      <c r="P1367" s="17">
        <v>246</v>
      </c>
      <c r="Q1367" s="175">
        <f t="shared" si="85"/>
        <v>1.2247000000000001</v>
      </c>
      <c r="R1367" s="199">
        <v>0.89</v>
      </c>
      <c r="T1367" s="149">
        <v>0.32</v>
      </c>
      <c r="U1367" s="149"/>
      <c r="V1367" s="149">
        <v>0.25</v>
      </c>
      <c r="W1367" s="149">
        <f t="shared" si="84"/>
        <v>0.89</v>
      </c>
      <c r="X1367" s="152">
        <f t="shared" si="82"/>
        <v>8.4699999999999998E-2</v>
      </c>
      <c r="Y1367" s="150">
        <f t="shared" si="81"/>
        <v>1.01</v>
      </c>
      <c r="Z1367" s="152"/>
      <c r="AC1367" s="154"/>
      <c r="AD1367" s="154"/>
      <c r="AE1367" s="154"/>
      <c r="AF1367" s="154"/>
    </row>
    <row r="1368" spans="1:32" x14ac:dyDescent="0.25">
      <c r="A1368" s="196">
        <v>1231</v>
      </c>
      <c r="B1368" s="196" t="s">
        <v>7293</v>
      </c>
      <c r="C1368" s="196" t="s">
        <v>7294</v>
      </c>
      <c r="D1368" s="196" t="s">
        <v>2394</v>
      </c>
      <c r="F1368" s="196">
        <v>1995</v>
      </c>
      <c r="H1368" s="196" t="s">
        <v>2734</v>
      </c>
      <c r="I1368" s="184" t="s">
        <v>1879</v>
      </c>
      <c r="K1368" s="196" t="s">
        <v>1881</v>
      </c>
      <c r="L1368" s="184" t="s">
        <v>7295</v>
      </c>
      <c r="M1368" s="196">
        <v>258</v>
      </c>
      <c r="O1368" s="196" t="s">
        <v>5496</v>
      </c>
      <c r="P1368" s="17">
        <v>410</v>
      </c>
      <c r="Q1368" s="175">
        <f t="shared" si="85"/>
        <v>0.79669999999999996</v>
      </c>
      <c r="R1368" s="199">
        <v>0.49</v>
      </c>
      <c r="T1368" s="149">
        <v>0.32</v>
      </c>
      <c r="U1368" s="149"/>
      <c r="V1368" s="151">
        <v>0.25</v>
      </c>
      <c r="W1368" s="149">
        <f t="shared" si="84"/>
        <v>0.49</v>
      </c>
      <c r="X1368" s="152">
        <f t="shared" si="82"/>
        <v>5.6700000000000007E-2</v>
      </c>
      <c r="Y1368" s="150">
        <f t="shared" si="81"/>
        <v>1.01</v>
      </c>
      <c r="Z1368" s="152"/>
      <c r="AC1368" s="154"/>
      <c r="AD1368" s="154"/>
      <c r="AE1368" s="154"/>
      <c r="AF1368" s="154"/>
    </row>
    <row r="1369" spans="1:32" x14ac:dyDescent="0.25">
      <c r="A1369" s="196">
        <v>1395</v>
      </c>
      <c r="B1369" s="196" t="s">
        <v>7296</v>
      </c>
      <c r="C1369" s="196" t="s">
        <v>7297</v>
      </c>
      <c r="D1369" s="196" t="s">
        <v>2257</v>
      </c>
      <c r="E1369" s="196" t="s">
        <v>1921</v>
      </c>
      <c r="F1369" s="196">
        <v>2003</v>
      </c>
      <c r="H1369" s="196" t="s">
        <v>1878</v>
      </c>
      <c r="I1369" s="184" t="s">
        <v>1914</v>
      </c>
      <c r="K1369" s="196" t="s">
        <v>1881</v>
      </c>
      <c r="L1369" s="184" t="s">
        <v>7298</v>
      </c>
      <c r="M1369" s="196">
        <v>384</v>
      </c>
      <c r="O1369" s="196" t="s">
        <v>5497</v>
      </c>
      <c r="P1369" s="17">
        <v>251</v>
      </c>
      <c r="Q1369" s="175">
        <f t="shared" si="85"/>
        <v>0.79669999999999996</v>
      </c>
      <c r="R1369" s="199">
        <v>0.49</v>
      </c>
      <c r="T1369" s="149">
        <v>0.32</v>
      </c>
      <c r="U1369" s="149"/>
      <c r="V1369" s="149">
        <v>0.25</v>
      </c>
      <c r="W1369" s="149">
        <f t="shared" si="84"/>
        <v>0.49</v>
      </c>
      <c r="X1369" s="152">
        <f t="shared" si="82"/>
        <v>5.6700000000000007E-2</v>
      </c>
      <c r="Y1369" s="150">
        <f t="shared" si="81"/>
        <v>1.01</v>
      </c>
      <c r="Z1369" s="152"/>
      <c r="AC1369" s="154"/>
      <c r="AD1369" s="154"/>
      <c r="AE1369" s="154"/>
      <c r="AF1369" s="154"/>
    </row>
    <row r="1370" spans="1:32" x14ac:dyDescent="0.25">
      <c r="A1370" s="196">
        <v>655</v>
      </c>
      <c r="B1370" s="196" t="s">
        <v>7299</v>
      </c>
      <c r="C1370" s="196" t="s">
        <v>7300</v>
      </c>
      <c r="D1370" s="196" t="s">
        <v>7301</v>
      </c>
      <c r="E1370" s="196" t="s">
        <v>1913</v>
      </c>
      <c r="F1370" s="196">
        <v>1999</v>
      </c>
      <c r="H1370" s="196" t="s">
        <v>2734</v>
      </c>
      <c r="I1370" s="184" t="s">
        <v>1879</v>
      </c>
      <c r="K1370" s="196" t="s">
        <v>1881</v>
      </c>
      <c r="L1370" s="184" t="s">
        <v>7302</v>
      </c>
      <c r="M1370" s="196">
        <v>146</v>
      </c>
      <c r="O1370" s="196" t="s">
        <v>5498</v>
      </c>
      <c r="P1370" s="17">
        <v>332</v>
      </c>
      <c r="Q1370" s="175">
        <f t="shared" si="85"/>
        <v>3.2576999999999998</v>
      </c>
      <c r="R1370" s="199">
        <v>2.79</v>
      </c>
      <c r="T1370" s="149">
        <v>0.32</v>
      </c>
      <c r="U1370" s="149"/>
      <c r="V1370" s="151">
        <v>0.25</v>
      </c>
      <c r="W1370" s="149">
        <f t="shared" si="84"/>
        <v>2.79</v>
      </c>
      <c r="X1370" s="152">
        <f t="shared" si="82"/>
        <v>0.2177</v>
      </c>
      <c r="Y1370" s="150">
        <f t="shared" si="81"/>
        <v>1.01</v>
      </c>
      <c r="Z1370" s="152"/>
      <c r="AC1370" s="154"/>
      <c r="AD1370" s="154"/>
      <c r="AE1370" s="154"/>
      <c r="AF1370" s="154"/>
    </row>
    <row r="1371" spans="1:32" x14ac:dyDescent="0.25">
      <c r="A1371" s="196">
        <v>765</v>
      </c>
      <c r="B1371" s="196" t="s">
        <v>7303</v>
      </c>
      <c r="C1371" s="196" t="s">
        <v>7304</v>
      </c>
      <c r="D1371" s="196" t="s">
        <v>4841</v>
      </c>
      <c r="F1371" s="196">
        <v>2011</v>
      </c>
      <c r="H1371" s="196" t="s">
        <v>2734</v>
      </c>
      <c r="I1371" s="184" t="s">
        <v>1929</v>
      </c>
      <c r="J1371" s="52" t="s">
        <v>3854</v>
      </c>
      <c r="K1371" s="196" t="s">
        <v>1881</v>
      </c>
      <c r="L1371" s="184" t="s">
        <v>7305</v>
      </c>
      <c r="M1371" s="196">
        <v>422</v>
      </c>
      <c r="O1371" s="196" t="s">
        <v>5499</v>
      </c>
      <c r="P1371" s="17">
        <v>685</v>
      </c>
      <c r="Q1371" s="175">
        <f t="shared" si="85"/>
        <v>4.0067000000000004</v>
      </c>
      <c r="R1371" s="199">
        <v>3.49</v>
      </c>
      <c r="T1371" s="149">
        <v>0.32</v>
      </c>
      <c r="U1371" s="149"/>
      <c r="V1371" s="149">
        <v>0.25</v>
      </c>
      <c r="W1371" s="149">
        <f t="shared" si="84"/>
        <v>3.49</v>
      </c>
      <c r="X1371" s="152">
        <f t="shared" si="82"/>
        <v>0.26669999999999999</v>
      </c>
      <c r="Y1371" s="150">
        <f t="shared" si="81"/>
        <v>1.01</v>
      </c>
      <c r="Z1371" s="152"/>
      <c r="AC1371" s="154"/>
      <c r="AD1371" s="154"/>
      <c r="AE1371" s="154"/>
      <c r="AF1371" s="154"/>
    </row>
    <row r="1372" spans="1:32" x14ac:dyDescent="0.25">
      <c r="A1372" s="196">
        <v>632</v>
      </c>
      <c r="B1372" s="196" t="s">
        <v>7306</v>
      </c>
      <c r="C1372" s="196" t="s">
        <v>7307</v>
      </c>
      <c r="D1372" s="196" t="s">
        <v>3223</v>
      </c>
      <c r="F1372" s="196">
        <v>2009</v>
      </c>
      <c r="H1372" s="196" t="s">
        <v>2734</v>
      </c>
      <c r="I1372" s="184" t="s">
        <v>1879</v>
      </c>
      <c r="J1372" s="182" t="s">
        <v>7308</v>
      </c>
      <c r="K1372" s="196" t="s">
        <v>1881</v>
      </c>
      <c r="M1372" s="196">
        <v>298</v>
      </c>
      <c r="O1372" s="196" t="s">
        <v>5500</v>
      </c>
      <c r="P1372" s="17">
        <v>337</v>
      </c>
      <c r="Q1372" s="175">
        <f t="shared" si="85"/>
        <v>0.79669999999999996</v>
      </c>
      <c r="R1372" s="199">
        <v>0.49</v>
      </c>
      <c r="T1372" s="149">
        <v>0.32</v>
      </c>
      <c r="U1372" s="149"/>
      <c r="V1372" s="151">
        <v>0.25</v>
      </c>
      <c r="W1372" s="149">
        <f t="shared" si="84"/>
        <v>0.49</v>
      </c>
      <c r="X1372" s="152">
        <f t="shared" si="82"/>
        <v>5.6700000000000007E-2</v>
      </c>
      <c r="Y1372" s="150">
        <f t="shared" si="81"/>
        <v>1.01</v>
      </c>
      <c r="Z1372" s="152"/>
      <c r="AC1372" s="154"/>
      <c r="AD1372" s="154"/>
      <c r="AE1372" s="154"/>
      <c r="AF1372" s="154"/>
    </row>
    <row r="1373" spans="1:32" x14ac:dyDescent="0.25">
      <c r="A1373" s="196">
        <v>1928</v>
      </c>
      <c r="B1373" s="196" t="s">
        <v>7309</v>
      </c>
      <c r="C1373" s="196" t="s">
        <v>7310</v>
      </c>
      <c r="D1373" s="196" t="s">
        <v>1988</v>
      </c>
      <c r="F1373" s="196">
        <v>1997</v>
      </c>
      <c r="H1373" s="196" t="s">
        <v>1878</v>
      </c>
      <c r="I1373" s="184" t="s">
        <v>1914</v>
      </c>
      <c r="K1373" s="196" t="s">
        <v>1881</v>
      </c>
      <c r="L1373" s="184" t="s">
        <v>7311</v>
      </c>
      <c r="M1373" s="196">
        <v>216</v>
      </c>
      <c r="O1373" s="196" t="s">
        <v>5501</v>
      </c>
      <c r="P1373" s="17">
        <v>197</v>
      </c>
      <c r="Q1373" s="175">
        <f t="shared" si="85"/>
        <v>0.79669999999999996</v>
      </c>
      <c r="R1373" s="199">
        <v>0.49</v>
      </c>
      <c r="T1373" s="149">
        <v>0.32</v>
      </c>
      <c r="U1373" s="149"/>
      <c r="V1373" s="149">
        <v>0.25</v>
      </c>
      <c r="W1373" s="149">
        <f t="shared" si="84"/>
        <v>0.49</v>
      </c>
      <c r="X1373" s="152">
        <f t="shared" si="82"/>
        <v>5.6700000000000007E-2</v>
      </c>
      <c r="Y1373" s="150">
        <f t="shared" si="81"/>
        <v>1.01</v>
      </c>
      <c r="Z1373" s="152"/>
      <c r="AC1373" s="154"/>
      <c r="AD1373" s="154"/>
      <c r="AE1373" s="154"/>
      <c r="AF1373" s="154"/>
    </row>
    <row r="1374" spans="1:32" x14ac:dyDescent="0.25">
      <c r="A1374" s="196">
        <v>774</v>
      </c>
      <c r="B1374" s="196" t="s">
        <v>7312</v>
      </c>
      <c r="C1374" s="196" t="s">
        <v>7313</v>
      </c>
      <c r="D1374" s="196" t="s">
        <v>2209</v>
      </c>
      <c r="E1374" s="196" t="s">
        <v>2922</v>
      </c>
      <c r="F1374" s="196">
        <v>1990</v>
      </c>
      <c r="H1374" s="196" t="s">
        <v>1878</v>
      </c>
      <c r="I1374" s="184" t="s">
        <v>1879</v>
      </c>
      <c r="J1374" s="196" t="s">
        <v>7314</v>
      </c>
      <c r="K1374" s="196" t="s">
        <v>1881</v>
      </c>
      <c r="L1374" s="184" t="s">
        <v>7315</v>
      </c>
      <c r="M1374" s="196">
        <v>176</v>
      </c>
      <c r="O1374" s="196" t="s">
        <v>5502</v>
      </c>
      <c r="P1374" s="17">
        <v>242</v>
      </c>
      <c r="Q1374" s="175">
        <f t="shared" si="85"/>
        <v>0.79669999999999996</v>
      </c>
      <c r="R1374" s="199">
        <v>0.49</v>
      </c>
      <c r="T1374" s="149">
        <v>0.32</v>
      </c>
      <c r="U1374" s="149"/>
      <c r="V1374" s="151">
        <v>0.25</v>
      </c>
      <c r="W1374" s="149">
        <f t="shared" si="84"/>
        <v>0.49</v>
      </c>
      <c r="X1374" s="152">
        <f t="shared" si="82"/>
        <v>5.6700000000000007E-2</v>
      </c>
      <c r="Y1374" s="150">
        <f t="shared" si="81"/>
        <v>1.01</v>
      </c>
      <c r="Z1374" s="152"/>
      <c r="AC1374" s="154"/>
      <c r="AD1374" s="154"/>
      <c r="AE1374" s="154"/>
      <c r="AF1374" s="154"/>
    </row>
    <row r="1375" spans="1:32" x14ac:dyDescent="0.25">
      <c r="A1375" s="196">
        <v>607</v>
      </c>
      <c r="B1375" s="196" t="s">
        <v>6245</v>
      </c>
      <c r="C1375" s="196" t="s">
        <v>7316</v>
      </c>
      <c r="D1375" s="196" t="s">
        <v>2309</v>
      </c>
      <c r="E1375" s="196" t="s">
        <v>1913</v>
      </c>
      <c r="F1375" s="196">
        <v>2011</v>
      </c>
      <c r="H1375" s="196" t="s">
        <v>1878</v>
      </c>
      <c r="I1375" s="184" t="s">
        <v>1879</v>
      </c>
      <c r="J1375" s="196" t="s">
        <v>2237</v>
      </c>
      <c r="K1375" s="196" t="s">
        <v>1881</v>
      </c>
      <c r="L1375" s="184" t="s">
        <v>7317</v>
      </c>
      <c r="M1375" s="196">
        <v>224</v>
      </c>
      <c r="O1375" s="196" t="s">
        <v>5503</v>
      </c>
      <c r="P1375" s="17">
        <v>247</v>
      </c>
      <c r="Q1375" s="175">
        <f t="shared" si="85"/>
        <v>0.79669999999999996</v>
      </c>
      <c r="R1375" s="199">
        <v>0.49</v>
      </c>
      <c r="T1375" s="149">
        <v>0.32</v>
      </c>
      <c r="U1375" s="149"/>
      <c r="V1375" s="149">
        <v>0.25</v>
      </c>
      <c r="W1375" s="149">
        <f t="shared" si="84"/>
        <v>0.49</v>
      </c>
      <c r="X1375" s="152">
        <f t="shared" si="82"/>
        <v>5.6700000000000007E-2</v>
      </c>
      <c r="Y1375" s="150">
        <f t="shared" si="81"/>
        <v>1.01</v>
      </c>
      <c r="Z1375" s="152"/>
      <c r="AC1375" s="154"/>
      <c r="AD1375" s="154"/>
      <c r="AE1375" s="154"/>
      <c r="AF1375" s="154"/>
    </row>
    <row r="1376" spans="1:32" x14ac:dyDescent="0.25">
      <c r="A1376" s="196">
        <v>1386</v>
      </c>
      <c r="B1376" s="196" t="s">
        <v>7318</v>
      </c>
      <c r="C1376" s="196" t="s">
        <v>7319</v>
      </c>
      <c r="D1376" s="196" t="s">
        <v>1912</v>
      </c>
      <c r="E1376" s="196" t="s">
        <v>1913</v>
      </c>
      <c r="F1376" s="196">
        <v>1989</v>
      </c>
      <c r="H1376" s="196" t="s">
        <v>1878</v>
      </c>
      <c r="I1376" s="184" t="s">
        <v>1879</v>
      </c>
      <c r="K1376" s="196" t="s">
        <v>1881</v>
      </c>
      <c r="L1376" s="184" t="s">
        <v>7320</v>
      </c>
      <c r="M1376" s="196">
        <v>640</v>
      </c>
      <c r="O1376" s="196" t="s">
        <v>5504</v>
      </c>
      <c r="P1376" s="17">
        <v>411</v>
      </c>
      <c r="Q1376" s="175">
        <f t="shared" si="85"/>
        <v>0.79669999999999996</v>
      </c>
      <c r="R1376" s="199">
        <v>0.49</v>
      </c>
      <c r="T1376" s="149">
        <v>0.32</v>
      </c>
      <c r="U1376" s="149"/>
      <c r="V1376" s="151">
        <v>0.25</v>
      </c>
      <c r="W1376" s="149">
        <f t="shared" si="84"/>
        <v>0.49</v>
      </c>
      <c r="X1376" s="152">
        <f t="shared" si="82"/>
        <v>5.6700000000000007E-2</v>
      </c>
      <c r="Y1376" s="150">
        <f t="shared" si="81"/>
        <v>1.01</v>
      </c>
      <c r="Z1376" s="152"/>
      <c r="AC1376" s="154"/>
      <c r="AD1376" s="154"/>
      <c r="AE1376" s="154"/>
      <c r="AF1376" s="154"/>
    </row>
    <row r="1377" spans="1:36" x14ac:dyDescent="0.25">
      <c r="A1377" s="196">
        <v>1231</v>
      </c>
      <c r="B1377" s="196" t="s">
        <v>7321</v>
      </c>
      <c r="C1377" s="196" t="s">
        <v>7322</v>
      </c>
      <c r="D1377" s="196" t="s">
        <v>1920</v>
      </c>
      <c r="F1377" s="196">
        <v>1993</v>
      </c>
      <c r="H1377" s="196" t="s">
        <v>1878</v>
      </c>
      <c r="I1377" s="184" t="s">
        <v>1914</v>
      </c>
      <c r="K1377" s="196" t="s">
        <v>1881</v>
      </c>
      <c r="L1377" s="184" t="s">
        <v>7323</v>
      </c>
      <c r="M1377" s="196">
        <v>736</v>
      </c>
      <c r="O1377" s="196" t="s">
        <v>5505</v>
      </c>
      <c r="P1377" s="17">
        <v>571</v>
      </c>
      <c r="Q1377" s="175">
        <f t="shared" si="85"/>
        <v>1.8667</v>
      </c>
      <c r="R1377" s="199">
        <v>1.49</v>
      </c>
      <c r="T1377" s="149">
        <v>0.32</v>
      </c>
      <c r="U1377" s="149"/>
      <c r="V1377" s="149">
        <v>0.25</v>
      </c>
      <c r="W1377" s="149">
        <f t="shared" si="84"/>
        <v>1.49</v>
      </c>
      <c r="X1377" s="152">
        <f t="shared" si="82"/>
        <v>0.12670000000000001</v>
      </c>
      <c r="Y1377" s="150">
        <f t="shared" si="81"/>
        <v>1.01</v>
      </c>
      <c r="Z1377" s="152"/>
      <c r="AC1377" s="154"/>
      <c r="AD1377" s="154"/>
      <c r="AE1377" s="154"/>
      <c r="AF1377" s="154"/>
    </row>
    <row r="1378" spans="1:36" x14ac:dyDescent="0.25">
      <c r="A1378" s="196">
        <v>2851</v>
      </c>
      <c r="B1378" s="196" t="s">
        <v>7324</v>
      </c>
      <c r="C1378" s="196" t="s">
        <v>7325</v>
      </c>
      <c r="D1378" s="196" t="s">
        <v>1920</v>
      </c>
      <c r="F1378" s="196">
        <v>2014</v>
      </c>
      <c r="H1378" s="196" t="s">
        <v>1878</v>
      </c>
      <c r="I1378" s="184" t="s">
        <v>1929</v>
      </c>
      <c r="J1378" s="52" t="s">
        <v>3854</v>
      </c>
      <c r="K1378" s="196" t="s">
        <v>1881</v>
      </c>
      <c r="L1378" s="184" t="s">
        <v>7326</v>
      </c>
      <c r="M1378" s="196">
        <v>464</v>
      </c>
      <c r="O1378" s="196" t="s">
        <v>5506</v>
      </c>
      <c r="P1378" s="17">
        <v>451</v>
      </c>
      <c r="Q1378" s="175">
        <f t="shared" si="85"/>
        <v>1.3317000000000001</v>
      </c>
      <c r="R1378" s="199">
        <v>0.99</v>
      </c>
      <c r="T1378" s="149">
        <v>0.32</v>
      </c>
      <c r="U1378" s="149"/>
      <c r="V1378" s="151">
        <v>0.25</v>
      </c>
      <c r="W1378" s="149">
        <f t="shared" si="84"/>
        <v>0.99</v>
      </c>
      <c r="X1378" s="152">
        <f t="shared" si="82"/>
        <v>9.1700000000000004E-2</v>
      </c>
      <c r="Y1378" s="150">
        <f t="shared" si="81"/>
        <v>1.01</v>
      </c>
      <c r="Z1378" s="152"/>
      <c r="AC1378" s="154"/>
      <c r="AD1378" s="154"/>
      <c r="AE1378" s="154"/>
      <c r="AF1378" s="154"/>
    </row>
    <row r="1379" spans="1:36" x14ac:dyDescent="0.25">
      <c r="A1379" s="196">
        <v>2522</v>
      </c>
      <c r="B1379" s="196" t="s">
        <v>7327</v>
      </c>
      <c r="C1379" s="196" t="s">
        <v>7328</v>
      </c>
      <c r="D1379" s="196" t="s">
        <v>2309</v>
      </c>
      <c r="E1379" s="196" t="s">
        <v>1877</v>
      </c>
      <c r="F1379" s="196">
        <v>2003</v>
      </c>
      <c r="H1379" s="196" t="s">
        <v>1878</v>
      </c>
      <c r="I1379" s="184" t="s">
        <v>1879</v>
      </c>
      <c r="J1379" s="52" t="s">
        <v>3854</v>
      </c>
      <c r="K1379" s="196" t="s">
        <v>1881</v>
      </c>
      <c r="L1379" s="184" t="s">
        <v>7329</v>
      </c>
      <c r="M1379" s="196">
        <v>512</v>
      </c>
      <c r="O1379" s="196" t="s">
        <v>5507</v>
      </c>
      <c r="P1379" s="17">
        <v>348</v>
      </c>
      <c r="Q1379" s="175">
        <f t="shared" si="85"/>
        <v>1.3317000000000001</v>
      </c>
      <c r="R1379" s="199">
        <v>0.99</v>
      </c>
      <c r="T1379" s="149">
        <v>0.32</v>
      </c>
      <c r="U1379" s="149"/>
      <c r="V1379" s="149">
        <v>0.25</v>
      </c>
      <c r="W1379" s="149">
        <f t="shared" si="84"/>
        <v>0.99</v>
      </c>
      <c r="X1379" s="152">
        <f t="shared" si="82"/>
        <v>9.1700000000000004E-2</v>
      </c>
      <c r="Y1379" s="150">
        <f t="shared" si="81"/>
        <v>1.01</v>
      </c>
      <c r="Z1379" s="152"/>
      <c r="AC1379" s="154"/>
      <c r="AD1379" s="154"/>
      <c r="AE1379" s="154"/>
      <c r="AF1379" s="154"/>
    </row>
    <row r="1380" spans="1:36" x14ac:dyDescent="0.25">
      <c r="A1380" s="196">
        <v>634</v>
      </c>
      <c r="B1380" s="196" t="s">
        <v>7330</v>
      </c>
      <c r="C1380" s="196" t="s">
        <v>7331</v>
      </c>
      <c r="D1380" s="196" t="s">
        <v>7332</v>
      </c>
      <c r="E1380" s="196" t="s">
        <v>1913</v>
      </c>
      <c r="F1380" s="196">
        <v>2012</v>
      </c>
      <c r="H1380" s="196" t="s">
        <v>2734</v>
      </c>
      <c r="I1380" s="184" t="s">
        <v>1929</v>
      </c>
      <c r="K1380" s="196" t="s">
        <v>1881</v>
      </c>
      <c r="L1380" s="184" t="s">
        <v>7333</v>
      </c>
      <c r="M1380" s="196">
        <v>498</v>
      </c>
      <c r="O1380" s="196" t="s">
        <v>5508</v>
      </c>
      <c r="P1380" s="17">
        <v>804</v>
      </c>
      <c r="Q1380" s="175">
        <f t="shared" si="85"/>
        <v>2.2946999999999997</v>
      </c>
      <c r="R1380" s="199">
        <v>1.89</v>
      </c>
      <c r="T1380" s="149">
        <v>0.32</v>
      </c>
      <c r="U1380" s="149"/>
      <c r="V1380" s="151">
        <v>0.25</v>
      </c>
      <c r="W1380" s="149">
        <f t="shared" si="84"/>
        <v>1.89</v>
      </c>
      <c r="X1380" s="152">
        <f t="shared" si="82"/>
        <v>0.15469999999999998</v>
      </c>
      <c r="Y1380" s="150">
        <f t="shared" si="81"/>
        <v>1.01</v>
      </c>
      <c r="Z1380" s="152"/>
      <c r="AC1380" s="154"/>
      <c r="AD1380" s="154"/>
      <c r="AE1380" s="154"/>
      <c r="AF1380" s="154"/>
    </row>
    <row r="1381" spans="1:36" x14ac:dyDescent="0.25">
      <c r="A1381" s="196">
        <v>1386</v>
      </c>
      <c r="B1381" s="196" t="s">
        <v>7334</v>
      </c>
      <c r="C1381" s="196" t="s">
        <v>7335</v>
      </c>
      <c r="D1381" s="196" t="s">
        <v>2300</v>
      </c>
      <c r="F1381" s="196">
        <v>1993</v>
      </c>
      <c r="H1381" s="196" t="s">
        <v>2734</v>
      </c>
      <c r="I1381" s="184" t="s">
        <v>1879</v>
      </c>
      <c r="K1381" s="196" t="s">
        <v>1881</v>
      </c>
      <c r="L1381" s="184" t="s">
        <v>7336</v>
      </c>
      <c r="M1381" s="196">
        <v>706</v>
      </c>
      <c r="O1381" s="196" t="s">
        <v>5509</v>
      </c>
      <c r="P1381" s="17">
        <v>967</v>
      </c>
      <c r="Q1381" s="175">
        <f t="shared" si="85"/>
        <v>0.79669999999999996</v>
      </c>
      <c r="R1381" s="199">
        <v>0.49</v>
      </c>
      <c r="T1381" s="149">
        <v>0.32</v>
      </c>
      <c r="U1381" s="149"/>
      <c r="V1381" s="149">
        <v>0.25</v>
      </c>
      <c r="W1381" s="149">
        <f t="shared" si="84"/>
        <v>0.49</v>
      </c>
      <c r="X1381" s="152">
        <f t="shared" si="82"/>
        <v>5.6700000000000007E-2</v>
      </c>
      <c r="Y1381" s="150">
        <f t="shared" si="81"/>
        <v>1.01</v>
      </c>
      <c r="Z1381" s="152"/>
      <c r="AC1381" s="154"/>
      <c r="AD1381" s="154"/>
      <c r="AE1381" s="154"/>
      <c r="AF1381" s="154"/>
    </row>
    <row r="1382" spans="1:36" x14ac:dyDescent="0.25">
      <c r="A1382" s="196">
        <v>613</v>
      </c>
      <c r="B1382" s="196" t="s">
        <v>7337</v>
      </c>
      <c r="C1382" s="196" t="s">
        <v>7338</v>
      </c>
      <c r="D1382" s="196" t="s">
        <v>2054</v>
      </c>
      <c r="E1382" s="196" t="s">
        <v>2094</v>
      </c>
      <c r="F1382" s="196">
        <v>2003</v>
      </c>
      <c r="H1382" s="196" t="s">
        <v>1878</v>
      </c>
      <c r="I1382" s="184" t="s">
        <v>1879</v>
      </c>
      <c r="K1382" s="196" t="s">
        <v>1881</v>
      </c>
      <c r="L1382" s="184" t="s">
        <v>7339</v>
      </c>
      <c r="M1382" s="196">
        <v>336</v>
      </c>
      <c r="O1382" s="196" t="s">
        <v>5510</v>
      </c>
      <c r="P1382" s="17">
        <v>389</v>
      </c>
      <c r="Q1382" s="175">
        <f t="shared" si="85"/>
        <v>0.79669999999999996</v>
      </c>
      <c r="R1382" s="199">
        <v>0.49</v>
      </c>
      <c r="T1382" s="149">
        <v>0.32</v>
      </c>
      <c r="U1382" s="149"/>
      <c r="V1382" s="151">
        <v>0.25</v>
      </c>
      <c r="W1382" s="149">
        <f t="shared" si="84"/>
        <v>0.49</v>
      </c>
      <c r="X1382" s="152">
        <f t="shared" si="82"/>
        <v>5.6700000000000007E-2</v>
      </c>
      <c r="Y1382" s="150">
        <f t="shared" si="81"/>
        <v>1.01</v>
      </c>
      <c r="Z1382" s="152"/>
      <c r="AC1382" s="154"/>
      <c r="AD1382" s="154"/>
      <c r="AE1382" s="154"/>
      <c r="AF1382" s="154"/>
    </row>
    <row r="1383" spans="1:36" x14ac:dyDescent="0.25">
      <c r="A1383" s="196">
        <v>1395</v>
      </c>
      <c r="B1383" s="196" t="s">
        <v>7340</v>
      </c>
      <c r="C1383" s="196" t="s">
        <v>7341</v>
      </c>
      <c r="D1383" s="196" t="s">
        <v>7332</v>
      </c>
      <c r="E1383" s="196" t="s">
        <v>2175</v>
      </c>
      <c r="F1383" s="196">
        <v>2012</v>
      </c>
      <c r="H1383" s="196" t="s">
        <v>1878</v>
      </c>
      <c r="I1383" s="184" t="s">
        <v>1879</v>
      </c>
      <c r="K1383" s="196" t="s">
        <v>1881</v>
      </c>
      <c r="L1383" s="184" t="s">
        <v>7342</v>
      </c>
      <c r="M1383" s="196">
        <v>480</v>
      </c>
      <c r="O1383" s="196" t="s">
        <v>5511</v>
      </c>
      <c r="P1383" s="17">
        <v>512</v>
      </c>
      <c r="Q1383" s="175">
        <f t="shared" si="85"/>
        <v>0.79669999999999996</v>
      </c>
      <c r="R1383" s="199">
        <v>0.49</v>
      </c>
      <c r="T1383" s="149">
        <v>0.32</v>
      </c>
      <c r="U1383" s="149"/>
      <c r="V1383" s="149">
        <v>0.25</v>
      </c>
      <c r="W1383" s="149">
        <f t="shared" si="84"/>
        <v>0.49</v>
      </c>
      <c r="X1383" s="152">
        <f t="shared" si="82"/>
        <v>5.6700000000000007E-2</v>
      </c>
      <c r="Y1383" s="150">
        <f t="shared" si="81"/>
        <v>1.01</v>
      </c>
      <c r="Z1383" s="152"/>
      <c r="AC1383" s="154"/>
      <c r="AD1383" s="154"/>
      <c r="AE1383" s="154"/>
      <c r="AF1383" s="154"/>
    </row>
    <row r="1384" spans="1:36" x14ac:dyDescent="0.25">
      <c r="A1384" s="196">
        <v>632</v>
      </c>
      <c r="B1384" s="196" t="s">
        <v>7343</v>
      </c>
      <c r="C1384" s="196" t="s">
        <v>7344</v>
      </c>
      <c r="D1384" s="196" t="s">
        <v>2209</v>
      </c>
      <c r="E1384" s="196" t="s">
        <v>1877</v>
      </c>
      <c r="F1384" s="196">
        <v>1991</v>
      </c>
      <c r="H1384" s="196" t="s">
        <v>1878</v>
      </c>
      <c r="I1384" s="184" t="s">
        <v>1914</v>
      </c>
      <c r="K1384" s="196" t="s">
        <v>1881</v>
      </c>
      <c r="L1384" s="184" t="s">
        <v>7345</v>
      </c>
      <c r="M1384" s="196">
        <v>432</v>
      </c>
      <c r="O1384" s="196" t="s">
        <v>5512</v>
      </c>
      <c r="P1384" s="17">
        <v>286</v>
      </c>
      <c r="Q1384" s="175">
        <f t="shared" si="85"/>
        <v>1.0106999999999999</v>
      </c>
      <c r="R1384" s="199">
        <v>0.69</v>
      </c>
      <c r="T1384" s="149">
        <v>0.32</v>
      </c>
      <c r="U1384" s="149"/>
      <c r="V1384" s="151">
        <v>0.25</v>
      </c>
      <c r="W1384" s="149">
        <f t="shared" si="84"/>
        <v>0.69</v>
      </c>
      <c r="X1384" s="152">
        <f t="shared" si="82"/>
        <v>7.0699999999999999E-2</v>
      </c>
      <c r="Y1384" s="150">
        <f t="shared" si="81"/>
        <v>1.01</v>
      </c>
      <c r="Z1384" s="152"/>
      <c r="AC1384" s="154"/>
      <c r="AD1384" s="154"/>
      <c r="AE1384" s="154"/>
      <c r="AF1384" s="154"/>
    </row>
    <row r="1385" spans="1:36" x14ac:dyDescent="0.25">
      <c r="A1385" s="196">
        <v>1386</v>
      </c>
      <c r="B1385" s="196" t="s">
        <v>7346</v>
      </c>
      <c r="C1385" s="196" t="s">
        <v>7347</v>
      </c>
      <c r="D1385" s="196" t="s">
        <v>1920</v>
      </c>
      <c r="E1385" s="196" t="s">
        <v>1877</v>
      </c>
      <c r="F1385" s="196">
        <v>1989</v>
      </c>
      <c r="H1385" s="196" t="s">
        <v>1878</v>
      </c>
      <c r="I1385" s="184" t="s">
        <v>1914</v>
      </c>
      <c r="K1385" s="196" t="s">
        <v>1881</v>
      </c>
      <c r="L1385" s="184" t="s">
        <v>7348</v>
      </c>
      <c r="M1385" s="196">
        <v>608</v>
      </c>
      <c r="O1385" s="196" t="s">
        <v>5513</v>
      </c>
      <c r="P1385" s="17">
        <v>335</v>
      </c>
      <c r="Q1385" s="175">
        <f t="shared" si="85"/>
        <v>0.79669999999999996</v>
      </c>
      <c r="R1385" s="199">
        <v>0.49</v>
      </c>
      <c r="T1385" s="149">
        <v>0.32</v>
      </c>
      <c r="U1385" s="149"/>
      <c r="V1385" s="149">
        <v>0.25</v>
      </c>
      <c r="W1385" s="149">
        <f t="shared" si="84"/>
        <v>0.49</v>
      </c>
      <c r="X1385" s="152">
        <f t="shared" si="82"/>
        <v>5.6700000000000007E-2</v>
      </c>
      <c r="Y1385" s="150">
        <f t="shared" si="81"/>
        <v>1.01</v>
      </c>
      <c r="Z1385" s="152"/>
      <c r="AC1385" s="154"/>
      <c r="AD1385" s="154"/>
      <c r="AE1385" s="154"/>
      <c r="AF1385" s="154"/>
    </row>
    <row r="1386" spans="1:36" x14ac:dyDescent="0.25">
      <c r="A1386" s="196">
        <v>2522</v>
      </c>
      <c r="B1386" s="196" t="s">
        <v>7349</v>
      </c>
      <c r="C1386" s="196" t="s">
        <v>7350</v>
      </c>
      <c r="D1386" s="196" t="s">
        <v>2209</v>
      </c>
      <c r="E1386" s="196" t="s">
        <v>2375</v>
      </c>
      <c r="F1386" s="196">
        <v>1995</v>
      </c>
      <c r="H1386" s="196" t="s">
        <v>1878</v>
      </c>
      <c r="I1386" s="184" t="s">
        <v>1914</v>
      </c>
      <c r="K1386" s="196" t="s">
        <v>1881</v>
      </c>
      <c r="L1386" s="184" t="s">
        <v>7351</v>
      </c>
      <c r="M1386" s="196">
        <v>576</v>
      </c>
      <c r="O1386" s="196" t="s">
        <v>5514</v>
      </c>
      <c r="P1386" s="17">
        <v>320</v>
      </c>
      <c r="Q1386" s="175">
        <f t="shared" si="85"/>
        <v>1.3317000000000001</v>
      </c>
      <c r="R1386" s="199">
        <v>0.99</v>
      </c>
      <c r="T1386" s="149">
        <v>0.32</v>
      </c>
      <c r="U1386" s="149"/>
      <c r="V1386" s="151">
        <v>0.25</v>
      </c>
      <c r="W1386" s="149">
        <f t="shared" si="84"/>
        <v>0.99</v>
      </c>
      <c r="X1386" s="152">
        <f t="shared" si="82"/>
        <v>9.1700000000000004E-2</v>
      </c>
      <c r="Y1386" s="150">
        <f t="shared" si="81"/>
        <v>1.01</v>
      </c>
      <c r="Z1386" s="152"/>
      <c r="AC1386" s="154"/>
      <c r="AD1386" s="154"/>
      <c r="AE1386" s="154"/>
      <c r="AF1386" s="154"/>
    </row>
    <row r="1387" spans="1:36" x14ac:dyDescent="0.25">
      <c r="A1387" s="196">
        <v>1721</v>
      </c>
      <c r="B1387" s="196" t="s">
        <v>7352</v>
      </c>
      <c r="C1387" s="196" t="s">
        <v>7353</v>
      </c>
      <c r="D1387" s="196" t="s">
        <v>2309</v>
      </c>
      <c r="F1387" s="196">
        <v>1963</v>
      </c>
      <c r="H1387" s="196" t="s">
        <v>1878</v>
      </c>
      <c r="I1387" s="184" t="s">
        <v>6422</v>
      </c>
      <c r="K1387" s="196" t="s">
        <v>1881</v>
      </c>
      <c r="M1387" s="196">
        <v>272</v>
      </c>
      <c r="O1387" s="196" t="s">
        <v>5515</v>
      </c>
      <c r="P1387" s="17">
        <v>192</v>
      </c>
      <c r="Q1387" s="175">
        <f t="shared" si="85"/>
        <v>0.79669999999999996</v>
      </c>
      <c r="R1387" s="199">
        <v>0.49</v>
      </c>
      <c r="T1387" s="149">
        <v>0.32</v>
      </c>
      <c r="U1387" s="149"/>
      <c r="V1387" s="149">
        <v>0.25</v>
      </c>
      <c r="W1387" s="149">
        <f t="shared" si="84"/>
        <v>0.49</v>
      </c>
      <c r="X1387" s="152">
        <f t="shared" si="82"/>
        <v>5.6700000000000007E-2</v>
      </c>
      <c r="Y1387" s="150">
        <f t="shared" si="81"/>
        <v>1.01</v>
      </c>
      <c r="Z1387" s="152"/>
      <c r="AC1387" s="154"/>
      <c r="AD1387" s="154"/>
      <c r="AE1387" s="154"/>
      <c r="AF1387" s="154"/>
    </row>
    <row r="1388" spans="1:36" x14ac:dyDescent="0.25">
      <c r="A1388" s="196">
        <v>2547</v>
      </c>
      <c r="B1388" s="196" t="s">
        <v>4071</v>
      </c>
      <c r="C1388" s="196" t="s">
        <v>7354</v>
      </c>
      <c r="D1388" s="196" t="s">
        <v>7355</v>
      </c>
      <c r="E1388" s="196" t="s">
        <v>2055</v>
      </c>
      <c r="F1388" s="196">
        <v>2003</v>
      </c>
      <c r="H1388" s="196" t="s">
        <v>1878</v>
      </c>
      <c r="I1388" s="184" t="s">
        <v>1879</v>
      </c>
      <c r="J1388" s="196" t="s">
        <v>7314</v>
      </c>
      <c r="K1388" s="196" t="s">
        <v>1881</v>
      </c>
      <c r="M1388" s="196">
        <v>482</v>
      </c>
      <c r="O1388" s="196" t="s">
        <v>5516</v>
      </c>
      <c r="P1388" s="17">
        <v>404</v>
      </c>
      <c r="Q1388" s="175">
        <f t="shared" si="85"/>
        <v>0.79669999999999996</v>
      </c>
      <c r="R1388" s="199">
        <v>0.49</v>
      </c>
      <c r="T1388" s="149">
        <v>0.32</v>
      </c>
      <c r="U1388" s="149"/>
      <c r="V1388" s="151">
        <v>0.25</v>
      </c>
      <c r="W1388" s="149">
        <f t="shared" si="84"/>
        <v>0.49</v>
      </c>
      <c r="X1388" s="152">
        <f t="shared" si="82"/>
        <v>5.6700000000000007E-2</v>
      </c>
      <c r="Y1388" s="150">
        <f t="shared" ref="Y1388:Y1451" si="86">(IF(Z1388&gt;AA1388,Z1388,AA1388)*0.08)+1.01</f>
        <v>1.01</v>
      </c>
      <c r="Z1388" s="152"/>
      <c r="AC1388" s="154"/>
      <c r="AD1388" s="154"/>
      <c r="AE1388" s="154"/>
      <c r="AF1388" s="154"/>
    </row>
    <row r="1389" spans="1:36" s="146" customFormat="1" x14ac:dyDescent="0.25">
      <c r="A1389" s="196">
        <v>614</v>
      </c>
      <c r="B1389" s="196" t="s">
        <v>7356</v>
      </c>
      <c r="C1389" s="196" t="s">
        <v>7357</v>
      </c>
      <c r="D1389" s="196" t="s">
        <v>7358</v>
      </c>
      <c r="E1389" s="196"/>
      <c r="F1389" s="196">
        <v>2006</v>
      </c>
      <c r="G1389" s="196"/>
      <c r="H1389" s="196" t="s">
        <v>2734</v>
      </c>
      <c r="I1389" s="141" t="s">
        <v>1879</v>
      </c>
      <c r="J1389" s="196"/>
      <c r="K1389" s="196" t="s">
        <v>1881</v>
      </c>
      <c r="L1389" s="141" t="s">
        <v>7359</v>
      </c>
      <c r="M1389" s="196">
        <v>210</v>
      </c>
      <c r="N1389" s="196"/>
      <c r="O1389" s="196" t="s">
        <v>5517</v>
      </c>
      <c r="P1389" s="144">
        <v>349</v>
      </c>
      <c r="Q1389" s="145">
        <f t="shared" si="85"/>
        <v>1.0106999999999999</v>
      </c>
      <c r="R1389" s="203">
        <v>0.69</v>
      </c>
      <c r="S1389" s="203"/>
      <c r="T1389" s="151">
        <v>0.32</v>
      </c>
      <c r="U1389" s="151"/>
      <c r="V1389" s="149">
        <v>0.25</v>
      </c>
      <c r="W1389" s="151">
        <f t="shared" si="84"/>
        <v>0.69</v>
      </c>
      <c r="X1389" s="152">
        <f t="shared" si="82"/>
        <v>7.0699999999999999E-2</v>
      </c>
      <c r="Y1389" s="150">
        <f t="shared" si="86"/>
        <v>1.01</v>
      </c>
      <c r="Z1389" s="152"/>
      <c r="AA1389" s="148"/>
      <c r="AB1389" s="148"/>
      <c r="AC1389" s="153"/>
      <c r="AD1389" s="153"/>
      <c r="AE1389" s="153"/>
      <c r="AF1389" s="153"/>
      <c r="AJ1389" s="147"/>
    </row>
    <row r="1390" spans="1:36" x14ac:dyDescent="0.25">
      <c r="A1390" s="196">
        <v>796</v>
      </c>
      <c r="B1390" s="196" t="s">
        <v>5856</v>
      </c>
      <c r="C1390" s="196" t="s">
        <v>7360</v>
      </c>
      <c r="D1390" s="196" t="s">
        <v>1993</v>
      </c>
      <c r="E1390" s="196" t="s">
        <v>1913</v>
      </c>
      <c r="F1390" s="196">
        <v>2013</v>
      </c>
      <c r="H1390" s="196" t="s">
        <v>1878</v>
      </c>
      <c r="I1390" s="184" t="s">
        <v>1914</v>
      </c>
      <c r="J1390" s="52" t="s">
        <v>3854</v>
      </c>
      <c r="K1390" s="196" t="s">
        <v>1881</v>
      </c>
      <c r="L1390" s="184" t="s">
        <v>7361</v>
      </c>
      <c r="M1390" s="196">
        <v>288</v>
      </c>
      <c r="O1390" s="196" t="s">
        <v>5518</v>
      </c>
      <c r="P1390" s="17">
        <v>282</v>
      </c>
      <c r="Q1390" s="175">
        <f t="shared" si="85"/>
        <v>1.6548</v>
      </c>
      <c r="R1390" s="199">
        <v>1.29</v>
      </c>
      <c r="T1390" s="149">
        <v>0.35</v>
      </c>
      <c r="U1390" s="149"/>
      <c r="V1390" s="151">
        <v>0.25</v>
      </c>
      <c r="W1390" s="149">
        <f t="shared" si="84"/>
        <v>1.29</v>
      </c>
      <c r="X1390" s="152">
        <f t="shared" si="82"/>
        <v>0.11480000000000001</v>
      </c>
      <c r="Y1390" s="150">
        <f t="shared" si="86"/>
        <v>1.01</v>
      </c>
      <c r="Z1390" s="152"/>
      <c r="AC1390" s="154"/>
      <c r="AD1390" s="154"/>
      <c r="AE1390" s="154"/>
      <c r="AF1390" s="154"/>
    </row>
    <row r="1391" spans="1:36" x14ac:dyDescent="0.25">
      <c r="A1391" s="196">
        <v>1327</v>
      </c>
      <c r="B1391" s="196" t="s">
        <v>7362</v>
      </c>
      <c r="C1391" s="196" t="s">
        <v>7363</v>
      </c>
      <c r="D1391" s="196" t="s">
        <v>2609</v>
      </c>
      <c r="E1391" s="196" t="s">
        <v>2922</v>
      </c>
      <c r="F1391" s="196">
        <v>2002</v>
      </c>
      <c r="H1391" s="196" t="s">
        <v>1878</v>
      </c>
      <c r="I1391" s="184" t="s">
        <v>1879</v>
      </c>
      <c r="K1391" s="196" t="s">
        <v>1881</v>
      </c>
      <c r="L1391" s="184" t="s">
        <v>7364</v>
      </c>
      <c r="M1391" s="196">
        <v>384</v>
      </c>
      <c r="O1391" s="196" t="s">
        <v>5519</v>
      </c>
      <c r="P1391" s="17">
        <v>341</v>
      </c>
      <c r="Q1391" s="175">
        <f t="shared" si="85"/>
        <v>0.64900000000000002</v>
      </c>
      <c r="R1391" s="199">
        <v>0.25</v>
      </c>
      <c r="T1391" s="149">
        <v>0.35</v>
      </c>
      <c r="U1391" s="149"/>
      <c r="V1391" s="149">
        <v>0.25</v>
      </c>
      <c r="W1391" s="149">
        <f t="shared" si="84"/>
        <v>0.35</v>
      </c>
      <c r="X1391" s="152">
        <f t="shared" ref="X1391:X1454" si="87">(T1391+W1391)/100*7</f>
        <v>4.8999999999999995E-2</v>
      </c>
      <c r="Y1391" s="150">
        <f t="shared" si="86"/>
        <v>1.01</v>
      </c>
      <c r="Z1391" s="152"/>
      <c r="AC1391" s="154"/>
      <c r="AD1391" s="154"/>
      <c r="AE1391" s="154"/>
      <c r="AF1391" s="154"/>
    </row>
    <row r="1392" spans="1:36" x14ac:dyDescent="0.25">
      <c r="A1392" s="196">
        <v>1386</v>
      </c>
      <c r="B1392" s="196" t="s">
        <v>7368</v>
      </c>
      <c r="C1392" s="196" t="s">
        <v>7369</v>
      </c>
      <c r="D1392" s="196" t="s">
        <v>7370</v>
      </c>
      <c r="E1392" s="196" t="s">
        <v>1913</v>
      </c>
      <c r="F1392" s="196">
        <v>2010</v>
      </c>
      <c r="H1392" s="196" t="s">
        <v>1878</v>
      </c>
      <c r="I1392" s="184" t="s">
        <v>1879</v>
      </c>
      <c r="K1392" s="196" t="s">
        <v>1881</v>
      </c>
      <c r="L1392" s="184" t="s">
        <v>7371</v>
      </c>
      <c r="M1392" s="196">
        <v>240</v>
      </c>
      <c r="O1392" s="196" t="s">
        <v>5521</v>
      </c>
      <c r="P1392" s="17">
        <v>289</v>
      </c>
      <c r="Q1392" s="175">
        <f t="shared" si="85"/>
        <v>1.3338000000000001</v>
      </c>
      <c r="R1392" s="199">
        <v>0.99</v>
      </c>
      <c r="T1392" s="149">
        <v>0.35</v>
      </c>
      <c r="U1392" s="149"/>
      <c r="V1392" s="149">
        <v>0.25</v>
      </c>
      <c r="W1392" s="149">
        <f t="shared" si="84"/>
        <v>0.99</v>
      </c>
      <c r="X1392" s="152">
        <f t="shared" si="87"/>
        <v>9.3799999999999994E-2</v>
      </c>
      <c r="Y1392" s="150">
        <f t="shared" si="86"/>
        <v>1.01</v>
      </c>
      <c r="Z1392" s="152"/>
      <c r="AC1392" s="154"/>
      <c r="AD1392" s="154"/>
      <c r="AE1392" s="154"/>
      <c r="AF1392" s="154"/>
    </row>
    <row r="1393" spans="1:32" x14ac:dyDescent="0.25">
      <c r="A1393" s="196">
        <v>1327</v>
      </c>
      <c r="B1393" s="196" t="s">
        <v>7372</v>
      </c>
      <c r="C1393" s="196" t="s">
        <v>7373</v>
      </c>
      <c r="D1393" s="196" t="s">
        <v>1920</v>
      </c>
      <c r="E1393" s="196" t="s">
        <v>1913</v>
      </c>
      <c r="F1393" s="196">
        <v>2004</v>
      </c>
      <c r="H1393" s="196" t="s">
        <v>1878</v>
      </c>
      <c r="I1393" s="184" t="s">
        <v>1879</v>
      </c>
      <c r="J1393" s="52" t="s">
        <v>3854</v>
      </c>
      <c r="K1393" s="196" t="s">
        <v>1881</v>
      </c>
      <c r="L1393" s="184" t="s">
        <v>7374</v>
      </c>
      <c r="M1393" s="196">
        <v>400</v>
      </c>
      <c r="O1393" s="196" t="s">
        <v>5522</v>
      </c>
      <c r="P1393" s="17">
        <v>349</v>
      </c>
      <c r="Q1393" s="175">
        <f t="shared" si="85"/>
        <v>1.0127999999999999</v>
      </c>
      <c r="R1393" s="199">
        <v>0.69</v>
      </c>
      <c r="T1393" s="149">
        <v>0.35</v>
      </c>
      <c r="U1393" s="149"/>
      <c r="V1393" s="151">
        <v>0.25</v>
      </c>
      <c r="W1393" s="149">
        <f t="shared" si="84"/>
        <v>0.69</v>
      </c>
      <c r="X1393" s="152">
        <f t="shared" si="87"/>
        <v>7.2800000000000004E-2</v>
      </c>
      <c r="Y1393" s="150">
        <f t="shared" si="86"/>
        <v>1.01</v>
      </c>
      <c r="Z1393" s="152"/>
      <c r="AC1393" s="154"/>
      <c r="AD1393" s="154"/>
      <c r="AE1393" s="154"/>
      <c r="AF1393" s="154"/>
    </row>
    <row r="1394" spans="1:32" x14ac:dyDescent="0.25">
      <c r="A1394" s="196">
        <v>1396</v>
      </c>
      <c r="B1394" s="196" t="s">
        <v>7375</v>
      </c>
      <c r="C1394" s="196" t="s">
        <v>7376</v>
      </c>
      <c r="D1394" s="196" t="s">
        <v>2309</v>
      </c>
      <c r="E1394" s="196" t="s">
        <v>1913</v>
      </c>
      <c r="F1394" s="196">
        <v>2002</v>
      </c>
      <c r="H1394" s="196" t="s">
        <v>1878</v>
      </c>
      <c r="I1394" s="184" t="s">
        <v>1914</v>
      </c>
      <c r="K1394" s="196" t="s">
        <v>1881</v>
      </c>
      <c r="L1394" s="184" t="s">
        <v>7377</v>
      </c>
      <c r="M1394" s="196">
        <v>368</v>
      </c>
      <c r="O1394" s="196" t="s">
        <v>5523</v>
      </c>
      <c r="P1394" s="17">
        <v>257</v>
      </c>
      <c r="Q1394" s="175">
        <f t="shared" si="85"/>
        <v>1.3338000000000001</v>
      </c>
      <c r="R1394" s="199">
        <v>0.99</v>
      </c>
      <c r="T1394" s="149">
        <v>0.35</v>
      </c>
      <c r="U1394" s="149"/>
      <c r="V1394" s="149">
        <v>0.25</v>
      </c>
      <c r="W1394" s="149">
        <f t="shared" si="84"/>
        <v>0.99</v>
      </c>
      <c r="X1394" s="152">
        <f t="shared" si="87"/>
        <v>9.3799999999999994E-2</v>
      </c>
      <c r="Y1394" s="150">
        <f t="shared" si="86"/>
        <v>1.01</v>
      </c>
      <c r="Z1394" s="152"/>
      <c r="AC1394" s="154"/>
      <c r="AD1394" s="154"/>
      <c r="AE1394" s="154"/>
      <c r="AF1394" s="154"/>
    </row>
    <row r="1395" spans="1:32" x14ac:dyDescent="0.25">
      <c r="A1395" s="196">
        <v>634</v>
      </c>
      <c r="B1395" s="196" t="s">
        <v>7378</v>
      </c>
      <c r="C1395" s="196" t="s">
        <v>7379</v>
      </c>
      <c r="D1395" s="196" t="s">
        <v>1993</v>
      </c>
      <c r="F1395" s="196">
        <v>1998</v>
      </c>
      <c r="H1395" s="196" t="s">
        <v>1878</v>
      </c>
      <c r="I1395" s="184" t="s">
        <v>6422</v>
      </c>
      <c r="K1395" s="196" t="s">
        <v>1881</v>
      </c>
      <c r="L1395" s="184" t="s">
        <v>7380</v>
      </c>
      <c r="M1395" s="196">
        <v>160</v>
      </c>
      <c r="O1395" s="196" t="s">
        <v>5524</v>
      </c>
      <c r="P1395" s="17">
        <v>152</v>
      </c>
      <c r="Q1395" s="175">
        <f t="shared" si="85"/>
        <v>1.0127999999999999</v>
      </c>
      <c r="R1395" s="199">
        <v>0.69</v>
      </c>
      <c r="T1395" s="149">
        <v>0.35</v>
      </c>
      <c r="U1395" s="149"/>
      <c r="V1395" s="151">
        <v>0.25</v>
      </c>
      <c r="W1395" s="149">
        <f t="shared" ref="W1395:W1458" si="88">IF(R1395&gt;T1395,R1395,T1395)</f>
        <v>0.69</v>
      </c>
      <c r="X1395" s="152">
        <f t="shared" si="87"/>
        <v>7.2800000000000004E-2</v>
      </c>
      <c r="Y1395" s="150">
        <f t="shared" si="86"/>
        <v>1.01</v>
      </c>
      <c r="Z1395" s="152"/>
      <c r="AC1395" s="154"/>
      <c r="AD1395" s="154"/>
      <c r="AE1395" s="154"/>
      <c r="AF1395" s="154"/>
    </row>
    <row r="1396" spans="1:32" x14ac:dyDescent="0.25">
      <c r="A1396" s="196">
        <v>634</v>
      </c>
      <c r="B1396" s="196" t="s">
        <v>2493</v>
      </c>
      <c r="C1396" s="196" t="s">
        <v>7381</v>
      </c>
      <c r="D1396" s="196" t="s">
        <v>1993</v>
      </c>
      <c r="F1396" s="196">
        <v>1999</v>
      </c>
      <c r="H1396" s="196" t="s">
        <v>1878</v>
      </c>
      <c r="I1396" s="184" t="s">
        <v>1914</v>
      </c>
      <c r="K1396" s="196" t="s">
        <v>1881</v>
      </c>
      <c r="L1396" s="184" t="s">
        <v>7382</v>
      </c>
      <c r="M1396" s="196">
        <v>192</v>
      </c>
      <c r="O1396" s="196" t="s">
        <v>5525</v>
      </c>
      <c r="P1396" s="17">
        <v>180</v>
      </c>
      <c r="Q1396" s="175">
        <f t="shared" si="85"/>
        <v>0.79879999999999995</v>
      </c>
      <c r="R1396" s="199">
        <v>0.49</v>
      </c>
      <c r="T1396" s="149">
        <v>0.35</v>
      </c>
      <c r="U1396" s="149"/>
      <c r="V1396" s="149">
        <v>0.25</v>
      </c>
      <c r="W1396" s="149">
        <f t="shared" si="88"/>
        <v>0.49</v>
      </c>
      <c r="X1396" s="152">
        <f t="shared" si="87"/>
        <v>5.8799999999999998E-2</v>
      </c>
      <c r="Y1396" s="150">
        <f t="shared" si="86"/>
        <v>1.01</v>
      </c>
      <c r="Z1396" s="152"/>
      <c r="AC1396" s="154"/>
      <c r="AD1396" s="154"/>
      <c r="AE1396" s="154"/>
      <c r="AF1396" s="154"/>
    </row>
    <row r="1397" spans="1:32" x14ac:dyDescent="0.25">
      <c r="A1397" s="196">
        <v>634</v>
      </c>
      <c r="B1397" s="196" t="s">
        <v>7378</v>
      </c>
      <c r="C1397" s="196" t="s">
        <v>7383</v>
      </c>
      <c r="D1397" s="196" t="s">
        <v>1993</v>
      </c>
      <c r="F1397" s="196">
        <v>1998</v>
      </c>
      <c r="H1397" s="196" t="s">
        <v>1878</v>
      </c>
      <c r="I1397" s="184" t="s">
        <v>1914</v>
      </c>
      <c r="K1397" s="196" t="s">
        <v>1881</v>
      </c>
      <c r="L1397" s="184" t="s">
        <v>7384</v>
      </c>
      <c r="M1397" s="196">
        <v>192</v>
      </c>
      <c r="O1397" s="196" t="s">
        <v>5526</v>
      </c>
      <c r="P1397" s="17">
        <v>180</v>
      </c>
      <c r="Q1397" s="175">
        <f t="shared" si="85"/>
        <v>1.5478000000000001</v>
      </c>
      <c r="R1397" s="199">
        <v>1.19</v>
      </c>
      <c r="T1397" s="149">
        <v>0.35</v>
      </c>
      <c r="U1397" s="149"/>
      <c r="V1397" s="151">
        <v>0.25</v>
      </c>
      <c r="W1397" s="149">
        <f t="shared" si="88"/>
        <v>1.19</v>
      </c>
      <c r="X1397" s="152">
        <f t="shared" si="87"/>
        <v>0.10780000000000001</v>
      </c>
      <c r="Y1397" s="150">
        <f t="shared" si="86"/>
        <v>1.01</v>
      </c>
      <c r="Z1397" s="152"/>
      <c r="AC1397" s="154"/>
      <c r="AD1397" s="154"/>
      <c r="AE1397" s="154"/>
      <c r="AF1397" s="154"/>
    </row>
    <row r="1398" spans="1:32" x14ac:dyDescent="0.25">
      <c r="A1398" s="196">
        <v>634</v>
      </c>
      <c r="B1398" s="196" t="s">
        <v>7385</v>
      </c>
      <c r="C1398" s="196" t="s">
        <v>7386</v>
      </c>
      <c r="D1398" s="196" t="s">
        <v>1912</v>
      </c>
      <c r="F1398" s="196">
        <v>1997</v>
      </c>
      <c r="H1398" s="196" t="s">
        <v>1878</v>
      </c>
      <c r="I1398" s="184" t="s">
        <v>1914</v>
      </c>
      <c r="J1398" s="52" t="s">
        <v>3854</v>
      </c>
      <c r="K1398" s="196" t="s">
        <v>1881</v>
      </c>
      <c r="L1398" s="184" t="s">
        <v>7387</v>
      </c>
      <c r="M1398" s="196">
        <v>192</v>
      </c>
      <c r="O1398" s="196" t="s">
        <v>5527</v>
      </c>
      <c r="P1398" s="17">
        <v>182</v>
      </c>
      <c r="Q1398" s="175">
        <f t="shared" si="85"/>
        <v>1.0127999999999999</v>
      </c>
      <c r="R1398" s="199">
        <v>0.69</v>
      </c>
      <c r="T1398" s="149">
        <v>0.35</v>
      </c>
      <c r="U1398" s="149"/>
      <c r="V1398" s="149">
        <v>0.25</v>
      </c>
      <c r="W1398" s="149">
        <f t="shared" si="88"/>
        <v>0.69</v>
      </c>
      <c r="X1398" s="152">
        <f t="shared" si="87"/>
        <v>7.2800000000000004E-2</v>
      </c>
      <c r="Y1398" s="150">
        <f t="shared" si="86"/>
        <v>1.01</v>
      </c>
      <c r="Z1398" s="152"/>
      <c r="AC1398" s="154"/>
      <c r="AD1398" s="154"/>
      <c r="AE1398" s="154"/>
      <c r="AF1398" s="154"/>
    </row>
    <row r="1399" spans="1:32" x14ac:dyDescent="0.25">
      <c r="A1399" s="196">
        <v>2522</v>
      </c>
      <c r="B1399" s="196" t="s">
        <v>7388</v>
      </c>
      <c r="C1399" s="196" t="s">
        <v>7389</v>
      </c>
      <c r="D1399" s="196" t="s">
        <v>1912</v>
      </c>
      <c r="E1399" s="196" t="s">
        <v>1921</v>
      </c>
      <c r="F1399" s="196">
        <v>2009</v>
      </c>
      <c r="H1399" s="196" t="s">
        <v>1878</v>
      </c>
      <c r="I1399" s="184" t="s">
        <v>1879</v>
      </c>
      <c r="J1399" s="52" t="s">
        <v>3854</v>
      </c>
      <c r="K1399" s="196" t="s">
        <v>1881</v>
      </c>
      <c r="L1399" s="184" t="s">
        <v>7390</v>
      </c>
      <c r="M1399" s="196">
        <v>416</v>
      </c>
      <c r="O1399" s="196" t="s">
        <v>5528</v>
      </c>
      <c r="P1399" s="17">
        <v>338</v>
      </c>
      <c r="Q1399" s="175">
        <f t="shared" si="85"/>
        <v>0.79879999999999995</v>
      </c>
      <c r="R1399" s="199">
        <v>0.49</v>
      </c>
      <c r="T1399" s="149">
        <v>0.35</v>
      </c>
      <c r="U1399" s="149"/>
      <c r="V1399" s="151">
        <v>0.25</v>
      </c>
      <c r="W1399" s="149">
        <f t="shared" si="88"/>
        <v>0.49</v>
      </c>
      <c r="X1399" s="152">
        <f t="shared" si="87"/>
        <v>5.8799999999999998E-2</v>
      </c>
      <c r="Y1399" s="150">
        <f t="shared" si="86"/>
        <v>1.01</v>
      </c>
      <c r="Z1399" s="152"/>
      <c r="AC1399" s="154"/>
      <c r="AD1399" s="154"/>
      <c r="AE1399" s="154"/>
      <c r="AF1399" s="154"/>
    </row>
    <row r="1400" spans="1:32" x14ac:dyDescent="0.25">
      <c r="Y1400" s="150">
        <f t="shared" si="86"/>
        <v>1.01</v>
      </c>
    </row>
    <row r="1401" spans="1:32" x14ac:dyDescent="0.25">
      <c r="Y1401" s="150">
        <f t="shared" si="86"/>
        <v>1.01</v>
      </c>
      <c r="AC1401" s="154"/>
      <c r="AD1401" s="154"/>
      <c r="AE1401" s="154"/>
      <c r="AF1401" s="154"/>
    </row>
    <row r="1402" spans="1:32" x14ac:dyDescent="0.25">
      <c r="A1402" s="196">
        <v>684</v>
      </c>
      <c r="B1402" s="196" t="s">
        <v>7397</v>
      </c>
      <c r="C1402" s="196" t="s">
        <v>7398</v>
      </c>
      <c r="D1402" s="196" t="s">
        <v>7399</v>
      </c>
      <c r="F1402" s="196">
        <v>2009</v>
      </c>
      <c r="H1402" s="196" t="s">
        <v>1878</v>
      </c>
      <c r="I1402" s="184" t="s">
        <v>1929</v>
      </c>
      <c r="K1402" s="196" t="s">
        <v>1881</v>
      </c>
      <c r="L1402" s="184" t="s">
        <v>7400</v>
      </c>
      <c r="M1402" s="196">
        <v>608</v>
      </c>
      <c r="O1402" s="196" t="s">
        <v>5531</v>
      </c>
      <c r="P1402" s="17">
        <v>381</v>
      </c>
      <c r="Q1402" s="175">
        <f t="shared" si="85"/>
        <v>0.79879999999999995</v>
      </c>
      <c r="R1402" s="199">
        <v>0.49</v>
      </c>
      <c r="T1402" s="149">
        <v>0.35</v>
      </c>
      <c r="U1402" s="149"/>
      <c r="V1402" s="149">
        <v>0.25</v>
      </c>
      <c r="W1402" s="149">
        <f t="shared" si="88"/>
        <v>0.49</v>
      </c>
      <c r="X1402" s="152">
        <f t="shared" si="87"/>
        <v>5.8799999999999998E-2</v>
      </c>
      <c r="Y1402" s="150">
        <f t="shared" si="86"/>
        <v>1.01</v>
      </c>
      <c r="Z1402" s="152"/>
      <c r="AC1402" s="154"/>
      <c r="AD1402" s="154"/>
      <c r="AE1402" s="154"/>
      <c r="AF1402" s="154"/>
    </row>
    <row r="1403" spans="1:32" x14ac:dyDescent="0.25">
      <c r="A1403" s="196">
        <v>2663</v>
      </c>
      <c r="B1403" s="196" t="s">
        <v>3637</v>
      </c>
      <c r="C1403" s="196" t="s">
        <v>7401</v>
      </c>
      <c r="D1403" s="196" t="s">
        <v>2103</v>
      </c>
      <c r="E1403" s="196" t="s">
        <v>1913</v>
      </c>
      <c r="F1403" s="196">
        <v>2008</v>
      </c>
      <c r="H1403" s="196" t="s">
        <v>1878</v>
      </c>
      <c r="I1403" s="184" t="s">
        <v>1879</v>
      </c>
      <c r="K1403" s="196" t="s">
        <v>1881</v>
      </c>
      <c r="L1403" s="184" t="s">
        <v>7402</v>
      </c>
      <c r="M1403" s="196">
        <v>304</v>
      </c>
      <c r="O1403" s="196" t="s">
        <v>5532</v>
      </c>
      <c r="P1403" s="17">
        <v>301</v>
      </c>
      <c r="Q1403" s="175">
        <f t="shared" si="85"/>
        <v>0.79879999999999995</v>
      </c>
      <c r="R1403" s="199">
        <v>0.49</v>
      </c>
      <c r="T1403" s="149">
        <v>0.35</v>
      </c>
      <c r="U1403" s="149"/>
      <c r="V1403" s="151">
        <v>0.25</v>
      </c>
      <c r="W1403" s="149">
        <f t="shared" si="88"/>
        <v>0.49</v>
      </c>
      <c r="X1403" s="152">
        <f t="shared" si="87"/>
        <v>5.8799999999999998E-2</v>
      </c>
      <c r="Y1403" s="150">
        <f t="shared" si="86"/>
        <v>1.01</v>
      </c>
      <c r="Z1403" s="152"/>
      <c r="AC1403" s="154"/>
      <c r="AD1403" s="154"/>
      <c r="AE1403" s="154"/>
      <c r="AF1403" s="154"/>
    </row>
    <row r="1404" spans="1:32" x14ac:dyDescent="0.25">
      <c r="A1404" s="196">
        <v>1320</v>
      </c>
      <c r="B1404" s="196" t="s">
        <v>7403</v>
      </c>
      <c r="C1404" s="196" t="s">
        <v>7404</v>
      </c>
      <c r="D1404" s="196" t="s">
        <v>2091</v>
      </c>
      <c r="F1404" s="196">
        <v>2007</v>
      </c>
      <c r="H1404" s="196" t="s">
        <v>1878</v>
      </c>
      <c r="I1404" s="184" t="s">
        <v>1879</v>
      </c>
      <c r="K1404" s="196" t="s">
        <v>1881</v>
      </c>
      <c r="L1404" s="184" t="s">
        <v>7405</v>
      </c>
      <c r="M1404" s="196">
        <v>160</v>
      </c>
      <c r="O1404" s="196" t="s">
        <v>5533</v>
      </c>
      <c r="P1404" s="17">
        <v>248</v>
      </c>
      <c r="Q1404" s="175">
        <f t="shared" ref="Q1404:Q1467" si="89">SUM(U1404:X1404)</f>
        <v>0.79879999999999995</v>
      </c>
      <c r="R1404" s="199">
        <v>0.49</v>
      </c>
      <c r="T1404" s="149">
        <v>0.35</v>
      </c>
      <c r="U1404" s="149"/>
      <c r="V1404" s="149">
        <v>0.25</v>
      </c>
      <c r="W1404" s="149">
        <f t="shared" si="88"/>
        <v>0.49</v>
      </c>
      <c r="X1404" s="152">
        <f t="shared" si="87"/>
        <v>5.8799999999999998E-2</v>
      </c>
      <c r="Y1404" s="150">
        <f t="shared" si="86"/>
        <v>1.01</v>
      </c>
      <c r="Z1404" s="152"/>
      <c r="AC1404" s="154"/>
      <c r="AD1404" s="154"/>
      <c r="AE1404" s="154"/>
      <c r="AF1404" s="154"/>
    </row>
    <row r="1405" spans="1:32" x14ac:dyDescent="0.25">
      <c r="A1405" s="196">
        <v>632</v>
      </c>
      <c r="B1405" s="196" t="s">
        <v>2629</v>
      </c>
      <c r="C1405" s="196" t="s">
        <v>7406</v>
      </c>
      <c r="D1405" s="196" t="s">
        <v>1876</v>
      </c>
      <c r="F1405" s="196">
        <v>2002</v>
      </c>
      <c r="H1405" s="196" t="s">
        <v>1878</v>
      </c>
      <c r="I1405" s="184" t="s">
        <v>1879</v>
      </c>
      <c r="K1405" s="196" t="s">
        <v>1881</v>
      </c>
      <c r="L1405" s="184" t="s">
        <v>7407</v>
      </c>
      <c r="M1405" s="196">
        <v>576</v>
      </c>
      <c r="O1405" s="196" t="s">
        <v>5534</v>
      </c>
      <c r="P1405" s="17">
        <v>475</v>
      </c>
      <c r="Q1405" s="175">
        <f t="shared" si="89"/>
        <v>2.6177999999999999</v>
      </c>
      <c r="R1405" s="199">
        <v>2.19</v>
      </c>
      <c r="T1405" s="149">
        <v>0.35</v>
      </c>
      <c r="U1405" s="149"/>
      <c r="V1405" s="151">
        <v>0.25</v>
      </c>
      <c r="W1405" s="149">
        <f t="shared" si="88"/>
        <v>2.19</v>
      </c>
      <c r="X1405" s="152">
        <f t="shared" si="87"/>
        <v>0.17779999999999999</v>
      </c>
      <c r="Y1405" s="150">
        <f t="shared" si="86"/>
        <v>1.01</v>
      </c>
      <c r="Z1405" s="152"/>
      <c r="AC1405" s="154"/>
      <c r="AD1405" s="154"/>
      <c r="AE1405" s="154"/>
      <c r="AF1405" s="154"/>
    </row>
    <row r="1406" spans="1:32" x14ac:dyDescent="0.25">
      <c r="A1406" s="196">
        <v>758</v>
      </c>
      <c r="B1406" s="196" t="s">
        <v>7408</v>
      </c>
      <c r="C1406" s="196" t="s">
        <v>7409</v>
      </c>
      <c r="D1406" s="196" t="s">
        <v>2971</v>
      </c>
      <c r="F1406" s="196">
        <v>2003</v>
      </c>
      <c r="H1406" s="196" t="s">
        <v>1878</v>
      </c>
      <c r="I1406" s="184" t="s">
        <v>1879</v>
      </c>
      <c r="K1406" s="196" t="s">
        <v>1881</v>
      </c>
      <c r="L1406" s="184" t="s">
        <v>7410</v>
      </c>
      <c r="M1406" s="196">
        <v>176</v>
      </c>
      <c r="O1406" s="196" t="s">
        <v>5535</v>
      </c>
      <c r="P1406" s="17">
        <v>191</v>
      </c>
      <c r="Q1406" s="175">
        <f t="shared" si="89"/>
        <v>0.79879999999999995</v>
      </c>
      <c r="R1406" s="199">
        <v>0.49</v>
      </c>
      <c r="T1406" s="149">
        <v>0.35</v>
      </c>
      <c r="U1406" s="149"/>
      <c r="V1406" s="149">
        <v>0.25</v>
      </c>
      <c r="W1406" s="149">
        <f t="shared" si="88"/>
        <v>0.49</v>
      </c>
      <c r="X1406" s="152">
        <f t="shared" si="87"/>
        <v>5.8799999999999998E-2</v>
      </c>
      <c r="Y1406" s="150">
        <f t="shared" si="86"/>
        <v>1.01</v>
      </c>
      <c r="Z1406" s="152"/>
      <c r="AC1406" s="154"/>
      <c r="AD1406" s="154"/>
      <c r="AE1406" s="154"/>
      <c r="AF1406" s="154"/>
    </row>
    <row r="1407" spans="1:32" x14ac:dyDescent="0.25">
      <c r="A1407" s="196">
        <v>2516</v>
      </c>
      <c r="B1407" s="196" t="s">
        <v>7411</v>
      </c>
      <c r="C1407" s="196" t="s">
        <v>7412</v>
      </c>
      <c r="D1407" s="196" t="s">
        <v>7413</v>
      </c>
      <c r="F1407" s="196">
        <v>2005</v>
      </c>
      <c r="H1407" s="196" t="s">
        <v>1878</v>
      </c>
      <c r="I1407" s="184" t="s">
        <v>1879</v>
      </c>
      <c r="J1407" s="182" t="s">
        <v>7414</v>
      </c>
      <c r="K1407" s="196" t="s">
        <v>1881</v>
      </c>
      <c r="L1407" s="184" t="s">
        <v>7415</v>
      </c>
      <c r="M1407" s="196">
        <v>204</v>
      </c>
      <c r="O1407" s="196" t="s">
        <v>5536</v>
      </c>
      <c r="P1407" s="17">
        <v>216</v>
      </c>
      <c r="Q1407" s="175">
        <f t="shared" si="89"/>
        <v>0.79879999999999995</v>
      </c>
      <c r="R1407" s="199">
        <v>0.49</v>
      </c>
      <c r="T1407" s="149">
        <v>0.35</v>
      </c>
      <c r="U1407" s="149"/>
      <c r="V1407" s="151">
        <v>0.25</v>
      </c>
      <c r="W1407" s="149">
        <f t="shared" si="88"/>
        <v>0.49</v>
      </c>
      <c r="X1407" s="152">
        <f t="shared" si="87"/>
        <v>5.8799999999999998E-2</v>
      </c>
      <c r="Y1407" s="150">
        <f t="shared" si="86"/>
        <v>1.01</v>
      </c>
      <c r="Z1407" s="152"/>
      <c r="AC1407" s="154"/>
      <c r="AD1407" s="154"/>
      <c r="AE1407" s="154"/>
      <c r="AF1407" s="154"/>
    </row>
    <row r="1408" spans="1:32" x14ac:dyDescent="0.25">
      <c r="A1408" s="196">
        <v>632</v>
      </c>
      <c r="B1408" s="196" t="s">
        <v>7416</v>
      </c>
      <c r="C1408" s="196" t="s">
        <v>7417</v>
      </c>
      <c r="D1408" s="196" t="s">
        <v>1920</v>
      </c>
      <c r="F1408" s="196">
        <v>2002</v>
      </c>
      <c r="H1408" s="196" t="s">
        <v>1878</v>
      </c>
      <c r="I1408" s="184" t="s">
        <v>1879</v>
      </c>
      <c r="J1408" s="52" t="s">
        <v>3854</v>
      </c>
      <c r="K1408" s="196" t="s">
        <v>1881</v>
      </c>
      <c r="L1408" s="184" t="s">
        <v>7418</v>
      </c>
      <c r="M1408" s="196">
        <v>512</v>
      </c>
      <c r="O1408" s="196" t="s">
        <v>5537</v>
      </c>
      <c r="P1408" s="17">
        <v>434</v>
      </c>
      <c r="Q1408" s="175">
        <f t="shared" si="89"/>
        <v>0.79879999999999995</v>
      </c>
      <c r="R1408" s="199">
        <v>0.49</v>
      </c>
      <c r="T1408" s="149">
        <v>0.35</v>
      </c>
      <c r="U1408" s="149"/>
      <c r="V1408" s="149">
        <v>0.25</v>
      </c>
      <c r="W1408" s="149">
        <f t="shared" si="88"/>
        <v>0.49</v>
      </c>
      <c r="X1408" s="152">
        <f t="shared" si="87"/>
        <v>5.8799999999999998E-2</v>
      </c>
      <c r="Y1408" s="150">
        <f t="shared" si="86"/>
        <v>1.01</v>
      </c>
      <c r="Z1408" s="152"/>
      <c r="AC1408" s="154"/>
      <c r="AD1408" s="154"/>
      <c r="AE1408" s="154"/>
      <c r="AF1408" s="154"/>
    </row>
    <row r="1409" spans="1:32" x14ac:dyDescent="0.25">
      <c r="A1409" s="196">
        <v>323</v>
      </c>
      <c r="B1409" s="196" t="s">
        <v>7419</v>
      </c>
      <c r="C1409" s="196" t="s">
        <v>7420</v>
      </c>
      <c r="D1409" s="196" t="s">
        <v>7421</v>
      </c>
      <c r="F1409" s="196">
        <v>1995</v>
      </c>
      <c r="H1409" s="196" t="s">
        <v>2734</v>
      </c>
      <c r="I1409" s="184" t="s">
        <v>1929</v>
      </c>
      <c r="K1409" s="196" t="s">
        <v>1881</v>
      </c>
      <c r="L1409" s="184" t="s">
        <v>7422</v>
      </c>
      <c r="M1409" s="196">
        <v>342</v>
      </c>
      <c r="O1409" s="196" t="s">
        <v>5538</v>
      </c>
      <c r="P1409" s="17">
        <v>746</v>
      </c>
      <c r="Q1409" s="175">
        <f t="shared" si="89"/>
        <v>5.7207999999999997</v>
      </c>
      <c r="R1409" s="199">
        <v>5.09</v>
      </c>
      <c r="T1409" s="149">
        <v>0.35</v>
      </c>
      <c r="U1409" s="149"/>
      <c r="V1409" s="151">
        <v>0.25</v>
      </c>
      <c r="W1409" s="149">
        <f t="shared" si="88"/>
        <v>5.09</v>
      </c>
      <c r="X1409" s="152">
        <f t="shared" si="87"/>
        <v>0.38079999999999997</v>
      </c>
      <c r="Y1409" s="150">
        <f t="shared" si="86"/>
        <v>1.01</v>
      </c>
      <c r="Z1409" s="152"/>
      <c r="AC1409" s="154"/>
      <c r="AD1409" s="154"/>
      <c r="AE1409" s="154"/>
      <c r="AF1409" s="154"/>
    </row>
    <row r="1410" spans="1:32" x14ac:dyDescent="0.25">
      <c r="A1410" s="196">
        <v>323</v>
      </c>
      <c r="C1410" s="196" t="s">
        <v>7423</v>
      </c>
      <c r="D1410" s="196" t="s">
        <v>2151</v>
      </c>
      <c r="F1410" s="196">
        <v>1996</v>
      </c>
      <c r="H1410" s="196" t="s">
        <v>1878</v>
      </c>
      <c r="I1410" s="184" t="s">
        <v>1879</v>
      </c>
      <c r="K1410" s="196" t="s">
        <v>1881</v>
      </c>
      <c r="L1410" s="184" t="s">
        <v>7424</v>
      </c>
      <c r="M1410" s="196">
        <v>128</v>
      </c>
      <c r="O1410" s="196" t="s">
        <v>5539</v>
      </c>
      <c r="P1410" s="17">
        <v>82</v>
      </c>
      <c r="Q1410" s="175">
        <f t="shared" si="89"/>
        <v>0.79879999999999995</v>
      </c>
      <c r="R1410" s="199">
        <v>0.49</v>
      </c>
      <c r="T1410" s="149">
        <v>0.35</v>
      </c>
      <c r="U1410" s="149"/>
      <c r="V1410" s="149">
        <v>0.25</v>
      </c>
      <c r="W1410" s="149">
        <f t="shared" si="88"/>
        <v>0.49</v>
      </c>
      <c r="X1410" s="152">
        <f t="shared" si="87"/>
        <v>5.8799999999999998E-2</v>
      </c>
      <c r="Y1410" s="150">
        <f t="shared" si="86"/>
        <v>1.01</v>
      </c>
      <c r="Z1410" s="152"/>
      <c r="AC1410" s="154"/>
      <c r="AD1410" s="154"/>
      <c r="AE1410" s="154"/>
      <c r="AF1410" s="154"/>
    </row>
    <row r="1411" spans="1:32" x14ac:dyDescent="0.25">
      <c r="A1411" s="196">
        <v>796</v>
      </c>
      <c r="B1411" s="196" t="s">
        <v>7425</v>
      </c>
      <c r="C1411" s="196" t="s">
        <v>7426</v>
      </c>
      <c r="D1411" s="196" t="s">
        <v>2300</v>
      </c>
      <c r="F1411" s="196">
        <v>2005</v>
      </c>
      <c r="H1411" s="196" t="s">
        <v>1878</v>
      </c>
      <c r="I1411" s="184" t="s">
        <v>1929</v>
      </c>
      <c r="J1411" s="52" t="s">
        <v>3854</v>
      </c>
      <c r="K1411" s="196" t="s">
        <v>1881</v>
      </c>
      <c r="L1411" s="184" t="s">
        <v>7427</v>
      </c>
      <c r="M1411" s="196">
        <v>448</v>
      </c>
      <c r="O1411" s="196" t="s">
        <v>5540</v>
      </c>
      <c r="P1411" s="17">
        <v>311</v>
      </c>
      <c r="Q1411" s="175">
        <f t="shared" si="89"/>
        <v>0.79879999999999995</v>
      </c>
      <c r="R1411" s="199">
        <v>0.49</v>
      </c>
      <c r="T1411" s="149">
        <v>0.35</v>
      </c>
      <c r="U1411" s="149"/>
      <c r="V1411" s="151">
        <v>0.25</v>
      </c>
      <c r="W1411" s="149">
        <f t="shared" si="88"/>
        <v>0.49</v>
      </c>
      <c r="X1411" s="152">
        <f t="shared" si="87"/>
        <v>5.8799999999999998E-2</v>
      </c>
      <c r="Y1411" s="150">
        <f t="shared" si="86"/>
        <v>1.01</v>
      </c>
      <c r="Z1411" s="152"/>
      <c r="AC1411" s="154"/>
      <c r="AD1411" s="154"/>
      <c r="AE1411" s="154"/>
      <c r="AF1411" s="154"/>
    </row>
    <row r="1412" spans="1:32" x14ac:dyDescent="0.25">
      <c r="A1412" s="196">
        <v>1231</v>
      </c>
      <c r="B1412" s="196" t="s">
        <v>7428</v>
      </c>
      <c r="C1412" s="196" t="s">
        <v>7429</v>
      </c>
      <c r="D1412" s="196" t="s">
        <v>2257</v>
      </c>
      <c r="F1412" s="196">
        <v>2016</v>
      </c>
      <c r="H1412" s="196" t="s">
        <v>1878</v>
      </c>
      <c r="I1412" s="184" t="s">
        <v>1929</v>
      </c>
      <c r="K1412" s="196" t="s">
        <v>1881</v>
      </c>
      <c r="L1412" s="184" t="s">
        <v>7430</v>
      </c>
      <c r="M1412" s="196">
        <v>240</v>
      </c>
      <c r="O1412" s="196" t="s">
        <v>5541</v>
      </c>
      <c r="P1412" s="17">
        <v>230</v>
      </c>
      <c r="Q1412" s="175">
        <f t="shared" si="89"/>
        <v>1.1198000000000001</v>
      </c>
      <c r="R1412" s="199">
        <v>0.79</v>
      </c>
      <c r="T1412" s="149">
        <v>0.35</v>
      </c>
      <c r="U1412" s="149"/>
      <c r="V1412" s="149">
        <v>0.25</v>
      </c>
      <c r="W1412" s="149">
        <f t="shared" si="88"/>
        <v>0.79</v>
      </c>
      <c r="X1412" s="152">
        <f t="shared" si="87"/>
        <v>7.980000000000001E-2</v>
      </c>
      <c r="Y1412" s="150">
        <f t="shared" si="86"/>
        <v>1.01</v>
      </c>
      <c r="Z1412" s="152"/>
      <c r="AC1412" s="154"/>
      <c r="AD1412" s="154"/>
      <c r="AE1412" s="154"/>
      <c r="AF1412" s="154"/>
    </row>
    <row r="1413" spans="1:32" x14ac:dyDescent="0.25">
      <c r="A1413" s="196">
        <v>1325</v>
      </c>
      <c r="B1413" s="196" t="s">
        <v>7431</v>
      </c>
      <c r="C1413" s="196" t="s">
        <v>7432</v>
      </c>
      <c r="D1413" s="196" t="s">
        <v>2424</v>
      </c>
      <c r="E1413" s="196" t="s">
        <v>2375</v>
      </c>
      <c r="F1413" s="196">
        <v>2003</v>
      </c>
      <c r="H1413" s="196" t="s">
        <v>1878</v>
      </c>
      <c r="I1413" s="184" t="s">
        <v>1879</v>
      </c>
      <c r="K1413" s="196" t="s">
        <v>1881</v>
      </c>
      <c r="L1413" s="184" t="s">
        <v>7433</v>
      </c>
      <c r="M1413" s="196">
        <v>192</v>
      </c>
      <c r="O1413" s="196" t="s">
        <v>5542</v>
      </c>
      <c r="P1413" s="17">
        <v>228</v>
      </c>
      <c r="Q1413" s="175">
        <f t="shared" si="89"/>
        <v>1.0127999999999999</v>
      </c>
      <c r="R1413" s="199">
        <v>0.69</v>
      </c>
      <c r="T1413" s="149">
        <v>0.35</v>
      </c>
      <c r="U1413" s="149"/>
      <c r="V1413" s="151">
        <v>0.25</v>
      </c>
      <c r="W1413" s="149">
        <f t="shared" si="88"/>
        <v>0.69</v>
      </c>
      <c r="X1413" s="152">
        <f t="shared" si="87"/>
        <v>7.2800000000000004E-2</v>
      </c>
      <c r="Y1413" s="150">
        <f t="shared" si="86"/>
        <v>1.01</v>
      </c>
      <c r="Z1413" s="152"/>
      <c r="AC1413" s="154"/>
      <c r="AD1413" s="154"/>
      <c r="AE1413" s="154"/>
      <c r="AF1413" s="154"/>
    </row>
    <row r="1414" spans="1:32" x14ac:dyDescent="0.25">
      <c r="A1414" s="196">
        <v>853</v>
      </c>
      <c r="B1414" s="196" t="s">
        <v>7434</v>
      </c>
      <c r="C1414" s="196" t="s">
        <v>7435</v>
      </c>
      <c r="D1414" s="196" t="s">
        <v>4669</v>
      </c>
      <c r="H1414" s="196" t="s">
        <v>2734</v>
      </c>
      <c r="I1414" s="184" t="s">
        <v>1879</v>
      </c>
      <c r="K1414" s="196" t="s">
        <v>1881</v>
      </c>
      <c r="L1414" s="184" t="s">
        <v>7436</v>
      </c>
      <c r="M1414" s="196">
        <v>410</v>
      </c>
      <c r="O1414" s="196" t="s">
        <v>5543</v>
      </c>
      <c r="P1414" s="17">
        <v>605</v>
      </c>
      <c r="Q1414" s="175">
        <f t="shared" si="89"/>
        <v>1.0127999999999999</v>
      </c>
      <c r="R1414" s="199">
        <v>0.69</v>
      </c>
      <c r="T1414" s="149">
        <v>0.35</v>
      </c>
      <c r="U1414" s="149"/>
      <c r="V1414" s="149">
        <v>0.25</v>
      </c>
      <c r="W1414" s="149">
        <f t="shared" si="88"/>
        <v>0.69</v>
      </c>
      <c r="X1414" s="152">
        <f t="shared" si="87"/>
        <v>7.2800000000000004E-2</v>
      </c>
      <c r="Y1414" s="150">
        <f t="shared" si="86"/>
        <v>1.01</v>
      </c>
      <c r="Z1414" s="152"/>
      <c r="AC1414" s="154"/>
      <c r="AD1414" s="154"/>
      <c r="AE1414" s="154"/>
      <c r="AF1414" s="154"/>
    </row>
    <row r="1415" spans="1:32" x14ac:dyDescent="0.25">
      <c r="A1415" s="196">
        <v>1327</v>
      </c>
      <c r="B1415" s="196" t="s">
        <v>2242</v>
      </c>
      <c r="C1415" s="196" t="s">
        <v>7437</v>
      </c>
      <c r="D1415" s="196" t="s">
        <v>2244</v>
      </c>
      <c r="F1415" s="196">
        <v>2001</v>
      </c>
      <c r="H1415" s="196" t="s">
        <v>2734</v>
      </c>
      <c r="I1415" s="184" t="s">
        <v>1879</v>
      </c>
      <c r="K1415" s="196" t="s">
        <v>1881</v>
      </c>
      <c r="L1415" s="184" t="s">
        <v>7438</v>
      </c>
      <c r="M1415" s="196">
        <v>498</v>
      </c>
      <c r="O1415" s="196" t="s">
        <v>5544</v>
      </c>
      <c r="P1415" s="17">
        <v>797</v>
      </c>
      <c r="Q1415" s="175">
        <f t="shared" si="89"/>
        <v>0.64900000000000002</v>
      </c>
      <c r="R1415" s="199">
        <v>0.25</v>
      </c>
      <c r="T1415" s="149">
        <v>0.35</v>
      </c>
      <c r="U1415" s="149"/>
      <c r="V1415" s="151">
        <v>0.25</v>
      </c>
      <c r="W1415" s="149">
        <f t="shared" si="88"/>
        <v>0.35</v>
      </c>
      <c r="X1415" s="152">
        <f t="shared" si="87"/>
        <v>4.8999999999999995E-2</v>
      </c>
      <c r="Y1415" s="150">
        <f t="shared" si="86"/>
        <v>1.01</v>
      </c>
      <c r="Z1415" s="152"/>
      <c r="AC1415" s="154"/>
      <c r="AD1415" s="154"/>
      <c r="AE1415" s="154"/>
      <c r="AF1415" s="154"/>
    </row>
    <row r="1416" spans="1:32" x14ac:dyDescent="0.25">
      <c r="A1416" s="196">
        <v>573</v>
      </c>
      <c r="B1416" s="196" t="s">
        <v>7439</v>
      </c>
      <c r="C1416" s="196" t="s">
        <v>7440</v>
      </c>
      <c r="D1416" s="196" t="s">
        <v>7441</v>
      </c>
      <c r="E1416" s="196" t="s">
        <v>2922</v>
      </c>
      <c r="F1416" s="196">
        <v>2000</v>
      </c>
      <c r="H1416" s="196" t="s">
        <v>1878</v>
      </c>
      <c r="I1416" s="184" t="s">
        <v>1879</v>
      </c>
      <c r="K1416" s="196" t="s">
        <v>1881</v>
      </c>
      <c r="L1416" s="184" t="s">
        <v>7442</v>
      </c>
      <c r="M1416" s="196">
        <v>216</v>
      </c>
      <c r="O1416" s="196" t="s">
        <v>5545</v>
      </c>
      <c r="P1416" s="17">
        <v>285</v>
      </c>
      <c r="Q1416" s="175">
        <f t="shared" si="89"/>
        <v>16.313800000000001</v>
      </c>
      <c r="R1416" s="199">
        <v>14.99</v>
      </c>
      <c r="T1416" s="149">
        <v>0.35</v>
      </c>
      <c r="U1416" s="149"/>
      <c r="V1416" s="149">
        <v>0.25</v>
      </c>
      <c r="W1416" s="149">
        <f t="shared" si="88"/>
        <v>14.99</v>
      </c>
      <c r="X1416" s="152">
        <f t="shared" si="87"/>
        <v>1.0738000000000001</v>
      </c>
      <c r="Y1416" s="150">
        <f t="shared" si="86"/>
        <v>1.01</v>
      </c>
      <c r="Z1416" s="152"/>
      <c r="AC1416" s="154"/>
      <c r="AD1416" s="154"/>
      <c r="AE1416" s="154"/>
      <c r="AF1416" s="154"/>
    </row>
    <row r="1417" spans="1:32" x14ac:dyDescent="0.25">
      <c r="A1417" s="196">
        <v>690</v>
      </c>
      <c r="B1417" s="196" t="s">
        <v>7443</v>
      </c>
      <c r="C1417" s="196" t="s">
        <v>7444</v>
      </c>
      <c r="D1417" s="196" t="s">
        <v>7445</v>
      </c>
      <c r="E1417" s="196" t="s">
        <v>1921</v>
      </c>
      <c r="F1417" s="196">
        <v>2008</v>
      </c>
      <c r="H1417" s="196" t="s">
        <v>2734</v>
      </c>
      <c r="I1417" s="184" t="s">
        <v>1879</v>
      </c>
      <c r="K1417" s="196" t="s">
        <v>1881</v>
      </c>
      <c r="L1417" s="184" t="s">
        <v>7446</v>
      </c>
      <c r="M1417" s="196">
        <v>306</v>
      </c>
      <c r="O1417" s="196" t="s">
        <v>5546</v>
      </c>
      <c r="P1417" s="17">
        <v>525</v>
      </c>
      <c r="Q1417" s="175">
        <f t="shared" si="89"/>
        <v>0.79879999999999995</v>
      </c>
      <c r="R1417" s="199">
        <v>0.49</v>
      </c>
      <c r="T1417" s="149">
        <v>0.35</v>
      </c>
      <c r="U1417" s="149"/>
      <c r="V1417" s="151">
        <v>0.25</v>
      </c>
      <c r="W1417" s="149">
        <f t="shared" si="88"/>
        <v>0.49</v>
      </c>
      <c r="X1417" s="152">
        <f t="shared" si="87"/>
        <v>5.8799999999999998E-2</v>
      </c>
      <c r="Y1417" s="150">
        <f t="shared" si="86"/>
        <v>1.01</v>
      </c>
      <c r="Z1417" s="152"/>
      <c r="AC1417" s="154"/>
      <c r="AD1417" s="154"/>
      <c r="AE1417" s="154"/>
      <c r="AF1417" s="154"/>
    </row>
    <row r="1418" spans="1:32" x14ac:dyDescent="0.25">
      <c r="A1418" s="196">
        <v>1231</v>
      </c>
      <c r="B1418" s="196" t="s">
        <v>7447</v>
      </c>
      <c r="C1418" s="196" t="s">
        <v>7448</v>
      </c>
      <c r="D1418" s="196" t="s">
        <v>4667</v>
      </c>
      <c r="F1418" s="196">
        <v>1997</v>
      </c>
      <c r="H1418" s="196" t="s">
        <v>2734</v>
      </c>
      <c r="I1418" s="184" t="s">
        <v>1879</v>
      </c>
      <c r="K1418" s="196" t="s">
        <v>1881</v>
      </c>
      <c r="M1418" s="196">
        <v>290</v>
      </c>
      <c r="O1418" s="196" t="s">
        <v>5547</v>
      </c>
      <c r="P1418" s="17">
        <v>423</v>
      </c>
      <c r="Q1418" s="175">
        <f t="shared" si="89"/>
        <v>0.79879999999999995</v>
      </c>
      <c r="R1418" s="199">
        <v>0.49</v>
      </c>
      <c r="T1418" s="149">
        <v>0.35</v>
      </c>
      <c r="U1418" s="149"/>
      <c r="V1418" s="149">
        <v>0.25</v>
      </c>
      <c r="W1418" s="149">
        <f t="shared" si="88"/>
        <v>0.49</v>
      </c>
      <c r="X1418" s="152">
        <f t="shared" si="87"/>
        <v>5.8799999999999998E-2</v>
      </c>
      <c r="Y1418" s="150">
        <f t="shared" si="86"/>
        <v>1.01</v>
      </c>
      <c r="Z1418" s="152"/>
      <c r="AC1418" s="154"/>
      <c r="AD1418" s="154"/>
      <c r="AE1418" s="154"/>
      <c r="AF1418" s="154"/>
    </row>
    <row r="1419" spans="1:32" x14ac:dyDescent="0.25">
      <c r="A1419" s="196">
        <v>2522</v>
      </c>
      <c r="B1419" s="196" t="s">
        <v>7449</v>
      </c>
      <c r="C1419" s="196" t="s">
        <v>7450</v>
      </c>
      <c r="D1419" s="196" t="s">
        <v>2257</v>
      </c>
      <c r="F1419" s="196">
        <v>2007</v>
      </c>
      <c r="H1419" s="196" t="s">
        <v>1878</v>
      </c>
      <c r="I1419" s="184" t="s">
        <v>1879</v>
      </c>
      <c r="J1419" s="52" t="s">
        <v>3854</v>
      </c>
      <c r="K1419" s="196" t="s">
        <v>1881</v>
      </c>
      <c r="L1419" s="184" t="s">
        <v>7451</v>
      </c>
      <c r="M1419" s="196">
        <v>512</v>
      </c>
      <c r="O1419" s="196" t="s">
        <v>5548</v>
      </c>
      <c r="P1419" s="17">
        <v>378</v>
      </c>
      <c r="Q1419" s="175">
        <f t="shared" si="89"/>
        <v>0.64900000000000002</v>
      </c>
      <c r="R1419" s="199">
        <v>0.25</v>
      </c>
      <c r="T1419" s="149">
        <v>0.35</v>
      </c>
      <c r="U1419" s="149"/>
      <c r="V1419" s="151">
        <v>0.25</v>
      </c>
      <c r="W1419" s="149">
        <f t="shared" si="88"/>
        <v>0.35</v>
      </c>
      <c r="X1419" s="152">
        <f t="shared" si="87"/>
        <v>4.8999999999999995E-2</v>
      </c>
      <c r="Y1419" s="150">
        <f t="shared" si="86"/>
        <v>1.01</v>
      </c>
      <c r="Z1419" s="152"/>
      <c r="AC1419" s="154"/>
      <c r="AD1419" s="154"/>
      <c r="AE1419" s="154"/>
      <c r="AF1419" s="154"/>
    </row>
    <row r="1420" spans="1:32" x14ac:dyDescent="0.25">
      <c r="A1420" s="196">
        <v>1395</v>
      </c>
      <c r="B1420" s="196" t="s">
        <v>7452</v>
      </c>
      <c r="C1420" s="196" t="s">
        <v>7453</v>
      </c>
      <c r="D1420" s="196" t="s">
        <v>2300</v>
      </c>
      <c r="F1420" s="196">
        <v>1995</v>
      </c>
      <c r="H1420" s="196" t="s">
        <v>1878</v>
      </c>
      <c r="I1420" s="184" t="s">
        <v>7454</v>
      </c>
      <c r="K1420" s="196" t="s">
        <v>1881</v>
      </c>
      <c r="L1420" s="184" t="s">
        <v>7455</v>
      </c>
      <c r="M1420" s="196">
        <v>400</v>
      </c>
      <c r="O1420" s="196" t="s">
        <v>5549</v>
      </c>
      <c r="P1420" s="17">
        <v>234</v>
      </c>
      <c r="Q1420" s="175">
        <f t="shared" si="89"/>
        <v>0.64900000000000002</v>
      </c>
      <c r="R1420" s="199">
        <v>0.25</v>
      </c>
      <c r="T1420" s="149">
        <v>0.35</v>
      </c>
      <c r="U1420" s="149"/>
      <c r="V1420" s="149">
        <v>0.25</v>
      </c>
      <c r="W1420" s="149">
        <f t="shared" si="88"/>
        <v>0.35</v>
      </c>
      <c r="X1420" s="152">
        <f t="shared" si="87"/>
        <v>4.8999999999999995E-2</v>
      </c>
      <c r="Y1420" s="150">
        <f t="shared" si="86"/>
        <v>1.01</v>
      </c>
      <c r="Z1420" s="152"/>
      <c r="AC1420" s="154"/>
      <c r="AD1420" s="154"/>
      <c r="AE1420" s="154"/>
      <c r="AF1420" s="154"/>
    </row>
    <row r="1421" spans="1:32" x14ac:dyDescent="0.25">
      <c r="A1421" s="196">
        <v>634</v>
      </c>
      <c r="B1421" s="196" t="s">
        <v>7456</v>
      </c>
      <c r="C1421" s="196" t="s">
        <v>7457</v>
      </c>
      <c r="D1421" s="196" t="s">
        <v>3077</v>
      </c>
      <c r="F1421" s="196">
        <v>1999</v>
      </c>
      <c r="H1421" s="196" t="s">
        <v>1878</v>
      </c>
      <c r="I1421" s="184" t="s">
        <v>1879</v>
      </c>
      <c r="K1421" s="196" t="s">
        <v>1881</v>
      </c>
      <c r="L1421" s="184" t="s">
        <v>7458</v>
      </c>
      <c r="M1421" s="196">
        <v>192</v>
      </c>
      <c r="O1421" s="196" t="s">
        <v>5550</v>
      </c>
      <c r="P1421" s="17">
        <v>179</v>
      </c>
      <c r="Q1421" s="175">
        <f t="shared" si="89"/>
        <v>0.79879999999999995</v>
      </c>
      <c r="R1421" s="199">
        <v>0.49</v>
      </c>
      <c r="T1421" s="149">
        <v>0.35</v>
      </c>
      <c r="U1421" s="149"/>
      <c r="V1421" s="151">
        <v>0.25</v>
      </c>
      <c r="W1421" s="149">
        <f t="shared" si="88"/>
        <v>0.49</v>
      </c>
      <c r="X1421" s="152">
        <f t="shared" si="87"/>
        <v>5.8799999999999998E-2</v>
      </c>
      <c r="Y1421" s="150">
        <f t="shared" si="86"/>
        <v>1.01</v>
      </c>
      <c r="Z1421" s="152"/>
      <c r="AC1421" s="154"/>
      <c r="AD1421" s="154"/>
      <c r="AE1421" s="154"/>
      <c r="AF1421" s="154"/>
    </row>
    <row r="1422" spans="1:32" x14ac:dyDescent="0.25">
      <c r="A1422" s="196">
        <v>2522</v>
      </c>
      <c r="B1422" s="196" t="s">
        <v>7459</v>
      </c>
      <c r="C1422" s="196" t="s">
        <v>7460</v>
      </c>
      <c r="D1422" s="196" t="s">
        <v>1876</v>
      </c>
      <c r="E1422" s="196" t="s">
        <v>1921</v>
      </c>
      <c r="F1422" s="196">
        <v>2016</v>
      </c>
      <c r="H1422" s="196" t="s">
        <v>1878</v>
      </c>
      <c r="I1422" s="184" t="s">
        <v>1929</v>
      </c>
      <c r="J1422" s="52" t="s">
        <v>3854</v>
      </c>
      <c r="K1422" s="196" t="s">
        <v>1881</v>
      </c>
      <c r="L1422" s="184" t="s">
        <v>7461</v>
      </c>
      <c r="M1422" s="196">
        <v>464</v>
      </c>
      <c r="O1422" s="196" t="s">
        <v>5551</v>
      </c>
      <c r="P1422" s="17">
        <v>332</v>
      </c>
      <c r="Q1422" s="175">
        <f t="shared" si="89"/>
        <v>1.7617999999999998</v>
      </c>
      <c r="R1422" s="199">
        <v>1.39</v>
      </c>
      <c r="T1422" s="149">
        <v>0.35</v>
      </c>
      <c r="U1422" s="149"/>
      <c r="V1422" s="149">
        <v>0.25</v>
      </c>
      <c r="W1422" s="149">
        <f t="shared" si="88"/>
        <v>1.39</v>
      </c>
      <c r="X1422" s="152">
        <f t="shared" si="87"/>
        <v>0.12179999999999999</v>
      </c>
      <c r="Y1422" s="150">
        <f t="shared" si="86"/>
        <v>1.01</v>
      </c>
      <c r="Z1422" s="152"/>
      <c r="AC1422" s="154"/>
      <c r="AD1422" s="154"/>
      <c r="AE1422" s="154"/>
      <c r="AF1422" s="154"/>
    </row>
    <row r="1423" spans="1:32" x14ac:dyDescent="0.25">
      <c r="A1423" s="196">
        <v>632</v>
      </c>
      <c r="B1423" s="196" t="s">
        <v>7462</v>
      </c>
      <c r="C1423" s="196" t="s">
        <v>7463</v>
      </c>
      <c r="D1423" s="196" t="s">
        <v>1912</v>
      </c>
      <c r="E1423" s="196" t="s">
        <v>1913</v>
      </c>
      <c r="F1423" s="196">
        <v>1988</v>
      </c>
      <c r="H1423" s="196" t="s">
        <v>1878</v>
      </c>
      <c r="I1423" s="184" t="s">
        <v>1914</v>
      </c>
      <c r="K1423" s="196" t="s">
        <v>1881</v>
      </c>
      <c r="L1423" s="184" t="s">
        <v>7464</v>
      </c>
      <c r="M1423" s="196">
        <v>544</v>
      </c>
      <c r="O1423" s="196" t="s">
        <v>5552</v>
      </c>
      <c r="P1423" s="17">
        <v>297</v>
      </c>
      <c r="Q1423" s="175">
        <f t="shared" si="89"/>
        <v>1.4408000000000001</v>
      </c>
      <c r="R1423" s="199">
        <v>1.0900000000000001</v>
      </c>
      <c r="T1423" s="149">
        <v>0.35</v>
      </c>
      <c r="U1423" s="149"/>
      <c r="V1423" s="151">
        <v>0.25</v>
      </c>
      <c r="W1423" s="149">
        <f t="shared" si="88"/>
        <v>1.0900000000000001</v>
      </c>
      <c r="X1423" s="152">
        <f t="shared" si="87"/>
        <v>0.1008</v>
      </c>
      <c r="Y1423" s="150">
        <f t="shared" si="86"/>
        <v>1.01</v>
      </c>
      <c r="Z1423" s="152"/>
      <c r="AC1423" s="154"/>
      <c r="AD1423" s="154"/>
      <c r="AE1423" s="154"/>
      <c r="AF1423" s="154"/>
    </row>
    <row r="1424" spans="1:32" x14ac:dyDescent="0.25">
      <c r="A1424" s="196">
        <v>815</v>
      </c>
      <c r="B1424" s="196" t="s">
        <v>7465</v>
      </c>
      <c r="C1424" s="196" t="s">
        <v>7466</v>
      </c>
      <c r="D1424" s="196" t="s">
        <v>7467</v>
      </c>
      <c r="F1424" s="196">
        <v>1985</v>
      </c>
      <c r="H1424" s="196" t="s">
        <v>1878</v>
      </c>
      <c r="I1424" s="184" t="s">
        <v>1879</v>
      </c>
      <c r="K1424" s="196" t="s">
        <v>1881</v>
      </c>
      <c r="L1424" s="184" t="s">
        <v>7468</v>
      </c>
      <c r="M1424" s="196">
        <v>384</v>
      </c>
      <c r="O1424" s="196" t="s">
        <v>5553</v>
      </c>
      <c r="P1424" s="17">
        <v>349</v>
      </c>
      <c r="Q1424" s="175">
        <f t="shared" si="89"/>
        <v>0.79879999999999995</v>
      </c>
      <c r="R1424" s="199">
        <v>0.49</v>
      </c>
      <c r="T1424" s="149">
        <v>0.35</v>
      </c>
      <c r="U1424" s="149"/>
      <c r="V1424" s="149">
        <v>0.25</v>
      </c>
      <c r="W1424" s="149">
        <f t="shared" si="88"/>
        <v>0.49</v>
      </c>
      <c r="X1424" s="152">
        <f t="shared" si="87"/>
        <v>5.8799999999999998E-2</v>
      </c>
      <c r="Y1424" s="150">
        <f t="shared" si="86"/>
        <v>1.01</v>
      </c>
      <c r="Z1424" s="152"/>
      <c r="AC1424" s="154"/>
      <c r="AD1424" s="154"/>
      <c r="AE1424" s="154"/>
      <c r="AF1424" s="154"/>
    </row>
    <row r="1425" spans="1:32" x14ac:dyDescent="0.25">
      <c r="A1425" s="196">
        <v>806</v>
      </c>
      <c r="B1425" s="196" t="s">
        <v>7469</v>
      </c>
      <c r="C1425" s="196" t="s">
        <v>7470</v>
      </c>
      <c r="D1425" s="196" t="s">
        <v>2257</v>
      </c>
      <c r="F1425" s="196">
        <v>1978</v>
      </c>
      <c r="H1425" s="196" t="s">
        <v>1878</v>
      </c>
      <c r="I1425" s="184" t="s">
        <v>1914</v>
      </c>
      <c r="K1425" s="196" t="s">
        <v>1881</v>
      </c>
      <c r="L1425" s="184" t="s">
        <v>7471</v>
      </c>
      <c r="M1425" s="196">
        <v>256</v>
      </c>
      <c r="O1425" s="196" t="s">
        <v>5554</v>
      </c>
      <c r="P1425" s="17">
        <v>278</v>
      </c>
      <c r="Q1425" s="175">
        <f t="shared" si="89"/>
        <v>1.0127999999999999</v>
      </c>
      <c r="R1425" s="199">
        <v>0.69</v>
      </c>
      <c r="T1425" s="149">
        <v>0.35</v>
      </c>
      <c r="U1425" s="149"/>
      <c r="V1425" s="151">
        <v>0.25</v>
      </c>
      <c r="W1425" s="149">
        <f t="shared" si="88"/>
        <v>0.69</v>
      </c>
      <c r="X1425" s="152">
        <f t="shared" si="87"/>
        <v>7.2800000000000004E-2</v>
      </c>
      <c r="Y1425" s="150">
        <f t="shared" si="86"/>
        <v>1.01</v>
      </c>
      <c r="Z1425" s="152"/>
      <c r="AC1425" s="154"/>
      <c r="AD1425" s="154"/>
      <c r="AE1425" s="154"/>
      <c r="AF1425" s="154"/>
    </row>
    <row r="1426" spans="1:32" x14ac:dyDescent="0.25">
      <c r="A1426" s="196">
        <v>651</v>
      </c>
      <c r="B1426" s="196" t="s">
        <v>7472</v>
      </c>
      <c r="C1426" s="196" t="s">
        <v>7473</v>
      </c>
      <c r="D1426" s="196" t="s">
        <v>2117</v>
      </c>
      <c r="E1426" s="196" t="s">
        <v>1913</v>
      </c>
      <c r="F1426" s="196">
        <v>2000</v>
      </c>
      <c r="H1426" s="196" t="s">
        <v>1878</v>
      </c>
      <c r="I1426" s="184" t="s">
        <v>1879</v>
      </c>
      <c r="K1426" s="196" t="s">
        <v>1881</v>
      </c>
      <c r="L1426" s="184" t="s">
        <v>7474</v>
      </c>
      <c r="M1426" s="196">
        <v>32</v>
      </c>
      <c r="O1426" s="196" t="s">
        <v>5555</v>
      </c>
      <c r="P1426" s="17">
        <v>126</v>
      </c>
      <c r="Q1426" s="175">
        <f t="shared" si="89"/>
        <v>0.79879999999999995</v>
      </c>
      <c r="R1426" s="199">
        <v>0.49</v>
      </c>
      <c r="T1426" s="149">
        <v>0.35</v>
      </c>
      <c r="U1426" s="149"/>
      <c r="V1426" s="149">
        <v>0.25</v>
      </c>
      <c r="W1426" s="149">
        <f t="shared" si="88"/>
        <v>0.49</v>
      </c>
      <c r="X1426" s="152">
        <f t="shared" si="87"/>
        <v>5.8799999999999998E-2</v>
      </c>
      <c r="Y1426" s="150">
        <f t="shared" si="86"/>
        <v>1.01</v>
      </c>
      <c r="Z1426" s="152"/>
      <c r="AC1426" s="154"/>
      <c r="AD1426" s="154"/>
      <c r="AE1426" s="154"/>
      <c r="AF1426" s="154"/>
    </row>
    <row r="1427" spans="1:32" x14ac:dyDescent="0.25">
      <c r="A1427" s="196">
        <v>4</v>
      </c>
      <c r="B1427" s="196" t="s">
        <v>7475</v>
      </c>
      <c r="C1427" s="196" t="s">
        <v>7476</v>
      </c>
      <c r="D1427" s="196" t="s">
        <v>7441</v>
      </c>
      <c r="F1427" s="196">
        <v>2004</v>
      </c>
      <c r="H1427" s="196" t="s">
        <v>1878</v>
      </c>
      <c r="I1427" s="184" t="s">
        <v>1879</v>
      </c>
      <c r="K1427" s="196" t="s">
        <v>1881</v>
      </c>
      <c r="L1427" s="184" t="s">
        <v>7477</v>
      </c>
      <c r="M1427" s="196">
        <v>288</v>
      </c>
      <c r="O1427" s="196" t="s">
        <v>5556</v>
      </c>
      <c r="P1427" s="17">
        <v>423</v>
      </c>
      <c r="Q1427" s="175">
        <f t="shared" si="89"/>
        <v>5.7207999999999997</v>
      </c>
      <c r="R1427" s="199">
        <v>5.09</v>
      </c>
      <c r="T1427" s="149">
        <v>0.35</v>
      </c>
      <c r="U1427" s="149"/>
      <c r="V1427" s="151">
        <v>0.25</v>
      </c>
      <c r="W1427" s="149">
        <f t="shared" si="88"/>
        <v>5.09</v>
      </c>
      <c r="X1427" s="152">
        <f t="shared" si="87"/>
        <v>0.38079999999999997</v>
      </c>
      <c r="Y1427" s="150">
        <f t="shared" si="86"/>
        <v>1.01</v>
      </c>
      <c r="Z1427" s="152"/>
      <c r="AC1427" s="154"/>
      <c r="AD1427" s="154"/>
      <c r="AE1427" s="154"/>
      <c r="AF1427" s="154"/>
    </row>
    <row r="1428" spans="1:32" x14ac:dyDescent="0.25">
      <c r="A1428" s="196">
        <v>1395</v>
      </c>
      <c r="B1428" s="196" t="s">
        <v>7478</v>
      </c>
      <c r="C1428" s="196" t="s">
        <v>7479</v>
      </c>
      <c r="D1428" s="196" t="s">
        <v>1912</v>
      </c>
      <c r="E1428" s="196" t="s">
        <v>1913</v>
      </c>
      <c r="F1428" s="196">
        <v>2004</v>
      </c>
      <c r="H1428" s="196" t="s">
        <v>1878</v>
      </c>
      <c r="I1428" s="184" t="s">
        <v>1879</v>
      </c>
      <c r="K1428" s="196" t="s">
        <v>1881</v>
      </c>
      <c r="L1428" s="184" t="s">
        <v>7480</v>
      </c>
      <c r="M1428" s="196">
        <v>352</v>
      </c>
      <c r="O1428" s="196" t="s">
        <v>5557</v>
      </c>
      <c r="P1428" s="17">
        <v>276</v>
      </c>
      <c r="Q1428" s="175">
        <f t="shared" si="89"/>
        <v>0.79879999999999995</v>
      </c>
      <c r="R1428" s="199">
        <v>0.49</v>
      </c>
      <c r="T1428" s="149">
        <v>0.35</v>
      </c>
      <c r="U1428" s="149"/>
      <c r="V1428" s="149">
        <v>0.25</v>
      </c>
      <c r="W1428" s="149">
        <f t="shared" si="88"/>
        <v>0.49</v>
      </c>
      <c r="X1428" s="152">
        <f t="shared" si="87"/>
        <v>5.8799999999999998E-2</v>
      </c>
      <c r="Y1428" s="150">
        <f t="shared" si="86"/>
        <v>1.01</v>
      </c>
      <c r="Z1428" s="152"/>
      <c r="AC1428" s="154"/>
      <c r="AD1428" s="154"/>
      <c r="AE1428" s="154"/>
      <c r="AF1428" s="154"/>
    </row>
    <row r="1429" spans="1:32" x14ac:dyDescent="0.25">
      <c r="A1429" s="196">
        <v>8</v>
      </c>
      <c r="B1429" s="196" t="s">
        <v>7481</v>
      </c>
      <c r="C1429" s="196" t="s">
        <v>7482</v>
      </c>
      <c r="D1429" s="196" t="s">
        <v>1998</v>
      </c>
      <c r="E1429" s="196" t="s">
        <v>1913</v>
      </c>
      <c r="F1429" s="196">
        <v>1997</v>
      </c>
      <c r="H1429" s="196" t="s">
        <v>1878</v>
      </c>
      <c r="I1429" s="184" t="s">
        <v>1879</v>
      </c>
      <c r="K1429" s="196" t="s">
        <v>1881</v>
      </c>
      <c r="L1429" s="184" t="s">
        <v>7483</v>
      </c>
      <c r="M1429" s="196">
        <v>352</v>
      </c>
      <c r="O1429" s="196" t="s">
        <v>5558</v>
      </c>
      <c r="P1429" s="17">
        <v>302</v>
      </c>
      <c r="Q1429" s="175">
        <f t="shared" si="89"/>
        <v>1.0127999999999999</v>
      </c>
      <c r="R1429" s="199">
        <v>0.69</v>
      </c>
      <c r="T1429" s="149">
        <v>0.35</v>
      </c>
      <c r="U1429" s="149"/>
      <c r="V1429" s="151">
        <v>0.25</v>
      </c>
      <c r="W1429" s="149">
        <f t="shared" si="88"/>
        <v>0.69</v>
      </c>
      <c r="X1429" s="152">
        <f t="shared" si="87"/>
        <v>7.2800000000000004E-2</v>
      </c>
      <c r="Y1429" s="150">
        <f t="shared" si="86"/>
        <v>1.01</v>
      </c>
      <c r="Z1429" s="152"/>
      <c r="AC1429" s="154"/>
      <c r="AD1429" s="154"/>
      <c r="AE1429" s="154"/>
      <c r="AF1429" s="154"/>
    </row>
    <row r="1430" spans="1:32" x14ac:dyDescent="0.25">
      <c r="A1430" s="196">
        <v>655</v>
      </c>
      <c r="B1430" s="196" t="s">
        <v>7484</v>
      </c>
      <c r="C1430" s="196" t="s">
        <v>7485</v>
      </c>
      <c r="D1430" s="196"/>
      <c r="E1430" s="196"/>
      <c r="F1430" s="196">
        <v>2010</v>
      </c>
      <c r="H1430" s="196" t="s">
        <v>1878</v>
      </c>
      <c r="I1430" s="184" t="s">
        <v>1929</v>
      </c>
      <c r="K1430" s="196" t="s">
        <v>1881</v>
      </c>
      <c r="L1430" s="184" t="s">
        <v>7486</v>
      </c>
      <c r="M1430" s="196">
        <v>288</v>
      </c>
      <c r="O1430" s="196" t="s">
        <v>5559</v>
      </c>
      <c r="P1430" s="17">
        <v>279</v>
      </c>
      <c r="Q1430" s="175">
        <f t="shared" si="89"/>
        <v>0.79879999999999995</v>
      </c>
      <c r="R1430" s="199">
        <v>0.49</v>
      </c>
      <c r="T1430" s="149">
        <v>0.35</v>
      </c>
      <c r="U1430" s="149"/>
      <c r="V1430" s="149">
        <v>0.25</v>
      </c>
      <c r="W1430" s="149">
        <f t="shared" si="88"/>
        <v>0.49</v>
      </c>
      <c r="X1430" s="152">
        <f t="shared" si="87"/>
        <v>5.8799999999999998E-2</v>
      </c>
      <c r="Y1430" s="150">
        <f t="shared" si="86"/>
        <v>1.01</v>
      </c>
      <c r="Z1430" s="152"/>
      <c r="AC1430" s="154"/>
      <c r="AD1430" s="154"/>
      <c r="AE1430" s="154"/>
      <c r="AF1430" s="154"/>
    </row>
    <row r="1431" spans="1:32" x14ac:dyDescent="0.25">
      <c r="A1431" s="196">
        <v>2573</v>
      </c>
      <c r="B1431" s="196" t="s">
        <v>7487</v>
      </c>
      <c r="C1431" s="196" t="s">
        <v>7488</v>
      </c>
      <c r="D1431" s="196" t="s">
        <v>7489</v>
      </c>
      <c r="F1431" s="196">
        <v>2004</v>
      </c>
      <c r="H1431" s="196" t="s">
        <v>1878</v>
      </c>
      <c r="I1431" s="184" t="s">
        <v>1879</v>
      </c>
      <c r="K1431" s="196" t="s">
        <v>1881</v>
      </c>
      <c r="L1431" s="184" t="s">
        <v>7490</v>
      </c>
      <c r="M1431" s="196">
        <v>464</v>
      </c>
      <c r="O1431" s="196" t="s">
        <v>5560</v>
      </c>
      <c r="P1431" s="17">
        <v>685</v>
      </c>
      <c r="Q1431" s="175">
        <f t="shared" si="89"/>
        <v>1.2268000000000001</v>
      </c>
      <c r="R1431" s="199">
        <v>0.89</v>
      </c>
      <c r="T1431" s="149">
        <v>0.35</v>
      </c>
      <c r="U1431" s="149"/>
      <c r="V1431" s="151">
        <v>0.25</v>
      </c>
      <c r="W1431" s="149">
        <f t="shared" si="88"/>
        <v>0.89</v>
      </c>
      <c r="X1431" s="152">
        <f t="shared" si="87"/>
        <v>8.6800000000000002E-2</v>
      </c>
      <c r="Y1431" s="150">
        <f t="shared" si="86"/>
        <v>1.01</v>
      </c>
      <c r="Z1431" s="152"/>
      <c r="AC1431" s="154"/>
      <c r="AD1431" s="154"/>
      <c r="AE1431" s="154"/>
      <c r="AF1431" s="154"/>
    </row>
    <row r="1432" spans="1:32" x14ac:dyDescent="0.25">
      <c r="A1432" s="196">
        <v>774</v>
      </c>
      <c r="B1432" s="196" t="s">
        <v>7491</v>
      </c>
      <c r="C1432" s="196" t="s">
        <v>7492</v>
      </c>
      <c r="D1432" s="196" t="s">
        <v>2209</v>
      </c>
      <c r="F1432" s="196">
        <v>2015</v>
      </c>
      <c r="H1432" s="196" t="s">
        <v>1878</v>
      </c>
      <c r="I1432" s="184" t="s">
        <v>1929</v>
      </c>
      <c r="K1432" s="196" t="s">
        <v>1881</v>
      </c>
      <c r="L1432" s="184" t="s">
        <v>7493</v>
      </c>
      <c r="M1432" s="196">
        <v>304</v>
      </c>
      <c r="O1432" s="196" t="s">
        <v>5561</v>
      </c>
      <c r="P1432" s="17">
        <v>286</v>
      </c>
      <c r="Q1432" s="175">
        <f t="shared" si="89"/>
        <v>2.2967999999999997</v>
      </c>
      <c r="R1432" s="199">
        <v>1.89</v>
      </c>
      <c r="T1432" s="149">
        <v>0.35</v>
      </c>
      <c r="U1432" s="149"/>
      <c r="V1432" s="149">
        <v>0.25</v>
      </c>
      <c r="W1432" s="149">
        <f t="shared" si="88"/>
        <v>1.89</v>
      </c>
      <c r="X1432" s="152">
        <f t="shared" si="87"/>
        <v>0.15679999999999997</v>
      </c>
      <c r="Y1432" s="150">
        <f t="shared" si="86"/>
        <v>1.01</v>
      </c>
      <c r="Z1432" s="152"/>
      <c r="AC1432" s="154"/>
      <c r="AD1432" s="154"/>
      <c r="AE1432" s="154"/>
      <c r="AF1432" s="154"/>
    </row>
    <row r="1433" spans="1:32" x14ac:dyDescent="0.25">
      <c r="A1433" s="196">
        <v>1395</v>
      </c>
      <c r="B1433" s="196" t="s">
        <v>7494</v>
      </c>
      <c r="C1433" s="196" t="s">
        <v>7495</v>
      </c>
      <c r="D1433" s="196" t="s">
        <v>2300</v>
      </c>
      <c r="F1433" s="196">
        <v>1986</v>
      </c>
      <c r="H1433" s="196" t="s">
        <v>1878</v>
      </c>
      <c r="I1433" s="184" t="s">
        <v>1879</v>
      </c>
      <c r="K1433" s="196" t="s">
        <v>1881</v>
      </c>
      <c r="M1433" s="196">
        <v>210</v>
      </c>
      <c r="O1433" s="196" t="s">
        <v>5562</v>
      </c>
      <c r="P1433" s="17">
        <v>270</v>
      </c>
      <c r="Q1433" s="175">
        <f t="shared" si="89"/>
        <v>0.64900000000000002</v>
      </c>
      <c r="R1433" s="199">
        <v>0.31</v>
      </c>
      <c r="T1433" s="149">
        <v>0.35</v>
      </c>
      <c r="U1433" s="149"/>
      <c r="V1433" s="151">
        <v>0.25</v>
      </c>
      <c r="W1433" s="149">
        <f t="shared" si="88"/>
        <v>0.35</v>
      </c>
      <c r="X1433" s="152">
        <f t="shared" si="87"/>
        <v>4.8999999999999995E-2</v>
      </c>
      <c r="Y1433" s="150">
        <f t="shared" si="86"/>
        <v>1.01</v>
      </c>
      <c r="Z1433" s="152"/>
      <c r="AC1433" s="154"/>
      <c r="AD1433" s="154"/>
      <c r="AE1433" s="154"/>
      <c r="AF1433" s="154"/>
    </row>
    <row r="1434" spans="1:32" x14ac:dyDescent="0.25">
      <c r="A1434" s="196">
        <v>632</v>
      </c>
      <c r="B1434" s="196" t="s">
        <v>7496</v>
      </c>
      <c r="C1434" s="196" t="s">
        <v>7497</v>
      </c>
      <c r="D1434" s="196" t="s">
        <v>1912</v>
      </c>
      <c r="E1434" s="196" t="s">
        <v>1921</v>
      </c>
      <c r="F1434" s="196">
        <v>1998</v>
      </c>
      <c r="H1434" s="196" t="s">
        <v>1878</v>
      </c>
      <c r="I1434" s="184" t="s">
        <v>1879</v>
      </c>
      <c r="K1434" s="196" t="s">
        <v>1881</v>
      </c>
      <c r="L1434" s="184" t="s">
        <v>7498</v>
      </c>
      <c r="M1434" s="196">
        <v>416</v>
      </c>
      <c r="O1434" s="196" t="s">
        <v>5563</v>
      </c>
      <c r="P1434" s="17">
        <v>276</v>
      </c>
      <c r="Q1434" s="175">
        <f t="shared" si="89"/>
        <v>0.79879999999999995</v>
      </c>
      <c r="R1434" s="199">
        <v>0.49</v>
      </c>
      <c r="T1434" s="149">
        <v>0.35</v>
      </c>
      <c r="U1434" s="149"/>
      <c r="V1434" s="149">
        <v>0.25</v>
      </c>
      <c r="W1434" s="149">
        <f t="shared" si="88"/>
        <v>0.49</v>
      </c>
      <c r="X1434" s="152">
        <f t="shared" si="87"/>
        <v>5.8799999999999998E-2</v>
      </c>
      <c r="Y1434" s="150">
        <f t="shared" si="86"/>
        <v>1.01</v>
      </c>
      <c r="Z1434" s="152"/>
      <c r="AC1434" s="154"/>
      <c r="AD1434" s="154"/>
      <c r="AE1434" s="154"/>
      <c r="AF1434" s="154"/>
    </row>
    <row r="1435" spans="1:32" x14ac:dyDescent="0.25">
      <c r="A1435" s="196">
        <v>796</v>
      </c>
      <c r="B1435" s="196" t="s">
        <v>7499</v>
      </c>
      <c r="C1435" s="196" t="s">
        <v>7500</v>
      </c>
      <c r="D1435" s="196" t="s">
        <v>1920</v>
      </c>
      <c r="E1435" s="196" t="s">
        <v>1921</v>
      </c>
      <c r="F1435" s="196">
        <v>2016</v>
      </c>
      <c r="H1435" s="196" t="s">
        <v>1878</v>
      </c>
      <c r="I1435" s="184" t="s">
        <v>1879</v>
      </c>
      <c r="J1435" s="52" t="s">
        <v>3854</v>
      </c>
      <c r="K1435" s="196" t="s">
        <v>1881</v>
      </c>
      <c r="L1435" s="184" t="s">
        <v>7501</v>
      </c>
      <c r="M1435" s="196">
        <v>320</v>
      </c>
      <c r="O1435" s="196" t="s">
        <v>5564</v>
      </c>
      <c r="P1435" s="17">
        <v>317</v>
      </c>
      <c r="Q1435" s="175">
        <f t="shared" si="89"/>
        <v>0.79879999999999995</v>
      </c>
      <c r="R1435" s="199">
        <v>0.49</v>
      </c>
      <c r="T1435" s="149">
        <v>0.35</v>
      </c>
      <c r="U1435" s="149"/>
      <c r="V1435" s="151">
        <v>0.25</v>
      </c>
      <c r="W1435" s="149">
        <f t="shared" si="88"/>
        <v>0.49</v>
      </c>
      <c r="X1435" s="152">
        <f t="shared" si="87"/>
        <v>5.8799999999999998E-2</v>
      </c>
      <c r="Y1435" s="150">
        <f t="shared" si="86"/>
        <v>1.01</v>
      </c>
      <c r="Z1435" s="152"/>
      <c r="AC1435" s="154"/>
      <c r="AD1435" s="154"/>
      <c r="AE1435" s="154"/>
      <c r="AF1435" s="154"/>
    </row>
    <row r="1436" spans="1:32" x14ac:dyDescent="0.25">
      <c r="A1436" s="196">
        <v>796</v>
      </c>
      <c r="B1436" s="196" t="s">
        <v>7502</v>
      </c>
      <c r="C1436" s="196" t="s">
        <v>7503</v>
      </c>
      <c r="D1436" s="196" t="s">
        <v>2054</v>
      </c>
      <c r="F1436" s="196">
        <v>2002</v>
      </c>
      <c r="H1436" s="196" t="s">
        <v>2734</v>
      </c>
      <c r="I1436" s="184" t="s">
        <v>1879</v>
      </c>
      <c r="K1436" s="196" t="s">
        <v>1881</v>
      </c>
      <c r="L1436" s="184" t="s">
        <v>7504</v>
      </c>
      <c r="M1436" s="196">
        <v>322</v>
      </c>
      <c r="O1436" s="196" t="s">
        <v>5565</v>
      </c>
      <c r="P1436" s="17">
        <v>397</v>
      </c>
      <c r="Q1436" s="175">
        <f t="shared" si="89"/>
        <v>0.79879999999999995</v>
      </c>
      <c r="R1436" s="199">
        <v>0.49</v>
      </c>
      <c r="T1436" s="149">
        <v>0.35</v>
      </c>
      <c r="U1436" s="149"/>
      <c r="V1436" s="149">
        <v>0.25</v>
      </c>
      <c r="W1436" s="149">
        <f t="shared" si="88"/>
        <v>0.49</v>
      </c>
      <c r="X1436" s="152">
        <f t="shared" si="87"/>
        <v>5.8799999999999998E-2</v>
      </c>
      <c r="Y1436" s="150">
        <f t="shared" si="86"/>
        <v>1.01</v>
      </c>
      <c r="Z1436" s="152"/>
      <c r="AC1436" s="154"/>
      <c r="AD1436" s="154"/>
      <c r="AE1436" s="154"/>
      <c r="AF1436" s="154"/>
    </row>
    <row r="1437" spans="1:32" x14ac:dyDescent="0.25">
      <c r="A1437" s="196">
        <v>1927</v>
      </c>
      <c r="B1437" s="196" t="s">
        <v>7505</v>
      </c>
      <c r="C1437" s="196" t="s">
        <v>7506</v>
      </c>
      <c r="D1437" s="196" t="s">
        <v>2257</v>
      </c>
      <c r="F1437" s="196">
        <v>2009</v>
      </c>
      <c r="H1437" s="196" t="s">
        <v>1878</v>
      </c>
      <c r="I1437" s="184" t="s">
        <v>1879</v>
      </c>
      <c r="K1437" s="196" t="s">
        <v>1881</v>
      </c>
      <c r="L1437" s="184" t="s">
        <v>7507</v>
      </c>
      <c r="M1437" s="196">
        <v>256</v>
      </c>
      <c r="O1437" s="196" t="s">
        <v>5566</v>
      </c>
      <c r="P1437" s="17">
        <v>196</v>
      </c>
      <c r="Q1437" s="175">
        <f t="shared" si="89"/>
        <v>0.64900000000000002</v>
      </c>
      <c r="R1437" s="199">
        <v>0.25</v>
      </c>
      <c r="T1437" s="149">
        <v>0.35</v>
      </c>
      <c r="U1437" s="149"/>
      <c r="V1437" s="151">
        <v>0.25</v>
      </c>
      <c r="W1437" s="149">
        <f t="shared" si="88"/>
        <v>0.35</v>
      </c>
      <c r="X1437" s="152">
        <f t="shared" si="87"/>
        <v>4.8999999999999995E-2</v>
      </c>
      <c r="Y1437" s="150">
        <f t="shared" si="86"/>
        <v>1.01</v>
      </c>
      <c r="Z1437" s="152"/>
      <c r="AC1437" s="154"/>
      <c r="AD1437" s="154"/>
      <c r="AE1437" s="154"/>
      <c r="AF1437" s="154"/>
    </row>
    <row r="1438" spans="1:32" x14ac:dyDescent="0.25">
      <c r="A1438" s="196">
        <v>1335</v>
      </c>
      <c r="B1438" s="196" t="s">
        <v>7508</v>
      </c>
      <c r="C1438" s="196" t="s">
        <v>7509</v>
      </c>
      <c r="D1438" s="196" t="s">
        <v>7510</v>
      </c>
      <c r="F1438" s="196">
        <v>2015</v>
      </c>
      <c r="H1438" s="196" t="s">
        <v>2734</v>
      </c>
      <c r="I1438" s="184" t="s">
        <v>1929</v>
      </c>
      <c r="K1438" s="196" t="s">
        <v>1881</v>
      </c>
      <c r="L1438" s="184" t="s">
        <v>7511</v>
      </c>
      <c r="M1438" s="196">
        <v>90</v>
      </c>
      <c r="O1438" s="196" t="s">
        <v>5567</v>
      </c>
      <c r="P1438" s="17">
        <v>354</v>
      </c>
      <c r="Q1438" s="175">
        <f t="shared" si="89"/>
        <v>3.7948</v>
      </c>
      <c r="R1438" s="199">
        <v>3.29</v>
      </c>
      <c r="T1438" s="149">
        <v>0.35</v>
      </c>
      <c r="U1438" s="149"/>
      <c r="V1438" s="149">
        <v>0.25</v>
      </c>
      <c r="W1438" s="149">
        <f t="shared" si="88"/>
        <v>3.29</v>
      </c>
      <c r="X1438" s="152">
        <f t="shared" si="87"/>
        <v>0.25480000000000003</v>
      </c>
      <c r="Y1438" s="150">
        <f t="shared" si="86"/>
        <v>1.01</v>
      </c>
      <c r="Z1438" s="152"/>
      <c r="AC1438" s="154"/>
      <c r="AD1438" s="154"/>
      <c r="AE1438" s="154"/>
      <c r="AF1438" s="154"/>
    </row>
    <row r="1439" spans="1:32" x14ac:dyDescent="0.25">
      <c r="A1439" s="196">
        <v>2522</v>
      </c>
      <c r="B1439" s="196" t="s">
        <v>1986</v>
      </c>
      <c r="C1439" s="196" t="s">
        <v>7512</v>
      </c>
      <c r="D1439" s="196" t="s">
        <v>1988</v>
      </c>
      <c r="E1439" s="196" t="s">
        <v>2157</v>
      </c>
      <c r="F1439" s="196">
        <v>2011</v>
      </c>
      <c r="H1439" s="196" t="s">
        <v>1878</v>
      </c>
      <c r="I1439" s="184" t="s">
        <v>1879</v>
      </c>
      <c r="K1439" s="196" t="s">
        <v>1881</v>
      </c>
      <c r="L1439" s="184" t="s">
        <v>7513</v>
      </c>
      <c r="M1439" s="196">
        <v>464</v>
      </c>
      <c r="O1439" s="196" t="s">
        <v>5568</v>
      </c>
      <c r="P1439" s="17">
        <v>575</v>
      </c>
      <c r="Q1439" s="175">
        <f t="shared" si="89"/>
        <v>0.79879999999999995</v>
      </c>
      <c r="R1439" s="199">
        <v>0.49</v>
      </c>
      <c r="T1439" s="149">
        <v>0.35</v>
      </c>
      <c r="U1439" s="149"/>
      <c r="V1439" s="151">
        <v>0.25</v>
      </c>
      <c r="W1439" s="149">
        <f t="shared" si="88"/>
        <v>0.49</v>
      </c>
      <c r="X1439" s="152">
        <f t="shared" si="87"/>
        <v>5.8799999999999998E-2</v>
      </c>
      <c r="Y1439" s="150">
        <f t="shared" si="86"/>
        <v>1.01</v>
      </c>
      <c r="Z1439" s="152"/>
      <c r="AC1439" s="154"/>
      <c r="AD1439" s="154"/>
      <c r="AE1439" s="154"/>
      <c r="AF1439" s="154"/>
    </row>
    <row r="1440" spans="1:32" x14ac:dyDescent="0.25">
      <c r="A1440" s="196">
        <v>704</v>
      </c>
      <c r="B1440" s="196" t="s">
        <v>7514</v>
      </c>
      <c r="C1440" s="196" t="s">
        <v>7515</v>
      </c>
      <c r="D1440" s="196" t="s">
        <v>7516</v>
      </c>
      <c r="F1440" s="196">
        <v>2012</v>
      </c>
      <c r="H1440" s="196" t="s">
        <v>1878</v>
      </c>
      <c r="I1440" s="184" t="s">
        <v>1879</v>
      </c>
      <c r="K1440" s="196" t="s">
        <v>1881</v>
      </c>
      <c r="L1440" s="184" t="s">
        <v>7517</v>
      </c>
      <c r="M1440" s="196">
        <v>240</v>
      </c>
      <c r="O1440" s="196" t="s">
        <v>5569</v>
      </c>
      <c r="P1440" s="17">
        <v>587</v>
      </c>
      <c r="Q1440" s="175">
        <f t="shared" si="89"/>
        <v>0.64900000000000002</v>
      </c>
      <c r="R1440" s="199">
        <v>0.25</v>
      </c>
      <c r="T1440" s="149">
        <v>0.35</v>
      </c>
      <c r="U1440" s="149"/>
      <c r="V1440" s="149">
        <v>0.25</v>
      </c>
      <c r="W1440" s="149">
        <f t="shared" si="88"/>
        <v>0.35</v>
      </c>
      <c r="X1440" s="152">
        <f t="shared" si="87"/>
        <v>4.8999999999999995E-2</v>
      </c>
      <c r="Y1440" s="150">
        <f t="shared" si="86"/>
        <v>1.01</v>
      </c>
      <c r="Z1440" s="152"/>
      <c r="AC1440" s="154"/>
      <c r="AD1440" s="154"/>
      <c r="AE1440" s="154"/>
      <c r="AF1440" s="154"/>
    </row>
    <row r="1441" spans="1:36" x14ac:dyDescent="0.25">
      <c r="A1441" s="196">
        <v>704</v>
      </c>
      <c r="B1441" s="196" t="s">
        <v>2397</v>
      </c>
      <c r="C1441" s="196" t="s">
        <v>7520</v>
      </c>
      <c r="D1441" s="196" t="s">
        <v>2309</v>
      </c>
      <c r="F1441" s="196">
        <v>1989</v>
      </c>
      <c r="H1441" s="196" t="s">
        <v>1878</v>
      </c>
      <c r="I1441" s="184" t="s">
        <v>1879</v>
      </c>
      <c r="K1441" s="196" t="s">
        <v>1881</v>
      </c>
      <c r="L1441" s="184" t="s">
        <v>7521</v>
      </c>
      <c r="M1441" s="196">
        <v>174</v>
      </c>
      <c r="O1441" s="196" t="s">
        <v>5571</v>
      </c>
      <c r="P1441" s="17">
        <v>164</v>
      </c>
      <c r="Q1441" s="175">
        <f t="shared" si="89"/>
        <v>0.64900000000000002</v>
      </c>
      <c r="R1441" s="199">
        <v>0.25</v>
      </c>
      <c r="T1441" s="149">
        <v>0.35</v>
      </c>
      <c r="U1441" s="149"/>
      <c r="V1441" s="149">
        <v>0.25</v>
      </c>
      <c r="W1441" s="149">
        <f t="shared" si="88"/>
        <v>0.35</v>
      </c>
      <c r="X1441" s="152">
        <f t="shared" si="87"/>
        <v>4.8999999999999995E-2</v>
      </c>
      <c r="Y1441" s="150">
        <f t="shared" si="86"/>
        <v>1.01</v>
      </c>
      <c r="Z1441" s="152"/>
      <c r="AC1441" s="154"/>
      <c r="AD1441" s="154"/>
      <c r="AE1441" s="154"/>
      <c r="AF1441" s="154"/>
    </row>
    <row r="1442" spans="1:36" s="146" customFormat="1" x14ac:dyDescent="0.25">
      <c r="A1442" s="196">
        <v>1327</v>
      </c>
      <c r="B1442" s="196" t="s">
        <v>7522</v>
      </c>
      <c r="C1442" s="196" t="s">
        <v>7523</v>
      </c>
      <c r="D1442" s="196" t="s">
        <v>1988</v>
      </c>
      <c r="E1442" s="196" t="s">
        <v>1877</v>
      </c>
      <c r="F1442" s="196">
        <v>2013</v>
      </c>
      <c r="G1442" s="196"/>
      <c r="H1442" s="196" t="s">
        <v>1878</v>
      </c>
      <c r="I1442" s="141" t="s">
        <v>1879</v>
      </c>
      <c r="J1442" s="196"/>
      <c r="K1442" s="196" t="s">
        <v>1881</v>
      </c>
      <c r="L1442" s="141" t="s">
        <v>7524</v>
      </c>
      <c r="M1442" s="196">
        <v>418</v>
      </c>
      <c r="N1442" s="196"/>
      <c r="O1442" s="196" t="s">
        <v>5572</v>
      </c>
      <c r="P1442" s="144">
        <v>513</v>
      </c>
      <c r="Q1442" s="145">
        <f t="shared" si="89"/>
        <v>0.70250000000000001</v>
      </c>
      <c r="R1442" s="203">
        <v>0.4</v>
      </c>
      <c r="S1442" s="203"/>
      <c r="T1442" s="151">
        <v>0.35</v>
      </c>
      <c r="U1442" s="151"/>
      <c r="V1442" s="151">
        <v>0.25</v>
      </c>
      <c r="W1442" s="151">
        <f t="shared" si="88"/>
        <v>0.4</v>
      </c>
      <c r="X1442" s="152">
        <f t="shared" si="87"/>
        <v>5.2499999999999998E-2</v>
      </c>
      <c r="Y1442" s="150">
        <f t="shared" si="86"/>
        <v>1.01</v>
      </c>
      <c r="Z1442" s="152"/>
      <c r="AA1442" s="148"/>
      <c r="AB1442" s="148"/>
      <c r="AC1442" s="153"/>
      <c r="AD1442" s="153"/>
      <c r="AE1442" s="153"/>
      <c r="AF1442" s="153"/>
      <c r="AJ1442" s="147"/>
    </row>
    <row r="1443" spans="1:36" x14ac:dyDescent="0.25">
      <c r="A1443" s="196">
        <v>2522</v>
      </c>
      <c r="B1443" s="196" t="s">
        <v>7525</v>
      </c>
      <c r="C1443" s="196" t="s">
        <v>7526</v>
      </c>
      <c r="D1443" s="196" t="s">
        <v>2209</v>
      </c>
      <c r="F1443" s="196">
        <v>2004</v>
      </c>
      <c r="H1443" s="196" t="s">
        <v>1878</v>
      </c>
      <c r="I1443" s="184" t="s">
        <v>7527</v>
      </c>
      <c r="K1443" s="196" t="s">
        <v>1881</v>
      </c>
      <c r="L1443" s="184" t="s">
        <v>7528</v>
      </c>
      <c r="M1443" s="196">
        <v>832</v>
      </c>
      <c r="O1443" s="196" t="s">
        <v>5573</v>
      </c>
      <c r="P1443" s="17">
        <v>603</v>
      </c>
      <c r="Q1443" s="175">
        <f t="shared" si="89"/>
        <v>0.64900000000000002</v>
      </c>
      <c r="R1443" s="199">
        <v>0.25</v>
      </c>
      <c r="T1443" s="149">
        <v>0.35</v>
      </c>
      <c r="U1443" s="149"/>
      <c r="V1443" s="149">
        <v>0.25</v>
      </c>
      <c r="W1443" s="149">
        <f t="shared" si="88"/>
        <v>0.35</v>
      </c>
      <c r="X1443" s="152">
        <f t="shared" si="87"/>
        <v>4.8999999999999995E-2</v>
      </c>
      <c r="Y1443" s="150">
        <f t="shared" si="86"/>
        <v>1.01</v>
      </c>
      <c r="Z1443" s="152"/>
      <c r="AC1443" s="154"/>
      <c r="AD1443" s="154"/>
      <c r="AE1443" s="154"/>
      <c r="AF1443" s="154"/>
    </row>
    <row r="1444" spans="1:36" x14ac:dyDescent="0.25">
      <c r="Y1444" s="150">
        <f t="shared" si="86"/>
        <v>1.01</v>
      </c>
    </row>
    <row r="1445" spans="1:36" x14ac:dyDescent="0.25">
      <c r="A1445" s="196">
        <v>1324</v>
      </c>
      <c r="B1445" s="196" t="s">
        <v>7532</v>
      </c>
      <c r="C1445" s="196" t="s">
        <v>7533</v>
      </c>
      <c r="D1445" s="196" t="s">
        <v>1912</v>
      </c>
      <c r="E1445" s="196" t="s">
        <v>1913</v>
      </c>
      <c r="F1445" s="196">
        <v>2019</v>
      </c>
      <c r="H1445" s="196" t="s">
        <v>1878</v>
      </c>
      <c r="I1445" s="184" t="s">
        <v>1929</v>
      </c>
      <c r="K1445" s="196" t="s">
        <v>1881</v>
      </c>
      <c r="L1445" s="184" t="s">
        <v>7534</v>
      </c>
      <c r="M1445" s="196">
        <v>128</v>
      </c>
      <c r="O1445" s="196" t="s">
        <v>5575</v>
      </c>
      <c r="P1445" s="17">
        <v>102</v>
      </c>
      <c r="Q1445" s="175">
        <f t="shared" si="89"/>
        <v>2.9388000000000001</v>
      </c>
      <c r="R1445" s="199">
        <v>2.4900000000000002</v>
      </c>
      <c r="T1445" s="149">
        <v>0.35</v>
      </c>
      <c r="U1445" s="149"/>
      <c r="V1445" s="149">
        <v>0.25</v>
      </c>
      <c r="W1445" s="149">
        <f t="shared" si="88"/>
        <v>2.4900000000000002</v>
      </c>
      <c r="X1445" s="152">
        <f t="shared" si="87"/>
        <v>0.1988</v>
      </c>
      <c r="Y1445" s="150">
        <f t="shared" si="86"/>
        <v>1.01</v>
      </c>
      <c r="Z1445" s="152"/>
      <c r="AC1445" s="154"/>
      <c r="AD1445" s="154"/>
      <c r="AE1445" s="154"/>
      <c r="AF1445" s="154"/>
    </row>
    <row r="1446" spans="1:36" x14ac:dyDescent="0.25">
      <c r="A1446" s="196">
        <v>2522</v>
      </c>
      <c r="B1446" s="196" t="s">
        <v>7535</v>
      </c>
      <c r="C1446" s="196" t="s">
        <v>7536</v>
      </c>
      <c r="D1446" s="196" t="s">
        <v>3524</v>
      </c>
      <c r="E1446" s="196" t="s">
        <v>1913</v>
      </c>
      <c r="F1446" s="196">
        <v>2013</v>
      </c>
      <c r="H1446" s="196" t="s">
        <v>2734</v>
      </c>
      <c r="I1446" s="184" t="s">
        <v>1879</v>
      </c>
      <c r="K1446" s="196" t="s">
        <v>1881</v>
      </c>
      <c r="L1446" s="184" t="s">
        <v>7537</v>
      </c>
      <c r="M1446" s="196">
        <v>354</v>
      </c>
      <c r="O1446" s="196" t="s">
        <v>5576</v>
      </c>
      <c r="P1446" s="17">
        <v>639</v>
      </c>
      <c r="Q1446" s="175">
        <f t="shared" si="89"/>
        <v>1.3445</v>
      </c>
      <c r="R1446" s="199">
        <v>1</v>
      </c>
      <c r="T1446" s="149">
        <v>0.35</v>
      </c>
      <c r="U1446" s="149"/>
      <c r="V1446" s="149">
        <v>0.25</v>
      </c>
      <c r="W1446" s="149">
        <f t="shared" si="88"/>
        <v>1</v>
      </c>
      <c r="X1446" s="152">
        <f t="shared" si="87"/>
        <v>9.4500000000000015E-2</v>
      </c>
      <c r="Y1446" s="150">
        <f t="shared" si="86"/>
        <v>1.01</v>
      </c>
      <c r="Z1446" s="152"/>
      <c r="AC1446" s="154"/>
      <c r="AD1446" s="154"/>
      <c r="AE1446" s="154"/>
      <c r="AF1446" s="154"/>
    </row>
    <row r="1447" spans="1:36" x14ac:dyDescent="0.25">
      <c r="A1447" s="196">
        <v>2522</v>
      </c>
      <c r="B1447" s="196" t="s">
        <v>7538</v>
      </c>
      <c r="C1447" s="196" t="s">
        <v>7539</v>
      </c>
      <c r="D1447" s="196" t="s">
        <v>2257</v>
      </c>
      <c r="F1447" s="196">
        <v>2018</v>
      </c>
      <c r="H1447" s="196" t="s">
        <v>1878</v>
      </c>
      <c r="I1447" s="184" t="s">
        <v>1929</v>
      </c>
      <c r="K1447" s="196" t="s">
        <v>1881</v>
      </c>
      <c r="L1447" s="184" t="s">
        <v>7540</v>
      </c>
      <c r="M1447" s="196">
        <v>398</v>
      </c>
      <c r="O1447" s="196" t="s">
        <v>5577</v>
      </c>
      <c r="P1447" s="17">
        <v>307</v>
      </c>
      <c r="Q1447" s="175">
        <f t="shared" si="89"/>
        <v>3.6985000000000001</v>
      </c>
      <c r="R1447" s="199">
        <v>3.2</v>
      </c>
      <c r="T1447" s="149">
        <v>0.35</v>
      </c>
      <c r="U1447" s="149"/>
      <c r="V1447" s="149">
        <v>0.25</v>
      </c>
      <c r="W1447" s="149">
        <f t="shared" si="88"/>
        <v>3.2</v>
      </c>
      <c r="X1447" s="152">
        <f t="shared" si="87"/>
        <v>0.24850000000000003</v>
      </c>
      <c r="Y1447" s="150">
        <f t="shared" si="86"/>
        <v>1.01</v>
      </c>
      <c r="Z1447" s="152"/>
      <c r="AC1447" s="154"/>
      <c r="AD1447" s="154"/>
      <c r="AE1447" s="154"/>
      <c r="AF1447" s="154"/>
    </row>
    <row r="1448" spans="1:36" x14ac:dyDescent="0.25">
      <c r="Y1448" s="150">
        <f t="shared" si="86"/>
        <v>1.01</v>
      </c>
      <c r="AC1448" s="154"/>
      <c r="AD1448" s="154"/>
      <c r="AE1448" s="154"/>
      <c r="AF1448" s="154"/>
    </row>
    <row r="1449" spans="1:36" x14ac:dyDescent="0.25">
      <c r="A1449" s="196">
        <v>2522</v>
      </c>
      <c r="B1449" s="196" t="s">
        <v>7544</v>
      </c>
      <c r="C1449" s="196" t="s">
        <v>7545</v>
      </c>
      <c r="D1449" s="196" t="s">
        <v>2209</v>
      </c>
      <c r="E1449" s="196" t="s">
        <v>1877</v>
      </c>
      <c r="F1449" s="196">
        <v>2014</v>
      </c>
      <c r="H1449" s="196" t="s">
        <v>2734</v>
      </c>
      <c r="I1449" s="184" t="s">
        <v>1929</v>
      </c>
      <c r="K1449" s="196" t="s">
        <v>1881</v>
      </c>
      <c r="L1449" s="184" t="s">
        <v>7546</v>
      </c>
      <c r="M1449" s="196">
        <v>850</v>
      </c>
      <c r="O1449" s="196" t="s">
        <v>5579</v>
      </c>
      <c r="P1449" s="17">
        <v>972</v>
      </c>
      <c r="Q1449" s="175">
        <f t="shared" si="89"/>
        <v>8.2995000000000001</v>
      </c>
      <c r="R1449" s="199">
        <v>7.5</v>
      </c>
      <c r="T1449" s="149">
        <v>0.35</v>
      </c>
      <c r="U1449" s="149"/>
      <c r="V1449" s="149">
        <v>0.25</v>
      </c>
      <c r="W1449" s="149">
        <f t="shared" si="88"/>
        <v>7.5</v>
      </c>
      <c r="X1449" s="152">
        <f t="shared" si="87"/>
        <v>0.54949999999999999</v>
      </c>
      <c r="Y1449" s="150">
        <f t="shared" si="86"/>
        <v>1.01</v>
      </c>
      <c r="Z1449" s="152"/>
      <c r="AC1449" s="154"/>
      <c r="AD1449" s="154"/>
      <c r="AE1449" s="154"/>
      <c r="AF1449" s="154"/>
    </row>
    <row r="1450" spans="1:36" x14ac:dyDescent="0.25">
      <c r="A1450" s="196">
        <v>968</v>
      </c>
      <c r="B1450" s="196"/>
      <c r="C1450" s="196" t="s">
        <v>7548</v>
      </c>
      <c r="D1450" s="196" t="s">
        <v>7547</v>
      </c>
      <c r="F1450" s="196">
        <v>1990</v>
      </c>
      <c r="H1450" s="196" t="s">
        <v>1878</v>
      </c>
      <c r="I1450" s="184" t="s">
        <v>1879</v>
      </c>
      <c r="K1450" s="196" t="s">
        <v>2025</v>
      </c>
      <c r="M1450" s="196">
        <v>208</v>
      </c>
      <c r="O1450" s="196" t="s">
        <v>5580</v>
      </c>
      <c r="P1450" s="17">
        <v>174</v>
      </c>
      <c r="Q1450" s="175">
        <f t="shared" si="89"/>
        <v>2.4038000000000004</v>
      </c>
      <c r="R1450" s="199">
        <v>1.99</v>
      </c>
      <c r="T1450" s="149">
        <v>0.35</v>
      </c>
      <c r="U1450" s="149"/>
      <c r="V1450" s="149">
        <v>0.25</v>
      </c>
      <c r="W1450" s="149">
        <f t="shared" si="88"/>
        <v>1.99</v>
      </c>
      <c r="X1450" s="152">
        <f t="shared" si="87"/>
        <v>0.16379999999999997</v>
      </c>
      <c r="Y1450" s="150">
        <f t="shared" si="86"/>
        <v>1.01</v>
      </c>
      <c r="Z1450" s="152"/>
      <c r="AC1450" s="154"/>
      <c r="AD1450" s="154"/>
      <c r="AE1450" s="154"/>
      <c r="AF1450" s="154"/>
    </row>
    <row r="1451" spans="1:36" x14ac:dyDescent="0.25">
      <c r="A1451" s="196">
        <v>2551</v>
      </c>
      <c r="B1451" s="196" t="s">
        <v>5033</v>
      </c>
      <c r="C1451" s="196" t="s">
        <v>7549</v>
      </c>
      <c r="D1451" s="196" t="s">
        <v>7260</v>
      </c>
      <c r="F1451" s="196">
        <v>2002</v>
      </c>
      <c r="H1451" s="196" t="s">
        <v>2734</v>
      </c>
      <c r="I1451" s="184" t="s">
        <v>1879</v>
      </c>
      <c r="K1451" s="196" t="s">
        <v>1881</v>
      </c>
      <c r="L1451" s="184" t="s">
        <v>7550</v>
      </c>
      <c r="M1451" s="196">
        <v>482</v>
      </c>
      <c r="O1451" s="196" t="s">
        <v>5581</v>
      </c>
      <c r="P1451" s="17">
        <v>635</v>
      </c>
      <c r="Q1451" s="175">
        <f t="shared" si="89"/>
        <v>0.64900000000000002</v>
      </c>
      <c r="R1451" s="199">
        <v>0.3</v>
      </c>
      <c r="T1451" s="149">
        <v>0.35</v>
      </c>
      <c r="U1451" s="149"/>
      <c r="V1451" s="149">
        <v>0.25</v>
      </c>
      <c r="W1451" s="149">
        <f t="shared" si="88"/>
        <v>0.35</v>
      </c>
      <c r="X1451" s="152">
        <f t="shared" si="87"/>
        <v>4.8999999999999995E-2</v>
      </c>
      <c r="Y1451" s="150">
        <f t="shared" si="86"/>
        <v>1.01</v>
      </c>
      <c r="Z1451" s="152"/>
      <c r="AC1451" s="154"/>
      <c r="AD1451" s="154"/>
      <c r="AE1451" s="154"/>
      <c r="AF1451" s="154"/>
    </row>
    <row r="1452" spans="1:36" x14ac:dyDescent="0.25">
      <c r="A1452" s="196">
        <v>2551</v>
      </c>
      <c r="B1452" s="196" t="s">
        <v>5033</v>
      </c>
      <c r="C1452" s="196" t="s">
        <v>7551</v>
      </c>
      <c r="D1452" s="196" t="s">
        <v>5005</v>
      </c>
      <c r="F1452" s="196">
        <v>2001</v>
      </c>
      <c r="H1452" s="196" t="s">
        <v>2734</v>
      </c>
      <c r="I1452" s="184" t="s">
        <v>1879</v>
      </c>
      <c r="K1452" s="196" t="s">
        <v>1881</v>
      </c>
      <c r="M1452" s="196">
        <v>578</v>
      </c>
      <c r="O1452" s="196" t="s">
        <v>5582</v>
      </c>
      <c r="P1452" s="17">
        <v>774</v>
      </c>
      <c r="Q1452" s="175">
        <f t="shared" si="89"/>
        <v>0.64900000000000002</v>
      </c>
      <c r="R1452" s="199">
        <v>0.25</v>
      </c>
      <c r="T1452" s="149">
        <v>0.35</v>
      </c>
      <c r="U1452" s="149"/>
      <c r="V1452" s="149">
        <v>0.25</v>
      </c>
      <c r="W1452" s="149">
        <f t="shared" si="88"/>
        <v>0.35</v>
      </c>
      <c r="X1452" s="152">
        <f t="shared" si="87"/>
        <v>4.8999999999999995E-2</v>
      </c>
      <c r="Y1452" s="150">
        <f t="shared" ref="Y1452:Y1515" si="90">(IF(Z1452&gt;AA1452,Z1452,AA1452)*0.08)+1.01</f>
        <v>1.01</v>
      </c>
      <c r="Z1452" s="152"/>
      <c r="AC1452" s="154"/>
      <c r="AD1452" s="154"/>
      <c r="AE1452" s="154"/>
      <c r="AF1452" s="154"/>
    </row>
    <row r="1453" spans="1:36" x14ac:dyDescent="0.25">
      <c r="A1453" s="196">
        <v>2547</v>
      </c>
      <c r="B1453" s="196" t="s">
        <v>7552</v>
      </c>
      <c r="C1453" s="196" t="s">
        <v>7553</v>
      </c>
      <c r="D1453" s="196" t="s">
        <v>2309</v>
      </c>
      <c r="E1453" s="196" t="s">
        <v>1913</v>
      </c>
      <c r="F1453" s="196">
        <v>2003</v>
      </c>
      <c r="H1453" s="196" t="s">
        <v>1878</v>
      </c>
      <c r="I1453" s="184" t="s">
        <v>1914</v>
      </c>
      <c r="K1453" s="196" t="s">
        <v>1881</v>
      </c>
      <c r="L1453" s="184" t="s">
        <v>7554</v>
      </c>
      <c r="M1453" s="196">
        <v>416</v>
      </c>
      <c r="O1453" s="196" t="s">
        <v>5583</v>
      </c>
      <c r="P1453" s="17">
        <v>280</v>
      </c>
      <c r="Q1453" s="175">
        <f t="shared" si="89"/>
        <v>0.79879999999999995</v>
      </c>
      <c r="R1453" s="199">
        <v>0.49</v>
      </c>
      <c r="T1453" s="149">
        <v>0.35</v>
      </c>
      <c r="U1453" s="149"/>
      <c r="V1453" s="149">
        <v>0.25</v>
      </c>
      <c r="W1453" s="149">
        <f t="shared" si="88"/>
        <v>0.49</v>
      </c>
      <c r="X1453" s="152">
        <f t="shared" si="87"/>
        <v>5.8799999999999998E-2</v>
      </c>
      <c r="Y1453" s="150">
        <f t="shared" si="90"/>
        <v>1.01</v>
      </c>
      <c r="Z1453" s="152"/>
      <c r="AC1453" s="154"/>
      <c r="AD1453" s="154"/>
      <c r="AE1453" s="154"/>
      <c r="AF1453" s="154"/>
    </row>
    <row r="1454" spans="1:36" x14ac:dyDescent="0.25">
      <c r="A1454" s="196">
        <v>689</v>
      </c>
      <c r="B1454" s="196" t="s">
        <v>2470</v>
      </c>
      <c r="C1454" s="196" t="s">
        <v>7555</v>
      </c>
      <c r="D1454" s="196" t="s">
        <v>2209</v>
      </c>
      <c r="E1454" s="196" t="s">
        <v>2518</v>
      </c>
      <c r="F1454" s="196">
        <v>2002</v>
      </c>
      <c r="H1454" s="196" t="s">
        <v>1878</v>
      </c>
      <c r="I1454" s="184" t="s">
        <v>1879</v>
      </c>
      <c r="K1454" s="196" t="s">
        <v>1881</v>
      </c>
      <c r="L1454" s="184" t="s">
        <v>7556</v>
      </c>
      <c r="M1454" s="196">
        <v>512</v>
      </c>
      <c r="O1454" s="196" t="s">
        <v>5584</v>
      </c>
      <c r="P1454" s="17">
        <v>292</v>
      </c>
      <c r="Q1454" s="175">
        <f t="shared" si="89"/>
        <v>0.64900000000000002</v>
      </c>
      <c r="R1454" s="199">
        <v>0.25</v>
      </c>
      <c r="T1454" s="149">
        <v>0.35</v>
      </c>
      <c r="U1454" s="149"/>
      <c r="V1454" s="149">
        <v>0.25</v>
      </c>
      <c r="W1454" s="149">
        <f t="shared" si="88"/>
        <v>0.35</v>
      </c>
      <c r="X1454" s="152">
        <f t="shared" si="87"/>
        <v>4.8999999999999995E-2</v>
      </c>
      <c r="Y1454" s="150">
        <f t="shared" si="90"/>
        <v>1.01</v>
      </c>
      <c r="Z1454" s="152"/>
      <c r="AC1454" s="154"/>
      <c r="AD1454" s="154"/>
      <c r="AE1454" s="154"/>
      <c r="AF1454" s="154"/>
    </row>
    <row r="1455" spans="1:36" x14ac:dyDescent="0.25">
      <c r="A1455" s="196">
        <v>1231</v>
      </c>
      <c r="B1455" s="196" t="s">
        <v>7560</v>
      </c>
      <c r="C1455" s="196" t="s">
        <v>7561</v>
      </c>
      <c r="D1455" s="196" t="s">
        <v>2257</v>
      </c>
      <c r="F1455" s="196">
        <v>2006</v>
      </c>
      <c r="H1455" s="196" t="s">
        <v>1878</v>
      </c>
      <c r="I1455" s="184" t="s">
        <v>1929</v>
      </c>
      <c r="K1455" s="196" t="s">
        <v>1881</v>
      </c>
      <c r="L1455" s="184" t="s">
        <v>7562</v>
      </c>
      <c r="M1455" s="196">
        <v>240</v>
      </c>
      <c r="O1455" s="196" t="s">
        <v>5586</v>
      </c>
      <c r="P1455" s="17">
        <v>187</v>
      </c>
      <c r="Q1455" s="175">
        <f t="shared" si="89"/>
        <v>0.79879999999999995</v>
      </c>
      <c r="R1455" s="199">
        <v>0.49</v>
      </c>
      <c r="T1455" s="149">
        <v>0.35</v>
      </c>
      <c r="U1455" s="149"/>
      <c r="V1455" s="149">
        <v>0.25</v>
      </c>
      <c r="W1455" s="149">
        <f t="shared" si="88"/>
        <v>0.49</v>
      </c>
      <c r="X1455" s="152">
        <f t="shared" ref="X1455:X1518" si="91">(T1455+W1455)/100*7</f>
        <v>5.8799999999999998E-2</v>
      </c>
      <c r="Y1455" s="150">
        <f t="shared" si="90"/>
        <v>1.01</v>
      </c>
      <c r="Z1455" s="152"/>
      <c r="AC1455" s="154"/>
      <c r="AD1455" s="154"/>
      <c r="AE1455" s="154"/>
      <c r="AF1455" s="154"/>
    </row>
    <row r="1456" spans="1:36" x14ac:dyDescent="0.25">
      <c r="A1456" s="196">
        <v>692</v>
      </c>
      <c r="B1456" s="196" t="s">
        <v>7563</v>
      </c>
      <c r="C1456" s="196" t="s">
        <v>7564</v>
      </c>
      <c r="D1456" s="196" t="s">
        <v>1912</v>
      </c>
      <c r="E1456" s="196" t="s">
        <v>2157</v>
      </c>
      <c r="F1456" s="196">
        <v>2001</v>
      </c>
      <c r="H1456" s="196" t="s">
        <v>1878</v>
      </c>
      <c r="I1456" s="184" t="s">
        <v>1929</v>
      </c>
      <c r="K1456" s="196" t="s">
        <v>1881</v>
      </c>
      <c r="L1456" s="184" t="s">
        <v>7565</v>
      </c>
      <c r="M1456" s="196">
        <v>256</v>
      </c>
      <c r="O1456" s="196" t="s">
        <v>5587</v>
      </c>
      <c r="P1456" s="17">
        <v>228</v>
      </c>
      <c r="Q1456" s="175">
        <f t="shared" si="89"/>
        <v>0.64900000000000002</v>
      </c>
      <c r="R1456" s="199">
        <v>0.25</v>
      </c>
      <c r="T1456" s="149">
        <v>0.35</v>
      </c>
      <c r="U1456" s="149"/>
      <c r="V1456" s="149">
        <v>0.25</v>
      </c>
      <c r="W1456" s="149">
        <f t="shared" si="88"/>
        <v>0.35</v>
      </c>
      <c r="X1456" s="152">
        <f t="shared" si="91"/>
        <v>4.8999999999999995E-2</v>
      </c>
      <c r="Y1456" s="150">
        <f t="shared" si="90"/>
        <v>1.01</v>
      </c>
      <c r="Z1456" s="152"/>
      <c r="AC1456" s="154"/>
      <c r="AD1456" s="154"/>
      <c r="AE1456" s="154"/>
      <c r="AF1456" s="154"/>
    </row>
    <row r="1457" spans="1:32" x14ac:dyDescent="0.25">
      <c r="A1457" s="196">
        <v>692</v>
      </c>
      <c r="B1457" s="196" t="s">
        <v>4827</v>
      </c>
      <c r="C1457" s="196" t="s">
        <v>7566</v>
      </c>
      <c r="D1457" s="196" t="s">
        <v>1876</v>
      </c>
      <c r="E1457" s="196" t="s">
        <v>2157</v>
      </c>
      <c r="F1457" s="196">
        <v>2002</v>
      </c>
      <c r="H1457" s="196" t="s">
        <v>1878</v>
      </c>
      <c r="I1457" s="184" t="s">
        <v>1879</v>
      </c>
      <c r="K1457" s="196" t="s">
        <v>1881</v>
      </c>
      <c r="L1457" s="184" t="s">
        <v>7567</v>
      </c>
      <c r="M1457" s="196">
        <v>320</v>
      </c>
      <c r="O1457" s="196" t="s">
        <v>5588</v>
      </c>
      <c r="P1457" s="17">
        <v>272</v>
      </c>
      <c r="Q1457" s="175">
        <f t="shared" si="89"/>
        <v>0.64900000000000002</v>
      </c>
      <c r="R1457" s="199">
        <v>0.25</v>
      </c>
      <c r="T1457" s="149">
        <v>0.35</v>
      </c>
      <c r="U1457" s="149"/>
      <c r="V1457" s="149">
        <v>0.25</v>
      </c>
      <c r="W1457" s="149">
        <f t="shared" si="88"/>
        <v>0.35</v>
      </c>
      <c r="X1457" s="152">
        <f t="shared" si="91"/>
        <v>4.8999999999999995E-2</v>
      </c>
      <c r="Y1457" s="150">
        <f t="shared" si="90"/>
        <v>1.01</v>
      </c>
      <c r="Z1457" s="152"/>
      <c r="AC1457" s="154"/>
      <c r="AD1457" s="154"/>
      <c r="AE1457" s="154"/>
      <c r="AF1457" s="154"/>
    </row>
    <row r="1458" spans="1:32" x14ac:dyDescent="0.25">
      <c r="A1458" s="196">
        <v>1231</v>
      </c>
      <c r="B1458" s="196" t="s">
        <v>7568</v>
      </c>
      <c r="C1458" s="196" t="s">
        <v>7569</v>
      </c>
      <c r="D1458" s="196" t="s">
        <v>7570</v>
      </c>
      <c r="F1458" s="196">
        <v>1986</v>
      </c>
      <c r="H1458" s="196" t="s">
        <v>1878</v>
      </c>
      <c r="I1458" s="184" t="s">
        <v>1914</v>
      </c>
      <c r="K1458" s="196" t="s">
        <v>1881</v>
      </c>
      <c r="L1458" s="184" t="s">
        <v>7571</v>
      </c>
      <c r="M1458" s="196">
        <v>384</v>
      </c>
      <c r="O1458" s="196" t="s">
        <v>5589</v>
      </c>
      <c r="P1458" s="17">
        <v>371</v>
      </c>
      <c r="Q1458" s="175">
        <f t="shared" si="89"/>
        <v>1.8794999999999999</v>
      </c>
      <c r="R1458" s="199">
        <v>1.5</v>
      </c>
      <c r="T1458" s="149">
        <v>0.35</v>
      </c>
      <c r="U1458" s="149"/>
      <c r="V1458" s="149">
        <v>0.25</v>
      </c>
      <c r="W1458" s="149">
        <f t="shared" si="88"/>
        <v>1.5</v>
      </c>
      <c r="X1458" s="152">
        <f t="shared" si="91"/>
        <v>0.1295</v>
      </c>
      <c r="Y1458" s="150">
        <f t="shared" si="90"/>
        <v>1.01</v>
      </c>
      <c r="Z1458" s="152"/>
      <c r="AC1458" s="154"/>
      <c r="AD1458" s="154"/>
      <c r="AE1458" s="154"/>
      <c r="AF1458" s="154"/>
    </row>
    <row r="1459" spans="1:32" x14ac:dyDescent="0.25">
      <c r="A1459" s="196">
        <v>2706</v>
      </c>
      <c r="B1459" s="196" t="s">
        <v>7572</v>
      </c>
      <c r="C1459" s="196" t="s">
        <v>7573</v>
      </c>
      <c r="D1459" s="196" t="s">
        <v>3682</v>
      </c>
      <c r="F1459" s="196">
        <v>2005</v>
      </c>
      <c r="H1459" s="196" t="s">
        <v>1878</v>
      </c>
      <c r="I1459" s="184" t="s">
        <v>1879</v>
      </c>
      <c r="K1459" s="196" t="s">
        <v>1881</v>
      </c>
      <c r="L1459" s="184" t="s">
        <v>7574</v>
      </c>
      <c r="M1459" s="196">
        <v>112</v>
      </c>
      <c r="O1459" s="196" t="s">
        <v>5590</v>
      </c>
      <c r="P1459" s="17">
        <v>157</v>
      </c>
      <c r="Q1459" s="175">
        <f t="shared" si="89"/>
        <v>0.64900000000000002</v>
      </c>
      <c r="R1459" s="199">
        <v>0.25</v>
      </c>
      <c r="T1459" s="149">
        <v>0.35</v>
      </c>
      <c r="U1459" s="149"/>
      <c r="V1459" s="149">
        <v>0.25</v>
      </c>
      <c r="W1459" s="149">
        <f t="shared" ref="W1459:W1522" si="92">IF(R1459&gt;T1459,R1459,T1459)</f>
        <v>0.35</v>
      </c>
      <c r="X1459" s="152">
        <f t="shared" si="91"/>
        <v>4.8999999999999995E-2</v>
      </c>
      <c r="Y1459" s="150">
        <f t="shared" si="90"/>
        <v>1.01</v>
      </c>
      <c r="Z1459" s="152"/>
      <c r="AC1459" s="154"/>
      <c r="AD1459" s="154"/>
      <c r="AE1459" s="154"/>
      <c r="AF1459" s="154"/>
    </row>
    <row r="1460" spans="1:32" x14ac:dyDescent="0.25">
      <c r="Y1460" s="150">
        <f t="shared" si="90"/>
        <v>1.01</v>
      </c>
    </row>
    <row r="1461" spans="1:32" x14ac:dyDescent="0.25">
      <c r="A1461" s="196">
        <v>765</v>
      </c>
      <c r="B1461" s="196" t="s">
        <v>5810</v>
      </c>
      <c r="C1461" s="196" t="s">
        <v>5811</v>
      </c>
      <c r="D1461" s="196" t="s">
        <v>2209</v>
      </c>
      <c r="F1461" s="196">
        <v>2009</v>
      </c>
      <c r="H1461" s="196" t="s">
        <v>1878</v>
      </c>
      <c r="I1461" s="184" t="s">
        <v>1879</v>
      </c>
      <c r="K1461" s="196" t="s">
        <v>1881</v>
      </c>
      <c r="L1461" s="184" t="s">
        <v>5812</v>
      </c>
      <c r="M1461" s="196">
        <v>192</v>
      </c>
      <c r="O1461" s="196" t="s">
        <v>5592</v>
      </c>
      <c r="P1461" s="17">
        <v>262</v>
      </c>
      <c r="Q1461" s="175">
        <f t="shared" si="89"/>
        <v>0.64900000000000002</v>
      </c>
      <c r="R1461" s="199">
        <v>0.25</v>
      </c>
      <c r="T1461" s="149">
        <v>0.35</v>
      </c>
      <c r="U1461" s="149"/>
      <c r="V1461" s="149">
        <v>0.25</v>
      </c>
      <c r="W1461" s="149">
        <f t="shared" si="92"/>
        <v>0.35</v>
      </c>
      <c r="X1461" s="152">
        <f t="shared" si="91"/>
        <v>4.8999999999999995E-2</v>
      </c>
      <c r="Y1461" s="150">
        <f t="shared" si="90"/>
        <v>1.01</v>
      </c>
      <c r="Z1461" s="152"/>
      <c r="AC1461" s="154"/>
      <c r="AD1461" s="154"/>
      <c r="AE1461" s="154"/>
      <c r="AF1461" s="154"/>
    </row>
    <row r="1462" spans="1:32" x14ac:dyDescent="0.25">
      <c r="A1462" s="196">
        <v>1315</v>
      </c>
      <c r="B1462" s="196" t="s">
        <v>7578</v>
      </c>
      <c r="C1462" s="196" t="s">
        <v>7579</v>
      </c>
      <c r="D1462" s="196" t="s">
        <v>807</v>
      </c>
      <c r="F1462" s="196">
        <v>2009</v>
      </c>
      <c r="H1462" s="196" t="s">
        <v>1878</v>
      </c>
      <c r="I1462" s="184" t="s">
        <v>1879</v>
      </c>
      <c r="K1462" s="196" t="s">
        <v>1881</v>
      </c>
      <c r="L1462" s="184" t="s">
        <v>7580</v>
      </c>
      <c r="M1462" s="196">
        <v>192</v>
      </c>
      <c r="O1462" s="196" t="s">
        <v>5593</v>
      </c>
      <c r="P1462" s="17">
        <v>207</v>
      </c>
      <c r="Q1462" s="175">
        <f t="shared" si="89"/>
        <v>1.2054</v>
      </c>
      <c r="R1462" s="199">
        <v>0.87</v>
      </c>
      <c r="T1462" s="149">
        <v>0.35</v>
      </c>
      <c r="U1462" s="149"/>
      <c r="V1462" s="149">
        <v>0.25</v>
      </c>
      <c r="W1462" s="149">
        <f t="shared" si="92"/>
        <v>0.87</v>
      </c>
      <c r="X1462" s="152">
        <f t="shared" si="91"/>
        <v>8.539999999999999E-2</v>
      </c>
      <c r="Y1462" s="150">
        <f t="shared" si="90"/>
        <v>1.01</v>
      </c>
      <c r="Z1462" s="152"/>
      <c r="AC1462" s="154"/>
      <c r="AD1462" s="154"/>
      <c r="AE1462" s="154"/>
      <c r="AF1462" s="154"/>
    </row>
    <row r="1463" spans="1:32" x14ac:dyDescent="0.25">
      <c r="A1463" s="196">
        <v>1324</v>
      </c>
      <c r="B1463" s="196" t="s">
        <v>7581</v>
      </c>
      <c r="C1463" s="196" t="s">
        <v>7582</v>
      </c>
      <c r="D1463" s="196" t="s">
        <v>7583</v>
      </c>
      <c r="E1463" s="196" t="s">
        <v>1913</v>
      </c>
      <c r="F1463" s="196">
        <v>2009</v>
      </c>
      <c r="H1463" s="196" t="s">
        <v>2734</v>
      </c>
      <c r="I1463" s="184" t="s">
        <v>1929</v>
      </c>
      <c r="K1463" s="196" t="s">
        <v>1881</v>
      </c>
      <c r="L1463" s="184" t="s">
        <v>7584</v>
      </c>
      <c r="M1463" s="196">
        <v>418</v>
      </c>
      <c r="O1463" s="196" t="s">
        <v>5594</v>
      </c>
      <c r="P1463" s="17">
        <v>810</v>
      </c>
      <c r="Q1463" s="175">
        <f t="shared" si="89"/>
        <v>1.8794999999999999</v>
      </c>
      <c r="R1463" s="199">
        <v>1.5</v>
      </c>
      <c r="T1463" s="149">
        <v>0.35</v>
      </c>
      <c r="U1463" s="149"/>
      <c r="V1463" s="149">
        <v>0.25</v>
      </c>
      <c r="W1463" s="149">
        <f t="shared" si="92"/>
        <v>1.5</v>
      </c>
      <c r="X1463" s="152">
        <f t="shared" si="91"/>
        <v>0.1295</v>
      </c>
      <c r="Y1463" s="150">
        <f t="shared" si="90"/>
        <v>1.01</v>
      </c>
      <c r="Z1463" s="152"/>
      <c r="AC1463" s="154"/>
      <c r="AD1463" s="154"/>
      <c r="AE1463" s="154"/>
      <c r="AF1463" s="154"/>
    </row>
    <row r="1464" spans="1:32" x14ac:dyDescent="0.25">
      <c r="A1464" s="196">
        <v>153</v>
      </c>
      <c r="B1464" s="196" t="s">
        <v>7585</v>
      </c>
      <c r="C1464" s="196" t="s">
        <v>7586</v>
      </c>
      <c r="D1464" s="196" t="s">
        <v>2007</v>
      </c>
      <c r="F1464" s="196">
        <v>1998</v>
      </c>
      <c r="H1464" s="196" t="s">
        <v>2008</v>
      </c>
      <c r="I1464" s="184" t="s">
        <v>1879</v>
      </c>
      <c r="K1464" s="196" t="s">
        <v>1881</v>
      </c>
      <c r="L1464" s="184" t="s">
        <v>7587</v>
      </c>
      <c r="M1464" s="196">
        <v>392</v>
      </c>
      <c r="O1464" s="196" t="s">
        <v>5595</v>
      </c>
      <c r="P1464" s="17">
        <v>181</v>
      </c>
      <c r="Q1464" s="175">
        <f t="shared" si="89"/>
        <v>0.64900000000000002</v>
      </c>
      <c r="R1464" s="199">
        <v>0.25</v>
      </c>
      <c r="T1464" s="149">
        <v>0.35</v>
      </c>
      <c r="U1464" s="149"/>
      <c r="V1464" s="149">
        <v>0.25</v>
      </c>
      <c r="W1464" s="149">
        <f t="shared" si="92"/>
        <v>0.35</v>
      </c>
      <c r="X1464" s="152">
        <f t="shared" si="91"/>
        <v>4.8999999999999995E-2</v>
      </c>
      <c r="Y1464" s="150">
        <f t="shared" si="90"/>
        <v>1.01</v>
      </c>
      <c r="Z1464" s="152"/>
      <c r="AC1464" s="154"/>
      <c r="AD1464" s="154"/>
      <c r="AE1464" s="154"/>
      <c r="AF1464" s="154"/>
    </row>
    <row r="1465" spans="1:32" x14ac:dyDescent="0.25">
      <c r="A1465" s="196">
        <v>18</v>
      </c>
      <c r="B1465" s="196" t="s">
        <v>7588</v>
      </c>
      <c r="C1465" s="196" t="s">
        <v>7589</v>
      </c>
      <c r="D1465" s="196" t="s">
        <v>5005</v>
      </c>
      <c r="F1465" s="196">
        <v>1972</v>
      </c>
      <c r="H1465" s="196" t="s">
        <v>2734</v>
      </c>
      <c r="I1465" s="184" t="s">
        <v>1879</v>
      </c>
      <c r="K1465" s="196" t="s">
        <v>1881</v>
      </c>
      <c r="L1465" s="184" t="s">
        <v>7590</v>
      </c>
      <c r="M1465" s="196">
        <v>238</v>
      </c>
      <c r="O1465" s="196" t="s">
        <v>5596</v>
      </c>
      <c r="P1465" s="17">
        <v>115</v>
      </c>
      <c r="Q1465" s="175">
        <f t="shared" si="89"/>
        <v>2.9281000000000001</v>
      </c>
      <c r="R1465" s="199">
        <v>2.48</v>
      </c>
      <c r="T1465" s="149">
        <v>0.35</v>
      </c>
      <c r="U1465" s="149"/>
      <c r="V1465" s="149">
        <v>0.25</v>
      </c>
      <c r="W1465" s="149">
        <f t="shared" si="92"/>
        <v>2.48</v>
      </c>
      <c r="X1465" s="152">
        <f t="shared" si="91"/>
        <v>0.19810000000000003</v>
      </c>
      <c r="Y1465" s="150">
        <f t="shared" si="90"/>
        <v>1.01</v>
      </c>
      <c r="Z1465" s="152"/>
      <c r="AC1465" s="154"/>
      <c r="AD1465" s="154"/>
      <c r="AE1465" s="154"/>
      <c r="AF1465" s="154"/>
    </row>
    <row r="1466" spans="1:32" x14ac:dyDescent="0.25">
      <c r="A1466" s="196">
        <v>1875</v>
      </c>
      <c r="B1466" s="196" t="s">
        <v>7592</v>
      </c>
      <c r="C1466" s="196" t="s">
        <v>7591</v>
      </c>
      <c r="D1466" s="196" t="s">
        <v>2926</v>
      </c>
      <c r="H1466" s="196" t="s">
        <v>2734</v>
      </c>
      <c r="I1466" s="184" t="s">
        <v>1879</v>
      </c>
      <c r="K1466" s="196" t="s">
        <v>1881</v>
      </c>
      <c r="L1466" s="184" t="s">
        <v>7593</v>
      </c>
      <c r="M1466" s="196">
        <v>162</v>
      </c>
      <c r="O1466" s="196" t="s">
        <v>5597</v>
      </c>
      <c r="P1466" s="17">
        <v>154</v>
      </c>
      <c r="Q1466" s="175">
        <f t="shared" si="89"/>
        <v>0.64900000000000002</v>
      </c>
      <c r="R1466" s="199">
        <v>0.25</v>
      </c>
      <c r="T1466" s="149">
        <v>0.35</v>
      </c>
      <c r="U1466" s="149"/>
      <c r="V1466" s="149">
        <v>0.25</v>
      </c>
      <c r="W1466" s="149">
        <f t="shared" si="92"/>
        <v>0.35</v>
      </c>
      <c r="X1466" s="152">
        <f t="shared" si="91"/>
        <v>4.8999999999999995E-2</v>
      </c>
      <c r="Y1466" s="150">
        <f t="shared" si="90"/>
        <v>1.01</v>
      </c>
      <c r="Z1466" s="152"/>
      <c r="AC1466" s="154"/>
      <c r="AD1466" s="154"/>
      <c r="AE1466" s="154"/>
      <c r="AF1466" s="154"/>
    </row>
    <row r="1467" spans="1:32" x14ac:dyDescent="0.25">
      <c r="A1467" s="196">
        <v>1939</v>
      </c>
      <c r="B1467" s="196" t="s">
        <v>7594</v>
      </c>
      <c r="C1467" s="196" t="s">
        <v>7595</v>
      </c>
      <c r="D1467" s="196" t="s">
        <v>7596</v>
      </c>
      <c r="E1467" s="196" t="s">
        <v>1877</v>
      </c>
      <c r="F1467" s="196">
        <v>2005</v>
      </c>
      <c r="H1467" s="196" t="s">
        <v>1878</v>
      </c>
      <c r="I1467" s="184" t="s">
        <v>1879</v>
      </c>
      <c r="K1467" s="196" t="s">
        <v>1881</v>
      </c>
      <c r="L1467" s="184" t="s">
        <v>7597</v>
      </c>
      <c r="M1467" s="196">
        <v>192</v>
      </c>
      <c r="O1467" s="196" t="s">
        <v>5598</v>
      </c>
      <c r="P1467" s="17">
        <v>162</v>
      </c>
      <c r="Q1467" s="175">
        <f t="shared" si="89"/>
        <v>0.95930000000000004</v>
      </c>
      <c r="R1467" s="199">
        <v>0.64</v>
      </c>
      <c r="T1467" s="149">
        <v>0.35</v>
      </c>
      <c r="U1467" s="149"/>
      <c r="V1467" s="149">
        <v>0.25</v>
      </c>
      <c r="W1467" s="149">
        <f t="shared" si="92"/>
        <v>0.64</v>
      </c>
      <c r="X1467" s="152">
        <f t="shared" si="91"/>
        <v>6.93E-2</v>
      </c>
      <c r="Y1467" s="150">
        <f t="shared" si="90"/>
        <v>1.01</v>
      </c>
      <c r="Z1467" s="152"/>
      <c r="AC1467" s="154"/>
      <c r="AD1467" s="154"/>
      <c r="AE1467" s="154"/>
      <c r="AF1467" s="154"/>
    </row>
    <row r="1468" spans="1:32" x14ac:dyDescent="0.25">
      <c r="A1468" s="196">
        <v>1324</v>
      </c>
      <c r="B1468" s="196" t="s">
        <v>7603</v>
      </c>
      <c r="C1468" s="196" t="s">
        <v>7604</v>
      </c>
      <c r="D1468" s="196" t="s">
        <v>1912</v>
      </c>
      <c r="E1468" s="196" t="s">
        <v>1921</v>
      </c>
      <c r="F1468" s="196">
        <v>2000</v>
      </c>
      <c r="H1468" s="196" t="s">
        <v>1878</v>
      </c>
      <c r="I1468" s="184" t="s">
        <v>1879</v>
      </c>
      <c r="K1468" s="196" t="s">
        <v>1881</v>
      </c>
      <c r="L1468" s="184" t="s">
        <v>7605</v>
      </c>
      <c r="M1468" s="196">
        <v>160</v>
      </c>
      <c r="O1468" s="196" t="s">
        <v>5600</v>
      </c>
      <c r="P1468" s="17">
        <v>124</v>
      </c>
      <c r="Q1468" s="175">
        <f t="shared" ref="Q1468:Q1531" si="93">SUM(U1468:X1468)</f>
        <v>0.64900000000000002</v>
      </c>
      <c r="R1468" s="199">
        <v>0.25</v>
      </c>
      <c r="T1468" s="149">
        <v>0.35</v>
      </c>
      <c r="U1468" s="149"/>
      <c r="V1468" s="149">
        <v>0.25</v>
      </c>
      <c r="W1468" s="149">
        <f t="shared" si="92"/>
        <v>0.35</v>
      </c>
      <c r="X1468" s="152">
        <f t="shared" si="91"/>
        <v>4.8999999999999995E-2</v>
      </c>
      <c r="Y1468" s="150">
        <f t="shared" si="90"/>
        <v>1.01</v>
      </c>
      <c r="Z1468" s="152"/>
      <c r="AC1468" s="154"/>
      <c r="AD1468" s="154"/>
      <c r="AE1468" s="154"/>
      <c r="AF1468" s="154"/>
    </row>
    <row r="1469" spans="1:32" x14ac:dyDescent="0.25">
      <c r="A1469" s="196">
        <v>1875</v>
      </c>
      <c r="C1469" s="196" t="s">
        <v>7606</v>
      </c>
      <c r="D1469" s="196" t="s">
        <v>1876</v>
      </c>
      <c r="E1469" s="196" t="s">
        <v>2157</v>
      </c>
      <c r="F1469" s="196">
        <v>2008</v>
      </c>
      <c r="H1469" s="196" t="s">
        <v>1878</v>
      </c>
      <c r="I1469" s="184" t="s">
        <v>1879</v>
      </c>
      <c r="K1469" s="196" t="s">
        <v>1881</v>
      </c>
      <c r="L1469" s="184" t="s">
        <v>7607</v>
      </c>
      <c r="M1469" s="196">
        <v>240</v>
      </c>
      <c r="O1469" s="196" t="s">
        <v>5601</v>
      </c>
      <c r="P1469" s="17">
        <v>145</v>
      </c>
      <c r="Q1469" s="175">
        <f t="shared" si="93"/>
        <v>0.79879999999999995</v>
      </c>
      <c r="R1469" s="199">
        <v>0.49</v>
      </c>
      <c r="T1469" s="149">
        <v>0.35</v>
      </c>
      <c r="U1469" s="149"/>
      <c r="V1469" s="149">
        <v>0.25</v>
      </c>
      <c r="W1469" s="149">
        <f t="shared" si="92"/>
        <v>0.49</v>
      </c>
      <c r="X1469" s="152">
        <f t="shared" si="91"/>
        <v>5.8799999999999998E-2</v>
      </c>
      <c r="Y1469" s="150">
        <f t="shared" si="90"/>
        <v>1.01</v>
      </c>
      <c r="Z1469" s="152"/>
      <c r="AC1469" s="154"/>
      <c r="AD1469" s="154"/>
      <c r="AE1469" s="154"/>
      <c r="AF1469" s="154"/>
    </row>
    <row r="1470" spans="1:32" x14ac:dyDescent="0.25">
      <c r="A1470" s="196">
        <v>689</v>
      </c>
      <c r="B1470" s="196" t="s">
        <v>2470</v>
      </c>
      <c r="C1470" s="196" t="s">
        <v>7608</v>
      </c>
      <c r="D1470" s="196" t="s">
        <v>2209</v>
      </c>
      <c r="F1470" s="196">
        <v>1998</v>
      </c>
      <c r="H1470" s="196" t="s">
        <v>1878</v>
      </c>
      <c r="I1470" s="184" t="s">
        <v>1879</v>
      </c>
      <c r="K1470" s="196" t="s">
        <v>1881</v>
      </c>
      <c r="L1470" s="184" t="s">
        <v>7609</v>
      </c>
      <c r="M1470" s="196">
        <v>224</v>
      </c>
      <c r="O1470" s="196" t="s">
        <v>5602</v>
      </c>
      <c r="P1470" s="17">
        <v>160</v>
      </c>
      <c r="Q1470" s="175">
        <f t="shared" si="93"/>
        <v>0.64900000000000002</v>
      </c>
      <c r="R1470" s="199">
        <v>0.25</v>
      </c>
      <c r="T1470" s="149">
        <v>0.35</v>
      </c>
      <c r="U1470" s="149"/>
      <c r="V1470" s="149">
        <v>0.25</v>
      </c>
      <c r="W1470" s="149">
        <f t="shared" si="92"/>
        <v>0.35</v>
      </c>
      <c r="X1470" s="152">
        <f t="shared" si="91"/>
        <v>4.8999999999999995E-2</v>
      </c>
      <c r="Y1470" s="150">
        <f t="shared" si="90"/>
        <v>1.01</v>
      </c>
      <c r="Z1470" s="152"/>
      <c r="AC1470" s="154"/>
      <c r="AD1470" s="154"/>
      <c r="AE1470" s="154"/>
      <c r="AF1470" s="154"/>
    </row>
    <row r="1471" spans="1:32" x14ac:dyDescent="0.25">
      <c r="A1471" s="196">
        <v>2591</v>
      </c>
      <c r="C1471" s="196" t="s">
        <v>7610</v>
      </c>
      <c r="D1471" s="196" t="s">
        <v>7611</v>
      </c>
      <c r="F1471" s="196">
        <v>2017</v>
      </c>
      <c r="H1471" s="196" t="s">
        <v>1878</v>
      </c>
      <c r="I1471" s="184" t="s">
        <v>1879</v>
      </c>
      <c r="K1471" s="196" t="s">
        <v>1881</v>
      </c>
      <c r="L1471" s="184" t="s">
        <v>7612</v>
      </c>
      <c r="M1471" s="196">
        <v>16</v>
      </c>
      <c r="O1471" s="196" t="s">
        <v>5603</v>
      </c>
      <c r="P1471" s="17">
        <v>16</v>
      </c>
      <c r="Q1471" s="175">
        <f t="shared" si="93"/>
        <v>7.7645</v>
      </c>
      <c r="R1471" s="199">
        <v>7</v>
      </c>
      <c r="T1471" s="149">
        <v>0.35</v>
      </c>
      <c r="U1471" s="149"/>
      <c r="V1471" s="149">
        <v>0.25</v>
      </c>
      <c r="W1471" s="149">
        <f t="shared" si="92"/>
        <v>7</v>
      </c>
      <c r="X1471" s="152">
        <f t="shared" si="91"/>
        <v>0.51449999999999996</v>
      </c>
      <c r="Y1471" s="150">
        <f t="shared" si="90"/>
        <v>1.01</v>
      </c>
      <c r="Z1471" s="152"/>
      <c r="AC1471" s="154"/>
      <c r="AD1471" s="154"/>
      <c r="AE1471" s="154"/>
      <c r="AF1471" s="154"/>
    </row>
    <row r="1472" spans="1:32" x14ac:dyDescent="0.25">
      <c r="A1472" s="196">
        <v>2591</v>
      </c>
      <c r="C1472" s="196" t="s">
        <v>7613</v>
      </c>
      <c r="D1472" s="196" t="s">
        <v>7611</v>
      </c>
      <c r="F1472" s="196">
        <v>2017</v>
      </c>
      <c r="H1472" s="196" t="s">
        <v>1878</v>
      </c>
      <c r="I1472" s="184" t="s">
        <v>1929</v>
      </c>
      <c r="K1472" s="196" t="s">
        <v>1881</v>
      </c>
      <c r="L1472" s="184" t="s">
        <v>7612</v>
      </c>
      <c r="M1472" s="196">
        <v>16</v>
      </c>
      <c r="O1472" s="196" t="s">
        <v>5604</v>
      </c>
      <c r="P1472" s="17">
        <v>17</v>
      </c>
      <c r="Q1472" s="175">
        <f t="shared" si="93"/>
        <v>7.7645</v>
      </c>
      <c r="R1472" s="199">
        <v>7</v>
      </c>
      <c r="T1472" s="149">
        <v>0.35</v>
      </c>
      <c r="U1472" s="149"/>
      <c r="V1472" s="149">
        <v>0.25</v>
      </c>
      <c r="W1472" s="149">
        <f t="shared" si="92"/>
        <v>7</v>
      </c>
      <c r="X1472" s="152">
        <f t="shared" si="91"/>
        <v>0.51449999999999996</v>
      </c>
      <c r="Y1472" s="150">
        <f t="shared" si="90"/>
        <v>1.01</v>
      </c>
      <c r="Z1472" s="152"/>
      <c r="AC1472" s="154"/>
      <c r="AD1472" s="154"/>
      <c r="AE1472" s="154"/>
      <c r="AF1472" s="154"/>
    </row>
    <row r="1473" spans="1:32" x14ac:dyDescent="0.25">
      <c r="A1473" s="196">
        <v>2591</v>
      </c>
      <c r="C1473" s="196" t="s">
        <v>7614</v>
      </c>
      <c r="D1473" s="196" t="s">
        <v>7611</v>
      </c>
      <c r="F1473" s="196">
        <v>2017</v>
      </c>
      <c r="H1473" s="196" t="s">
        <v>1878</v>
      </c>
      <c r="I1473" s="184" t="s">
        <v>1929</v>
      </c>
      <c r="K1473" s="196" t="s">
        <v>1881</v>
      </c>
      <c r="L1473" s="184" t="s">
        <v>7615</v>
      </c>
      <c r="M1473" s="196">
        <v>16</v>
      </c>
      <c r="O1473" s="196" t="s">
        <v>5605</v>
      </c>
      <c r="P1473" s="17">
        <v>17</v>
      </c>
      <c r="Q1473" s="175">
        <f t="shared" si="93"/>
        <v>7.7645</v>
      </c>
      <c r="R1473" s="199">
        <v>7</v>
      </c>
      <c r="T1473" s="149">
        <v>0.35</v>
      </c>
      <c r="U1473" s="149"/>
      <c r="V1473" s="149">
        <v>0.25</v>
      </c>
      <c r="W1473" s="149">
        <f t="shared" si="92"/>
        <v>7</v>
      </c>
      <c r="X1473" s="152">
        <f t="shared" si="91"/>
        <v>0.51449999999999996</v>
      </c>
      <c r="Y1473" s="150">
        <f t="shared" si="90"/>
        <v>1.01</v>
      </c>
      <c r="Z1473" s="152"/>
      <c r="AC1473" s="154"/>
      <c r="AD1473" s="154"/>
      <c r="AE1473" s="154"/>
      <c r="AF1473" s="154"/>
    </row>
    <row r="1474" spans="1:32" x14ac:dyDescent="0.25">
      <c r="A1474" s="196">
        <v>1905</v>
      </c>
      <c r="B1474" s="182" t="s">
        <v>7616</v>
      </c>
      <c r="C1474" s="196" t="s">
        <v>7617</v>
      </c>
      <c r="D1474" s="196" t="s">
        <v>2835</v>
      </c>
      <c r="E1474" s="196" t="s">
        <v>1877</v>
      </c>
      <c r="F1474" s="196">
        <v>2012</v>
      </c>
      <c r="H1474" s="196" t="s">
        <v>1878</v>
      </c>
      <c r="I1474" s="184" t="s">
        <v>1879</v>
      </c>
      <c r="K1474" s="196" t="s">
        <v>1881</v>
      </c>
      <c r="L1474" s="184" t="s">
        <v>7618</v>
      </c>
      <c r="M1474" s="196">
        <v>144</v>
      </c>
      <c r="O1474" s="196" t="s">
        <v>5606</v>
      </c>
      <c r="P1474" s="17">
        <v>95</v>
      </c>
      <c r="Q1474" s="175">
        <f t="shared" si="93"/>
        <v>3.3668</v>
      </c>
      <c r="R1474" s="199">
        <v>2.89</v>
      </c>
      <c r="T1474" s="149">
        <v>0.35</v>
      </c>
      <c r="U1474" s="149"/>
      <c r="V1474" s="149">
        <v>0.25</v>
      </c>
      <c r="W1474" s="149">
        <f t="shared" si="92"/>
        <v>2.89</v>
      </c>
      <c r="X1474" s="152">
        <f t="shared" si="91"/>
        <v>0.22680000000000003</v>
      </c>
      <c r="Y1474" s="150">
        <f t="shared" si="90"/>
        <v>1.01</v>
      </c>
      <c r="Z1474" s="152"/>
      <c r="AC1474" s="154"/>
      <c r="AD1474" s="154"/>
      <c r="AE1474" s="154"/>
      <c r="AF1474" s="154"/>
    </row>
    <row r="1475" spans="1:32" x14ac:dyDescent="0.25">
      <c r="A1475" s="196">
        <v>769</v>
      </c>
      <c r="C1475" s="196" t="s">
        <v>7619</v>
      </c>
      <c r="D1475" s="196" t="s">
        <v>7620</v>
      </c>
      <c r="E1475" s="182" t="s">
        <v>1899</v>
      </c>
      <c r="F1475" s="196">
        <v>1991</v>
      </c>
      <c r="H1475" s="196" t="s">
        <v>2734</v>
      </c>
      <c r="I1475" s="184" t="s">
        <v>1929</v>
      </c>
      <c r="K1475" s="196" t="s">
        <v>1881</v>
      </c>
      <c r="L1475" s="184" t="s">
        <v>7621</v>
      </c>
      <c r="M1475" s="196">
        <v>450</v>
      </c>
      <c r="O1475" s="196" t="s">
        <v>5607</v>
      </c>
      <c r="P1475" s="17">
        <v>314</v>
      </c>
      <c r="Q1475" s="175">
        <f t="shared" si="93"/>
        <v>0.64900000000000002</v>
      </c>
      <c r="R1475" s="199">
        <v>0.25</v>
      </c>
      <c r="T1475" s="149">
        <v>0.35</v>
      </c>
      <c r="U1475" s="149"/>
      <c r="V1475" s="149">
        <v>0.25</v>
      </c>
      <c r="W1475" s="149">
        <f t="shared" si="92"/>
        <v>0.35</v>
      </c>
      <c r="X1475" s="152">
        <f t="shared" si="91"/>
        <v>4.8999999999999995E-2</v>
      </c>
      <c r="Y1475" s="150">
        <f t="shared" si="90"/>
        <v>1.01</v>
      </c>
      <c r="Z1475" s="152"/>
      <c r="AC1475" s="154"/>
      <c r="AD1475" s="154"/>
      <c r="AE1475" s="154"/>
      <c r="AF1475" s="154"/>
    </row>
    <row r="1476" spans="1:32" x14ac:dyDescent="0.25">
      <c r="A1476" s="196">
        <v>2522</v>
      </c>
      <c r="B1476" s="182" t="s">
        <v>7622</v>
      </c>
      <c r="C1476" s="196" t="s">
        <v>7623</v>
      </c>
      <c r="D1476" s="196" t="s">
        <v>1912</v>
      </c>
      <c r="E1476" s="196" t="s">
        <v>1921</v>
      </c>
      <c r="F1476" s="196">
        <v>2003</v>
      </c>
      <c r="H1476" s="196" t="s">
        <v>1878</v>
      </c>
      <c r="I1476" s="184" t="s">
        <v>1879</v>
      </c>
      <c r="K1476" s="196" t="s">
        <v>1881</v>
      </c>
      <c r="L1476" s="184" t="s">
        <v>7624</v>
      </c>
      <c r="M1476" s="196">
        <v>480</v>
      </c>
      <c r="O1476" s="196" t="s">
        <v>5608</v>
      </c>
      <c r="P1476" s="17">
        <v>421</v>
      </c>
      <c r="Q1476" s="175">
        <f t="shared" si="93"/>
        <v>0.64900000000000002</v>
      </c>
      <c r="R1476" s="199">
        <v>0.28999999999999998</v>
      </c>
      <c r="T1476" s="149">
        <v>0.35</v>
      </c>
      <c r="U1476" s="149"/>
      <c r="V1476" s="149">
        <v>0.25</v>
      </c>
      <c r="W1476" s="149">
        <f t="shared" si="92"/>
        <v>0.35</v>
      </c>
      <c r="X1476" s="152">
        <f t="shared" si="91"/>
        <v>4.8999999999999995E-2</v>
      </c>
      <c r="Y1476" s="150">
        <f t="shared" si="90"/>
        <v>1.01</v>
      </c>
      <c r="Z1476" s="152"/>
      <c r="AC1476" s="154"/>
      <c r="AD1476" s="154"/>
      <c r="AE1476" s="154"/>
      <c r="AF1476" s="154"/>
    </row>
    <row r="1477" spans="1:32" x14ac:dyDescent="0.25">
      <c r="A1477" s="196">
        <v>765</v>
      </c>
      <c r="B1477" s="182" t="s">
        <v>4797</v>
      </c>
      <c r="C1477" s="196" t="s">
        <v>6199</v>
      </c>
      <c r="D1477" s="196" t="s">
        <v>1876</v>
      </c>
      <c r="E1477" s="196" t="s">
        <v>7558</v>
      </c>
      <c r="F1477" s="196">
        <v>2010</v>
      </c>
      <c r="H1477" s="196" t="s">
        <v>1878</v>
      </c>
      <c r="I1477" s="184" t="s">
        <v>1929</v>
      </c>
      <c r="K1477" s="196" t="s">
        <v>1881</v>
      </c>
      <c r="L1477" s="184" t="s">
        <v>6200</v>
      </c>
      <c r="M1477" s="196">
        <v>96</v>
      </c>
      <c r="O1477" s="196" t="s">
        <v>5609</v>
      </c>
      <c r="P1477" s="17">
        <v>175</v>
      </c>
      <c r="Q1477" s="175">
        <f t="shared" si="93"/>
        <v>0.64900000000000002</v>
      </c>
      <c r="R1477" s="199">
        <v>0.25</v>
      </c>
      <c r="T1477" s="149">
        <v>0.35</v>
      </c>
      <c r="U1477" s="149"/>
      <c r="V1477" s="149">
        <v>0.25</v>
      </c>
      <c r="W1477" s="149">
        <f t="shared" si="92"/>
        <v>0.35</v>
      </c>
      <c r="X1477" s="152">
        <f t="shared" si="91"/>
        <v>4.8999999999999995E-2</v>
      </c>
      <c r="Y1477" s="150">
        <f t="shared" si="90"/>
        <v>1.01</v>
      </c>
      <c r="Z1477" s="152"/>
      <c r="AC1477" s="154"/>
      <c r="AD1477" s="154"/>
      <c r="AE1477" s="154"/>
      <c r="AF1477" s="154"/>
    </row>
    <row r="1478" spans="1:32" x14ac:dyDescent="0.25">
      <c r="A1478" s="196">
        <v>704</v>
      </c>
      <c r="B1478" s="196" t="s">
        <v>7625</v>
      </c>
      <c r="C1478" s="196" t="s">
        <v>7626</v>
      </c>
      <c r="D1478" s="196" t="s">
        <v>2300</v>
      </c>
      <c r="E1478" s="196" t="s">
        <v>2175</v>
      </c>
      <c r="F1478" s="196">
        <v>2004</v>
      </c>
      <c r="H1478" s="196" t="s">
        <v>1878</v>
      </c>
      <c r="I1478" s="184" t="s">
        <v>1879</v>
      </c>
      <c r="K1478" s="196" t="s">
        <v>1881</v>
      </c>
      <c r="L1478" s="184" t="s">
        <v>7627</v>
      </c>
      <c r="M1478" s="196">
        <v>144</v>
      </c>
      <c r="O1478" s="196" t="s">
        <v>5610</v>
      </c>
      <c r="P1478" s="17">
        <v>138</v>
      </c>
      <c r="Q1478" s="175">
        <f t="shared" si="93"/>
        <v>0.64900000000000002</v>
      </c>
      <c r="R1478" s="199">
        <v>0.25</v>
      </c>
      <c r="T1478" s="149">
        <v>0.35</v>
      </c>
      <c r="U1478" s="149"/>
      <c r="V1478" s="149">
        <v>0.25</v>
      </c>
      <c r="W1478" s="149">
        <f t="shared" si="92"/>
        <v>0.35</v>
      </c>
      <c r="X1478" s="152">
        <f t="shared" si="91"/>
        <v>4.8999999999999995E-2</v>
      </c>
      <c r="Y1478" s="150">
        <f t="shared" si="90"/>
        <v>1.01</v>
      </c>
      <c r="Z1478" s="152"/>
      <c r="AC1478" s="154"/>
      <c r="AD1478" s="154"/>
      <c r="AE1478" s="154"/>
      <c r="AF1478" s="154"/>
    </row>
    <row r="1479" spans="1:32" x14ac:dyDescent="0.25">
      <c r="A1479" s="196">
        <v>765</v>
      </c>
      <c r="B1479" s="196" t="s">
        <v>7628</v>
      </c>
      <c r="C1479" s="196" t="s">
        <v>7629</v>
      </c>
      <c r="D1479" s="196" t="s">
        <v>7630</v>
      </c>
      <c r="F1479" s="196">
        <v>2005</v>
      </c>
      <c r="H1479" s="196" t="s">
        <v>1878</v>
      </c>
      <c r="I1479" s="184" t="s">
        <v>1879</v>
      </c>
      <c r="K1479" s="196" t="s">
        <v>1881</v>
      </c>
      <c r="L1479" s="184" t="s">
        <v>7631</v>
      </c>
      <c r="M1479" s="196">
        <v>240</v>
      </c>
      <c r="O1479" s="196" t="s">
        <v>5611</v>
      </c>
      <c r="P1479" s="17">
        <v>212</v>
      </c>
      <c r="Q1479" s="175">
        <f t="shared" si="93"/>
        <v>2.8424999999999998</v>
      </c>
      <c r="R1479" s="199">
        <v>2.4</v>
      </c>
      <c r="T1479" s="149">
        <v>0.35</v>
      </c>
      <c r="U1479" s="149"/>
      <c r="V1479" s="149">
        <v>0.25</v>
      </c>
      <c r="W1479" s="149">
        <f t="shared" si="92"/>
        <v>2.4</v>
      </c>
      <c r="X1479" s="152">
        <f t="shared" si="91"/>
        <v>0.1925</v>
      </c>
      <c r="Y1479" s="150">
        <f t="shared" si="90"/>
        <v>1.01</v>
      </c>
      <c r="Z1479" s="152"/>
      <c r="AC1479" s="154"/>
      <c r="AD1479" s="154"/>
      <c r="AE1479" s="154"/>
      <c r="AF1479" s="154"/>
    </row>
    <row r="1480" spans="1:32" x14ac:dyDescent="0.25">
      <c r="A1480" s="196">
        <v>18</v>
      </c>
      <c r="B1480" s="196" t="s">
        <v>7632</v>
      </c>
      <c r="C1480" s="196" t="s">
        <v>7633</v>
      </c>
      <c r="D1480" s="196" t="s">
        <v>7634</v>
      </c>
      <c r="F1480" s="196">
        <v>2018</v>
      </c>
      <c r="H1480" s="196" t="s">
        <v>1878</v>
      </c>
      <c r="I1480" s="184" t="s">
        <v>1929</v>
      </c>
      <c r="K1480" s="196" t="s">
        <v>1881</v>
      </c>
      <c r="L1480" s="184" t="s">
        <v>7635</v>
      </c>
      <c r="M1480" s="196">
        <v>244</v>
      </c>
      <c r="O1480" s="196" t="s">
        <v>5612</v>
      </c>
      <c r="P1480" s="17">
        <v>349</v>
      </c>
      <c r="Q1480" s="175">
        <f t="shared" si="93"/>
        <v>3.4738000000000002</v>
      </c>
      <c r="R1480" s="199">
        <v>2.99</v>
      </c>
      <c r="T1480" s="149">
        <v>0.35</v>
      </c>
      <c r="U1480" s="149"/>
      <c r="V1480" s="149">
        <v>0.25</v>
      </c>
      <c r="W1480" s="149">
        <f t="shared" si="92"/>
        <v>2.99</v>
      </c>
      <c r="X1480" s="152">
        <f t="shared" si="91"/>
        <v>0.23380000000000004</v>
      </c>
      <c r="Y1480" s="150">
        <f t="shared" si="90"/>
        <v>1.01</v>
      </c>
      <c r="Z1480" s="152"/>
      <c r="AC1480" s="154"/>
      <c r="AD1480" s="154"/>
      <c r="AE1480" s="154"/>
      <c r="AF1480" s="154"/>
    </row>
    <row r="1481" spans="1:32" x14ac:dyDescent="0.25">
      <c r="A1481" s="196">
        <v>2551</v>
      </c>
      <c r="B1481" s="196" t="s">
        <v>5033</v>
      </c>
      <c r="C1481" s="196" t="s">
        <v>7636</v>
      </c>
      <c r="D1481" s="196" t="s">
        <v>5005</v>
      </c>
      <c r="F1481" s="196">
        <v>2000</v>
      </c>
      <c r="H1481" s="196" t="s">
        <v>2734</v>
      </c>
      <c r="I1481" s="184" t="s">
        <v>1879</v>
      </c>
      <c r="K1481" s="196" t="s">
        <v>1881</v>
      </c>
      <c r="M1481" s="196">
        <v>610</v>
      </c>
      <c r="O1481" s="196" t="s">
        <v>5613</v>
      </c>
      <c r="P1481" s="17">
        <v>796</v>
      </c>
      <c r="Q1481" s="175">
        <f t="shared" si="93"/>
        <v>0.64900000000000002</v>
      </c>
      <c r="R1481" s="199">
        <v>0.25</v>
      </c>
      <c r="T1481" s="149">
        <v>0.35</v>
      </c>
      <c r="U1481" s="149"/>
      <c r="V1481" s="149">
        <v>0.25</v>
      </c>
      <c r="W1481" s="149">
        <f t="shared" si="92"/>
        <v>0.35</v>
      </c>
      <c r="X1481" s="152">
        <f t="shared" si="91"/>
        <v>4.8999999999999995E-2</v>
      </c>
      <c r="Y1481" s="150">
        <f t="shared" si="90"/>
        <v>1.01</v>
      </c>
      <c r="Z1481" s="152"/>
      <c r="AC1481" s="154"/>
      <c r="AD1481" s="154"/>
      <c r="AE1481" s="154"/>
      <c r="AF1481" s="154"/>
    </row>
    <row r="1482" spans="1:32" x14ac:dyDescent="0.25">
      <c r="A1482" s="196">
        <v>1395</v>
      </c>
      <c r="B1482" s="196" t="s">
        <v>7637</v>
      </c>
      <c r="C1482" s="196" t="s">
        <v>7638</v>
      </c>
      <c r="D1482" s="196" t="s">
        <v>2257</v>
      </c>
      <c r="F1482" s="196">
        <v>1990</v>
      </c>
      <c r="H1482" s="196" t="s">
        <v>1878</v>
      </c>
      <c r="I1482" s="184" t="s">
        <v>6422</v>
      </c>
      <c r="K1482" s="196" t="s">
        <v>1881</v>
      </c>
      <c r="L1482" s="184" t="s">
        <v>7639</v>
      </c>
      <c r="M1482" s="196">
        <v>880</v>
      </c>
      <c r="O1482" s="196" t="s">
        <v>5614</v>
      </c>
      <c r="P1482" s="17">
        <v>509</v>
      </c>
      <c r="Q1482" s="175">
        <f t="shared" si="93"/>
        <v>0.8095</v>
      </c>
      <c r="R1482" s="199">
        <v>0.5</v>
      </c>
      <c r="T1482" s="149">
        <v>0.35</v>
      </c>
      <c r="U1482" s="149"/>
      <c r="V1482" s="149">
        <v>0.25</v>
      </c>
      <c r="W1482" s="149">
        <f t="shared" si="92"/>
        <v>0.5</v>
      </c>
      <c r="X1482" s="152">
        <f t="shared" si="91"/>
        <v>5.9500000000000004E-2</v>
      </c>
      <c r="Y1482" s="150">
        <f t="shared" si="90"/>
        <v>1.01</v>
      </c>
      <c r="Z1482" s="152"/>
      <c r="AC1482" s="154"/>
      <c r="AD1482" s="154"/>
      <c r="AE1482" s="154"/>
      <c r="AF1482" s="154"/>
    </row>
    <row r="1483" spans="1:32" x14ac:dyDescent="0.25">
      <c r="A1483" s="196">
        <v>2522</v>
      </c>
      <c r="B1483" s="196" t="s">
        <v>7349</v>
      </c>
      <c r="C1483" s="196" t="s">
        <v>7640</v>
      </c>
      <c r="D1483" s="196" t="s">
        <v>2209</v>
      </c>
      <c r="F1483" s="196">
        <v>1991</v>
      </c>
      <c r="H1483" s="196" t="s">
        <v>1878</v>
      </c>
      <c r="I1483" s="184" t="s">
        <v>6422</v>
      </c>
      <c r="K1483" s="196" t="s">
        <v>1881</v>
      </c>
      <c r="L1483" s="184" t="s">
        <v>7641</v>
      </c>
      <c r="M1483" s="196">
        <v>480</v>
      </c>
      <c r="O1483" s="196" t="s">
        <v>5615</v>
      </c>
      <c r="P1483" s="17">
        <v>261</v>
      </c>
      <c r="Q1483" s="175">
        <f t="shared" si="93"/>
        <v>0.8095</v>
      </c>
      <c r="R1483" s="199">
        <v>0.5</v>
      </c>
      <c r="T1483" s="149">
        <v>0.35</v>
      </c>
      <c r="U1483" s="149"/>
      <c r="V1483" s="149">
        <v>0.25</v>
      </c>
      <c r="W1483" s="149">
        <f t="shared" si="92"/>
        <v>0.5</v>
      </c>
      <c r="X1483" s="152">
        <f t="shared" si="91"/>
        <v>5.9500000000000004E-2</v>
      </c>
      <c r="Y1483" s="150">
        <f t="shared" si="90"/>
        <v>1.01</v>
      </c>
      <c r="Z1483" s="152"/>
      <c r="AC1483" s="154"/>
      <c r="AD1483" s="154"/>
      <c r="AE1483" s="154"/>
      <c r="AF1483" s="154"/>
    </row>
    <row r="1484" spans="1:32" x14ac:dyDescent="0.25">
      <c r="Y1484" s="150">
        <f t="shared" si="90"/>
        <v>1.01</v>
      </c>
    </row>
    <row r="1485" spans="1:32" x14ac:dyDescent="0.25">
      <c r="A1485" s="196">
        <v>734</v>
      </c>
      <c r="B1485" s="196" t="s">
        <v>7392</v>
      </c>
      <c r="C1485" s="196" t="s">
        <v>7644</v>
      </c>
      <c r="D1485" s="196" t="s">
        <v>2209</v>
      </c>
      <c r="E1485" s="196" t="s">
        <v>2032</v>
      </c>
      <c r="F1485" s="196">
        <v>1991</v>
      </c>
      <c r="H1485" s="196" t="s">
        <v>1878</v>
      </c>
      <c r="I1485" s="184" t="s">
        <v>1914</v>
      </c>
      <c r="K1485" s="196" t="s">
        <v>1881</v>
      </c>
      <c r="L1485" s="184" t="s">
        <v>7645</v>
      </c>
      <c r="M1485" s="196">
        <v>688</v>
      </c>
      <c r="O1485" s="196" t="s">
        <v>5617</v>
      </c>
      <c r="P1485" s="17">
        <v>421</v>
      </c>
      <c r="Q1485" s="175">
        <f t="shared" si="93"/>
        <v>0.64900000000000002</v>
      </c>
      <c r="R1485" s="199">
        <v>0.25</v>
      </c>
      <c r="T1485" s="149">
        <v>0.35</v>
      </c>
      <c r="U1485" s="149"/>
      <c r="V1485" s="149">
        <v>0.25</v>
      </c>
      <c r="W1485" s="149">
        <f t="shared" si="92"/>
        <v>0.35</v>
      </c>
      <c r="X1485" s="152">
        <f t="shared" si="91"/>
        <v>4.8999999999999995E-2</v>
      </c>
      <c r="Y1485" s="150">
        <f t="shared" si="90"/>
        <v>1.01</v>
      </c>
      <c r="Z1485" s="152"/>
      <c r="AC1485" s="154"/>
      <c r="AD1485" s="154"/>
      <c r="AE1485" s="154"/>
      <c r="AF1485" s="154"/>
    </row>
    <row r="1486" spans="1:32" x14ac:dyDescent="0.25">
      <c r="A1486" s="196">
        <v>632</v>
      </c>
      <c r="B1486" s="196" t="s">
        <v>6322</v>
      </c>
      <c r="C1486" s="196" t="s">
        <v>7646</v>
      </c>
      <c r="D1486" s="196" t="s">
        <v>1993</v>
      </c>
      <c r="F1486" s="196">
        <v>2002</v>
      </c>
      <c r="H1486" s="196" t="s">
        <v>1878</v>
      </c>
      <c r="I1486" s="184" t="s">
        <v>1879</v>
      </c>
      <c r="K1486" s="196" t="s">
        <v>1881</v>
      </c>
      <c r="L1486" s="184" t="s">
        <v>7647</v>
      </c>
      <c r="M1486" s="196">
        <v>576</v>
      </c>
      <c r="O1486" s="196" t="s">
        <v>5618</v>
      </c>
      <c r="P1486" s="17">
        <v>408</v>
      </c>
      <c r="Q1486" s="175">
        <f t="shared" si="93"/>
        <v>1.2374999999999998</v>
      </c>
      <c r="R1486" s="199">
        <v>0.9</v>
      </c>
      <c r="T1486" s="149">
        <v>0.35</v>
      </c>
      <c r="U1486" s="149"/>
      <c r="V1486" s="149">
        <v>0.25</v>
      </c>
      <c r="W1486" s="149">
        <f t="shared" si="92"/>
        <v>0.9</v>
      </c>
      <c r="X1486" s="152">
        <f t="shared" si="91"/>
        <v>8.7500000000000008E-2</v>
      </c>
      <c r="Y1486" s="150">
        <f t="shared" si="90"/>
        <v>1.01</v>
      </c>
      <c r="Z1486" s="152"/>
      <c r="AC1486" s="154"/>
      <c r="AD1486" s="154"/>
      <c r="AE1486" s="154"/>
      <c r="AF1486" s="154"/>
    </row>
    <row r="1487" spans="1:32" x14ac:dyDescent="0.25">
      <c r="A1487" s="196">
        <v>734</v>
      </c>
      <c r="B1487" s="196" t="s">
        <v>7648</v>
      </c>
      <c r="C1487" s="196" t="s">
        <v>7649</v>
      </c>
      <c r="D1487" s="196" t="s">
        <v>2257</v>
      </c>
      <c r="E1487" s="196" t="s">
        <v>1921</v>
      </c>
      <c r="F1487" s="196">
        <v>2008</v>
      </c>
      <c r="H1487" s="196" t="s">
        <v>1878</v>
      </c>
      <c r="I1487" s="184" t="s">
        <v>1914</v>
      </c>
      <c r="K1487" s="196" t="s">
        <v>1881</v>
      </c>
      <c r="L1487" s="184" t="s">
        <v>7650</v>
      </c>
      <c r="M1487" s="196">
        <v>688</v>
      </c>
      <c r="O1487" s="196" t="s">
        <v>5619</v>
      </c>
      <c r="P1487" s="17">
        <v>509</v>
      </c>
      <c r="Q1487" s="175">
        <f t="shared" si="93"/>
        <v>0.64900000000000002</v>
      </c>
      <c r="R1487" s="199">
        <v>0.25</v>
      </c>
      <c r="T1487" s="149">
        <v>0.35</v>
      </c>
      <c r="U1487" s="149"/>
      <c r="V1487" s="149">
        <v>0.25</v>
      </c>
      <c r="W1487" s="149">
        <f t="shared" si="92"/>
        <v>0.35</v>
      </c>
      <c r="X1487" s="152">
        <f t="shared" si="91"/>
        <v>4.8999999999999995E-2</v>
      </c>
      <c r="Y1487" s="150">
        <f t="shared" si="90"/>
        <v>1.01</v>
      </c>
      <c r="Z1487" s="152"/>
      <c r="AC1487" s="154"/>
      <c r="AD1487" s="154"/>
      <c r="AE1487" s="154"/>
      <c r="AF1487" s="154"/>
    </row>
    <row r="1488" spans="1:32" x14ac:dyDescent="0.25">
      <c r="A1488" s="196">
        <v>2522</v>
      </c>
      <c r="B1488" s="196" t="s">
        <v>7651</v>
      </c>
      <c r="C1488" s="196" t="s">
        <v>7652</v>
      </c>
      <c r="D1488" s="196" t="s">
        <v>1993</v>
      </c>
      <c r="E1488" s="196" t="s">
        <v>1913</v>
      </c>
      <c r="F1488" s="196">
        <v>2012</v>
      </c>
      <c r="H1488" s="196" t="s">
        <v>1878</v>
      </c>
      <c r="I1488" s="184" t="s">
        <v>1929</v>
      </c>
      <c r="J1488" s="52" t="s">
        <v>3854</v>
      </c>
      <c r="K1488" s="196" t="s">
        <v>1881</v>
      </c>
      <c r="L1488" s="184" t="s">
        <v>7653</v>
      </c>
      <c r="M1488" s="196">
        <v>416</v>
      </c>
      <c r="O1488" s="196" t="s">
        <v>5620</v>
      </c>
      <c r="P1488" s="17">
        <v>344</v>
      </c>
      <c r="Q1488" s="175">
        <f t="shared" si="93"/>
        <v>0.8095</v>
      </c>
      <c r="R1488" s="199">
        <v>0.5</v>
      </c>
      <c r="T1488" s="149">
        <v>0.35</v>
      </c>
      <c r="U1488" s="149"/>
      <c r="V1488" s="149">
        <v>0.25</v>
      </c>
      <c r="W1488" s="149">
        <f t="shared" si="92"/>
        <v>0.5</v>
      </c>
      <c r="X1488" s="152">
        <f t="shared" si="91"/>
        <v>5.9500000000000004E-2</v>
      </c>
      <c r="Y1488" s="150">
        <f t="shared" si="90"/>
        <v>1.01</v>
      </c>
      <c r="Z1488" s="152"/>
      <c r="AC1488" s="154"/>
      <c r="AD1488" s="154"/>
      <c r="AE1488" s="154"/>
      <c r="AF1488" s="154"/>
    </row>
    <row r="1489" spans="1:36" x14ac:dyDescent="0.25">
      <c r="A1489" s="196">
        <v>632</v>
      </c>
      <c r="B1489" s="196" t="s">
        <v>7654</v>
      </c>
      <c r="C1489" s="196" t="s">
        <v>7655</v>
      </c>
      <c r="D1489" s="196" t="s">
        <v>2257</v>
      </c>
      <c r="F1489" s="196">
        <v>2011</v>
      </c>
      <c r="H1489" s="196" t="s">
        <v>1878</v>
      </c>
      <c r="I1489" s="184" t="s">
        <v>1879</v>
      </c>
      <c r="K1489" s="196" t="s">
        <v>1881</v>
      </c>
      <c r="L1489" s="184" t="s">
        <v>7656</v>
      </c>
      <c r="M1489" s="196">
        <v>432</v>
      </c>
      <c r="O1489" s="196" t="s">
        <v>5621</v>
      </c>
      <c r="P1489" s="17">
        <v>384</v>
      </c>
      <c r="Q1489" s="175">
        <f t="shared" si="93"/>
        <v>1.1305000000000001</v>
      </c>
      <c r="R1489" s="199">
        <v>0.8</v>
      </c>
      <c r="T1489" s="149">
        <v>0.35</v>
      </c>
      <c r="U1489" s="149"/>
      <c r="V1489" s="149">
        <v>0.25</v>
      </c>
      <c r="W1489" s="149">
        <f t="shared" si="92"/>
        <v>0.8</v>
      </c>
      <c r="X1489" s="152">
        <f t="shared" si="91"/>
        <v>8.0500000000000002E-2</v>
      </c>
      <c r="Y1489" s="150">
        <f t="shared" si="90"/>
        <v>1.01</v>
      </c>
      <c r="Z1489" s="152"/>
      <c r="AC1489" s="154"/>
      <c r="AD1489" s="154"/>
      <c r="AE1489" s="154"/>
      <c r="AF1489" s="154"/>
    </row>
    <row r="1490" spans="1:36" x14ac:dyDescent="0.25">
      <c r="A1490" s="196">
        <v>229</v>
      </c>
      <c r="C1490" s="196" t="s">
        <v>7657</v>
      </c>
      <c r="D1490" s="196" t="s">
        <v>1912</v>
      </c>
      <c r="H1490" s="196" t="s">
        <v>1878</v>
      </c>
      <c r="I1490" s="184" t="s">
        <v>1914</v>
      </c>
      <c r="K1490" s="196" t="s">
        <v>1881</v>
      </c>
      <c r="L1490" s="184" t="s">
        <v>7658</v>
      </c>
      <c r="M1490" s="196">
        <v>512</v>
      </c>
      <c r="O1490" s="196" t="s">
        <v>5622</v>
      </c>
      <c r="P1490" s="17">
        <v>285</v>
      </c>
      <c r="Q1490" s="175">
        <f t="shared" si="93"/>
        <v>2.2967999999999997</v>
      </c>
      <c r="R1490" s="199">
        <v>1.89</v>
      </c>
      <c r="T1490" s="149">
        <v>0.35</v>
      </c>
      <c r="U1490" s="149"/>
      <c r="V1490" s="149">
        <v>0.25</v>
      </c>
      <c r="W1490" s="149">
        <f t="shared" si="92"/>
        <v>1.89</v>
      </c>
      <c r="X1490" s="152">
        <f t="shared" si="91"/>
        <v>0.15679999999999997</v>
      </c>
      <c r="Y1490" s="150">
        <f t="shared" si="90"/>
        <v>1.01</v>
      </c>
      <c r="Z1490" s="152"/>
      <c r="AC1490" s="154"/>
      <c r="AD1490" s="154"/>
      <c r="AE1490" s="154"/>
      <c r="AF1490" s="154"/>
    </row>
    <row r="1491" spans="1:36" x14ac:dyDescent="0.25">
      <c r="A1491" s="196">
        <v>1326</v>
      </c>
      <c r="B1491" s="196" t="s">
        <v>6167</v>
      </c>
      <c r="C1491" s="196" t="s">
        <v>6168</v>
      </c>
      <c r="D1491" s="196" t="s">
        <v>2644</v>
      </c>
      <c r="F1491" s="196">
        <v>1994</v>
      </c>
      <c r="H1491" s="196" t="s">
        <v>1878</v>
      </c>
      <c r="I1491" s="184" t="s">
        <v>1879</v>
      </c>
      <c r="K1491" s="196" t="s">
        <v>1881</v>
      </c>
      <c r="L1491" s="184" t="s">
        <v>7659</v>
      </c>
      <c r="M1491" s="196">
        <v>136</v>
      </c>
      <c r="O1491" s="196" t="s">
        <v>5623</v>
      </c>
      <c r="P1491" s="17">
        <v>204</v>
      </c>
      <c r="Q1491" s="175">
        <f t="shared" si="93"/>
        <v>0.64900000000000002</v>
      </c>
      <c r="R1491" s="199">
        <v>0.25</v>
      </c>
      <c r="T1491" s="149">
        <v>0.35</v>
      </c>
      <c r="U1491" s="149"/>
      <c r="V1491" s="149">
        <v>0.25</v>
      </c>
      <c r="W1491" s="149">
        <f t="shared" si="92"/>
        <v>0.35</v>
      </c>
      <c r="X1491" s="152">
        <f t="shared" si="91"/>
        <v>4.8999999999999995E-2</v>
      </c>
      <c r="Y1491" s="150">
        <f t="shared" si="90"/>
        <v>1.01</v>
      </c>
      <c r="Z1491" s="152"/>
      <c r="AC1491" s="154"/>
      <c r="AD1491" s="154"/>
      <c r="AE1491" s="154"/>
      <c r="AF1491" s="154"/>
    </row>
    <row r="1492" spans="1:36" x14ac:dyDescent="0.25">
      <c r="A1492" s="196">
        <v>624</v>
      </c>
      <c r="B1492" s="196" t="s">
        <v>7660</v>
      </c>
      <c r="C1492" s="196" t="s">
        <v>7661</v>
      </c>
      <c r="D1492" s="196" t="s">
        <v>7662</v>
      </c>
      <c r="E1492" s="196" t="s">
        <v>2518</v>
      </c>
      <c r="F1492" s="196">
        <v>1994</v>
      </c>
      <c r="H1492" s="196" t="s">
        <v>1878</v>
      </c>
      <c r="I1492" s="184" t="s">
        <v>1914</v>
      </c>
      <c r="K1492" s="196" t="s">
        <v>1881</v>
      </c>
      <c r="L1492" s="184" t="s">
        <v>7663</v>
      </c>
      <c r="M1492" s="196">
        <v>96</v>
      </c>
      <c r="O1492" s="196" t="s">
        <v>5624</v>
      </c>
      <c r="P1492" s="17">
        <v>142</v>
      </c>
      <c r="Q1492" s="175">
        <f t="shared" si="93"/>
        <v>1.0556000000000001</v>
      </c>
      <c r="R1492" s="199">
        <v>0.73</v>
      </c>
      <c r="T1492" s="149">
        <v>0.35</v>
      </c>
      <c r="U1492" s="149"/>
      <c r="V1492" s="149">
        <v>0.25</v>
      </c>
      <c r="W1492" s="149">
        <f t="shared" si="92"/>
        <v>0.73</v>
      </c>
      <c r="X1492" s="152">
        <f t="shared" si="91"/>
        <v>7.5600000000000001E-2</v>
      </c>
      <c r="Y1492" s="150">
        <f t="shared" si="90"/>
        <v>1.01</v>
      </c>
      <c r="Z1492" s="152"/>
      <c r="AC1492" s="154"/>
      <c r="AD1492" s="154"/>
      <c r="AE1492" s="154"/>
      <c r="AF1492" s="154"/>
    </row>
    <row r="1493" spans="1:36" x14ac:dyDescent="0.25">
      <c r="A1493" s="196">
        <v>1396</v>
      </c>
      <c r="B1493" s="196" t="s">
        <v>7664</v>
      </c>
      <c r="C1493" s="196" t="s">
        <v>7665</v>
      </c>
      <c r="D1493" s="196" t="s">
        <v>1912</v>
      </c>
      <c r="E1493" s="196" t="s">
        <v>2922</v>
      </c>
      <c r="F1493" s="196">
        <v>2000</v>
      </c>
      <c r="H1493" s="196" t="s">
        <v>1878</v>
      </c>
      <c r="I1493" s="184" t="s">
        <v>1879</v>
      </c>
      <c r="K1493" s="196" t="s">
        <v>1881</v>
      </c>
      <c r="L1493" s="184" t="s">
        <v>7666</v>
      </c>
      <c r="M1493" s="196">
        <v>544</v>
      </c>
      <c r="O1493" s="196" t="s">
        <v>5625</v>
      </c>
      <c r="P1493" s="17">
        <v>516</v>
      </c>
      <c r="Q1493" s="175">
        <f t="shared" si="93"/>
        <v>0.64900000000000002</v>
      </c>
      <c r="R1493" s="199">
        <v>0.25</v>
      </c>
      <c r="T1493" s="149">
        <v>0.35</v>
      </c>
      <c r="U1493" s="149"/>
      <c r="V1493" s="149">
        <v>0.25</v>
      </c>
      <c r="W1493" s="149">
        <f t="shared" si="92"/>
        <v>0.35</v>
      </c>
      <c r="X1493" s="152">
        <f t="shared" si="91"/>
        <v>4.8999999999999995E-2</v>
      </c>
      <c r="Y1493" s="150">
        <f t="shared" si="90"/>
        <v>1.01</v>
      </c>
      <c r="Z1493" s="152"/>
      <c r="AC1493" s="154"/>
      <c r="AD1493" s="154"/>
      <c r="AE1493" s="154"/>
      <c r="AF1493" s="154"/>
    </row>
    <row r="1494" spans="1:36" s="146" customFormat="1" x14ac:dyDescent="0.25">
      <c r="A1494" s="196">
        <v>2522</v>
      </c>
      <c r="B1494" s="196" t="s">
        <v>4038</v>
      </c>
      <c r="C1494" s="196" t="s">
        <v>4234</v>
      </c>
      <c r="D1494" s="196" t="s">
        <v>2300</v>
      </c>
      <c r="E1494" s="196" t="s">
        <v>1921</v>
      </c>
      <c r="F1494" s="196">
        <v>2005</v>
      </c>
      <c r="G1494" s="196"/>
      <c r="H1494" s="196" t="s">
        <v>1878</v>
      </c>
      <c r="I1494" s="141" t="s">
        <v>1914</v>
      </c>
      <c r="J1494" s="196"/>
      <c r="K1494" s="196" t="s">
        <v>1881</v>
      </c>
      <c r="L1494" s="141" t="s">
        <v>4040</v>
      </c>
      <c r="M1494" s="196">
        <v>560</v>
      </c>
      <c r="N1494" s="196"/>
      <c r="O1494" s="196" t="s">
        <v>5627</v>
      </c>
      <c r="P1494" s="144">
        <v>624</v>
      </c>
      <c r="Q1494" s="145">
        <f t="shared" si="93"/>
        <v>0.64900000000000002</v>
      </c>
      <c r="R1494" s="203">
        <v>0.25</v>
      </c>
      <c r="S1494" s="203"/>
      <c r="T1494" s="151">
        <v>0.35</v>
      </c>
      <c r="U1494" s="151"/>
      <c r="V1494" s="151">
        <v>0.25</v>
      </c>
      <c r="W1494" s="151">
        <f t="shared" si="92"/>
        <v>0.35</v>
      </c>
      <c r="X1494" s="152">
        <f t="shared" si="91"/>
        <v>4.8999999999999995E-2</v>
      </c>
      <c r="Y1494" s="150">
        <f t="shared" si="90"/>
        <v>1.01</v>
      </c>
      <c r="Z1494" s="152"/>
      <c r="AA1494" s="148"/>
      <c r="AB1494" s="148"/>
      <c r="AC1494" s="153"/>
      <c r="AD1494" s="153"/>
      <c r="AE1494" s="153"/>
      <c r="AF1494" s="153"/>
      <c r="AJ1494" s="147"/>
    </row>
    <row r="1495" spans="1:36" x14ac:dyDescent="0.25">
      <c r="A1495" s="196">
        <v>655</v>
      </c>
      <c r="B1495" s="196" t="s">
        <v>7133</v>
      </c>
      <c r="C1495" s="196" t="s">
        <v>7669</v>
      </c>
      <c r="D1495" s="196" t="s">
        <v>2209</v>
      </c>
      <c r="E1495" s="196" t="s">
        <v>1899</v>
      </c>
      <c r="F1495" s="196">
        <v>2004</v>
      </c>
      <c r="H1495" s="196" t="s">
        <v>2734</v>
      </c>
      <c r="I1495" s="184" t="s">
        <v>1929</v>
      </c>
      <c r="K1495" s="196" t="s">
        <v>1881</v>
      </c>
      <c r="L1495" s="184" t="s">
        <v>7670</v>
      </c>
      <c r="M1495" s="196">
        <v>82</v>
      </c>
      <c r="O1495" s="196" t="s">
        <v>5628</v>
      </c>
      <c r="P1495" s="17">
        <v>476</v>
      </c>
      <c r="Q1495" s="175">
        <f t="shared" si="93"/>
        <v>10.963800000000001</v>
      </c>
      <c r="R1495" s="199">
        <v>9.99</v>
      </c>
      <c r="T1495" s="149">
        <v>0.35</v>
      </c>
      <c r="U1495" s="149"/>
      <c r="V1495" s="149">
        <v>0.25</v>
      </c>
      <c r="W1495" s="149">
        <f t="shared" si="92"/>
        <v>9.99</v>
      </c>
      <c r="X1495" s="152">
        <f t="shared" si="91"/>
        <v>0.7238</v>
      </c>
      <c r="Y1495" s="150">
        <f t="shared" si="90"/>
        <v>1.01</v>
      </c>
      <c r="Z1495" s="152"/>
      <c r="AC1495" s="154"/>
      <c r="AD1495" s="154"/>
      <c r="AE1495" s="154"/>
      <c r="AF1495" s="154"/>
    </row>
    <row r="1496" spans="1:36" x14ac:dyDescent="0.25">
      <c r="A1496" s="196">
        <v>758</v>
      </c>
      <c r="B1496" s="196" t="s">
        <v>7671</v>
      </c>
      <c r="C1496" s="196" t="s">
        <v>7672</v>
      </c>
      <c r="D1496" s="196" t="s">
        <v>2050</v>
      </c>
      <c r="F1496" s="196">
        <v>1995</v>
      </c>
      <c r="H1496" s="196" t="s">
        <v>2734</v>
      </c>
      <c r="I1496" s="184" t="s">
        <v>1879</v>
      </c>
      <c r="K1496" s="196" t="s">
        <v>1881</v>
      </c>
      <c r="L1496" s="184" t="s">
        <v>7673</v>
      </c>
      <c r="M1496" s="196">
        <v>302</v>
      </c>
      <c r="O1496" s="196" t="s">
        <v>5629</v>
      </c>
      <c r="P1496" s="17">
        <v>621</v>
      </c>
      <c r="Q1496" s="175">
        <f t="shared" si="93"/>
        <v>0.64900000000000002</v>
      </c>
      <c r="R1496" s="199">
        <v>0.25</v>
      </c>
      <c r="T1496" s="149">
        <v>0.35</v>
      </c>
      <c r="U1496" s="149"/>
      <c r="V1496" s="149">
        <v>0.25</v>
      </c>
      <c r="W1496" s="149">
        <f t="shared" si="92"/>
        <v>0.35</v>
      </c>
      <c r="X1496" s="152">
        <f t="shared" si="91"/>
        <v>4.8999999999999995E-2</v>
      </c>
      <c r="Y1496" s="150">
        <f t="shared" si="90"/>
        <v>1.01</v>
      </c>
      <c r="Z1496" s="152"/>
      <c r="AC1496" s="154"/>
      <c r="AD1496" s="154"/>
      <c r="AE1496" s="154"/>
      <c r="AF1496" s="154"/>
    </row>
    <row r="1497" spans="1:36" x14ac:dyDescent="0.25">
      <c r="A1497" s="196">
        <v>1875</v>
      </c>
      <c r="C1497" s="196" t="s">
        <v>7674</v>
      </c>
      <c r="D1497" s="196" t="s">
        <v>2676</v>
      </c>
      <c r="E1497" s="196" t="s">
        <v>1913</v>
      </c>
      <c r="F1497" s="196">
        <v>2002</v>
      </c>
      <c r="H1497" s="196" t="s">
        <v>2734</v>
      </c>
      <c r="I1497" s="184" t="s">
        <v>1929</v>
      </c>
      <c r="K1497" s="196" t="s">
        <v>1881</v>
      </c>
      <c r="L1497" s="184" t="s">
        <v>7675</v>
      </c>
      <c r="O1497" s="196" t="s">
        <v>5630</v>
      </c>
      <c r="P1497" s="17">
        <v>462</v>
      </c>
      <c r="Q1497" s="175">
        <f t="shared" si="93"/>
        <v>1.3445</v>
      </c>
      <c r="R1497" s="199">
        <v>1</v>
      </c>
      <c r="T1497" s="149">
        <v>0.35</v>
      </c>
      <c r="U1497" s="149"/>
      <c r="V1497" s="149">
        <v>0.25</v>
      </c>
      <c r="W1497" s="149">
        <f t="shared" si="92"/>
        <v>1</v>
      </c>
      <c r="X1497" s="152">
        <f t="shared" si="91"/>
        <v>9.4500000000000015E-2</v>
      </c>
      <c r="Y1497" s="150">
        <f t="shared" si="90"/>
        <v>1.01</v>
      </c>
      <c r="Z1497" s="152"/>
      <c r="AC1497" s="154"/>
      <c r="AD1497" s="154"/>
      <c r="AE1497" s="154"/>
      <c r="AF1497" s="154"/>
    </row>
    <row r="1498" spans="1:36" x14ac:dyDescent="0.25">
      <c r="A1498" s="196">
        <v>765</v>
      </c>
      <c r="B1498" s="196" t="s">
        <v>7676</v>
      </c>
      <c r="C1498" s="196" t="s">
        <v>7677</v>
      </c>
      <c r="D1498" s="196" t="s">
        <v>7678</v>
      </c>
      <c r="F1498" s="196">
        <v>2001</v>
      </c>
      <c r="H1498" s="196" t="s">
        <v>1878</v>
      </c>
      <c r="I1498" s="184" t="s">
        <v>1879</v>
      </c>
      <c r="K1498" s="196" t="s">
        <v>1881</v>
      </c>
      <c r="L1498" s="184" t="s">
        <v>7679</v>
      </c>
      <c r="M1498" s="196">
        <v>136</v>
      </c>
      <c r="O1498" s="196" t="s">
        <v>5631</v>
      </c>
      <c r="P1498" s="17">
        <v>182</v>
      </c>
      <c r="Q1498" s="175">
        <f t="shared" si="93"/>
        <v>10.963800000000001</v>
      </c>
      <c r="R1498" s="199">
        <v>9.99</v>
      </c>
      <c r="T1498" s="149">
        <v>0.35</v>
      </c>
      <c r="U1498" s="149"/>
      <c r="V1498" s="149">
        <v>0.25</v>
      </c>
      <c r="W1498" s="149">
        <f t="shared" si="92"/>
        <v>9.99</v>
      </c>
      <c r="X1498" s="152">
        <f t="shared" si="91"/>
        <v>0.7238</v>
      </c>
      <c r="Y1498" s="150">
        <f t="shared" si="90"/>
        <v>1.01</v>
      </c>
      <c r="Z1498" s="152"/>
      <c r="AC1498" s="154"/>
      <c r="AD1498" s="154"/>
      <c r="AE1498" s="154"/>
      <c r="AF1498" s="154"/>
    </row>
    <row r="1499" spans="1:36" x14ac:dyDescent="0.25">
      <c r="A1499" s="196">
        <v>852</v>
      </c>
      <c r="B1499" s="196" t="s">
        <v>7680</v>
      </c>
      <c r="C1499" s="196" t="s">
        <v>7681</v>
      </c>
      <c r="D1499" s="196" t="s">
        <v>1988</v>
      </c>
      <c r="E1499" s="196" t="s">
        <v>2175</v>
      </c>
      <c r="F1499" s="196">
        <v>2011</v>
      </c>
      <c r="H1499" s="196" t="s">
        <v>1878</v>
      </c>
      <c r="I1499" s="184" t="s">
        <v>1879</v>
      </c>
      <c r="K1499" s="196" t="s">
        <v>1881</v>
      </c>
      <c r="L1499" s="184" t="s">
        <v>7682</v>
      </c>
      <c r="M1499" s="196">
        <v>272</v>
      </c>
      <c r="O1499" s="196" t="s">
        <v>5632</v>
      </c>
      <c r="P1499" s="17">
        <v>290</v>
      </c>
      <c r="Q1499" s="175">
        <f t="shared" si="93"/>
        <v>0.64900000000000002</v>
      </c>
      <c r="R1499" s="199">
        <v>0.25</v>
      </c>
      <c r="T1499" s="149">
        <v>0.35</v>
      </c>
      <c r="U1499" s="149"/>
      <c r="V1499" s="149">
        <v>0.25</v>
      </c>
      <c r="W1499" s="149">
        <f t="shared" si="92"/>
        <v>0.35</v>
      </c>
      <c r="X1499" s="152">
        <f t="shared" si="91"/>
        <v>4.8999999999999995E-2</v>
      </c>
      <c r="Y1499" s="150">
        <f t="shared" si="90"/>
        <v>1.01</v>
      </c>
      <c r="Z1499" s="152"/>
      <c r="AC1499" s="154"/>
      <c r="AD1499" s="154"/>
      <c r="AE1499" s="154"/>
      <c r="AF1499" s="154"/>
    </row>
    <row r="1500" spans="1:36" x14ac:dyDescent="0.25">
      <c r="Y1500" s="150">
        <f t="shared" si="90"/>
        <v>1.01</v>
      </c>
      <c r="AC1500" s="154"/>
      <c r="AD1500" s="154"/>
      <c r="AE1500" s="154"/>
      <c r="AF1500" s="154"/>
    </row>
    <row r="1501" spans="1:36" x14ac:dyDescent="0.25">
      <c r="A1501" s="196">
        <v>690</v>
      </c>
      <c r="B1501" s="196" t="s">
        <v>7686</v>
      </c>
      <c r="C1501" s="196" t="s">
        <v>7687</v>
      </c>
      <c r="D1501" s="196" t="s">
        <v>7688</v>
      </c>
      <c r="F1501" s="196">
        <v>1990</v>
      </c>
      <c r="H1501" s="196" t="s">
        <v>1878</v>
      </c>
      <c r="I1501" s="184" t="s">
        <v>1879</v>
      </c>
      <c r="K1501" s="196" t="s">
        <v>1881</v>
      </c>
      <c r="L1501" s="184" t="s">
        <v>7689</v>
      </c>
      <c r="M1501" s="196">
        <v>176</v>
      </c>
      <c r="O1501" s="196" t="s">
        <v>5634</v>
      </c>
      <c r="P1501" s="17">
        <v>202</v>
      </c>
      <c r="Q1501" s="175">
        <f t="shared" si="93"/>
        <v>0.79879999999999995</v>
      </c>
      <c r="R1501" s="199">
        <v>0.49</v>
      </c>
      <c r="T1501" s="149">
        <v>0.35</v>
      </c>
      <c r="U1501" s="149"/>
      <c r="V1501" s="149">
        <v>0.25</v>
      </c>
      <c r="W1501" s="149">
        <f t="shared" si="92"/>
        <v>0.49</v>
      </c>
      <c r="X1501" s="152">
        <f t="shared" si="91"/>
        <v>5.8799999999999998E-2</v>
      </c>
      <c r="Y1501" s="150">
        <f t="shared" si="90"/>
        <v>1.01</v>
      </c>
      <c r="Z1501" s="152"/>
      <c r="AC1501" s="154"/>
      <c r="AD1501" s="154"/>
      <c r="AE1501" s="154"/>
      <c r="AF1501" s="154"/>
    </row>
    <row r="1502" spans="1:36" x14ac:dyDescent="0.25">
      <c r="A1502" s="196">
        <v>765</v>
      </c>
      <c r="B1502" s="196" t="s">
        <v>7690</v>
      </c>
      <c r="C1502" s="196" t="s">
        <v>7691</v>
      </c>
      <c r="D1502" s="196" t="s">
        <v>1912</v>
      </c>
      <c r="F1502" s="196">
        <v>2000</v>
      </c>
      <c r="H1502" s="196" t="s">
        <v>1878</v>
      </c>
      <c r="I1502" s="184" t="s">
        <v>1914</v>
      </c>
      <c r="K1502" s="196" t="s">
        <v>1881</v>
      </c>
      <c r="L1502" s="184" t="s">
        <v>7692</v>
      </c>
      <c r="M1502" s="196">
        <v>448</v>
      </c>
      <c r="O1502" s="196" t="s">
        <v>5635</v>
      </c>
      <c r="P1502" s="17">
        <v>431</v>
      </c>
      <c r="Q1502" s="175">
        <f t="shared" si="93"/>
        <v>1.2374999999999998</v>
      </c>
      <c r="R1502" s="199">
        <v>0.9</v>
      </c>
      <c r="T1502" s="149">
        <v>0.35</v>
      </c>
      <c r="U1502" s="149"/>
      <c r="V1502" s="149">
        <v>0.25</v>
      </c>
      <c r="W1502" s="149">
        <f t="shared" si="92"/>
        <v>0.9</v>
      </c>
      <c r="X1502" s="152">
        <f t="shared" si="91"/>
        <v>8.7500000000000008E-2</v>
      </c>
      <c r="Y1502" s="150">
        <f t="shared" si="90"/>
        <v>1.01</v>
      </c>
      <c r="Z1502" s="152"/>
      <c r="AC1502" s="154"/>
      <c r="AD1502" s="154"/>
      <c r="AE1502" s="154"/>
      <c r="AF1502" s="154"/>
    </row>
    <row r="1503" spans="1:36" x14ac:dyDescent="0.25">
      <c r="A1503" s="196">
        <v>2522</v>
      </c>
      <c r="B1503" s="196" t="s">
        <v>7693</v>
      </c>
      <c r="C1503" s="196" t="s">
        <v>7694</v>
      </c>
      <c r="D1503" s="196" t="s">
        <v>2933</v>
      </c>
      <c r="F1503" s="196">
        <v>2012</v>
      </c>
      <c r="H1503" s="196" t="s">
        <v>1878</v>
      </c>
      <c r="I1503" s="184" t="s">
        <v>1879</v>
      </c>
      <c r="K1503" s="196" t="s">
        <v>1881</v>
      </c>
      <c r="L1503" s="184" t="s">
        <v>7695</v>
      </c>
      <c r="M1503" s="196">
        <v>320</v>
      </c>
      <c r="O1503" s="196" t="s">
        <v>5636</v>
      </c>
      <c r="P1503" s="17">
        <v>283</v>
      </c>
      <c r="Q1503" s="175">
        <f t="shared" si="93"/>
        <v>2.4038000000000004</v>
      </c>
      <c r="R1503" s="199">
        <v>1.99</v>
      </c>
      <c r="T1503" s="149">
        <v>0.35</v>
      </c>
      <c r="U1503" s="149"/>
      <c r="V1503" s="149">
        <v>0.25</v>
      </c>
      <c r="W1503" s="149">
        <f t="shared" si="92"/>
        <v>1.99</v>
      </c>
      <c r="X1503" s="152">
        <f t="shared" si="91"/>
        <v>0.16379999999999997</v>
      </c>
      <c r="Y1503" s="150">
        <f t="shared" si="90"/>
        <v>1.01</v>
      </c>
      <c r="Z1503" s="152"/>
      <c r="AC1503" s="154"/>
      <c r="AD1503" s="154"/>
      <c r="AE1503" s="154"/>
      <c r="AF1503" s="154"/>
    </row>
    <row r="1504" spans="1:36" x14ac:dyDescent="0.25">
      <c r="A1504" s="196">
        <v>2522</v>
      </c>
      <c r="B1504" s="196" t="s">
        <v>7696</v>
      </c>
      <c r="C1504" s="196" t="s">
        <v>7697</v>
      </c>
      <c r="D1504" s="196" t="s">
        <v>7698</v>
      </c>
      <c r="F1504" s="196">
        <v>2009</v>
      </c>
      <c r="H1504" s="196" t="s">
        <v>1878</v>
      </c>
      <c r="I1504" s="184" t="s">
        <v>1879</v>
      </c>
      <c r="K1504" s="196" t="s">
        <v>1881</v>
      </c>
      <c r="M1504" s="196">
        <v>304</v>
      </c>
      <c r="O1504" s="196" t="s">
        <v>5637</v>
      </c>
      <c r="P1504" s="17">
        <v>273</v>
      </c>
      <c r="Q1504" s="175">
        <f t="shared" si="93"/>
        <v>0.64900000000000002</v>
      </c>
      <c r="R1504" s="199">
        <v>0.25</v>
      </c>
      <c r="T1504" s="149">
        <v>0.35</v>
      </c>
      <c r="U1504" s="149"/>
      <c r="V1504" s="149">
        <v>0.25</v>
      </c>
      <c r="W1504" s="149">
        <f t="shared" si="92"/>
        <v>0.35</v>
      </c>
      <c r="X1504" s="152">
        <f t="shared" si="91"/>
        <v>4.8999999999999995E-2</v>
      </c>
      <c r="Y1504" s="150">
        <f t="shared" si="90"/>
        <v>1.01</v>
      </c>
      <c r="Z1504" s="152"/>
      <c r="AC1504" s="154"/>
      <c r="AD1504" s="154"/>
      <c r="AE1504" s="154"/>
      <c r="AF1504" s="154"/>
    </row>
    <row r="1505" spans="1:32" x14ac:dyDescent="0.25">
      <c r="A1505" s="196">
        <v>852</v>
      </c>
      <c r="B1505" s="196" t="s">
        <v>7699</v>
      </c>
      <c r="C1505" s="196" t="s">
        <v>7700</v>
      </c>
      <c r="D1505" s="196" t="s">
        <v>1920</v>
      </c>
      <c r="F1505" s="196">
        <v>2011</v>
      </c>
      <c r="H1505" s="196" t="s">
        <v>1878</v>
      </c>
      <c r="I1505" s="184" t="s">
        <v>1879</v>
      </c>
      <c r="K1505" s="196" t="s">
        <v>1881</v>
      </c>
      <c r="L1505" s="184" t="s">
        <v>7701</v>
      </c>
      <c r="M1505" s="196">
        <v>208</v>
      </c>
      <c r="O1505" s="196" t="s">
        <v>5638</v>
      </c>
      <c r="P1505" s="17">
        <v>277</v>
      </c>
      <c r="Q1505" s="175">
        <f t="shared" si="93"/>
        <v>0.64900000000000002</v>
      </c>
      <c r="R1505" s="199">
        <v>0.25</v>
      </c>
      <c r="T1505" s="149">
        <v>0.35</v>
      </c>
      <c r="U1505" s="149"/>
      <c r="V1505" s="149">
        <v>0.25</v>
      </c>
      <c r="W1505" s="149">
        <f t="shared" si="92"/>
        <v>0.35</v>
      </c>
      <c r="X1505" s="152">
        <f t="shared" si="91"/>
        <v>4.8999999999999995E-2</v>
      </c>
      <c r="Y1505" s="150">
        <f t="shared" si="90"/>
        <v>1.01</v>
      </c>
      <c r="Z1505" s="152"/>
      <c r="AC1505" s="154"/>
      <c r="AD1505" s="154"/>
      <c r="AE1505" s="154"/>
      <c r="AF1505" s="154"/>
    </row>
    <row r="1506" spans="1:32" x14ac:dyDescent="0.25">
      <c r="A1506" s="196">
        <v>2576</v>
      </c>
      <c r="B1506" s="196" t="s">
        <v>7702</v>
      </c>
      <c r="C1506" s="196" t="s">
        <v>7703</v>
      </c>
      <c r="D1506" s="196" t="s">
        <v>1912</v>
      </c>
      <c r="E1506" s="196" t="s">
        <v>1899</v>
      </c>
      <c r="F1506" s="196">
        <v>2006</v>
      </c>
      <c r="H1506" s="196" t="s">
        <v>1878</v>
      </c>
      <c r="I1506" s="184" t="s">
        <v>1879</v>
      </c>
      <c r="J1506" s="52" t="s">
        <v>3854</v>
      </c>
      <c r="K1506" s="196" t="s">
        <v>1881</v>
      </c>
      <c r="L1506" s="184" t="s">
        <v>7704</v>
      </c>
      <c r="M1506" s="196">
        <v>608</v>
      </c>
      <c r="O1506" s="196" t="s">
        <v>5639</v>
      </c>
      <c r="P1506" s="17">
        <v>469</v>
      </c>
      <c r="Q1506" s="175">
        <f t="shared" si="93"/>
        <v>5.6138000000000003</v>
      </c>
      <c r="R1506" s="199">
        <v>4.99</v>
      </c>
      <c r="T1506" s="149">
        <v>0.35</v>
      </c>
      <c r="U1506" s="149"/>
      <c r="V1506" s="149">
        <v>0.25</v>
      </c>
      <c r="W1506" s="149">
        <f t="shared" si="92"/>
        <v>4.99</v>
      </c>
      <c r="X1506" s="152">
        <f t="shared" si="91"/>
        <v>0.37379999999999997</v>
      </c>
      <c r="Y1506" s="150">
        <f t="shared" si="90"/>
        <v>1.01</v>
      </c>
      <c r="Z1506" s="152"/>
      <c r="AC1506" s="154"/>
      <c r="AD1506" s="154"/>
      <c r="AE1506" s="154"/>
      <c r="AF1506" s="154"/>
    </row>
    <row r="1507" spans="1:32" x14ac:dyDescent="0.25">
      <c r="A1507" s="196">
        <v>2789</v>
      </c>
      <c r="B1507" s="196" t="s">
        <v>7708</v>
      </c>
      <c r="C1507" s="196" t="s">
        <v>7709</v>
      </c>
      <c r="D1507" s="196" t="s">
        <v>7710</v>
      </c>
      <c r="H1507" s="196" t="s">
        <v>2734</v>
      </c>
      <c r="I1507" s="184" t="s">
        <v>1879</v>
      </c>
      <c r="K1507" s="196" t="s">
        <v>1881</v>
      </c>
      <c r="L1507" s="184" t="s">
        <v>7711</v>
      </c>
      <c r="M1507" s="196">
        <v>242</v>
      </c>
      <c r="O1507" s="196" t="s">
        <v>5641</v>
      </c>
      <c r="P1507" s="17">
        <v>270</v>
      </c>
      <c r="Q1507" s="175">
        <f t="shared" si="93"/>
        <v>2.8104</v>
      </c>
      <c r="R1507" s="199">
        <v>2.37</v>
      </c>
      <c r="T1507" s="149">
        <v>0.35</v>
      </c>
      <c r="U1507" s="149"/>
      <c r="V1507" s="149">
        <v>0.25</v>
      </c>
      <c r="W1507" s="149">
        <f t="shared" si="92"/>
        <v>2.37</v>
      </c>
      <c r="X1507" s="152">
        <f t="shared" si="91"/>
        <v>0.19040000000000001</v>
      </c>
      <c r="Y1507" s="150">
        <f t="shared" si="90"/>
        <v>1.01</v>
      </c>
      <c r="Z1507" s="152"/>
      <c r="AC1507" s="154"/>
      <c r="AD1507" s="154"/>
      <c r="AE1507" s="154"/>
      <c r="AF1507" s="154"/>
    </row>
    <row r="1508" spans="1:32" x14ac:dyDescent="0.25">
      <c r="A1508" s="196">
        <v>852</v>
      </c>
      <c r="B1508" s="196" t="s">
        <v>7712</v>
      </c>
      <c r="C1508" s="196" t="s">
        <v>7713</v>
      </c>
      <c r="D1508" s="196" t="s">
        <v>7714</v>
      </c>
      <c r="E1508" s="196" t="s">
        <v>1913</v>
      </c>
      <c r="F1508" s="196">
        <v>2007</v>
      </c>
      <c r="H1508" s="196" t="s">
        <v>1878</v>
      </c>
      <c r="I1508" s="184" t="s">
        <v>1879</v>
      </c>
      <c r="K1508" s="196" t="s">
        <v>1881</v>
      </c>
      <c r="L1508" s="184" t="s">
        <v>7715</v>
      </c>
      <c r="M1508" s="196">
        <v>204</v>
      </c>
      <c r="O1508" s="196" t="s">
        <v>5642</v>
      </c>
      <c r="P1508" s="17">
        <v>243</v>
      </c>
      <c r="Q1508" s="175">
        <f t="shared" si="93"/>
        <v>3.4738000000000002</v>
      </c>
      <c r="R1508" s="199">
        <v>2.99</v>
      </c>
      <c r="T1508" s="149">
        <v>0.35</v>
      </c>
      <c r="U1508" s="149"/>
      <c r="V1508" s="149">
        <v>0.25</v>
      </c>
      <c r="W1508" s="149">
        <f t="shared" si="92"/>
        <v>2.99</v>
      </c>
      <c r="X1508" s="152">
        <f t="shared" si="91"/>
        <v>0.23380000000000004</v>
      </c>
      <c r="Y1508" s="150">
        <f t="shared" si="90"/>
        <v>1.01</v>
      </c>
      <c r="Z1508" s="152"/>
      <c r="AC1508" s="154"/>
      <c r="AD1508" s="154"/>
      <c r="AE1508" s="154"/>
      <c r="AF1508" s="154"/>
    </row>
    <row r="1509" spans="1:32" x14ac:dyDescent="0.25">
      <c r="A1509" s="196">
        <v>1395</v>
      </c>
      <c r="B1509" s="196" t="s">
        <v>7716</v>
      </c>
      <c r="C1509" s="196" t="s">
        <v>7717</v>
      </c>
      <c r="D1509" s="196" t="s">
        <v>7718</v>
      </c>
      <c r="E1509" s="196" t="s">
        <v>1913</v>
      </c>
      <c r="F1509" s="196">
        <v>1999</v>
      </c>
      <c r="H1509" s="196" t="s">
        <v>2734</v>
      </c>
      <c r="I1509" s="184" t="s">
        <v>1929</v>
      </c>
      <c r="K1509" s="196" t="s">
        <v>1881</v>
      </c>
      <c r="M1509" s="196">
        <v>272</v>
      </c>
      <c r="O1509" s="196" t="s">
        <v>5643</v>
      </c>
      <c r="P1509" s="17">
        <v>435</v>
      </c>
      <c r="Q1509" s="175">
        <f t="shared" si="93"/>
        <v>1.0127999999999999</v>
      </c>
      <c r="R1509" s="199">
        <v>0.69</v>
      </c>
      <c r="T1509" s="149">
        <v>0.35</v>
      </c>
      <c r="U1509" s="149"/>
      <c r="V1509" s="149">
        <v>0.25</v>
      </c>
      <c r="W1509" s="149">
        <f t="shared" si="92"/>
        <v>0.69</v>
      </c>
      <c r="X1509" s="152">
        <f t="shared" si="91"/>
        <v>7.2800000000000004E-2</v>
      </c>
      <c r="Y1509" s="150">
        <f t="shared" si="90"/>
        <v>1.01</v>
      </c>
      <c r="Z1509" s="152"/>
      <c r="AC1509" s="154"/>
      <c r="AD1509" s="154"/>
      <c r="AE1509" s="154"/>
      <c r="AF1509" s="154"/>
    </row>
    <row r="1510" spans="1:32" x14ac:dyDescent="0.25">
      <c r="A1510" s="196">
        <v>1320</v>
      </c>
      <c r="B1510" s="196" t="s">
        <v>7133</v>
      </c>
      <c r="C1510" s="196" t="s">
        <v>7719</v>
      </c>
      <c r="D1510" s="196" t="s">
        <v>2209</v>
      </c>
      <c r="E1510" s="196" t="s">
        <v>1877</v>
      </c>
      <c r="F1510" s="196">
        <v>2003</v>
      </c>
      <c r="H1510" s="196" t="s">
        <v>2734</v>
      </c>
      <c r="I1510" s="184" t="s">
        <v>1879</v>
      </c>
      <c r="K1510" s="196" t="s">
        <v>1881</v>
      </c>
      <c r="L1510" s="184" t="s">
        <v>7720</v>
      </c>
      <c r="O1510" s="196" t="s">
        <v>5644</v>
      </c>
      <c r="P1510" s="17">
        <v>399</v>
      </c>
      <c r="Q1510" s="175">
        <f t="shared" si="93"/>
        <v>1.7617999999999998</v>
      </c>
      <c r="R1510" s="199">
        <v>1.39</v>
      </c>
      <c r="T1510" s="149">
        <v>0.35</v>
      </c>
      <c r="U1510" s="149"/>
      <c r="V1510" s="149">
        <v>0.25</v>
      </c>
      <c r="W1510" s="149">
        <f t="shared" si="92"/>
        <v>1.39</v>
      </c>
      <c r="X1510" s="152">
        <f t="shared" si="91"/>
        <v>0.12179999999999999</v>
      </c>
      <c r="Y1510" s="150">
        <f t="shared" si="90"/>
        <v>1.01</v>
      </c>
      <c r="Z1510" s="152"/>
      <c r="AC1510" s="154"/>
      <c r="AD1510" s="154"/>
      <c r="AE1510" s="154"/>
      <c r="AF1510" s="154"/>
    </row>
    <row r="1511" spans="1:32" x14ac:dyDescent="0.25">
      <c r="A1511" s="196">
        <v>852</v>
      </c>
      <c r="B1511" s="196" t="s">
        <v>7721</v>
      </c>
      <c r="C1511" s="196" t="s">
        <v>7722</v>
      </c>
      <c r="D1511" s="196" t="s">
        <v>2309</v>
      </c>
      <c r="F1511" s="196">
        <v>2006</v>
      </c>
      <c r="H1511" s="196" t="s">
        <v>2734</v>
      </c>
      <c r="I1511" s="184" t="s">
        <v>1879</v>
      </c>
      <c r="K1511" s="196" t="s">
        <v>1881</v>
      </c>
      <c r="L1511" s="184" t="s">
        <v>7723</v>
      </c>
      <c r="M1511" s="196">
        <v>290</v>
      </c>
      <c r="O1511" s="196" t="s">
        <v>5645</v>
      </c>
      <c r="P1511" s="17">
        <v>486</v>
      </c>
      <c r="Q1511" s="175">
        <f t="shared" si="93"/>
        <v>3.3668</v>
      </c>
      <c r="R1511" s="199">
        <v>2.89</v>
      </c>
      <c r="T1511" s="149">
        <v>0.35</v>
      </c>
      <c r="U1511" s="149"/>
      <c r="V1511" s="149">
        <v>0.25</v>
      </c>
      <c r="W1511" s="149">
        <f t="shared" si="92"/>
        <v>2.89</v>
      </c>
      <c r="X1511" s="152">
        <f t="shared" si="91"/>
        <v>0.22680000000000003</v>
      </c>
      <c r="Y1511" s="150">
        <f t="shared" si="90"/>
        <v>1.01</v>
      </c>
      <c r="Z1511" s="152"/>
      <c r="AC1511" s="154"/>
      <c r="AD1511" s="154"/>
      <c r="AE1511" s="154"/>
      <c r="AF1511" s="154"/>
    </row>
    <row r="1512" spans="1:32" x14ac:dyDescent="0.25">
      <c r="A1512" s="196">
        <v>2706</v>
      </c>
      <c r="C1512" s="196" t="s">
        <v>7724</v>
      </c>
      <c r="D1512" s="196" t="s">
        <v>2077</v>
      </c>
      <c r="F1512" s="196">
        <v>2007</v>
      </c>
      <c r="H1512" s="196" t="s">
        <v>2734</v>
      </c>
      <c r="I1512" s="184" t="s">
        <v>1879</v>
      </c>
      <c r="K1512" s="196" t="s">
        <v>1881</v>
      </c>
      <c r="L1512" s="184" t="s">
        <v>7725</v>
      </c>
      <c r="M1512" s="196">
        <v>144</v>
      </c>
      <c r="O1512" s="196" t="s">
        <v>5646</v>
      </c>
      <c r="P1512" s="17">
        <v>406</v>
      </c>
      <c r="Q1512" s="175">
        <f t="shared" si="93"/>
        <v>0.64900000000000002</v>
      </c>
      <c r="R1512" s="199">
        <v>0.3</v>
      </c>
      <c r="T1512" s="149">
        <v>0.35</v>
      </c>
      <c r="U1512" s="149"/>
      <c r="V1512" s="149">
        <v>0.25</v>
      </c>
      <c r="W1512" s="149">
        <f t="shared" si="92"/>
        <v>0.35</v>
      </c>
      <c r="X1512" s="152">
        <f t="shared" si="91"/>
        <v>4.8999999999999995E-2</v>
      </c>
      <c r="Y1512" s="150">
        <f t="shared" si="90"/>
        <v>1.01</v>
      </c>
      <c r="Z1512" s="152"/>
      <c r="AC1512" s="154"/>
      <c r="AD1512" s="154"/>
      <c r="AE1512" s="154"/>
      <c r="AF1512" s="154"/>
    </row>
    <row r="1513" spans="1:32" x14ac:dyDescent="0.25">
      <c r="A1513" s="196">
        <v>704</v>
      </c>
      <c r="B1513" s="196" t="s">
        <v>3715</v>
      </c>
      <c r="C1513" s="196" t="s">
        <v>7726</v>
      </c>
      <c r="D1513" s="196" t="s">
        <v>2309</v>
      </c>
      <c r="E1513" s="196" t="s">
        <v>4259</v>
      </c>
      <c r="F1513" s="196">
        <v>2002</v>
      </c>
      <c r="H1513" s="196" t="s">
        <v>1878</v>
      </c>
      <c r="I1513" s="184" t="s">
        <v>1879</v>
      </c>
      <c r="K1513" s="196" t="s">
        <v>1881</v>
      </c>
      <c r="L1513" s="184" t="s">
        <v>7727</v>
      </c>
      <c r="M1513" s="196">
        <v>400</v>
      </c>
      <c r="O1513" s="196" t="s">
        <v>5647</v>
      </c>
      <c r="P1513" s="17">
        <v>253</v>
      </c>
      <c r="Q1513" s="175">
        <f t="shared" si="93"/>
        <v>0.64900000000000002</v>
      </c>
      <c r="R1513" s="199">
        <v>0.25</v>
      </c>
      <c r="T1513" s="149">
        <v>0.35</v>
      </c>
      <c r="U1513" s="149"/>
      <c r="V1513" s="149">
        <v>0.25</v>
      </c>
      <c r="W1513" s="149">
        <f t="shared" si="92"/>
        <v>0.35</v>
      </c>
      <c r="X1513" s="152">
        <f t="shared" si="91"/>
        <v>4.8999999999999995E-2</v>
      </c>
      <c r="Y1513" s="150">
        <f t="shared" si="90"/>
        <v>1.01</v>
      </c>
      <c r="Z1513" s="152"/>
      <c r="AC1513" s="154"/>
      <c r="AD1513" s="154"/>
      <c r="AE1513" s="154"/>
      <c r="AF1513" s="154"/>
    </row>
    <row r="1514" spans="1:32" x14ac:dyDescent="0.25">
      <c r="A1514" s="196">
        <v>1818</v>
      </c>
      <c r="B1514" s="196" t="s">
        <v>7728</v>
      </c>
      <c r="C1514" s="196" t="s">
        <v>7729</v>
      </c>
      <c r="D1514" s="196" t="s">
        <v>6456</v>
      </c>
      <c r="F1514" s="196">
        <v>2011</v>
      </c>
      <c r="H1514" s="196" t="s">
        <v>1878</v>
      </c>
      <c r="I1514" s="184" t="s">
        <v>1879</v>
      </c>
      <c r="K1514" s="196" t="s">
        <v>1881</v>
      </c>
      <c r="L1514" s="184" t="s">
        <v>7730</v>
      </c>
      <c r="M1514" s="196">
        <v>208</v>
      </c>
      <c r="O1514" s="196" t="s">
        <v>5648</v>
      </c>
      <c r="P1514" s="17">
        <v>242</v>
      </c>
      <c r="Q1514" s="175">
        <f t="shared" si="93"/>
        <v>0.79879999999999995</v>
      </c>
      <c r="R1514" s="199">
        <v>0.49</v>
      </c>
      <c r="T1514" s="149">
        <v>0.35</v>
      </c>
      <c r="U1514" s="149"/>
      <c r="V1514" s="149">
        <v>0.25</v>
      </c>
      <c r="W1514" s="149">
        <f t="shared" si="92"/>
        <v>0.49</v>
      </c>
      <c r="X1514" s="152">
        <f t="shared" si="91"/>
        <v>5.8799999999999998E-2</v>
      </c>
      <c r="Y1514" s="150">
        <f t="shared" si="90"/>
        <v>1.01</v>
      </c>
      <c r="Z1514" s="152"/>
      <c r="AC1514" s="154"/>
      <c r="AD1514" s="154"/>
      <c r="AE1514" s="154"/>
      <c r="AF1514" s="154"/>
    </row>
    <row r="1515" spans="1:32" x14ac:dyDescent="0.25">
      <c r="A1515" s="196">
        <v>665</v>
      </c>
      <c r="B1515" s="196" t="s">
        <v>7732</v>
      </c>
      <c r="C1515" s="196" t="s">
        <v>7731</v>
      </c>
      <c r="D1515" s="196" t="s">
        <v>7733</v>
      </c>
      <c r="E1515" s="196" t="s">
        <v>2937</v>
      </c>
      <c r="F1515" s="196">
        <v>2011</v>
      </c>
      <c r="H1515" s="196" t="s">
        <v>1878</v>
      </c>
      <c r="I1515" s="184" t="s">
        <v>1879</v>
      </c>
      <c r="K1515" s="196" t="s">
        <v>1881</v>
      </c>
      <c r="L1515" s="184" t="s">
        <v>7734</v>
      </c>
      <c r="M1515" s="196">
        <v>244</v>
      </c>
      <c r="O1515" s="196" t="s">
        <v>5649</v>
      </c>
      <c r="P1515" s="17">
        <v>235</v>
      </c>
      <c r="Q1515" s="175">
        <f t="shared" si="93"/>
        <v>0.8095</v>
      </c>
      <c r="R1515" s="199">
        <v>0.5</v>
      </c>
      <c r="T1515" s="149">
        <v>0.35</v>
      </c>
      <c r="U1515" s="149"/>
      <c r="V1515" s="149">
        <v>0.25</v>
      </c>
      <c r="W1515" s="149">
        <f t="shared" si="92"/>
        <v>0.5</v>
      </c>
      <c r="X1515" s="152">
        <f t="shared" si="91"/>
        <v>5.9500000000000004E-2</v>
      </c>
      <c r="Y1515" s="150">
        <f t="shared" si="90"/>
        <v>1.01</v>
      </c>
      <c r="Z1515" s="152"/>
      <c r="AC1515" s="154"/>
      <c r="AD1515" s="154"/>
      <c r="AE1515" s="154"/>
      <c r="AF1515" s="154"/>
    </row>
    <row r="1516" spans="1:32" x14ac:dyDescent="0.25">
      <c r="Y1516" s="150">
        <f t="shared" ref="Y1516:Y1579" si="94">(IF(Z1516&gt;AA1516,Z1516,AA1516)*0.08)+1.01</f>
        <v>1.01</v>
      </c>
      <c r="AC1516" s="154"/>
      <c r="AD1516" s="154"/>
      <c r="AE1516" s="154"/>
      <c r="AF1516" s="154"/>
    </row>
    <row r="1517" spans="1:32" x14ac:dyDescent="0.25">
      <c r="A1517" s="196">
        <v>2522</v>
      </c>
      <c r="B1517" s="196" t="s">
        <v>2889</v>
      </c>
      <c r="C1517" s="196" t="s">
        <v>7739</v>
      </c>
      <c r="D1517" s="196" t="s">
        <v>3077</v>
      </c>
      <c r="E1517" s="196" t="s">
        <v>1913</v>
      </c>
      <c r="F1517" s="196">
        <v>2010</v>
      </c>
      <c r="H1517" s="196" t="s">
        <v>2734</v>
      </c>
      <c r="I1517" s="184" t="s">
        <v>1879</v>
      </c>
      <c r="K1517" s="196" t="s">
        <v>1881</v>
      </c>
      <c r="L1517" s="184" t="s">
        <v>7740</v>
      </c>
      <c r="M1517" s="196">
        <v>514</v>
      </c>
      <c r="O1517" s="196" t="s">
        <v>5651</v>
      </c>
      <c r="P1517" s="17">
        <v>711</v>
      </c>
      <c r="Q1517" s="175">
        <f t="shared" si="93"/>
        <v>1.3338000000000001</v>
      </c>
      <c r="R1517" s="199">
        <v>0.99</v>
      </c>
      <c r="T1517" s="149">
        <v>0.35</v>
      </c>
      <c r="U1517" s="149"/>
      <c r="V1517" s="149">
        <v>0.25</v>
      </c>
      <c r="W1517" s="149">
        <f t="shared" si="92"/>
        <v>0.99</v>
      </c>
      <c r="X1517" s="152">
        <f t="shared" si="91"/>
        <v>9.3799999999999994E-2</v>
      </c>
      <c r="Y1517" s="150">
        <f t="shared" si="94"/>
        <v>1.01</v>
      </c>
      <c r="Z1517" s="152"/>
      <c r="AC1517" s="154"/>
      <c r="AD1517" s="154"/>
      <c r="AE1517" s="154"/>
      <c r="AF1517" s="154"/>
    </row>
    <row r="1518" spans="1:32" x14ac:dyDescent="0.25">
      <c r="A1518" s="196">
        <v>2522</v>
      </c>
      <c r="B1518" s="196" t="s">
        <v>7741</v>
      </c>
      <c r="C1518" s="196" t="s">
        <v>7742</v>
      </c>
      <c r="D1518" s="196" t="s">
        <v>5005</v>
      </c>
      <c r="F1518" s="196">
        <v>1992</v>
      </c>
      <c r="H1518" s="196" t="s">
        <v>2734</v>
      </c>
      <c r="I1518" s="184" t="s">
        <v>1879</v>
      </c>
      <c r="K1518" s="196" t="s">
        <v>1881</v>
      </c>
      <c r="M1518" s="196">
        <v>434</v>
      </c>
      <c r="O1518" s="196" t="s">
        <v>5652</v>
      </c>
      <c r="P1518" s="17">
        <v>624</v>
      </c>
      <c r="Q1518" s="175">
        <f t="shared" si="93"/>
        <v>0.64900000000000002</v>
      </c>
      <c r="R1518" s="199">
        <v>0.25</v>
      </c>
      <c r="T1518" s="149">
        <v>0.35</v>
      </c>
      <c r="U1518" s="149"/>
      <c r="V1518" s="149">
        <v>0.25</v>
      </c>
      <c r="W1518" s="149">
        <f t="shared" si="92"/>
        <v>0.35</v>
      </c>
      <c r="X1518" s="152">
        <f t="shared" si="91"/>
        <v>4.8999999999999995E-2</v>
      </c>
      <c r="Y1518" s="150">
        <f t="shared" si="94"/>
        <v>1.01</v>
      </c>
      <c r="Z1518" s="152"/>
      <c r="AC1518" s="154"/>
      <c r="AD1518" s="154"/>
      <c r="AE1518" s="154"/>
      <c r="AF1518" s="154"/>
    </row>
    <row r="1519" spans="1:32" x14ac:dyDescent="0.25">
      <c r="A1519" s="196">
        <v>2547</v>
      </c>
      <c r="B1519" s="196" t="s">
        <v>7743</v>
      </c>
      <c r="C1519" s="196" t="s">
        <v>7744</v>
      </c>
      <c r="D1519" s="196" t="s">
        <v>7745</v>
      </c>
      <c r="F1519" s="196">
        <v>1984</v>
      </c>
      <c r="H1519" s="196" t="s">
        <v>1878</v>
      </c>
      <c r="I1519" s="184" t="s">
        <v>1879</v>
      </c>
      <c r="K1519" s="196" t="s">
        <v>1881</v>
      </c>
      <c r="M1519" s="196">
        <v>176</v>
      </c>
      <c r="O1519" s="196" t="s">
        <v>5653</v>
      </c>
      <c r="P1519" s="17">
        <v>112</v>
      </c>
      <c r="Q1519" s="175">
        <f t="shared" si="93"/>
        <v>1.1198000000000001</v>
      </c>
      <c r="R1519" s="199">
        <v>0.79</v>
      </c>
      <c r="T1519" s="149">
        <v>0.35</v>
      </c>
      <c r="U1519" s="149"/>
      <c r="V1519" s="149">
        <v>0.25</v>
      </c>
      <c r="W1519" s="149">
        <f t="shared" si="92"/>
        <v>0.79</v>
      </c>
      <c r="X1519" s="152">
        <f t="shared" ref="X1519:X1581" si="95">(T1519+W1519)/100*7</f>
        <v>7.980000000000001E-2</v>
      </c>
      <c r="Y1519" s="150">
        <f t="shared" si="94"/>
        <v>1.01</v>
      </c>
      <c r="Z1519" s="152"/>
      <c r="AC1519" s="154"/>
      <c r="AD1519" s="154"/>
      <c r="AE1519" s="154"/>
      <c r="AF1519" s="154"/>
    </row>
    <row r="1520" spans="1:32" x14ac:dyDescent="0.25">
      <c r="Y1520" s="150">
        <f t="shared" si="94"/>
        <v>1.01</v>
      </c>
    </row>
    <row r="1521" spans="1:36" x14ac:dyDescent="0.25">
      <c r="A1521" s="196">
        <v>614</v>
      </c>
      <c r="C1521" s="196" t="s">
        <v>7749</v>
      </c>
      <c r="D1521" s="196" t="s">
        <v>1912</v>
      </c>
      <c r="E1521" s="182" t="s">
        <v>1913</v>
      </c>
      <c r="F1521" s="196">
        <v>2011</v>
      </c>
      <c r="H1521" s="196" t="s">
        <v>1878</v>
      </c>
      <c r="I1521" s="184" t="s">
        <v>1879</v>
      </c>
      <c r="K1521" s="196" t="s">
        <v>1881</v>
      </c>
      <c r="L1521" s="184" t="s">
        <v>7750</v>
      </c>
      <c r="M1521" s="196">
        <v>240</v>
      </c>
      <c r="O1521" s="196" t="s">
        <v>5655</v>
      </c>
      <c r="P1521" s="17">
        <v>514</v>
      </c>
      <c r="Q1521" s="175">
        <f t="shared" si="93"/>
        <v>1.3338000000000001</v>
      </c>
      <c r="R1521" s="199">
        <v>0.99</v>
      </c>
      <c r="T1521" s="149">
        <v>0.35</v>
      </c>
      <c r="U1521" s="149"/>
      <c r="V1521" s="149">
        <v>0.25</v>
      </c>
      <c r="W1521" s="149">
        <f t="shared" si="92"/>
        <v>0.99</v>
      </c>
      <c r="X1521" s="152">
        <f t="shared" si="95"/>
        <v>9.3799999999999994E-2</v>
      </c>
      <c r="Y1521" s="150">
        <f t="shared" si="94"/>
        <v>1.01</v>
      </c>
      <c r="Z1521" s="152"/>
      <c r="AC1521" s="154"/>
      <c r="AD1521" s="154"/>
      <c r="AE1521" s="154"/>
      <c r="AF1521" s="154"/>
    </row>
    <row r="1522" spans="1:36" x14ac:dyDescent="0.25">
      <c r="A1522" s="196">
        <v>2514</v>
      </c>
      <c r="B1522" s="196" t="s">
        <v>7751</v>
      </c>
      <c r="C1522" s="196" t="s">
        <v>7752</v>
      </c>
      <c r="D1522" s="196" t="s">
        <v>3524</v>
      </c>
      <c r="E1522" s="196" t="s">
        <v>1913</v>
      </c>
      <c r="F1522" s="196">
        <v>1994</v>
      </c>
      <c r="H1522" s="196" t="s">
        <v>2734</v>
      </c>
      <c r="I1522" s="184" t="s">
        <v>1879</v>
      </c>
      <c r="K1522" s="196" t="s">
        <v>1881</v>
      </c>
      <c r="L1522" s="184" t="s">
        <v>7753</v>
      </c>
      <c r="M1522" s="196">
        <v>244</v>
      </c>
      <c r="O1522" s="196" t="s">
        <v>5656</v>
      </c>
      <c r="P1522" s="17">
        <v>440</v>
      </c>
      <c r="Q1522" s="175">
        <f t="shared" si="93"/>
        <v>1.8260000000000001</v>
      </c>
      <c r="R1522" s="199">
        <v>1.45</v>
      </c>
      <c r="T1522" s="149">
        <v>0.35</v>
      </c>
      <c r="U1522" s="149"/>
      <c r="V1522" s="149">
        <v>0.25</v>
      </c>
      <c r="W1522" s="149">
        <f t="shared" si="92"/>
        <v>1.45</v>
      </c>
      <c r="X1522" s="152">
        <f t="shared" si="95"/>
        <v>0.126</v>
      </c>
      <c r="Y1522" s="150">
        <f t="shared" si="94"/>
        <v>1.01</v>
      </c>
      <c r="Z1522" s="152"/>
      <c r="AC1522" s="154"/>
      <c r="AD1522" s="154"/>
      <c r="AE1522" s="154"/>
      <c r="AF1522" s="154"/>
    </row>
    <row r="1523" spans="1:36" x14ac:dyDescent="0.25">
      <c r="A1523" s="196">
        <v>852</v>
      </c>
      <c r="B1523" s="196" t="s">
        <v>7754</v>
      </c>
      <c r="C1523" s="196" t="s">
        <v>7755</v>
      </c>
      <c r="D1523" s="196" t="s">
        <v>1920</v>
      </c>
      <c r="F1523" s="196">
        <v>2017</v>
      </c>
      <c r="H1523" s="196" t="s">
        <v>1878</v>
      </c>
      <c r="I1523" s="184" t="s">
        <v>1879</v>
      </c>
      <c r="J1523" s="52" t="s">
        <v>3854</v>
      </c>
      <c r="K1523" s="196" t="s">
        <v>1881</v>
      </c>
      <c r="L1523" s="184" t="s">
        <v>7756</v>
      </c>
      <c r="M1523" s="196">
        <v>224</v>
      </c>
      <c r="O1523" s="196" t="s">
        <v>5657</v>
      </c>
      <c r="P1523" s="17">
        <v>317</v>
      </c>
      <c r="Q1523" s="175">
        <f t="shared" si="93"/>
        <v>4.18</v>
      </c>
      <c r="R1523" s="199">
        <v>3.65</v>
      </c>
      <c r="T1523" s="149">
        <v>0.35</v>
      </c>
      <c r="U1523" s="149"/>
      <c r="V1523" s="149">
        <v>0.25</v>
      </c>
      <c r="W1523" s="149">
        <f t="shared" ref="W1523:W1577" si="96">IF(R1523&gt;T1523,R1523,T1523)</f>
        <v>3.65</v>
      </c>
      <c r="X1523" s="152">
        <f t="shared" si="95"/>
        <v>0.28000000000000003</v>
      </c>
      <c r="Y1523" s="150">
        <f t="shared" si="94"/>
        <v>1.01</v>
      </c>
      <c r="Z1523" s="152"/>
      <c r="AC1523" s="154"/>
      <c r="AD1523" s="154"/>
      <c r="AE1523" s="154"/>
      <c r="AF1523" s="154"/>
    </row>
    <row r="1524" spans="1:36" x14ac:dyDescent="0.25">
      <c r="A1524" s="196">
        <v>689</v>
      </c>
      <c r="B1524" s="196" t="s">
        <v>7702</v>
      </c>
      <c r="C1524" s="196" t="s">
        <v>7757</v>
      </c>
      <c r="D1524" s="196" t="s">
        <v>2054</v>
      </c>
      <c r="E1524" s="182" t="s">
        <v>1877</v>
      </c>
      <c r="F1524" s="196">
        <v>2000</v>
      </c>
      <c r="H1524" s="196" t="s">
        <v>1878</v>
      </c>
      <c r="I1524" s="184" t="s">
        <v>1879</v>
      </c>
      <c r="K1524" s="196" t="s">
        <v>1881</v>
      </c>
      <c r="L1524" s="184" t="s">
        <v>7758</v>
      </c>
      <c r="M1524" s="196">
        <v>450</v>
      </c>
      <c r="O1524" s="196" t="s">
        <v>5658</v>
      </c>
      <c r="P1524" s="17">
        <v>518</v>
      </c>
      <c r="Q1524" s="175">
        <f t="shared" si="93"/>
        <v>0.79879999999999995</v>
      </c>
      <c r="R1524" s="199">
        <v>0.49</v>
      </c>
      <c r="T1524" s="149">
        <v>0.35</v>
      </c>
      <c r="U1524" s="149"/>
      <c r="V1524" s="149">
        <v>0.25</v>
      </c>
      <c r="W1524" s="149">
        <f t="shared" si="96"/>
        <v>0.49</v>
      </c>
      <c r="X1524" s="152">
        <f t="shared" si="95"/>
        <v>5.8799999999999998E-2</v>
      </c>
      <c r="Y1524" s="150">
        <f t="shared" si="94"/>
        <v>1.01</v>
      </c>
      <c r="Z1524" s="152"/>
      <c r="AC1524" s="154"/>
      <c r="AD1524" s="154"/>
      <c r="AE1524" s="154"/>
      <c r="AF1524" s="154"/>
    </row>
    <row r="1525" spans="1:36" x14ac:dyDescent="0.25">
      <c r="A1525" s="196">
        <v>689</v>
      </c>
      <c r="B1525" s="196" t="s">
        <v>7702</v>
      </c>
      <c r="C1525" s="196" t="s">
        <v>7759</v>
      </c>
      <c r="D1525" s="196" t="s">
        <v>2054</v>
      </c>
      <c r="F1525" s="196">
        <v>2001</v>
      </c>
      <c r="H1525" s="196" t="s">
        <v>1878</v>
      </c>
      <c r="I1525" s="184" t="s">
        <v>1879</v>
      </c>
      <c r="K1525" s="196" t="s">
        <v>1881</v>
      </c>
      <c r="L1525" s="184" t="s">
        <v>7760</v>
      </c>
      <c r="M1525" s="196">
        <v>338</v>
      </c>
      <c r="O1525" s="196" t="s">
        <v>5659</v>
      </c>
      <c r="P1525" s="17">
        <v>387</v>
      </c>
      <c r="Q1525" s="175">
        <f t="shared" si="93"/>
        <v>1.3338000000000001</v>
      </c>
      <c r="R1525" s="199">
        <v>0.99</v>
      </c>
      <c r="T1525" s="149">
        <v>0.35</v>
      </c>
      <c r="U1525" s="149"/>
      <c r="V1525" s="149">
        <v>0.25</v>
      </c>
      <c r="W1525" s="149">
        <f t="shared" si="96"/>
        <v>0.99</v>
      </c>
      <c r="X1525" s="152">
        <f t="shared" si="95"/>
        <v>9.3799999999999994E-2</v>
      </c>
      <c r="Y1525" s="150">
        <f t="shared" si="94"/>
        <v>1.01</v>
      </c>
      <c r="Z1525" s="152"/>
      <c r="AC1525" s="154"/>
      <c r="AD1525" s="154"/>
      <c r="AE1525" s="154"/>
      <c r="AF1525" s="154"/>
    </row>
    <row r="1526" spans="1:36" x14ac:dyDescent="0.25">
      <c r="A1526" s="196">
        <v>631</v>
      </c>
      <c r="B1526" s="196" t="s">
        <v>7761</v>
      </c>
      <c r="C1526" s="196" t="s">
        <v>7762</v>
      </c>
      <c r="D1526" s="196" t="s">
        <v>2309</v>
      </c>
      <c r="E1526" s="196" t="s">
        <v>1877</v>
      </c>
      <c r="F1526" s="196">
        <v>2009</v>
      </c>
      <c r="H1526" s="196" t="s">
        <v>1878</v>
      </c>
      <c r="I1526" s="184" t="s">
        <v>1914</v>
      </c>
      <c r="K1526" s="196" t="s">
        <v>1881</v>
      </c>
      <c r="L1526" s="184" t="s">
        <v>7763</v>
      </c>
      <c r="M1526" s="196">
        <v>224</v>
      </c>
      <c r="O1526" s="196" t="s">
        <v>5660</v>
      </c>
      <c r="P1526" s="17">
        <v>242</v>
      </c>
      <c r="Q1526" s="175">
        <f t="shared" si="93"/>
        <v>0.64900000000000002</v>
      </c>
      <c r="R1526" s="199">
        <v>0.25</v>
      </c>
      <c r="T1526" s="149">
        <v>0.35</v>
      </c>
      <c r="U1526" s="149"/>
      <c r="V1526" s="149">
        <v>0.25</v>
      </c>
      <c r="W1526" s="149">
        <f t="shared" si="96"/>
        <v>0.35</v>
      </c>
      <c r="X1526" s="152">
        <f t="shared" si="95"/>
        <v>4.8999999999999995E-2</v>
      </c>
      <c r="Y1526" s="150">
        <f t="shared" si="94"/>
        <v>1.01</v>
      </c>
      <c r="Z1526" s="152"/>
      <c r="AC1526" s="154"/>
      <c r="AD1526" s="154"/>
      <c r="AE1526" s="154"/>
      <c r="AF1526" s="154"/>
    </row>
    <row r="1527" spans="1:36" x14ac:dyDescent="0.25">
      <c r="A1527" s="196">
        <v>775</v>
      </c>
      <c r="B1527" s="196" t="s">
        <v>7764</v>
      </c>
      <c r="C1527" s="196" t="s">
        <v>7765</v>
      </c>
      <c r="D1527" s="196" t="s">
        <v>7766</v>
      </c>
      <c r="F1527" s="196">
        <v>1999</v>
      </c>
      <c r="H1527" s="196" t="s">
        <v>2734</v>
      </c>
      <c r="I1527" s="184" t="s">
        <v>1879</v>
      </c>
      <c r="K1527" s="196" t="s">
        <v>1881</v>
      </c>
      <c r="M1527" s="196">
        <v>898</v>
      </c>
      <c r="O1527" s="196" t="s">
        <v>5661</v>
      </c>
      <c r="P1527" s="17">
        <v>1012</v>
      </c>
      <c r="Q1527" s="175">
        <f t="shared" si="93"/>
        <v>0.64900000000000002</v>
      </c>
      <c r="R1527" s="199">
        <v>0.25</v>
      </c>
      <c r="T1527" s="149">
        <v>0.35</v>
      </c>
      <c r="U1527" s="149"/>
      <c r="V1527" s="149">
        <v>0.25</v>
      </c>
      <c r="W1527" s="149">
        <f t="shared" si="96"/>
        <v>0.35</v>
      </c>
      <c r="X1527" s="152">
        <f t="shared" si="95"/>
        <v>4.8999999999999995E-2</v>
      </c>
      <c r="Y1527" s="150">
        <f t="shared" si="94"/>
        <v>1.01</v>
      </c>
      <c r="Z1527" s="152"/>
      <c r="AC1527" s="154"/>
      <c r="AD1527" s="154"/>
      <c r="AE1527" s="154"/>
      <c r="AF1527" s="154"/>
    </row>
    <row r="1528" spans="1:36" x14ac:dyDescent="0.25">
      <c r="A1528" s="196">
        <v>2518</v>
      </c>
      <c r="B1528" s="196" t="s">
        <v>7767</v>
      </c>
      <c r="C1528" s="196" t="s">
        <v>7768</v>
      </c>
      <c r="D1528" s="196" t="s">
        <v>3646</v>
      </c>
      <c r="F1528" s="196">
        <v>1999</v>
      </c>
      <c r="H1528" s="196" t="s">
        <v>1878</v>
      </c>
      <c r="I1528" s="184" t="s">
        <v>1879</v>
      </c>
      <c r="K1528" s="196" t="s">
        <v>1881</v>
      </c>
      <c r="M1528" s="196">
        <v>352</v>
      </c>
      <c r="O1528" s="196" t="s">
        <v>5662</v>
      </c>
      <c r="P1528" s="17">
        <v>317</v>
      </c>
      <c r="Q1528" s="175">
        <f t="shared" si="93"/>
        <v>0.75600000000000001</v>
      </c>
      <c r="R1528" s="199">
        <v>0.45</v>
      </c>
      <c r="T1528" s="149">
        <v>0.35</v>
      </c>
      <c r="U1528" s="149"/>
      <c r="V1528" s="149">
        <v>0.25</v>
      </c>
      <c r="W1528" s="149">
        <f t="shared" si="96"/>
        <v>0.45</v>
      </c>
      <c r="X1528" s="152">
        <f t="shared" si="95"/>
        <v>5.6000000000000001E-2</v>
      </c>
      <c r="Y1528" s="150">
        <f t="shared" si="94"/>
        <v>1.01</v>
      </c>
      <c r="Z1528" s="152"/>
      <c r="AC1528" s="154"/>
      <c r="AD1528" s="154"/>
      <c r="AE1528" s="154"/>
      <c r="AF1528" s="154"/>
    </row>
    <row r="1529" spans="1:36" x14ac:dyDescent="0.25">
      <c r="A1529" s="196">
        <v>632</v>
      </c>
      <c r="B1529" s="196" t="s">
        <v>7769</v>
      </c>
      <c r="C1529" s="196" t="s">
        <v>7770</v>
      </c>
      <c r="D1529" s="196" t="s">
        <v>1920</v>
      </c>
      <c r="F1529" s="196">
        <v>2003</v>
      </c>
      <c r="H1529" s="196" t="s">
        <v>1878</v>
      </c>
      <c r="I1529" s="184" t="s">
        <v>1879</v>
      </c>
      <c r="K1529" s="196" t="s">
        <v>1881</v>
      </c>
      <c r="L1529" s="184" t="s">
        <v>7771</v>
      </c>
      <c r="M1529" s="196">
        <v>560</v>
      </c>
      <c r="O1529" s="196" t="s">
        <v>5663</v>
      </c>
      <c r="P1529" s="17">
        <v>467</v>
      </c>
      <c r="Q1529" s="175">
        <f t="shared" si="93"/>
        <v>0.64900000000000002</v>
      </c>
      <c r="R1529" s="199">
        <v>0.25</v>
      </c>
      <c r="T1529" s="149">
        <v>0.35</v>
      </c>
      <c r="U1529" s="149"/>
      <c r="V1529" s="149">
        <v>0.25</v>
      </c>
      <c r="W1529" s="149">
        <f t="shared" si="96"/>
        <v>0.35</v>
      </c>
      <c r="X1529" s="152">
        <f t="shared" si="95"/>
        <v>4.8999999999999995E-2</v>
      </c>
      <c r="Y1529" s="150">
        <f t="shared" si="94"/>
        <v>1.01</v>
      </c>
      <c r="Z1529" s="152"/>
      <c r="AC1529" s="154"/>
      <c r="AD1529" s="154"/>
      <c r="AE1529" s="154"/>
      <c r="AF1529" s="154"/>
    </row>
    <row r="1530" spans="1:36" x14ac:dyDescent="0.25">
      <c r="A1530" s="196">
        <v>1395</v>
      </c>
      <c r="B1530" s="196" t="s">
        <v>7772</v>
      </c>
      <c r="C1530" s="196" t="s">
        <v>7773</v>
      </c>
      <c r="D1530" s="196" t="s">
        <v>2609</v>
      </c>
      <c r="E1530" s="196" t="s">
        <v>1877</v>
      </c>
      <c r="F1530" s="196">
        <v>2003</v>
      </c>
      <c r="H1530" s="196" t="s">
        <v>1878</v>
      </c>
      <c r="I1530" s="184" t="s">
        <v>1879</v>
      </c>
      <c r="K1530" s="196" t="s">
        <v>1881</v>
      </c>
      <c r="L1530" s="184" t="s">
        <v>7774</v>
      </c>
      <c r="M1530" s="196">
        <v>224</v>
      </c>
      <c r="O1530" s="196" t="s">
        <v>5664</v>
      </c>
      <c r="P1530" s="17">
        <v>194</v>
      </c>
      <c r="Q1530" s="175">
        <f t="shared" si="93"/>
        <v>1.4408000000000001</v>
      </c>
      <c r="R1530" s="199">
        <v>1.0900000000000001</v>
      </c>
      <c r="T1530" s="149">
        <v>0.35</v>
      </c>
      <c r="U1530" s="149"/>
      <c r="V1530" s="149">
        <v>0.25</v>
      </c>
      <c r="W1530" s="149">
        <f t="shared" si="96"/>
        <v>1.0900000000000001</v>
      </c>
      <c r="X1530" s="152">
        <f t="shared" si="95"/>
        <v>0.1008</v>
      </c>
      <c r="Y1530" s="150">
        <f t="shared" si="94"/>
        <v>1.01</v>
      </c>
      <c r="Z1530" s="152"/>
      <c r="AC1530" s="154"/>
      <c r="AD1530" s="154"/>
      <c r="AE1530" s="154"/>
      <c r="AF1530" s="154"/>
    </row>
    <row r="1531" spans="1:36" x14ac:dyDescent="0.25">
      <c r="A1531" s="196">
        <v>1395</v>
      </c>
      <c r="B1531" s="196" t="s">
        <v>4638</v>
      </c>
      <c r="C1531" s="196" t="s">
        <v>5063</v>
      </c>
      <c r="D1531" s="196" t="s">
        <v>2609</v>
      </c>
      <c r="E1531" s="196" t="s">
        <v>1899</v>
      </c>
      <c r="F1531" s="196">
        <v>2012</v>
      </c>
      <c r="H1531" s="196" t="s">
        <v>1878</v>
      </c>
      <c r="I1531" s="184" t="s">
        <v>1914</v>
      </c>
      <c r="K1531" s="196" t="s">
        <v>1881</v>
      </c>
      <c r="L1531" s="184" t="s">
        <v>7775</v>
      </c>
      <c r="M1531" s="196">
        <v>320</v>
      </c>
      <c r="O1531" s="196" t="s">
        <v>5665</v>
      </c>
      <c r="P1531" s="17">
        <v>286</v>
      </c>
      <c r="Q1531" s="175">
        <f t="shared" si="93"/>
        <v>0.64900000000000002</v>
      </c>
      <c r="R1531" s="199">
        <v>0.25</v>
      </c>
      <c r="T1531" s="149">
        <v>0.35</v>
      </c>
      <c r="U1531" s="149"/>
      <c r="V1531" s="149">
        <v>0.25</v>
      </c>
      <c r="W1531" s="149">
        <f t="shared" si="96"/>
        <v>0.35</v>
      </c>
      <c r="X1531" s="152">
        <f t="shared" si="95"/>
        <v>4.8999999999999995E-2</v>
      </c>
      <c r="Y1531" s="150">
        <f t="shared" si="94"/>
        <v>1.01</v>
      </c>
      <c r="Z1531" s="152"/>
      <c r="AC1531" s="154"/>
      <c r="AD1531" s="154"/>
      <c r="AE1531" s="154"/>
      <c r="AF1531" s="154"/>
    </row>
    <row r="1532" spans="1:36" x14ac:dyDescent="0.25">
      <c r="A1532" s="196">
        <v>2576</v>
      </c>
      <c r="B1532" s="196" t="s">
        <v>7702</v>
      </c>
      <c r="C1532" s="196" t="s">
        <v>7776</v>
      </c>
      <c r="D1532" s="196" t="s">
        <v>2054</v>
      </c>
      <c r="F1532" s="196">
        <v>2002</v>
      </c>
      <c r="H1532" s="196" t="s">
        <v>1878</v>
      </c>
      <c r="I1532" s="184" t="s">
        <v>1879</v>
      </c>
      <c r="K1532" s="196" t="s">
        <v>1881</v>
      </c>
      <c r="L1532" s="184" t="s">
        <v>7777</v>
      </c>
      <c r="M1532" s="196">
        <v>546</v>
      </c>
      <c r="O1532" s="196" t="s">
        <v>5666</v>
      </c>
      <c r="P1532" s="17">
        <v>594</v>
      </c>
      <c r="Q1532" s="175">
        <f t="shared" ref="Q1532:Q1595" si="97">SUM(U1532:X1532)</f>
        <v>1.1198000000000001</v>
      </c>
      <c r="R1532" s="199">
        <v>0.79</v>
      </c>
      <c r="T1532" s="149">
        <v>0.35</v>
      </c>
      <c r="U1532" s="149"/>
      <c r="V1532" s="149">
        <v>0.25</v>
      </c>
      <c r="W1532" s="149">
        <f t="shared" si="96"/>
        <v>0.79</v>
      </c>
      <c r="X1532" s="152">
        <f t="shared" si="95"/>
        <v>7.980000000000001E-2</v>
      </c>
      <c r="Y1532" s="150">
        <f t="shared" si="94"/>
        <v>1.01</v>
      </c>
      <c r="Z1532" s="152"/>
      <c r="AC1532" s="154"/>
      <c r="AD1532" s="154"/>
      <c r="AE1532" s="154"/>
      <c r="AF1532" s="154"/>
    </row>
    <row r="1533" spans="1:36" s="146" customFormat="1" x14ac:dyDescent="0.25">
      <c r="A1533" s="196">
        <v>655</v>
      </c>
      <c r="B1533" s="196" t="s">
        <v>3004</v>
      </c>
      <c r="C1533" s="196" t="s">
        <v>7778</v>
      </c>
      <c r="D1533" s="196" t="s">
        <v>2300</v>
      </c>
      <c r="E1533" s="196" t="s">
        <v>1877</v>
      </c>
      <c r="F1533" s="196">
        <v>2009</v>
      </c>
      <c r="G1533" s="196"/>
      <c r="H1533" s="196" t="s">
        <v>1878</v>
      </c>
      <c r="I1533" s="141" t="s">
        <v>1879</v>
      </c>
      <c r="J1533" s="196"/>
      <c r="K1533" s="196" t="s">
        <v>1881</v>
      </c>
      <c r="L1533" s="141" t="s">
        <v>3007</v>
      </c>
      <c r="M1533" s="196">
        <v>304</v>
      </c>
      <c r="N1533" s="196"/>
      <c r="O1533" s="196" t="s">
        <v>5667</v>
      </c>
      <c r="P1533" s="144">
        <v>373</v>
      </c>
      <c r="Q1533" s="145">
        <f t="shared" si="97"/>
        <v>0.79879999999999995</v>
      </c>
      <c r="R1533" s="203">
        <v>0.49</v>
      </c>
      <c r="S1533" s="203"/>
      <c r="T1533" s="151">
        <v>0.35</v>
      </c>
      <c r="U1533" s="151"/>
      <c r="V1533" s="151">
        <v>0.25</v>
      </c>
      <c r="W1533" s="151">
        <f t="shared" si="96"/>
        <v>0.49</v>
      </c>
      <c r="X1533" s="152">
        <f t="shared" si="95"/>
        <v>5.8799999999999998E-2</v>
      </c>
      <c r="Y1533" s="150">
        <f t="shared" si="94"/>
        <v>1.01</v>
      </c>
      <c r="Z1533" s="152"/>
      <c r="AA1533" s="148"/>
      <c r="AB1533" s="148"/>
      <c r="AC1533" s="153"/>
      <c r="AD1533" s="153"/>
      <c r="AE1533" s="153"/>
      <c r="AF1533" s="153"/>
      <c r="AJ1533" s="147"/>
    </row>
    <row r="1534" spans="1:36" x14ac:dyDescent="0.25">
      <c r="A1534" s="196">
        <v>947</v>
      </c>
      <c r="B1534" s="196" t="s">
        <v>7779</v>
      </c>
      <c r="C1534" s="196" t="s">
        <v>7780</v>
      </c>
      <c r="D1534" s="196" t="s">
        <v>2054</v>
      </c>
      <c r="H1534" s="196" t="s">
        <v>2734</v>
      </c>
      <c r="I1534" s="184" t="s">
        <v>1879</v>
      </c>
      <c r="K1534" s="196" t="s">
        <v>1881</v>
      </c>
      <c r="L1534" s="184" t="s">
        <v>7781</v>
      </c>
      <c r="M1534" s="196">
        <v>354</v>
      </c>
      <c r="O1534" s="196" t="s">
        <v>5668</v>
      </c>
      <c r="P1534" s="17">
        <v>473</v>
      </c>
      <c r="Q1534" s="175">
        <f t="shared" si="97"/>
        <v>0.70250000000000001</v>
      </c>
      <c r="R1534" s="199">
        <v>0.4</v>
      </c>
      <c r="T1534" s="149">
        <v>0.35</v>
      </c>
      <c r="U1534" s="149"/>
      <c r="V1534" s="149">
        <v>0.25</v>
      </c>
      <c r="W1534" s="149">
        <f t="shared" si="96"/>
        <v>0.4</v>
      </c>
      <c r="X1534" s="152">
        <f t="shared" si="95"/>
        <v>5.2499999999999998E-2</v>
      </c>
      <c r="Y1534" s="150">
        <f t="shared" si="94"/>
        <v>1.01</v>
      </c>
      <c r="Z1534" s="152"/>
      <c r="AC1534" s="154"/>
      <c r="AD1534" s="154"/>
      <c r="AE1534" s="154"/>
      <c r="AF1534" s="154"/>
    </row>
    <row r="1535" spans="1:36" x14ac:dyDescent="0.25">
      <c r="A1535" s="196">
        <v>1028</v>
      </c>
      <c r="C1535" s="196" t="s">
        <v>7782</v>
      </c>
      <c r="D1535" s="196" t="s">
        <v>2117</v>
      </c>
      <c r="E1535" s="196" t="s">
        <v>1913</v>
      </c>
      <c r="F1535" s="196">
        <v>2013</v>
      </c>
      <c r="H1535" s="196" t="s">
        <v>2734</v>
      </c>
      <c r="I1535" s="184" t="s">
        <v>1929</v>
      </c>
      <c r="K1535" s="196" t="s">
        <v>1881</v>
      </c>
      <c r="L1535" s="184" t="s">
        <v>7783</v>
      </c>
      <c r="M1535" s="196">
        <v>66</v>
      </c>
      <c r="O1535" s="196" t="s">
        <v>5669</v>
      </c>
      <c r="P1535" s="17">
        <v>256</v>
      </c>
      <c r="Q1535" s="175">
        <f t="shared" si="97"/>
        <v>3.4738000000000002</v>
      </c>
      <c r="R1535" s="199">
        <v>2.99</v>
      </c>
      <c r="T1535" s="149">
        <v>0.35</v>
      </c>
      <c r="U1535" s="149"/>
      <c r="V1535" s="149">
        <v>0.25</v>
      </c>
      <c r="W1535" s="149">
        <f t="shared" si="96"/>
        <v>2.99</v>
      </c>
      <c r="X1535" s="152">
        <f t="shared" si="95"/>
        <v>0.23380000000000004</v>
      </c>
      <c r="Y1535" s="150">
        <f t="shared" si="94"/>
        <v>1.01</v>
      </c>
      <c r="Z1535" s="152"/>
      <c r="AC1535" s="154"/>
      <c r="AD1535" s="154"/>
      <c r="AE1535" s="154"/>
      <c r="AF1535" s="154"/>
    </row>
    <row r="1536" spans="1:36" x14ac:dyDescent="0.25">
      <c r="A1536" s="196">
        <v>1355</v>
      </c>
      <c r="B1536" s="196" t="s">
        <v>7784</v>
      </c>
      <c r="C1536" s="196" t="s">
        <v>7785</v>
      </c>
      <c r="D1536" s="196" t="s">
        <v>4626</v>
      </c>
      <c r="E1536" s="196" t="s">
        <v>1913</v>
      </c>
      <c r="F1536" s="196">
        <v>2015</v>
      </c>
      <c r="H1536" s="196" t="s">
        <v>2734</v>
      </c>
      <c r="I1536" s="184" t="s">
        <v>1929</v>
      </c>
      <c r="K1536" s="196" t="s">
        <v>1881</v>
      </c>
      <c r="L1536" s="184" t="s">
        <v>7786</v>
      </c>
      <c r="M1536" s="196">
        <v>98</v>
      </c>
      <c r="O1536" s="196" t="s">
        <v>5670</v>
      </c>
      <c r="P1536" s="17">
        <v>379</v>
      </c>
      <c r="Q1536" s="175">
        <f t="shared" si="97"/>
        <v>2.4038000000000004</v>
      </c>
      <c r="R1536" s="199">
        <v>1.99</v>
      </c>
      <c r="T1536" s="149">
        <v>0.35</v>
      </c>
      <c r="U1536" s="149"/>
      <c r="V1536" s="149">
        <v>0.25</v>
      </c>
      <c r="W1536" s="149">
        <f t="shared" si="96"/>
        <v>1.99</v>
      </c>
      <c r="X1536" s="152">
        <f t="shared" si="95"/>
        <v>0.16379999999999997</v>
      </c>
      <c r="Y1536" s="150">
        <f t="shared" si="94"/>
        <v>1.01</v>
      </c>
      <c r="Z1536" s="152"/>
      <c r="AC1536" s="154"/>
      <c r="AD1536" s="154"/>
      <c r="AE1536" s="154"/>
      <c r="AF1536" s="154"/>
    </row>
    <row r="1537" spans="1:32" x14ac:dyDescent="0.25">
      <c r="Y1537" s="150">
        <f t="shared" si="94"/>
        <v>1.01</v>
      </c>
    </row>
    <row r="1538" spans="1:32" x14ac:dyDescent="0.25">
      <c r="A1538" s="196">
        <v>651</v>
      </c>
      <c r="B1538" s="196" t="s">
        <v>7788</v>
      </c>
      <c r="C1538" s="196" t="s">
        <v>7789</v>
      </c>
      <c r="D1538" s="196" t="s">
        <v>6499</v>
      </c>
      <c r="F1538" s="196">
        <v>2015</v>
      </c>
      <c r="H1538" s="196" t="s">
        <v>1878</v>
      </c>
      <c r="I1538" s="184" t="s">
        <v>1929</v>
      </c>
      <c r="J1538" s="52" t="s">
        <v>3854</v>
      </c>
      <c r="K1538" s="196" t="s">
        <v>1881</v>
      </c>
      <c r="L1538" s="184" t="s">
        <v>7790</v>
      </c>
      <c r="M1538" s="196">
        <v>48</v>
      </c>
      <c r="O1538" s="196" t="s">
        <v>5672</v>
      </c>
      <c r="P1538" s="17">
        <v>177</v>
      </c>
      <c r="Q1538" s="175">
        <f t="shared" si="97"/>
        <v>0.95930000000000004</v>
      </c>
      <c r="R1538" s="199">
        <v>0.64</v>
      </c>
      <c r="T1538" s="149">
        <v>0.35</v>
      </c>
      <c r="U1538" s="149"/>
      <c r="V1538" s="149">
        <v>0.25</v>
      </c>
      <c r="W1538" s="149">
        <f t="shared" si="96"/>
        <v>0.64</v>
      </c>
      <c r="X1538" s="152">
        <f t="shared" si="95"/>
        <v>6.93E-2</v>
      </c>
      <c r="Y1538" s="150">
        <f t="shared" si="94"/>
        <v>1.01</v>
      </c>
      <c r="Z1538" s="152"/>
      <c r="AC1538" s="154"/>
      <c r="AD1538" s="154"/>
      <c r="AE1538" s="154"/>
      <c r="AF1538" s="154"/>
    </row>
    <row r="1539" spans="1:32" x14ac:dyDescent="0.25">
      <c r="A1539" s="196">
        <v>651</v>
      </c>
      <c r="B1539" s="196" t="s">
        <v>6478</v>
      </c>
      <c r="C1539" s="196" t="s">
        <v>7791</v>
      </c>
      <c r="D1539" s="196" t="s">
        <v>2117</v>
      </c>
      <c r="E1539" s="196" t="s">
        <v>1913</v>
      </c>
      <c r="F1539" s="196">
        <v>2014</v>
      </c>
      <c r="H1539" s="196" t="s">
        <v>1878</v>
      </c>
      <c r="I1539" s="184" t="s">
        <v>1929</v>
      </c>
      <c r="K1539" s="196" t="s">
        <v>1881</v>
      </c>
      <c r="L1539" s="184" t="s">
        <v>7792</v>
      </c>
      <c r="M1539" s="196">
        <v>32</v>
      </c>
      <c r="O1539" s="196" t="s">
        <v>5673</v>
      </c>
      <c r="P1539" s="17">
        <v>188</v>
      </c>
      <c r="Q1539" s="175">
        <f t="shared" si="97"/>
        <v>2.3075000000000001</v>
      </c>
      <c r="R1539" s="199">
        <v>1.9</v>
      </c>
      <c r="T1539" s="149">
        <v>0.35</v>
      </c>
      <c r="U1539" s="149"/>
      <c r="V1539" s="149">
        <v>0.25</v>
      </c>
      <c r="W1539" s="149">
        <f t="shared" si="96"/>
        <v>1.9</v>
      </c>
      <c r="X1539" s="152">
        <f t="shared" si="95"/>
        <v>0.1575</v>
      </c>
      <c r="Y1539" s="150">
        <f t="shared" si="94"/>
        <v>1.01</v>
      </c>
      <c r="Z1539" s="152"/>
      <c r="AC1539" s="154"/>
      <c r="AD1539" s="154"/>
      <c r="AE1539" s="154"/>
      <c r="AF1539" s="154"/>
    </row>
    <row r="1540" spans="1:32" x14ac:dyDescent="0.25">
      <c r="A1540" s="196">
        <v>2894</v>
      </c>
      <c r="B1540" s="196" t="s">
        <v>7793</v>
      </c>
      <c r="C1540" s="196" t="s">
        <v>7794</v>
      </c>
      <c r="D1540" s="196" t="s">
        <v>2117</v>
      </c>
      <c r="E1540" s="196" t="s">
        <v>1899</v>
      </c>
      <c r="F1540" s="196">
        <v>2013</v>
      </c>
      <c r="H1540" s="196" t="s">
        <v>1878</v>
      </c>
      <c r="I1540" s="184" t="s">
        <v>1929</v>
      </c>
      <c r="K1540" s="196" t="s">
        <v>1881</v>
      </c>
      <c r="L1540" s="184" t="s">
        <v>7795</v>
      </c>
      <c r="M1540" s="196">
        <v>48</v>
      </c>
      <c r="O1540" s="196" t="s">
        <v>5674</v>
      </c>
      <c r="P1540" s="17">
        <v>207</v>
      </c>
      <c r="Q1540" s="175">
        <f t="shared" si="97"/>
        <v>0.70250000000000001</v>
      </c>
      <c r="R1540" s="199">
        <v>0.4</v>
      </c>
      <c r="T1540" s="149">
        <v>0.35</v>
      </c>
      <c r="U1540" s="149"/>
      <c r="V1540" s="149">
        <v>0.25</v>
      </c>
      <c r="W1540" s="149">
        <f t="shared" si="96"/>
        <v>0.4</v>
      </c>
      <c r="X1540" s="152">
        <f t="shared" si="95"/>
        <v>5.2499999999999998E-2</v>
      </c>
      <c r="Y1540" s="150">
        <f t="shared" si="94"/>
        <v>1.01</v>
      </c>
      <c r="Z1540" s="152"/>
      <c r="AC1540" s="154"/>
      <c r="AD1540" s="154"/>
      <c r="AE1540" s="154"/>
      <c r="AF1540" s="154"/>
    </row>
    <row r="1541" spans="1:32" x14ac:dyDescent="0.25">
      <c r="A1541" s="196">
        <v>1327</v>
      </c>
      <c r="B1541" s="196" t="s">
        <v>7796</v>
      </c>
      <c r="C1541" s="196" t="s">
        <v>7797</v>
      </c>
      <c r="D1541" s="196" t="s">
        <v>7798</v>
      </c>
      <c r="H1541" s="196" t="s">
        <v>2734</v>
      </c>
      <c r="I1541" s="184" t="s">
        <v>1929</v>
      </c>
      <c r="K1541" s="196" t="s">
        <v>1881</v>
      </c>
      <c r="L1541" s="184" t="s">
        <v>7799</v>
      </c>
      <c r="M1541" s="196">
        <v>218</v>
      </c>
      <c r="O1541" s="196" t="s">
        <v>5675</v>
      </c>
      <c r="P1541" s="17">
        <v>353</v>
      </c>
      <c r="Q1541" s="175">
        <f t="shared" si="97"/>
        <v>1.1840000000000002</v>
      </c>
      <c r="R1541" s="199">
        <v>0.85</v>
      </c>
      <c r="T1541" s="149">
        <v>0.35</v>
      </c>
      <c r="U1541" s="149"/>
      <c r="V1541" s="149">
        <v>0.25</v>
      </c>
      <c r="W1541" s="149">
        <f t="shared" si="96"/>
        <v>0.85</v>
      </c>
      <c r="X1541" s="152">
        <f t="shared" si="95"/>
        <v>8.4000000000000005E-2</v>
      </c>
      <c r="Y1541" s="150">
        <f t="shared" si="94"/>
        <v>1.01</v>
      </c>
      <c r="Z1541" s="152"/>
      <c r="AC1541" s="154"/>
      <c r="AD1541" s="154"/>
      <c r="AE1541" s="154"/>
      <c r="AF1541" s="154"/>
    </row>
    <row r="1542" spans="1:32" x14ac:dyDescent="0.25">
      <c r="A1542" s="196">
        <v>704</v>
      </c>
      <c r="B1542" s="196" t="s">
        <v>7800</v>
      </c>
      <c r="C1542" s="196" t="s">
        <v>7801</v>
      </c>
      <c r="D1542" s="196" t="s">
        <v>1876</v>
      </c>
      <c r="E1542" s="196" t="s">
        <v>2032</v>
      </c>
      <c r="F1542" s="196">
        <v>2012</v>
      </c>
      <c r="H1542" s="196" t="s">
        <v>1878</v>
      </c>
      <c r="I1542" s="184" t="s">
        <v>1929</v>
      </c>
      <c r="K1542" s="196" t="s">
        <v>1881</v>
      </c>
      <c r="L1542" s="184" t="s">
        <v>7802</v>
      </c>
      <c r="M1542" s="196">
        <v>256</v>
      </c>
      <c r="O1542" s="196" t="s">
        <v>5676</v>
      </c>
      <c r="P1542" s="17">
        <v>290</v>
      </c>
      <c r="Q1542" s="175">
        <f t="shared" si="97"/>
        <v>1.3338000000000001</v>
      </c>
      <c r="R1542" s="199">
        <v>0.99</v>
      </c>
      <c r="T1542" s="149">
        <v>0.35</v>
      </c>
      <c r="U1542" s="149"/>
      <c r="V1542" s="149">
        <v>0.25</v>
      </c>
      <c r="W1542" s="149">
        <f t="shared" si="96"/>
        <v>0.99</v>
      </c>
      <c r="X1542" s="152">
        <f t="shared" si="95"/>
        <v>9.3799999999999994E-2</v>
      </c>
      <c r="Y1542" s="150">
        <f t="shared" si="94"/>
        <v>1.01</v>
      </c>
      <c r="Z1542" s="152"/>
      <c r="AC1542" s="154"/>
      <c r="AD1542" s="154"/>
      <c r="AE1542" s="154"/>
      <c r="AF1542" s="154"/>
    </row>
    <row r="1543" spans="1:32" x14ac:dyDescent="0.25">
      <c r="A1543" s="196">
        <v>1327</v>
      </c>
      <c r="B1543" s="196" t="s">
        <v>7803</v>
      </c>
      <c r="C1543" s="196" t="s">
        <v>7804</v>
      </c>
      <c r="D1543" s="196" t="s">
        <v>7718</v>
      </c>
      <c r="F1543" s="196">
        <v>1988</v>
      </c>
      <c r="H1543" s="196" t="s">
        <v>2734</v>
      </c>
      <c r="I1543" s="184" t="s">
        <v>1879</v>
      </c>
      <c r="K1543" s="196" t="s">
        <v>1881</v>
      </c>
      <c r="L1543" s="184" t="s">
        <v>7805</v>
      </c>
      <c r="M1543" s="196">
        <v>306</v>
      </c>
      <c r="O1543" s="196" t="s">
        <v>5677</v>
      </c>
      <c r="P1543" s="17">
        <v>449</v>
      </c>
      <c r="Q1543" s="175">
        <f t="shared" si="97"/>
        <v>1.0127999999999999</v>
      </c>
      <c r="R1543" s="199">
        <v>0.69</v>
      </c>
      <c r="T1543" s="149">
        <v>0.35</v>
      </c>
      <c r="U1543" s="149"/>
      <c r="V1543" s="149">
        <v>0.25</v>
      </c>
      <c r="W1543" s="149">
        <f t="shared" si="96"/>
        <v>0.69</v>
      </c>
      <c r="X1543" s="152">
        <f t="shared" si="95"/>
        <v>7.2800000000000004E-2</v>
      </c>
      <c r="Y1543" s="150">
        <f t="shared" si="94"/>
        <v>1.01</v>
      </c>
      <c r="Z1543" s="152"/>
      <c r="AC1543" s="154"/>
      <c r="AD1543" s="154"/>
      <c r="AE1543" s="154"/>
      <c r="AF1543" s="154"/>
    </row>
    <row r="1544" spans="1:32" x14ac:dyDescent="0.25">
      <c r="A1544" s="196">
        <v>1386</v>
      </c>
      <c r="B1544" s="196" t="s">
        <v>7806</v>
      </c>
      <c r="C1544" s="196" t="s">
        <v>7807</v>
      </c>
      <c r="D1544" s="196" t="s">
        <v>5005</v>
      </c>
      <c r="F1544" s="196">
        <v>1996</v>
      </c>
      <c r="H1544" s="196" t="s">
        <v>2734</v>
      </c>
      <c r="I1544" s="184" t="s">
        <v>1929</v>
      </c>
      <c r="K1544" s="196" t="s">
        <v>1881</v>
      </c>
      <c r="M1544" s="196">
        <v>354</v>
      </c>
      <c r="O1544" s="196" t="s">
        <v>5678</v>
      </c>
      <c r="P1544" s="17">
        <v>504</v>
      </c>
      <c r="Q1544" s="175">
        <f t="shared" si="97"/>
        <v>0.64900000000000002</v>
      </c>
      <c r="T1544" s="149">
        <v>0.35</v>
      </c>
      <c r="U1544" s="149"/>
      <c r="V1544" s="149">
        <v>0.25</v>
      </c>
      <c r="W1544" s="149">
        <f t="shared" si="96"/>
        <v>0.35</v>
      </c>
      <c r="X1544" s="152">
        <f t="shared" si="95"/>
        <v>4.8999999999999995E-2</v>
      </c>
      <c r="Y1544" s="150">
        <f t="shared" si="94"/>
        <v>1.01</v>
      </c>
      <c r="Z1544" s="152"/>
      <c r="AC1544" s="154"/>
      <c r="AD1544" s="154"/>
      <c r="AE1544" s="154"/>
      <c r="AF1544" s="154"/>
    </row>
    <row r="1545" spans="1:32" x14ac:dyDescent="0.25">
      <c r="A1545" s="196">
        <v>2514</v>
      </c>
      <c r="B1545" s="196" t="s">
        <v>7808</v>
      </c>
      <c r="C1545" s="196" t="s">
        <v>7809</v>
      </c>
      <c r="D1545" s="196" t="s">
        <v>4669</v>
      </c>
      <c r="H1545" s="196" t="s">
        <v>2734</v>
      </c>
      <c r="I1545" s="184" t="s">
        <v>7527</v>
      </c>
      <c r="K1545" s="196" t="s">
        <v>1881</v>
      </c>
      <c r="L1545" s="184" t="s">
        <v>7811</v>
      </c>
      <c r="M1545" s="196">
        <v>132</v>
      </c>
      <c r="O1545" s="196" t="s">
        <v>5679</v>
      </c>
      <c r="P1545" s="17">
        <v>273</v>
      </c>
      <c r="Q1545" s="175">
        <f t="shared" si="97"/>
        <v>1.5585</v>
      </c>
      <c r="R1545" s="199">
        <v>1.2</v>
      </c>
      <c r="T1545" s="149">
        <v>0.35</v>
      </c>
      <c r="U1545" s="149"/>
      <c r="V1545" s="149">
        <v>0.25</v>
      </c>
      <c r="W1545" s="149">
        <f t="shared" si="96"/>
        <v>1.2</v>
      </c>
      <c r="X1545" s="152">
        <f t="shared" si="95"/>
        <v>0.10849999999999999</v>
      </c>
      <c r="Y1545" s="150">
        <f t="shared" si="94"/>
        <v>1.01</v>
      </c>
      <c r="Z1545" s="152"/>
      <c r="AC1545" s="154"/>
      <c r="AD1545" s="154"/>
      <c r="AE1545" s="154"/>
      <c r="AF1545" s="154"/>
    </row>
    <row r="1546" spans="1:32" x14ac:dyDescent="0.25">
      <c r="A1546" s="196">
        <v>2514</v>
      </c>
      <c r="B1546" s="196" t="s">
        <v>7808</v>
      </c>
      <c r="C1546" s="196" t="s">
        <v>7810</v>
      </c>
      <c r="D1546" s="196" t="s">
        <v>4669</v>
      </c>
      <c r="H1546" s="196" t="s">
        <v>2734</v>
      </c>
      <c r="I1546" s="184" t="s">
        <v>7527</v>
      </c>
      <c r="K1546" s="196" t="s">
        <v>1881</v>
      </c>
      <c r="L1546" s="184" t="s">
        <v>7812</v>
      </c>
      <c r="M1546" s="196">
        <v>134</v>
      </c>
      <c r="O1546" s="196" t="s">
        <v>5680</v>
      </c>
      <c r="P1546" s="17">
        <v>268</v>
      </c>
      <c r="Q1546" s="175">
        <f t="shared" si="97"/>
        <v>3.0457999999999998</v>
      </c>
      <c r="R1546" s="199">
        <v>2.59</v>
      </c>
      <c r="T1546" s="149">
        <v>0.35</v>
      </c>
      <c r="U1546" s="149"/>
      <c r="V1546" s="149">
        <v>0.25</v>
      </c>
      <c r="W1546" s="149">
        <f t="shared" si="96"/>
        <v>2.59</v>
      </c>
      <c r="X1546" s="152">
        <f t="shared" si="95"/>
        <v>0.20579999999999998</v>
      </c>
      <c r="Y1546" s="150">
        <f t="shared" si="94"/>
        <v>1.01</v>
      </c>
      <c r="Z1546" s="152"/>
      <c r="AC1546" s="154"/>
      <c r="AD1546" s="154"/>
      <c r="AE1546" s="154"/>
      <c r="AF1546" s="154"/>
    </row>
    <row r="1547" spans="1:32" x14ac:dyDescent="0.25">
      <c r="A1547" s="196">
        <v>2894</v>
      </c>
      <c r="C1547" s="196" t="s">
        <v>7813</v>
      </c>
      <c r="D1547" s="196" t="s">
        <v>7280</v>
      </c>
      <c r="E1547" s="182" t="s">
        <v>1877</v>
      </c>
      <c r="F1547" s="196">
        <v>2013</v>
      </c>
      <c r="H1547" s="196" t="s">
        <v>1878</v>
      </c>
      <c r="I1547" s="184" t="s">
        <v>1929</v>
      </c>
      <c r="K1547" s="196" t="s">
        <v>1881</v>
      </c>
      <c r="L1547" s="184" t="s">
        <v>7814</v>
      </c>
      <c r="M1547" s="196">
        <v>30</v>
      </c>
      <c r="O1547" s="196" t="s">
        <v>5681</v>
      </c>
      <c r="P1547" s="17">
        <v>54</v>
      </c>
      <c r="Q1547" s="175">
        <f t="shared" si="97"/>
        <v>0.64900000000000002</v>
      </c>
      <c r="R1547" s="199">
        <v>0.25</v>
      </c>
      <c r="T1547" s="149">
        <v>0.35</v>
      </c>
      <c r="U1547" s="149"/>
      <c r="V1547" s="149">
        <v>0.25</v>
      </c>
      <c r="W1547" s="149">
        <f t="shared" si="96"/>
        <v>0.35</v>
      </c>
      <c r="X1547" s="152">
        <f t="shared" si="95"/>
        <v>4.8999999999999995E-2</v>
      </c>
      <c r="Y1547" s="150">
        <f t="shared" si="94"/>
        <v>1.01</v>
      </c>
      <c r="Z1547" s="152"/>
      <c r="AC1547" s="154"/>
      <c r="AD1547" s="154"/>
      <c r="AE1547" s="154"/>
      <c r="AF1547" s="154"/>
    </row>
    <row r="1548" spans="1:32" x14ac:dyDescent="0.25">
      <c r="A1548" s="196">
        <v>1221</v>
      </c>
      <c r="B1548" s="196" t="s">
        <v>7815</v>
      </c>
      <c r="C1548" s="196" t="s">
        <v>7816</v>
      </c>
      <c r="D1548" s="196" t="s">
        <v>2300</v>
      </c>
      <c r="E1548" s="196" t="s">
        <v>1913</v>
      </c>
      <c r="F1548" s="196">
        <v>2002</v>
      </c>
      <c r="H1548" s="196" t="s">
        <v>2734</v>
      </c>
      <c r="I1548" s="184" t="s">
        <v>7817</v>
      </c>
      <c r="K1548" s="196" t="s">
        <v>1881</v>
      </c>
      <c r="L1548" s="184" t="s">
        <v>7818</v>
      </c>
      <c r="M1548" s="196">
        <v>146</v>
      </c>
      <c r="O1548" s="196" t="s">
        <v>5682</v>
      </c>
      <c r="P1548" s="17">
        <v>349</v>
      </c>
      <c r="Q1548" s="175">
        <f t="shared" si="97"/>
        <v>1.5585</v>
      </c>
      <c r="R1548" s="199">
        <v>1.2</v>
      </c>
      <c r="T1548" s="149">
        <v>0.35</v>
      </c>
      <c r="U1548" s="149"/>
      <c r="V1548" s="149">
        <v>0.25</v>
      </c>
      <c r="W1548" s="149">
        <f t="shared" si="96"/>
        <v>1.2</v>
      </c>
      <c r="X1548" s="152">
        <f t="shared" si="95"/>
        <v>0.10849999999999999</v>
      </c>
      <c r="Y1548" s="150">
        <f t="shared" si="94"/>
        <v>1.01</v>
      </c>
      <c r="Z1548" s="152"/>
      <c r="AC1548" s="154"/>
      <c r="AD1548" s="154"/>
      <c r="AE1548" s="154"/>
      <c r="AF1548" s="154"/>
    </row>
    <row r="1549" spans="1:32" x14ac:dyDescent="0.25">
      <c r="A1549" s="196">
        <v>739</v>
      </c>
      <c r="B1549" s="196" t="s">
        <v>7820</v>
      </c>
      <c r="C1549" s="196" t="s">
        <v>7819</v>
      </c>
      <c r="D1549" s="196" t="s">
        <v>7821</v>
      </c>
      <c r="E1549" s="196" t="s">
        <v>2175</v>
      </c>
      <c r="F1549" s="196">
        <v>1986</v>
      </c>
      <c r="H1549" s="196" t="s">
        <v>1878</v>
      </c>
      <c r="I1549" s="184" t="s">
        <v>1879</v>
      </c>
      <c r="K1549" s="196" t="s">
        <v>1881</v>
      </c>
      <c r="M1549" s="196">
        <v>136</v>
      </c>
      <c r="O1549" s="196" t="s">
        <v>5683</v>
      </c>
      <c r="P1549" s="17">
        <v>174</v>
      </c>
      <c r="Q1549" s="175">
        <f t="shared" si="97"/>
        <v>0.64900000000000002</v>
      </c>
      <c r="T1549" s="149">
        <v>0.35</v>
      </c>
      <c r="U1549" s="149"/>
      <c r="V1549" s="149">
        <v>0.25</v>
      </c>
      <c r="W1549" s="149">
        <f t="shared" si="96"/>
        <v>0.35</v>
      </c>
      <c r="X1549" s="152">
        <f t="shared" si="95"/>
        <v>4.8999999999999995E-2</v>
      </c>
      <c r="Y1549" s="150">
        <f t="shared" si="94"/>
        <v>1.01</v>
      </c>
      <c r="Z1549" s="152"/>
      <c r="AC1549" s="154"/>
      <c r="AD1549" s="154"/>
      <c r="AE1549" s="154"/>
      <c r="AF1549" s="154"/>
    </row>
    <row r="1550" spans="1:32" x14ac:dyDescent="0.25">
      <c r="A1550" s="196">
        <v>2547</v>
      </c>
      <c r="B1550" s="196" t="s">
        <v>2456</v>
      </c>
      <c r="C1550" s="196" t="s">
        <v>7822</v>
      </c>
      <c r="D1550" s="196" t="s">
        <v>5005</v>
      </c>
      <c r="F1550" s="196">
        <v>2003</v>
      </c>
      <c r="H1550" s="196" t="s">
        <v>2734</v>
      </c>
      <c r="I1550" s="184" t="s">
        <v>1879</v>
      </c>
      <c r="K1550" s="196" t="s">
        <v>1881</v>
      </c>
      <c r="M1550" s="196">
        <v>610</v>
      </c>
      <c r="O1550" s="196" t="s">
        <v>5684</v>
      </c>
      <c r="P1550" s="17">
        <v>715</v>
      </c>
      <c r="Q1550" s="175">
        <f t="shared" si="97"/>
        <v>0.64900000000000002</v>
      </c>
      <c r="T1550" s="149">
        <v>0.35</v>
      </c>
      <c r="U1550" s="149"/>
      <c r="V1550" s="149">
        <v>0.25</v>
      </c>
      <c r="W1550" s="149">
        <f t="shared" si="96"/>
        <v>0.35</v>
      </c>
      <c r="X1550" s="152">
        <f t="shared" si="95"/>
        <v>4.8999999999999995E-2</v>
      </c>
      <c r="Y1550" s="150">
        <f t="shared" si="94"/>
        <v>1.01</v>
      </c>
      <c r="Z1550" s="152"/>
      <c r="AC1550" s="154"/>
      <c r="AD1550" s="154"/>
      <c r="AE1550" s="154"/>
      <c r="AF1550" s="154"/>
    </row>
    <row r="1551" spans="1:32" x14ac:dyDescent="0.25">
      <c r="A1551" s="196">
        <v>1386</v>
      </c>
      <c r="B1551" s="196" t="s">
        <v>7823</v>
      </c>
      <c r="C1551" s="196" t="s">
        <v>7824</v>
      </c>
      <c r="D1551" s="196" t="s">
        <v>2850</v>
      </c>
      <c r="F1551" s="196">
        <v>2011</v>
      </c>
      <c r="H1551" s="196" t="s">
        <v>2734</v>
      </c>
      <c r="I1551" s="184" t="s">
        <v>1929</v>
      </c>
      <c r="J1551" s="52" t="s">
        <v>3854</v>
      </c>
      <c r="K1551" s="196" t="s">
        <v>1881</v>
      </c>
      <c r="L1551" s="184" t="s">
        <v>7825</v>
      </c>
      <c r="M1551" s="196">
        <v>466</v>
      </c>
      <c r="O1551" s="196" t="s">
        <v>5685</v>
      </c>
      <c r="P1551" s="17">
        <v>676</v>
      </c>
      <c r="Q1551" s="175">
        <f t="shared" si="97"/>
        <v>1.3338000000000001</v>
      </c>
      <c r="R1551" s="199">
        <v>0.99</v>
      </c>
      <c r="T1551" s="149">
        <v>0.35</v>
      </c>
      <c r="U1551" s="149"/>
      <c r="V1551" s="149">
        <v>0.25</v>
      </c>
      <c r="W1551" s="149">
        <f t="shared" si="96"/>
        <v>0.99</v>
      </c>
      <c r="X1551" s="152">
        <f t="shared" si="95"/>
        <v>9.3799999999999994E-2</v>
      </c>
      <c r="Y1551" s="150">
        <f t="shared" si="94"/>
        <v>1.01</v>
      </c>
      <c r="Z1551" s="152"/>
      <c r="AC1551" s="154"/>
      <c r="AD1551" s="154"/>
      <c r="AE1551" s="154"/>
      <c r="AF1551" s="154"/>
    </row>
    <row r="1552" spans="1:32" x14ac:dyDescent="0.25">
      <c r="A1552" s="196">
        <v>2522</v>
      </c>
      <c r="B1552" s="196" t="s">
        <v>7826</v>
      </c>
      <c r="C1552" s="196" t="s">
        <v>7827</v>
      </c>
      <c r="D1552" s="196" t="s">
        <v>1912</v>
      </c>
      <c r="E1552" s="196" t="s">
        <v>1877</v>
      </c>
      <c r="F1552" s="196">
        <v>2014</v>
      </c>
      <c r="H1552" s="196" t="s">
        <v>1878</v>
      </c>
      <c r="I1552" s="184" t="s">
        <v>1879</v>
      </c>
      <c r="J1552" s="52" t="s">
        <v>3854</v>
      </c>
      <c r="K1552" s="196" t="s">
        <v>1881</v>
      </c>
      <c r="L1552" s="184" t="s">
        <v>7828</v>
      </c>
      <c r="M1552" s="196">
        <v>448</v>
      </c>
      <c r="O1552" s="196" t="s">
        <v>5686</v>
      </c>
      <c r="P1552" s="17">
        <v>360</v>
      </c>
      <c r="Q1552" s="175">
        <f t="shared" si="97"/>
        <v>0.69179999999999997</v>
      </c>
      <c r="R1552" s="199">
        <v>0.39</v>
      </c>
      <c r="T1552" s="149">
        <v>0.35</v>
      </c>
      <c r="U1552" s="149"/>
      <c r="V1552" s="149">
        <v>0.25</v>
      </c>
      <c r="W1552" s="149">
        <f t="shared" si="96"/>
        <v>0.39</v>
      </c>
      <c r="X1552" s="152">
        <f t="shared" si="95"/>
        <v>5.1799999999999999E-2</v>
      </c>
      <c r="Y1552" s="150">
        <f t="shared" si="94"/>
        <v>1.01</v>
      </c>
      <c r="Z1552" s="152"/>
      <c r="AC1552" s="154"/>
      <c r="AD1552" s="154"/>
      <c r="AE1552" s="154"/>
      <c r="AF1552" s="154"/>
    </row>
    <row r="1553" spans="1:32" x14ac:dyDescent="0.25">
      <c r="A1553" s="196">
        <v>2522</v>
      </c>
      <c r="B1553" s="196" t="s">
        <v>7829</v>
      </c>
      <c r="C1553" s="196" t="s">
        <v>7830</v>
      </c>
      <c r="D1553" s="196" t="s">
        <v>2850</v>
      </c>
      <c r="F1553" s="196">
        <v>2010</v>
      </c>
      <c r="H1553" s="196" t="s">
        <v>2734</v>
      </c>
      <c r="I1553" s="184" t="s">
        <v>1929</v>
      </c>
      <c r="K1553" s="196" t="s">
        <v>1881</v>
      </c>
      <c r="L1553" s="184" t="s">
        <v>7831</v>
      </c>
      <c r="M1553" s="196">
        <v>402</v>
      </c>
      <c r="O1553" s="196" t="s">
        <v>5687</v>
      </c>
      <c r="P1553" s="17">
        <v>649</v>
      </c>
      <c r="Q1553" s="175">
        <f t="shared" si="97"/>
        <v>1.8688</v>
      </c>
      <c r="R1553" s="199">
        <v>1.49</v>
      </c>
      <c r="T1553" s="149">
        <v>0.35</v>
      </c>
      <c r="U1553" s="149"/>
      <c r="V1553" s="149">
        <v>0.25</v>
      </c>
      <c r="W1553" s="149">
        <f t="shared" si="96"/>
        <v>1.49</v>
      </c>
      <c r="X1553" s="152">
        <f t="shared" si="95"/>
        <v>0.1288</v>
      </c>
      <c r="Y1553" s="150">
        <f t="shared" si="94"/>
        <v>1.01</v>
      </c>
      <c r="Z1553" s="152"/>
      <c r="AC1553" s="154"/>
      <c r="AD1553" s="154"/>
      <c r="AE1553" s="154"/>
      <c r="AF1553" s="154"/>
    </row>
    <row r="1554" spans="1:32" x14ac:dyDescent="0.25">
      <c r="A1554" s="196">
        <v>632</v>
      </c>
      <c r="B1554" s="196" t="s">
        <v>3832</v>
      </c>
      <c r="C1554" s="196" t="s">
        <v>7832</v>
      </c>
      <c r="D1554" s="196" t="s">
        <v>2386</v>
      </c>
      <c r="F1554" s="196">
        <v>2002</v>
      </c>
      <c r="H1554" s="196" t="s">
        <v>2734</v>
      </c>
      <c r="I1554" s="184" t="s">
        <v>1879</v>
      </c>
      <c r="K1554" s="196" t="s">
        <v>1881</v>
      </c>
      <c r="L1554" s="184" t="s">
        <v>7833</v>
      </c>
      <c r="M1554" s="196">
        <v>546</v>
      </c>
      <c r="O1554" s="196" t="s">
        <v>5688</v>
      </c>
      <c r="P1554" s="17">
        <v>750</v>
      </c>
      <c r="Q1554" s="175">
        <f t="shared" si="97"/>
        <v>0.64900000000000002</v>
      </c>
      <c r="R1554" s="199">
        <v>0.35</v>
      </c>
      <c r="T1554" s="149">
        <v>0.35</v>
      </c>
      <c r="U1554" s="149"/>
      <c r="V1554" s="149">
        <v>0.25</v>
      </c>
      <c r="W1554" s="149">
        <f t="shared" si="96"/>
        <v>0.35</v>
      </c>
      <c r="X1554" s="152">
        <f t="shared" si="95"/>
        <v>4.8999999999999995E-2</v>
      </c>
      <c r="Y1554" s="150">
        <f t="shared" si="94"/>
        <v>1.01</v>
      </c>
      <c r="Z1554" s="152"/>
      <c r="AC1554" s="154"/>
      <c r="AD1554" s="154"/>
      <c r="AE1554" s="154"/>
      <c r="AF1554" s="154"/>
    </row>
    <row r="1555" spans="1:32" x14ac:dyDescent="0.25">
      <c r="A1555" s="196">
        <v>692</v>
      </c>
      <c r="B1555" s="196" t="s">
        <v>7834</v>
      </c>
      <c r="C1555" s="196" t="s">
        <v>7835</v>
      </c>
      <c r="D1555" s="196" t="s">
        <v>5766</v>
      </c>
      <c r="F1555" s="196">
        <v>2004</v>
      </c>
      <c r="H1555" s="196" t="s">
        <v>2734</v>
      </c>
      <c r="I1555" s="184" t="s">
        <v>1879</v>
      </c>
      <c r="K1555" s="196" t="s">
        <v>1881</v>
      </c>
      <c r="L1555" s="184" t="s">
        <v>7836</v>
      </c>
      <c r="M1555" s="196">
        <v>162</v>
      </c>
      <c r="O1555" s="196" t="s">
        <v>5689</v>
      </c>
      <c r="P1555" s="17">
        <v>284</v>
      </c>
      <c r="Q1555" s="175">
        <f t="shared" si="97"/>
        <v>2.2967999999999997</v>
      </c>
      <c r="R1555" s="199">
        <v>1.89</v>
      </c>
      <c r="T1555" s="149">
        <v>0.35</v>
      </c>
      <c r="U1555" s="149"/>
      <c r="V1555" s="149">
        <v>0.25</v>
      </c>
      <c r="W1555" s="149">
        <f t="shared" si="96"/>
        <v>1.89</v>
      </c>
      <c r="X1555" s="152">
        <f t="shared" si="95"/>
        <v>0.15679999999999997</v>
      </c>
      <c r="Y1555" s="150">
        <f t="shared" si="94"/>
        <v>1.01</v>
      </c>
      <c r="Z1555" s="152"/>
      <c r="AC1555" s="154"/>
      <c r="AD1555" s="154"/>
      <c r="AE1555" s="154"/>
      <c r="AF1555" s="154"/>
    </row>
    <row r="1556" spans="1:32" x14ac:dyDescent="0.25">
      <c r="Y1556" s="150">
        <f t="shared" si="94"/>
        <v>1.01</v>
      </c>
    </row>
    <row r="1557" spans="1:32" x14ac:dyDescent="0.25">
      <c r="A1557" s="196">
        <v>1395</v>
      </c>
      <c r="B1557" s="196" t="s">
        <v>7840</v>
      </c>
      <c r="C1557" s="196" t="s">
        <v>7841</v>
      </c>
      <c r="D1557" s="196" t="s">
        <v>3895</v>
      </c>
      <c r="F1557" s="196">
        <v>2002</v>
      </c>
      <c r="H1557" s="196" t="s">
        <v>1878</v>
      </c>
      <c r="I1557" s="184" t="s">
        <v>1879</v>
      </c>
      <c r="K1557" s="196" t="s">
        <v>1881</v>
      </c>
      <c r="L1557" s="184" t="s">
        <v>7842</v>
      </c>
      <c r="M1557" s="196">
        <v>480</v>
      </c>
      <c r="O1557" s="196" t="s">
        <v>5691</v>
      </c>
      <c r="P1557" s="17">
        <v>408</v>
      </c>
      <c r="Q1557" s="175">
        <f t="shared" si="97"/>
        <v>0.75600000000000001</v>
      </c>
      <c r="R1557" s="199">
        <v>0.45</v>
      </c>
      <c r="T1557" s="149">
        <v>0.35</v>
      </c>
      <c r="U1557" s="149"/>
      <c r="V1557" s="149">
        <v>0.25</v>
      </c>
      <c r="W1557" s="149">
        <f t="shared" si="96"/>
        <v>0.45</v>
      </c>
      <c r="X1557" s="152">
        <f t="shared" si="95"/>
        <v>5.6000000000000001E-2</v>
      </c>
      <c r="Y1557" s="150">
        <f t="shared" si="94"/>
        <v>1.01</v>
      </c>
      <c r="Z1557" s="152"/>
      <c r="AC1557" s="154"/>
      <c r="AD1557" s="154"/>
      <c r="AE1557" s="154"/>
      <c r="AF1557" s="154"/>
    </row>
    <row r="1558" spans="1:32" x14ac:dyDescent="0.25">
      <c r="A1558" s="196">
        <v>632</v>
      </c>
      <c r="B1558" s="196" t="s">
        <v>2467</v>
      </c>
      <c r="C1558" s="196" t="s">
        <v>7843</v>
      </c>
      <c r="D1558" s="196" t="s">
        <v>2257</v>
      </c>
      <c r="F1558" s="196">
        <v>2004</v>
      </c>
      <c r="H1558" s="196" t="s">
        <v>1878</v>
      </c>
      <c r="I1558" s="184" t="s">
        <v>1914</v>
      </c>
      <c r="K1558" s="196" t="s">
        <v>1881</v>
      </c>
      <c r="L1558" s="184" t="s">
        <v>7844</v>
      </c>
      <c r="M1558" s="196">
        <v>608</v>
      </c>
      <c r="O1558" s="196" t="s">
        <v>5692</v>
      </c>
      <c r="P1558" s="17">
        <v>456</v>
      </c>
      <c r="Q1558" s="175">
        <f t="shared" si="97"/>
        <v>0.64900000000000002</v>
      </c>
      <c r="R1558" s="199">
        <v>0.25</v>
      </c>
      <c r="T1558" s="149">
        <v>0.35</v>
      </c>
      <c r="U1558" s="149"/>
      <c r="V1558" s="149">
        <v>0.25</v>
      </c>
      <c r="W1558" s="149">
        <f t="shared" si="96"/>
        <v>0.35</v>
      </c>
      <c r="X1558" s="152">
        <f t="shared" si="95"/>
        <v>4.8999999999999995E-2</v>
      </c>
      <c r="Y1558" s="150">
        <f t="shared" si="94"/>
        <v>1.01</v>
      </c>
      <c r="Z1558" s="152"/>
      <c r="AC1558" s="154"/>
      <c r="AD1558" s="154"/>
      <c r="AE1558" s="154"/>
      <c r="AF1558" s="154"/>
    </row>
    <row r="1559" spans="1:32" x14ac:dyDescent="0.25">
      <c r="A1559" s="196">
        <v>632</v>
      </c>
      <c r="B1559" s="196" t="s">
        <v>7845</v>
      </c>
      <c r="C1559" s="196" t="s">
        <v>7846</v>
      </c>
      <c r="D1559" s="196" t="s">
        <v>7847</v>
      </c>
      <c r="E1559" s="196" t="s">
        <v>2937</v>
      </c>
      <c r="F1559" s="196">
        <v>1999</v>
      </c>
      <c r="H1559" s="196" t="s">
        <v>2734</v>
      </c>
      <c r="I1559" s="184" t="s">
        <v>1879</v>
      </c>
      <c r="K1559" s="196" t="s">
        <v>1881</v>
      </c>
      <c r="L1559" s="184" t="s">
        <v>7848</v>
      </c>
      <c r="M1559" s="196">
        <v>642</v>
      </c>
      <c r="O1559" s="196" t="s">
        <v>5693</v>
      </c>
      <c r="P1559" s="17">
        <v>700</v>
      </c>
      <c r="Q1559" s="175">
        <f t="shared" si="97"/>
        <v>10.963800000000001</v>
      </c>
      <c r="R1559" s="199">
        <v>9.99</v>
      </c>
      <c r="T1559" s="149">
        <v>0.35</v>
      </c>
      <c r="U1559" s="149"/>
      <c r="V1559" s="149">
        <v>0.25</v>
      </c>
      <c r="W1559" s="149">
        <f t="shared" si="96"/>
        <v>9.99</v>
      </c>
      <c r="X1559" s="152">
        <f t="shared" si="95"/>
        <v>0.7238</v>
      </c>
      <c r="Y1559" s="150">
        <f t="shared" si="94"/>
        <v>1.01</v>
      </c>
      <c r="Z1559" s="152"/>
      <c r="AC1559" s="154"/>
      <c r="AD1559" s="154"/>
      <c r="AE1559" s="154"/>
      <c r="AF1559" s="154"/>
    </row>
    <row r="1560" spans="1:32" x14ac:dyDescent="0.25">
      <c r="Y1560" s="150">
        <f t="shared" si="94"/>
        <v>1.01</v>
      </c>
    </row>
    <row r="1561" spans="1:32" x14ac:dyDescent="0.25">
      <c r="A1561" s="196">
        <v>634</v>
      </c>
      <c r="B1561" s="196" t="s">
        <v>7852</v>
      </c>
      <c r="C1561" s="196" t="s">
        <v>7853</v>
      </c>
      <c r="D1561" s="196" t="s">
        <v>2209</v>
      </c>
      <c r="E1561" s="196" t="s">
        <v>2032</v>
      </c>
      <c r="F1561" s="196">
        <v>1999</v>
      </c>
      <c r="H1561" s="196" t="s">
        <v>1878</v>
      </c>
      <c r="I1561" s="184" t="s">
        <v>1914</v>
      </c>
      <c r="K1561" s="196" t="s">
        <v>1881</v>
      </c>
      <c r="L1561" s="184" t="s">
        <v>7854</v>
      </c>
      <c r="M1561" s="196">
        <v>496</v>
      </c>
      <c r="O1561" s="196" t="s">
        <v>5695</v>
      </c>
      <c r="P1561" s="17">
        <v>332</v>
      </c>
      <c r="Q1561" s="175">
        <f t="shared" si="97"/>
        <v>1.3338000000000001</v>
      </c>
      <c r="R1561" s="199">
        <v>0.99</v>
      </c>
      <c r="T1561" s="149">
        <v>0.35</v>
      </c>
      <c r="U1561" s="149"/>
      <c r="V1561" s="149">
        <v>0.25</v>
      </c>
      <c r="W1561" s="149">
        <f t="shared" si="96"/>
        <v>0.99</v>
      </c>
      <c r="X1561" s="152">
        <f t="shared" si="95"/>
        <v>9.3799999999999994E-2</v>
      </c>
      <c r="Y1561" s="150">
        <f t="shared" si="94"/>
        <v>1.01</v>
      </c>
      <c r="Z1561" s="152"/>
      <c r="AC1561" s="154"/>
      <c r="AD1561" s="154"/>
      <c r="AE1561" s="154"/>
      <c r="AF1561" s="154"/>
    </row>
    <row r="1562" spans="1:32" x14ac:dyDescent="0.25">
      <c r="A1562" s="196">
        <v>1386</v>
      </c>
      <c r="B1562" s="196" t="s">
        <v>7855</v>
      </c>
      <c r="C1562" s="196" t="s">
        <v>7856</v>
      </c>
      <c r="D1562" s="196" t="s">
        <v>2209</v>
      </c>
      <c r="F1562" s="196">
        <v>2008</v>
      </c>
      <c r="H1562" s="196" t="s">
        <v>1878</v>
      </c>
      <c r="I1562" s="184" t="s">
        <v>1914</v>
      </c>
      <c r="J1562" s="182" t="s">
        <v>7858</v>
      </c>
      <c r="K1562" s="196" t="s">
        <v>1881</v>
      </c>
      <c r="L1562" s="184" t="s">
        <v>7857</v>
      </c>
      <c r="M1562" s="196">
        <v>416</v>
      </c>
      <c r="O1562" s="196" t="s">
        <v>6557</v>
      </c>
      <c r="P1562" s="17">
        <v>337</v>
      </c>
      <c r="Q1562" s="175">
        <f t="shared" si="97"/>
        <v>0.64900000000000002</v>
      </c>
      <c r="R1562" s="199">
        <v>0.25</v>
      </c>
      <c r="T1562" s="149">
        <v>0.35</v>
      </c>
      <c r="U1562" s="149"/>
      <c r="V1562" s="149">
        <v>0.25</v>
      </c>
      <c r="W1562" s="149">
        <f t="shared" si="96"/>
        <v>0.35</v>
      </c>
      <c r="X1562" s="152">
        <f t="shared" si="95"/>
        <v>4.8999999999999995E-2</v>
      </c>
      <c r="Y1562" s="150">
        <f t="shared" si="94"/>
        <v>1.01</v>
      </c>
      <c r="Z1562" s="152"/>
      <c r="AC1562" s="154"/>
      <c r="AD1562" s="154"/>
      <c r="AE1562" s="154"/>
      <c r="AF1562" s="154"/>
    </row>
    <row r="1563" spans="1:32" x14ac:dyDescent="0.25">
      <c r="A1563" s="196">
        <v>2522</v>
      </c>
      <c r="B1563" s="196" t="s">
        <v>5033</v>
      </c>
      <c r="C1563" s="196" t="s">
        <v>5034</v>
      </c>
      <c r="D1563" s="196" t="s">
        <v>1988</v>
      </c>
      <c r="E1563" s="196" t="s">
        <v>2937</v>
      </c>
      <c r="F1563" s="196">
        <v>2001</v>
      </c>
      <c r="H1563" s="196" t="s">
        <v>1878</v>
      </c>
      <c r="I1563" s="184" t="s">
        <v>1914</v>
      </c>
      <c r="K1563" s="196" t="s">
        <v>1881</v>
      </c>
      <c r="L1563" s="184" t="s">
        <v>5037</v>
      </c>
      <c r="M1563" s="196">
        <v>36</v>
      </c>
      <c r="O1563" s="196" t="s">
        <v>6558</v>
      </c>
      <c r="P1563" s="17">
        <v>246</v>
      </c>
      <c r="Q1563" s="175">
        <f t="shared" si="97"/>
        <v>0.64900000000000002</v>
      </c>
      <c r="R1563" s="199">
        <v>0.25</v>
      </c>
      <c r="T1563" s="149">
        <v>0.35</v>
      </c>
      <c r="U1563" s="149"/>
      <c r="V1563" s="149">
        <v>0.25</v>
      </c>
      <c r="W1563" s="149">
        <f t="shared" si="96"/>
        <v>0.35</v>
      </c>
      <c r="X1563" s="152">
        <f t="shared" si="95"/>
        <v>4.8999999999999995E-2</v>
      </c>
      <c r="Y1563" s="150">
        <f t="shared" si="94"/>
        <v>1.01</v>
      </c>
      <c r="Z1563" s="152"/>
      <c r="AC1563" s="154"/>
      <c r="AD1563" s="154"/>
      <c r="AE1563" s="154"/>
      <c r="AF1563" s="154"/>
    </row>
    <row r="1564" spans="1:32" x14ac:dyDescent="0.25">
      <c r="A1564" s="196">
        <v>721</v>
      </c>
      <c r="B1564" s="196" t="s">
        <v>7859</v>
      </c>
      <c r="C1564" s="196" t="s">
        <v>7860</v>
      </c>
      <c r="D1564" s="196" t="s">
        <v>4334</v>
      </c>
      <c r="H1564" s="196" t="s">
        <v>2734</v>
      </c>
      <c r="I1564" s="184" t="s">
        <v>1879</v>
      </c>
      <c r="K1564" s="196" t="s">
        <v>1881</v>
      </c>
      <c r="L1564" s="184" t="s">
        <v>7861</v>
      </c>
      <c r="M1564" s="196">
        <v>50</v>
      </c>
      <c r="O1564" s="196" t="s">
        <v>6559</v>
      </c>
      <c r="P1564" s="17">
        <v>516</v>
      </c>
      <c r="Q1564" s="175">
        <f t="shared" si="97"/>
        <v>0.64900000000000002</v>
      </c>
      <c r="T1564" s="149">
        <v>0.35</v>
      </c>
      <c r="U1564" s="149"/>
      <c r="V1564" s="149">
        <v>0.25</v>
      </c>
      <c r="W1564" s="149">
        <f t="shared" si="96"/>
        <v>0.35</v>
      </c>
      <c r="X1564" s="152">
        <f t="shared" si="95"/>
        <v>4.8999999999999995E-2</v>
      </c>
      <c r="Y1564" s="150">
        <f t="shared" si="94"/>
        <v>1.01</v>
      </c>
      <c r="Z1564" s="152"/>
      <c r="AC1564" s="154"/>
      <c r="AD1564" s="154"/>
      <c r="AE1564" s="154"/>
      <c r="AF1564" s="154"/>
    </row>
    <row r="1565" spans="1:32" x14ac:dyDescent="0.25">
      <c r="A1565" s="196">
        <v>2514</v>
      </c>
      <c r="C1565" s="196" t="s">
        <v>7862</v>
      </c>
      <c r="D1565" s="196" t="s">
        <v>7863</v>
      </c>
      <c r="F1565" s="196">
        <v>1993</v>
      </c>
      <c r="H1565" s="196" t="s">
        <v>2734</v>
      </c>
      <c r="I1565" s="184" t="s">
        <v>1879</v>
      </c>
      <c r="K1565" s="196" t="s">
        <v>1881</v>
      </c>
      <c r="L1565" s="184" t="s">
        <v>7864</v>
      </c>
      <c r="M1565" s="196">
        <v>82</v>
      </c>
      <c r="O1565" s="196" t="s">
        <v>6560</v>
      </c>
      <c r="P1565" s="17">
        <v>559</v>
      </c>
      <c r="Q1565" s="175">
        <f t="shared" si="97"/>
        <v>3.4738000000000002</v>
      </c>
      <c r="R1565" s="199">
        <v>2.99</v>
      </c>
      <c r="T1565" s="149">
        <v>0.35</v>
      </c>
      <c r="U1565" s="149"/>
      <c r="V1565" s="149">
        <v>0.25</v>
      </c>
      <c r="W1565" s="149">
        <f t="shared" si="96"/>
        <v>2.99</v>
      </c>
      <c r="X1565" s="152">
        <f t="shared" si="95"/>
        <v>0.23380000000000004</v>
      </c>
      <c r="Y1565" s="150">
        <f t="shared" si="94"/>
        <v>1.01</v>
      </c>
      <c r="Z1565" s="152"/>
      <c r="AC1565" s="154"/>
      <c r="AD1565" s="154"/>
      <c r="AE1565" s="154"/>
      <c r="AF1565" s="154"/>
    </row>
    <row r="1566" spans="1:32" x14ac:dyDescent="0.25">
      <c r="A1566" s="196">
        <v>721</v>
      </c>
      <c r="B1566" s="196" t="s">
        <v>7866</v>
      </c>
      <c r="C1566" s="196" t="s">
        <v>7865</v>
      </c>
      <c r="D1566" s="196" t="s">
        <v>7863</v>
      </c>
      <c r="F1566" s="196">
        <v>2005</v>
      </c>
      <c r="H1566" s="196" t="s">
        <v>2734</v>
      </c>
      <c r="I1566" s="184" t="s">
        <v>1879</v>
      </c>
      <c r="K1566" s="196" t="s">
        <v>1881</v>
      </c>
      <c r="L1566" s="184" t="s">
        <v>7867</v>
      </c>
      <c r="M1566" s="196">
        <v>50</v>
      </c>
      <c r="O1566" s="196" t="s">
        <v>6561</v>
      </c>
      <c r="P1566" s="17">
        <v>468</v>
      </c>
      <c r="Q1566" s="175">
        <f t="shared" si="97"/>
        <v>3.2170000000000001</v>
      </c>
      <c r="R1566" s="199">
        <v>2.75</v>
      </c>
      <c r="T1566" s="149">
        <v>0.35</v>
      </c>
      <c r="U1566" s="149"/>
      <c r="V1566" s="149">
        <v>0.25</v>
      </c>
      <c r="W1566" s="149">
        <f t="shared" si="96"/>
        <v>2.75</v>
      </c>
      <c r="X1566" s="152">
        <f t="shared" si="95"/>
        <v>0.217</v>
      </c>
      <c r="Y1566" s="150">
        <f t="shared" si="94"/>
        <v>1.01</v>
      </c>
      <c r="Z1566" s="152"/>
      <c r="AC1566" s="154"/>
      <c r="AD1566" s="154"/>
      <c r="AE1566" s="154"/>
      <c r="AF1566" s="154"/>
    </row>
    <row r="1567" spans="1:32" x14ac:dyDescent="0.25">
      <c r="A1567" s="196">
        <v>2514</v>
      </c>
      <c r="B1567" s="196" t="s">
        <v>7868</v>
      </c>
      <c r="C1567" s="196" t="s">
        <v>7862</v>
      </c>
      <c r="D1567" s="196" t="s">
        <v>7869</v>
      </c>
      <c r="H1567" s="196" t="s">
        <v>2734</v>
      </c>
      <c r="I1567" s="184" t="s">
        <v>1879</v>
      </c>
      <c r="K1567" s="196" t="s">
        <v>1881</v>
      </c>
      <c r="L1567" s="184" t="s">
        <v>7870</v>
      </c>
      <c r="M1567" s="196">
        <v>62</v>
      </c>
      <c r="O1567" s="196" t="s">
        <v>6562</v>
      </c>
      <c r="P1567" s="17">
        <v>573</v>
      </c>
      <c r="Q1567" s="175">
        <f t="shared" si="97"/>
        <v>1.3338000000000001</v>
      </c>
      <c r="R1567" s="199">
        <v>0.99</v>
      </c>
      <c r="T1567" s="149">
        <v>0.35</v>
      </c>
      <c r="U1567" s="149"/>
      <c r="V1567" s="149">
        <v>0.25</v>
      </c>
      <c r="W1567" s="149">
        <f t="shared" si="96"/>
        <v>0.99</v>
      </c>
      <c r="X1567" s="152">
        <f t="shared" si="95"/>
        <v>9.3799999999999994E-2</v>
      </c>
      <c r="Y1567" s="150">
        <f t="shared" si="94"/>
        <v>1.01</v>
      </c>
      <c r="Z1567" s="152"/>
      <c r="AC1567" s="154"/>
      <c r="AD1567" s="154"/>
      <c r="AE1567" s="154"/>
      <c r="AF1567" s="154"/>
    </row>
    <row r="1568" spans="1:32" x14ac:dyDescent="0.25">
      <c r="A1568" s="196">
        <v>721</v>
      </c>
      <c r="B1568" s="196" t="s">
        <v>7871</v>
      </c>
      <c r="C1568" s="196" t="s">
        <v>7872</v>
      </c>
      <c r="D1568" s="196" t="s">
        <v>7873</v>
      </c>
      <c r="E1568" s="196" t="s">
        <v>2518</v>
      </c>
      <c r="F1568" s="196">
        <v>2006</v>
      </c>
      <c r="H1568" s="196" t="s">
        <v>2734</v>
      </c>
      <c r="I1568" s="184" t="s">
        <v>1879</v>
      </c>
      <c r="K1568" s="196" t="s">
        <v>1881</v>
      </c>
      <c r="L1568" s="184" t="s">
        <v>7874</v>
      </c>
      <c r="M1568" s="196">
        <v>258</v>
      </c>
      <c r="O1568" s="196" t="s">
        <v>6563</v>
      </c>
      <c r="P1568" s="17">
        <v>873</v>
      </c>
      <c r="Q1568" s="175">
        <f t="shared" si="97"/>
        <v>1.8688</v>
      </c>
      <c r="R1568" s="199">
        <v>1.49</v>
      </c>
      <c r="T1568" s="149">
        <v>0.35</v>
      </c>
      <c r="U1568" s="149"/>
      <c r="V1568" s="149">
        <v>0.25</v>
      </c>
      <c r="W1568" s="149">
        <f t="shared" si="96"/>
        <v>1.49</v>
      </c>
      <c r="X1568" s="152">
        <f t="shared" si="95"/>
        <v>0.1288</v>
      </c>
      <c r="Y1568" s="150">
        <f t="shared" si="94"/>
        <v>1.01</v>
      </c>
      <c r="Z1568" s="152"/>
      <c r="AC1568" s="154"/>
      <c r="AD1568" s="154"/>
      <c r="AE1568" s="154"/>
      <c r="AF1568" s="154"/>
    </row>
    <row r="1569" spans="1:32" x14ac:dyDescent="0.25">
      <c r="Y1569" s="150">
        <f t="shared" si="94"/>
        <v>1.01</v>
      </c>
    </row>
    <row r="1570" spans="1:32" x14ac:dyDescent="0.25">
      <c r="A1570" s="196">
        <v>691</v>
      </c>
      <c r="B1570" s="196" t="s">
        <v>7875</v>
      </c>
      <c r="C1570" s="196" t="s">
        <v>7879</v>
      </c>
      <c r="D1570" s="196" t="s">
        <v>7877</v>
      </c>
      <c r="F1570" s="196">
        <v>2003</v>
      </c>
      <c r="H1570" s="196" t="s">
        <v>2734</v>
      </c>
      <c r="I1570" s="184" t="s">
        <v>1914</v>
      </c>
      <c r="K1570" s="196" t="s">
        <v>1881</v>
      </c>
      <c r="L1570" s="184" t="s">
        <v>7880</v>
      </c>
      <c r="O1570" s="196" t="s">
        <v>6565</v>
      </c>
      <c r="P1570" s="17">
        <v>233</v>
      </c>
      <c r="Q1570" s="175">
        <f t="shared" si="97"/>
        <v>2.2967999999999997</v>
      </c>
      <c r="R1570" s="199">
        <v>1.89</v>
      </c>
      <c r="T1570" s="149">
        <v>0.35</v>
      </c>
      <c r="U1570" s="149"/>
      <c r="V1570" s="149">
        <v>0.25</v>
      </c>
      <c r="W1570" s="149">
        <f t="shared" si="96"/>
        <v>1.89</v>
      </c>
      <c r="X1570" s="152">
        <f t="shared" si="95"/>
        <v>0.15679999999999997</v>
      </c>
      <c r="Y1570" s="150">
        <f t="shared" si="94"/>
        <v>1.01</v>
      </c>
      <c r="Z1570" s="152"/>
      <c r="AC1570" s="154"/>
      <c r="AD1570" s="154"/>
      <c r="AE1570" s="154"/>
      <c r="AF1570" s="154"/>
    </row>
    <row r="1571" spans="1:32" x14ac:dyDescent="0.25">
      <c r="Y1571" s="150">
        <f t="shared" si="94"/>
        <v>1.01</v>
      </c>
    </row>
    <row r="1572" spans="1:32" x14ac:dyDescent="0.25">
      <c r="A1572" s="196">
        <v>651</v>
      </c>
      <c r="B1572" s="196" t="s">
        <v>7884</v>
      </c>
      <c r="C1572" s="196" t="s">
        <v>7885</v>
      </c>
      <c r="D1572" s="196" t="s">
        <v>2068</v>
      </c>
      <c r="F1572" s="196">
        <v>1991</v>
      </c>
      <c r="H1572" s="196" t="s">
        <v>1878</v>
      </c>
      <c r="I1572" s="184" t="s">
        <v>1879</v>
      </c>
      <c r="K1572" s="196" t="s">
        <v>1881</v>
      </c>
      <c r="M1572" s="196">
        <v>112</v>
      </c>
      <c r="O1572" s="196" t="s">
        <v>6567</v>
      </c>
      <c r="P1572" s="17">
        <v>453</v>
      </c>
      <c r="Q1572" s="175">
        <f t="shared" si="97"/>
        <v>0.64900000000000002</v>
      </c>
      <c r="T1572" s="149">
        <v>0.35</v>
      </c>
      <c r="U1572" s="149"/>
      <c r="V1572" s="149">
        <v>0.25</v>
      </c>
      <c r="W1572" s="149">
        <f t="shared" si="96"/>
        <v>0.35</v>
      </c>
      <c r="X1572" s="152">
        <f t="shared" si="95"/>
        <v>4.8999999999999995E-2</v>
      </c>
      <c r="Y1572" s="150">
        <f t="shared" si="94"/>
        <v>1.01</v>
      </c>
      <c r="Z1572" s="152"/>
      <c r="AC1572" s="154"/>
      <c r="AD1572" s="154"/>
      <c r="AE1572" s="154"/>
      <c r="AF1572" s="154"/>
    </row>
    <row r="1573" spans="1:32" x14ac:dyDescent="0.25">
      <c r="A1573" s="196">
        <v>1935</v>
      </c>
      <c r="B1573" s="196" t="s">
        <v>7886</v>
      </c>
      <c r="C1573" s="196" t="s">
        <v>7887</v>
      </c>
      <c r="D1573" s="196" t="s">
        <v>7888</v>
      </c>
      <c r="F1573" s="196">
        <v>1998</v>
      </c>
      <c r="H1573" s="196" t="s">
        <v>5119</v>
      </c>
      <c r="I1573" s="184" t="s">
        <v>1914</v>
      </c>
      <c r="K1573" s="196" t="s">
        <v>1881</v>
      </c>
      <c r="L1573" s="184" t="s">
        <v>7889</v>
      </c>
      <c r="M1573" s="196">
        <v>64</v>
      </c>
      <c r="O1573" s="196" t="s">
        <v>6568</v>
      </c>
      <c r="P1573" s="17">
        <v>259</v>
      </c>
      <c r="Q1573" s="175">
        <f t="shared" si="97"/>
        <v>1.3338000000000001</v>
      </c>
      <c r="R1573" s="199">
        <v>0.99</v>
      </c>
      <c r="T1573" s="149">
        <v>0.35</v>
      </c>
      <c r="U1573" s="149"/>
      <c r="V1573" s="149">
        <v>0.25</v>
      </c>
      <c r="W1573" s="149">
        <f t="shared" si="96"/>
        <v>0.99</v>
      </c>
      <c r="X1573" s="152">
        <f t="shared" si="95"/>
        <v>9.3799999999999994E-2</v>
      </c>
      <c r="Y1573" s="150">
        <f t="shared" si="94"/>
        <v>1.01</v>
      </c>
      <c r="Z1573" s="152"/>
      <c r="AC1573" s="154"/>
      <c r="AD1573" s="154"/>
      <c r="AE1573" s="154"/>
      <c r="AF1573" s="154"/>
    </row>
    <row r="1574" spans="1:32" x14ac:dyDescent="0.25">
      <c r="A1574" s="196">
        <v>2514</v>
      </c>
      <c r="B1574" s="196" t="s">
        <v>7891</v>
      </c>
      <c r="C1574" s="196" t="s">
        <v>7890</v>
      </c>
      <c r="D1574" s="196" t="s">
        <v>5723</v>
      </c>
      <c r="H1574" s="196" t="s">
        <v>2734</v>
      </c>
      <c r="I1574" s="184" t="s">
        <v>1879</v>
      </c>
      <c r="K1574" s="196" t="s">
        <v>1881</v>
      </c>
      <c r="L1574" s="184" t="s">
        <v>7892</v>
      </c>
      <c r="M1574" s="196">
        <v>78</v>
      </c>
      <c r="O1574" s="196" t="s">
        <v>6569</v>
      </c>
      <c r="P1574" s="17">
        <v>385</v>
      </c>
      <c r="Q1574" s="175">
        <f t="shared" si="97"/>
        <v>1.4408000000000001</v>
      </c>
      <c r="R1574" s="199">
        <v>1.0900000000000001</v>
      </c>
      <c r="T1574" s="149">
        <v>0.35</v>
      </c>
      <c r="U1574" s="149"/>
      <c r="V1574" s="149">
        <v>0.25</v>
      </c>
      <c r="W1574" s="149">
        <f t="shared" si="96"/>
        <v>1.0900000000000001</v>
      </c>
      <c r="X1574" s="152">
        <f t="shared" si="95"/>
        <v>0.1008</v>
      </c>
      <c r="Y1574" s="150">
        <f t="shared" si="94"/>
        <v>1.01</v>
      </c>
      <c r="Z1574" s="152"/>
      <c r="AC1574" s="154"/>
      <c r="AD1574" s="154"/>
      <c r="AE1574" s="154"/>
      <c r="AF1574" s="154"/>
    </row>
    <row r="1575" spans="1:32" x14ac:dyDescent="0.25">
      <c r="A1575" s="196">
        <v>1253</v>
      </c>
      <c r="C1575" s="196" t="s">
        <v>7894</v>
      </c>
      <c r="D1575" s="196" t="s">
        <v>5708</v>
      </c>
      <c r="F1575" s="196">
        <v>1989</v>
      </c>
      <c r="H1575" s="196" t="s">
        <v>2734</v>
      </c>
      <c r="I1575" s="184" t="s">
        <v>1879</v>
      </c>
      <c r="K1575" s="196" t="s">
        <v>1881</v>
      </c>
      <c r="L1575" s="184" t="s">
        <v>7893</v>
      </c>
      <c r="M1575" s="196">
        <f>410+390+390</f>
        <v>1190</v>
      </c>
      <c r="O1575" s="196" t="s">
        <v>6570</v>
      </c>
      <c r="P1575" s="17">
        <f>1217+1166+1172</f>
        <v>3555</v>
      </c>
      <c r="Q1575" s="175">
        <f t="shared" si="97"/>
        <v>3.5808</v>
      </c>
      <c r="R1575" s="199">
        <v>3.09</v>
      </c>
      <c r="T1575" s="149">
        <v>0.35</v>
      </c>
      <c r="U1575" s="149"/>
      <c r="V1575" s="149">
        <v>0.25</v>
      </c>
      <c r="W1575" s="149">
        <f t="shared" si="96"/>
        <v>3.09</v>
      </c>
      <c r="X1575" s="152">
        <f t="shared" si="95"/>
        <v>0.24080000000000001</v>
      </c>
      <c r="Y1575" s="150">
        <f t="shared" si="94"/>
        <v>1.01</v>
      </c>
      <c r="Z1575" s="152"/>
      <c r="AC1575" s="154"/>
      <c r="AD1575" s="154"/>
      <c r="AE1575" s="154"/>
      <c r="AF1575" s="154"/>
    </row>
    <row r="1576" spans="1:32" x14ac:dyDescent="0.25">
      <c r="A1576" s="196">
        <v>2514</v>
      </c>
      <c r="B1576" s="196" t="s">
        <v>7895</v>
      </c>
      <c r="C1576" s="196" t="s">
        <v>7896</v>
      </c>
      <c r="D1576" s="196" t="s">
        <v>1979</v>
      </c>
      <c r="E1576" s="196" t="s">
        <v>2922</v>
      </c>
      <c r="F1576" s="196">
        <v>1989</v>
      </c>
      <c r="H1576" s="196" t="s">
        <v>1878</v>
      </c>
      <c r="I1576" s="184" t="s">
        <v>7527</v>
      </c>
      <c r="K1576" s="196" t="s">
        <v>1881</v>
      </c>
      <c r="L1576" s="184" t="s">
        <v>7897</v>
      </c>
      <c r="M1576" s="196">
        <v>160</v>
      </c>
      <c r="O1576" s="196" t="s">
        <v>6571</v>
      </c>
      <c r="P1576" s="17">
        <v>113</v>
      </c>
      <c r="Q1576" s="175">
        <f t="shared" si="97"/>
        <v>0.64900000000000002</v>
      </c>
      <c r="R1576" s="199">
        <v>0.25</v>
      </c>
      <c r="T1576" s="149">
        <v>0.35</v>
      </c>
      <c r="U1576" s="149"/>
      <c r="V1576" s="149">
        <v>0.25</v>
      </c>
      <c r="W1576" s="149">
        <f t="shared" si="96"/>
        <v>0.35</v>
      </c>
      <c r="X1576" s="152">
        <f t="shared" si="95"/>
        <v>4.8999999999999995E-2</v>
      </c>
      <c r="Y1576" s="150">
        <f t="shared" si="94"/>
        <v>1.01</v>
      </c>
      <c r="Z1576" s="152"/>
      <c r="AC1576" s="154"/>
      <c r="AD1576" s="154"/>
      <c r="AE1576" s="154"/>
      <c r="AF1576" s="154"/>
    </row>
    <row r="1577" spans="1:32" x14ac:dyDescent="0.25">
      <c r="A1577" s="196">
        <v>2514</v>
      </c>
      <c r="B1577" s="196" t="s">
        <v>7236</v>
      </c>
      <c r="C1577" s="196" t="s">
        <v>7898</v>
      </c>
      <c r="D1577" s="196" t="s">
        <v>2402</v>
      </c>
      <c r="F1577" s="196">
        <v>1979</v>
      </c>
      <c r="H1577" s="196" t="s">
        <v>2734</v>
      </c>
      <c r="I1577" s="184" t="s">
        <v>7527</v>
      </c>
      <c r="K1577" s="196" t="s">
        <v>1881</v>
      </c>
      <c r="L1577" s="184" t="s">
        <v>7899</v>
      </c>
      <c r="M1577" s="196">
        <v>142</v>
      </c>
      <c r="O1577" s="196" t="s">
        <v>6572</v>
      </c>
      <c r="P1577" s="17">
        <v>216</v>
      </c>
      <c r="Q1577" s="175">
        <f t="shared" si="97"/>
        <v>1.1946999999999999</v>
      </c>
      <c r="R1577" s="199">
        <v>0.86</v>
      </c>
      <c r="T1577" s="149">
        <v>0.35</v>
      </c>
      <c r="U1577" s="149"/>
      <c r="V1577" s="149">
        <v>0.25</v>
      </c>
      <c r="W1577" s="149">
        <f t="shared" si="96"/>
        <v>0.86</v>
      </c>
      <c r="X1577" s="152">
        <f t="shared" si="95"/>
        <v>8.4699999999999998E-2</v>
      </c>
      <c r="Y1577" s="150">
        <f t="shared" si="94"/>
        <v>1.01</v>
      </c>
      <c r="Z1577" s="152"/>
      <c r="AC1577" s="154"/>
      <c r="AD1577" s="154"/>
      <c r="AE1577" s="154"/>
      <c r="AF1577" s="154"/>
    </row>
    <row r="1578" spans="1:32" x14ac:dyDescent="0.25">
      <c r="Y1578" s="150">
        <f t="shared" si="94"/>
        <v>1.01</v>
      </c>
    </row>
    <row r="1579" spans="1:32" x14ac:dyDescent="0.25">
      <c r="A1579" s="196">
        <v>2514</v>
      </c>
      <c r="B1579" s="196" t="s">
        <v>7236</v>
      </c>
      <c r="C1579" s="196" t="s">
        <v>7902</v>
      </c>
      <c r="D1579" s="196" t="s">
        <v>2402</v>
      </c>
      <c r="F1579" s="196">
        <v>1982</v>
      </c>
      <c r="H1579" s="196" t="s">
        <v>2734</v>
      </c>
      <c r="I1579" s="184" t="s">
        <v>1914</v>
      </c>
      <c r="K1579" s="196" t="s">
        <v>1881</v>
      </c>
      <c r="L1579" s="184" t="s">
        <v>7903</v>
      </c>
      <c r="M1579" s="196">
        <v>126</v>
      </c>
      <c r="O1579" s="196" t="s">
        <v>6574</v>
      </c>
      <c r="P1579" s="17">
        <v>189</v>
      </c>
      <c r="Q1579" s="175">
        <f t="shared" si="97"/>
        <v>1.2161</v>
      </c>
      <c r="R1579" s="199">
        <v>0.88</v>
      </c>
      <c r="T1579" s="149">
        <v>0.35</v>
      </c>
      <c r="U1579" s="149"/>
      <c r="V1579" s="149">
        <v>0.25</v>
      </c>
      <c r="W1579" s="149">
        <f t="shared" ref="W1579:W1613" si="98">IF(R1579&gt;T1579,R1579,T1579)</f>
        <v>0.88</v>
      </c>
      <c r="X1579" s="152">
        <f t="shared" si="95"/>
        <v>8.6099999999999996E-2</v>
      </c>
      <c r="Y1579" s="150">
        <f t="shared" si="94"/>
        <v>1.01</v>
      </c>
      <c r="Z1579" s="152"/>
      <c r="AC1579" s="154"/>
      <c r="AD1579" s="154"/>
      <c r="AE1579" s="154"/>
      <c r="AF1579" s="154"/>
    </row>
    <row r="1580" spans="1:32" x14ac:dyDescent="0.25">
      <c r="A1580" s="196">
        <v>2514</v>
      </c>
      <c r="B1580" s="196" t="s">
        <v>7236</v>
      </c>
      <c r="C1580" s="196" t="s">
        <v>7904</v>
      </c>
      <c r="D1580" s="196" t="s">
        <v>2402</v>
      </c>
      <c r="F1580" s="196">
        <v>1968</v>
      </c>
      <c r="H1580" s="196" t="s">
        <v>2734</v>
      </c>
      <c r="I1580" s="184" t="s">
        <v>1914</v>
      </c>
      <c r="K1580" s="196" t="s">
        <v>1881</v>
      </c>
      <c r="L1580" s="184" t="s">
        <v>7905</v>
      </c>
      <c r="M1580" s="196">
        <v>108</v>
      </c>
      <c r="O1580" s="196" t="s">
        <v>6575</v>
      </c>
      <c r="P1580" s="17">
        <v>180</v>
      </c>
      <c r="Q1580" s="175">
        <f t="shared" si="97"/>
        <v>0.64900000000000002</v>
      </c>
      <c r="R1580" s="199">
        <v>0.25</v>
      </c>
      <c r="T1580" s="149">
        <v>0.35</v>
      </c>
      <c r="U1580" s="149"/>
      <c r="V1580" s="149">
        <v>0.25</v>
      </c>
      <c r="W1580" s="149">
        <f t="shared" si="98"/>
        <v>0.35</v>
      </c>
      <c r="X1580" s="152">
        <f t="shared" si="95"/>
        <v>4.8999999999999995E-2</v>
      </c>
      <c r="Y1580" s="150">
        <f t="shared" ref="Y1580:Y1643" si="99">(IF(Z1580&gt;AA1580,Z1580,AA1580)*0.08)+1.01</f>
        <v>1.01</v>
      </c>
      <c r="Z1580" s="152"/>
      <c r="AC1580" s="154"/>
      <c r="AD1580" s="154"/>
      <c r="AE1580" s="154"/>
      <c r="AF1580" s="154"/>
    </row>
    <row r="1581" spans="1:32" x14ac:dyDescent="0.25">
      <c r="A1581" s="196">
        <v>2514</v>
      </c>
      <c r="B1581" s="196" t="s">
        <v>7236</v>
      </c>
      <c r="C1581" s="196" t="s">
        <v>7906</v>
      </c>
      <c r="D1581" s="196" t="s">
        <v>2402</v>
      </c>
      <c r="F1581" s="196">
        <v>1976</v>
      </c>
      <c r="H1581" s="196" t="s">
        <v>2734</v>
      </c>
      <c r="I1581" s="184" t="s">
        <v>1914</v>
      </c>
      <c r="K1581" s="196" t="s">
        <v>1881</v>
      </c>
      <c r="L1581" s="184" t="s">
        <v>7907</v>
      </c>
      <c r="M1581" s="196">
        <v>126</v>
      </c>
      <c r="O1581" s="196" t="s">
        <v>6576</v>
      </c>
      <c r="P1581" s="17">
        <v>194</v>
      </c>
      <c r="Q1581" s="175">
        <f t="shared" si="97"/>
        <v>0.64900000000000002</v>
      </c>
      <c r="R1581" s="199">
        <v>0.25</v>
      </c>
      <c r="T1581" s="149">
        <v>0.35</v>
      </c>
      <c r="U1581" s="149"/>
      <c r="V1581" s="149">
        <v>0.25</v>
      </c>
      <c r="W1581" s="149">
        <f t="shared" si="98"/>
        <v>0.35</v>
      </c>
      <c r="X1581" s="152">
        <f t="shared" si="95"/>
        <v>4.8999999999999995E-2</v>
      </c>
      <c r="Y1581" s="150">
        <f t="shared" si="99"/>
        <v>1.01</v>
      </c>
      <c r="Z1581" s="152"/>
      <c r="AC1581" s="154"/>
      <c r="AD1581" s="154"/>
      <c r="AE1581" s="154"/>
      <c r="AF1581" s="154"/>
    </row>
    <row r="1582" spans="1:32" x14ac:dyDescent="0.25">
      <c r="Y1582" s="150">
        <f t="shared" si="99"/>
        <v>1.01</v>
      </c>
    </row>
    <row r="1583" spans="1:32" x14ac:dyDescent="0.25">
      <c r="A1583" s="196">
        <v>2514</v>
      </c>
      <c r="B1583" s="196" t="s">
        <v>7236</v>
      </c>
      <c r="C1583" s="196" t="s">
        <v>7910</v>
      </c>
      <c r="D1583" s="196" t="s">
        <v>2402</v>
      </c>
      <c r="F1583" s="196">
        <v>1973</v>
      </c>
      <c r="H1583" s="196" t="s">
        <v>2734</v>
      </c>
      <c r="I1583" s="184" t="s">
        <v>1914</v>
      </c>
      <c r="K1583" s="196" t="s">
        <v>1881</v>
      </c>
      <c r="L1583" s="184" t="s">
        <v>7911</v>
      </c>
      <c r="M1583" s="196">
        <v>142</v>
      </c>
      <c r="O1583" s="196" t="s">
        <v>6578</v>
      </c>
      <c r="P1583" s="17">
        <v>209</v>
      </c>
      <c r="Q1583" s="175">
        <f t="shared" si="97"/>
        <v>0.64900000000000002</v>
      </c>
      <c r="R1583" s="199">
        <v>0.25</v>
      </c>
      <c r="T1583" s="149">
        <v>0.35</v>
      </c>
      <c r="U1583" s="149"/>
      <c r="V1583" s="149">
        <v>0.25</v>
      </c>
      <c r="W1583" s="149">
        <f t="shared" si="98"/>
        <v>0.35</v>
      </c>
      <c r="X1583" s="152">
        <f t="shared" ref="X1583:X1613" si="100">(T1583+W1583)/100*7</f>
        <v>4.8999999999999995E-2</v>
      </c>
      <c r="Y1583" s="150">
        <f t="shared" si="99"/>
        <v>1.01</v>
      </c>
      <c r="Z1583" s="152"/>
      <c r="AC1583" s="154"/>
      <c r="AD1583" s="154"/>
      <c r="AE1583" s="154"/>
      <c r="AF1583" s="154"/>
    </row>
    <row r="1584" spans="1:32" x14ac:dyDescent="0.25">
      <c r="A1584" s="196">
        <v>2514</v>
      </c>
      <c r="B1584" s="196" t="s">
        <v>7912</v>
      </c>
      <c r="C1584" s="196" t="s">
        <v>7913</v>
      </c>
      <c r="D1584" s="196" t="s">
        <v>3524</v>
      </c>
      <c r="E1584" s="196" t="s">
        <v>1913</v>
      </c>
      <c r="F1584" s="196">
        <v>1999</v>
      </c>
      <c r="H1584" s="196" t="s">
        <v>2734</v>
      </c>
      <c r="I1584" s="184" t="s">
        <v>1879</v>
      </c>
      <c r="J1584" s="196" t="s">
        <v>7914</v>
      </c>
      <c r="K1584" s="196" t="s">
        <v>1881</v>
      </c>
      <c r="L1584" s="184" t="s">
        <v>7915</v>
      </c>
      <c r="M1584" s="196">
        <v>126</v>
      </c>
      <c r="O1584" s="196" t="s">
        <v>6579</v>
      </c>
      <c r="P1584" s="17">
        <v>238</v>
      </c>
      <c r="Q1584" s="175">
        <f t="shared" si="97"/>
        <v>1.4408000000000001</v>
      </c>
      <c r="R1584" s="199">
        <v>1.0900000000000001</v>
      </c>
      <c r="T1584" s="149">
        <v>0.35</v>
      </c>
      <c r="U1584" s="149"/>
      <c r="V1584" s="149">
        <v>0.25</v>
      </c>
      <c r="W1584" s="149">
        <f t="shared" si="98"/>
        <v>1.0900000000000001</v>
      </c>
      <c r="X1584" s="152">
        <f t="shared" si="100"/>
        <v>0.1008</v>
      </c>
      <c r="Y1584" s="150">
        <f t="shared" si="99"/>
        <v>1.01</v>
      </c>
      <c r="Z1584" s="152"/>
      <c r="AC1584" s="154"/>
      <c r="AD1584" s="154"/>
      <c r="AE1584" s="154"/>
      <c r="AF1584" s="154"/>
    </row>
    <row r="1585" spans="1:32" x14ac:dyDescent="0.25">
      <c r="A1585" s="196">
        <v>2514</v>
      </c>
      <c r="B1585" s="196" t="s">
        <v>7916</v>
      </c>
      <c r="C1585" s="196" t="s">
        <v>7917</v>
      </c>
      <c r="D1585" s="196" t="s">
        <v>2003</v>
      </c>
      <c r="F1585" s="196">
        <v>1997</v>
      </c>
      <c r="H1585" s="196" t="s">
        <v>2734</v>
      </c>
      <c r="I1585" s="184" t="s">
        <v>1879</v>
      </c>
      <c r="K1585" s="196" t="s">
        <v>1881</v>
      </c>
      <c r="L1585" s="184" t="s">
        <v>7918</v>
      </c>
      <c r="M1585" s="196">
        <v>156</v>
      </c>
      <c r="O1585" s="196" t="s">
        <v>6580</v>
      </c>
      <c r="P1585" s="17">
        <v>228</v>
      </c>
      <c r="Q1585" s="175">
        <f t="shared" si="97"/>
        <v>0.64900000000000002</v>
      </c>
      <c r="R1585" s="199">
        <v>0.25</v>
      </c>
      <c r="T1585" s="149">
        <v>0.35</v>
      </c>
      <c r="U1585" s="149"/>
      <c r="V1585" s="149">
        <v>0.25</v>
      </c>
      <c r="W1585" s="149">
        <f t="shared" si="98"/>
        <v>0.35</v>
      </c>
      <c r="X1585" s="152">
        <f t="shared" si="100"/>
        <v>4.8999999999999995E-2</v>
      </c>
      <c r="Y1585" s="150">
        <f t="shared" si="99"/>
        <v>1.01</v>
      </c>
      <c r="Z1585" s="152"/>
      <c r="AC1585" s="154"/>
      <c r="AD1585" s="154"/>
      <c r="AE1585" s="154"/>
      <c r="AF1585" s="154"/>
    </row>
    <row r="1586" spans="1:32" x14ac:dyDescent="0.25">
      <c r="A1586" s="196">
        <v>926</v>
      </c>
      <c r="B1586" s="196" t="s">
        <v>7919</v>
      </c>
      <c r="C1586" s="196" t="s">
        <v>7920</v>
      </c>
      <c r="D1586" s="196" t="s">
        <v>2068</v>
      </c>
      <c r="F1586" s="196">
        <v>2000</v>
      </c>
      <c r="H1586" s="196" t="s">
        <v>1878</v>
      </c>
      <c r="I1586" s="184" t="s">
        <v>1929</v>
      </c>
      <c r="K1586" s="196" t="s">
        <v>1881</v>
      </c>
      <c r="L1586" s="184" t="s">
        <v>7921</v>
      </c>
      <c r="M1586" s="196">
        <v>120</v>
      </c>
      <c r="O1586" s="196" t="s">
        <v>6581</v>
      </c>
      <c r="P1586" s="17">
        <v>186</v>
      </c>
      <c r="Q1586" s="175">
        <f t="shared" si="97"/>
        <v>1.3338000000000001</v>
      </c>
      <c r="R1586" s="199">
        <v>0.99</v>
      </c>
      <c r="T1586" s="149">
        <v>0.35</v>
      </c>
      <c r="U1586" s="149"/>
      <c r="V1586" s="149">
        <v>0.25</v>
      </c>
      <c r="W1586" s="149">
        <f t="shared" si="98"/>
        <v>0.99</v>
      </c>
      <c r="X1586" s="152">
        <f t="shared" si="100"/>
        <v>9.3799999999999994E-2</v>
      </c>
      <c r="Y1586" s="150">
        <f t="shared" si="99"/>
        <v>1.01</v>
      </c>
      <c r="Z1586" s="152"/>
      <c r="AC1586" s="154"/>
      <c r="AD1586" s="154"/>
      <c r="AE1586" s="154"/>
      <c r="AF1586" s="154"/>
    </row>
    <row r="1587" spans="1:32" x14ac:dyDescent="0.25">
      <c r="A1587" s="196">
        <v>1320</v>
      </c>
      <c r="B1587" s="196" t="s">
        <v>7922</v>
      </c>
      <c r="C1587" s="196" t="s">
        <v>7923</v>
      </c>
      <c r="D1587" s="196" t="s">
        <v>7924</v>
      </c>
      <c r="E1587" s="196" t="s">
        <v>2175</v>
      </c>
      <c r="F1587" s="196">
        <v>1999</v>
      </c>
      <c r="H1587" s="196" t="s">
        <v>1878</v>
      </c>
      <c r="I1587" s="184" t="s">
        <v>1879</v>
      </c>
      <c r="K1587" s="196" t="s">
        <v>1881</v>
      </c>
      <c r="L1587" s="184" t="s">
        <v>7925</v>
      </c>
      <c r="M1587" s="196">
        <v>240</v>
      </c>
      <c r="O1587" s="196" t="s">
        <v>6582</v>
      </c>
      <c r="P1587" s="17">
        <v>296</v>
      </c>
      <c r="Q1587" s="175">
        <f t="shared" si="97"/>
        <v>2.4038000000000004</v>
      </c>
      <c r="R1587" s="199">
        <v>1.99</v>
      </c>
      <c r="T1587" s="149">
        <v>0.35</v>
      </c>
      <c r="U1587" s="149"/>
      <c r="V1587" s="149">
        <v>0.25</v>
      </c>
      <c r="W1587" s="149">
        <f t="shared" si="98"/>
        <v>1.99</v>
      </c>
      <c r="X1587" s="152">
        <f t="shared" si="100"/>
        <v>0.16379999999999997</v>
      </c>
      <c r="Y1587" s="150">
        <f t="shared" si="99"/>
        <v>1.01</v>
      </c>
      <c r="Z1587" s="152"/>
      <c r="AC1587" s="154"/>
      <c r="AD1587" s="154"/>
      <c r="AE1587" s="154"/>
      <c r="AF1587" s="154"/>
    </row>
    <row r="1588" spans="1:32" x14ac:dyDescent="0.25">
      <c r="A1588" s="196">
        <v>2456</v>
      </c>
      <c r="B1588" s="196" t="s">
        <v>7926</v>
      </c>
      <c r="C1588" s="196" t="s">
        <v>7927</v>
      </c>
      <c r="D1588" s="196" t="s">
        <v>2054</v>
      </c>
      <c r="H1588" s="196" t="s">
        <v>2734</v>
      </c>
      <c r="I1588" s="184" t="s">
        <v>1879</v>
      </c>
      <c r="K1588" s="196" t="s">
        <v>1881</v>
      </c>
      <c r="L1588" s="184" t="s">
        <v>7928</v>
      </c>
      <c r="M1588" s="196">
        <v>258</v>
      </c>
      <c r="O1588" s="196" t="s">
        <v>6583</v>
      </c>
      <c r="P1588" s="17">
        <v>345</v>
      </c>
      <c r="Q1588" s="175">
        <f t="shared" si="97"/>
        <v>1.4515</v>
      </c>
      <c r="R1588" s="199">
        <v>1.1000000000000001</v>
      </c>
      <c r="T1588" s="149">
        <v>0.35</v>
      </c>
      <c r="U1588" s="149"/>
      <c r="V1588" s="149">
        <v>0.25</v>
      </c>
      <c r="W1588" s="149">
        <f t="shared" si="98"/>
        <v>1.1000000000000001</v>
      </c>
      <c r="X1588" s="152">
        <f t="shared" si="100"/>
        <v>0.10150000000000002</v>
      </c>
      <c r="Y1588" s="150">
        <f t="shared" si="99"/>
        <v>1.01</v>
      </c>
      <c r="Z1588" s="152"/>
      <c r="AC1588" s="154"/>
      <c r="AD1588" s="154"/>
      <c r="AE1588" s="154"/>
      <c r="AF1588" s="154"/>
    </row>
    <row r="1589" spans="1:32" x14ac:dyDescent="0.25">
      <c r="A1589" s="196">
        <v>734</v>
      </c>
      <c r="B1589" s="196" t="s">
        <v>7392</v>
      </c>
      <c r="C1589" s="196" t="s">
        <v>7929</v>
      </c>
      <c r="D1589" s="196" t="s">
        <v>1920</v>
      </c>
      <c r="F1589" s="196">
        <v>1986</v>
      </c>
      <c r="H1589" s="196" t="s">
        <v>1878</v>
      </c>
      <c r="I1589" s="184" t="s">
        <v>6422</v>
      </c>
      <c r="K1589" s="196" t="s">
        <v>1881</v>
      </c>
      <c r="L1589" s="184" t="s">
        <v>7930</v>
      </c>
      <c r="M1589" s="196">
        <v>656</v>
      </c>
      <c r="O1589" s="196" t="s">
        <v>6584</v>
      </c>
      <c r="P1589" s="17">
        <v>343</v>
      </c>
      <c r="Q1589" s="175">
        <f t="shared" si="97"/>
        <v>0.64900000000000002</v>
      </c>
      <c r="R1589" s="199">
        <v>0.25</v>
      </c>
      <c r="T1589" s="149">
        <v>0.35</v>
      </c>
      <c r="U1589" s="149"/>
      <c r="V1589" s="149">
        <v>0.25</v>
      </c>
      <c r="W1589" s="149">
        <f t="shared" si="98"/>
        <v>0.35</v>
      </c>
      <c r="X1589" s="152">
        <f t="shared" si="100"/>
        <v>4.8999999999999995E-2</v>
      </c>
      <c r="Y1589" s="150">
        <f t="shared" si="99"/>
        <v>1.01</v>
      </c>
      <c r="Z1589" s="152"/>
      <c r="AC1589" s="154"/>
      <c r="AD1589" s="154"/>
      <c r="AE1589" s="154"/>
      <c r="AF1589" s="154"/>
    </row>
    <row r="1590" spans="1:32" x14ac:dyDescent="0.25">
      <c r="A1590" s="196">
        <v>2663</v>
      </c>
      <c r="B1590" s="196" t="s">
        <v>7931</v>
      </c>
      <c r="C1590" s="196" t="s">
        <v>7932</v>
      </c>
      <c r="D1590" s="196" t="s">
        <v>2609</v>
      </c>
      <c r="E1590" s="196" t="s">
        <v>1877</v>
      </c>
      <c r="F1590" s="196">
        <v>2004</v>
      </c>
      <c r="H1590" s="196" t="s">
        <v>1878</v>
      </c>
      <c r="I1590" s="184" t="s">
        <v>7817</v>
      </c>
      <c r="K1590" s="196" t="s">
        <v>1881</v>
      </c>
      <c r="L1590" s="184" t="s">
        <v>7933</v>
      </c>
      <c r="M1590" s="196">
        <v>512</v>
      </c>
      <c r="O1590" s="196" t="s">
        <v>6585</v>
      </c>
      <c r="P1590" s="17">
        <v>441</v>
      </c>
      <c r="Q1590" s="175">
        <f t="shared" si="97"/>
        <v>0.75600000000000001</v>
      </c>
      <c r="R1590" s="199">
        <v>0.45</v>
      </c>
      <c r="T1590" s="149">
        <v>0.35</v>
      </c>
      <c r="U1590" s="149"/>
      <c r="V1590" s="149">
        <v>0.25</v>
      </c>
      <c r="W1590" s="149">
        <f t="shared" si="98"/>
        <v>0.45</v>
      </c>
      <c r="X1590" s="152">
        <f t="shared" si="100"/>
        <v>5.6000000000000001E-2</v>
      </c>
      <c r="Y1590" s="150">
        <f t="shared" si="99"/>
        <v>1.01</v>
      </c>
      <c r="Z1590" s="152"/>
      <c r="AC1590" s="154"/>
      <c r="AD1590" s="154"/>
      <c r="AE1590" s="154"/>
      <c r="AF1590" s="154"/>
    </row>
    <row r="1591" spans="1:32" x14ac:dyDescent="0.25">
      <c r="A1591" s="196">
        <v>633</v>
      </c>
      <c r="B1591" s="196" t="s">
        <v>7934</v>
      </c>
      <c r="C1591" s="196" t="s">
        <v>7935</v>
      </c>
      <c r="D1591" s="196" t="s">
        <v>2209</v>
      </c>
      <c r="F1591" s="196">
        <v>1988</v>
      </c>
      <c r="H1591" s="196" t="s">
        <v>1878</v>
      </c>
      <c r="I1591" s="184" t="s">
        <v>1914</v>
      </c>
      <c r="K1591" s="196" t="s">
        <v>1881</v>
      </c>
      <c r="L1591" s="184" t="s">
        <v>7936</v>
      </c>
      <c r="M1591" s="196">
        <v>254</v>
      </c>
      <c r="O1591" s="196" t="s">
        <v>6586</v>
      </c>
      <c r="P1591" s="17">
        <v>170</v>
      </c>
      <c r="Q1591" s="175">
        <f t="shared" si="97"/>
        <v>1.1198000000000001</v>
      </c>
      <c r="R1591" s="199">
        <v>0.79</v>
      </c>
      <c r="T1591" s="149">
        <v>0.35</v>
      </c>
      <c r="U1591" s="149"/>
      <c r="V1591" s="149">
        <v>0.25</v>
      </c>
      <c r="W1591" s="149">
        <f t="shared" si="98"/>
        <v>0.79</v>
      </c>
      <c r="X1591" s="152">
        <f t="shared" si="100"/>
        <v>7.980000000000001E-2</v>
      </c>
      <c r="Y1591" s="150">
        <f t="shared" si="99"/>
        <v>1.01</v>
      </c>
      <c r="Z1591" s="152"/>
      <c r="AC1591" s="154"/>
      <c r="AD1591" s="154"/>
      <c r="AE1591" s="154"/>
      <c r="AF1591" s="154"/>
    </row>
    <row r="1592" spans="1:32" x14ac:dyDescent="0.25">
      <c r="A1592" s="196">
        <v>796</v>
      </c>
      <c r="B1592" s="196" t="s">
        <v>7937</v>
      </c>
      <c r="C1592" s="196" t="s">
        <v>7938</v>
      </c>
      <c r="D1592" s="196" t="s">
        <v>2609</v>
      </c>
      <c r="F1592" s="196">
        <v>2007</v>
      </c>
      <c r="H1592" s="196" t="s">
        <v>1878</v>
      </c>
      <c r="I1592" s="184" t="s">
        <v>1879</v>
      </c>
      <c r="K1592" s="196" t="s">
        <v>1881</v>
      </c>
      <c r="L1592" s="184" t="s">
        <v>7939</v>
      </c>
      <c r="M1592" s="196">
        <v>560</v>
      </c>
      <c r="O1592" s="196" t="s">
        <v>6587</v>
      </c>
      <c r="P1592" s="17">
        <v>547</v>
      </c>
      <c r="Q1592" s="175">
        <f t="shared" si="97"/>
        <v>0.64900000000000002</v>
      </c>
      <c r="R1592" s="199">
        <v>0.31</v>
      </c>
      <c r="T1592" s="149">
        <v>0.35</v>
      </c>
      <c r="U1592" s="149"/>
      <c r="V1592" s="149">
        <v>0.25</v>
      </c>
      <c r="W1592" s="149">
        <f t="shared" si="98"/>
        <v>0.35</v>
      </c>
      <c r="X1592" s="152">
        <f t="shared" si="100"/>
        <v>4.8999999999999995E-2</v>
      </c>
      <c r="Y1592" s="150">
        <f t="shared" si="99"/>
        <v>1.01</v>
      </c>
      <c r="Z1592" s="152"/>
      <c r="AC1592" s="154"/>
      <c r="AD1592" s="154"/>
      <c r="AE1592" s="154"/>
      <c r="AF1592" s="154"/>
    </row>
    <row r="1593" spans="1:32" x14ac:dyDescent="0.25">
      <c r="A1593" s="196">
        <v>2514</v>
      </c>
      <c r="B1593" s="196" t="s">
        <v>2674</v>
      </c>
      <c r="C1593" s="196" t="s">
        <v>7940</v>
      </c>
      <c r="D1593" s="196" t="s">
        <v>3448</v>
      </c>
      <c r="F1593" s="196">
        <v>2007</v>
      </c>
      <c r="H1593" s="196" t="s">
        <v>2734</v>
      </c>
      <c r="I1593" s="184" t="s">
        <v>1929</v>
      </c>
      <c r="K1593" s="196" t="s">
        <v>1881</v>
      </c>
      <c r="L1593" s="184" t="s">
        <v>7941</v>
      </c>
      <c r="M1593" s="196">
        <v>146</v>
      </c>
      <c r="O1593" s="196" t="s">
        <v>6588</v>
      </c>
      <c r="P1593" s="17">
        <v>342</v>
      </c>
      <c r="Q1593" s="175">
        <f t="shared" si="97"/>
        <v>1.6334</v>
      </c>
      <c r="R1593" s="199">
        <v>1.27</v>
      </c>
      <c r="T1593" s="149">
        <v>0.35</v>
      </c>
      <c r="U1593" s="149"/>
      <c r="V1593" s="149">
        <v>0.25</v>
      </c>
      <c r="W1593" s="149">
        <f t="shared" si="98"/>
        <v>1.27</v>
      </c>
      <c r="X1593" s="152">
        <f t="shared" si="100"/>
        <v>0.11340000000000001</v>
      </c>
      <c r="Y1593" s="150">
        <f t="shared" si="99"/>
        <v>1.01</v>
      </c>
      <c r="Z1593" s="152"/>
      <c r="AC1593" s="154"/>
      <c r="AD1593" s="154"/>
      <c r="AE1593" s="154"/>
      <c r="AF1593" s="154"/>
    </row>
    <row r="1594" spans="1:32" x14ac:dyDescent="0.25">
      <c r="A1594" s="196">
        <v>2547</v>
      </c>
      <c r="B1594" s="196" t="s">
        <v>7942</v>
      </c>
      <c r="C1594" s="196" t="s">
        <v>7943</v>
      </c>
      <c r="D1594" s="196" t="s">
        <v>2300</v>
      </c>
      <c r="E1594" s="196" t="s">
        <v>1921</v>
      </c>
      <c r="F1594" s="196">
        <v>2009</v>
      </c>
      <c r="H1594" s="196" t="s">
        <v>1878</v>
      </c>
      <c r="I1594" s="184" t="s">
        <v>1929</v>
      </c>
      <c r="J1594" s="52" t="s">
        <v>3854</v>
      </c>
      <c r="K1594" s="196" t="s">
        <v>1881</v>
      </c>
      <c r="L1594" s="184" t="s">
        <v>7944</v>
      </c>
      <c r="M1594" s="196">
        <v>608</v>
      </c>
      <c r="O1594" s="196" t="s">
        <v>6589</v>
      </c>
      <c r="P1594" s="17">
        <v>457</v>
      </c>
      <c r="Q1594" s="175">
        <f t="shared" si="97"/>
        <v>0.64900000000000002</v>
      </c>
      <c r="R1594" s="199">
        <v>0.25</v>
      </c>
      <c r="T1594" s="149">
        <v>0.35</v>
      </c>
      <c r="U1594" s="149"/>
      <c r="V1594" s="149">
        <v>0.25</v>
      </c>
      <c r="W1594" s="149">
        <f t="shared" si="98"/>
        <v>0.35</v>
      </c>
      <c r="X1594" s="152">
        <f t="shared" si="100"/>
        <v>4.8999999999999995E-2</v>
      </c>
      <c r="Y1594" s="150">
        <f t="shared" si="99"/>
        <v>1.01</v>
      </c>
      <c r="Z1594" s="152"/>
      <c r="AC1594" s="154"/>
      <c r="AD1594" s="154"/>
      <c r="AE1594" s="154"/>
      <c r="AF1594" s="154"/>
    </row>
    <row r="1595" spans="1:32" x14ac:dyDescent="0.25">
      <c r="A1595" s="196">
        <v>2022</v>
      </c>
      <c r="B1595" s="196" t="s">
        <v>7945</v>
      </c>
      <c r="C1595" s="196" t="s">
        <v>7946</v>
      </c>
      <c r="D1595" s="196" t="s">
        <v>6367</v>
      </c>
      <c r="F1595" s="196">
        <v>2017</v>
      </c>
      <c r="H1595" s="196" t="s">
        <v>2734</v>
      </c>
      <c r="I1595" s="184" t="s">
        <v>1929</v>
      </c>
      <c r="J1595" s="52" t="s">
        <v>3854</v>
      </c>
      <c r="K1595" s="196" t="s">
        <v>1881</v>
      </c>
      <c r="L1595" s="184" t="s">
        <v>7947</v>
      </c>
      <c r="M1595" s="196">
        <v>578</v>
      </c>
      <c r="O1595" s="196" t="s">
        <v>6590</v>
      </c>
      <c r="P1595" s="17">
        <v>995</v>
      </c>
      <c r="Q1595" s="175">
        <f t="shared" si="97"/>
        <v>5.7314999999999996</v>
      </c>
      <c r="R1595" s="199">
        <v>5.0999999999999996</v>
      </c>
      <c r="T1595" s="149">
        <v>0.35</v>
      </c>
      <c r="U1595" s="149"/>
      <c r="V1595" s="149">
        <v>0.25</v>
      </c>
      <c r="W1595" s="149">
        <f t="shared" si="98"/>
        <v>5.0999999999999996</v>
      </c>
      <c r="X1595" s="152">
        <f t="shared" si="100"/>
        <v>0.38149999999999995</v>
      </c>
      <c r="Y1595" s="150">
        <f t="shared" si="99"/>
        <v>1.01</v>
      </c>
      <c r="Z1595" s="152"/>
      <c r="AC1595" s="154"/>
      <c r="AD1595" s="154"/>
      <c r="AE1595" s="154"/>
      <c r="AF1595" s="154"/>
    </row>
    <row r="1596" spans="1:32" x14ac:dyDescent="0.25">
      <c r="A1596" s="196">
        <v>651</v>
      </c>
      <c r="B1596" s="196" t="s">
        <v>7948</v>
      </c>
      <c r="C1596" s="196" t="s">
        <v>7949</v>
      </c>
      <c r="D1596" s="196" t="s">
        <v>2117</v>
      </c>
      <c r="E1596" s="196" t="s">
        <v>1913</v>
      </c>
      <c r="F1596" s="196">
        <v>2012</v>
      </c>
      <c r="H1596" s="196" t="s">
        <v>1878</v>
      </c>
      <c r="I1596" s="184" t="s">
        <v>1929</v>
      </c>
      <c r="K1596" s="196" t="s">
        <v>1881</v>
      </c>
      <c r="L1596" s="184" t="s">
        <v>7950</v>
      </c>
      <c r="M1596" s="196">
        <v>32</v>
      </c>
      <c r="O1596" s="196" t="s">
        <v>6591</v>
      </c>
      <c r="P1596" s="17">
        <v>152</v>
      </c>
      <c r="Q1596" s="175">
        <f t="shared" ref="Q1596:Q1613" si="101">SUM(U1596:X1596)</f>
        <v>0.79879999999999995</v>
      </c>
      <c r="R1596" s="199">
        <v>0.49</v>
      </c>
      <c r="T1596" s="149">
        <v>0.35</v>
      </c>
      <c r="U1596" s="149"/>
      <c r="V1596" s="149">
        <v>0.25</v>
      </c>
      <c r="W1596" s="149">
        <f t="shared" si="98"/>
        <v>0.49</v>
      </c>
      <c r="X1596" s="152">
        <f t="shared" si="100"/>
        <v>5.8799999999999998E-2</v>
      </c>
      <c r="Y1596" s="150">
        <f t="shared" si="99"/>
        <v>1.01</v>
      </c>
      <c r="Z1596" s="152"/>
      <c r="AC1596" s="154"/>
      <c r="AD1596" s="154"/>
      <c r="AE1596" s="154"/>
      <c r="AF1596" s="154"/>
    </row>
    <row r="1597" spans="1:32" x14ac:dyDescent="0.25">
      <c r="A1597" s="196">
        <v>651</v>
      </c>
      <c r="B1597" s="196" t="s">
        <v>2115</v>
      </c>
      <c r="C1597" s="196" t="s">
        <v>7951</v>
      </c>
      <c r="D1597" s="196" t="s">
        <v>2117</v>
      </c>
      <c r="E1597" s="196" t="s">
        <v>1913</v>
      </c>
      <c r="F1597" s="196">
        <v>2015</v>
      </c>
      <c r="H1597" s="196" t="s">
        <v>1878</v>
      </c>
      <c r="I1597" s="184" t="s">
        <v>1929</v>
      </c>
      <c r="K1597" s="196" t="s">
        <v>1881</v>
      </c>
      <c r="L1597" s="184" t="s">
        <v>7952</v>
      </c>
      <c r="M1597" s="196">
        <v>32</v>
      </c>
      <c r="O1597" s="196" t="s">
        <v>6592</v>
      </c>
      <c r="P1597" s="17">
        <v>154</v>
      </c>
      <c r="Q1597" s="175">
        <f t="shared" si="101"/>
        <v>1.8688</v>
      </c>
      <c r="R1597" s="199">
        <v>1.49</v>
      </c>
      <c r="T1597" s="149">
        <v>0.35</v>
      </c>
      <c r="U1597" s="149"/>
      <c r="V1597" s="149">
        <v>0.25</v>
      </c>
      <c r="W1597" s="149">
        <f t="shared" si="98"/>
        <v>1.49</v>
      </c>
      <c r="X1597" s="152">
        <f t="shared" si="100"/>
        <v>0.1288</v>
      </c>
      <c r="Y1597" s="150">
        <f t="shared" si="99"/>
        <v>1.01</v>
      </c>
      <c r="Z1597" s="152"/>
      <c r="AC1597" s="154"/>
      <c r="AD1597" s="154"/>
      <c r="AE1597" s="154"/>
      <c r="AF1597" s="154"/>
    </row>
    <row r="1598" spans="1:32" x14ac:dyDescent="0.25">
      <c r="A1598" s="196">
        <v>2522</v>
      </c>
      <c r="B1598" s="196" t="s">
        <v>7953</v>
      </c>
      <c r="C1598" s="196" t="s">
        <v>7954</v>
      </c>
      <c r="D1598" s="196" t="s">
        <v>2609</v>
      </c>
      <c r="E1598" s="196" t="s">
        <v>1877</v>
      </c>
      <c r="F1598" s="196">
        <v>2006</v>
      </c>
      <c r="H1598" s="196" t="s">
        <v>1878</v>
      </c>
      <c r="I1598" s="184" t="s">
        <v>1879</v>
      </c>
      <c r="J1598" s="52" t="s">
        <v>3854</v>
      </c>
      <c r="K1598" s="196" t="s">
        <v>1881</v>
      </c>
      <c r="L1598" s="184" t="s">
        <v>7955</v>
      </c>
      <c r="M1598" s="196">
        <v>352</v>
      </c>
      <c r="O1598" s="196" t="s">
        <v>6593</v>
      </c>
      <c r="P1598" s="17">
        <v>351</v>
      </c>
      <c r="Q1598" s="175">
        <f t="shared" si="101"/>
        <v>0.64900000000000002</v>
      </c>
      <c r="R1598" s="199">
        <v>0.25</v>
      </c>
      <c r="T1598" s="149">
        <v>0.35</v>
      </c>
      <c r="U1598" s="149"/>
      <c r="V1598" s="149">
        <v>0.25</v>
      </c>
      <c r="W1598" s="149">
        <f t="shared" si="98"/>
        <v>0.35</v>
      </c>
      <c r="X1598" s="152">
        <f t="shared" si="100"/>
        <v>4.8999999999999995E-2</v>
      </c>
      <c r="Y1598" s="150">
        <f t="shared" si="99"/>
        <v>1.01</v>
      </c>
      <c r="Z1598" s="152"/>
      <c r="AC1598" s="154"/>
      <c r="AD1598" s="154"/>
      <c r="AE1598" s="154"/>
      <c r="AF1598" s="154"/>
    </row>
    <row r="1599" spans="1:32" x14ac:dyDescent="0.25">
      <c r="A1599" s="196">
        <v>692</v>
      </c>
      <c r="B1599" s="196" t="s">
        <v>7956</v>
      </c>
      <c r="C1599" s="196" t="s">
        <v>7957</v>
      </c>
      <c r="D1599" s="196" t="s">
        <v>2424</v>
      </c>
      <c r="F1599" s="196">
        <v>2006</v>
      </c>
      <c r="H1599" s="196" t="s">
        <v>1878</v>
      </c>
      <c r="I1599" s="184" t="s">
        <v>1879</v>
      </c>
      <c r="K1599" s="196" t="s">
        <v>1881</v>
      </c>
      <c r="L1599" s="184" t="s">
        <v>7958</v>
      </c>
      <c r="M1599" s="196">
        <v>432</v>
      </c>
      <c r="O1599" s="196" t="s">
        <v>6594</v>
      </c>
      <c r="P1599" s="17">
        <v>359</v>
      </c>
      <c r="Q1599" s="175">
        <f t="shared" si="101"/>
        <v>0.64900000000000002</v>
      </c>
      <c r="R1599" s="199">
        <v>0.3</v>
      </c>
      <c r="T1599" s="149">
        <v>0.35</v>
      </c>
      <c r="U1599" s="149"/>
      <c r="V1599" s="149">
        <v>0.25</v>
      </c>
      <c r="W1599" s="149">
        <f t="shared" si="98"/>
        <v>0.35</v>
      </c>
      <c r="X1599" s="152">
        <f t="shared" si="100"/>
        <v>4.8999999999999995E-2</v>
      </c>
      <c r="Y1599" s="150">
        <f t="shared" si="99"/>
        <v>1.01</v>
      </c>
      <c r="Z1599" s="152"/>
      <c r="AC1599" s="154"/>
      <c r="AD1599" s="154"/>
      <c r="AE1599" s="154"/>
      <c r="AF1599" s="154"/>
    </row>
    <row r="1600" spans="1:32" x14ac:dyDescent="0.25">
      <c r="A1600" s="196">
        <v>689</v>
      </c>
      <c r="B1600" s="196" t="s">
        <v>7959</v>
      </c>
      <c r="C1600" s="196" t="s">
        <v>7960</v>
      </c>
      <c r="D1600" s="196" t="s">
        <v>2609</v>
      </c>
      <c r="F1600" s="196">
        <v>2011</v>
      </c>
      <c r="H1600" s="196" t="s">
        <v>2734</v>
      </c>
      <c r="I1600" s="184" t="s">
        <v>1879</v>
      </c>
      <c r="J1600" s="52" t="s">
        <v>3854</v>
      </c>
      <c r="K1600" s="196" t="s">
        <v>1881</v>
      </c>
      <c r="L1600" s="184" t="s">
        <v>7961</v>
      </c>
      <c r="M1600" s="196">
        <v>466</v>
      </c>
      <c r="O1600" s="196" t="s">
        <v>6595</v>
      </c>
      <c r="P1600" s="17">
        <v>686</v>
      </c>
      <c r="Q1600" s="175">
        <f t="shared" si="101"/>
        <v>1.3338000000000001</v>
      </c>
      <c r="R1600" s="199">
        <v>0.99</v>
      </c>
      <c r="T1600" s="149">
        <v>0.35</v>
      </c>
      <c r="U1600" s="149"/>
      <c r="V1600" s="149">
        <v>0.25</v>
      </c>
      <c r="W1600" s="149">
        <f t="shared" si="98"/>
        <v>0.99</v>
      </c>
      <c r="X1600" s="152">
        <f t="shared" si="100"/>
        <v>9.3799999999999994E-2</v>
      </c>
      <c r="Y1600" s="150">
        <f t="shared" si="99"/>
        <v>1.01</v>
      </c>
      <c r="Z1600" s="152"/>
      <c r="AC1600" s="154"/>
      <c r="AD1600" s="154"/>
      <c r="AE1600" s="154"/>
      <c r="AF1600" s="154"/>
    </row>
    <row r="1601" spans="1:36" x14ac:dyDescent="0.25">
      <c r="A1601" s="196">
        <v>2514</v>
      </c>
      <c r="B1601" s="196" t="s">
        <v>7236</v>
      </c>
      <c r="C1601" s="196" t="s">
        <v>7962</v>
      </c>
      <c r="D1601" s="196" t="s">
        <v>2402</v>
      </c>
      <c r="F1601" s="196">
        <v>1974</v>
      </c>
      <c r="H1601" s="196" t="s">
        <v>2734</v>
      </c>
      <c r="I1601" s="184" t="s">
        <v>1914</v>
      </c>
      <c r="K1601" s="196" t="s">
        <v>1881</v>
      </c>
      <c r="L1601" s="184" t="s">
        <v>7963</v>
      </c>
      <c r="M1601" s="196">
        <v>126</v>
      </c>
      <c r="O1601" s="196" t="s">
        <v>6596</v>
      </c>
      <c r="P1601" s="17">
        <v>193</v>
      </c>
      <c r="Q1601" s="175">
        <f t="shared" si="101"/>
        <v>0.64900000000000002</v>
      </c>
      <c r="R1601" s="199">
        <v>0.25</v>
      </c>
      <c r="T1601" s="149">
        <v>0.35</v>
      </c>
      <c r="U1601" s="149"/>
      <c r="V1601" s="149">
        <v>0.25</v>
      </c>
      <c r="W1601" s="149">
        <f t="shared" si="98"/>
        <v>0.35</v>
      </c>
      <c r="X1601" s="152">
        <f t="shared" si="100"/>
        <v>4.8999999999999995E-2</v>
      </c>
      <c r="Y1601" s="150">
        <f t="shared" si="99"/>
        <v>1.01</v>
      </c>
      <c r="Z1601" s="152"/>
      <c r="AC1601" s="154"/>
      <c r="AD1601" s="154"/>
      <c r="AE1601" s="154"/>
      <c r="AF1601" s="154"/>
    </row>
    <row r="1602" spans="1:36" x14ac:dyDescent="0.25">
      <c r="A1602" s="196">
        <v>607</v>
      </c>
      <c r="B1602" s="196" t="s">
        <v>7964</v>
      </c>
      <c r="C1602" s="196" t="s">
        <v>7965</v>
      </c>
      <c r="D1602" s="196" t="s">
        <v>6546</v>
      </c>
      <c r="F1602" s="196">
        <v>2016</v>
      </c>
      <c r="H1602" s="196" t="s">
        <v>1878</v>
      </c>
      <c r="I1602" s="184" t="s">
        <v>1929</v>
      </c>
      <c r="K1602" s="196" t="s">
        <v>1881</v>
      </c>
      <c r="L1602" s="184" t="s">
        <v>7966</v>
      </c>
      <c r="M1602" s="196">
        <v>194</v>
      </c>
      <c r="O1602" s="196" t="s">
        <v>6597</v>
      </c>
      <c r="P1602" s="17">
        <v>282</v>
      </c>
      <c r="Q1602" s="175">
        <f t="shared" si="101"/>
        <v>1.8688</v>
      </c>
      <c r="R1602" s="199">
        <v>1.49</v>
      </c>
      <c r="T1602" s="149">
        <v>0.35</v>
      </c>
      <c r="U1602" s="149"/>
      <c r="V1602" s="149">
        <v>0.25</v>
      </c>
      <c r="W1602" s="149">
        <f t="shared" si="98"/>
        <v>1.49</v>
      </c>
      <c r="X1602" s="152">
        <f t="shared" si="100"/>
        <v>0.1288</v>
      </c>
      <c r="Y1602" s="150">
        <f t="shared" si="99"/>
        <v>1.01</v>
      </c>
      <c r="Z1602" s="152"/>
      <c r="AC1602" s="154"/>
      <c r="AD1602" s="154"/>
      <c r="AE1602" s="154"/>
      <c r="AF1602" s="154"/>
    </row>
    <row r="1603" spans="1:36" x14ac:dyDescent="0.25">
      <c r="A1603" s="196">
        <v>2547</v>
      </c>
      <c r="B1603" s="196" t="s">
        <v>6028</v>
      </c>
      <c r="C1603" s="196" t="s">
        <v>7967</v>
      </c>
      <c r="D1603" s="196" t="s">
        <v>3077</v>
      </c>
      <c r="E1603" s="196" t="s">
        <v>1877</v>
      </c>
      <c r="F1603" s="196">
        <v>1993</v>
      </c>
      <c r="H1603" s="196" t="s">
        <v>2734</v>
      </c>
      <c r="I1603" s="184" t="s">
        <v>7527</v>
      </c>
      <c r="K1603" s="196" t="s">
        <v>1881</v>
      </c>
      <c r="L1603" s="184" t="s">
        <v>7968</v>
      </c>
      <c r="M1603" s="196">
        <v>482</v>
      </c>
      <c r="O1603" s="196" t="s">
        <v>6598</v>
      </c>
      <c r="P1603" s="17">
        <v>522</v>
      </c>
      <c r="Q1603" s="175">
        <f t="shared" si="101"/>
        <v>0.64900000000000002</v>
      </c>
      <c r="R1603" s="199">
        <v>0.25</v>
      </c>
      <c r="T1603" s="149">
        <v>0.35</v>
      </c>
      <c r="U1603" s="149"/>
      <c r="V1603" s="149">
        <v>0.25</v>
      </c>
      <c r="W1603" s="149">
        <f t="shared" si="98"/>
        <v>0.35</v>
      </c>
      <c r="X1603" s="152">
        <f t="shared" si="100"/>
        <v>4.8999999999999995E-2</v>
      </c>
      <c r="Y1603" s="150">
        <f t="shared" si="99"/>
        <v>1.01</v>
      </c>
      <c r="Z1603" s="152"/>
      <c r="AC1603" s="154"/>
      <c r="AD1603" s="154"/>
      <c r="AE1603" s="154"/>
      <c r="AF1603" s="154"/>
    </row>
    <row r="1604" spans="1:36" x14ac:dyDescent="0.25">
      <c r="A1604" s="196">
        <v>1327</v>
      </c>
      <c r="B1604" s="196" t="s">
        <v>7969</v>
      </c>
      <c r="C1604" s="196" t="s">
        <v>7970</v>
      </c>
      <c r="D1604" s="196" t="s">
        <v>2644</v>
      </c>
      <c r="F1604" s="196">
        <v>2009</v>
      </c>
      <c r="H1604" s="196" t="s">
        <v>1878</v>
      </c>
      <c r="I1604" s="184" t="s">
        <v>7527</v>
      </c>
      <c r="K1604" s="196" t="s">
        <v>1881</v>
      </c>
      <c r="L1604" s="184" t="s">
        <v>7971</v>
      </c>
      <c r="M1604" s="196">
        <v>416</v>
      </c>
      <c r="O1604" s="196" t="s">
        <v>6599</v>
      </c>
      <c r="P1604" s="17">
        <v>316</v>
      </c>
      <c r="Q1604" s="175">
        <f t="shared" si="101"/>
        <v>0.79879999999999995</v>
      </c>
      <c r="R1604" s="199">
        <v>0.49</v>
      </c>
      <c r="T1604" s="149">
        <v>0.35</v>
      </c>
      <c r="U1604" s="149"/>
      <c r="V1604" s="149">
        <v>0.25</v>
      </c>
      <c r="W1604" s="149">
        <f t="shared" si="98"/>
        <v>0.49</v>
      </c>
      <c r="X1604" s="152">
        <f t="shared" si="100"/>
        <v>5.8799999999999998E-2</v>
      </c>
      <c r="Y1604" s="150">
        <f t="shared" si="99"/>
        <v>1.01</v>
      </c>
      <c r="Z1604" s="152"/>
      <c r="AC1604" s="154"/>
      <c r="AD1604" s="154"/>
      <c r="AE1604" s="154"/>
      <c r="AF1604" s="154"/>
    </row>
    <row r="1605" spans="1:36" x14ac:dyDescent="0.25">
      <c r="A1605" s="196">
        <v>692</v>
      </c>
      <c r="B1605" s="196" t="s">
        <v>7972</v>
      </c>
      <c r="C1605" s="196" t="s">
        <v>7973</v>
      </c>
      <c r="D1605" s="196" t="s">
        <v>1988</v>
      </c>
      <c r="F1605" s="196">
        <v>1999</v>
      </c>
      <c r="H1605" s="196" t="s">
        <v>1878</v>
      </c>
      <c r="I1605" s="184" t="s">
        <v>1879</v>
      </c>
      <c r="K1605" s="196" t="s">
        <v>1881</v>
      </c>
      <c r="L1605" s="184" t="s">
        <v>7974</v>
      </c>
      <c r="M1605" s="196">
        <v>336</v>
      </c>
      <c r="O1605" s="196" t="s">
        <v>6600</v>
      </c>
      <c r="P1605" s="17">
        <v>296</v>
      </c>
      <c r="Q1605" s="175">
        <f t="shared" si="101"/>
        <v>2.5107999999999997</v>
      </c>
      <c r="R1605" s="199">
        <v>2.09</v>
      </c>
      <c r="T1605" s="149">
        <v>0.35</v>
      </c>
      <c r="U1605" s="149"/>
      <c r="V1605" s="149">
        <v>0.25</v>
      </c>
      <c r="W1605" s="149">
        <f t="shared" si="98"/>
        <v>2.09</v>
      </c>
      <c r="X1605" s="152">
        <f t="shared" si="100"/>
        <v>0.17079999999999998</v>
      </c>
      <c r="Y1605" s="150">
        <f t="shared" si="99"/>
        <v>1.01</v>
      </c>
      <c r="Z1605" s="152"/>
      <c r="AC1605" s="154"/>
      <c r="AD1605" s="154"/>
      <c r="AE1605" s="154"/>
      <c r="AF1605" s="154"/>
    </row>
    <row r="1606" spans="1:36" x14ac:dyDescent="0.25">
      <c r="A1606" s="196">
        <v>796</v>
      </c>
      <c r="B1606" s="196" t="s">
        <v>7975</v>
      </c>
      <c r="C1606" s="196" t="s">
        <v>7976</v>
      </c>
      <c r="D1606" s="196" t="s">
        <v>3895</v>
      </c>
      <c r="F1606" s="196">
        <v>2013</v>
      </c>
      <c r="H1606" s="196" t="s">
        <v>1878</v>
      </c>
      <c r="I1606" s="184" t="s">
        <v>7817</v>
      </c>
      <c r="K1606" s="196" t="s">
        <v>1881</v>
      </c>
      <c r="L1606" s="184" t="s">
        <v>7977</v>
      </c>
      <c r="M1606" s="196">
        <v>336</v>
      </c>
      <c r="O1606" s="196" t="s">
        <v>6601</v>
      </c>
      <c r="P1606" s="17">
        <v>340</v>
      </c>
      <c r="Q1606" s="175">
        <f t="shared" si="101"/>
        <v>0.74529999999999996</v>
      </c>
      <c r="R1606" s="199">
        <v>0.44</v>
      </c>
      <c r="T1606" s="149">
        <v>0.35</v>
      </c>
      <c r="U1606" s="149"/>
      <c r="V1606" s="149">
        <v>0.25</v>
      </c>
      <c r="W1606" s="149">
        <f t="shared" si="98"/>
        <v>0.44</v>
      </c>
      <c r="X1606" s="152">
        <f t="shared" si="100"/>
        <v>5.5300000000000002E-2</v>
      </c>
      <c r="Y1606" s="150">
        <f t="shared" si="99"/>
        <v>1.01</v>
      </c>
      <c r="Z1606" s="152"/>
      <c r="AC1606" s="154"/>
      <c r="AD1606" s="154"/>
      <c r="AE1606" s="154"/>
      <c r="AF1606" s="154"/>
    </row>
    <row r="1607" spans="1:36" x14ac:dyDescent="0.25">
      <c r="Y1607" s="150">
        <f t="shared" si="99"/>
        <v>1.01</v>
      </c>
    </row>
    <row r="1608" spans="1:36" x14ac:dyDescent="0.25">
      <c r="A1608" s="196">
        <v>765</v>
      </c>
      <c r="B1608" s="196"/>
      <c r="C1608" s="196" t="s">
        <v>7981</v>
      </c>
      <c r="D1608" s="196" t="s">
        <v>7982</v>
      </c>
      <c r="F1608" s="196">
        <v>2018</v>
      </c>
      <c r="H1608" s="196" t="s">
        <v>1878</v>
      </c>
      <c r="I1608" s="184" t="s">
        <v>1879</v>
      </c>
      <c r="K1608" s="196" t="s">
        <v>1881</v>
      </c>
      <c r="L1608" s="184" t="s">
        <v>7983</v>
      </c>
      <c r="O1608" s="196" t="s">
        <v>6603</v>
      </c>
      <c r="P1608" s="17">
        <v>358</v>
      </c>
      <c r="Q1608" s="175">
        <f t="shared" si="101"/>
        <v>2.7355</v>
      </c>
      <c r="R1608" s="199">
        <v>2.2999999999999998</v>
      </c>
      <c r="T1608" s="149">
        <v>0.35</v>
      </c>
      <c r="U1608" s="149"/>
      <c r="V1608" s="149">
        <v>0.25</v>
      </c>
      <c r="W1608" s="149">
        <f t="shared" si="98"/>
        <v>2.2999999999999998</v>
      </c>
      <c r="X1608" s="152">
        <f t="shared" si="100"/>
        <v>0.1855</v>
      </c>
      <c r="Y1608" s="150">
        <f t="shared" si="99"/>
        <v>1.01</v>
      </c>
      <c r="Z1608" s="152"/>
      <c r="AC1608" s="154"/>
      <c r="AD1608" s="154"/>
      <c r="AE1608" s="154"/>
      <c r="AF1608" s="154"/>
    </row>
    <row r="1609" spans="1:36" x14ac:dyDescent="0.25">
      <c r="A1609" s="196">
        <v>632</v>
      </c>
      <c r="B1609" s="196" t="s">
        <v>7984</v>
      </c>
      <c r="C1609" s="196" t="s">
        <v>7985</v>
      </c>
      <c r="D1609" s="196" t="s">
        <v>2300</v>
      </c>
      <c r="E1609" s="196" t="s">
        <v>2335</v>
      </c>
      <c r="F1609" s="196">
        <v>2006</v>
      </c>
      <c r="H1609" s="196" t="s">
        <v>2734</v>
      </c>
      <c r="I1609" s="184" t="s">
        <v>1879</v>
      </c>
      <c r="J1609" s="52" t="s">
        <v>3854</v>
      </c>
      <c r="K1609" s="196" t="s">
        <v>1881</v>
      </c>
      <c r="L1609" s="184" t="s">
        <v>7986</v>
      </c>
      <c r="M1609" s="196">
        <v>354</v>
      </c>
      <c r="O1609" s="196" t="s">
        <v>6604</v>
      </c>
      <c r="P1609" s="17">
        <v>414</v>
      </c>
      <c r="Q1609" s="175">
        <f t="shared" si="101"/>
        <v>2.3931</v>
      </c>
      <c r="R1609" s="199">
        <v>1.98</v>
      </c>
      <c r="T1609" s="149">
        <v>0.35</v>
      </c>
      <c r="U1609" s="149"/>
      <c r="V1609" s="149">
        <v>0.25</v>
      </c>
      <c r="W1609" s="149">
        <f t="shared" si="98"/>
        <v>1.98</v>
      </c>
      <c r="X1609" s="152">
        <f t="shared" si="100"/>
        <v>0.16310000000000002</v>
      </c>
      <c r="Y1609" s="150">
        <f t="shared" si="99"/>
        <v>1.01</v>
      </c>
      <c r="Z1609" s="152"/>
      <c r="AC1609" s="154"/>
      <c r="AD1609" s="154"/>
      <c r="AE1609" s="154"/>
      <c r="AF1609" s="154"/>
    </row>
    <row r="1610" spans="1:36" x14ac:dyDescent="0.25">
      <c r="A1610" s="196">
        <v>1317</v>
      </c>
      <c r="B1610" s="196" t="s">
        <v>7987</v>
      </c>
      <c r="C1610" s="196" t="s">
        <v>7988</v>
      </c>
      <c r="D1610" s="196" t="s">
        <v>3524</v>
      </c>
      <c r="E1610" s="196" t="s">
        <v>1913</v>
      </c>
      <c r="F1610" s="196">
        <v>2000</v>
      </c>
      <c r="H1610" s="196" t="s">
        <v>2734</v>
      </c>
      <c r="I1610" s="184" t="s">
        <v>1879</v>
      </c>
      <c r="K1610" s="196" t="s">
        <v>1881</v>
      </c>
      <c r="L1610" s="184" t="s">
        <v>7989</v>
      </c>
      <c r="M1610" s="196">
        <v>130</v>
      </c>
      <c r="O1610" s="196" t="s">
        <v>6605</v>
      </c>
      <c r="P1610" s="17">
        <v>221</v>
      </c>
      <c r="Q1610" s="175">
        <f t="shared" si="101"/>
        <v>0.64900000000000002</v>
      </c>
      <c r="R1610" s="199">
        <v>0.26</v>
      </c>
      <c r="T1610" s="149">
        <v>0.35</v>
      </c>
      <c r="U1610" s="149"/>
      <c r="V1610" s="149">
        <v>0.25</v>
      </c>
      <c r="W1610" s="149">
        <f t="shared" si="98"/>
        <v>0.35</v>
      </c>
      <c r="X1610" s="152">
        <f t="shared" si="100"/>
        <v>4.8999999999999995E-2</v>
      </c>
      <c r="Y1610" s="150">
        <f t="shared" si="99"/>
        <v>1.01</v>
      </c>
      <c r="Z1610" s="152"/>
      <c r="AC1610" s="154"/>
      <c r="AD1610" s="154"/>
      <c r="AE1610" s="154"/>
      <c r="AF1610" s="154"/>
    </row>
    <row r="1611" spans="1:36" x14ac:dyDescent="0.25">
      <c r="A1611" s="196">
        <v>937</v>
      </c>
      <c r="B1611" s="196" t="s">
        <v>7990</v>
      </c>
      <c r="C1611" s="196" t="s">
        <v>7991</v>
      </c>
      <c r="D1611" s="196" t="s">
        <v>7992</v>
      </c>
      <c r="E1611" s="196" t="s">
        <v>1913</v>
      </c>
      <c r="F1611" s="196">
        <v>1999</v>
      </c>
      <c r="H1611" s="196" t="s">
        <v>1878</v>
      </c>
      <c r="I1611" s="184" t="s">
        <v>1879</v>
      </c>
      <c r="K1611" s="196" t="s">
        <v>1881</v>
      </c>
      <c r="L1611" s="184" t="s">
        <v>7993</v>
      </c>
      <c r="M1611" s="196">
        <v>104</v>
      </c>
      <c r="O1611" s="196" t="s">
        <v>6606</v>
      </c>
      <c r="P1611" s="17">
        <v>113</v>
      </c>
      <c r="Q1611" s="175">
        <f t="shared" si="101"/>
        <v>5.0788000000000002</v>
      </c>
      <c r="R1611" s="199">
        <v>4.49</v>
      </c>
      <c r="T1611" s="149">
        <v>0.35</v>
      </c>
      <c r="U1611" s="149"/>
      <c r="V1611" s="149">
        <v>0.25</v>
      </c>
      <c r="W1611" s="149">
        <f t="shared" si="98"/>
        <v>4.49</v>
      </c>
      <c r="X1611" s="152">
        <f t="shared" si="100"/>
        <v>0.33879999999999999</v>
      </c>
      <c r="Y1611" s="150">
        <f t="shared" si="99"/>
        <v>1.01</v>
      </c>
      <c r="Z1611" s="152"/>
      <c r="AC1611" s="154"/>
      <c r="AD1611" s="154"/>
      <c r="AE1611" s="154"/>
      <c r="AF1611" s="154"/>
    </row>
    <row r="1612" spans="1:36" x14ac:dyDescent="0.25">
      <c r="A1612" s="196">
        <v>1324</v>
      </c>
      <c r="B1612" s="196" t="s">
        <v>7994</v>
      </c>
      <c r="C1612" s="196" t="s">
        <v>7995</v>
      </c>
      <c r="D1612" s="196" t="s">
        <v>4693</v>
      </c>
      <c r="E1612" s="196" t="s">
        <v>1913</v>
      </c>
      <c r="F1612" s="196">
        <v>1994</v>
      </c>
      <c r="H1612" s="196" t="s">
        <v>1878</v>
      </c>
      <c r="I1612" s="184" t="s">
        <v>1914</v>
      </c>
      <c r="K1612" s="196" t="s">
        <v>1881</v>
      </c>
      <c r="L1612" s="184" t="s">
        <v>7996</v>
      </c>
      <c r="M1612" s="196">
        <v>112</v>
      </c>
      <c r="O1612" s="196" t="s">
        <v>6607</v>
      </c>
      <c r="P1612" s="17">
        <v>278</v>
      </c>
      <c r="Q1612" s="175">
        <f t="shared" si="101"/>
        <v>0.79879999999999995</v>
      </c>
      <c r="R1612" s="199">
        <v>0.49</v>
      </c>
      <c r="T1612" s="149">
        <v>0.35</v>
      </c>
      <c r="U1612" s="149"/>
      <c r="V1612" s="149">
        <v>0.25</v>
      </c>
      <c r="W1612" s="149">
        <f t="shared" si="98"/>
        <v>0.49</v>
      </c>
      <c r="X1612" s="152">
        <f t="shared" si="100"/>
        <v>5.8799999999999998E-2</v>
      </c>
      <c r="Y1612" s="150">
        <f t="shared" si="99"/>
        <v>1.01</v>
      </c>
      <c r="Z1612" s="152"/>
      <c r="AC1612" s="154"/>
      <c r="AD1612" s="154"/>
      <c r="AE1612" s="154"/>
      <c r="AF1612" s="154"/>
    </row>
    <row r="1613" spans="1:36" s="146" customFormat="1" x14ac:dyDescent="0.25">
      <c r="A1613" s="196">
        <v>1324</v>
      </c>
      <c r="B1613" s="196" t="s">
        <v>7997</v>
      </c>
      <c r="C1613" s="196" t="s">
        <v>7998</v>
      </c>
      <c r="D1613" s="196" t="s">
        <v>4693</v>
      </c>
      <c r="E1613" s="196" t="s">
        <v>2175</v>
      </c>
      <c r="F1613" s="196">
        <v>2002</v>
      </c>
      <c r="G1613" s="196"/>
      <c r="H1613" s="196" t="s">
        <v>1878</v>
      </c>
      <c r="I1613" s="141" t="s">
        <v>1879</v>
      </c>
      <c r="J1613" s="196"/>
      <c r="K1613" s="196" t="s">
        <v>1881</v>
      </c>
      <c r="L1613" s="141" t="s">
        <v>7999</v>
      </c>
      <c r="M1613" s="196">
        <v>96</v>
      </c>
      <c r="N1613" s="196"/>
      <c r="O1613" s="196" t="s">
        <v>6608</v>
      </c>
      <c r="P1613" s="144">
        <v>248</v>
      </c>
      <c r="Q1613" s="145">
        <f t="shared" si="101"/>
        <v>1.0127999999999999</v>
      </c>
      <c r="R1613" s="203">
        <v>0.69</v>
      </c>
      <c r="S1613" s="203"/>
      <c r="T1613" s="151">
        <v>0.35</v>
      </c>
      <c r="U1613" s="151"/>
      <c r="V1613" s="151">
        <v>0.25</v>
      </c>
      <c r="W1613" s="151">
        <f t="shared" si="98"/>
        <v>0.69</v>
      </c>
      <c r="X1613" s="152">
        <f t="shared" si="100"/>
        <v>7.2800000000000004E-2</v>
      </c>
      <c r="Y1613" s="150">
        <f t="shared" si="99"/>
        <v>1.01</v>
      </c>
      <c r="Z1613" s="152"/>
      <c r="AA1613" s="148"/>
      <c r="AB1613" s="148"/>
      <c r="AC1613" s="153"/>
      <c r="AD1613" s="153"/>
      <c r="AE1613" s="153"/>
      <c r="AF1613" s="153"/>
      <c r="AJ1613" s="147"/>
    </row>
    <row r="1614" spans="1:36" x14ac:dyDescent="0.25">
      <c r="A1614" s="196">
        <v>631</v>
      </c>
      <c r="B1614" s="196" t="s">
        <v>8003</v>
      </c>
      <c r="C1614" s="196" t="s">
        <v>8004</v>
      </c>
      <c r="D1614" s="196" t="s">
        <v>2835</v>
      </c>
      <c r="F1614" s="196">
        <v>1993</v>
      </c>
      <c r="H1614" s="196" t="s">
        <v>1878</v>
      </c>
      <c r="I1614" s="184" t="s">
        <v>1879</v>
      </c>
      <c r="J1614" s="52" t="s">
        <v>3854</v>
      </c>
      <c r="K1614" s="196" t="s">
        <v>1881</v>
      </c>
      <c r="L1614" s="184" t="s">
        <v>8005</v>
      </c>
      <c r="M1614" s="196">
        <v>212</v>
      </c>
      <c r="O1614" s="196" t="s">
        <v>6610</v>
      </c>
      <c r="P1614" s="17">
        <v>188</v>
      </c>
      <c r="Q1614" s="175">
        <v>0.99</v>
      </c>
      <c r="R1614" s="199">
        <v>0.25</v>
      </c>
      <c r="T1614" s="149">
        <v>0.35</v>
      </c>
      <c r="U1614" s="149">
        <v>0.35</v>
      </c>
      <c r="V1614" s="149">
        <v>0.25</v>
      </c>
      <c r="W1614" s="149"/>
      <c r="X1614" s="152">
        <f t="shared" ref="X1614:X1661" si="102">(T1614+U1614)/100*7</f>
        <v>4.8999999999999995E-2</v>
      </c>
      <c r="Y1614" s="150">
        <f t="shared" si="99"/>
        <v>1.01</v>
      </c>
      <c r="Z1614" s="152"/>
      <c r="AC1614" s="154"/>
      <c r="AD1614" s="154"/>
      <c r="AE1614" s="154"/>
      <c r="AF1614" s="154"/>
    </row>
    <row r="1615" spans="1:36" x14ac:dyDescent="0.25">
      <c r="A1615" s="196">
        <v>1386</v>
      </c>
      <c r="B1615" s="196" t="s">
        <v>8006</v>
      </c>
      <c r="C1615" s="196" t="s">
        <v>8007</v>
      </c>
      <c r="D1615" s="196" t="s">
        <v>2835</v>
      </c>
      <c r="E1615" s="196" t="s">
        <v>1921</v>
      </c>
      <c r="F1615" s="196">
        <v>2008</v>
      </c>
      <c r="H1615" s="196" t="s">
        <v>1878</v>
      </c>
      <c r="I1615" s="184" t="s">
        <v>1879</v>
      </c>
      <c r="J1615" s="52" t="s">
        <v>3854</v>
      </c>
      <c r="K1615" s="196" t="s">
        <v>1881</v>
      </c>
      <c r="L1615" s="184" t="s">
        <v>8008</v>
      </c>
      <c r="M1615" s="196">
        <v>160</v>
      </c>
      <c r="O1615" s="196" t="s">
        <v>6611</v>
      </c>
      <c r="P1615" s="17">
        <v>107</v>
      </c>
      <c r="Q1615" s="175">
        <f>SUM(T1615:X1615)</f>
        <v>1.0204</v>
      </c>
      <c r="R1615" s="199">
        <v>0.54</v>
      </c>
      <c r="T1615" s="149">
        <v>0.35</v>
      </c>
      <c r="U1615" s="149">
        <v>0.37</v>
      </c>
      <c r="V1615" s="149">
        <v>0.25</v>
      </c>
      <c r="W1615" s="149"/>
      <c r="X1615" s="152">
        <f t="shared" si="102"/>
        <v>5.04E-2</v>
      </c>
      <c r="Y1615" s="150">
        <f t="shared" si="99"/>
        <v>1.01</v>
      </c>
      <c r="Z1615" s="152"/>
      <c r="AC1615" s="154"/>
      <c r="AD1615" s="154"/>
      <c r="AE1615" s="154"/>
      <c r="AF1615" s="154"/>
    </row>
    <row r="1616" spans="1:36" x14ac:dyDescent="0.25">
      <c r="A1616" s="196">
        <v>796</v>
      </c>
      <c r="B1616" s="196" t="s">
        <v>8009</v>
      </c>
      <c r="C1616" s="196" t="s">
        <v>8010</v>
      </c>
      <c r="D1616" s="196" t="s">
        <v>4131</v>
      </c>
      <c r="E1616" s="196"/>
      <c r="F1616" s="196">
        <v>2012</v>
      </c>
      <c r="H1616" s="196" t="s">
        <v>1878</v>
      </c>
      <c r="I1616" s="184" t="s">
        <v>1929</v>
      </c>
      <c r="K1616" s="196" t="s">
        <v>1881</v>
      </c>
      <c r="L1616" s="184" t="s">
        <v>8011</v>
      </c>
      <c r="M1616" s="196">
        <v>320</v>
      </c>
      <c r="O1616" s="196" t="s">
        <v>6612</v>
      </c>
      <c r="P1616" s="17">
        <v>266</v>
      </c>
      <c r="Q1616" s="175">
        <f t="shared" ref="Q1616:Q1661" si="103">SUM(T1616:X1616)</f>
        <v>2.1225000000000001</v>
      </c>
      <c r="R1616" s="199">
        <v>1.82</v>
      </c>
      <c r="T1616" s="149">
        <v>0.35</v>
      </c>
      <c r="U1616" s="149">
        <v>1.4</v>
      </c>
      <c r="V1616" s="149">
        <v>0.25</v>
      </c>
      <c r="W1616" s="149"/>
      <c r="X1616" s="152">
        <f t="shared" si="102"/>
        <v>0.12250000000000001</v>
      </c>
      <c r="Y1616" s="150">
        <f t="shared" si="99"/>
        <v>1.01</v>
      </c>
      <c r="Z1616" s="152"/>
      <c r="AC1616" s="154"/>
      <c r="AD1616" s="154"/>
      <c r="AE1616" s="154"/>
      <c r="AF1616" s="154"/>
    </row>
    <row r="1617" spans="1:32" x14ac:dyDescent="0.25">
      <c r="A1617" s="196">
        <v>796</v>
      </c>
      <c r="B1617" s="196" t="s">
        <v>8012</v>
      </c>
      <c r="C1617" s="196" t="s">
        <v>8013</v>
      </c>
      <c r="D1617" s="196" t="s">
        <v>2835</v>
      </c>
      <c r="E1617" s="196" t="s">
        <v>1913</v>
      </c>
      <c r="F1617" s="196">
        <v>2011</v>
      </c>
      <c r="H1617" s="196" t="s">
        <v>1878</v>
      </c>
      <c r="I1617" s="184" t="s">
        <v>1929</v>
      </c>
      <c r="J1617" s="52" t="s">
        <v>3854</v>
      </c>
      <c r="K1617" s="196" t="s">
        <v>1881</v>
      </c>
      <c r="L1617" s="184" t="s">
        <v>8014</v>
      </c>
      <c r="M1617" s="196">
        <v>320</v>
      </c>
      <c r="O1617" s="196" t="s">
        <v>6613</v>
      </c>
      <c r="P1617" s="17">
        <v>200</v>
      </c>
      <c r="Q1617" s="175">
        <f t="shared" si="103"/>
        <v>2.1225000000000001</v>
      </c>
      <c r="R1617" s="199">
        <v>1.7</v>
      </c>
      <c r="T1617" s="149">
        <v>0.35</v>
      </c>
      <c r="U1617" s="149">
        <v>1.4</v>
      </c>
      <c r="V1617" s="149">
        <v>0.25</v>
      </c>
      <c r="W1617" s="149"/>
      <c r="X1617" s="152">
        <f t="shared" si="102"/>
        <v>0.12250000000000001</v>
      </c>
      <c r="Y1617" s="150">
        <f t="shared" si="99"/>
        <v>1.01</v>
      </c>
      <c r="Z1617" s="152"/>
      <c r="AC1617" s="154"/>
      <c r="AD1617" s="154"/>
      <c r="AE1617" s="154"/>
      <c r="AF1617" s="154"/>
    </row>
    <row r="1618" spans="1:32" x14ac:dyDescent="0.25">
      <c r="A1618" s="196">
        <v>2522</v>
      </c>
      <c r="B1618" s="196" t="s">
        <v>8015</v>
      </c>
      <c r="C1618" s="196" t="s">
        <v>8016</v>
      </c>
      <c r="D1618" s="196" t="s">
        <v>2644</v>
      </c>
      <c r="F1618" s="196">
        <v>1988</v>
      </c>
      <c r="H1618" s="196" t="s">
        <v>1878</v>
      </c>
      <c r="I1618" s="184" t="s">
        <v>1879</v>
      </c>
      <c r="K1618" s="196" t="s">
        <v>1881</v>
      </c>
      <c r="L1618" s="184" t="s">
        <v>8017</v>
      </c>
      <c r="M1618" s="196">
        <v>272</v>
      </c>
      <c r="O1618" s="196" t="s">
        <v>6614</v>
      </c>
      <c r="P1618" s="17">
        <v>241</v>
      </c>
      <c r="Q1618" s="175">
        <f t="shared" si="103"/>
        <v>1.6837999999999997</v>
      </c>
      <c r="R1618" s="199">
        <v>1.2</v>
      </c>
      <c r="T1618" s="149">
        <v>0.35</v>
      </c>
      <c r="U1618" s="149">
        <v>0.99</v>
      </c>
      <c r="V1618" s="149">
        <v>0.25</v>
      </c>
      <c r="W1618" s="149"/>
      <c r="X1618" s="152">
        <f t="shared" si="102"/>
        <v>9.3799999999999994E-2</v>
      </c>
      <c r="Y1618" s="150">
        <f t="shared" si="99"/>
        <v>1.01</v>
      </c>
      <c r="Z1618" s="152"/>
      <c r="AC1618" s="154"/>
      <c r="AD1618" s="154"/>
      <c r="AE1618" s="154"/>
      <c r="AF1618" s="154"/>
    </row>
    <row r="1619" spans="1:32" x14ac:dyDescent="0.25">
      <c r="A1619" s="196">
        <v>1327</v>
      </c>
      <c r="B1619" s="196" t="s">
        <v>8018</v>
      </c>
      <c r="C1619" s="196" t="s">
        <v>8019</v>
      </c>
      <c r="D1619" s="196" t="s">
        <v>2835</v>
      </c>
      <c r="F1619" s="196">
        <v>2009</v>
      </c>
      <c r="H1619" s="196" t="s">
        <v>1878</v>
      </c>
      <c r="I1619" s="184" t="s">
        <v>1929</v>
      </c>
      <c r="J1619" s="52" t="s">
        <v>3854</v>
      </c>
      <c r="K1619" s="196" t="s">
        <v>1881</v>
      </c>
      <c r="L1619" s="184" t="s">
        <v>8020</v>
      </c>
      <c r="M1619" s="196">
        <v>240</v>
      </c>
      <c r="O1619" s="196" t="s">
        <v>6615</v>
      </c>
      <c r="P1619" s="17">
        <v>153</v>
      </c>
      <c r="Q1619" s="175">
        <f t="shared" si="103"/>
        <v>1.2558</v>
      </c>
      <c r="R1619" s="199">
        <v>0.7</v>
      </c>
      <c r="T1619" s="149">
        <v>0.35</v>
      </c>
      <c r="U1619" s="149">
        <v>0.59</v>
      </c>
      <c r="V1619" s="149">
        <v>0.25</v>
      </c>
      <c r="W1619" s="149"/>
      <c r="X1619" s="152">
        <f t="shared" si="102"/>
        <v>6.5799999999999997E-2</v>
      </c>
      <c r="Y1619" s="150">
        <f t="shared" si="99"/>
        <v>1.01</v>
      </c>
      <c r="Z1619" s="152"/>
      <c r="AC1619" s="154"/>
      <c r="AD1619" s="154"/>
      <c r="AE1619" s="154"/>
      <c r="AF1619" s="154"/>
    </row>
    <row r="1620" spans="1:32" x14ac:dyDescent="0.25">
      <c r="A1620" s="196">
        <v>2851</v>
      </c>
      <c r="B1620" s="196" t="s">
        <v>8021</v>
      </c>
      <c r="C1620" s="196" t="s">
        <v>8022</v>
      </c>
      <c r="D1620" s="196" t="s">
        <v>8023</v>
      </c>
      <c r="F1620" s="196">
        <v>1997</v>
      </c>
      <c r="H1620" s="196" t="s">
        <v>1878</v>
      </c>
      <c r="I1620" s="184" t="s">
        <v>1929</v>
      </c>
      <c r="J1620" s="52" t="s">
        <v>3854</v>
      </c>
      <c r="K1620" s="196" t="s">
        <v>1881</v>
      </c>
      <c r="L1620" s="184" t="s">
        <v>8024</v>
      </c>
      <c r="M1620" s="196">
        <v>316</v>
      </c>
      <c r="O1620" s="196" t="s">
        <v>6616</v>
      </c>
      <c r="P1620" s="17">
        <v>214</v>
      </c>
      <c r="Q1620" s="175">
        <f t="shared" si="103"/>
        <v>1.1487999999999998</v>
      </c>
      <c r="R1620" s="199">
        <v>0.95</v>
      </c>
      <c r="T1620" s="149">
        <v>0.35</v>
      </c>
      <c r="U1620" s="149">
        <v>0.49</v>
      </c>
      <c r="V1620" s="149">
        <v>0.25</v>
      </c>
      <c r="W1620" s="149"/>
      <c r="X1620" s="152">
        <f t="shared" si="102"/>
        <v>5.8799999999999998E-2</v>
      </c>
      <c r="Y1620" s="150">
        <f t="shared" si="99"/>
        <v>1.01</v>
      </c>
      <c r="Z1620" s="152"/>
      <c r="AC1620" s="154"/>
      <c r="AD1620" s="154"/>
      <c r="AE1620" s="154"/>
      <c r="AF1620" s="154"/>
    </row>
    <row r="1621" spans="1:32" x14ac:dyDescent="0.25">
      <c r="A1621" s="196">
        <v>1327</v>
      </c>
      <c r="B1621" s="196" t="s">
        <v>8025</v>
      </c>
      <c r="C1621" s="196" t="s">
        <v>8026</v>
      </c>
      <c r="D1621" s="196" t="s">
        <v>2835</v>
      </c>
      <c r="F1621" s="196">
        <v>2000</v>
      </c>
      <c r="H1621" s="196" t="s">
        <v>1878</v>
      </c>
      <c r="I1621" s="184" t="s">
        <v>1929</v>
      </c>
      <c r="K1621" s="196" t="s">
        <v>1881</v>
      </c>
      <c r="L1621" s="184" t="s">
        <v>8027</v>
      </c>
      <c r="M1621" s="196">
        <v>176</v>
      </c>
      <c r="O1621" s="196" t="s">
        <v>6617</v>
      </c>
      <c r="P1621" s="17">
        <v>115</v>
      </c>
      <c r="Q1621" s="175">
        <f t="shared" si="103"/>
        <v>1.0204</v>
      </c>
      <c r="R1621" s="199">
        <v>0.74</v>
      </c>
      <c r="T1621" s="149">
        <v>0.35</v>
      </c>
      <c r="U1621" s="149">
        <v>0.37</v>
      </c>
      <c r="V1621" s="149">
        <v>0.25</v>
      </c>
      <c r="W1621" s="149"/>
      <c r="X1621" s="152">
        <f t="shared" si="102"/>
        <v>5.04E-2</v>
      </c>
      <c r="Y1621" s="150">
        <f t="shared" si="99"/>
        <v>1.01</v>
      </c>
      <c r="Z1621" s="152"/>
      <c r="AC1621" s="154"/>
      <c r="AD1621" s="154"/>
      <c r="AE1621" s="154"/>
      <c r="AF1621" s="154"/>
    </row>
    <row r="1622" spans="1:32" x14ac:dyDescent="0.25">
      <c r="A1622" s="196">
        <v>1395</v>
      </c>
      <c r="B1622" s="196" t="s">
        <v>8028</v>
      </c>
      <c r="C1622" s="196" t="s">
        <v>8029</v>
      </c>
      <c r="D1622" s="196" t="s">
        <v>2309</v>
      </c>
      <c r="F1622" s="196">
        <v>2012</v>
      </c>
      <c r="H1622" s="196" t="s">
        <v>2734</v>
      </c>
      <c r="I1622" s="184" t="s">
        <v>1929</v>
      </c>
      <c r="K1622" s="196" t="s">
        <v>1881</v>
      </c>
      <c r="L1622" s="184" t="s">
        <v>8030</v>
      </c>
      <c r="M1622" s="196">
        <v>306</v>
      </c>
      <c r="O1622" s="196" t="s">
        <v>6618</v>
      </c>
      <c r="P1622" s="17">
        <v>375</v>
      </c>
      <c r="Q1622" s="175">
        <f t="shared" si="103"/>
        <v>1.7907999999999999</v>
      </c>
      <c r="R1622" s="199">
        <v>1.53</v>
      </c>
      <c r="T1622" s="149">
        <v>0.35</v>
      </c>
      <c r="U1622" s="149">
        <v>1.0900000000000001</v>
      </c>
      <c r="V1622" s="149">
        <v>0.25</v>
      </c>
      <c r="W1622" s="149"/>
      <c r="X1622" s="152">
        <f t="shared" si="102"/>
        <v>0.1008</v>
      </c>
      <c r="Y1622" s="150">
        <f t="shared" si="99"/>
        <v>1.01</v>
      </c>
      <c r="Z1622" s="152"/>
      <c r="AC1622" s="154"/>
      <c r="AD1622" s="154"/>
      <c r="AE1622" s="154"/>
      <c r="AF1622" s="154"/>
    </row>
    <row r="1623" spans="1:32" x14ac:dyDescent="0.25">
      <c r="A1623" s="196">
        <v>2522</v>
      </c>
      <c r="B1623" s="196" t="s">
        <v>2191</v>
      </c>
      <c r="C1623" s="196" t="s">
        <v>8031</v>
      </c>
      <c r="D1623" s="196" t="s">
        <v>1912</v>
      </c>
      <c r="E1623" s="196" t="s">
        <v>2335</v>
      </c>
      <c r="F1623" s="196">
        <v>1992</v>
      </c>
      <c r="H1623" s="196" t="s">
        <v>1878</v>
      </c>
      <c r="I1623" s="184" t="s">
        <v>1879</v>
      </c>
      <c r="K1623" s="196" t="s">
        <v>1881</v>
      </c>
      <c r="L1623" s="184" t="s">
        <v>8032</v>
      </c>
      <c r="M1623" s="196">
        <v>448</v>
      </c>
      <c r="O1623" s="196" t="s">
        <v>6619</v>
      </c>
      <c r="P1623" s="17">
        <v>392</v>
      </c>
      <c r="Q1623" s="175">
        <f t="shared" si="103"/>
        <v>1.0204</v>
      </c>
      <c r="R1623" s="199">
        <v>0.45</v>
      </c>
      <c r="T1623" s="149">
        <v>0.35</v>
      </c>
      <c r="U1623" s="149">
        <v>0.37</v>
      </c>
      <c r="V1623" s="149">
        <v>0.25</v>
      </c>
      <c r="W1623" s="149"/>
      <c r="X1623" s="152">
        <f t="shared" si="102"/>
        <v>5.04E-2</v>
      </c>
      <c r="Y1623" s="150">
        <f t="shared" si="99"/>
        <v>1.01</v>
      </c>
      <c r="Z1623" s="152"/>
      <c r="AC1623" s="154"/>
      <c r="AD1623" s="154"/>
      <c r="AE1623" s="154"/>
      <c r="AF1623" s="154"/>
    </row>
    <row r="1624" spans="1:32" x14ac:dyDescent="0.25">
      <c r="A1624" s="196">
        <v>2522</v>
      </c>
      <c r="B1624" s="196" t="s">
        <v>2456</v>
      </c>
      <c r="C1624" s="196" t="s">
        <v>8033</v>
      </c>
      <c r="D1624" s="196" t="s">
        <v>3077</v>
      </c>
      <c r="E1624" s="196" t="s">
        <v>1877</v>
      </c>
      <c r="F1624" s="196">
        <v>2011</v>
      </c>
      <c r="H1624" s="196" t="s">
        <v>1878</v>
      </c>
      <c r="I1624" s="184" t="s">
        <v>1879</v>
      </c>
      <c r="K1624" s="196" t="s">
        <v>1881</v>
      </c>
      <c r="L1624" s="184" t="s">
        <v>8034</v>
      </c>
      <c r="M1624" s="196">
        <v>672</v>
      </c>
      <c r="O1624" s="196" t="s">
        <v>6620</v>
      </c>
      <c r="P1624" s="17">
        <v>529</v>
      </c>
      <c r="Q1624" s="175">
        <f t="shared" si="103"/>
        <v>1.0204</v>
      </c>
      <c r="R1624" s="199">
        <v>0.49</v>
      </c>
      <c r="T1624" s="149">
        <v>0.35</v>
      </c>
      <c r="U1624" s="149">
        <v>0.37</v>
      </c>
      <c r="V1624" s="149">
        <v>0.25</v>
      </c>
      <c r="W1624" s="149"/>
      <c r="X1624" s="152">
        <f t="shared" si="102"/>
        <v>5.04E-2</v>
      </c>
      <c r="Y1624" s="150">
        <f t="shared" si="99"/>
        <v>1.01</v>
      </c>
      <c r="Z1624" s="152"/>
      <c r="AC1624" s="154"/>
      <c r="AD1624" s="154"/>
      <c r="AE1624" s="154"/>
      <c r="AF1624" s="154"/>
    </row>
    <row r="1625" spans="1:32" x14ac:dyDescent="0.25">
      <c r="A1625" s="196">
        <v>2576</v>
      </c>
      <c r="B1625" s="196" t="s">
        <v>8035</v>
      </c>
      <c r="C1625" s="196" t="s">
        <v>8036</v>
      </c>
      <c r="D1625" s="196" t="s">
        <v>807</v>
      </c>
      <c r="F1625" s="196">
        <v>2009</v>
      </c>
      <c r="H1625" s="196" t="s">
        <v>2734</v>
      </c>
      <c r="I1625" s="184" t="s">
        <v>7527</v>
      </c>
      <c r="K1625" s="196" t="s">
        <v>1881</v>
      </c>
      <c r="L1625" s="184" t="s">
        <v>8037</v>
      </c>
      <c r="M1625" s="196">
        <v>800</v>
      </c>
      <c r="O1625" s="196" t="s">
        <v>6621</v>
      </c>
      <c r="P1625" s="17">
        <v>999</v>
      </c>
      <c r="Q1625" s="175">
        <f t="shared" si="103"/>
        <v>1.0204</v>
      </c>
      <c r="R1625" s="199">
        <v>0.55000000000000004</v>
      </c>
      <c r="T1625" s="149">
        <v>0.35</v>
      </c>
      <c r="U1625" s="149">
        <v>0.37</v>
      </c>
      <c r="V1625" s="149">
        <v>0.25</v>
      </c>
      <c r="W1625" s="149"/>
      <c r="X1625" s="152">
        <f t="shared" si="102"/>
        <v>5.04E-2</v>
      </c>
      <c r="Y1625" s="150">
        <f t="shared" si="99"/>
        <v>1.01</v>
      </c>
      <c r="Z1625" s="152"/>
      <c r="AC1625" s="154"/>
      <c r="AD1625" s="154"/>
      <c r="AE1625" s="154"/>
      <c r="AF1625" s="154"/>
    </row>
    <row r="1626" spans="1:32" x14ac:dyDescent="0.25">
      <c r="A1626" s="196">
        <v>2576</v>
      </c>
      <c r="B1626" s="196" t="s">
        <v>8035</v>
      </c>
      <c r="C1626" s="196" t="s">
        <v>8038</v>
      </c>
      <c r="D1626" s="196" t="s">
        <v>807</v>
      </c>
      <c r="F1626" s="196">
        <v>2009</v>
      </c>
      <c r="H1626" s="196" t="s">
        <v>2734</v>
      </c>
      <c r="I1626" s="184" t="s">
        <v>7817</v>
      </c>
      <c r="K1626" s="196" t="s">
        <v>1881</v>
      </c>
      <c r="L1626" s="184" t="s">
        <v>8039</v>
      </c>
      <c r="M1626" s="196">
        <v>626</v>
      </c>
      <c r="O1626" s="196" t="s">
        <v>6622</v>
      </c>
      <c r="P1626" s="17">
        <v>905</v>
      </c>
      <c r="Q1626" s="175">
        <f t="shared" si="103"/>
        <v>1.0204</v>
      </c>
      <c r="R1626" s="199">
        <v>0.55000000000000004</v>
      </c>
      <c r="T1626" s="149">
        <v>0.35</v>
      </c>
      <c r="U1626" s="149">
        <v>0.37</v>
      </c>
      <c r="V1626" s="149">
        <v>0.25</v>
      </c>
      <c r="W1626" s="149"/>
      <c r="X1626" s="152">
        <f t="shared" si="102"/>
        <v>5.04E-2</v>
      </c>
      <c r="Y1626" s="150">
        <f t="shared" si="99"/>
        <v>1.01</v>
      </c>
      <c r="Z1626" s="152"/>
      <c r="AC1626" s="154"/>
      <c r="AD1626" s="154"/>
      <c r="AE1626" s="154"/>
      <c r="AF1626" s="154"/>
    </row>
    <row r="1627" spans="1:32" x14ac:dyDescent="0.25">
      <c r="A1627" s="196">
        <v>2576</v>
      </c>
      <c r="B1627" s="196" t="s">
        <v>8035</v>
      </c>
      <c r="C1627" s="196" t="s">
        <v>8040</v>
      </c>
      <c r="D1627" s="196" t="s">
        <v>807</v>
      </c>
      <c r="F1627" s="196">
        <v>2009</v>
      </c>
      <c r="H1627" s="196" t="s">
        <v>1878</v>
      </c>
      <c r="I1627" s="184" t="s">
        <v>1879</v>
      </c>
      <c r="K1627" s="196" t="s">
        <v>1881</v>
      </c>
      <c r="L1627" s="184" t="s">
        <v>8041</v>
      </c>
      <c r="M1627" s="196">
        <v>576</v>
      </c>
      <c r="O1627" s="196" t="s">
        <v>6623</v>
      </c>
      <c r="P1627" s="17">
        <v>537</v>
      </c>
      <c r="Q1627" s="175">
        <f t="shared" si="103"/>
        <v>1.0204</v>
      </c>
      <c r="R1627" s="199">
        <v>0.13</v>
      </c>
      <c r="T1627" s="149">
        <v>0.35</v>
      </c>
      <c r="U1627" s="149">
        <v>0.37</v>
      </c>
      <c r="V1627" s="149">
        <v>0.25</v>
      </c>
      <c r="W1627" s="149"/>
      <c r="X1627" s="152">
        <f t="shared" si="102"/>
        <v>5.04E-2</v>
      </c>
      <c r="Y1627" s="150">
        <f t="shared" si="99"/>
        <v>1.01</v>
      </c>
      <c r="Z1627" s="152"/>
      <c r="AC1627" s="154"/>
      <c r="AD1627" s="154"/>
      <c r="AE1627" s="154"/>
      <c r="AF1627" s="154"/>
    </row>
    <row r="1628" spans="1:32" x14ac:dyDescent="0.25">
      <c r="A1628" s="196">
        <v>1809</v>
      </c>
      <c r="B1628" s="196" t="s">
        <v>8042</v>
      </c>
      <c r="C1628" s="196" t="s">
        <v>8043</v>
      </c>
      <c r="D1628" s="196" t="s">
        <v>2822</v>
      </c>
      <c r="F1628" s="196">
        <v>2007</v>
      </c>
      <c r="H1628" s="196" t="s">
        <v>1878</v>
      </c>
      <c r="I1628" s="184" t="s">
        <v>1879</v>
      </c>
      <c r="K1628" s="196" t="s">
        <v>1881</v>
      </c>
      <c r="M1628" s="196">
        <v>272</v>
      </c>
      <c r="O1628" s="196" t="s">
        <v>6624</v>
      </c>
      <c r="P1628" s="17">
        <v>302</v>
      </c>
      <c r="Q1628" s="175">
        <f t="shared" si="103"/>
        <v>1.0204</v>
      </c>
      <c r="R1628" s="199">
        <v>0.25</v>
      </c>
      <c r="T1628" s="149">
        <v>0.35</v>
      </c>
      <c r="U1628" s="149">
        <v>0.37</v>
      </c>
      <c r="V1628" s="149">
        <v>0.25</v>
      </c>
      <c r="W1628" s="149"/>
      <c r="X1628" s="152">
        <f t="shared" si="102"/>
        <v>5.04E-2</v>
      </c>
      <c r="Y1628" s="150">
        <f t="shared" si="99"/>
        <v>1.01</v>
      </c>
      <c r="Z1628" s="152"/>
      <c r="AC1628" s="154"/>
      <c r="AD1628" s="154"/>
      <c r="AE1628" s="154"/>
      <c r="AF1628" s="154"/>
    </row>
    <row r="1629" spans="1:32" x14ac:dyDescent="0.25">
      <c r="A1629" s="196">
        <v>1809</v>
      </c>
      <c r="B1629" s="196" t="s">
        <v>8044</v>
      </c>
      <c r="C1629" s="196" t="s">
        <v>8045</v>
      </c>
      <c r="D1629" s="196" t="s">
        <v>2822</v>
      </c>
      <c r="F1629" s="196">
        <v>2007</v>
      </c>
      <c r="H1629" s="196" t="s">
        <v>1878</v>
      </c>
      <c r="I1629" s="184" t="s">
        <v>1914</v>
      </c>
      <c r="K1629" s="196" t="s">
        <v>1881</v>
      </c>
      <c r="M1629" s="196">
        <v>256</v>
      </c>
      <c r="O1629" s="196" t="s">
        <v>6625</v>
      </c>
      <c r="P1629" s="17">
        <v>286</v>
      </c>
      <c r="Q1629" s="175">
        <f t="shared" si="103"/>
        <v>1.0204</v>
      </c>
      <c r="R1629" s="199">
        <v>0.4</v>
      </c>
      <c r="T1629" s="149">
        <v>0.35</v>
      </c>
      <c r="U1629" s="149">
        <v>0.37</v>
      </c>
      <c r="V1629" s="149">
        <v>0.25</v>
      </c>
      <c r="W1629" s="149"/>
      <c r="X1629" s="152">
        <f t="shared" si="102"/>
        <v>5.04E-2</v>
      </c>
      <c r="Y1629" s="150">
        <f t="shared" si="99"/>
        <v>1.01</v>
      </c>
      <c r="Z1629" s="152"/>
      <c r="AC1629" s="154"/>
      <c r="AD1629" s="154"/>
      <c r="AE1629" s="154"/>
      <c r="AF1629" s="154"/>
    </row>
    <row r="1630" spans="1:32" x14ac:dyDescent="0.25">
      <c r="A1630" s="196">
        <v>2522</v>
      </c>
      <c r="B1630" s="196" t="s">
        <v>8046</v>
      </c>
      <c r="C1630" s="196" t="s">
        <v>8047</v>
      </c>
      <c r="D1630" s="196" t="s">
        <v>1920</v>
      </c>
      <c r="F1630" s="196">
        <v>2005</v>
      </c>
      <c r="H1630" s="196" t="s">
        <v>1878</v>
      </c>
      <c r="I1630" s="184" t="s">
        <v>6422</v>
      </c>
      <c r="K1630" s="196" t="s">
        <v>1881</v>
      </c>
      <c r="L1630" s="184" t="s">
        <v>8048</v>
      </c>
      <c r="M1630" s="196">
        <v>352</v>
      </c>
      <c r="O1630" s="196" t="s">
        <v>6626</v>
      </c>
      <c r="P1630" s="17">
        <v>303</v>
      </c>
      <c r="Q1630" s="175">
        <f t="shared" si="103"/>
        <v>1.0204</v>
      </c>
      <c r="R1630" s="199">
        <v>0.6</v>
      </c>
      <c r="T1630" s="149">
        <v>0.35</v>
      </c>
      <c r="U1630" s="149">
        <v>0.37</v>
      </c>
      <c r="V1630" s="149">
        <v>0.25</v>
      </c>
      <c r="W1630" s="149"/>
      <c r="X1630" s="152">
        <f t="shared" si="102"/>
        <v>5.04E-2</v>
      </c>
      <c r="Y1630" s="150">
        <f t="shared" si="99"/>
        <v>1.01</v>
      </c>
      <c r="Z1630" s="152"/>
      <c r="AC1630" s="154"/>
      <c r="AD1630" s="154"/>
      <c r="AE1630" s="154"/>
      <c r="AF1630" s="154"/>
    </row>
    <row r="1631" spans="1:32" x14ac:dyDescent="0.25">
      <c r="A1631" s="196">
        <v>2522</v>
      </c>
      <c r="B1631" s="196" t="s">
        <v>8049</v>
      </c>
      <c r="C1631" s="196" t="s">
        <v>8050</v>
      </c>
      <c r="D1631" s="196" t="s">
        <v>2054</v>
      </c>
      <c r="F1631" s="196">
        <v>2007</v>
      </c>
      <c r="H1631" s="196" t="s">
        <v>1878</v>
      </c>
      <c r="I1631" s="184" t="s">
        <v>7527</v>
      </c>
      <c r="K1631" s="196" t="s">
        <v>1881</v>
      </c>
      <c r="L1631" s="184" t="s">
        <v>8051</v>
      </c>
      <c r="M1631" s="196">
        <v>544</v>
      </c>
      <c r="O1631" s="196" t="s">
        <v>6627</v>
      </c>
      <c r="P1631" s="17">
        <v>396</v>
      </c>
      <c r="Q1631" s="175">
        <f t="shared" si="103"/>
        <v>1.0204</v>
      </c>
      <c r="R1631" s="199">
        <v>0.25</v>
      </c>
      <c r="T1631" s="149">
        <v>0.35</v>
      </c>
      <c r="U1631" s="149">
        <v>0.37</v>
      </c>
      <c r="V1631" s="149">
        <v>0.25</v>
      </c>
      <c r="W1631" s="149"/>
      <c r="X1631" s="152">
        <f t="shared" si="102"/>
        <v>5.04E-2</v>
      </c>
      <c r="Y1631" s="150">
        <f t="shared" si="99"/>
        <v>1.01</v>
      </c>
      <c r="Z1631" s="152"/>
      <c r="AC1631" s="154"/>
      <c r="AD1631" s="154"/>
      <c r="AE1631" s="154"/>
      <c r="AF1631" s="154"/>
    </row>
    <row r="1632" spans="1:32" x14ac:dyDescent="0.25">
      <c r="A1632" s="196">
        <v>2522</v>
      </c>
      <c r="B1632" s="196" t="s">
        <v>4135</v>
      </c>
      <c r="C1632" s="196" t="s">
        <v>8052</v>
      </c>
      <c r="D1632" s="196" t="s">
        <v>2054</v>
      </c>
      <c r="F1632" s="196">
        <v>2006</v>
      </c>
      <c r="H1632" s="196" t="s">
        <v>1878</v>
      </c>
      <c r="I1632" s="184" t="s">
        <v>7817</v>
      </c>
      <c r="K1632" s="196" t="s">
        <v>1881</v>
      </c>
      <c r="L1632" s="184" t="s">
        <v>8053</v>
      </c>
      <c r="M1632" s="196">
        <v>624</v>
      </c>
      <c r="O1632" s="196" t="s">
        <v>6628</v>
      </c>
      <c r="P1632" s="17">
        <v>453</v>
      </c>
      <c r="Q1632" s="175">
        <f t="shared" si="103"/>
        <v>1.1487999999999998</v>
      </c>
      <c r="R1632" s="199">
        <v>0.95</v>
      </c>
      <c r="T1632" s="149">
        <v>0.35</v>
      </c>
      <c r="U1632" s="149">
        <v>0.49</v>
      </c>
      <c r="V1632" s="149">
        <v>0.25</v>
      </c>
      <c r="W1632" s="149"/>
      <c r="X1632" s="152">
        <f t="shared" si="102"/>
        <v>5.8799999999999998E-2</v>
      </c>
      <c r="Y1632" s="150">
        <f t="shared" si="99"/>
        <v>1.01</v>
      </c>
      <c r="Z1632" s="152"/>
      <c r="AC1632" s="154"/>
      <c r="AD1632" s="154"/>
      <c r="AE1632" s="154"/>
      <c r="AF1632" s="154"/>
    </row>
    <row r="1633" spans="1:32" x14ac:dyDescent="0.25">
      <c r="A1633" s="196">
        <v>2522</v>
      </c>
      <c r="B1633" s="196" t="s">
        <v>8054</v>
      </c>
      <c r="C1633" s="196" t="s">
        <v>8055</v>
      </c>
      <c r="D1633" s="196" t="s">
        <v>1920</v>
      </c>
      <c r="F1633" s="196">
        <v>2015</v>
      </c>
      <c r="H1633" s="196" t="s">
        <v>1878</v>
      </c>
      <c r="I1633" s="184" t="s">
        <v>1929</v>
      </c>
      <c r="J1633" s="52" t="s">
        <v>3854</v>
      </c>
      <c r="K1633" s="196" t="s">
        <v>1881</v>
      </c>
      <c r="L1633" s="184" t="s">
        <v>8056</v>
      </c>
      <c r="M1633" s="196">
        <v>480</v>
      </c>
      <c r="O1633" s="196" t="s">
        <v>6629</v>
      </c>
      <c r="P1633" s="17">
        <v>479</v>
      </c>
      <c r="Q1633" s="175">
        <f t="shared" si="103"/>
        <v>1.2558</v>
      </c>
      <c r="R1633" s="199">
        <v>1</v>
      </c>
      <c r="T1633" s="149">
        <v>0.35</v>
      </c>
      <c r="U1633" s="149">
        <v>0.59</v>
      </c>
      <c r="V1633" s="149">
        <v>0.25</v>
      </c>
      <c r="W1633" s="149"/>
      <c r="X1633" s="152">
        <f t="shared" si="102"/>
        <v>6.5799999999999997E-2</v>
      </c>
      <c r="Y1633" s="150">
        <f t="shared" si="99"/>
        <v>1.01</v>
      </c>
      <c r="Z1633" s="152"/>
      <c r="AC1633" s="154"/>
      <c r="AD1633" s="154"/>
      <c r="AE1633" s="154"/>
      <c r="AF1633" s="154"/>
    </row>
    <row r="1634" spans="1:32" x14ac:dyDescent="0.25">
      <c r="Y1634" s="150">
        <f t="shared" si="99"/>
        <v>1.01</v>
      </c>
    </row>
    <row r="1635" spans="1:32" x14ac:dyDescent="0.25">
      <c r="A1635" s="196">
        <v>2022</v>
      </c>
      <c r="B1635" s="196" t="s">
        <v>8063</v>
      </c>
      <c r="C1635" s="196" t="s">
        <v>8064</v>
      </c>
      <c r="D1635" s="196" t="s">
        <v>8065</v>
      </c>
      <c r="E1635" s="196" t="s">
        <v>1913</v>
      </c>
      <c r="F1635" s="196">
        <v>2011</v>
      </c>
      <c r="H1635" s="196" t="s">
        <v>1878</v>
      </c>
      <c r="I1635" s="184" t="s">
        <v>1929</v>
      </c>
      <c r="K1635" s="196" t="s">
        <v>1881</v>
      </c>
      <c r="L1635" s="184" t="s">
        <v>8066</v>
      </c>
      <c r="M1635" s="196">
        <v>288</v>
      </c>
      <c r="O1635" s="196" t="s">
        <v>6632</v>
      </c>
      <c r="P1635" s="17">
        <v>328</v>
      </c>
      <c r="Q1635" s="175">
        <f t="shared" si="103"/>
        <v>2.1225000000000001</v>
      </c>
      <c r="R1635" s="199">
        <v>0</v>
      </c>
      <c r="T1635" s="149">
        <v>0.35</v>
      </c>
      <c r="U1635" s="149">
        <v>1.4</v>
      </c>
      <c r="V1635" s="149">
        <v>0.25</v>
      </c>
      <c r="W1635" s="149"/>
      <c r="X1635" s="152">
        <f t="shared" si="102"/>
        <v>0.12250000000000001</v>
      </c>
      <c r="Y1635" s="150">
        <f t="shared" si="99"/>
        <v>1.01</v>
      </c>
      <c r="Z1635" s="152"/>
      <c r="AC1635" s="154"/>
      <c r="AD1635" s="154"/>
      <c r="AE1635" s="154"/>
      <c r="AF1635" s="154"/>
    </row>
    <row r="1636" spans="1:32" x14ac:dyDescent="0.25">
      <c r="Y1636" s="150">
        <f t="shared" si="99"/>
        <v>1.01</v>
      </c>
    </row>
    <row r="1637" spans="1:32" x14ac:dyDescent="0.25">
      <c r="A1637" s="196">
        <v>690</v>
      </c>
      <c r="B1637" s="196" t="s">
        <v>8071</v>
      </c>
      <c r="C1637" s="196" t="s">
        <v>8072</v>
      </c>
      <c r="D1637" s="196" t="s">
        <v>2309</v>
      </c>
      <c r="E1637" s="196" t="s">
        <v>1877</v>
      </c>
      <c r="F1637" s="196">
        <v>2010</v>
      </c>
      <c r="H1637" s="196" t="s">
        <v>1878</v>
      </c>
      <c r="I1637" s="184" t="s">
        <v>1879</v>
      </c>
      <c r="K1637" s="196" t="s">
        <v>1881</v>
      </c>
      <c r="L1637" s="184" t="s">
        <v>8073</v>
      </c>
      <c r="M1637" s="196">
        <v>210</v>
      </c>
      <c r="O1637" s="196" t="s">
        <v>6634</v>
      </c>
      <c r="P1637" s="17">
        <v>373</v>
      </c>
      <c r="Q1637" s="175">
        <f t="shared" si="103"/>
        <v>1.0204</v>
      </c>
      <c r="R1637" s="199">
        <v>0.5</v>
      </c>
      <c r="T1637" s="149">
        <v>0.35</v>
      </c>
      <c r="U1637" s="149">
        <v>0.37</v>
      </c>
      <c r="V1637" s="149">
        <v>0.25</v>
      </c>
      <c r="W1637" s="149"/>
      <c r="X1637" s="152">
        <f t="shared" si="102"/>
        <v>5.04E-2</v>
      </c>
      <c r="Y1637" s="150">
        <f t="shared" si="99"/>
        <v>1.01</v>
      </c>
      <c r="Z1637" s="152"/>
      <c r="AC1637" s="154"/>
      <c r="AD1637" s="154"/>
      <c r="AE1637" s="154"/>
      <c r="AF1637" s="154"/>
    </row>
    <row r="1638" spans="1:32" x14ac:dyDescent="0.25">
      <c r="A1638" s="196">
        <v>796</v>
      </c>
      <c r="B1638" s="196" t="s">
        <v>8074</v>
      </c>
      <c r="C1638" s="196" t="s">
        <v>8075</v>
      </c>
      <c r="D1638" s="196" t="s">
        <v>2835</v>
      </c>
      <c r="F1638" s="196">
        <v>2008</v>
      </c>
      <c r="H1638" s="196" t="s">
        <v>1878</v>
      </c>
      <c r="I1638" s="184" t="s">
        <v>1929</v>
      </c>
      <c r="J1638" s="52" t="s">
        <v>3854</v>
      </c>
      <c r="K1638" s="196" t="s">
        <v>1881</v>
      </c>
      <c r="L1638" s="184" t="s">
        <v>8076</v>
      </c>
      <c r="M1638" s="196">
        <v>496</v>
      </c>
      <c r="O1638" s="196" t="s">
        <v>6635</v>
      </c>
      <c r="P1638" s="17">
        <v>470</v>
      </c>
      <c r="Q1638" s="175">
        <f t="shared" si="103"/>
        <v>2.0048000000000004</v>
      </c>
      <c r="R1638" s="199">
        <v>1.5</v>
      </c>
      <c r="T1638" s="149">
        <v>0.35</v>
      </c>
      <c r="U1638" s="149">
        <v>1.29</v>
      </c>
      <c r="V1638" s="149">
        <v>0.25</v>
      </c>
      <c r="W1638" s="149"/>
      <c r="X1638" s="152">
        <f t="shared" si="102"/>
        <v>0.11480000000000001</v>
      </c>
      <c r="Y1638" s="150">
        <f t="shared" si="99"/>
        <v>1.01</v>
      </c>
      <c r="Z1638" s="152"/>
      <c r="AC1638" s="154"/>
      <c r="AD1638" s="154"/>
      <c r="AE1638" s="154"/>
      <c r="AF1638" s="154"/>
    </row>
    <row r="1639" spans="1:32" x14ac:dyDescent="0.25">
      <c r="A1639" s="196">
        <v>1386</v>
      </c>
      <c r="B1639" s="196" t="s">
        <v>8077</v>
      </c>
      <c r="C1639" s="196" t="s">
        <v>8078</v>
      </c>
      <c r="D1639" s="196" t="s">
        <v>3864</v>
      </c>
      <c r="E1639" s="196" t="s">
        <v>1921</v>
      </c>
      <c r="F1639" s="196">
        <v>2012</v>
      </c>
      <c r="H1639" s="196" t="s">
        <v>1878</v>
      </c>
      <c r="I1639" s="184" t="s">
        <v>1879</v>
      </c>
      <c r="K1639" s="196" t="s">
        <v>1881</v>
      </c>
      <c r="L1639" s="184" t="s">
        <v>8079</v>
      </c>
      <c r="M1639" s="196">
        <v>352</v>
      </c>
      <c r="O1639" s="196" t="s">
        <v>6636</v>
      </c>
      <c r="P1639" s="17">
        <v>361</v>
      </c>
      <c r="Q1639" s="175">
        <f t="shared" si="103"/>
        <v>1.0204</v>
      </c>
      <c r="R1639" s="199">
        <v>0.25</v>
      </c>
      <c r="T1639" s="149">
        <v>0.35</v>
      </c>
      <c r="U1639" s="149">
        <v>0.37</v>
      </c>
      <c r="V1639" s="149">
        <v>0.25</v>
      </c>
      <c r="W1639" s="149"/>
      <c r="X1639" s="152">
        <f t="shared" si="102"/>
        <v>5.04E-2</v>
      </c>
      <c r="Y1639" s="150">
        <f t="shared" si="99"/>
        <v>1.01</v>
      </c>
      <c r="Z1639" s="152"/>
      <c r="AC1639" s="154"/>
      <c r="AD1639" s="154"/>
      <c r="AE1639" s="154"/>
      <c r="AF1639" s="154"/>
    </row>
    <row r="1640" spans="1:32" x14ac:dyDescent="0.25">
      <c r="A1640" s="196">
        <v>1395</v>
      </c>
      <c r="B1640" s="196" t="s">
        <v>8080</v>
      </c>
      <c r="C1640" s="196" t="s">
        <v>8081</v>
      </c>
      <c r="D1640" s="196" t="s">
        <v>2250</v>
      </c>
      <c r="E1640" s="196" t="s">
        <v>1921</v>
      </c>
      <c r="F1640" s="196">
        <v>1999</v>
      </c>
      <c r="H1640" s="196" t="s">
        <v>1878</v>
      </c>
      <c r="I1640" s="184" t="s">
        <v>1914</v>
      </c>
      <c r="K1640" s="196" t="s">
        <v>1881</v>
      </c>
      <c r="L1640" s="184" t="s">
        <v>8082</v>
      </c>
      <c r="M1640" s="196">
        <v>256</v>
      </c>
      <c r="O1640" s="196" t="s">
        <v>6637</v>
      </c>
      <c r="P1640" s="17">
        <v>201</v>
      </c>
      <c r="Q1640" s="175">
        <f t="shared" si="103"/>
        <v>1.0204</v>
      </c>
      <c r="R1640" s="199">
        <v>0.5</v>
      </c>
      <c r="T1640" s="149">
        <v>0.35</v>
      </c>
      <c r="U1640" s="149">
        <v>0.37</v>
      </c>
      <c r="V1640" s="149">
        <v>0.25</v>
      </c>
      <c r="W1640" s="149"/>
      <c r="X1640" s="152">
        <f t="shared" si="102"/>
        <v>5.04E-2</v>
      </c>
      <c r="Y1640" s="150">
        <f t="shared" si="99"/>
        <v>1.01</v>
      </c>
      <c r="Z1640" s="152"/>
      <c r="AC1640" s="154"/>
      <c r="AD1640" s="154"/>
      <c r="AE1640" s="154"/>
      <c r="AF1640" s="154"/>
    </row>
    <row r="1641" spans="1:32" x14ac:dyDescent="0.25">
      <c r="A1641" s="196">
        <v>796</v>
      </c>
      <c r="B1641" s="196" t="s">
        <v>8083</v>
      </c>
      <c r="C1641" s="196" t="s">
        <v>8084</v>
      </c>
      <c r="D1641" s="196" t="s">
        <v>2644</v>
      </c>
      <c r="F1641" s="196">
        <v>2010</v>
      </c>
      <c r="H1641" s="196" t="s">
        <v>1878</v>
      </c>
      <c r="I1641" s="184" t="s">
        <v>1879</v>
      </c>
      <c r="K1641" s="196" t="s">
        <v>1881</v>
      </c>
      <c r="L1641" s="184" t="s">
        <v>8085</v>
      </c>
      <c r="M1641" s="196">
        <v>208</v>
      </c>
      <c r="O1641" s="196" t="s">
        <v>6638</v>
      </c>
      <c r="P1641" s="17">
        <v>185</v>
      </c>
      <c r="Q1641" s="175">
        <f t="shared" si="103"/>
        <v>2.0048000000000004</v>
      </c>
      <c r="R1641" s="199">
        <v>1.92</v>
      </c>
      <c r="T1641" s="149">
        <v>0.35</v>
      </c>
      <c r="U1641" s="149">
        <v>1.29</v>
      </c>
      <c r="V1641" s="149">
        <v>0.25</v>
      </c>
      <c r="W1641" s="149"/>
      <c r="X1641" s="152">
        <f t="shared" si="102"/>
        <v>0.11480000000000001</v>
      </c>
      <c r="Y1641" s="150">
        <f t="shared" si="99"/>
        <v>1.01</v>
      </c>
      <c r="Z1641" s="152"/>
      <c r="AC1641" s="154"/>
      <c r="AD1641" s="154"/>
      <c r="AE1641" s="154"/>
      <c r="AF1641" s="154"/>
    </row>
    <row r="1642" spans="1:32" x14ac:dyDescent="0.25">
      <c r="A1642" s="196">
        <v>2851</v>
      </c>
      <c r="B1642" s="196" t="s">
        <v>8086</v>
      </c>
      <c r="C1642" s="196" t="s">
        <v>8087</v>
      </c>
      <c r="D1642" s="196" t="s">
        <v>3864</v>
      </c>
      <c r="F1642" s="196">
        <v>2010</v>
      </c>
      <c r="H1642" s="196" t="s">
        <v>2734</v>
      </c>
      <c r="I1642" s="184" t="s">
        <v>1879</v>
      </c>
      <c r="K1642" s="196" t="s">
        <v>1881</v>
      </c>
      <c r="L1642" s="184" t="s">
        <v>8088</v>
      </c>
      <c r="M1642" s="196">
        <v>242</v>
      </c>
      <c r="O1642" s="196" t="s">
        <v>6639</v>
      </c>
      <c r="P1642" s="17">
        <v>420</v>
      </c>
      <c r="Q1642" s="175">
        <f t="shared" si="103"/>
        <v>12.383800000000001</v>
      </c>
      <c r="R1642" s="199">
        <v>15</v>
      </c>
      <c r="T1642" s="149">
        <v>0.35</v>
      </c>
      <c r="U1642" s="149">
        <v>10.99</v>
      </c>
      <c r="V1642" s="149">
        <v>0.25</v>
      </c>
      <c r="W1642" s="149"/>
      <c r="X1642" s="152">
        <f t="shared" si="102"/>
        <v>0.79380000000000006</v>
      </c>
      <c r="Y1642" s="150">
        <f t="shared" si="99"/>
        <v>1.01</v>
      </c>
      <c r="Z1642" s="152"/>
      <c r="AC1642" s="154"/>
      <c r="AD1642" s="154"/>
      <c r="AE1642" s="154"/>
      <c r="AF1642" s="154"/>
    </row>
    <row r="1643" spans="1:32" x14ac:dyDescent="0.25">
      <c r="A1643" s="196">
        <v>1940</v>
      </c>
      <c r="B1643" s="196" t="s">
        <v>8089</v>
      </c>
      <c r="C1643" s="196" t="s">
        <v>8090</v>
      </c>
      <c r="D1643" s="196" t="s">
        <v>8091</v>
      </c>
      <c r="E1643" s="196" t="s">
        <v>1913</v>
      </c>
      <c r="F1643" s="196">
        <v>2014</v>
      </c>
      <c r="H1643" s="196" t="s">
        <v>2734</v>
      </c>
      <c r="I1643" s="184" t="s">
        <v>1929</v>
      </c>
      <c r="K1643" s="196" t="s">
        <v>1881</v>
      </c>
      <c r="L1643" s="184" t="s">
        <v>8092</v>
      </c>
      <c r="M1643" s="196">
        <v>186</v>
      </c>
      <c r="O1643" s="196" t="s">
        <v>6640</v>
      </c>
      <c r="P1643" s="17">
        <v>365</v>
      </c>
      <c r="Q1643" s="175">
        <f t="shared" si="103"/>
        <v>2.8607999999999998</v>
      </c>
      <c r="R1643" s="199">
        <v>3</v>
      </c>
      <c r="T1643" s="149">
        <v>0.35</v>
      </c>
      <c r="U1643" s="149">
        <v>2.09</v>
      </c>
      <c r="V1643" s="149">
        <v>0.25</v>
      </c>
      <c r="W1643" s="149"/>
      <c r="X1643" s="152">
        <f t="shared" si="102"/>
        <v>0.17079999999999998</v>
      </c>
      <c r="Y1643" s="150">
        <f t="shared" si="99"/>
        <v>1.01</v>
      </c>
      <c r="Z1643" s="152"/>
      <c r="AC1643" s="154"/>
      <c r="AD1643" s="154"/>
      <c r="AE1643" s="154"/>
      <c r="AF1643" s="154"/>
    </row>
    <row r="1644" spans="1:32" x14ac:dyDescent="0.25">
      <c r="A1644" s="196">
        <v>1395</v>
      </c>
      <c r="B1644" s="196" t="s">
        <v>8093</v>
      </c>
      <c r="C1644" s="196" t="s">
        <v>8094</v>
      </c>
      <c r="D1644" s="196" t="s">
        <v>2835</v>
      </c>
      <c r="E1644" s="196" t="s">
        <v>1913</v>
      </c>
      <c r="F1644" s="196">
        <v>2007</v>
      </c>
      <c r="H1644" s="196" t="s">
        <v>1878</v>
      </c>
      <c r="I1644" s="184" t="s">
        <v>1929</v>
      </c>
      <c r="J1644" s="52" t="s">
        <v>3854</v>
      </c>
      <c r="K1644" s="196" t="s">
        <v>1881</v>
      </c>
      <c r="L1644" s="184" t="s">
        <v>8095</v>
      </c>
      <c r="M1644" s="196">
        <v>288</v>
      </c>
      <c r="O1644" s="196" t="s">
        <v>6641</v>
      </c>
      <c r="P1644" s="17">
        <v>404</v>
      </c>
      <c r="Q1644" s="175">
        <f t="shared" si="103"/>
        <v>1.2558</v>
      </c>
      <c r="R1644" s="199">
        <v>1</v>
      </c>
      <c r="T1644" s="149">
        <v>0.35</v>
      </c>
      <c r="U1644" s="149">
        <v>0.59</v>
      </c>
      <c r="V1644" s="149">
        <v>0.25</v>
      </c>
      <c r="W1644" s="149"/>
      <c r="X1644" s="152">
        <f t="shared" si="102"/>
        <v>6.5799999999999997E-2</v>
      </c>
      <c r="Y1644" s="150">
        <f t="shared" ref="Y1644:Y1707" si="104">(IF(Z1644&gt;AA1644,Z1644,AA1644)*0.08)+1.01</f>
        <v>1.01</v>
      </c>
      <c r="Z1644" s="152"/>
      <c r="AC1644" s="154"/>
      <c r="AD1644" s="154"/>
      <c r="AE1644" s="154"/>
      <c r="AF1644" s="154"/>
    </row>
    <row r="1645" spans="1:32" x14ac:dyDescent="0.25">
      <c r="A1645" s="196">
        <v>692</v>
      </c>
      <c r="B1645" s="196" t="s">
        <v>8096</v>
      </c>
      <c r="C1645" s="196" t="s">
        <v>8097</v>
      </c>
      <c r="D1645" s="196" t="s">
        <v>8098</v>
      </c>
      <c r="F1645" s="196">
        <v>2012</v>
      </c>
      <c r="H1645" s="196" t="s">
        <v>1878</v>
      </c>
      <c r="I1645" s="184" t="s">
        <v>1929</v>
      </c>
      <c r="K1645" s="196" t="s">
        <v>1881</v>
      </c>
      <c r="L1645" s="184" t="s">
        <v>8099</v>
      </c>
      <c r="M1645" s="196">
        <v>288</v>
      </c>
      <c r="O1645" s="196" t="s">
        <v>6642</v>
      </c>
      <c r="P1645" s="17">
        <v>410</v>
      </c>
      <c r="Q1645" s="175">
        <f t="shared" si="103"/>
        <v>1.4698000000000002</v>
      </c>
      <c r="R1645" s="199">
        <v>1.2</v>
      </c>
      <c r="T1645" s="149">
        <v>0.35</v>
      </c>
      <c r="U1645" s="149">
        <v>0.79</v>
      </c>
      <c r="V1645" s="149">
        <v>0.25</v>
      </c>
      <c r="W1645" s="149"/>
      <c r="X1645" s="152">
        <f t="shared" si="102"/>
        <v>7.980000000000001E-2</v>
      </c>
      <c r="Y1645" s="150">
        <f t="shared" si="104"/>
        <v>1.01</v>
      </c>
      <c r="Z1645" s="152"/>
      <c r="AC1645" s="154"/>
      <c r="AD1645" s="154"/>
      <c r="AE1645" s="154"/>
      <c r="AF1645" s="154"/>
    </row>
    <row r="1646" spans="1:32" x14ac:dyDescent="0.25">
      <c r="A1646" s="196">
        <v>1386</v>
      </c>
      <c r="B1646" s="196" t="s">
        <v>8100</v>
      </c>
      <c r="C1646" s="196" t="s">
        <v>8101</v>
      </c>
      <c r="D1646" s="196" t="s">
        <v>2835</v>
      </c>
      <c r="E1646" s="196" t="s">
        <v>1921</v>
      </c>
      <c r="F1646" s="196">
        <v>2010</v>
      </c>
      <c r="H1646" s="196" t="s">
        <v>1878</v>
      </c>
      <c r="I1646" s="184" t="s">
        <v>1929</v>
      </c>
      <c r="J1646" s="52" t="s">
        <v>3854</v>
      </c>
      <c r="K1646" s="196" t="s">
        <v>1881</v>
      </c>
      <c r="L1646" s="184" t="s">
        <v>8102</v>
      </c>
      <c r="M1646" s="196">
        <v>240</v>
      </c>
      <c r="O1646" s="196" t="s">
        <v>6643</v>
      </c>
      <c r="P1646" s="17">
        <v>326</v>
      </c>
      <c r="Q1646" s="175">
        <f t="shared" si="103"/>
        <v>1.7907999999999999</v>
      </c>
      <c r="R1646" s="199">
        <v>1.5</v>
      </c>
      <c r="T1646" s="149">
        <v>0.35</v>
      </c>
      <c r="U1646" s="149">
        <v>1.0900000000000001</v>
      </c>
      <c r="V1646" s="149">
        <v>0.25</v>
      </c>
      <c r="W1646" s="149"/>
      <c r="X1646" s="152">
        <f t="shared" si="102"/>
        <v>0.1008</v>
      </c>
      <c r="Y1646" s="150">
        <f t="shared" si="104"/>
        <v>1.01</v>
      </c>
      <c r="Z1646" s="152"/>
      <c r="AC1646" s="154"/>
      <c r="AD1646" s="154"/>
      <c r="AE1646" s="154"/>
      <c r="AF1646" s="154"/>
    </row>
    <row r="1647" spans="1:32" x14ac:dyDescent="0.25">
      <c r="A1647" s="196">
        <v>1395</v>
      </c>
      <c r="B1647" s="196" t="s">
        <v>8103</v>
      </c>
      <c r="C1647" s="196" t="s">
        <v>8104</v>
      </c>
      <c r="D1647" s="196" t="s">
        <v>2835</v>
      </c>
      <c r="E1647" s="196" t="s">
        <v>1913</v>
      </c>
      <c r="F1647" s="196">
        <v>2007</v>
      </c>
      <c r="H1647" s="196" t="s">
        <v>1878</v>
      </c>
      <c r="I1647" s="184" t="s">
        <v>1929</v>
      </c>
      <c r="J1647" s="52" t="s">
        <v>3854</v>
      </c>
      <c r="K1647" s="196" t="s">
        <v>1881</v>
      </c>
      <c r="L1647" s="184" t="s">
        <v>8105</v>
      </c>
      <c r="M1647" s="196">
        <v>224</v>
      </c>
      <c r="O1647" s="196" t="s">
        <v>6644</v>
      </c>
      <c r="P1647" s="17">
        <v>325</v>
      </c>
      <c r="Q1647" s="175">
        <f t="shared" si="103"/>
        <v>2.1225000000000001</v>
      </c>
      <c r="R1647" s="199">
        <v>2</v>
      </c>
      <c r="T1647" s="149">
        <v>0.35</v>
      </c>
      <c r="U1647" s="149">
        <v>1.4</v>
      </c>
      <c r="V1647" s="149">
        <v>0.25</v>
      </c>
      <c r="W1647" s="149"/>
      <c r="X1647" s="152">
        <f t="shared" si="102"/>
        <v>0.12250000000000001</v>
      </c>
      <c r="Y1647" s="150">
        <f t="shared" si="104"/>
        <v>1.01</v>
      </c>
      <c r="Z1647" s="152"/>
      <c r="AC1647" s="154"/>
      <c r="AD1647" s="154"/>
      <c r="AE1647" s="154"/>
      <c r="AF1647" s="154"/>
    </row>
    <row r="1648" spans="1:32" x14ac:dyDescent="0.25">
      <c r="A1648" s="196">
        <v>796</v>
      </c>
      <c r="B1648" s="196" t="s">
        <v>8106</v>
      </c>
      <c r="C1648" s="196" t="s">
        <v>8107</v>
      </c>
      <c r="D1648" s="196" t="s">
        <v>1095</v>
      </c>
      <c r="E1648" s="196" t="s">
        <v>1877</v>
      </c>
      <c r="F1648" s="196">
        <v>2012</v>
      </c>
      <c r="H1648" s="196" t="s">
        <v>1878</v>
      </c>
      <c r="I1648" s="184" t="s">
        <v>1879</v>
      </c>
      <c r="K1648" s="196" t="s">
        <v>1881</v>
      </c>
      <c r="L1648" s="184" t="s">
        <v>8108</v>
      </c>
      <c r="M1648" s="196">
        <v>288</v>
      </c>
      <c r="O1648" s="196" t="s">
        <v>6645</v>
      </c>
      <c r="P1648" s="17">
        <v>242</v>
      </c>
      <c r="Q1648" s="175">
        <f t="shared" si="103"/>
        <v>1.0204</v>
      </c>
      <c r="R1648" s="199">
        <v>0.59</v>
      </c>
      <c r="T1648" s="149">
        <v>0.35</v>
      </c>
      <c r="U1648" s="149">
        <v>0.37</v>
      </c>
      <c r="V1648" s="149">
        <v>0.25</v>
      </c>
      <c r="W1648" s="149"/>
      <c r="X1648" s="152">
        <f t="shared" si="102"/>
        <v>5.04E-2</v>
      </c>
      <c r="Y1648" s="150">
        <f t="shared" si="104"/>
        <v>1.01</v>
      </c>
      <c r="Z1648" s="152"/>
      <c r="AC1648" s="154"/>
      <c r="AD1648" s="154"/>
      <c r="AE1648" s="154"/>
      <c r="AF1648" s="154"/>
    </row>
    <row r="1649" spans="1:36" x14ac:dyDescent="0.25">
      <c r="A1649" s="196">
        <v>690</v>
      </c>
      <c r="B1649" s="196" t="s">
        <v>8109</v>
      </c>
      <c r="C1649" s="196" t="s">
        <v>8110</v>
      </c>
      <c r="D1649" s="196" t="s">
        <v>1920</v>
      </c>
      <c r="F1649" s="196">
        <v>2009</v>
      </c>
      <c r="H1649" s="196" t="s">
        <v>1878</v>
      </c>
      <c r="I1649" s="184" t="s">
        <v>1929</v>
      </c>
      <c r="K1649" s="196" t="s">
        <v>1881</v>
      </c>
      <c r="L1649" s="184" t="s">
        <v>8111</v>
      </c>
      <c r="M1649" s="196">
        <v>288</v>
      </c>
      <c r="O1649" s="196" t="s">
        <v>6646</v>
      </c>
      <c r="P1649" s="17">
        <v>426</v>
      </c>
      <c r="Q1649" s="175">
        <f t="shared" si="103"/>
        <v>1.2558</v>
      </c>
      <c r="R1649" s="199">
        <v>1</v>
      </c>
      <c r="T1649" s="149">
        <v>0.35</v>
      </c>
      <c r="U1649" s="149">
        <v>0.59</v>
      </c>
      <c r="V1649" s="149">
        <v>0.25</v>
      </c>
      <c r="W1649" s="149"/>
      <c r="X1649" s="152">
        <f t="shared" si="102"/>
        <v>6.5799999999999997E-2</v>
      </c>
      <c r="Y1649" s="150">
        <f t="shared" si="104"/>
        <v>1.01</v>
      </c>
      <c r="Z1649" s="152"/>
      <c r="AC1649" s="154"/>
      <c r="AD1649" s="154"/>
      <c r="AE1649" s="154"/>
      <c r="AF1649" s="154"/>
    </row>
    <row r="1650" spans="1:36" x14ac:dyDescent="0.25">
      <c r="A1650" s="196">
        <v>2518</v>
      </c>
      <c r="B1650" s="196" t="s">
        <v>8112</v>
      </c>
      <c r="C1650" s="196" t="s">
        <v>8113</v>
      </c>
      <c r="D1650" s="196" t="s">
        <v>2054</v>
      </c>
      <c r="F1650" s="196">
        <v>2007</v>
      </c>
      <c r="H1650" s="196" t="s">
        <v>2734</v>
      </c>
      <c r="I1650" s="184" t="s">
        <v>1879</v>
      </c>
      <c r="K1650" s="196" t="s">
        <v>1881</v>
      </c>
      <c r="L1650" s="184" t="s">
        <v>8114</v>
      </c>
      <c r="M1650" s="196">
        <v>162</v>
      </c>
      <c r="O1650" s="196" t="s">
        <v>6647</v>
      </c>
      <c r="P1650" s="17">
        <v>192</v>
      </c>
      <c r="Q1650" s="175">
        <f t="shared" si="103"/>
        <v>1.0204</v>
      </c>
      <c r="R1650" s="199">
        <v>0.25</v>
      </c>
      <c r="T1650" s="149">
        <v>0.35</v>
      </c>
      <c r="U1650" s="149">
        <v>0.37</v>
      </c>
      <c r="V1650" s="149">
        <v>0.25</v>
      </c>
      <c r="W1650" s="149"/>
      <c r="X1650" s="152">
        <f t="shared" si="102"/>
        <v>5.04E-2</v>
      </c>
      <c r="Y1650" s="150">
        <f t="shared" si="104"/>
        <v>1.01</v>
      </c>
      <c r="Z1650" s="152"/>
      <c r="AC1650" s="154"/>
      <c r="AD1650" s="154"/>
      <c r="AE1650" s="154"/>
      <c r="AF1650" s="154"/>
    </row>
    <row r="1651" spans="1:36" x14ac:dyDescent="0.25">
      <c r="A1651" s="196">
        <v>689</v>
      </c>
      <c r="B1651" s="196" t="s">
        <v>8115</v>
      </c>
      <c r="C1651" s="196" t="s">
        <v>8116</v>
      </c>
      <c r="D1651" s="196" t="s">
        <v>1876</v>
      </c>
      <c r="F1651" s="196">
        <v>2008</v>
      </c>
      <c r="H1651" s="196" t="s">
        <v>1878</v>
      </c>
      <c r="I1651" s="184" t="s">
        <v>1929</v>
      </c>
      <c r="K1651" s="196" t="s">
        <v>1881</v>
      </c>
      <c r="L1651" s="184" t="s">
        <v>8117</v>
      </c>
      <c r="M1651" s="196">
        <v>496</v>
      </c>
      <c r="O1651" s="196" t="s">
        <v>6648</v>
      </c>
      <c r="P1651" s="17">
        <v>530</v>
      </c>
      <c r="Q1651" s="175">
        <f t="shared" si="103"/>
        <v>1.2558</v>
      </c>
      <c r="R1651" s="199">
        <v>1</v>
      </c>
      <c r="T1651" s="149">
        <v>0.35</v>
      </c>
      <c r="U1651" s="149">
        <v>0.59</v>
      </c>
      <c r="V1651" s="149">
        <v>0.25</v>
      </c>
      <c r="W1651" s="149"/>
      <c r="X1651" s="152">
        <f t="shared" si="102"/>
        <v>6.5799999999999997E-2</v>
      </c>
      <c r="Y1651" s="150">
        <f t="shared" si="104"/>
        <v>1.01</v>
      </c>
      <c r="Z1651" s="152"/>
      <c r="AC1651" s="154"/>
      <c r="AD1651" s="154"/>
      <c r="AE1651" s="154"/>
      <c r="AF1651" s="154"/>
    </row>
    <row r="1652" spans="1:36" x14ac:dyDescent="0.25">
      <c r="A1652" s="196">
        <v>2021</v>
      </c>
      <c r="C1652" s="196" t="s">
        <v>8118</v>
      </c>
      <c r="D1652" s="196" t="s">
        <v>8119</v>
      </c>
      <c r="E1652" s="182" t="s">
        <v>2032</v>
      </c>
      <c r="F1652" s="196">
        <v>2002</v>
      </c>
      <c r="H1652" s="196" t="s">
        <v>1878</v>
      </c>
      <c r="I1652" s="184" t="s">
        <v>1879</v>
      </c>
      <c r="K1652" s="196" t="s">
        <v>1881</v>
      </c>
      <c r="L1652" s="184" t="s">
        <v>8120</v>
      </c>
      <c r="M1652" s="196">
        <v>16</v>
      </c>
      <c r="O1652" s="196" t="s">
        <v>6649</v>
      </c>
      <c r="P1652" s="17">
        <v>261</v>
      </c>
      <c r="Q1652" s="175">
        <f t="shared" si="103"/>
        <v>1.0204</v>
      </c>
      <c r="R1652" s="199">
        <v>0.6</v>
      </c>
      <c r="T1652" s="149">
        <v>0.35</v>
      </c>
      <c r="U1652" s="149">
        <v>0.37</v>
      </c>
      <c r="V1652" s="149">
        <v>0.25</v>
      </c>
      <c r="W1652" s="149"/>
      <c r="X1652" s="152">
        <f t="shared" si="102"/>
        <v>5.04E-2</v>
      </c>
      <c r="Y1652" s="150">
        <f t="shared" si="104"/>
        <v>1.01</v>
      </c>
      <c r="Z1652" s="152"/>
      <c r="AC1652" s="154"/>
      <c r="AD1652" s="154"/>
      <c r="AE1652" s="154"/>
      <c r="AF1652" s="154"/>
    </row>
    <row r="1653" spans="1:36" x14ac:dyDescent="0.25">
      <c r="A1653" s="196">
        <v>1984</v>
      </c>
      <c r="B1653" s="196" t="s">
        <v>8121</v>
      </c>
      <c r="C1653" s="196" t="s">
        <v>8122</v>
      </c>
      <c r="D1653" s="196" t="s">
        <v>3524</v>
      </c>
      <c r="E1653" s="196" t="s">
        <v>1899</v>
      </c>
      <c r="F1653" s="196">
        <v>2003</v>
      </c>
      <c r="H1653" s="196" t="s">
        <v>2734</v>
      </c>
      <c r="I1653" s="184" t="s">
        <v>1929</v>
      </c>
      <c r="K1653" s="196" t="s">
        <v>1881</v>
      </c>
      <c r="L1653" s="184" t="s">
        <v>8123</v>
      </c>
      <c r="M1653" s="196">
        <v>62</v>
      </c>
      <c r="O1653" s="196" t="s">
        <v>6650</v>
      </c>
      <c r="P1653" s="17">
        <v>285</v>
      </c>
      <c r="Q1653" s="175">
        <f t="shared" si="103"/>
        <v>1.0204</v>
      </c>
      <c r="R1653" s="199">
        <v>0.45</v>
      </c>
      <c r="T1653" s="149">
        <v>0.35</v>
      </c>
      <c r="U1653" s="149">
        <v>0.37</v>
      </c>
      <c r="V1653" s="149">
        <v>0.25</v>
      </c>
      <c r="W1653" s="149"/>
      <c r="X1653" s="152">
        <f t="shared" si="102"/>
        <v>5.04E-2</v>
      </c>
      <c r="Y1653" s="150">
        <f t="shared" si="104"/>
        <v>1.01</v>
      </c>
      <c r="Z1653" s="152"/>
      <c r="AC1653" s="154"/>
      <c r="AD1653" s="154"/>
      <c r="AE1653" s="154"/>
      <c r="AF1653" s="154"/>
    </row>
    <row r="1654" spans="1:36" x14ac:dyDescent="0.25">
      <c r="A1654" s="196">
        <v>1984</v>
      </c>
      <c r="C1654" s="196" t="s">
        <v>8124</v>
      </c>
      <c r="D1654" s="196" t="s">
        <v>4930</v>
      </c>
      <c r="F1654" s="196">
        <v>2010</v>
      </c>
      <c r="H1654" s="196" t="s">
        <v>2734</v>
      </c>
      <c r="I1654" s="184" t="s">
        <v>1929</v>
      </c>
      <c r="K1654" s="196" t="s">
        <v>1881</v>
      </c>
      <c r="M1654" s="196">
        <v>76</v>
      </c>
      <c r="O1654" s="196" t="s">
        <v>6651</v>
      </c>
      <c r="P1654" s="17">
        <v>258</v>
      </c>
      <c r="Q1654" s="175">
        <f t="shared" si="103"/>
        <v>2.1225000000000001</v>
      </c>
      <c r="R1654" s="199">
        <v>1.85</v>
      </c>
      <c r="T1654" s="149">
        <v>0.35</v>
      </c>
      <c r="U1654" s="149">
        <v>1.4</v>
      </c>
      <c r="V1654" s="149">
        <v>0.25</v>
      </c>
      <c r="W1654" s="149"/>
      <c r="X1654" s="152">
        <f t="shared" si="102"/>
        <v>0.12250000000000001</v>
      </c>
      <c r="Y1654" s="150">
        <f t="shared" si="104"/>
        <v>1.01</v>
      </c>
      <c r="Z1654" s="152"/>
      <c r="AC1654" s="154"/>
      <c r="AD1654" s="154"/>
      <c r="AE1654" s="154"/>
      <c r="AF1654" s="154"/>
    </row>
    <row r="1655" spans="1:36" x14ac:dyDescent="0.25">
      <c r="A1655" s="196">
        <v>1904</v>
      </c>
      <c r="B1655" s="196" t="s">
        <v>8125</v>
      </c>
      <c r="C1655" s="196" t="s">
        <v>8126</v>
      </c>
      <c r="D1655" s="196" t="s">
        <v>5005</v>
      </c>
      <c r="F1655" s="196">
        <v>1993</v>
      </c>
      <c r="H1655" s="196" t="s">
        <v>2734</v>
      </c>
      <c r="I1655" s="184" t="s">
        <v>7527</v>
      </c>
      <c r="K1655" s="196" t="s">
        <v>1881</v>
      </c>
      <c r="M1655" s="196">
        <v>482</v>
      </c>
      <c r="O1655" s="196" t="s">
        <v>6652</v>
      </c>
      <c r="P1655" s="17">
        <v>641</v>
      </c>
      <c r="Q1655" s="175">
        <f t="shared" si="103"/>
        <v>1.0204</v>
      </c>
      <c r="R1655" s="199">
        <v>0.25</v>
      </c>
      <c r="T1655" s="149">
        <v>0.35</v>
      </c>
      <c r="U1655" s="149">
        <v>0.37</v>
      </c>
      <c r="V1655" s="149">
        <v>0.25</v>
      </c>
      <c r="W1655" s="149"/>
      <c r="X1655" s="152">
        <f t="shared" si="102"/>
        <v>5.04E-2</v>
      </c>
      <c r="Y1655" s="150">
        <f t="shared" si="104"/>
        <v>1.01</v>
      </c>
      <c r="Z1655" s="152"/>
      <c r="AC1655" s="154"/>
      <c r="AD1655" s="154"/>
      <c r="AE1655" s="154"/>
      <c r="AF1655" s="154"/>
    </row>
    <row r="1656" spans="1:36" x14ac:dyDescent="0.25">
      <c r="A1656" s="196">
        <v>765</v>
      </c>
      <c r="B1656" s="196" t="s">
        <v>8127</v>
      </c>
      <c r="C1656" s="196" t="s">
        <v>8128</v>
      </c>
      <c r="D1656" s="196" t="s">
        <v>2244</v>
      </c>
      <c r="E1656" s="196" t="s">
        <v>2157</v>
      </c>
      <c r="F1656" s="196">
        <v>1998</v>
      </c>
      <c r="H1656" s="196" t="s">
        <v>1878</v>
      </c>
      <c r="I1656" s="184" t="s">
        <v>7527</v>
      </c>
      <c r="J1656" s="52" t="s">
        <v>3854</v>
      </c>
      <c r="K1656" s="196" t="s">
        <v>1881</v>
      </c>
      <c r="L1656" s="184" t="s">
        <v>8129</v>
      </c>
      <c r="M1656" s="196">
        <v>256</v>
      </c>
      <c r="O1656" s="196" t="s">
        <v>6653</v>
      </c>
      <c r="P1656" s="17">
        <v>310</v>
      </c>
      <c r="Q1656" s="175">
        <f t="shared" si="103"/>
        <v>1.0204</v>
      </c>
      <c r="R1656" s="199">
        <v>0.25</v>
      </c>
      <c r="T1656" s="149">
        <v>0.35</v>
      </c>
      <c r="U1656" s="149">
        <v>0.37</v>
      </c>
      <c r="V1656" s="149">
        <v>0.25</v>
      </c>
      <c r="W1656" s="149"/>
      <c r="X1656" s="152">
        <f t="shared" si="102"/>
        <v>5.04E-2</v>
      </c>
      <c r="Y1656" s="150">
        <f t="shared" si="104"/>
        <v>1.01</v>
      </c>
      <c r="Z1656" s="152"/>
      <c r="AC1656" s="154"/>
      <c r="AD1656" s="154"/>
      <c r="AE1656" s="154"/>
      <c r="AF1656" s="154"/>
    </row>
    <row r="1657" spans="1:36" x14ac:dyDescent="0.25">
      <c r="A1657" s="196">
        <v>796</v>
      </c>
      <c r="B1657" s="196" t="s">
        <v>8130</v>
      </c>
      <c r="C1657" s="196" t="s">
        <v>8131</v>
      </c>
      <c r="D1657" s="196" t="s">
        <v>2257</v>
      </c>
      <c r="F1657" s="196">
        <v>2006</v>
      </c>
      <c r="H1657" s="196" t="s">
        <v>1878</v>
      </c>
      <c r="I1657" s="184" t="s">
        <v>8132</v>
      </c>
      <c r="K1657" s="196" t="s">
        <v>1881</v>
      </c>
      <c r="L1657" s="184" t="s">
        <v>8133</v>
      </c>
      <c r="M1657" s="196">
        <v>336</v>
      </c>
      <c r="O1657" s="196" t="s">
        <v>6654</v>
      </c>
      <c r="P1657" s="17">
        <v>256</v>
      </c>
      <c r="Q1657" s="175">
        <f t="shared" si="103"/>
        <v>1.0204</v>
      </c>
      <c r="R1657" s="199">
        <v>0.35</v>
      </c>
      <c r="T1657" s="149">
        <v>0.35</v>
      </c>
      <c r="U1657" s="149">
        <v>0.37</v>
      </c>
      <c r="V1657" s="149">
        <v>0.25</v>
      </c>
      <c r="W1657" s="149"/>
      <c r="X1657" s="152">
        <f t="shared" si="102"/>
        <v>5.04E-2</v>
      </c>
      <c r="Y1657" s="150">
        <f t="shared" si="104"/>
        <v>1.01</v>
      </c>
      <c r="Z1657" s="152"/>
      <c r="AC1657" s="154"/>
      <c r="AD1657" s="154"/>
      <c r="AE1657" s="154"/>
      <c r="AF1657" s="154"/>
    </row>
    <row r="1658" spans="1:36" x14ac:dyDescent="0.25">
      <c r="A1658" s="196">
        <v>947</v>
      </c>
      <c r="B1658" s="196" t="s">
        <v>8134</v>
      </c>
      <c r="C1658" s="196" t="s">
        <v>8135</v>
      </c>
      <c r="D1658" s="196" t="s">
        <v>1920</v>
      </c>
      <c r="F1658" s="196">
        <v>2001</v>
      </c>
      <c r="H1658" s="196" t="s">
        <v>1878</v>
      </c>
      <c r="I1658" s="184" t="s">
        <v>1914</v>
      </c>
      <c r="J1658" s="52" t="s">
        <v>3854</v>
      </c>
      <c r="K1658" s="196" t="s">
        <v>1881</v>
      </c>
      <c r="L1658" s="184" t="s">
        <v>8136</v>
      </c>
      <c r="M1658" s="196">
        <v>226</v>
      </c>
      <c r="O1658" s="196" t="s">
        <v>6655</v>
      </c>
      <c r="P1658" s="17">
        <v>239</v>
      </c>
      <c r="Q1658" s="175">
        <f t="shared" si="103"/>
        <v>1.0204</v>
      </c>
      <c r="R1658" s="199">
        <v>0.25</v>
      </c>
      <c r="T1658" s="149">
        <v>0.35</v>
      </c>
      <c r="U1658" s="149">
        <v>0.37</v>
      </c>
      <c r="V1658" s="149">
        <v>0.25</v>
      </c>
      <c r="W1658" s="149"/>
      <c r="X1658" s="152">
        <f t="shared" si="102"/>
        <v>5.04E-2</v>
      </c>
      <c r="Y1658" s="150">
        <f t="shared" si="104"/>
        <v>1.01</v>
      </c>
      <c r="Z1658" s="152"/>
      <c r="AC1658" s="154"/>
      <c r="AD1658" s="154"/>
      <c r="AE1658" s="154"/>
      <c r="AF1658" s="154"/>
    </row>
    <row r="1659" spans="1:36" x14ac:dyDescent="0.25">
      <c r="A1659" s="196">
        <v>965</v>
      </c>
      <c r="B1659" s="196" t="s">
        <v>8137</v>
      </c>
      <c r="C1659" s="196" t="s">
        <v>8138</v>
      </c>
      <c r="D1659" s="196" t="s">
        <v>2609</v>
      </c>
      <c r="F1659" s="196">
        <v>1981</v>
      </c>
      <c r="H1659" s="196" t="s">
        <v>1878</v>
      </c>
      <c r="I1659" s="184" t="s">
        <v>1914</v>
      </c>
      <c r="K1659" s="196" t="s">
        <v>1881</v>
      </c>
      <c r="L1659" s="184" t="s">
        <v>8139</v>
      </c>
      <c r="M1659" s="196">
        <v>208</v>
      </c>
      <c r="O1659" s="196" t="s">
        <v>6656</v>
      </c>
      <c r="P1659" s="17">
        <v>109</v>
      </c>
      <c r="Q1659" s="175">
        <f t="shared" si="103"/>
        <v>1.0204</v>
      </c>
      <c r="R1659" s="199">
        <v>0.5</v>
      </c>
      <c r="T1659" s="149">
        <v>0.35</v>
      </c>
      <c r="U1659" s="149">
        <v>0.37</v>
      </c>
      <c r="V1659" s="149">
        <v>0.25</v>
      </c>
      <c r="W1659" s="149"/>
      <c r="X1659" s="152">
        <f t="shared" si="102"/>
        <v>5.04E-2</v>
      </c>
      <c r="Y1659" s="150">
        <f t="shared" si="104"/>
        <v>1.01</v>
      </c>
      <c r="Z1659" s="152"/>
      <c r="AC1659" s="154"/>
      <c r="AD1659" s="154"/>
      <c r="AE1659" s="154"/>
      <c r="AF1659" s="154"/>
    </row>
    <row r="1660" spans="1:36" x14ac:dyDescent="0.25">
      <c r="A1660" s="196">
        <v>765</v>
      </c>
      <c r="B1660" s="196" t="s">
        <v>8140</v>
      </c>
      <c r="C1660" s="196" t="s">
        <v>8141</v>
      </c>
      <c r="D1660" s="196" t="s">
        <v>5926</v>
      </c>
      <c r="F1660" s="196">
        <v>1990</v>
      </c>
      <c r="H1660" s="196" t="s">
        <v>1878</v>
      </c>
      <c r="I1660" s="184" t="s">
        <v>1914</v>
      </c>
      <c r="K1660" s="196" t="s">
        <v>1881</v>
      </c>
      <c r="L1660" s="184" t="s">
        <v>8142</v>
      </c>
      <c r="M1660" s="196">
        <v>192</v>
      </c>
      <c r="O1660" s="196" t="s">
        <v>6657</v>
      </c>
      <c r="P1660" s="17">
        <v>294</v>
      </c>
      <c r="Q1660" s="175">
        <f t="shared" si="103"/>
        <v>1.2558</v>
      </c>
      <c r="R1660" s="199">
        <v>0.95</v>
      </c>
      <c r="T1660" s="149">
        <v>0.35</v>
      </c>
      <c r="U1660" s="149">
        <v>0.59</v>
      </c>
      <c r="V1660" s="149">
        <v>0.25</v>
      </c>
      <c r="W1660" s="149"/>
      <c r="X1660" s="152">
        <f t="shared" si="102"/>
        <v>6.5799999999999997E-2</v>
      </c>
      <c r="Y1660" s="150">
        <f t="shared" si="104"/>
        <v>1.01</v>
      </c>
      <c r="Z1660" s="152"/>
      <c r="AC1660" s="154"/>
      <c r="AD1660" s="154"/>
      <c r="AE1660" s="154"/>
      <c r="AF1660" s="154"/>
    </row>
    <row r="1661" spans="1:36" s="98" customFormat="1" x14ac:dyDescent="0.25">
      <c r="A1661" s="88">
        <v>704</v>
      </c>
      <c r="B1661" s="88" t="s">
        <v>3715</v>
      </c>
      <c r="C1661" s="88" t="s">
        <v>8143</v>
      </c>
      <c r="D1661" s="88" t="s">
        <v>2309</v>
      </c>
      <c r="E1661" s="88" t="s">
        <v>6097</v>
      </c>
      <c r="F1661" s="88">
        <v>2002</v>
      </c>
      <c r="G1661" s="88"/>
      <c r="H1661" s="88" t="s">
        <v>1878</v>
      </c>
      <c r="I1661" s="89" t="s">
        <v>1879</v>
      </c>
      <c r="J1661" s="90" t="s">
        <v>3854</v>
      </c>
      <c r="K1661" s="88" t="s">
        <v>1881</v>
      </c>
      <c r="L1661" s="89" t="s">
        <v>7727</v>
      </c>
      <c r="M1661" s="88">
        <v>400</v>
      </c>
      <c r="N1661" s="88"/>
      <c r="O1661" s="88" t="s">
        <v>6658</v>
      </c>
      <c r="P1661" s="91">
        <v>258</v>
      </c>
      <c r="Q1661" s="92">
        <f t="shared" si="103"/>
        <v>1.0204</v>
      </c>
      <c r="R1661" s="93">
        <v>0.25</v>
      </c>
      <c r="S1661" s="93"/>
      <c r="T1661" s="94">
        <v>0.35</v>
      </c>
      <c r="U1661" s="94">
        <v>0.37</v>
      </c>
      <c r="V1661" s="94">
        <v>0.25</v>
      </c>
      <c r="W1661" s="94"/>
      <c r="X1661" s="95">
        <f t="shared" si="102"/>
        <v>5.04E-2</v>
      </c>
      <c r="Y1661" s="150">
        <f t="shared" si="104"/>
        <v>1.01</v>
      </c>
      <c r="Z1661" s="95"/>
      <c r="AA1661" s="96"/>
      <c r="AB1661" s="96"/>
      <c r="AC1661" s="97"/>
      <c r="AD1661" s="97"/>
      <c r="AE1661" s="97"/>
      <c r="AF1661" s="97"/>
      <c r="AJ1661" s="99"/>
    </row>
    <row r="1662" spans="1:36" x14ac:dyDescent="0.25">
      <c r="A1662" s="196">
        <v>692</v>
      </c>
      <c r="B1662" s="196" t="s">
        <v>8144</v>
      </c>
      <c r="C1662" s="196" t="s">
        <v>8145</v>
      </c>
      <c r="D1662" s="196" t="s">
        <v>2609</v>
      </c>
      <c r="E1662" s="196" t="s">
        <v>1899</v>
      </c>
      <c r="F1662" s="196">
        <v>1999</v>
      </c>
      <c r="H1662" s="196" t="s">
        <v>1878</v>
      </c>
      <c r="I1662" s="184" t="s">
        <v>1914</v>
      </c>
      <c r="K1662" s="196" t="s">
        <v>1881</v>
      </c>
      <c r="L1662" s="184" t="s">
        <v>8146</v>
      </c>
      <c r="M1662" s="196">
        <v>304</v>
      </c>
      <c r="O1662" s="196" t="s">
        <v>6659</v>
      </c>
      <c r="P1662" s="17">
        <v>224</v>
      </c>
      <c r="Q1662" s="175">
        <f>R1662-U1662</f>
        <v>0.85439999999999983</v>
      </c>
      <c r="R1662" s="175">
        <f t="shared" ref="R1662:R1725" si="105">IF(Z1662&gt;AA1662,Z1662,AA1662)</f>
        <v>2.0543999999999998</v>
      </c>
      <c r="S1662" s="199">
        <f>0.25+1.4</f>
        <v>1.65</v>
      </c>
      <c r="T1662" s="149">
        <v>0.13</v>
      </c>
      <c r="U1662" s="149" t="str">
        <f>IF(P1662&lt;501,"1,20","1,70")</f>
        <v>1,20</v>
      </c>
      <c r="V1662" s="149">
        <f t="shared" ref="V1662:V1693" si="106">0.08+0.09+0.17</f>
        <v>0.33999999999999997</v>
      </c>
      <c r="W1662" s="149">
        <v>0.25</v>
      </c>
      <c r="X1662" s="152">
        <f>(T1662+U1662+V1662+W1662)/100*7</f>
        <v>0.13439999999999999</v>
      </c>
      <c r="Y1662" s="150">
        <f t="shared" si="104"/>
        <v>1.1743520000000001</v>
      </c>
      <c r="Z1662" s="152">
        <f>S1662</f>
        <v>1.65</v>
      </c>
      <c r="AA1662" s="150">
        <f>T1662+U1662+V1662+W1662+X1662</f>
        <v>2.0543999999999998</v>
      </c>
      <c r="AB1662" s="150"/>
      <c r="AC1662" s="154"/>
      <c r="AD1662" s="154"/>
      <c r="AE1662" s="154"/>
      <c r="AF1662" s="154"/>
    </row>
    <row r="1663" spans="1:36" x14ac:dyDescent="0.25">
      <c r="A1663" s="196">
        <v>765</v>
      </c>
      <c r="C1663" s="196" t="s">
        <v>8147</v>
      </c>
      <c r="D1663" s="196" t="s">
        <v>8148</v>
      </c>
      <c r="E1663" s="182" t="s">
        <v>2032</v>
      </c>
      <c r="F1663" s="196">
        <v>1994</v>
      </c>
      <c r="H1663" s="196" t="s">
        <v>1878</v>
      </c>
      <c r="I1663" s="184" t="s">
        <v>1914</v>
      </c>
      <c r="K1663" s="196" t="s">
        <v>1881</v>
      </c>
      <c r="L1663" s="184" t="s">
        <v>8149</v>
      </c>
      <c r="M1663" s="196">
        <v>120</v>
      </c>
      <c r="O1663" s="196" t="s">
        <v>6660</v>
      </c>
      <c r="P1663" s="17">
        <v>144</v>
      </c>
      <c r="Q1663" s="175">
        <f t="shared" ref="Q1663:Q1726" si="107">R1663-U1663</f>
        <v>0.85439999999999983</v>
      </c>
      <c r="R1663" s="175">
        <f t="shared" si="105"/>
        <v>2.0543999999999998</v>
      </c>
      <c r="S1663" s="199">
        <f>0.25+1.5</f>
        <v>1.75</v>
      </c>
      <c r="T1663" s="149">
        <v>0.13</v>
      </c>
      <c r="U1663" s="149" t="str">
        <f t="shared" ref="U1663:U1726" si="108">IF(P1663&lt;501,"1,20","1,70")</f>
        <v>1,20</v>
      </c>
      <c r="V1663" s="149">
        <f t="shared" si="106"/>
        <v>0.33999999999999997</v>
      </c>
      <c r="W1663" s="149">
        <v>0.25</v>
      </c>
      <c r="X1663" s="152">
        <f t="shared" ref="X1663:X1726" si="109">(T1663+U1663+V1663+W1663)/100*7</f>
        <v>0.13439999999999999</v>
      </c>
      <c r="Y1663" s="150">
        <f t="shared" si="104"/>
        <v>1.1743520000000001</v>
      </c>
      <c r="Z1663" s="152">
        <f t="shared" ref="Z1663:Z1726" si="110">S1663</f>
        <v>1.75</v>
      </c>
      <c r="AA1663" s="150">
        <f t="shared" ref="AA1663:AA1726" si="111">T1663+U1663+V1663+W1663+X1663</f>
        <v>2.0543999999999998</v>
      </c>
      <c r="AB1663" s="150"/>
      <c r="AC1663" s="154"/>
      <c r="AD1663" s="154"/>
      <c r="AE1663" s="154"/>
      <c r="AF1663" s="154"/>
    </row>
    <row r="1664" spans="1:36" x14ac:dyDescent="0.25">
      <c r="A1664" s="196">
        <v>792</v>
      </c>
      <c r="B1664" s="196" t="s">
        <v>8150</v>
      </c>
      <c r="C1664" s="196" t="s">
        <v>8151</v>
      </c>
      <c r="D1664" s="196" t="s">
        <v>2609</v>
      </c>
      <c r="F1664" s="196">
        <v>1994</v>
      </c>
      <c r="H1664" s="196" t="s">
        <v>1878</v>
      </c>
      <c r="I1664" s="184" t="s">
        <v>1914</v>
      </c>
      <c r="K1664" s="196" t="s">
        <v>1881</v>
      </c>
      <c r="L1664" s="184" t="s">
        <v>8152</v>
      </c>
      <c r="M1664" s="196">
        <v>208</v>
      </c>
      <c r="O1664" s="196" t="s">
        <v>6661</v>
      </c>
      <c r="P1664" s="17">
        <v>189</v>
      </c>
      <c r="Q1664" s="175">
        <f t="shared" si="107"/>
        <v>0.85439999999999983</v>
      </c>
      <c r="R1664" s="175">
        <f t="shared" si="105"/>
        <v>2.0543999999999998</v>
      </c>
      <c r="S1664" s="199">
        <f>0.54+1.2</f>
        <v>1.74</v>
      </c>
      <c r="T1664" s="149">
        <v>0.13</v>
      </c>
      <c r="U1664" s="149" t="str">
        <f t="shared" si="108"/>
        <v>1,20</v>
      </c>
      <c r="V1664" s="149">
        <f t="shared" si="106"/>
        <v>0.33999999999999997</v>
      </c>
      <c r="W1664" s="149">
        <v>0.25</v>
      </c>
      <c r="X1664" s="152">
        <f t="shared" si="109"/>
        <v>0.13439999999999999</v>
      </c>
      <c r="Y1664" s="150">
        <f t="shared" si="104"/>
        <v>1.1743520000000001</v>
      </c>
      <c r="Z1664" s="152">
        <f t="shared" si="110"/>
        <v>1.74</v>
      </c>
      <c r="AA1664" s="150">
        <f t="shared" si="111"/>
        <v>2.0543999999999998</v>
      </c>
      <c r="AB1664" s="150"/>
      <c r="AC1664" s="154"/>
      <c r="AD1664" s="154"/>
      <c r="AE1664" s="154"/>
      <c r="AF1664" s="154"/>
    </row>
    <row r="1665" spans="1:32" x14ac:dyDescent="0.25">
      <c r="A1665" s="196">
        <v>734</v>
      </c>
      <c r="B1665" s="196" t="s">
        <v>7392</v>
      </c>
      <c r="C1665" s="196" t="s">
        <v>8153</v>
      </c>
      <c r="D1665" s="196" t="s">
        <v>2209</v>
      </c>
      <c r="F1665" s="196">
        <v>1998</v>
      </c>
      <c r="H1665" s="196" t="s">
        <v>1878</v>
      </c>
      <c r="I1665" s="184" t="s">
        <v>1914</v>
      </c>
      <c r="K1665" s="196" t="s">
        <v>1881</v>
      </c>
      <c r="L1665" s="184" t="s">
        <v>8154</v>
      </c>
      <c r="M1665" s="196">
        <v>512</v>
      </c>
      <c r="O1665" s="196" t="s">
        <v>6662</v>
      </c>
      <c r="P1665" s="17">
        <v>353</v>
      </c>
      <c r="Q1665" s="175">
        <f t="shared" si="107"/>
        <v>1.99</v>
      </c>
      <c r="R1665" s="175">
        <f t="shared" si="105"/>
        <v>3.19</v>
      </c>
      <c r="S1665" s="199">
        <f>1.99+1.2</f>
        <v>3.19</v>
      </c>
      <c r="T1665" s="149">
        <v>0.13</v>
      </c>
      <c r="U1665" s="149" t="str">
        <f t="shared" si="108"/>
        <v>1,20</v>
      </c>
      <c r="V1665" s="149">
        <f t="shared" si="106"/>
        <v>0.33999999999999997</v>
      </c>
      <c r="W1665" s="149">
        <f>3.19-2.54</f>
        <v>0.64999999999999991</v>
      </c>
      <c r="X1665" s="152">
        <f t="shared" si="109"/>
        <v>0.16239999999999999</v>
      </c>
      <c r="Y1665" s="150">
        <f t="shared" si="104"/>
        <v>1.2652000000000001</v>
      </c>
      <c r="Z1665" s="152">
        <f t="shared" si="110"/>
        <v>3.19</v>
      </c>
      <c r="AA1665" s="150">
        <f t="shared" si="111"/>
        <v>2.4823999999999997</v>
      </c>
      <c r="AB1665" s="150"/>
      <c r="AC1665" s="154"/>
      <c r="AD1665" s="154"/>
      <c r="AE1665" s="154"/>
      <c r="AF1665" s="154"/>
    </row>
    <row r="1666" spans="1:32" x14ac:dyDescent="0.25">
      <c r="A1666" s="196">
        <v>643</v>
      </c>
      <c r="B1666" s="196" t="s">
        <v>8155</v>
      </c>
      <c r="C1666" s="196" t="s">
        <v>8156</v>
      </c>
      <c r="D1666" s="196" t="s">
        <v>1912</v>
      </c>
      <c r="E1666" s="196" t="s">
        <v>1921</v>
      </c>
      <c r="F1666" s="196">
        <v>1998</v>
      </c>
      <c r="H1666" s="196" t="s">
        <v>1878</v>
      </c>
      <c r="I1666" s="184" t="s">
        <v>1914</v>
      </c>
      <c r="K1666" s="196" t="s">
        <v>1881</v>
      </c>
      <c r="L1666" s="184" t="s">
        <v>8157</v>
      </c>
      <c r="M1666" s="196">
        <v>320</v>
      </c>
      <c r="O1666" s="196" t="s">
        <v>6663</v>
      </c>
      <c r="P1666" s="17">
        <v>366</v>
      </c>
      <c r="Q1666" s="175">
        <f t="shared" si="107"/>
        <v>0.85439999999999983</v>
      </c>
      <c r="R1666" s="175">
        <f t="shared" si="105"/>
        <v>2.0543999999999998</v>
      </c>
      <c r="S1666" s="199">
        <f>0.6+1.2</f>
        <v>1.7999999999999998</v>
      </c>
      <c r="T1666" s="149">
        <v>0.13</v>
      </c>
      <c r="U1666" s="149" t="str">
        <f t="shared" si="108"/>
        <v>1,20</v>
      </c>
      <c r="V1666" s="149">
        <f t="shared" si="106"/>
        <v>0.33999999999999997</v>
      </c>
      <c r="W1666" s="149">
        <v>0.25</v>
      </c>
      <c r="X1666" s="152">
        <f t="shared" si="109"/>
        <v>0.13439999999999999</v>
      </c>
      <c r="Y1666" s="150">
        <f t="shared" si="104"/>
        <v>1.1743520000000001</v>
      </c>
      <c r="Z1666" s="152">
        <f t="shared" si="110"/>
        <v>1.7999999999999998</v>
      </c>
      <c r="AA1666" s="150">
        <f t="shared" si="111"/>
        <v>2.0543999999999998</v>
      </c>
      <c r="AB1666" s="150"/>
      <c r="AC1666" s="154"/>
      <c r="AD1666" s="154"/>
      <c r="AE1666" s="154"/>
      <c r="AF1666" s="154"/>
    </row>
    <row r="1667" spans="1:32" x14ac:dyDescent="0.25">
      <c r="A1667" s="196">
        <v>1230</v>
      </c>
      <c r="C1667" s="196" t="s">
        <v>8158</v>
      </c>
      <c r="D1667" s="196" t="s">
        <v>1912</v>
      </c>
      <c r="E1667" s="196" t="s">
        <v>1877</v>
      </c>
      <c r="F1667" s="196">
        <v>1987</v>
      </c>
      <c r="H1667" s="196" t="s">
        <v>1878</v>
      </c>
      <c r="I1667" s="184" t="s">
        <v>1914</v>
      </c>
      <c r="K1667" s="196" t="s">
        <v>1881</v>
      </c>
      <c r="L1667" s="184" t="s">
        <v>8159</v>
      </c>
      <c r="M1667" s="196">
        <v>208</v>
      </c>
      <c r="O1667" s="196" t="s">
        <v>6664</v>
      </c>
      <c r="P1667" s="17">
        <v>168</v>
      </c>
      <c r="Q1667" s="175">
        <f t="shared" si="107"/>
        <v>1.2900000000000003</v>
      </c>
      <c r="R1667" s="175">
        <f t="shared" si="105"/>
        <v>2.4900000000000002</v>
      </c>
      <c r="S1667" s="199">
        <f>0.99+1.5</f>
        <v>2.4900000000000002</v>
      </c>
      <c r="T1667" s="149">
        <v>0.13</v>
      </c>
      <c r="U1667" s="149" t="str">
        <f t="shared" si="108"/>
        <v>1,20</v>
      </c>
      <c r="V1667" s="149">
        <f t="shared" si="106"/>
        <v>0.33999999999999997</v>
      </c>
      <c r="W1667" s="149">
        <v>0.6</v>
      </c>
      <c r="X1667" s="152">
        <f t="shared" si="109"/>
        <v>0.15890000000000001</v>
      </c>
      <c r="Y1667" s="150">
        <f t="shared" si="104"/>
        <v>1.2092000000000001</v>
      </c>
      <c r="Z1667" s="152">
        <f t="shared" si="110"/>
        <v>2.4900000000000002</v>
      </c>
      <c r="AA1667" s="150">
        <f t="shared" si="111"/>
        <v>2.4289000000000001</v>
      </c>
      <c r="AB1667" s="150"/>
      <c r="AC1667" s="154"/>
      <c r="AD1667" s="154"/>
      <c r="AE1667" s="154"/>
      <c r="AF1667" s="154"/>
    </row>
    <row r="1668" spans="1:32" x14ac:dyDescent="0.25">
      <c r="A1668" s="196">
        <v>1396</v>
      </c>
      <c r="B1668" s="196" t="s">
        <v>8160</v>
      </c>
      <c r="C1668" s="196" t="s">
        <v>8161</v>
      </c>
      <c r="D1668" s="196" t="s">
        <v>1912</v>
      </c>
      <c r="E1668" s="196" t="s">
        <v>1921</v>
      </c>
      <c r="F1668" s="196">
        <v>1998</v>
      </c>
      <c r="H1668" s="196" t="s">
        <v>1878</v>
      </c>
      <c r="I1668" s="184" t="s">
        <v>1914</v>
      </c>
      <c r="J1668" s="52" t="s">
        <v>3854</v>
      </c>
      <c r="K1668" s="196" t="s">
        <v>1881</v>
      </c>
      <c r="L1668" s="184" t="s">
        <v>8162</v>
      </c>
      <c r="M1668" s="196">
        <v>400</v>
      </c>
      <c r="O1668" s="196" t="s">
        <v>6665</v>
      </c>
      <c r="P1668" s="17">
        <v>484</v>
      </c>
      <c r="Q1668" s="175">
        <f t="shared" si="107"/>
        <v>1.4428999999999996</v>
      </c>
      <c r="R1668" s="175">
        <f t="shared" si="105"/>
        <v>2.6428999999999996</v>
      </c>
      <c r="S1668" s="199">
        <f>0.9+1.7</f>
        <v>2.6</v>
      </c>
      <c r="T1668" s="149">
        <v>0.13</v>
      </c>
      <c r="U1668" s="149" t="str">
        <f t="shared" si="108"/>
        <v>1,20</v>
      </c>
      <c r="V1668" s="149">
        <f t="shared" si="106"/>
        <v>0.33999999999999997</v>
      </c>
      <c r="W1668" s="149">
        <v>0.8</v>
      </c>
      <c r="X1668" s="152">
        <f t="shared" si="109"/>
        <v>0.17289999999999997</v>
      </c>
      <c r="Y1668" s="150">
        <f t="shared" si="104"/>
        <v>1.2214320000000001</v>
      </c>
      <c r="Z1668" s="152">
        <f t="shared" si="110"/>
        <v>2.6</v>
      </c>
      <c r="AA1668" s="150">
        <f t="shared" si="111"/>
        <v>2.6428999999999996</v>
      </c>
      <c r="AB1668" s="150"/>
      <c r="AC1668" s="154"/>
      <c r="AD1668" s="154"/>
      <c r="AE1668" s="154"/>
      <c r="AF1668" s="154"/>
    </row>
    <row r="1669" spans="1:32" x14ac:dyDescent="0.25">
      <c r="A1669" s="196">
        <v>763</v>
      </c>
      <c r="B1669" s="196" t="s">
        <v>8163</v>
      </c>
      <c r="C1669" s="196" t="s">
        <v>8164</v>
      </c>
      <c r="D1669" s="196" t="s">
        <v>1920</v>
      </c>
      <c r="F1669" s="196">
        <v>2000</v>
      </c>
      <c r="H1669" s="196" t="s">
        <v>1878</v>
      </c>
      <c r="I1669" s="184" t="s">
        <v>1914</v>
      </c>
      <c r="J1669" s="52" t="s">
        <v>3854</v>
      </c>
      <c r="K1669" s="196" t="s">
        <v>1881</v>
      </c>
      <c r="L1669" s="184" t="s">
        <v>8165</v>
      </c>
      <c r="M1669" s="196">
        <v>480</v>
      </c>
      <c r="O1669" s="196" t="s">
        <v>6666</v>
      </c>
      <c r="P1669" s="17">
        <v>407</v>
      </c>
      <c r="Q1669" s="175">
        <f t="shared" si="107"/>
        <v>1.7</v>
      </c>
      <c r="R1669" s="175">
        <f t="shared" si="105"/>
        <v>2.9</v>
      </c>
      <c r="S1669" s="199">
        <f>1.5+1.4</f>
        <v>2.9</v>
      </c>
      <c r="T1669" s="149">
        <v>0.13</v>
      </c>
      <c r="U1669" s="149" t="str">
        <f t="shared" si="108"/>
        <v>1,20</v>
      </c>
      <c r="V1669" s="149">
        <f t="shared" si="106"/>
        <v>0.33999999999999997</v>
      </c>
      <c r="W1669" s="149">
        <v>0.3</v>
      </c>
      <c r="X1669" s="152">
        <f t="shared" si="109"/>
        <v>0.13789999999999999</v>
      </c>
      <c r="Y1669" s="150">
        <f t="shared" si="104"/>
        <v>1.242</v>
      </c>
      <c r="Z1669" s="152">
        <f t="shared" si="110"/>
        <v>2.9</v>
      </c>
      <c r="AA1669" s="150">
        <f t="shared" si="111"/>
        <v>2.1078999999999999</v>
      </c>
      <c r="AB1669" s="150"/>
      <c r="AC1669" s="154"/>
      <c r="AD1669" s="154"/>
      <c r="AE1669" s="154"/>
      <c r="AF1669" s="154"/>
    </row>
    <row r="1670" spans="1:32" x14ac:dyDescent="0.25">
      <c r="A1670" s="196">
        <v>1927</v>
      </c>
      <c r="B1670" s="196" t="s">
        <v>8166</v>
      </c>
      <c r="C1670" s="196" t="s">
        <v>8167</v>
      </c>
      <c r="D1670" s="196" t="s">
        <v>2309</v>
      </c>
      <c r="F1670" s="196">
        <v>2001</v>
      </c>
      <c r="H1670" s="196" t="s">
        <v>1878</v>
      </c>
      <c r="I1670" s="184" t="s">
        <v>1914</v>
      </c>
      <c r="J1670" s="52" t="s">
        <v>3854</v>
      </c>
      <c r="K1670" s="196" t="s">
        <v>1881</v>
      </c>
      <c r="L1670" s="184" t="s">
        <v>8168</v>
      </c>
      <c r="M1670" s="196">
        <v>240</v>
      </c>
      <c r="O1670" s="196" t="s">
        <v>6667</v>
      </c>
      <c r="P1670" s="17">
        <v>162</v>
      </c>
      <c r="Q1670" s="175">
        <f t="shared" si="107"/>
        <v>1.5000000000000002</v>
      </c>
      <c r="R1670" s="175">
        <f t="shared" si="105"/>
        <v>2.7</v>
      </c>
      <c r="S1670" s="199">
        <f>1.3+1.4</f>
        <v>2.7</v>
      </c>
      <c r="T1670" s="149">
        <v>0.13</v>
      </c>
      <c r="U1670" s="149" t="str">
        <f t="shared" si="108"/>
        <v>1,20</v>
      </c>
      <c r="V1670" s="149">
        <f t="shared" si="106"/>
        <v>0.33999999999999997</v>
      </c>
      <c r="W1670" s="149">
        <v>0.15</v>
      </c>
      <c r="X1670" s="152">
        <f t="shared" si="109"/>
        <v>0.12739999999999999</v>
      </c>
      <c r="Y1670" s="150">
        <f t="shared" si="104"/>
        <v>1.226</v>
      </c>
      <c r="Z1670" s="152">
        <f t="shared" si="110"/>
        <v>2.7</v>
      </c>
      <c r="AA1670" s="150">
        <f t="shared" si="111"/>
        <v>1.9473999999999998</v>
      </c>
      <c r="AB1670" s="150"/>
      <c r="AC1670" s="154"/>
      <c r="AD1670" s="154"/>
      <c r="AE1670" s="154"/>
      <c r="AF1670" s="154"/>
    </row>
    <row r="1671" spans="1:32" x14ac:dyDescent="0.25">
      <c r="A1671" s="196">
        <v>8</v>
      </c>
      <c r="B1671" s="196" t="s">
        <v>8169</v>
      </c>
      <c r="C1671" s="196" t="s">
        <v>8170</v>
      </c>
      <c r="D1671" s="196" t="s">
        <v>2609</v>
      </c>
      <c r="F1671" s="196">
        <v>1981</v>
      </c>
      <c r="H1671" s="196" t="s">
        <v>1878</v>
      </c>
      <c r="I1671" s="184" t="s">
        <v>1914</v>
      </c>
      <c r="J1671" s="52" t="s">
        <v>3854</v>
      </c>
      <c r="K1671" s="196" t="s">
        <v>1881</v>
      </c>
      <c r="L1671" s="184" t="s">
        <v>8171</v>
      </c>
      <c r="M1671" s="196">
        <v>224</v>
      </c>
      <c r="O1671" s="196" t="s">
        <v>6668</v>
      </c>
      <c r="P1671" s="17">
        <v>179</v>
      </c>
      <c r="Q1671" s="175">
        <f t="shared" si="107"/>
        <v>1.5999999999999999</v>
      </c>
      <c r="R1671" s="175">
        <f t="shared" si="105"/>
        <v>2.8</v>
      </c>
      <c r="S1671" s="199">
        <f>1.3+1.5</f>
        <v>2.8</v>
      </c>
      <c r="T1671" s="149">
        <v>0.13</v>
      </c>
      <c r="U1671" s="149" t="str">
        <f t="shared" si="108"/>
        <v>1,20</v>
      </c>
      <c r="V1671" s="149">
        <f t="shared" si="106"/>
        <v>0.33999999999999997</v>
      </c>
      <c r="W1671" s="149">
        <v>0.2</v>
      </c>
      <c r="X1671" s="152">
        <f t="shared" si="109"/>
        <v>0.13089999999999999</v>
      </c>
      <c r="Y1671" s="150">
        <f t="shared" si="104"/>
        <v>1.234</v>
      </c>
      <c r="Z1671" s="152">
        <f t="shared" si="110"/>
        <v>2.8</v>
      </c>
      <c r="AA1671" s="150">
        <f t="shared" si="111"/>
        <v>2.0008999999999997</v>
      </c>
      <c r="AB1671" s="150"/>
      <c r="AC1671" s="154"/>
      <c r="AD1671" s="154"/>
      <c r="AE1671" s="154"/>
      <c r="AF1671" s="154"/>
    </row>
    <row r="1672" spans="1:32" x14ac:dyDescent="0.25">
      <c r="A1672" s="196">
        <v>765</v>
      </c>
      <c r="B1672" s="196" t="s">
        <v>8172</v>
      </c>
      <c r="C1672" s="196" t="s">
        <v>8173</v>
      </c>
      <c r="D1672" s="196" t="s">
        <v>1912</v>
      </c>
      <c r="F1672" s="196">
        <v>1991</v>
      </c>
      <c r="H1672" s="196" t="s">
        <v>1878</v>
      </c>
      <c r="I1672" s="184" t="s">
        <v>1914</v>
      </c>
      <c r="K1672" s="196" t="s">
        <v>1881</v>
      </c>
      <c r="L1672" s="184" t="s">
        <v>8174</v>
      </c>
      <c r="M1672" s="196">
        <v>224</v>
      </c>
      <c r="O1672" s="196" t="s">
        <v>6669</v>
      </c>
      <c r="P1672" s="17">
        <v>232</v>
      </c>
      <c r="Q1672" s="175">
        <f t="shared" si="107"/>
        <v>2.3999999999999995</v>
      </c>
      <c r="R1672" s="175">
        <f t="shared" si="105"/>
        <v>3.5999999999999996</v>
      </c>
      <c r="S1672" s="199">
        <f>1.9+1.7</f>
        <v>3.5999999999999996</v>
      </c>
      <c r="T1672" s="149">
        <v>0.13</v>
      </c>
      <c r="U1672" s="149" t="str">
        <f t="shared" si="108"/>
        <v>1,20</v>
      </c>
      <c r="V1672" s="149">
        <f t="shared" si="106"/>
        <v>0.33999999999999997</v>
      </c>
      <c r="W1672" s="149">
        <v>0.99</v>
      </c>
      <c r="X1672" s="152">
        <f t="shared" si="109"/>
        <v>0.1862</v>
      </c>
      <c r="Y1672" s="150">
        <f t="shared" si="104"/>
        <v>1.298</v>
      </c>
      <c r="Z1672" s="152">
        <f t="shared" si="110"/>
        <v>3.5999999999999996</v>
      </c>
      <c r="AA1672" s="150">
        <f t="shared" si="111"/>
        <v>2.8462000000000001</v>
      </c>
      <c r="AB1672" s="150"/>
      <c r="AC1672" s="154"/>
      <c r="AD1672" s="154"/>
      <c r="AE1672" s="154"/>
      <c r="AF1672" s="154"/>
    </row>
    <row r="1673" spans="1:32" x14ac:dyDescent="0.25">
      <c r="A1673" s="196">
        <v>2551</v>
      </c>
      <c r="B1673" s="196" t="s">
        <v>8175</v>
      </c>
      <c r="C1673" s="196" t="s">
        <v>8176</v>
      </c>
      <c r="D1673" s="196" t="s">
        <v>2209</v>
      </c>
      <c r="F1673" s="196">
        <v>2010</v>
      </c>
      <c r="H1673" s="196" t="s">
        <v>1878</v>
      </c>
      <c r="I1673" s="184" t="s">
        <v>7527</v>
      </c>
      <c r="K1673" s="196" t="s">
        <v>1881</v>
      </c>
      <c r="L1673" s="184" t="s">
        <v>8177</v>
      </c>
      <c r="M1673" s="196">
        <v>304</v>
      </c>
      <c r="O1673" s="196" t="s">
        <v>6670</v>
      </c>
      <c r="P1673" s="17">
        <v>185</v>
      </c>
      <c r="Q1673" s="175">
        <f t="shared" si="107"/>
        <v>0.85439999999999983</v>
      </c>
      <c r="R1673" s="175">
        <f t="shared" si="105"/>
        <v>2.0543999999999998</v>
      </c>
      <c r="S1673" s="199">
        <f>0.25+1.45</f>
        <v>1.7</v>
      </c>
      <c r="T1673" s="149">
        <v>0.13</v>
      </c>
      <c r="U1673" s="149" t="str">
        <f t="shared" si="108"/>
        <v>1,20</v>
      </c>
      <c r="V1673" s="149">
        <f t="shared" si="106"/>
        <v>0.33999999999999997</v>
      </c>
      <c r="W1673" s="149">
        <v>0.25</v>
      </c>
      <c r="X1673" s="152">
        <f t="shared" si="109"/>
        <v>0.13439999999999999</v>
      </c>
      <c r="Y1673" s="150">
        <f t="shared" si="104"/>
        <v>1.1743520000000001</v>
      </c>
      <c r="Z1673" s="152">
        <f t="shared" si="110"/>
        <v>1.7</v>
      </c>
      <c r="AA1673" s="150">
        <f t="shared" si="111"/>
        <v>2.0543999999999998</v>
      </c>
      <c r="AB1673" s="150"/>
      <c r="AC1673" s="154"/>
      <c r="AD1673" s="154"/>
      <c r="AE1673" s="154"/>
      <c r="AF1673" s="154"/>
    </row>
    <row r="1674" spans="1:32" x14ac:dyDescent="0.25">
      <c r="A1674" s="196">
        <v>2522</v>
      </c>
      <c r="B1674" s="196" t="s">
        <v>6431</v>
      </c>
      <c r="C1674" s="196" t="s">
        <v>8178</v>
      </c>
      <c r="D1674" s="196" t="s">
        <v>1912</v>
      </c>
      <c r="F1674" s="196">
        <v>2003</v>
      </c>
      <c r="H1674" s="196" t="s">
        <v>1878</v>
      </c>
      <c r="I1674" s="184" t="s">
        <v>1879</v>
      </c>
      <c r="J1674" s="52" t="s">
        <v>3854</v>
      </c>
      <c r="K1674" s="196" t="s">
        <v>1881</v>
      </c>
      <c r="L1674" s="184" t="s">
        <v>8179</v>
      </c>
      <c r="M1674" s="196">
        <v>416</v>
      </c>
      <c r="O1674" s="196" t="s">
        <v>6671</v>
      </c>
      <c r="P1674" s="17">
        <v>367</v>
      </c>
      <c r="Q1674" s="175">
        <f t="shared" si="107"/>
        <v>0.85439999999999983</v>
      </c>
      <c r="R1674" s="175">
        <f t="shared" si="105"/>
        <v>2.0543999999999998</v>
      </c>
      <c r="S1674" s="199">
        <f>0.5+1.4</f>
        <v>1.9</v>
      </c>
      <c r="T1674" s="149">
        <v>0.13</v>
      </c>
      <c r="U1674" s="149" t="str">
        <f t="shared" si="108"/>
        <v>1,20</v>
      </c>
      <c r="V1674" s="149">
        <f t="shared" si="106"/>
        <v>0.33999999999999997</v>
      </c>
      <c r="W1674" s="149">
        <v>0.25</v>
      </c>
      <c r="X1674" s="152">
        <f t="shared" si="109"/>
        <v>0.13439999999999999</v>
      </c>
      <c r="Y1674" s="150">
        <f t="shared" si="104"/>
        <v>1.1743520000000001</v>
      </c>
      <c r="Z1674" s="152">
        <f t="shared" si="110"/>
        <v>1.9</v>
      </c>
      <c r="AA1674" s="150">
        <f t="shared" si="111"/>
        <v>2.0543999999999998</v>
      </c>
      <c r="AB1674" s="150"/>
      <c r="AC1674" s="154"/>
      <c r="AD1674" s="154"/>
      <c r="AE1674" s="154"/>
      <c r="AF1674" s="154"/>
    </row>
    <row r="1675" spans="1:32" x14ac:dyDescent="0.25">
      <c r="A1675" s="196">
        <v>944</v>
      </c>
      <c r="B1675" s="196" t="s">
        <v>8180</v>
      </c>
      <c r="C1675" s="196" t="s">
        <v>8181</v>
      </c>
      <c r="D1675" s="196" t="s">
        <v>2309</v>
      </c>
      <c r="E1675" s="196" t="s">
        <v>1921</v>
      </c>
      <c r="F1675" s="196">
        <v>1999</v>
      </c>
      <c r="H1675" s="196" t="s">
        <v>1878</v>
      </c>
      <c r="I1675" s="184" t="s">
        <v>1879</v>
      </c>
      <c r="K1675" s="196" t="s">
        <v>1881</v>
      </c>
      <c r="L1675" s="184" t="s">
        <v>8182</v>
      </c>
      <c r="M1675" s="196">
        <v>168</v>
      </c>
      <c r="O1675" s="196" t="s">
        <v>6672</v>
      </c>
      <c r="P1675" s="17">
        <v>190</v>
      </c>
      <c r="Q1675" s="175">
        <f t="shared" si="107"/>
        <v>1.1218999999999999</v>
      </c>
      <c r="R1675" s="175">
        <f t="shared" si="105"/>
        <v>2.3218999999999999</v>
      </c>
      <c r="S1675" s="199">
        <f>0.63+1.69</f>
        <v>2.3199999999999998</v>
      </c>
      <c r="T1675" s="149">
        <v>0.13</v>
      </c>
      <c r="U1675" s="149" t="str">
        <f t="shared" si="108"/>
        <v>1,20</v>
      </c>
      <c r="V1675" s="149">
        <f t="shared" si="106"/>
        <v>0.33999999999999997</v>
      </c>
      <c r="W1675" s="149">
        <v>0.5</v>
      </c>
      <c r="X1675" s="152">
        <f t="shared" si="109"/>
        <v>0.15190000000000001</v>
      </c>
      <c r="Y1675" s="150">
        <f t="shared" si="104"/>
        <v>1.1957519999999999</v>
      </c>
      <c r="Z1675" s="152">
        <f t="shared" si="110"/>
        <v>2.3199999999999998</v>
      </c>
      <c r="AA1675" s="150">
        <f t="shared" si="111"/>
        <v>2.3218999999999999</v>
      </c>
      <c r="AB1675" s="150"/>
      <c r="AC1675" s="154"/>
      <c r="AD1675" s="154"/>
      <c r="AE1675" s="154"/>
      <c r="AF1675" s="154"/>
    </row>
    <row r="1676" spans="1:32" x14ac:dyDescent="0.25">
      <c r="A1676" s="196">
        <v>914</v>
      </c>
      <c r="B1676" s="196" t="s">
        <v>8183</v>
      </c>
      <c r="C1676" s="196" t="s">
        <v>8184</v>
      </c>
      <c r="D1676" s="196" t="s">
        <v>1920</v>
      </c>
      <c r="E1676" s="196" t="s">
        <v>1921</v>
      </c>
      <c r="F1676" s="196">
        <v>2004</v>
      </c>
      <c r="H1676" s="196" t="s">
        <v>1878</v>
      </c>
      <c r="I1676" s="184" t="s">
        <v>1879</v>
      </c>
      <c r="J1676" s="52" t="s">
        <v>3854</v>
      </c>
      <c r="K1676" s="196" t="s">
        <v>1881</v>
      </c>
      <c r="L1676" s="184" t="s">
        <v>8185</v>
      </c>
      <c r="M1676" s="196">
        <v>256</v>
      </c>
      <c r="O1676" s="196" t="s">
        <v>6673</v>
      </c>
      <c r="P1676" s="17">
        <v>251</v>
      </c>
      <c r="Q1676" s="175">
        <f t="shared" si="107"/>
        <v>1.4428999999999996</v>
      </c>
      <c r="R1676" s="175">
        <f t="shared" si="105"/>
        <v>2.6428999999999996</v>
      </c>
      <c r="S1676" s="199">
        <v>2.6</v>
      </c>
      <c r="T1676" s="149">
        <v>0.13</v>
      </c>
      <c r="U1676" s="149" t="str">
        <f t="shared" si="108"/>
        <v>1,20</v>
      </c>
      <c r="V1676" s="149">
        <f t="shared" si="106"/>
        <v>0.33999999999999997</v>
      </c>
      <c r="W1676" s="149">
        <v>0.8</v>
      </c>
      <c r="X1676" s="152">
        <f t="shared" si="109"/>
        <v>0.17289999999999997</v>
      </c>
      <c r="Y1676" s="150">
        <f t="shared" si="104"/>
        <v>1.2214320000000001</v>
      </c>
      <c r="Z1676" s="152">
        <f t="shared" si="110"/>
        <v>2.6</v>
      </c>
      <c r="AA1676" s="150">
        <f t="shared" si="111"/>
        <v>2.6428999999999996</v>
      </c>
      <c r="AB1676" s="150"/>
      <c r="AC1676" s="154"/>
      <c r="AD1676" s="154"/>
      <c r="AE1676" s="154"/>
      <c r="AF1676" s="154"/>
    </row>
    <row r="1677" spans="1:32" x14ac:dyDescent="0.25">
      <c r="A1677" s="196">
        <v>796</v>
      </c>
      <c r="B1677" s="196" t="s">
        <v>8186</v>
      </c>
      <c r="C1677" s="196" t="s">
        <v>8187</v>
      </c>
      <c r="D1677" s="196" t="s">
        <v>3646</v>
      </c>
      <c r="E1677" s="196" t="s">
        <v>3141</v>
      </c>
      <c r="F1677" s="196">
        <v>2006</v>
      </c>
      <c r="H1677" s="196" t="s">
        <v>1878</v>
      </c>
      <c r="I1677" s="184" t="s">
        <v>1879</v>
      </c>
      <c r="K1677" s="196" t="s">
        <v>1881</v>
      </c>
      <c r="L1677" s="184" t="s">
        <v>8188</v>
      </c>
      <c r="M1677" s="196">
        <v>304</v>
      </c>
      <c r="O1677" s="196" t="s">
        <v>6674</v>
      </c>
      <c r="P1677" s="17">
        <v>276</v>
      </c>
      <c r="Q1677" s="175">
        <f t="shared" si="107"/>
        <v>1.1218999999999999</v>
      </c>
      <c r="R1677" s="175">
        <f t="shared" si="105"/>
        <v>2.3218999999999999</v>
      </c>
      <c r="S1677" s="199">
        <v>2.2999999999999998</v>
      </c>
      <c r="T1677" s="149">
        <v>0.13</v>
      </c>
      <c r="U1677" s="149" t="str">
        <f t="shared" si="108"/>
        <v>1,20</v>
      </c>
      <c r="V1677" s="149">
        <f t="shared" si="106"/>
        <v>0.33999999999999997</v>
      </c>
      <c r="W1677" s="149">
        <v>0.5</v>
      </c>
      <c r="X1677" s="152">
        <f t="shared" si="109"/>
        <v>0.15190000000000001</v>
      </c>
      <c r="Y1677" s="150">
        <f t="shared" si="104"/>
        <v>1.1957519999999999</v>
      </c>
      <c r="Z1677" s="152">
        <f t="shared" si="110"/>
        <v>2.2999999999999998</v>
      </c>
      <c r="AA1677" s="150">
        <f t="shared" si="111"/>
        <v>2.3218999999999999</v>
      </c>
      <c r="AB1677" s="150"/>
      <c r="AC1677" s="154"/>
      <c r="AD1677" s="154"/>
      <c r="AE1677" s="154"/>
      <c r="AF1677" s="154"/>
    </row>
    <row r="1678" spans="1:32" x14ac:dyDescent="0.25">
      <c r="A1678" s="196">
        <v>692</v>
      </c>
      <c r="B1678" s="196" t="s">
        <v>7761</v>
      </c>
      <c r="C1678" s="196" t="s">
        <v>7762</v>
      </c>
      <c r="D1678" s="196" t="s">
        <v>2309</v>
      </c>
      <c r="E1678" s="196" t="s">
        <v>2157</v>
      </c>
      <c r="F1678" s="196">
        <v>2010</v>
      </c>
      <c r="H1678" s="196" t="s">
        <v>1878</v>
      </c>
      <c r="I1678" s="184" t="s">
        <v>1914</v>
      </c>
      <c r="K1678" s="196" t="s">
        <v>1881</v>
      </c>
      <c r="L1678" s="184" t="s">
        <v>7763</v>
      </c>
      <c r="M1678" s="196">
        <v>224</v>
      </c>
      <c r="O1678" s="196" t="s">
        <v>6675</v>
      </c>
      <c r="P1678" s="17">
        <v>243</v>
      </c>
      <c r="Q1678" s="175">
        <f t="shared" si="107"/>
        <v>0.85439999999999983</v>
      </c>
      <c r="R1678" s="175">
        <f t="shared" si="105"/>
        <v>2.0543999999999998</v>
      </c>
      <c r="S1678" s="199">
        <v>1.65</v>
      </c>
      <c r="T1678" s="149">
        <v>0.13</v>
      </c>
      <c r="U1678" s="149" t="str">
        <f t="shared" si="108"/>
        <v>1,20</v>
      </c>
      <c r="V1678" s="149">
        <f t="shared" si="106"/>
        <v>0.33999999999999997</v>
      </c>
      <c r="W1678" s="149">
        <v>0.25</v>
      </c>
      <c r="X1678" s="152">
        <f t="shared" si="109"/>
        <v>0.13439999999999999</v>
      </c>
      <c r="Y1678" s="150">
        <f t="shared" si="104"/>
        <v>1.1743520000000001</v>
      </c>
      <c r="Z1678" s="152">
        <f t="shared" si="110"/>
        <v>1.65</v>
      </c>
      <c r="AA1678" s="150">
        <f t="shared" si="111"/>
        <v>2.0543999999999998</v>
      </c>
      <c r="AB1678" s="150"/>
      <c r="AC1678" s="154"/>
      <c r="AD1678" s="154"/>
      <c r="AE1678" s="154"/>
      <c r="AF1678" s="154"/>
    </row>
    <row r="1679" spans="1:32" x14ac:dyDescent="0.25">
      <c r="A1679" s="196">
        <v>692</v>
      </c>
      <c r="B1679" s="196" t="s">
        <v>8189</v>
      </c>
      <c r="C1679" s="196" t="s">
        <v>8190</v>
      </c>
      <c r="D1679" s="196" t="s">
        <v>1912</v>
      </c>
      <c r="F1679" s="196">
        <v>2001</v>
      </c>
      <c r="H1679" s="196" t="s">
        <v>1878</v>
      </c>
      <c r="I1679" s="184" t="s">
        <v>1879</v>
      </c>
      <c r="J1679" s="52" t="s">
        <v>3854</v>
      </c>
      <c r="K1679" s="196" t="s">
        <v>1881</v>
      </c>
      <c r="L1679" s="184" t="s">
        <v>8191</v>
      </c>
      <c r="M1679" s="196">
        <v>640</v>
      </c>
      <c r="O1679" s="196" t="s">
        <v>6676</v>
      </c>
      <c r="P1679" s="17">
        <v>419</v>
      </c>
      <c r="Q1679" s="175">
        <f t="shared" si="107"/>
        <v>0.85439999999999983</v>
      </c>
      <c r="R1679" s="175">
        <f t="shared" si="105"/>
        <v>2.0543999999999998</v>
      </c>
      <c r="S1679" s="199">
        <f>0.29+1.65</f>
        <v>1.94</v>
      </c>
      <c r="T1679" s="149">
        <v>0.13</v>
      </c>
      <c r="U1679" s="149" t="str">
        <f t="shared" si="108"/>
        <v>1,20</v>
      </c>
      <c r="V1679" s="149">
        <f t="shared" si="106"/>
        <v>0.33999999999999997</v>
      </c>
      <c r="W1679" s="149">
        <v>0.25</v>
      </c>
      <c r="X1679" s="152">
        <f t="shared" si="109"/>
        <v>0.13439999999999999</v>
      </c>
      <c r="Y1679" s="150">
        <f t="shared" si="104"/>
        <v>1.1743520000000001</v>
      </c>
      <c r="Z1679" s="152">
        <f t="shared" si="110"/>
        <v>1.94</v>
      </c>
      <c r="AA1679" s="150">
        <f t="shared" si="111"/>
        <v>2.0543999999999998</v>
      </c>
      <c r="AB1679" s="150"/>
      <c r="AC1679" s="154"/>
      <c r="AD1679" s="154"/>
      <c r="AE1679" s="154"/>
      <c r="AF1679" s="154"/>
    </row>
    <row r="1680" spans="1:32" x14ac:dyDescent="0.25">
      <c r="A1680" s="196">
        <v>613</v>
      </c>
      <c r="B1680" s="196" t="s">
        <v>8192</v>
      </c>
      <c r="C1680" s="196" t="s">
        <v>7338</v>
      </c>
      <c r="D1680" s="196" t="s">
        <v>2209</v>
      </c>
      <c r="F1680" s="196">
        <v>2003</v>
      </c>
      <c r="H1680" s="196" t="s">
        <v>1878</v>
      </c>
      <c r="I1680" s="184" t="s">
        <v>1879</v>
      </c>
      <c r="K1680" s="196" t="s">
        <v>1881</v>
      </c>
      <c r="L1680" s="184" t="s">
        <v>8193</v>
      </c>
      <c r="M1680" s="196">
        <v>336</v>
      </c>
      <c r="O1680" s="196" t="s">
        <v>6677</v>
      </c>
      <c r="P1680" s="17">
        <v>333</v>
      </c>
      <c r="Q1680" s="175">
        <f t="shared" si="107"/>
        <v>0.85439999999999983</v>
      </c>
      <c r="R1680" s="175">
        <f t="shared" si="105"/>
        <v>2.0543999999999998</v>
      </c>
      <c r="S1680" s="199">
        <v>1.7</v>
      </c>
      <c r="T1680" s="149">
        <v>0.13</v>
      </c>
      <c r="U1680" s="149" t="str">
        <f t="shared" si="108"/>
        <v>1,20</v>
      </c>
      <c r="V1680" s="149">
        <f t="shared" si="106"/>
        <v>0.33999999999999997</v>
      </c>
      <c r="W1680" s="149">
        <v>0.25</v>
      </c>
      <c r="X1680" s="152">
        <f t="shared" si="109"/>
        <v>0.13439999999999999</v>
      </c>
      <c r="Y1680" s="150">
        <f t="shared" si="104"/>
        <v>1.1743520000000001</v>
      </c>
      <c r="Z1680" s="152">
        <f t="shared" si="110"/>
        <v>1.7</v>
      </c>
      <c r="AA1680" s="150">
        <f t="shared" si="111"/>
        <v>2.0543999999999998</v>
      </c>
      <c r="AB1680" s="150"/>
      <c r="AC1680" s="154"/>
      <c r="AD1680" s="154"/>
      <c r="AE1680" s="154"/>
      <c r="AF1680" s="154"/>
    </row>
    <row r="1681" spans="1:32" x14ac:dyDescent="0.25">
      <c r="A1681" s="196">
        <v>2556</v>
      </c>
      <c r="B1681" s="196" t="s">
        <v>8194</v>
      </c>
      <c r="C1681" s="196" t="s">
        <v>8195</v>
      </c>
      <c r="D1681" s="196" t="s">
        <v>1912</v>
      </c>
      <c r="F1681" s="196">
        <v>2010</v>
      </c>
      <c r="H1681" s="196" t="s">
        <v>1878</v>
      </c>
      <c r="I1681" s="184" t="s">
        <v>1914</v>
      </c>
      <c r="K1681" s="196" t="s">
        <v>1881</v>
      </c>
      <c r="L1681" s="184" t="s">
        <v>4820</v>
      </c>
      <c r="M1681" s="196">
        <v>320</v>
      </c>
      <c r="O1681" s="196" t="s">
        <v>6678</v>
      </c>
      <c r="P1681" s="17">
        <v>191</v>
      </c>
      <c r="Q1681" s="175">
        <f t="shared" si="107"/>
        <v>0.85439999999999983</v>
      </c>
      <c r="R1681" s="175">
        <f t="shared" si="105"/>
        <v>2.0543999999999998</v>
      </c>
      <c r="S1681" s="199">
        <v>1.55</v>
      </c>
      <c r="T1681" s="149">
        <v>0.13</v>
      </c>
      <c r="U1681" s="149" t="str">
        <f t="shared" si="108"/>
        <v>1,20</v>
      </c>
      <c r="V1681" s="149">
        <f t="shared" si="106"/>
        <v>0.33999999999999997</v>
      </c>
      <c r="W1681" s="149">
        <v>0.25</v>
      </c>
      <c r="X1681" s="152">
        <f t="shared" si="109"/>
        <v>0.13439999999999999</v>
      </c>
      <c r="Y1681" s="150">
        <f t="shared" si="104"/>
        <v>1.1743520000000001</v>
      </c>
      <c r="Z1681" s="152">
        <f t="shared" si="110"/>
        <v>1.55</v>
      </c>
      <c r="AA1681" s="150">
        <f t="shared" si="111"/>
        <v>2.0543999999999998</v>
      </c>
      <c r="AB1681" s="150"/>
      <c r="AC1681" s="154"/>
      <c r="AD1681" s="154"/>
      <c r="AE1681" s="154"/>
      <c r="AF1681" s="154"/>
    </row>
    <row r="1682" spans="1:32" x14ac:dyDescent="0.25">
      <c r="A1682" s="196">
        <v>2547</v>
      </c>
      <c r="B1682" s="196" t="s">
        <v>8196</v>
      </c>
      <c r="C1682" s="196" t="s">
        <v>8197</v>
      </c>
      <c r="D1682" s="196" t="s">
        <v>2257</v>
      </c>
      <c r="F1682" s="196">
        <v>2002</v>
      </c>
      <c r="H1682" s="196" t="s">
        <v>1878</v>
      </c>
      <c r="I1682" s="184" t="s">
        <v>1914</v>
      </c>
      <c r="J1682" s="52" t="s">
        <v>3854</v>
      </c>
      <c r="K1682" s="196" t="s">
        <v>1881</v>
      </c>
      <c r="L1682" s="184" t="s">
        <v>8198</v>
      </c>
      <c r="M1682" s="196">
        <v>352</v>
      </c>
      <c r="O1682" s="196" t="s">
        <v>6679</v>
      </c>
      <c r="P1682" s="17">
        <v>193</v>
      </c>
      <c r="Q1682" s="175">
        <f t="shared" si="107"/>
        <v>0.85439999999999983</v>
      </c>
      <c r="R1682" s="175">
        <f t="shared" si="105"/>
        <v>2.0543999999999998</v>
      </c>
      <c r="S1682" s="199">
        <v>1.94</v>
      </c>
      <c r="T1682" s="149">
        <v>0.13</v>
      </c>
      <c r="U1682" s="149" t="str">
        <f t="shared" si="108"/>
        <v>1,20</v>
      </c>
      <c r="V1682" s="149">
        <f t="shared" si="106"/>
        <v>0.33999999999999997</v>
      </c>
      <c r="W1682" s="149">
        <v>0.25</v>
      </c>
      <c r="X1682" s="152">
        <f t="shared" si="109"/>
        <v>0.13439999999999999</v>
      </c>
      <c r="Y1682" s="150">
        <f t="shared" si="104"/>
        <v>1.1743520000000001</v>
      </c>
      <c r="Z1682" s="152">
        <f t="shared" si="110"/>
        <v>1.94</v>
      </c>
      <c r="AA1682" s="150">
        <f t="shared" si="111"/>
        <v>2.0543999999999998</v>
      </c>
      <c r="AB1682" s="150"/>
      <c r="AC1682" s="154"/>
      <c r="AD1682" s="154"/>
      <c r="AE1682" s="154"/>
      <c r="AF1682" s="154"/>
    </row>
    <row r="1683" spans="1:32" x14ac:dyDescent="0.25">
      <c r="A1683" s="41">
        <v>1325</v>
      </c>
      <c r="B1683" s="196" t="s">
        <v>8199</v>
      </c>
      <c r="C1683" s="196" t="s">
        <v>8200</v>
      </c>
      <c r="D1683" s="196" t="s">
        <v>2609</v>
      </c>
      <c r="E1683" s="196" t="s">
        <v>2175</v>
      </c>
      <c r="F1683" s="196">
        <v>2000</v>
      </c>
      <c r="H1683" s="196" t="s">
        <v>1878</v>
      </c>
      <c r="I1683" s="184" t="s">
        <v>1914</v>
      </c>
      <c r="K1683" s="196" t="s">
        <v>1881</v>
      </c>
      <c r="L1683" s="184" t="s">
        <v>8201</v>
      </c>
      <c r="M1683" s="196">
        <v>192</v>
      </c>
      <c r="O1683" s="196" t="s">
        <v>6680</v>
      </c>
      <c r="P1683" s="17">
        <v>122</v>
      </c>
      <c r="Q1683" s="175">
        <f t="shared" si="107"/>
        <v>0.85439999999999983</v>
      </c>
      <c r="R1683" s="175">
        <f t="shared" si="105"/>
        <v>2.0543999999999998</v>
      </c>
      <c r="S1683" s="199">
        <v>1.9</v>
      </c>
      <c r="T1683" s="149">
        <v>0.13</v>
      </c>
      <c r="U1683" s="149" t="str">
        <f t="shared" si="108"/>
        <v>1,20</v>
      </c>
      <c r="V1683" s="149">
        <f t="shared" si="106"/>
        <v>0.33999999999999997</v>
      </c>
      <c r="W1683" s="149">
        <v>0.25</v>
      </c>
      <c r="X1683" s="152">
        <f t="shared" si="109"/>
        <v>0.13439999999999999</v>
      </c>
      <c r="Y1683" s="150">
        <f t="shared" si="104"/>
        <v>1.1743520000000001</v>
      </c>
      <c r="Z1683" s="152">
        <f t="shared" si="110"/>
        <v>1.9</v>
      </c>
      <c r="AA1683" s="150">
        <f t="shared" si="111"/>
        <v>2.0543999999999998</v>
      </c>
      <c r="AB1683" s="150"/>
      <c r="AC1683" s="154"/>
      <c r="AD1683" s="154"/>
      <c r="AE1683" s="154"/>
      <c r="AF1683" s="154"/>
    </row>
    <row r="1684" spans="1:32" x14ac:dyDescent="0.25">
      <c r="A1684" s="196">
        <v>692</v>
      </c>
      <c r="B1684" s="196" t="s">
        <v>8202</v>
      </c>
      <c r="C1684" s="196" t="s">
        <v>8203</v>
      </c>
      <c r="D1684" s="196" t="s">
        <v>2257</v>
      </c>
      <c r="E1684" s="196" t="s">
        <v>1921</v>
      </c>
      <c r="F1684" s="196">
        <v>1999</v>
      </c>
      <c r="H1684" s="196" t="s">
        <v>1878</v>
      </c>
      <c r="I1684" s="184" t="s">
        <v>1914</v>
      </c>
      <c r="K1684" s="196" t="s">
        <v>1881</v>
      </c>
      <c r="L1684" s="184" t="s">
        <v>8204</v>
      </c>
      <c r="M1684" s="196">
        <v>416</v>
      </c>
      <c r="O1684" s="196" t="s">
        <v>6681</v>
      </c>
      <c r="P1684" s="17">
        <v>229</v>
      </c>
      <c r="Q1684" s="175">
        <f t="shared" si="107"/>
        <v>0.85439999999999983</v>
      </c>
      <c r="R1684" s="175">
        <f t="shared" si="105"/>
        <v>2.0543999999999998</v>
      </c>
      <c r="S1684" s="199">
        <v>1.6</v>
      </c>
      <c r="T1684" s="149">
        <v>0.13</v>
      </c>
      <c r="U1684" s="149" t="str">
        <f t="shared" si="108"/>
        <v>1,20</v>
      </c>
      <c r="V1684" s="149">
        <f t="shared" si="106"/>
        <v>0.33999999999999997</v>
      </c>
      <c r="W1684" s="149">
        <v>0.25</v>
      </c>
      <c r="X1684" s="152">
        <f t="shared" si="109"/>
        <v>0.13439999999999999</v>
      </c>
      <c r="Y1684" s="150">
        <f t="shared" si="104"/>
        <v>1.1743520000000001</v>
      </c>
      <c r="Z1684" s="152">
        <f t="shared" si="110"/>
        <v>1.6</v>
      </c>
      <c r="AA1684" s="150">
        <f t="shared" si="111"/>
        <v>2.0543999999999998</v>
      </c>
      <c r="AB1684" s="150"/>
      <c r="AC1684" s="154"/>
      <c r="AD1684" s="154"/>
      <c r="AE1684" s="154"/>
      <c r="AF1684" s="154"/>
    </row>
    <row r="1685" spans="1:32" x14ac:dyDescent="0.25">
      <c r="A1685" s="196">
        <v>1395</v>
      </c>
      <c r="B1685" s="196" t="s">
        <v>4802</v>
      </c>
      <c r="C1685" s="196" t="s">
        <v>8205</v>
      </c>
      <c r="D1685" s="196" t="s">
        <v>1920</v>
      </c>
      <c r="F1685" s="196">
        <v>2007</v>
      </c>
      <c r="H1685" s="196" t="s">
        <v>1878</v>
      </c>
      <c r="I1685" s="184" t="s">
        <v>1879</v>
      </c>
      <c r="K1685" s="196" t="s">
        <v>1881</v>
      </c>
      <c r="L1685" s="184" t="s">
        <v>8206</v>
      </c>
      <c r="M1685" s="196">
        <v>304</v>
      </c>
      <c r="O1685" s="196" t="s">
        <v>6682</v>
      </c>
      <c r="P1685" s="17">
        <v>270</v>
      </c>
      <c r="Q1685" s="175">
        <f t="shared" si="107"/>
        <v>0.85439999999999983</v>
      </c>
      <c r="R1685" s="175">
        <f t="shared" si="105"/>
        <v>2.0543999999999998</v>
      </c>
      <c r="S1685" s="199">
        <v>1.9</v>
      </c>
      <c r="T1685" s="149">
        <v>0.13</v>
      </c>
      <c r="U1685" s="149" t="str">
        <f t="shared" si="108"/>
        <v>1,20</v>
      </c>
      <c r="V1685" s="149">
        <f t="shared" si="106"/>
        <v>0.33999999999999997</v>
      </c>
      <c r="W1685" s="149">
        <v>0.25</v>
      </c>
      <c r="X1685" s="152">
        <f t="shared" si="109"/>
        <v>0.13439999999999999</v>
      </c>
      <c r="Y1685" s="150">
        <f t="shared" si="104"/>
        <v>1.1743520000000001</v>
      </c>
      <c r="Z1685" s="152">
        <f t="shared" si="110"/>
        <v>1.9</v>
      </c>
      <c r="AA1685" s="150">
        <f t="shared" si="111"/>
        <v>2.0543999999999998</v>
      </c>
      <c r="AB1685" s="150"/>
      <c r="AC1685" s="154"/>
      <c r="AD1685" s="154"/>
      <c r="AE1685" s="154"/>
      <c r="AF1685" s="154"/>
    </row>
    <row r="1686" spans="1:32" x14ac:dyDescent="0.25">
      <c r="A1686" s="196">
        <v>1231</v>
      </c>
      <c r="B1686" s="196" t="s">
        <v>8207</v>
      </c>
      <c r="C1686" s="196" t="s">
        <v>8208</v>
      </c>
      <c r="D1686" s="196" t="s">
        <v>2419</v>
      </c>
      <c r="F1686" s="196">
        <v>1998</v>
      </c>
      <c r="H1686" s="196" t="s">
        <v>2734</v>
      </c>
      <c r="I1686" s="184" t="s">
        <v>1879</v>
      </c>
      <c r="J1686" s="182" t="s">
        <v>4291</v>
      </c>
      <c r="K1686" s="196" t="s">
        <v>1881</v>
      </c>
      <c r="M1686" s="196">
        <v>386</v>
      </c>
      <c r="O1686" s="196" t="s">
        <v>6683</v>
      </c>
      <c r="P1686" s="17">
        <v>624</v>
      </c>
      <c r="Q1686" s="175">
        <f t="shared" si="107"/>
        <v>0.88939999999999997</v>
      </c>
      <c r="R1686" s="175">
        <f t="shared" si="105"/>
        <v>2.5893999999999999</v>
      </c>
      <c r="S1686" s="199">
        <v>2</v>
      </c>
      <c r="T1686" s="149">
        <v>0.13</v>
      </c>
      <c r="U1686" s="149" t="str">
        <f t="shared" si="108"/>
        <v>1,70</v>
      </c>
      <c r="V1686" s="149">
        <f t="shared" si="106"/>
        <v>0.33999999999999997</v>
      </c>
      <c r="W1686" s="149">
        <v>0.25</v>
      </c>
      <c r="X1686" s="152">
        <f t="shared" si="109"/>
        <v>0.1694</v>
      </c>
      <c r="Y1686" s="150">
        <f t="shared" si="104"/>
        <v>1.217152</v>
      </c>
      <c r="Z1686" s="152">
        <f t="shared" si="110"/>
        <v>2</v>
      </c>
      <c r="AA1686" s="150">
        <f t="shared" si="111"/>
        <v>2.5893999999999999</v>
      </c>
      <c r="AB1686" s="150"/>
      <c r="AC1686" s="154"/>
      <c r="AD1686" s="154"/>
      <c r="AE1686" s="154"/>
      <c r="AF1686" s="154"/>
    </row>
    <row r="1687" spans="1:32" x14ac:dyDescent="0.25">
      <c r="A1687" s="196">
        <v>1395</v>
      </c>
      <c r="B1687" s="196" t="s">
        <v>8209</v>
      </c>
      <c r="C1687" s="196" t="s">
        <v>8210</v>
      </c>
      <c r="D1687" s="196" t="s">
        <v>1988</v>
      </c>
      <c r="F1687" s="196">
        <v>2013</v>
      </c>
      <c r="H1687" s="196" t="s">
        <v>1878</v>
      </c>
      <c r="I1687" s="184" t="s">
        <v>7527</v>
      </c>
      <c r="K1687" s="196" t="s">
        <v>1881</v>
      </c>
      <c r="L1687" s="184" t="s">
        <v>8211</v>
      </c>
      <c r="M1687" s="196">
        <v>334</v>
      </c>
      <c r="O1687" s="196" t="s">
        <v>6684</v>
      </c>
      <c r="P1687" s="17">
        <v>250</v>
      </c>
      <c r="Q1687" s="175">
        <f t="shared" si="107"/>
        <v>0.85439999999999983</v>
      </c>
      <c r="R1687" s="175">
        <f t="shared" si="105"/>
        <v>2.0543999999999998</v>
      </c>
      <c r="S1687" s="199">
        <v>1.73</v>
      </c>
      <c r="T1687" s="149">
        <v>0.13</v>
      </c>
      <c r="U1687" s="149" t="str">
        <f t="shared" si="108"/>
        <v>1,20</v>
      </c>
      <c r="V1687" s="149">
        <f t="shared" si="106"/>
        <v>0.33999999999999997</v>
      </c>
      <c r="W1687" s="149">
        <v>0.25</v>
      </c>
      <c r="X1687" s="152">
        <f t="shared" si="109"/>
        <v>0.13439999999999999</v>
      </c>
      <c r="Y1687" s="150">
        <f t="shared" si="104"/>
        <v>1.1743520000000001</v>
      </c>
      <c r="Z1687" s="152">
        <f t="shared" si="110"/>
        <v>1.73</v>
      </c>
      <c r="AA1687" s="150">
        <f t="shared" si="111"/>
        <v>2.0543999999999998</v>
      </c>
      <c r="AB1687" s="150"/>
      <c r="AC1687" s="154"/>
      <c r="AD1687" s="154"/>
      <c r="AE1687" s="154"/>
      <c r="AF1687" s="154"/>
    </row>
    <row r="1688" spans="1:32" x14ac:dyDescent="0.25">
      <c r="A1688" s="196">
        <v>1396</v>
      </c>
      <c r="B1688" s="196" t="s">
        <v>8212</v>
      </c>
      <c r="C1688" s="196" t="s">
        <v>8213</v>
      </c>
      <c r="D1688" s="196" t="s">
        <v>1912</v>
      </c>
      <c r="E1688" s="196" t="s">
        <v>1921</v>
      </c>
      <c r="F1688" s="196">
        <v>2000</v>
      </c>
      <c r="H1688" s="196" t="s">
        <v>1878</v>
      </c>
      <c r="I1688" s="184" t="s">
        <v>7527</v>
      </c>
      <c r="J1688" s="52" t="s">
        <v>3854</v>
      </c>
      <c r="K1688" s="196" t="s">
        <v>1881</v>
      </c>
      <c r="L1688" s="184" t="s">
        <v>8214</v>
      </c>
      <c r="M1688" s="196">
        <v>320</v>
      </c>
      <c r="O1688" s="196" t="s">
        <v>6685</v>
      </c>
      <c r="P1688" s="17">
        <v>360</v>
      </c>
      <c r="Q1688" s="175">
        <f t="shared" si="107"/>
        <v>0.85439999999999983</v>
      </c>
      <c r="R1688" s="175">
        <f t="shared" si="105"/>
        <v>2.0543999999999998</v>
      </c>
      <c r="S1688" s="199">
        <v>1.9</v>
      </c>
      <c r="T1688" s="149">
        <v>0.13</v>
      </c>
      <c r="U1688" s="149" t="str">
        <f t="shared" si="108"/>
        <v>1,20</v>
      </c>
      <c r="V1688" s="149">
        <f t="shared" si="106"/>
        <v>0.33999999999999997</v>
      </c>
      <c r="W1688" s="149">
        <v>0.25</v>
      </c>
      <c r="X1688" s="152">
        <f t="shared" si="109"/>
        <v>0.13439999999999999</v>
      </c>
      <c r="Y1688" s="150">
        <f t="shared" si="104"/>
        <v>1.1743520000000001</v>
      </c>
      <c r="Z1688" s="152">
        <f t="shared" si="110"/>
        <v>1.9</v>
      </c>
      <c r="AA1688" s="150">
        <f t="shared" si="111"/>
        <v>2.0543999999999998</v>
      </c>
      <c r="AB1688" s="150"/>
      <c r="AC1688" s="154"/>
      <c r="AD1688" s="154"/>
      <c r="AE1688" s="154"/>
      <c r="AF1688" s="154"/>
    </row>
    <row r="1689" spans="1:32" x14ac:dyDescent="0.25">
      <c r="A1689" s="196">
        <v>1352</v>
      </c>
      <c r="B1689" s="196" t="s">
        <v>7806</v>
      </c>
      <c r="C1689" s="196" t="s">
        <v>7807</v>
      </c>
      <c r="D1689" s="196" t="s">
        <v>5005</v>
      </c>
      <c r="F1689" s="196">
        <v>2001</v>
      </c>
      <c r="H1689" s="196" t="s">
        <v>1878</v>
      </c>
      <c r="I1689" s="184" t="s">
        <v>7527</v>
      </c>
      <c r="K1689" s="196" t="s">
        <v>1881</v>
      </c>
      <c r="M1689" s="196">
        <v>352</v>
      </c>
      <c r="O1689" s="196" t="s">
        <v>6686</v>
      </c>
      <c r="P1689" s="17">
        <v>254</v>
      </c>
      <c r="Q1689" s="175">
        <f t="shared" si="107"/>
        <v>0.85439999999999983</v>
      </c>
      <c r="R1689" s="175">
        <f t="shared" si="105"/>
        <v>2.0543999999999998</v>
      </c>
      <c r="S1689" s="199">
        <v>1.55</v>
      </c>
      <c r="T1689" s="149">
        <v>0.13</v>
      </c>
      <c r="U1689" s="149" t="str">
        <f t="shared" si="108"/>
        <v>1,20</v>
      </c>
      <c r="V1689" s="149">
        <f t="shared" si="106"/>
        <v>0.33999999999999997</v>
      </c>
      <c r="W1689" s="149">
        <v>0.25</v>
      </c>
      <c r="X1689" s="152">
        <f t="shared" si="109"/>
        <v>0.13439999999999999</v>
      </c>
      <c r="Y1689" s="150">
        <f t="shared" si="104"/>
        <v>1.1743520000000001</v>
      </c>
      <c r="Z1689" s="152">
        <f t="shared" si="110"/>
        <v>1.55</v>
      </c>
      <c r="AA1689" s="150">
        <f t="shared" si="111"/>
        <v>2.0543999999999998</v>
      </c>
      <c r="AB1689" s="150"/>
      <c r="AC1689" s="154"/>
      <c r="AD1689" s="154"/>
      <c r="AE1689" s="154"/>
      <c r="AF1689" s="154"/>
    </row>
    <row r="1690" spans="1:32" x14ac:dyDescent="0.25">
      <c r="A1690" s="196">
        <v>692</v>
      </c>
      <c r="B1690" s="196" t="s">
        <v>8215</v>
      </c>
      <c r="C1690" s="196" t="s">
        <v>8216</v>
      </c>
      <c r="D1690" s="196" t="s">
        <v>1920</v>
      </c>
      <c r="F1690" s="196">
        <v>2004</v>
      </c>
      <c r="H1690" s="196" t="s">
        <v>1878</v>
      </c>
      <c r="I1690" s="184" t="s">
        <v>7527</v>
      </c>
      <c r="J1690" s="52" t="s">
        <v>3854</v>
      </c>
      <c r="K1690" s="196" t="s">
        <v>1881</v>
      </c>
      <c r="L1690" s="184" t="s">
        <v>8217</v>
      </c>
      <c r="M1690" s="196">
        <v>256</v>
      </c>
      <c r="O1690" s="196" t="s">
        <v>6687</v>
      </c>
      <c r="P1690" s="17">
        <v>249</v>
      </c>
      <c r="Q1690" s="175">
        <f t="shared" si="107"/>
        <v>0.96140000000000003</v>
      </c>
      <c r="R1690" s="175">
        <f t="shared" si="105"/>
        <v>2.1614</v>
      </c>
      <c r="S1690" s="199">
        <v>2.15</v>
      </c>
      <c r="T1690" s="149">
        <v>0.13</v>
      </c>
      <c r="U1690" s="149" t="str">
        <f t="shared" si="108"/>
        <v>1,20</v>
      </c>
      <c r="V1690" s="149">
        <f t="shared" si="106"/>
        <v>0.33999999999999997</v>
      </c>
      <c r="W1690" s="149">
        <v>0.35</v>
      </c>
      <c r="X1690" s="152">
        <f t="shared" si="109"/>
        <v>0.1414</v>
      </c>
      <c r="Y1690" s="150">
        <f t="shared" si="104"/>
        <v>1.182912</v>
      </c>
      <c r="Z1690" s="152">
        <f t="shared" si="110"/>
        <v>2.15</v>
      </c>
      <c r="AA1690" s="150">
        <f t="shared" si="111"/>
        <v>2.1614</v>
      </c>
      <c r="AB1690" s="150"/>
      <c r="AC1690" s="154"/>
      <c r="AD1690" s="154"/>
      <c r="AE1690" s="154"/>
      <c r="AF1690" s="154"/>
    </row>
    <row r="1691" spans="1:32" x14ac:dyDescent="0.25">
      <c r="A1691" s="196">
        <v>2551</v>
      </c>
      <c r="B1691" s="196" t="s">
        <v>8218</v>
      </c>
      <c r="C1691" s="196" t="s">
        <v>8219</v>
      </c>
      <c r="D1691" s="196" t="s">
        <v>2300</v>
      </c>
      <c r="E1691" s="196" t="s">
        <v>2157</v>
      </c>
      <c r="F1691" s="196">
        <v>2012</v>
      </c>
      <c r="H1691" s="196" t="s">
        <v>1878</v>
      </c>
      <c r="I1691" s="184" t="s">
        <v>1879</v>
      </c>
      <c r="K1691" s="196" t="s">
        <v>1881</v>
      </c>
      <c r="L1691" s="184" t="s">
        <v>8220</v>
      </c>
      <c r="M1691" s="196">
        <v>590</v>
      </c>
      <c r="O1691" s="196" t="s">
        <v>6688</v>
      </c>
      <c r="P1691" s="17">
        <v>718</v>
      </c>
      <c r="Q1691" s="175">
        <f t="shared" si="107"/>
        <v>0.88939999999999997</v>
      </c>
      <c r="R1691" s="175">
        <f t="shared" si="105"/>
        <v>2.5893999999999999</v>
      </c>
      <c r="S1691" s="199">
        <v>2.0499999999999998</v>
      </c>
      <c r="T1691" s="149">
        <v>0.13</v>
      </c>
      <c r="U1691" s="149" t="str">
        <f t="shared" si="108"/>
        <v>1,70</v>
      </c>
      <c r="V1691" s="149">
        <f t="shared" si="106"/>
        <v>0.33999999999999997</v>
      </c>
      <c r="W1691" s="149">
        <v>0.25</v>
      </c>
      <c r="X1691" s="152">
        <f t="shared" si="109"/>
        <v>0.1694</v>
      </c>
      <c r="Y1691" s="150">
        <f t="shared" si="104"/>
        <v>1.217152</v>
      </c>
      <c r="Z1691" s="152">
        <f t="shared" si="110"/>
        <v>2.0499999999999998</v>
      </c>
      <c r="AA1691" s="150">
        <f t="shared" si="111"/>
        <v>2.5893999999999999</v>
      </c>
      <c r="AB1691" s="150"/>
      <c r="AC1691" s="154"/>
      <c r="AD1691" s="154"/>
      <c r="AE1691" s="154"/>
      <c r="AF1691" s="154"/>
    </row>
    <row r="1692" spans="1:32" x14ac:dyDescent="0.25">
      <c r="A1692" s="196">
        <v>2518</v>
      </c>
      <c r="B1692" s="196" t="s">
        <v>3301</v>
      </c>
      <c r="C1692" s="196" t="s">
        <v>4655</v>
      </c>
      <c r="D1692" s="196" t="s">
        <v>2309</v>
      </c>
      <c r="E1692" s="196" t="s">
        <v>2518</v>
      </c>
      <c r="F1692" s="196">
        <v>2011</v>
      </c>
      <c r="H1692" s="196" t="s">
        <v>1878</v>
      </c>
      <c r="I1692" s="184" t="s">
        <v>1879</v>
      </c>
      <c r="K1692" s="196" t="s">
        <v>1881</v>
      </c>
      <c r="L1692" s="184" t="s">
        <v>8221</v>
      </c>
      <c r="M1692" s="196">
        <v>560</v>
      </c>
      <c r="O1692" s="196" t="s">
        <v>6689</v>
      </c>
      <c r="P1692" s="17">
        <v>598</v>
      </c>
      <c r="Q1692" s="175">
        <f t="shared" si="107"/>
        <v>1.1569</v>
      </c>
      <c r="R1692" s="175">
        <f t="shared" si="105"/>
        <v>2.8569</v>
      </c>
      <c r="S1692" s="199">
        <v>2.82</v>
      </c>
      <c r="T1692" s="149">
        <v>0.13</v>
      </c>
      <c r="U1692" s="149" t="str">
        <f t="shared" si="108"/>
        <v>1,70</v>
      </c>
      <c r="V1692" s="149">
        <f t="shared" si="106"/>
        <v>0.33999999999999997</v>
      </c>
      <c r="W1692" s="149">
        <v>0.5</v>
      </c>
      <c r="X1692" s="152">
        <f t="shared" si="109"/>
        <v>0.18689999999999998</v>
      </c>
      <c r="Y1692" s="150">
        <f t="shared" si="104"/>
        <v>1.2385520000000001</v>
      </c>
      <c r="Z1692" s="152">
        <f t="shared" si="110"/>
        <v>2.82</v>
      </c>
      <c r="AA1692" s="150">
        <f t="shared" si="111"/>
        <v>2.8569</v>
      </c>
      <c r="AB1692" s="150"/>
      <c r="AC1692" s="154"/>
      <c r="AD1692" s="154"/>
      <c r="AE1692" s="154"/>
      <c r="AF1692" s="154"/>
    </row>
    <row r="1693" spans="1:32" x14ac:dyDescent="0.25">
      <c r="A1693" s="196">
        <v>2522</v>
      </c>
      <c r="B1693" s="196" t="s">
        <v>8222</v>
      </c>
      <c r="C1693" s="196" t="s">
        <v>8223</v>
      </c>
      <c r="D1693" s="196" t="s">
        <v>1876</v>
      </c>
      <c r="F1693" s="196">
        <v>2011</v>
      </c>
      <c r="H1693" s="196" t="s">
        <v>1878</v>
      </c>
      <c r="I1693" s="184" t="s">
        <v>7817</v>
      </c>
      <c r="K1693" s="196" t="s">
        <v>1881</v>
      </c>
      <c r="L1693" s="184" t="s">
        <v>8224</v>
      </c>
      <c r="M1693" s="196">
        <v>384</v>
      </c>
      <c r="O1693" s="196" t="s">
        <v>6690</v>
      </c>
      <c r="P1693" s="17">
        <v>324</v>
      </c>
      <c r="Q1693" s="175">
        <f t="shared" si="107"/>
        <v>0.85439999999999983</v>
      </c>
      <c r="R1693" s="175">
        <f t="shared" si="105"/>
        <v>2.0543999999999998</v>
      </c>
      <c r="S1693" s="199">
        <v>1.65</v>
      </c>
      <c r="T1693" s="149">
        <v>0.13</v>
      </c>
      <c r="U1693" s="149" t="str">
        <f t="shared" si="108"/>
        <v>1,20</v>
      </c>
      <c r="V1693" s="149">
        <f t="shared" si="106"/>
        <v>0.33999999999999997</v>
      </c>
      <c r="W1693" s="149">
        <v>0.25</v>
      </c>
      <c r="X1693" s="152">
        <f t="shared" si="109"/>
        <v>0.13439999999999999</v>
      </c>
      <c r="Y1693" s="150">
        <f t="shared" si="104"/>
        <v>1.1743520000000001</v>
      </c>
      <c r="Z1693" s="152">
        <f t="shared" si="110"/>
        <v>1.65</v>
      </c>
      <c r="AA1693" s="150">
        <f t="shared" si="111"/>
        <v>2.0543999999999998</v>
      </c>
      <c r="AB1693" s="150"/>
      <c r="AC1693" s="154"/>
      <c r="AD1693" s="154"/>
      <c r="AE1693" s="154"/>
      <c r="AF1693" s="154"/>
    </row>
    <row r="1694" spans="1:32" x14ac:dyDescent="0.25">
      <c r="A1694" s="196">
        <v>2943</v>
      </c>
      <c r="B1694" s="196" t="s">
        <v>8225</v>
      </c>
      <c r="C1694" s="196" t="s">
        <v>8226</v>
      </c>
      <c r="D1694" s="196" t="s">
        <v>8227</v>
      </c>
      <c r="E1694" s="196" t="s">
        <v>1899</v>
      </c>
      <c r="F1694" s="196">
        <v>1981</v>
      </c>
      <c r="H1694" s="196" t="s">
        <v>1878</v>
      </c>
      <c r="I1694" s="184" t="s">
        <v>7527</v>
      </c>
      <c r="K1694" s="196" t="s">
        <v>1881</v>
      </c>
      <c r="L1694" s="184" t="s">
        <v>8228</v>
      </c>
      <c r="M1694" s="196">
        <v>162</v>
      </c>
      <c r="O1694" s="196" t="s">
        <v>6691</v>
      </c>
      <c r="P1694" s="17">
        <v>181</v>
      </c>
      <c r="Q1694" s="175">
        <f t="shared" si="107"/>
        <v>3.3500000000000005</v>
      </c>
      <c r="R1694" s="175">
        <f t="shared" si="105"/>
        <v>4.5500000000000007</v>
      </c>
      <c r="S1694" s="199">
        <f>2.95+1.6</f>
        <v>4.5500000000000007</v>
      </c>
      <c r="T1694" s="149">
        <v>0.13</v>
      </c>
      <c r="U1694" s="149" t="str">
        <f t="shared" si="108"/>
        <v>1,20</v>
      </c>
      <c r="V1694" s="149">
        <f t="shared" ref="V1694:V1723" si="112">0.08+0.09+0.17</f>
        <v>0.33999999999999997</v>
      </c>
      <c r="W1694" s="149">
        <v>1.8</v>
      </c>
      <c r="X1694" s="152">
        <f t="shared" si="109"/>
        <v>0.24289999999999995</v>
      </c>
      <c r="Y1694" s="150">
        <f t="shared" si="104"/>
        <v>1.3740000000000001</v>
      </c>
      <c r="Z1694" s="152">
        <f t="shared" si="110"/>
        <v>4.5500000000000007</v>
      </c>
      <c r="AA1694" s="150">
        <f t="shared" si="111"/>
        <v>3.7128999999999999</v>
      </c>
      <c r="AB1694" s="150"/>
      <c r="AC1694" s="154"/>
      <c r="AD1694" s="154"/>
      <c r="AE1694" s="154"/>
      <c r="AF1694" s="154"/>
    </row>
    <row r="1695" spans="1:32" x14ac:dyDescent="0.25">
      <c r="A1695" s="196">
        <v>1927</v>
      </c>
      <c r="B1695" s="196" t="s">
        <v>8229</v>
      </c>
      <c r="C1695" s="196" t="s">
        <v>8230</v>
      </c>
      <c r="D1695" s="196" t="s">
        <v>1912</v>
      </c>
      <c r="E1695" s="196" t="s">
        <v>1921</v>
      </c>
      <c r="F1695" s="196">
        <v>2006</v>
      </c>
      <c r="H1695" s="196" t="s">
        <v>1878</v>
      </c>
      <c r="I1695" s="184" t="s">
        <v>1879</v>
      </c>
      <c r="J1695" s="52" t="s">
        <v>3854</v>
      </c>
      <c r="K1695" s="196" t="s">
        <v>1881</v>
      </c>
      <c r="L1695" s="184" t="s">
        <v>8231</v>
      </c>
      <c r="M1695" s="196">
        <v>400</v>
      </c>
      <c r="O1695" s="196" t="s">
        <v>6692</v>
      </c>
      <c r="P1695" s="17">
        <v>382</v>
      </c>
      <c r="Q1695" s="175">
        <f t="shared" si="107"/>
        <v>1.89</v>
      </c>
      <c r="R1695" s="175">
        <f t="shared" si="105"/>
        <v>3.09</v>
      </c>
      <c r="S1695" s="199">
        <v>3.09</v>
      </c>
      <c r="T1695" s="149">
        <v>0.13</v>
      </c>
      <c r="U1695" s="149" t="str">
        <f t="shared" si="108"/>
        <v>1,20</v>
      </c>
      <c r="V1695" s="149">
        <f t="shared" si="112"/>
        <v>0.33999999999999997</v>
      </c>
      <c r="W1695" s="149">
        <v>0.5</v>
      </c>
      <c r="X1695" s="152">
        <f t="shared" si="109"/>
        <v>0.15190000000000001</v>
      </c>
      <c r="Y1695" s="150">
        <f t="shared" si="104"/>
        <v>1.2572000000000001</v>
      </c>
      <c r="Z1695" s="152">
        <f t="shared" si="110"/>
        <v>3.09</v>
      </c>
      <c r="AA1695" s="150">
        <f t="shared" si="111"/>
        <v>2.3218999999999999</v>
      </c>
      <c r="AB1695" s="150"/>
      <c r="AC1695" s="154"/>
      <c r="AD1695" s="154"/>
      <c r="AE1695" s="154"/>
      <c r="AF1695" s="154"/>
    </row>
    <row r="1696" spans="1:32" x14ac:dyDescent="0.25">
      <c r="A1696" s="196">
        <v>692</v>
      </c>
      <c r="B1696" s="196" t="s">
        <v>8232</v>
      </c>
      <c r="C1696" s="196" t="s">
        <v>8233</v>
      </c>
      <c r="D1696" s="196" t="s">
        <v>2232</v>
      </c>
      <c r="E1696" s="196" t="s">
        <v>1913</v>
      </c>
      <c r="F1696" s="196">
        <v>2003</v>
      </c>
      <c r="H1696" s="196" t="s">
        <v>1878</v>
      </c>
      <c r="I1696" s="184" t="s">
        <v>1879</v>
      </c>
      <c r="J1696" s="52" t="s">
        <v>3854</v>
      </c>
      <c r="K1696" s="196" t="s">
        <v>1881</v>
      </c>
      <c r="L1696" s="184" t="s">
        <v>8234</v>
      </c>
      <c r="M1696" s="196">
        <v>160</v>
      </c>
      <c r="O1696" s="196" t="s">
        <v>6693</v>
      </c>
      <c r="P1696" s="17">
        <v>183</v>
      </c>
      <c r="Q1696" s="175">
        <f t="shared" si="107"/>
        <v>0.69389999999999996</v>
      </c>
      <c r="R1696" s="175">
        <f t="shared" si="105"/>
        <v>1.8938999999999999</v>
      </c>
      <c r="S1696" s="199">
        <v>1.88</v>
      </c>
      <c r="T1696" s="149">
        <v>0.13</v>
      </c>
      <c r="U1696" s="149" t="str">
        <f t="shared" si="108"/>
        <v>1,20</v>
      </c>
      <c r="V1696" s="149">
        <f t="shared" si="112"/>
        <v>0.33999999999999997</v>
      </c>
      <c r="W1696" s="149">
        <v>0.1</v>
      </c>
      <c r="X1696" s="152">
        <f t="shared" si="109"/>
        <v>0.12390000000000001</v>
      </c>
      <c r="Y1696" s="150">
        <f t="shared" si="104"/>
        <v>1.1615120000000001</v>
      </c>
      <c r="Z1696" s="152">
        <f t="shared" si="110"/>
        <v>1.88</v>
      </c>
      <c r="AA1696" s="150">
        <f t="shared" si="111"/>
        <v>1.8938999999999999</v>
      </c>
      <c r="AB1696" s="150"/>
      <c r="AC1696" s="154"/>
      <c r="AD1696" s="154"/>
      <c r="AE1696" s="154"/>
      <c r="AF1696" s="154"/>
    </row>
    <row r="1697" spans="1:32" x14ac:dyDescent="0.25">
      <c r="A1697" s="196">
        <v>632</v>
      </c>
      <c r="B1697" s="196" t="s">
        <v>2252</v>
      </c>
      <c r="C1697" s="196" t="s">
        <v>2917</v>
      </c>
      <c r="D1697" s="196" t="s">
        <v>1912</v>
      </c>
      <c r="E1697" s="196" t="s">
        <v>2412</v>
      </c>
      <c r="F1697" s="196">
        <v>2003</v>
      </c>
      <c r="H1697" s="196" t="s">
        <v>1878</v>
      </c>
      <c r="I1697" s="184" t="s">
        <v>1914</v>
      </c>
      <c r="J1697" s="196" t="s">
        <v>4314</v>
      </c>
      <c r="K1697" s="196" t="s">
        <v>1881</v>
      </c>
      <c r="L1697" s="184" t="s">
        <v>2919</v>
      </c>
      <c r="M1697" s="196">
        <v>512</v>
      </c>
      <c r="O1697" s="196" t="s">
        <v>6694</v>
      </c>
      <c r="P1697" s="17">
        <v>394</v>
      </c>
      <c r="Q1697" s="175">
        <f t="shared" si="107"/>
        <v>0.85439999999999983</v>
      </c>
      <c r="R1697" s="175">
        <f t="shared" si="105"/>
        <v>2.0543999999999998</v>
      </c>
      <c r="S1697" s="199">
        <v>1.65</v>
      </c>
      <c r="T1697" s="149">
        <v>0.13</v>
      </c>
      <c r="U1697" s="149" t="str">
        <f t="shared" si="108"/>
        <v>1,20</v>
      </c>
      <c r="V1697" s="149">
        <f t="shared" si="112"/>
        <v>0.33999999999999997</v>
      </c>
      <c r="W1697" s="149">
        <v>0.25</v>
      </c>
      <c r="X1697" s="152">
        <f t="shared" si="109"/>
        <v>0.13439999999999999</v>
      </c>
      <c r="Y1697" s="150">
        <f t="shared" si="104"/>
        <v>1.1743520000000001</v>
      </c>
      <c r="Z1697" s="152">
        <f t="shared" si="110"/>
        <v>1.65</v>
      </c>
      <c r="AA1697" s="150">
        <f t="shared" si="111"/>
        <v>2.0543999999999998</v>
      </c>
      <c r="AB1697" s="150"/>
      <c r="AC1697" s="154"/>
      <c r="AD1697" s="154"/>
      <c r="AE1697" s="154"/>
      <c r="AF1697" s="154"/>
    </row>
    <row r="1698" spans="1:32" x14ac:dyDescent="0.25">
      <c r="A1698" s="196">
        <v>1395</v>
      </c>
      <c r="B1698" s="196" t="s">
        <v>8235</v>
      </c>
      <c r="C1698" s="196" t="s">
        <v>8236</v>
      </c>
      <c r="D1698" s="196" t="s">
        <v>4914</v>
      </c>
      <c r="F1698" s="196">
        <v>2002</v>
      </c>
      <c r="H1698" s="196" t="s">
        <v>2734</v>
      </c>
      <c r="I1698" s="184" t="s">
        <v>1879</v>
      </c>
      <c r="K1698" s="196" t="s">
        <v>1881</v>
      </c>
      <c r="L1698" s="184" t="s">
        <v>8237</v>
      </c>
      <c r="M1698" s="196">
        <v>178</v>
      </c>
      <c r="O1698" s="196" t="s">
        <v>6695</v>
      </c>
      <c r="P1698" s="17">
        <v>280</v>
      </c>
      <c r="Q1698" s="175">
        <f t="shared" si="107"/>
        <v>0.85439999999999983</v>
      </c>
      <c r="R1698" s="175">
        <f t="shared" si="105"/>
        <v>2.0543999999999998</v>
      </c>
      <c r="S1698" s="199">
        <v>2</v>
      </c>
      <c r="T1698" s="149">
        <v>0.13</v>
      </c>
      <c r="U1698" s="149" t="str">
        <f t="shared" si="108"/>
        <v>1,20</v>
      </c>
      <c r="V1698" s="149">
        <f t="shared" si="112"/>
        <v>0.33999999999999997</v>
      </c>
      <c r="W1698" s="149">
        <v>0.25</v>
      </c>
      <c r="X1698" s="152">
        <f t="shared" si="109"/>
        <v>0.13439999999999999</v>
      </c>
      <c r="Y1698" s="150">
        <f t="shared" si="104"/>
        <v>1.1743520000000001</v>
      </c>
      <c r="Z1698" s="152">
        <f t="shared" si="110"/>
        <v>2</v>
      </c>
      <c r="AA1698" s="150">
        <f t="shared" si="111"/>
        <v>2.0543999999999998</v>
      </c>
      <c r="AB1698" s="150"/>
      <c r="AC1698" s="154"/>
      <c r="AD1698" s="154"/>
      <c r="AE1698" s="154"/>
      <c r="AF1698" s="154"/>
    </row>
    <row r="1699" spans="1:32" x14ac:dyDescent="0.25">
      <c r="A1699" s="196">
        <v>692</v>
      </c>
      <c r="B1699" s="196" t="s">
        <v>8238</v>
      </c>
      <c r="C1699" s="196" t="s">
        <v>8239</v>
      </c>
      <c r="D1699" s="196" t="s">
        <v>2257</v>
      </c>
      <c r="E1699" s="196" t="s">
        <v>8240</v>
      </c>
      <c r="F1699" s="196">
        <v>1996</v>
      </c>
      <c r="H1699" s="196" t="s">
        <v>1878</v>
      </c>
      <c r="I1699" s="184" t="s">
        <v>1914</v>
      </c>
      <c r="K1699" s="196" t="s">
        <v>1881</v>
      </c>
      <c r="L1699" s="184" t="s">
        <v>8241</v>
      </c>
      <c r="M1699" s="196">
        <v>592</v>
      </c>
      <c r="O1699" s="196" t="s">
        <v>6696</v>
      </c>
      <c r="P1699" s="17">
        <v>323</v>
      </c>
      <c r="Q1699" s="175">
        <f t="shared" si="107"/>
        <v>0.85439999999999983</v>
      </c>
      <c r="R1699" s="175">
        <f t="shared" si="105"/>
        <v>2.0543999999999998</v>
      </c>
      <c r="S1699" s="199">
        <v>1.45</v>
      </c>
      <c r="T1699" s="149">
        <v>0.13</v>
      </c>
      <c r="U1699" s="149" t="str">
        <f t="shared" si="108"/>
        <v>1,20</v>
      </c>
      <c r="V1699" s="149">
        <f t="shared" si="112"/>
        <v>0.33999999999999997</v>
      </c>
      <c r="W1699" s="149">
        <v>0.25</v>
      </c>
      <c r="X1699" s="152">
        <f t="shared" si="109"/>
        <v>0.13439999999999999</v>
      </c>
      <c r="Y1699" s="150">
        <f t="shared" si="104"/>
        <v>1.1743520000000001</v>
      </c>
      <c r="Z1699" s="152">
        <f t="shared" si="110"/>
        <v>1.45</v>
      </c>
      <c r="AA1699" s="150">
        <f t="shared" si="111"/>
        <v>2.0543999999999998</v>
      </c>
      <c r="AB1699" s="150"/>
      <c r="AC1699" s="154"/>
      <c r="AD1699" s="154"/>
      <c r="AE1699" s="154"/>
      <c r="AF1699" s="154"/>
    </row>
    <row r="1700" spans="1:32" x14ac:dyDescent="0.25">
      <c r="A1700" s="196">
        <v>796</v>
      </c>
      <c r="B1700" s="196" t="s">
        <v>8242</v>
      </c>
      <c r="C1700" s="196" t="s">
        <v>8243</v>
      </c>
      <c r="D1700" s="196" t="s">
        <v>1988</v>
      </c>
      <c r="F1700" s="196">
        <v>1998</v>
      </c>
      <c r="H1700" s="196" t="s">
        <v>1878</v>
      </c>
      <c r="I1700" s="184" t="s">
        <v>1879</v>
      </c>
      <c r="K1700" s="196" t="s">
        <v>1881</v>
      </c>
      <c r="L1700" s="184" t="s">
        <v>8244</v>
      </c>
      <c r="M1700" s="196">
        <v>432</v>
      </c>
      <c r="O1700" s="196" t="s">
        <v>6697</v>
      </c>
      <c r="P1700" s="17">
        <v>256</v>
      </c>
      <c r="Q1700" s="175">
        <f t="shared" si="107"/>
        <v>0.85439999999999983</v>
      </c>
      <c r="R1700" s="175">
        <f t="shared" si="105"/>
        <v>2.0543999999999998</v>
      </c>
      <c r="S1700" s="199">
        <v>1.75</v>
      </c>
      <c r="T1700" s="149">
        <v>0.13</v>
      </c>
      <c r="U1700" s="149" t="str">
        <f t="shared" si="108"/>
        <v>1,20</v>
      </c>
      <c r="V1700" s="149">
        <f t="shared" si="112"/>
        <v>0.33999999999999997</v>
      </c>
      <c r="W1700" s="149">
        <v>0.25</v>
      </c>
      <c r="X1700" s="152">
        <f t="shared" si="109"/>
        <v>0.13439999999999999</v>
      </c>
      <c r="Y1700" s="150">
        <f t="shared" si="104"/>
        <v>1.1743520000000001</v>
      </c>
      <c r="Z1700" s="152">
        <f t="shared" si="110"/>
        <v>1.75</v>
      </c>
      <c r="AA1700" s="150">
        <f t="shared" si="111"/>
        <v>2.0543999999999998</v>
      </c>
      <c r="AB1700" s="150"/>
      <c r="AC1700" s="154"/>
      <c r="AD1700" s="154"/>
      <c r="AE1700" s="154"/>
      <c r="AF1700" s="154"/>
    </row>
    <row r="1701" spans="1:32" x14ac:dyDescent="0.25">
      <c r="A1701" s="196">
        <v>2522</v>
      </c>
      <c r="B1701" s="196" t="s">
        <v>8245</v>
      </c>
      <c r="C1701" s="196" t="s">
        <v>8246</v>
      </c>
      <c r="D1701" s="196" t="s">
        <v>1920</v>
      </c>
      <c r="F1701" s="196">
        <v>2003</v>
      </c>
      <c r="H1701" s="196" t="s">
        <v>1878</v>
      </c>
      <c r="I1701" s="184" t="s">
        <v>1914</v>
      </c>
      <c r="K1701" s="196" t="s">
        <v>1881</v>
      </c>
      <c r="L1701" s="184" t="s">
        <v>8247</v>
      </c>
      <c r="M1701" s="196">
        <v>640</v>
      </c>
      <c r="O1701" s="196" t="s">
        <v>6698</v>
      </c>
      <c r="P1701" s="17">
        <v>547</v>
      </c>
      <c r="Q1701" s="175">
        <f t="shared" si="107"/>
        <v>0.88939999999999997</v>
      </c>
      <c r="R1701" s="175">
        <f t="shared" si="105"/>
        <v>2.5893999999999999</v>
      </c>
      <c r="S1701" s="199">
        <v>1.99</v>
      </c>
      <c r="T1701" s="149">
        <v>0.13</v>
      </c>
      <c r="U1701" s="149" t="str">
        <f t="shared" si="108"/>
        <v>1,70</v>
      </c>
      <c r="V1701" s="149">
        <f t="shared" si="112"/>
        <v>0.33999999999999997</v>
      </c>
      <c r="W1701" s="149">
        <v>0.25</v>
      </c>
      <c r="X1701" s="152">
        <f t="shared" si="109"/>
        <v>0.1694</v>
      </c>
      <c r="Y1701" s="150">
        <f t="shared" si="104"/>
        <v>1.217152</v>
      </c>
      <c r="Z1701" s="152">
        <f t="shared" si="110"/>
        <v>1.99</v>
      </c>
      <c r="AA1701" s="150">
        <f t="shared" si="111"/>
        <v>2.5893999999999999</v>
      </c>
      <c r="AB1701" s="150"/>
      <c r="AC1701" s="154"/>
      <c r="AD1701" s="154"/>
      <c r="AE1701" s="154"/>
      <c r="AF1701" s="154"/>
    </row>
    <row r="1702" spans="1:32" x14ac:dyDescent="0.25">
      <c r="A1702" s="196">
        <v>1396</v>
      </c>
      <c r="B1702" s="196" t="s">
        <v>2456</v>
      </c>
      <c r="C1702" s="196" t="s">
        <v>8248</v>
      </c>
      <c r="D1702" s="196" t="s">
        <v>5005</v>
      </c>
      <c r="F1702" s="196">
        <v>1992</v>
      </c>
      <c r="H1702" s="196" t="s">
        <v>2734</v>
      </c>
      <c r="I1702" s="184" t="s">
        <v>1879</v>
      </c>
      <c r="K1702" s="196" t="s">
        <v>1881</v>
      </c>
      <c r="M1702" s="196">
        <v>546</v>
      </c>
      <c r="O1702" s="196" t="s">
        <v>6699</v>
      </c>
      <c r="P1702" s="17">
        <v>677</v>
      </c>
      <c r="Q1702" s="175">
        <f t="shared" si="107"/>
        <v>0.88939999999999997</v>
      </c>
      <c r="R1702" s="175">
        <f t="shared" si="105"/>
        <v>2.5893999999999999</v>
      </c>
      <c r="S1702" s="199">
        <v>2.16</v>
      </c>
      <c r="T1702" s="149">
        <v>0.13</v>
      </c>
      <c r="U1702" s="149" t="str">
        <f t="shared" si="108"/>
        <v>1,70</v>
      </c>
      <c r="V1702" s="149">
        <f t="shared" si="112"/>
        <v>0.33999999999999997</v>
      </c>
      <c r="W1702" s="149">
        <v>0.25</v>
      </c>
      <c r="X1702" s="152">
        <f t="shared" si="109"/>
        <v>0.1694</v>
      </c>
      <c r="Y1702" s="150">
        <f t="shared" si="104"/>
        <v>1.217152</v>
      </c>
      <c r="Z1702" s="152">
        <f t="shared" si="110"/>
        <v>2.16</v>
      </c>
      <c r="AA1702" s="150">
        <f t="shared" si="111"/>
        <v>2.5893999999999999</v>
      </c>
      <c r="AB1702" s="150"/>
      <c r="AC1702" s="154"/>
      <c r="AD1702" s="154"/>
      <c r="AE1702" s="154"/>
      <c r="AF1702" s="154"/>
    </row>
    <row r="1703" spans="1:32" x14ac:dyDescent="0.25">
      <c r="A1703" s="196">
        <v>2952</v>
      </c>
      <c r="B1703" s="196" t="s">
        <v>2242</v>
      </c>
      <c r="C1703" s="196" t="s">
        <v>2243</v>
      </c>
      <c r="D1703" s="196" t="s">
        <v>2609</v>
      </c>
      <c r="F1703" s="196">
        <v>1997</v>
      </c>
      <c r="H1703" s="196" t="s">
        <v>1878</v>
      </c>
      <c r="I1703" s="184" t="s">
        <v>1914</v>
      </c>
      <c r="K1703" s="196" t="s">
        <v>1881</v>
      </c>
      <c r="L1703" s="184" t="s">
        <v>8249</v>
      </c>
      <c r="M1703" s="196">
        <v>640</v>
      </c>
      <c r="O1703" s="196" t="s">
        <v>6700</v>
      </c>
      <c r="P1703" s="17">
        <v>369</v>
      </c>
      <c r="Q1703" s="175">
        <f t="shared" si="107"/>
        <v>0.85439999999999983</v>
      </c>
      <c r="R1703" s="175">
        <f t="shared" si="105"/>
        <v>2.0543999999999998</v>
      </c>
      <c r="S1703" s="199">
        <v>1.55</v>
      </c>
      <c r="T1703" s="149">
        <v>0.13</v>
      </c>
      <c r="U1703" s="149" t="str">
        <f t="shared" si="108"/>
        <v>1,20</v>
      </c>
      <c r="V1703" s="149">
        <f t="shared" si="112"/>
        <v>0.33999999999999997</v>
      </c>
      <c r="W1703" s="149">
        <v>0.25</v>
      </c>
      <c r="X1703" s="152">
        <f t="shared" si="109"/>
        <v>0.13439999999999999</v>
      </c>
      <c r="Y1703" s="150">
        <f t="shared" si="104"/>
        <v>1.1743520000000001</v>
      </c>
      <c r="Z1703" s="152">
        <f t="shared" si="110"/>
        <v>1.55</v>
      </c>
      <c r="AA1703" s="150">
        <f t="shared" si="111"/>
        <v>2.0543999999999998</v>
      </c>
      <c r="AB1703" s="150"/>
      <c r="AC1703" s="154"/>
      <c r="AD1703" s="154"/>
      <c r="AE1703" s="154"/>
      <c r="AF1703" s="154"/>
    </row>
    <row r="1704" spans="1:32" x14ac:dyDescent="0.25">
      <c r="A1704" s="196">
        <v>1231</v>
      </c>
      <c r="B1704" s="196" t="s">
        <v>8250</v>
      </c>
      <c r="C1704" s="196" t="s">
        <v>8251</v>
      </c>
      <c r="D1704" s="196" t="s">
        <v>8252</v>
      </c>
      <c r="F1704" s="196">
        <v>1986</v>
      </c>
      <c r="H1704" s="196" t="s">
        <v>1878</v>
      </c>
      <c r="I1704" s="184" t="s">
        <v>1914</v>
      </c>
      <c r="K1704" s="196" t="s">
        <v>1881</v>
      </c>
      <c r="L1704" s="184" t="s">
        <v>8253</v>
      </c>
      <c r="M1704" s="196">
        <v>220</v>
      </c>
      <c r="O1704" s="196" t="s">
        <v>6701</v>
      </c>
      <c r="P1704" s="17">
        <v>270</v>
      </c>
      <c r="Q1704" s="175">
        <f t="shared" si="107"/>
        <v>0.85439999999999983</v>
      </c>
      <c r="R1704" s="175">
        <f t="shared" si="105"/>
        <v>2.0543999999999998</v>
      </c>
      <c r="S1704" s="199">
        <v>1.7</v>
      </c>
      <c r="T1704" s="149">
        <v>0.13</v>
      </c>
      <c r="U1704" s="149" t="str">
        <f t="shared" si="108"/>
        <v>1,20</v>
      </c>
      <c r="V1704" s="149">
        <f t="shared" si="112"/>
        <v>0.33999999999999997</v>
      </c>
      <c r="W1704" s="149">
        <v>0.25</v>
      </c>
      <c r="X1704" s="152">
        <f t="shared" si="109"/>
        <v>0.13439999999999999</v>
      </c>
      <c r="Y1704" s="150">
        <f t="shared" si="104"/>
        <v>1.1743520000000001</v>
      </c>
      <c r="Z1704" s="152">
        <f t="shared" si="110"/>
        <v>1.7</v>
      </c>
      <c r="AA1704" s="150">
        <f t="shared" si="111"/>
        <v>2.0543999999999998</v>
      </c>
      <c r="AB1704" s="150"/>
      <c r="AC1704" s="154"/>
      <c r="AD1704" s="154"/>
      <c r="AE1704" s="154"/>
      <c r="AF1704" s="154"/>
    </row>
    <row r="1705" spans="1:32" x14ac:dyDescent="0.25">
      <c r="A1705" s="196">
        <v>632</v>
      </c>
      <c r="B1705" s="196" t="s">
        <v>7306</v>
      </c>
      <c r="C1705" s="196" t="s">
        <v>7307</v>
      </c>
      <c r="D1705" s="196" t="s">
        <v>2901</v>
      </c>
      <c r="F1705" s="196">
        <v>1957</v>
      </c>
      <c r="H1705" s="196" t="s">
        <v>2734</v>
      </c>
      <c r="I1705" s="184" t="s">
        <v>7527</v>
      </c>
      <c r="K1705" s="196" t="s">
        <v>1881</v>
      </c>
      <c r="M1705" s="196">
        <v>526</v>
      </c>
      <c r="O1705" s="196" t="s">
        <v>6702</v>
      </c>
      <c r="P1705" s="17">
        <v>565</v>
      </c>
      <c r="Q1705" s="175">
        <f t="shared" si="107"/>
        <v>0.88939999999999997</v>
      </c>
      <c r="R1705" s="175">
        <f t="shared" si="105"/>
        <v>2.5893999999999999</v>
      </c>
      <c r="S1705" s="199">
        <v>1.65</v>
      </c>
      <c r="T1705" s="149">
        <v>0.13</v>
      </c>
      <c r="U1705" s="149" t="str">
        <f t="shared" si="108"/>
        <v>1,70</v>
      </c>
      <c r="V1705" s="149">
        <f t="shared" si="112"/>
        <v>0.33999999999999997</v>
      </c>
      <c r="W1705" s="149">
        <v>0.25</v>
      </c>
      <c r="X1705" s="152">
        <f t="shared" si="109"/>
        <v>0.1694</v>
      </c>
      <c r="Y1705" s="150">
        <f t="shared" si="104"/>
        <v>1.217152</v>
      </c>
      <c r="Z1705" s="152">
        <f t="shared" si="110"/>
        <v>1.65</v>
      </c>
      <c r="AA1705" s="150">
        <f t="shared" si="111"/>
        <v>2.5893999999999999</v>
      </c>
      <c r="AB1705" s="150"/>
      <c r="AC1705" s="154"/>
      <c r="AD1705" s="154"/>
      <c r="AE1705" s="154"/>
      <c r="AF1705" s="154"/>
    </row>
    <row r="1706" spans="1:32" x14ac:dyDescent="0.25">
      <c r="A1706" s="196">
        <v>697</v>
      </c>
      <c r="B1706" s="196" t="s">
        <v>8254</v>
      </c>
      <c r="C1706" s="196" t="s">
        <v>8255</v>
      </c>
      <c r="H1706" s="196" t="s">
        <v>2734</v>
      </c>
      <c r="I1706" s="184" t="s">
        <v>7817</v>
      </c>
      <c r="K1706" s="196" t="s">
        <v>1881</v>
      </c>
      <c r="M1706" s="196">
        <v>242</v>
      </c>
      <c r="O1706" s="196" t="s">
        <v>6703</v>
      </c>
      <c r="P1706" s="17">
        <v>473</v>
      </c>
      <c r="Q1706" s="175">
        <f t="shared" si="107"/>
        <v>6.9300000000000006</v>
      </c>
      <c r="R1706" s="175">
        <f t="shared" si="105"/>
        <v>8.1300000000000008</v>
      </c>
      <c r="S1706" s="199">
        <v>8.1300000000000008</v>
      </c>
      <c r="T1706" s="149">
        <v>0.13</v>
      </c>
      <c r="U1706" s="149" t="str">
        <f t="shared" si="108"/>
        <v>1,20</v>
      </c>
      <c r="V1706" s="149">
        <f t="shared" si="112"/>
        <v>0.33999999999999997</v>
      </c>
      <c r="W1706" s="149">
        <v>5.9</v>
      </c>
      <c r="X1706" s="152">
        <f t="shared" si="109"/>
        <v>0.52990000000000004</v>
      </c>
      <c r="Y1706" s="150">
        <f t="shared" si="104"/>
        <v>1.6604000000000001</v>
      </c>
      <c r="Z1706" s="152">
        <f t="shared" si="110"/>
        <v>8.1300000000000008</v>
      </c>
      <c r="AA1706" s="150">
        <f t="shared" si="111"/>
        <v>8.0998999999999999</v>
      </c>
      <c r="AB1706" s="150"/>
      <c r="AC1706" s="154"/>
      <c r="AD1706" s="154"/>
      <c r="AE1706" s="154"/>
      <c r="AF1706" s="154"/>
    </row>
    <row r="1707" spans="1:32" x14ac:dyDescent="0.25">
      <c r="A1707" s="196">
        <v>1327</v>
      </c>
      <c r="B1707" s="196" t="s">
        <v>8256</v>
      </c>
      <c r="C1707" s="196" t="s">
        <v>8257</v>
      </c>
      <c r="D1707" s="196" t="s">
        <v>8258</v>
      </c>
      <c r="F1707" s="196">
        <v>1998</v>
      </c>
      <c r="H1707" s="196" t="s">
        <v>2734</v>
      </c>
      <c r="I1707" s="184" t="s">
        <v>1929</v>
      </c>
      <c r="K1707" s="196" t="s">
        <v>1881</v>
      </c>
      <c r="L1707" s="184" t="s">
        <v>8259</v>
      </c>
      <c r="M1707" s="196">
        <v>266</v>
      </c>
      <c r="O1707" s="196" t="s">
        <v>6704</v>
      </c>
      <c r="P1707" s="17">
        <v>356</v>
      </c>
      <c r="Q1707" s="175">
        <f t="shared" si="107"/>
        <v>3.0999999999999996</v>
      </c>
      <c r="R1707" s="175">
        <f t="shared" si="105"/>
        <v>4.3</v>
      </c>
      <c r="S1707" s="199">
        <v>4.3</v>
      </c>
      <c r="T1707" s="149">
        <v>0.13</v>
      </c>
      <c r="U1707" s="149" t="str">
        <f t="shared" si="108"/>
        <v>1,20</v>
      </c>
      <c r="V1707" s="149">
        <f t="shared" si="112"/>
        <v>0.33999999999999997</v>
      </c>
      <c r="W1707" s="149">
        <v>2.2999999999999998</v>
      </c>
      <c r="X1707" s="152">
        <f t="shared" si="109"/>
        <v>0.27789999999999998</v>
      </c>
      <c r="Y1707" s="150">
        <f t="shared" si="104"/>
        <v>1.3540000000000001</v>
      </c>
      <c r="Z1707" s="152">
        <f t="shared" si="110"/>
        <v>4.3</v>
      </c>
      <c r="AA1707" s="150">
        <f t="shared" si="111"/>
        <v>4.2478999999999996</v>
      </c>
      <c r="AB1707" s="150"/>
      <c r="AC1707" s="154"/>
      <c r="AD1707" s="154"/>
      <c r="AE1707" s="154"/>
      <c r="AF1707" s="154"/>
    </row>
    <row r="1708" spans="1:32" x14ac:dyDescent="0.25">
      <c r="A1708" s="196">
        <v>273</v>
      </c>
      <c r="B1708" s="196" t="s">
        <v>8260</v>
      </c>
      <c r="C1708" s="196" t="s">
        <v>8261</v>
      </c>
      <c r="D1708" s="196" t="s">
        <v>3864</v>
      </c>
      <c r="F1708" s="196">
        <v>1977</v>
      </c>
      <c r="H1708" s="196" t="s">
        <v>1878</v>
      </c>
      <c r="I1708" s="184" t="s">
        <v>1879</v>
      </c>
      <c r="K1708" s="196" t="s">
        <v>1881</v>
      </c>
      <c r="M1708" s="196">
        <v>312</v>
      </c>
      <c r="O1708" s="196" t="s">
        <v>6705</v>
      </c>
      <c r="P1708" s="17">
        <v>569</v>
      </c>
      <c r="Q1708" s="175">
        <f t="shared" si="107"/>
        <v>1.49</v>
      </c>
      <c r="R1708" s="175">
        <f t="shared" si="105"/>
        <v>3.19</v>
      </c>
      <c r="S1708" s="199">
        <v>3.19</v>
      </c>
      <c r="T1708" s="149">
        <v>0.13</v>
      </c>
      <c r="U1708" s="149" t="str">
        <f t="shared" si="108"/>
        <v>1,70</v>
      </c>
      <c r="V1708" s="149">
        <f t="shared" si="112"/>
        <v>0.33999999999999997</v>
      </c>
      <c r="W1708" s="149">
        <v>0.75</v>
      </c>
      <c r="X1708" s="152">
        <f t="shared" si="109"/>
        <v>0.2044</v>
      </c>
      <c r="Y1708" s="150">
        <f t="shared" ref="Y1708:Y1771" si="113">(IF(Z1708&gt;AA1708,Z1708,AA1708)*0.08)+1.01</f>
        <v>1.2652000000000001</v>
      </c>
      <c r="Z1708" s="152">
        <f t="shared" si="110"/>
        <v>3.19</v>
      </c>
      <c r="AA1708" s="150">
        <f t="shared" si="111"/>
        <v>3.1244000000000001</v>
      </c>
      <c r="AB1708" s="150"/>
      <c r="AC1708" s="154"/>
      <c r="AD1708" s="154"/>
      <c r="AE1708" s="154"/>
      <c r="AF1708" s="154"/>
    </row>
    <row r="1709" spans="1:32" x14ac:dyDescent="0.25">
      <c r="A1709" s="196">
        <v>721</v>
      </c>
      <c r="B1709" s="196" t="s">
        <v>8262</v>
      </c>
      <c r="C1709" s="196" t="s">
        <v>8263</v>
      </c>
      <c r="D1709" s="196" t="s">
        <v>3606</v>
      </c>
      <c r="F1709" s="196">
        <v>2002</v>
      </c>
      <c r="H1709" s="196" t="s">
        <v>1878</v>
      </c>
      <c r="I1709" s="184" t="s">
        <v>1879</v>
      </c>
      <c r="K1709" s="196" t="s">
        <v>1881</v>
      </c>
      <c r="L1709" s="184" t="s">
        <v>8264</v>
      </c>
      <c r="M1709" s="196">
        <v>64</v>
      </c>
      <c r="O1709" s="196" t="s">
        <v>6706</v>
      </c>
      <c r="P1709" s="17">
        <v>138</v>
      </c>
      <c r="Q1709" s="175">
        <f t="shared" si="107"/>
        <v>3.5999999999999996</v>
      </c>
      <c r="R1709" s="175">
        <f t="shared" si="105"/>
        <v>4.8</v>
      </c>
      <c r="S1709" s="199">
        <v>4.8</v>
      </c>
      <c r="T1709" s="149">
        <v>0.13</v>
      </c>
      <c r="U1709" s="149" t="str">
        <f t="shared" si="108"/>
        <v>1,20</v>
      </c>
      <c r="V1709" s="149">
        <f t="shared" si="112"/>
        <v>0.33999999999999997</v>
      </c>
      <c r="W1709" s="149">
        <v>2.8</v>
      </c>
      <c r="X1709" s="152">
        <f t="shared" si="109"/>
        <v>0.31289999999999996</v>
      </c>
      <c r="Y1709" s="150">
        <f t="shared" si="113"/>
        <v>1.3940000000000001</v>
      </c>
      <c r="Z1709" s="152">
        <f t="shared" si="110"/>
        <v>4.8</v>
      </c>
      <c r="AA1709" s="150">
        <f t="shared" si="111"/>
        <v>4.7828999999999997</v>
      </c>
      <c r="AB1709" s="150"/>
      <c r="AC1709" s="154"/>
      <c r="AD1709" s="154"/>
      <c r="AE1709" s="154"/>
      <c r="AF1709" s="154"/>
    </row>
    <row r="1710" spans="1:32" x14ac:dyDescent="0.25">
      <c r="A1710" s="196">
        <v>765</v>
      </c>
      <c r="B1710" s="196" t="s">
        <v>8265</v>
      </c>
      <c r="C1710" s="196" t="s">
        <v>8266</v>
      </c>
      <c r="D1710" s="196" t="s">
        <v>4693</v>
      </c>
      <c r="E1710" s="196" t="s">
        <v>1913</v>
      </c>
      <c r="F1710" s="196">
        <v>2009</v>
      </c>
      <c r="H1710" s="196" t="s">
        <v>2734</v>
      </c>
      <c r="I1710" s="184" t="s">
        <v>1879</v>
      </c>
      <c r="K1710" s="196" t="s">
        <v>1881</v>
      </c>
      <c r="L1710" s="184" t="s">
        <v>8267</v>
      </c>
      <c r="M1710" s="196">
        <v>178</v>
      </c>
      <c r="O1710" s="196" t="s">
        <v>6707</v>
      </c>
      <c r="P1710" s="17">
        <v>349</v>
      </c>
      <c r="Q1710" s="175">
        <f t="shared" si="107"/>
        <v>1.4428999999999996</v>
      </c>
      <c r="R1710" s="175">
        <f t="shared" si="105"/>
        <v>2.6428999999999996</v>
      </c>
      <c r="S1710" s="199">
        <v>2.6</v>
      </c>
      <c r="T1710" s="149">
        <v>0.13</v>
      </c>
      <c r="U1710" s="149" t="str">
        <f t="shared" si="108"/>
        <v>1,20</v>
      </c>
      <c r="V1710" s="149">
        <f t="shared" si="112"/>
        <v>0.33999999999999997</v>
      </c>
      <c r="W1710" s="149">
        <v>0.8</v>
      </c>
      <c r="X1710" s="152">
        <f t="shared" si="109"/>
        <v>0.17289999999999997</v>
      </c>
      <c r="Y1710" s="150">
        <f t="shared" si="113"/>
        <v>1.2214320000000001</v>
      </c>
      <c r="Z1710" s="152">
        <f t="shared" si="110"/>
        <v>2.6</v>
      </c>
      <c r="AA1710" s="150">
        <f t="shared" si="111"/>
        <v>2.6428999999999996</v>
      </c>
      <c r="AB1710" s="150"/>
      <c r="AC1710" s="154"/>
      <c r="AD1710" s="154"/>
      <c r="AE1710" s="154"/>
      <c r="AF1710" s="154"/>
    </row>
    <row r="1711" spans="1:32" x14ac:dyDescent="0.25">
      <c r="A1711" s="196">
        <v>593</v>
      </c>
      <c r="C1711" s="196" t="s">
        <v>8268</v>
      </c>
      <c r="D1711" s="196" t="s">
        <v>1927</v>
      </c>
      <c r="H1711" s="196" t="s">
        <v>2734</v>
      </c>
      <c r="I1711" s="184" t="s">
        <v>1929</v>
      </c>
      <c r="K1711" s="196" t="s">
        <v>1881</v>
      </c>
      <c r="M1711" s="196">
        <v>258</v>
      </c>
      <c r="O1711" s="196" t="s">
        <v>6708</v>
      </c>
      <c r="P1711" s="17">
        <v>816</v>
      </c>
      <c r="Q1711" s="175">
        <f t="shared" si="107"/>
        <v>0.88939999999999997</v>
      </c>
      <c r="R1711" s="175">
        <f t="shared" si="105"/>
        <v>2.5893999999999999</v>
      </c>
      <c r="S1711" s="199">
        <f>0.5+1.85</f>
        <v>2.35</v>
      </c>
      <c r="T1711" s="149">
        <v>0.13</v>
      </c>
      <c r="U1711" s="149" t="str">
        <f t="shared" si="108"/>
        <v>1,70</v>
      </c>
      <c r="V1711" s="149">
        <f t="shared" si="112"/>
        <v>0.33999999999999997</v>
      </c>
      <c r="W1711" s="149">
        <v>0.25</v>
      </c>
      <c r="X1711" s="152">
        <f t="shared" si="109"/>
        <v>0.1694</v>
      </c>
      <c r="Y1711" s="150">
        <f t="shared" si="113"/>
        <v>1.217152</v>
      </c>
      <c r="Z1711" s="152">
        <f t="shared" si="110"/>
        <v>2.35</v>
      </c>
      <c r="AA1711" s="150">
        <f t="shared" si="111"/>
        <v>2.5893999999999999</v>
      </c>
      <c r="AB1711" s="150"/>
      <c r="AC1711" s="154"/>
      <c r="AD1711" s="154"/>
      <c r="AE1711" s="154"/>
      <c r="AF1711" s="154"/>
    </row>
    <row r="1712" spans="1:32" x14ac:dyDescent="0.25">
      <c r="A1712" s="196">
        <v>2522</v>
      </c>
      <c r="B1712" s="196" t="s">
        <v>2252</v>
      </c>
      <c r="C1712" s="196" t="s">
        <v>2253</v>
      </c>
      <c r="D1712" s="196" t="s">
        <v>5005</v>
      </c>
      <c r="F1712" s="196">
        <v>2005</v>
      </c>
      <c r="H1712" s="196" t="s">
        <v>4297</v>
      </c>
      <c r="I1712" s="184" t="s">
        <v>7527</v>
      </c>
      <c r="K1712" s="196" t="s">
        <v>1881</v>
      </c>
      <c r="M1712" s="196">
        <v>610</v>
      </c>
      <c r="O1712" s="196" t="s">
        <v>6709</v>
      </c>
      <c r="P1712" s="17">
        <v>515</v>
      </c>
      <c r="Q1712" s="175">
        <f t="shared" si="107"/>
        <v>0.88939999999999997</v>
      </c>
      <c r="R1712" s="175">
        <f t="shared" si="105"/>
        <v>2.5893999999999999</v>
      </c>
      <c r="S1712" s="199">
        <v>2.14</v>
      </c>
      <c r="T1712" s="149">
        <v>0.13</v>
      </c>
      <c r="U1712" s="149" t="str">
        <f t="shared" si="108"/>
        <v>1,70</v>
      </c>
      <c r="V1712" s="149">
        <f t="shared" si="112"/>
        <v>0.33999999999999997</v>
      </c>
      <c r="W1712" s="149">
        <v>0.25</v>
      </c>
      <c r="X1712" s="152">
        <f t="shared" si="109"/>
        <v>0.1694</v>
      </c>
      <c r="Y1712" s="150">
        <f t="shared" si="113"/>
        <v>1.217152</v>
      </c>
      <c r="Z1712" s="152">
        <f t="shared" si="110"/>
        <v>2.14</v>
      </c>
      <c r="AA1712" s="150">
        <f t="shared" si="111"/>
        <v>2.5893999999999999</v>
      </c>
      <c r="AB1712" s="150"/>
      <c r="AC1712" s="154"/>
      <c r="AD1712" s="154"/>
      <c r="AE1712" s="154"/>
      <c r="AF1712" s="154"/>
    </row>
    <row r="1713" spans="1:32" x14ac:dyDescent="0.25">
      <c r="A1713" s="196">
        <v>2522</v>
      </c>
      <c r="B1713" s="196" t="s">
        <v>8269</v>
      </c>
      <c r="C1713" s="196" t="s">
        <v>8270</v>
      </c>
      <c r="D1713" s="196" t="s">
        <v>2054</v>
      </c>
      <c r="F1713" s="196">
        <v>2018</v>
      </c>
      <c r="H1713" s="196" t="s">
        <v>1878</v>
      </c>
      <c r="I1713" s="184" t="s">
        <v>1929</v>
      </c>
      <c r="K1713" s="196" t="s">
        <v>1881</v>
      </c>
      <c r="L1713" s="184" t="s">
        <v>8271</v>
      </c>
      <c r="M1713" s="196">
        <v>464</v>
      </c>
      <c r="O1713" s="196" t="s">
        <v>6710</v>
      </c>
      <c r="P1713" s="17">
        <v>457</v>
      </c>
      <c r="Q1713" s="175">
        <f t="shared" si="107"/>
        <v>2.0999999999999996</v>
      </c>
      <c r="R1713" s="175">
        <f t="shared" si="105"/>
        <v>3.3</v>
      </c>
      <c r="S1713" s="199">
        <v>3.3</v>
      </c>
      <c r="T1713" s="149">
        <v>0.13</v>
      </c>
      <c r="U1713" s="149" t="str">
        <f t="shared" si="108"/>
        <v>1,20</v>
      </c>
      <c r="V1713" s="149">
        <f t="shared" si="112"/>
        <v>0.33999999999999997</v>
      </c>
      <c r="W1713" s="149">
        <v>1.4</v>
      </c>
      <c r="X1713" s="152">
        <f t="shared" si="109"/>
        <v>0.21489999999999998</v>
      </c>
      <c r="Y1713" s="150">
        <f t="shared" si="113"/>
        <v>1.274</v>
      </c>
      <c r="Z1713" s="152">
        <f t="shared" si="110"/>
        <v>3.3</v>
      </c>
      <c r="AA1713" s="150">
        <f t="shared" si="111"/>
        <v>3.2848999999999999</v>
      </c>
      <c r="AB1713" s="150"/>
      <c r="AC1713" s="154"/>
      <c r="AD1713" s="154"/>
      <c r="AE1713" s="154"/>
      <c r="AF1713" s="154"/>
    </row>
    <row r="1714" spans="1:32" x14ac:dyDescent="0.25">
      <c r="A1714" s="196">
        <v>2518</v>
      </c>
      <c r="B1714" s="196" t="s">
        <v>8272</v>
      </c>
      <c r="C1714" s="196" t="s">
        <v>8273</v>
      </c>
      <c r="D1714" s="196" t="s">
        <v>2209</v>
      </c>
      <c r="F1714" s="196">
        <v>2002</v>
      </c>
      <c r="H1714" s="196" t="s">
        <v>1878</v>
      </c>
      <c r="I1714" s="184" t="s">
        <v>7527</v>
      </c>
      <c r="K1714" s="196" t="s">
        <v>1881</v>
      </c>
      <c r="L1714" s="184" t="s">
        <v>8274</v>
      </c>
      <c r="M1714" s="196">
        <v>272</v>
      </c>
      <c r="O1714" s="196" t="s">
        <v>6711</v>
      </c>
      <c r="P1714" s="17">
        <v>191</v>
      </c>
      <c r="Q1714" s="175">
        <f t="shared" si="107"/>
        <v>0.92999999999999994</v>
      </c>
      <c r="R1714" s="175">
        <f t="shared" si="105"/>
        <v>2.13</v>
      </c>
      <c r="S1714" s="199">
        <f>0.73+1.4</f>
        <v>2.13</v>
      </c>
      <c r="T1714" s="149">
        <v>0.13</v>
      </c>
      <c r="U1714" s="149" t="str">
        <f t="shared" si="108"/>
        <v>1,20</v>
      </c>
      <c r="V1714" s="149">
        <f t="shared" si="112"/>
        <v>0.33999999999999997</v>
      </c>
      <c r="W1714" s="149">
        <v>0.3</v>
      </c>
      <c r="X1714" s="152">
        <f t="shared" si="109"/>
        <v>0.13789999999999999</v>
      </c>
      <c r="Y1714" s="150">
        <f t="shared" si="113"/>
        <v>1.1804000000000001</v>
      </c>
      <c r="Z1714" s="152">
        <f t="shared" si="110"/>
        <v>2.13</v>
      </c>
      <c r="AA1714" s="150">
        <f t="shared" si="111"/>
        <v>2.1078999999999999</v>
      </c>
      <c r="AB1714" s="150"/>
      <c r="AC1714" s="154"/>
      <c r="AD1714" s="154"/>
      <c r="AE1714" s="154"/>
      <c r="AF1714" s="154"/>
    </row>
    <row r="1715" spans="1:32" x14ac:dyDescent="0.25">
      <c r="A1715" s="196">
        <v>2514</v>
      </c>
      <c r="B1715" s="196" t="s">
        <v>8275</v>
      </c>
      <c r="C1715" s="196" t="s">
        <v>8276</v>
      </c>
      <c r="D1715" s="196" t="s">
        <v>2402</v>
      </c>
      <c r="F1715" s="196">
        <v>2005</v>
      </c>
      <c r="H1715" s="196" t="s">
        <v>2734</v>
      </c>
      <c r="I1715" s="184" t="s">
        <v>1879</v>
      </c>
      <c r="K1715" s="196" t="s">
        <v>1881</v>
      </c>
      <c r="L1715" s="184" t="s">
        <v>8277</v>
      </c>
      <c r="M1715" s="196">
        <v>126</v>
      </c>
      <c r="O1715" s="196" t="s">
        <v>6712</v>
      </c>
      <c r="P1715" s="17">
        <v>185</v>
      </c>
      <c r="Q1715" s="175">
        <f t="shared" si="107"/>
        <v>1.7</v>
      </c>
      <c r="R1715" s="175">
        <f t="shared" si="105"/>
        <v>2.9</v>
      </c>
      <c r="S1715" s="199">
        <v>2.9</v>
      </c>
      <c r="T1715" s="149">
        <v>0.13</v>
      </c>
      <c r="U1715" s="149" t="str">
        <f t="shared" si="108"/>
        <v>1,20</v>
      </c>
      <c r="V1715" s="149">
        <f t="shared" si="112"/>
        <v>0.33999999999999997</v>
      </c>
      <c r="W1715" s="149">
        <v>0.8</v>
      </c>
      <c r="X1715" s="152">
        <f t="shared" si="109"/>
        <v>0.17289999999999997</v>
      </c>
      <c r="Y1715" s="150">
        <f t="shared" si="113"/>
        <v>1.242</v>
      </c>
      <c r="Z1715" s="152">
        <f t="shared" si="110"/>
        <v>2.9</v>
      </c>
      <c r="AA1715" s="150">
        <f t="shared" si="111"/>
        <v>2.6428999999999996</v>
      </c>
      <c r="AB1715" s="150"/>
      <c r="AC1715" s="154"/>
      <c r="AD1715" s="154"/>
      <c r="AE1715" s="154"/>
      <c r="AF1715" s="154"/>
    </row>
    <row r="1716" spans="1:32" x14ac:dyDescent="0.25">
      <c r="A1716" s="196">
        <v>2522</v>
      </c>
      <c r="B1716" s="196" t="s">
        <v>8278</v>
      </c>
      <c r="C1716" s="196" t="s">
        <v>8279</v>
      </c>
      <c r="D1716" s="196" t="s">
        <v>2257</v>
      </c>
      <c r="E1716" s="196" t="s">
        <v>1921</v>
      </c>
      <c r="F1716" s="196">
        <v>2007</v>
      </c>
      <c r="H1716" s="196" t="s">
        <v>1878</v>
      </c>
      <c r="I1716" s="184" t="s">
        <v>7527</v>
      </c>
      <c r="J1716" s="52" t="s">
        <v>3854</v>
      </c>
      <c r="K1716" s="196" t="s">
        <v>1881</v>
      </c>
      <c r="L1716" s="184" t="s">
        <v>8280</v>
      </c>
      <c r="M1716" s="196">
        <v>304</v>
      </c>
      <c r="O1716" s="196" t="s">
        <v>6713</v>
      </c>
      <c r="P1716" s="17">
        <v>273</v>
      </c>
      <c r="Q1716" s="175">
        <f t="shared" si="107"/>
        <v>0.85439999999999983</v>
      </c>
      <c r="R1716" s="175">
        <f t="shared" si="105"/>
        <v>2.0543999999999998</v>
      </c>
      <c r="S1716" s="199">
        <v>1.55</v>
      </c>
      <c r="T1716" s="149">
        <v>0.13</v>
      </c>
      <c r="U1716" s="149" t="str">
        <f t="shared" si="108"/>
        <v>1,20</v>
      </c>
      <c r="V1716" s="149">
        <f t="shared" si="112"/>
        <v>0.33999999999999997</v>
      </c>
      <c r="W1716" s="149">
        <v>0.25</v>
      </c>
      <c r="X1716" s="152">
        <f t="shared" si="109"/>
        <v>0.13439999999999999</v>
      </c>
      <c r="Y1716" s="150">
        <f t="shared" si="113"/>
        <v>1.1743520000000001</v>
      </c>
      <c r="Z1716" s="152">
        <f t="shared" si="110"/>
        <v>1.55</v>
      </c>
      <c r="AA1716" s="150">
        <f t="shared" si="111"/>
        <v>2.0543999999999998</v>
      </c>
      <c r="AB1716" s="150"/>
      <c r="AC1716" s="154"/>
      <c r="AD1716" s="154"/>
      <c r="AE1716" s="154"/>
      <c r="AF1716" s="154"/>
    </row>
    <row r="1717" spans="1:32" x14ac:dyDescent="0.25">
      <c r="A1717" s="196">
        <v>692</v>
      </c>
      <c r="B1717" s="196" t="s">
        <v>8281</v>
      </c>
      <c r="C1717" s="196" t="s">
        <v>8282</v>
      </c>
      <c r="D1717" s="196" t="s">
        <v>2609</v>
      </c>
      <c r="F1717" s="196">
        <v>1994</v>
      </c>
      <c r="H1717" s="196" t="s">
        <v>1878</v>
      </c>
      <c r="I1717" s="184" t="s">
        <v>1879</v>
      </c>
      <c r="K1717" s="196" t="s">
        <v>1881</v>
      </c>
      <c r="L1717" s="184" t="s">
        <v>8283</v>
      </c>
      <c r="M1717" s="196">
        <v>400</v>
      </c>
      <c r="O1717" s="196" t="s">
        <v>6714</v>
      </c>
      <c r="P1717" s="17">
        <v>335</v>
      </c>
      <c r="Q1717" s="175">
        <f t="shared" si="107"/>
        <v>0.85439999999999983</v>
      </c>
      <c r="R1717" s="175">
        <f t="shared" si="105"/>
        <v>2.0543999999999998</v>
      </c>
      <c r="S1717" s="199">
        <v>1.25</v>
      </c>
      <c r="T1717" s="149">
        <v>0.13</v>
      </c>
      <c r="U1717" s="149" t="str">
        <f t="shared" si="108"/>
        <v>1,20</v>
      </c>
      <c r="V1717" s="149">
        <f t="shared" si="112"/>
        <v>0.33999999999999997</v>
      </c>
      <c r="W1717" s="149">
        <v>0.25</v>
      </c>
      <c r="X1717" s="152">
        <f t="shared" si="109"/>
        <v>0.13439999999999999</v>
      </c>
      <c r="Y1717" s="150">
        <f t="shared" si="113"/>
        <v>1.1743520000000001</v>
      </c>
      <c r="Z1717" s="152">
        <f t="shared" si="110"/>
        <v>1.25</v>
      </c>
      <c r="AA1717" s="150">
        <f t="shared" si="111"/>
        <v>2.0543999999999998</v>
      </c>
      <c r="AB1717" s="150"/>
      <c r="AC1717" s="154"/>
      <c r="AD1717" s="154"/>
      <c r="AE1717" s="154"/>
      <c r="AF1717" s="154"/>
    </row>
    <row r="1718" spans="1:32" ht="79.2" x14ac:dyDescent="0.25">
      <c r="A1718" s="196">
        <v>1315</v>
      </c>
      <c r="B1718" s="196" t="s">
        <v>8284</v>
      </c>
      <c r="C1718" s="196" t="s">
        <v>8285</v>
      </c>
      <c r="D1718" s="196" t="s">
        <v>2609</v>
      </c>
      <c r="E1718" s="196" t="s">
        <v>2032</v>
      </c>
      <c r="F1718" s="196">
        <v>1999</v>
      </c>
      <c r="H1718" s="196" t="s">
        <v>1878</v>
      </c>
      <c r="I1718" s="184" t="s">
        <v>1879</v>
      </c>
      <c r="J1718" s="142" t="s">
        <v>8286</v>
      </c>
      <c r="K1718" s="196" t="s">
        <v>1881</v>
      </c>
      <c r="L1718" s="184" t="s">
        <v>8287</v>
      </c>
      <c r="M1718" s="196">
        <v>256</v>
      </c>
      <c r="O1718" s="196" t="s">
        <v>6715</v>
      </c>
      <c r="P1718" s="17">
        <v>239</v>
      </c>
      <c r="Q1718" s="175">
        <f t="shared" si="107"/>
        <v>1.7</v>
      </c>
      <c r="R1718" s="175">
        <f t="shared" si="105"/>
        <v>2.9</v>
      </c>
      <c r="S1718" s="199">
        <v>2.9</v>
      </c>
      <c r="T1718" s="149">
        <v>0.13</v>
      </c>
      <c r="U1718" s="149" t="str">
        <f t="shared" si="108"/>
        <v>1,20</v>
      </c>
      <c r="V1718" s="149">
        <f t="shared" si="112"/>
        <v>0.33999999999999997</v>
      </c>
      <c r="W1718" s="149">
        <v>1</v>
      </c>
      <c r="X1718" s="152">
        <f t="shared" si="109"/>
        <v>0.18689999999999998</v>
      </c>
      <c r="Y1718" s="150">
        <f t="shared" si="113"/>
        <v>1.242</v>
      </c>
      <c r="Z1718" s="152">
        <f t="shared" si="110"/>
        <v>2.9</v>
      </c>
      <c r="AA1718" s="150">
        <f t="shared" si="111"/>
        <v>2.8569</v>
      </c>
      <c r="AB1718" s="150"/>
      <c r="AC1718" s="154"/>
      <c r="AD1718" s="154"/>
      <c r="AE1718" s="154"/>
      <c r="AF1718" s="154"/>
    </row>
    <row r="1719" spans="1:32" x14ac:dyDescent="0.25">
      <c r="A1719" s="196">
        <v>2518</v>
      </c>
      <c r="B1719" s="196" t="s">
        <v>8288</v>
      </c>
      <c r="C1719" s="196" t="s">
        <v>8289</v>
      </c>
      <c r="D1719" s="196" t="s">
        <v>8290</v>
      </c>
      <c r="E1719" s="196" t="s">
        <v>1877</v>
      </c>
      <c r="F1719" s="196">
        <v>2007</v>
      </c>
      <c r="H1719" s="196" t="s">
        <v>2734</v>
      </c>
      <c r="I1719" s="184" t="s">
        <v>1929</v>
      </c>
      <c r="K1719" s="196" t="s">
        <v>1881</v>
      </c>
      <c r="L1719" s="184" t="s">
        <v>8291</v>
      </c>
      <c r="M1719" s="196">
        <v>242</v>
      </c>
      <c r="O1719" s="196" t="s">
        <v>6716</v>
      </c>
      <c r="P1719" s="17">
        <v>348</v>
      </c>
      <c r="Q1719" s="175">
        <f t="shared" si="107"/>
        <v>0.85439999999999983</v>
      </c>
      <c r="R1719" s="175">
        <f t="shared" si="105"/>
        <v>2.0543999999999998</v>
      </c>
      <c r="S1719" s="199">
        <v>1.8</v>
      </c>
      <c r="T1719" s="149">
        <v>0.13</v>
      </c>
      <c r="U1719" s="149" t="str">
        <f t="shared" si="108"/>
        <v>1,20</v>
      </c>
      <c r="V1719" s="149">
        <f t="shared" si="112"/>
        <v>0.33999999999999997</v>
      </c>
      <c r="W1719" s="149">
        <v>0.25</v>
      </c>
      <c r="X1719" s="152">
        <f t="shared" si="109"/>
        <v>0.13439999999999999</v>
      </c>
      <c r="Y1719" s="150">
        <f t="shared" si="113"/>
        <v>1.1743520000000001</v>
      </c>
      <c r="Z1719" s="152">
        <f t="shared" si="110"/>
        <v>1.8</v>
      </c>
      <c r="AA1719" s="150">
        <f t="shared" si="111"/>
        <v>2.0543999999999998</v>
      </c>
      <c r="AB1719" s="150"/>
      <c r="AC1719" s="154"/>
      <c r="AD1719" s="154"/>
      <c r="AE1719" s="154"/>
      <c r="AF1719" s="154"/>
    </row>
    <row r="1720" spans="1:32" x14ac:dyDescent="0.25">
      <c r="A1720" s="196">
        <v>2518</v>
      </c>
      <c r="B1720" s="196" t="s">
        <v>8292</v>
      </c>
      <c r="C1720" s="196" t="s">
        <v>8293</v>
      </c>
      <c r="D1720" s="196" t="s">
        <v>2054</v>
      </c>
      <c r="F1720" s="196">
        <v>2017</v>
      </c>
      <c r="H1720" s="196" t="s">
        <v>1878</v>
      </c>
      <c r="I1720" s="184" t="s">
        <v>1929</v>
      </c>
      <c r="K1720" s="196" t="s">
        <v>1881</v>
      </c>
      <c r="L1720" s="184" t="s">
        <v>8294</v>
      </c>
      <c r="M1720" s="196">
        <v>414</v>
      </c>
      <c r="O1720" s="196" t="s">
        <v>6717</v>
      </c>
      <c r="P1720" s="17">
        <v>412</v>
      </c>
      <c r="Q1720" s="175">
        <f t="shared" si="107"/>
        <v>0.85439999999999983</v>
      </c>
      <c r="R1720" s="175">
        <f t="shared" si="105"/>
        <v>2.0543999999999998</v>
      </c>
      <c r="S1720" s="199">
        <v>1.75</v>
      </c>
      <c r="T1720" s="149">
        <v>0.13</v>
      </c>
      <c r="U1720" s="149" t="str">
        <f t="shared" si="108"/>
        <v>1,20</v>
      </c>
      <c r="V1720" s="149">
        <f t="shared" si="112"/>
        <v>0.33999999999999997</v>
      </c>
      <c r="W1720" s="149">
        <v>0.25</v>
      </c>
      <c r="X1720" s="152">
        <f t="shared" si="109"/>
        <v>0.13439999999999999</v>
      </c>
      <c r="Y1720" s="150">
        <f t="shared" si="113"/>
        <v>1.1743520000000001</v>
      </c>
      <c r="Z1720" s="152">
        <f t="shared" si="110"/>
        <v>1.75</v>
      </c>
      <c r="AA1720" s="150">
        <f t="shared" si="111"/>
        <v>2.0543999999999998</v>
      </c>
      <c r="AB1720" s="150"/>
      <c r="AC1720" s="154"/>
      <c r="AD1720" s="154"/>
      <c r="AE1720" s="154"/>
      <c r="AF1720" s="154"/>
    </row>
    <row r="1721" spans="1:32" x14ac:dyDescent="0.25">
      <c r="A1721" s="196">
        <v>632</v>
      </c>
      <c r="B1721" s="196" t="s">
        <v>7769</v>
      </c>
      <c r="C1721" s="196" t="s">
        <v>8295</v>
      </c>
      <c r="D1721" s="196" t="s">
        <v>1920</v>
      </c>
      <c r="E1721" s="196" t="s">
        <v>1913</v>
      </c>
      <c r="F1721" s="196">
        <v>2006</v>
      </c>
      <c r="H1721" s="196" t="s">
        <v>1878</v>
      </c>
      <c r="I1721" s="184" t="s">
        <v>1914</v>
      </c>
      <c r="J1721" s="196" t="s">
        <v>8296</v>
      </c>
      <c r="K1721" s="196" t="s">
        <v>1881</v>
      </c>
      <c r="L1721" s="184" t="s">
        <v>8297</v>
      </c>
      <c r="M1721" s="196">
        <v>448</v>
      </c>
      <c r="O1721" s="196" t="s">
        <v>6718</v>
      </c>
      <c r="P1721" s="17">
        <v>380</v>
      </c>
      <c r="Q1721" s="175">
        <f t="shared" si="107"/>
        <v>0.85439999999999983</v>
      </c>
      <c r="R1721" s="175">
        <f t="shared" si="105"/>
        <v>2.0543999999999998</v>
      </c>
      <c r="S1721" s="199">
        <v>1.5</v>
      </c>
      <c r="T1721" s="149">
        <v>0.13</v>
      </c>
      <c r="U1721" s="149" t="str">
        <f t="shared" si="108"/>
        <v>1,20</v>
      </c>
      <c r="V1721" s="149">
        <f t="shared" si="112"/>
        <v>0.33999999999999997</v>
      </c>
      <c r="W1721" s="149">
        <v>0.25</v>
      </c>
      <c r="X1721" s="152">
        <f t="shared" si="109"/>
        <v>0.13439999999999999</v>
      </c>
      <c r="Y1721" s="150">
        <f t="shared" si="113"/>
        <v>1.1743520000000001</v>
      </c>
      <c r="Z1721" s="152">
        <f t="shared" si="110"/>
        <v>1.5</v>
      </c>
      <c r="AA1721" s="150">
        <f t="shared" si="111"/>
        <v>2.0543999999999998</v>
      </c>
      <c r="AB1721" s="150"/>
      <c r="AC1721" s="154"/>
      <c r="AD1721" s="154"/>
      <c r="AE1721" s="154"/>
      <c r="AF1721" s="154"/>
    </row>
    <row r="1722" spans="1:32" x14ac:dyDescent="0.25">
      <c r="A1722" s="196">
        <v>1031</v>
      </c>
      <c r="B1722" s="196" t="s">
        <v>8299</v>
      </c>
      <c r="C1722" s="196" t="s">
        <v>8298</v>
      </c>
      <c r="D1722" s="196" t="s">
        <v>2054</v>
      </c>
      <c r="F1722" s="196">
        <v>2000</v>
      </c>
      <c r="H1722" s="196" t="s">
        <v>1878</v>
      </c>
      <c r="I1722" s="184" t="s">
        <v>1929</v>
      </c>
      <c r="K1722" s="196" t="s">
        <v>1881</v>
      </c>
      <c r="L1722" s="184" t="s">
        <v>8300</v>
      </c>
      <c r="M1722" s="196">
        <v>178</v>
      </c>
      <c r="O1722" s="196" t="s">
        <v>6719</v>
      </c>
      <c r="P1722" s="17">
        <v>308</v>
      </c>
      <c r="Q1722" s="175">
        <f t="shared" si="107"/>
        <v>0.8899999999999999</v>
      </c>
      <c r="R1722" s="175">
        <f t="shared" si="105"/>
        <v>2.09</v>
      </c>
      <c r="S1722" s="199">
        <v>2.09</v>
      </c>
      <c r="T1722" s="149">
        <v>0.13</v>
      </c>
      <c r="U1722" s="149" t="str">
        <f t="shared" si="108"/>
        <v>1,20</v>
      </c>
      <c r="V1722" s="149">
        <f t="shared" si="112"/>
        <v>0.33999999999999997</v>
      </c>
      <c r="W1722" s="149">
        <v>0.25</v>
      </c>
      <c r="X1722" s="152">
        <f t="shared" si="109"/>
        <v>0.13439999999999999</v>
      </c>
      <c r="Y1722" s="150">
        <f t="shared" si="113"/>
        <v>1.1772</v>
      </c>
      <c r="Z1722" s="152">
        <f t="shared" si="110"/>
        <v>2.09</v>
      </c>
      <c r="AA1722" s="150">
        <f t="shared" si="111"/>
        <v>2.0543999999999998</v>
      </c>
      <c r="AB1722" s="150"/>
      <c r="AC1722" s="154"/>
      <c r="AD1722" s="154"/>
      <c r="AE1722" s="154"/>
      <c r="AF1722" s="154"/>
    </row>
    <row r="1723" spans="1:32" x14ac:dyDescent="0.25">
      <c r="A1723" s="196">
        <v>1395</v>
      </c>
      <c r="B1723" s="196" t="s">
        <v>2596</v>
      </c>
      <c r="C1723" s="196" t="s">
        <v>8301</v>
      </c>
      <c r="D1723" s="196" t="s">
        <v>1912</v>
      </c>
      <c r="E1723" s="196" t="s">
        <v>1921</v>
      </c>
      <c r="F1723" s="196">
        <v>2002</v>
      </c>
      <c r="H1723" s="196" t="s">
        <v>1878</v>
      </c>
      <c r="I1723" s="184" t="s">
        <v>1879</v>
      </c>
      <c r="K1723" s="196" t="s">
        <v>1881</v>
      </c>
      <c r="L1723" s="184" t="s">
        <v>8302</v>
      </c>
      <c r="M1723" s="196">
        <v>416</v>
      </c>
      <c r="O1723" s="196" t="s">
        <v>6720</v>
      </c>
      <c r="P1723" s="17">
        <v>372</v>
      </c>
      <c r="Q1723" s="175">
        <f t="shared" si="107"/>
        <v>1.5999999999999999</v>
      </c>
      <c r="R1723" s="175">
        <f t="shared" si="105"/>
        <v>2.8</v>
      </c>
      <c r="S1723" s="199">
        <v>2.8</v>
      </c>
      <c r="T1723" s="149">
        <v>0.13</v>
      </c>
      <c r="U1723" s="149" t="str">
        <f t="shared" si="108"/>
        <v>1,20</v>
      </c>
      <c r="V1723" s="149">
        <f t="shared" si="112"/>
        <v>0.33999999999999997</v>
      </c>
      <c r="W1723" s="149">
        <v>0.9</v>
      </c>
      <c r="X1723" s="152">
        <f t="shared" si="109"/>
        <v>0.17989999999999998</v>
      </c>
      <c r="Y1723" s="150">
        <f t="shared" si="113"/>
        <v>1.234</v>
      </c>
      <c r="Z1723" s="152">
        <f t="shared" si="110"/>
        <v>2.8</v>
      </c>
      <c r="AA1723" s="150">
        <f t="shared" si="111"/>
        <v>2.7498999999999998</v>
      </c>
      <c r="AB1723" s="150"/>
      <c r="AC1723" s="154"/>
      <c r="AD1723" s="154"/>
      <c r="AE1723" s="154"/>
      <c r="AF1723" s="154"/>
    </row>
    <row r="1724" spans="1:32" x14ac:dyDescent="0.25">
      <c r="Y1724" s="150">
        <f t="shared" si="113"/>
        <v>1.01</v>
      </c>
    </row>
    <row r="1725" spans="1:32" x14ac:dyDescent="0.25">
      <c r="A1725" s="196">
        <v>765</v>
      </c>
      <c r="B1725" s="196" t="s">
        <v>8306</v>
      </c>
      <c r="C1725" s="196" t="s">
        <v>8307</v>
      </c>
      <c r="D1725" s="196" t="s">
        <v>8308</v>
      </c>
      <c r="E1725" s="196" t="s">
        <v>1913</v>
      </c>
      <c r="F1725" s="196">
        <v>2008</v>
      </c>
      <c r="H1725" s="196" t="s">
        <v>1878</v>
      </c>
      <c r="I1725" s="184" t="s">
        <v>1929</v>
      </c>
      <c r="K1725" s="196" t="s">
        <v>1881</v>
      </c>
      <c r="L1725" s="184" t="s">
        <v>8309</v>
      </c>
      <c r="M1725" s="196">
        <v>104</v>
      </c>
      <c r="O1725" s="196" t="s">
        <v>6722</v>
      </c>
      <c r="P1725" s="17">
        <v>120</v>
      </c>
      <c r="Q1725" s="175">
        <f t="shared" si="107"/>
        <v>3.1899999999999995</v>
      </c>
      <c r="R1725" s="175">
        <f t="shared" si="105"/>
        <v>4.3899999999999997</v>
      </c>
      <c r="S1725" s="199">
        <v>4.3899999999999997</v>
      </c>
      <c r="T1725" s="149">
        <v>0.13</v>
      </c>
      <c r="U1725" s="149" t="str">
        <f t="shared" si="108"/>
        <v>1,20</v>
      </c>
      <c r="V1725" s="149">
        <f>0.08+0.09+0.17</f>
        <v>0.33999999999999997</v>
      </c>
      <c r="W1725" s="149">
        <v>2.2999999999999998</v>
      </c>
      <c r="X1725" s="152">
        <f t="shared" si="109"/>
        <v>0.27789999999999998</v>
      </c>
      <c r="Y1725" s="150">
        <f t="shared" si="113"/>
        <v>1.3612</v>
      </c>
      <c r="Z1725" s="152">
        <f t="shared" si="110"/>
        <v>4.3899999999999997</v>
      </c>
      <c r="AA1725" s="150">
        <f t="shared" si="111"/>
        <v>4.2478999999999996</v>
      </c>
      <c r="AB1725" s="150"/>
      <c r="AC1725" s="154"/>
      <c r="AD1725" s="154"/>
      <c r="AE1725" s="154"/>
      <c r="AF1725" s="154"/>
    </row>
    <row r="1726" spans="1:32" x14ac:dyDescent="0.25">
      <c r="A1726" s="196">
        <v>852</v>
      </c>
      <c r="B1726" s="196" t="s">
        <v>8310</v>
      </c>
      <c r="C1726" s="196" t="s">
        <v>8311</v>
      </c>
      <c r="D1726" s="196" t="s">
        <v>8312</v>
      </c>
      <c r="H1726" s="196" t="s">
        <v>2734</v>
      </c>
      <c r="I1726" s="184" t="s">
        <v>7527</v>
      </c>
      <c r="K1726" s="196" t="s">
        <v>1881</v>
      </c>
      <c r="M1726" s="196">
        <v>138</v>
      </c>
      <c r="O1726" s="196" t="s">
        <v>6723</v>
      </c>
      <c r="P1726" s="17">
        <v>308</v>
      </c>
      <c r="Q1726" s="175">
        <f t="shared" si="107"/>
        <v>4.6528999999999998</v>
      </c>
      <c r="R1726" s="175">
        <f t="shared" ref="R1726:R1789" si="114">IF(Z1726&gt;AA1726,Z1726,AA1726)</f>
        <v>5.8529</v>
      </c>
      <c r="S1726" s="199">
        <v>5.85</v>
      </c>
      <c r="T1726" s="149">
        <v>0.13</v>
      </c>
      <c r="U1726" s="149" t="str">
        <f t="shared" si="108"/>
        <v>1,20</v>
      </c>
      <c r="V1726" s="149">
        <f>0.08+0.09+0.17</f>
        <v>0.33999999999999997</v>
      </c>
      <c r="W1726" s="149">
        <v>3.8</v>
      </c>
      <c r="X1726" s="152">
        <f t="shared" si="109"/>
        <v>0.38290000000000002</v>
      </c>
      <c r="Y1726" s="150">
        <f t="shared" si="113"/>
        <v>1.478232</v>
      </c>
      <c r="Z1726" s="152">
        <f t="shared" si="110"/>
        <v>5.85</v>
      </c>
      <c r="AA1726" s="150">
        <f t="shared" si="111"/>
        <v>5.8529</v>
      </c>
      <c r="AB1726" s="150"/>
      <c r="AC1726" s="154"/>
      <c r="AD1726" s="154"/>
      <c r="AE1726" s="154"/>
      <c r="AF1726" s="154"/>
    </row>
    <row r="1727" spans="1:32" x14ac:dyDescent="0.25">
      <c r="A1727" s="196">
        <v>1913</v>
      </c>
      <c r="B1727" s="196" t="s">
        <v>4879</v>
      </c>
      <c r="C1727" s="196" t="s">
        <v>8313</v>
      </c>
      <c r="D1727" s="196" t="s">
        <v>2209</v>
      </c>
      <c r="F1727" s="196">
        <v>1996</v>
      </c>
      <c r="H1727" s="196" t="s">
        <v>2734</v>
      </c>
      <c r="I1727" s="184" t="s">
        <v>1914</v>
      </c>
      <c r="J1727" s="182" t="s">
        <v>8314</v>
      </c>
      <c r="K1727" s="196" t="s">
        <v>1881</v>
      </c>
      <c r="L1727" s="184" t="s">
        <v>8315</v>
      </c>
      <c r="M1727" s="196">
        <v>594</v>
      </c>
      <c r="O1727" s="196" t="s">
        <v>6724</v>
      </c>
      <c r="P1727" s="17">
        <v>428</v>
      </c>
      <c r="Q1727" s="175">
        <f t="shared" ref="Q1727:Q1790" si="115">R1727-U1727</f>
        <v>1.7</v>
      </c>
      <c r="R1727" s="175">
        <f t="shared" si="114"/>
        <v>2.9</v>
      </c>
      <c r="S1727" s="199">
        <v>2.9</v>
      </c>
      <c r="T1727" s="149">
        <v>0.13</v>
      </c>
      <c r="U1727" s="149" t="str">
        <f t="shared" ref="U1727:U1790" si="116">IF(P1727&lt;501,"1,20","1,70")</f>
        <v>1,20</v>
      </c>
      <c r="V1727" s="149">
        <f t="shared" ref="V1727:V1790" si="117">0.08+0.09+0.17</f>
        <v>0.33999999999999997</v>
      </c>
      <c r="W1727" s="149">
        <v>1</v>
      </c>
      <c r="X1727" s="152">
        <f t="shared" ref="X1727:X1790" si="118">(T1727+U1727+V1727+W1727)/100*7</f>
        <v>0.18689999999999998</v>
      </c>
      <c r="Y1727" s="150">
        <f t="shared" si="113"/>
        <v>1.242</v>
      </c>
      <c r="Z1727" s="152">
        <f t="shared" ref="Z1727:Z1790" si="119">S1727</f>
        <v>2.9</v>
      </c>
      <c r="AA1727" s="150">
        <f t="shared" ref="AA1727:AA1790" si="120">T1727+U1727+V1727+W1727+X1727</f>
        <v>2.8569</v>
      </c>
      <c r="AB1727" s="150"/>
      <c r="AC1727" s="154"/>
      <c r="AD1727" s="154"/>
      <c r="AE1727" s="154"/>
      <c r="AF1727" s="154"/>
    </row>
    <row r="1728" spans="1:32" x14ac:dyDescent="0.25">
      <c r="A1728" s="196">
        <v>1361</v>
      </c>
      <c r="C1728" s="196" t="s">
        <v>8316</v>
      </c>
      <c r="D1728" s="196" t="s">
        <v>8317</v>
      </c>
      <c r="E1728" s="182" t="s">
        <v>5035</v>
      </c>
      <c r="F1728" s="196">
        <v>1997</v>
      </c>
      <c r="H1728" s="196" t="s">
        <v>1878</v>
      </c>
      <c r="I1728" s="184" t="s">
        <v>1929</v>
      </c>
      <c r="K1728" s="196" t="s">
        <v>1881</v>
      </c>
      <c r="L1728" s="184" t="s">
        <v>8318</v>
      </c>
      <c r="M1728" s="196">
        <v>672</v>
      </c>
      <c r="O1728" s="196" t="s">
        <v>6725</v>
      </c>
      <c r="P1728" s="17">
        <v>686</v>
      </c>
      <c r="Q1728" s="175">
        <f t="shared" si="115"/>
        <v>2.1198999999999995</v>
      </c>
      <c r="R1728" s="175">
        <f t="shared" si="114"/>
        <v>3.8198999999999996</v>
      </c>
      <c r="S1728" s="199">
        <v>3.8</v>
      </c>
      <c r="T1728" s="149">
        <v>0.13</v>
      </c>
      <c r="U1728" s="149" t="str">
        <f t="shared" si="116"/>
        <v>1,70</v>
      </c>
      <c r="V1728" s="149">
        <f t="shared" si="117"/>
        <v>0.33999999999999997</v>
      </c>
      <c r="W1728" s="149">
        <v>1.4</v>
      </c>
      <c r="X1728" s="152">
        <f t="shared" si="118"/>
        <v>0.24989999999999996</v>
      </c>
      <c r="Y1728" s="150">
        <f t="shared" si="113"/>
        <v>1.3155920000000001</v>
      </c>
      <c r="Z1728" s="152">
        <f t="shared" si="119"/>
        <v>3.8</v>
      </c>
      <c r="AA1728" s="150">
        <f t="shared" si="120"/>
        <v>3.8198999999999996</v>
      </c>
      <c r="AB1728" s="150"/>
      <c r="AC1728" s="154"/>
      <c r="AD1728" s="154"/>
      <c r="AE1728" s="154"/>
      <c r="AF1728" s="154"/>
    </row>
    <row r="1729" spans="1:32" x14ac:dyDescent="0.25">
      <c r="A1729" s="196">
        <v>2522</v>
      </c>
      <c r="B1729" s="196" t="s">
        <v>8319</v>
      </c>
      <c r="C1729" s="196" t="s">
        <v>8320</v>
      </c>
      <c r="D1729" s="196" t="s">
        <v>3524</v>
      </c>
      <c r="E1729" s="196" t="s">
        <v>2922</v>
      </c>
      <c r="F1729" s="196">
        <v>2011</v>
      </c>
      <c r="H1729" s="196" t="s">
        <v>1878</v>
      </c>
      <c r="I1729" s="184" t="s">
        <v>1879</v>
      </c>
      <c r="K1729" s="196" t="s">
        <v>1881</v>
      </c>
      <c r="L1729" s="184" t="s">
        <v>8321</v>
      </c>
      <c r="M1729" s="196">
        <v>488</v>
      </c>
      <c r="O1729" s="196" t="s">
        <v>6726</v>
      </c>
      <c r="P1729" s="17">
        <v>684</v>
      </c>
      <c r="Q1729" s="175">
        <f t="shared" si="115"/>
        <v>5.3299000000000003</v>
      </c>
      <c r="R1729" s="175">
        <f t="shared" si="114"/>
        <v>7.0299000000000005</v>
      </c>
      <c r="S1729" s="199">
        <v>7</v>
      </c>
      <c r="T1729" s="149">
        <v>0.13</v>
      </c>
      <c r="U1729" s="149" t="str">
        <f t="shared" si="116"/>
        <v>1,70</v>
      </c>
      <c r="V1729" s="149">
        <f t="shared" si="117"/>
        <v>0.33999999999999997</v>
      </c>
      <c r="W1729" s="149">
        <v>4.4000000000000004</v>
      </c>
      <c r="X1729" s="152">
        <f t="shared" si="118"/>
        <v>0.45990000000000009</v>
      </c>
      <c r="Y1729" s="150">
        <f t="shared" si="113"/>
        <v>1.572392</v>
      </c>
      <c r="Z1729" s="152">
        <f t="shared" si="119"/>
        <v>7</v>
      </c>
      <c r="AA1729" s="150">
        <f t="shared" si="120"/>
        <v>7.0299000000000005</v>
      </c>
      <c r="AB1729" s="150"/>
      <c r="AC1729" s="154"/>
      <c r="AD1729" s="154"/>
      <c r="AE1729" s="154"/>
      <c r="AF1729" s="154"/>
    </row>
    <row r="1730" spans="1:32" x14ac:dyDescent="0.25">
      <c r="A1730" s="196">
        <v>1386</v>
      </c>
      <c r="B1730" s="196" t="s">
        <v>7334</v>
      </c>
      <c r="C1730" s="196" t="s">
        <v>8640</v>
      </c>
      <c r="D1730" s="196" t="s">
        <v>5005</v>
      </c>
      <c r="F1730" s="196">
        <v>1992</v>
      </c>
      <c r="H1730" s="196" t="s">
        <v>2734</v>
      </c>
      <c r="I1730" s="184" t="s">
        <v>1879</v>
      </c>
      <c r="K1730" s="196" t="s">
        <v>1881</v>
      </c>
      <c r="M1730" s="196">
        <v>242</v>
      </c>
      <c r="O1730" s="196" t="s">
        <v>6727</v>
      </c>
      <c r="P1730" s="17">
        <v>429</v>
      </c>
      <c r="Q1730" s="175">
        <f t="shared" si="115"/>
        <v>0.85439999999999983</v>
      </c>
      <c r="R1730" s="175">
        <f t="shared" si="114"/>
        <v>2.0543999999999998</v>
      </c>
      <c r="S1730" s="199">
        <v>1.45</v>
      </c>
      <c r="T1730" s="149">
        <v>0.13</v>
      </c>
      <c r="U1730" s="149" t="str">
        <f t="shared" si="116"/>
        <v>1,20</v>
      </c>
      <c r="V1730" s="149">
        <f t="shared" si="117"/>
        <v>0.33999999999999997</v>
      </c>
      <c r="W1730" s="149">
        <v>0.25</v>
      </c>
      <c r="X1730" s="152">
        <f t="shared" si="118"/>
        <v>0.13439999999999999</v>
      </c>
      <c r="Y1730" s="150">
        <f t="shared" si="113"/>
        <v>1.1743520000000001</v>
      </c>
      <c r="Z1730" s="152">
        <f t="shared" si="119"/>
        <v>1.45</v>
      </c>
      <c r="AA1730" s="150">
        <f t="shared" si="120"/>
        <v>2.0543999999999998</v>
      </c>
      <c r="AB1730" s="150"/>
      <c r="AC1730" s="154"/>
      <c r="AD1730" s="154"/>
      <c r="AE1730" s="154"/>
      <c r="AF1730" s="154"/>
    </row>
    <row r="1731" spans="1:32" x14ac:dyDescent="0.25">
      <c r="A1731" s="196">
        <v>1386</v>
      </c>
      <c r="B1731" s="196" t="s">
        <v>8160</v>
      </c>
      <c r="C1731" s="196" t="s">
        <v>8322</v>
      </c>
      <c r="D1731" s="196" t="s">
        <v>1912</v>
      </c>
      <c r="E1731" s="196" t="s">
        <v>1921</v>
      </c>
      <c r="F1731" s="196">
        <v>1998</v>
      </c>
      <c r="H1731" s="196" t="s">
        <v>1878</v>
      </c>
      <c r="I1731" s="184" t="s">
        <v>1879</v>
      </c>
      <c r="K1731" s="196" t="s">
        <v>1881</v>
      </c>
      <c r="L1731" s="184" t="s">
        <v>8323</v>
      </c>
      <c r="M1731" s="196">
        <v>480</v>
      </c>
      <c r="O1731" s="196" t="s">
        <v>6728</v>
      </c>
      <c r="P1731" s="17">
        <v>582</v>
      </c>
      <c r="Q1731" s="175">
        <f t="shared" si="115"/>
        <v>0.94289999999999963</v>
      </c>
      <c r="R1731" s="175">
        <f t="shared" si="114"/>
        <v>2.6428999999999996</v>
      </c>
      <c r="S1731" s="199">
        <v>2.6</v>
      </c>
      <c r="T1731" s="149">
        <v>0.13</v>
      </c>
      <c r="U1731" s="149" t="str">
        <f t="shared" si="116"/>
        <v>1,70</v>
      </c>
      <c r="V1731" s="149">
        <f t="shared" si="117"/>
        <v>0.33999999999999997</v>
      </c>
      <c r="W1731" s="149">
        <v>0.3</v>
      </c>
      <c r="X1731" s="152">
        <f t="shared" si="118"/>
        <v>0.17289999999999997</v>
      </c>
      <c r="Y1731" s="150">
        <f t="shared" si="113"/>
        <v>1.2214320000000001</v>
      </c>
      <c r="Z1731" s="152">
        <f t="shared" si="119"/>
        <v>2.6</v>
      </c>
      <c r="AA1731" s="150">
        <f t="shared" si="120"/>
        <v>2.6428999999999996</v>
      </c>
      <c r="AB1731" s="150"/>
      <c r="AC1731" s="154"/>
      <c r="AD1731" s="154"/>
      <c r="AE1731" s="154"/>
      <c r="AF1731" s="154"/>
    </row>
    <row r="1732" spans="1:32" x14ac:dyDescent="0.25">
      <c r="A1732" s="182">
        <v>720</v>
      </c>
      <c r="B1732" s="196" t="s">
        <v>8326</v>
      </c>
      <c r="C1732" s="196" t="s">
        <v>8324</v>
      </c>
      <c r="D1732" s="196" t="s">
        <v>8325</v>
      </c>
      <c r="E1732" s="196" t="s">
        <v>1877</v>
      </c>
      <c r="F1732" s="196">
        <v>1996</v>
      </c>
      <c r="H1732" s="196" t="s">
        <v>1878</v>
      </c>
      <c r="I1732" s="184" t="s">
        <v>1879</v>
      </c>
      <c r="K1732" s="196" t="s">
        <v>1881</v>
      </c>
      <c r="L1732" s="184" t="s">
        <v>8327</v>
      </c>
      <c r="M1732" s="196">
        <v>48</v>
      </c>
      <c r="O1732" s="196" t="s">
        <v>6729</v>
      </c>
      <c r="P1732" s="17">
        <v>166</v>
      </c>
      <c r="Q1732" s="175">
        <f t="shared" si="115"/>
        <v>1.3499999999999999</v>
      </c>
      <c r="R1732" s="175">
        <f t="shared" si="114"/>
        <v>2.5499999999999998</v>
      </c>
      <c r="S1732" s="199">
        <v>2.5499999999999998</v>
      </c>
      <c r="T1732" s="149">
        <v>0.13</v>
      </c>
      <c r="U1732" s="149" t="str">
        <f t="shared" si="116"/>
        <v>1,20</v>
      </c>
      <c r="V1732" s="149">
        <f t="shared" si="117"/>
        <v>0.33999999999999997</v>
      </c>
      <c r="W1732" s="149">
        <v>0.7</v>
      </c>
      <c r="X1732" s="152">
        <f t="shared" si="118"/>
        <v>0.16590000000000002</v>
      </c>
      <c r="Y1732" s="150">
        <f t="shared" si="113"/>
        <v>1.214</v>
      </c>
      <c r="Z1732" s="152">
        <f t="shared" si="119"/>
        <v>2.5499999999999998</v>
      </c>
      <c r="AA1732" s="150">
        <f t="shared" si="120"/>
        <v>2.5359000000000003</v>
      </c>
      <c r="AB1732" s="150"/>
      <c r="AC1732" s="154"/>
      <c r="AD1732" s="154"/>
      <c r="AE1732" s="154"/>
      <c r="AF1732" s="154"/>
    </row>
    <row r="1733" spans="1:32" x14ac:dyDescent="0.25">
      <c r="A1733" s="196">
        <v>1810</v>
      </c>
      <c r="C1733" s="196" t="s">
        <v>8328</v>
      </c>
      <c r="D1733" s="196" t="s">
        <v>8329</v>
      </c>
      <c r="E1733" s="196" t="s">
        <v>1877</v>
      </c>
      <c r="F1733" s="196">
        <v>2002</v>
      </c>
      <c r="H1733" s="196" t="s">
        <v>1878</v>
      </c>
      <c r="I1733" s="184" t="s">
        <v>1879</v>
      </c>
      <c r="K1733" s="196" t="s">
        <v>1881</v>
      </c>
      <c r="L1733" s="184" t="s">
        <v>8330</v>
      </c>
      <c r="M1733" s="196">
        <v>160</v>
      </c>
      <c r="O1733" s="196" t="s">
        <v>6730</v>
      </c>
      <c r="P1733" s="17">
        <v>249</v>
      </c>
      <c r="Q1733" s="175">
        <f t="shared" si="115"/>
        <v>1.0148999999999997</v>
      </c>
      <c r="R1733" s="175">
        <f t="shared" si="114"/>
        <v>2.2148999999999996</v>
      </c>
      <c r="S1733" s="199">
        <v>2.2000000000000002</v>
      </c>
      <c r="T1733" s="149">
        <v>0.13</v>
      </c>
      <c r="U1733" s="149" t="str">
        <f t="shared" si="116"/>
        <v>1,20</v>
      </c>
      <c r="V1733" s="149">
        <f t="shared" si="117"/>
        <v>0.33999999999999997</v>
      </c>
      <c r="W1733" s="149">
        <v>0.4</v>
      </c>
      <c r="X1733" s="152">
        <f t="shared" si="118"/>
        <v>0.1449</v>
      </c>
      <c r="Y1733" s="150">
        <f t="shared" si="113"/>
        <v>1.187192</v>
      </c>
      <c r="Z1733" s="152">
        <f t="shared" si="119"/>
        <v>2.2000000000000002</v>
      </c>
      <c r="AA1733" s="150">
        <f t="shared" si="120"/>
        <v>2.2148999999999996</v>
      </c>
      <c r="AB1733" s="150"/>
      <c r="AC1733" s="154"/>
      <c r="AD1733" s="154"/>
      <c r="AE1733" s="154"/>
      <c r="AF1733" s="154"/>
    </row>
    <row r="1734" spans="1:32" x14ac:dyDescent="0.25">
      <c r="A1734" s="196">
        <v>1365</v>
      </c>
      <c r="B1734" s="196" t="s">
        <v>8331</v>
      </c>
      <c r="C1734" s="196" t="s">
        <v>8332</v>
      </c>
      <c r="D1734" s="196" t="s">
        <v>2209</v>
      </c>
      <c r="E1734" s="196" t="s">
        <v>1877</v>
      </c>
      <c r="F1734" s="196">
        <v>2004</v>
      </c>
      <c r="H1734" s="196" t="s">
        <v>1878</v>
      </c>
      <c r="I1734" s="184" t="s">
        <v>1929</v>
      </c>
      <c r="K1734" s="196" t="s">
        <v>1881</v>
      </c>
      <c r="L1734" s="184" t="s">
        <v>8333</v>
      </c>
      <c r="M1734" s="196">
        <v>256</v>
      </c>
      <c r="O1734" s="196" t="s">
        <v>6731</v>
      </c>
      <c r="P1734" s="17">
        <v>423</v>
      </c>
      <c r="Q1734" s="175">
        <f t="shared" si="115"/>
        <v>0.85439999999999983</v>
      </c>
      <c r="R1734" s="175">
        <f t="shared" si="114"/>
        <v>2.0543999999999998</v>
      </c>
      <c r="S1734" s="199">
        <v>1.65</v>
      </c>
      <c r="T1734" s="149">
        <v>0.13</v>
      </c>
      <c r="U1734" s="149" t="str">
        <f t="shared" si="116"/>
        <v>1,20</v>
      </c>
      <c r="V1734" s="149">
        <f t="shared" si="117"/>
        <v>0.33999999999999997</v>
      </c>
      <c r="W1734" s="149">
        <v>0.25</v>
      </c>
      <c r="X1734" s="152">
        <f t="shared" si="118"/>
        <v>0.13439999999999999</v>
      </c>
      <c r="Y1734" s="150">
        <f t="shared" si="113"/>
        <v>1.1743520000000001</v>
      </c>
      <c r="Z1734" s="152">
        <f t="shared" si="119"/>
        <v>1.65</v>
      </c>
      <c r="AA1734" s="150">
        <f t="shared" si="120"/>
        <v>2.0543999999999998</v>
      </c>
      <c r="AB1734" s="150"/>
      <c r="AC1734" s="154"/>
      <c r="AD1734" s="154"/>
      <c r="AE1734" s="154"/>
      <c r="AF1734" s="154"/>
    </row>
    <row r="1735" spans="1:32" x14ac:dyDescent="0.25">
      <c r="A1735" s="196">
        <v>1322</v>
      </c>
      <c r="B1735" s="196" t="s">
        <v>8334</v>
      </c>
      <c r="C1735" s="196" t="s">
        <v>8335</v>
      </c>
      <c r="D1735" s="196" t="s">
        <v>3448</v>
      </c>
      <c r="F1735" s="196">
        <v>2010</v>
      </c>
      <c r="H1735" s="196" t="s">
        <v>1878</v>
      </c>
      <c r="I1735" s="184" t="s">
        <v>1879</v>
      </c>
      <c r="K1735" s="196" t="s">
        <v>1881</v>
      </c>
      <c r="L1735" s="184" t="s">
        <v>8336</v>
      </c>
      <c r="M1735" s="196">
        <v>176</v>
      </c>
      <c r="O1735" s="196" t="s">
        <v>6732</v>
      </c>
      <c r="P1735" s="17">
        <v>450</v>
      </c>
      <c r="Q1735" s="175">
        <f t="shared" si="115"/>
        <v>0.85439999999999983</v>
      </c>
      <c r="R1735" s="175">
        <f t="shared" si="114"/>
        <v>2.0543999999999998</v>
      </c>
      <c r="S1735" s="199">
        <v>2.0299999999999998</v>
      </c>
      <c r="T1735" s="149">
        <v>0.13</v>
      </c>
      <c r="U1735" s="149" t="str">
        <f t="shared" si="116"/>
        <v>1,20</v>
      </c>
      <c r="V1735" s="149">
        <f t="shared" si="117"/>
        <v>0.33999999999999997</v>
      </c>
      <c r="W1735" s="149">
        <v>0.25</v>
      </c>
      <c r="X1735" s="152">
        <f t="shared" si="118"/>
        <v>0.13439999999999999</v>
      </c>
      <c r="Y1735" s="150">
        <f t="shared" si="113"/>
        <v>1.1743520000000001</v>
      </c>
      <c r="Z1735" s="152">
        <f t="shared" si="119"/>
        <v>2.0299999999999998</v>
      </c>
      <c r="AA1735" s="150">
        <f t="shared" si="120"/>
        <v>2.0543999999999998</v>
      </c>
      <c r="AB1735" s="150"/>
      <c r="AC1735" s="154"/>
      <c r="AD1735" s="154"/>
      <c r="AE1735" s="154"/>
      <c r="AF1735" s="154"/>
    </row>
    <row r="1736" spans="1:32" x14ac:dyDescent="0.25">
      <c r="A1736" s="196">
        <v>1395</v>
      </c>
      <c r="B1736" s="196" t="s">
        <v>4216</v>
      </c>
      <c r="C1736" s="196" t="s">
        <v>8337</v>
      </c>
      <c r="D1736" s="196" t="s">
        <v>1912</v>
      </c>
      <c r="E1736" s="196" t="s">
        <v>1899</v>
      </c>
      <c r="F1736" s="196">
        <v>2009</v>
      </c>
      <c r="H1736" s="196" t="s">
        <v>1878</v>
      </c>
      <c r="I1736" s="184" t="s">
        <v>1879</v>
      </c>
      <c r="K1736" s="196" t="s">
        <v>1881</v>
      </c>
      <c r="L1736" s="184" t="s">
        <v>8338</v>
      </c>
      <c r="M1736" s="196">
        <v>352</v>
      </c>
      <c r="O1736" s="196" t="s">
        <v>6733</v>
      </c>
      <c r="P1736" s="17">
        <v>290</v>
      </c>
      <c r="Q1736" s="175">
        <f t="shared" si="115"/>
        <v>0.85439999999999983</v>
      </c>
      <c r="R1736" s="175">
        <f t="shared" si="114"/>
        <v>2.0543999999999998</v>
      </c>
      <c r="S1736" s="199">
        <v>1.55</v>
      </c>
      <c r="T1736" s="149">
        <v>0.13</v>
      </c>
      <c r="U1736" s="149" t="str">
        <f t="shared" si="116"/>
        <v>1,20</v>
      </c>
      <c r="V1736" s="149">
        <f t="shared" si="117"/>
        <v>0.33999999999999997</v>
      </c>
      <c r="W1736" s="149">
        <v>0.25</v>
      </c>
      <c r="X1736" s="152">
        <f t="shared" si="118"/>
        <v>0.13439999999999999</v>
      </c>
      <c r="Y1736" s="150">
        <f t="shared" si="113"/>
        <v>1.1743520000000001</v>
      </c>
      <c r="Z1736" s="152">
        <f t="shared" si="119"/>
        <v>1.55</v>
      </c>
      <c r="AA1736" s="150">
        <f t="shared" si="120"/>
        <v>2.0543999999999998</v>
      </c>
      <c r="AB1736" s="150"/>
      <c r="AC1736" s="154"/>
      <c r="AD1736" s="154"/>
      <c r="AE1736" s="154"/>
      <c r="AF1736" s="154"/>
    </row>
    <row r="1737" spans="1:32" x14ac:dyDescent="0.25">
      <c r="A1737" s="196">
        <v>2649</v>
      </c>
      <c r="B1737" s="196" t="s">
        <v>8339</v>
      </c>
      <c r="C1737" s="196" t="s">
        <v>8340</v>
      </c>
      <c r="D1737" s="196" t="s">
        <v>2103</v>
      </c>
      <c r="F1737" s="196">
        <v>2010</v>
      </c>
      <c r="H1737" s="196" t="s">
        <v>1878</v>
      </c>
      <c r="I1737" s="184" t="s">
        <v>6422</v>
      </c>
      <c r="J1737" s="182" t="s">
        <v>8341</v>
      </c>
      <c r="K1737" s="196" t="s">
        <v>1881</v>
      </c>
      <c r="L1737" s="184" t="s">
        <v>8342</v>
      </c>
      <c r="M1737" s="196">
        <v>146</v>
      </c>
      <c r="O1737" s="196" t="s">
        <v>6734</v>
      </c>
      <c r="P1737" s="17">
        <v>95</v>
      </c>
      <c r="Q1737" s="175">
        <f t="shared" si="115"/>
        <v>0.85439999999999983</v>
      </c>
      <c r="R1737" s="175">
        <f t="shared" si="114"/>
        <v>2.0543999999999998</v>
      </c>
      <c r="S1737" s="199">
        <v>1.6</v>
      </c>
      <c r="T1737" s="149">
        <v>0.13</v>
      </c>
      <c r="U1737" s="149" t="str">
        <f t="shared" si="116"/>
        <v>1,20</v>
      </c>
      <c r="V1737" s="149">
        <f t="shared" si="117"/>
        <v>0.33999999999999997</v>
      </c>
      <c r="W1737" s="149">
        <v>0.25</v>
      </c>
      <c r="X1737" s="152">
        <f t="shared" si="118"/>
        <v>0.13439999999999999</v>
      </c>
      <c r="Y1737" s="150">
        <f t="shared" si="113"/>
        <v>1.1743520000000001</v>
      </c>
      <c r="Z1737" s="152">
        <f t="shared" si="119"/>
        <v>1.6</v>
      </c>
      <c r="AA1737" s="150">
        <f t="shared" si="120"/>
        <v>2.0543999999999998</v>
      </c>
      <c r="AB1737" s="150"/>
      <c r="AC1737" s="154"/>
      <c r="AD1737" s="154"/>
      <c r="AE1737" s="154"/>
      <c r="AF1737" s="154"/>
    </row>
    <row r="1738" spans="1:32" x14ac:dyDescent="0.25">
      <c r="A1738" s="196">
        <v>632</v>
      </c>
      <c r="B1738" s="196" t="s">
        <v>8343</v>
      </c>
      <c r="C1738" s="196" t="s">
        <v>8344</v>
      </c>
      <c r="D1738" s="196" t="s">
        <v>8345</v>
      </c>
      <c r="F1738" s="196">
        <v>2008</v>
      </c>
      <c r="H1738" s="196" t="s">
        <v>2734</v>
      </c>
      <c r="I1738" s="184" t="s">
        <v>1914</v>
      </c>
      <c r="J1738" s="182" t="s">
        <v>4314</v>
      </c>
      <c r="K1738" s="196" t="s">
        <v>1881</v>
      </c>
      <c r="L1738" s="184" t="s">
        <v>8346</v>
      </c>
      <c r="M1738" s="196">
        <v>224</v>
      </c>
      <c r="O1738" s="196" t="s">
        <v>6735</v>
      </c>
      <c r="P1738" s="17">
        <v>404</v>
      </c>
      <c r="Q1738" s="175">
        <f t="shared" si="115"/>
        <v>2.6399999999999997</v>
      </c>
      <c r="R1738" s="175">
        <f t="shared" si="114"/>
        <v>3.84</v>
      </c>
      <c r="S1738" s="199">
        <v>3.84</v>
      </c>
      <c r="T1738" s="149">
        <v>0.13</v>
      </c>
      <c r="U1738" s="149" t="str">
        <f t="shared" si="116"/>
        <v>1,20</v>
      </c>
      <c r="V1738" s="149">
        <f t="shared" si="117"/>
        <v>0.33999999999999997</v>
      </c>
      <c r="W1738" s="149">
        <v>1.9</v>
      </c>
      <c r="X1738" s="152">
        <f t="shared" si="118"/>
        <v>0.24989999999999996</v>
      </c>
      <c r="Y1738" s="150">
        <f t="shared" si="113"/>
        <v>1.3171999999999999</v>
      </c>
      <c r="Z1738" s="152">
        <f t="shared" si="119"/>
        <v>3.84</v>
      </c>
      <c r="AA1738" s="150">
        <f t="shared" si="120"/>
        <v>3.8198999999999996</v>
      </c>
      <c r="AB1738" s="150"/>
      <c r="AC1738" s="154"/>
      <c r="AD1738" s="154"/>
      <c r="AE1738" s="154"/>
      <c r="AF1738" s="154"/>
    </row>
    <row r="1739" spans="1:32" x14ac:dyDescent="0.25">
      <c r="A1739" s="196">
        <v>1320</v>
      </c>
      <c r="C1739" s="196" t="s">
        <v>8347</v>
      </c>
      <c r="D1739" s="196" t="s">
        <v>8348</v>
      </c>
      <c r="H1739" s="196" t="s">
        <v>1878</v>
      </c>
      <c r="I1739" s="184" t="s">
        <v>1929</v>
      </c>
      <c r="K1739" s="196" t="s">
        <v>1881</v>
      </c>
      <c r="L1739" s="184" t="s">
        <v>8349</v>
      </c>
      <c r="M1739" s="196">
        <v>258</v>
      </c>
      <c r="O1739" s="196" t="s">
        <v>6736</v>
      </c>
      <c r="P1739" s="17">
        <v>333</v>
      </c>
      <c r="Q1739" s="175">
        <f t="shared" si="115"/>
        <v>1.2289000000000001</v>
      </c>
      <c r="R1739" s="175">
        <f t="shared" si="114"/>
        <v>2.4289000000000001</v>
      </c>
      <c r="S1739" s="199">
        <v>2.4</v>
      </c>
      <c r="T1739" s="149">
        <v>0.13</v>
      </c>
      <c r="U1739" s="149" t="str">
        <f t="shared" si="116"/>
        <v>1,20</v>
      </c>
      <c r="V1739" s="149">
        <f t="shared" si="117"/>
        <v>0.33999999999999997</v>
      </c>
      <c r="W1739" s="149">
        <v>0.6</v>
      </c>
      <c r="X1739" s="152">
        <f t="shared" si="118"/>
        <v>0.15890000000000001</v>
      </c>
      <c r="Y1739" s="150">
        <f t="shared" si="113"/>
        <v>1.204312</v>
      </c>
      <c r="Z1739" s="152">
        <f t="shared" si="119"/>
        <v>2.4</v>
      </c>
      <c r="AA1739" s="150">
        <f t="shared" si="120"/>
        <v>2.4289000000000001</v>
      </c>
      <c r="AB1739" s="150"/>
      <c r="AC1739" s="154"/>
      <c r="AD1739" s="154"/>
      <c r="AE1739" s="154"/>
      <c r="AF1739" s="154"/>
    </row>
    <row r="1740" spans="1:32" x14ac:dyDescent="0.25">
      <c r="A1740" s="196">
        <v>542</v>
      </c>
      <c r="B1740" s="196" t="s">
        <v>8350</v>
      </c>
      <c r="C1740" s="196" t="s">
        <v>8351</v>
      </c>
      <c r="D1740" s="196" t="s">
        <v>1988</v>
      </c>
      <c r="F1740" s="196">
        <v>1999</v>
      </c>
      <c r="H1740" s="196" t="s">
        <v>1878</v>
      </c>
      <c r="I1740" s="184" t="s">
        <v>1929</v>
      </c>
      <c r="K1740" s="196" t="s">
        <v>1881</v>
      </c>
      <c r="L1740" s="184" t="s">
        <v>8352</v>
      </c>
      <c r="M1740" s="196">
        <v>280</v>
      </c>
      <c r="O1740" s="196" t="s">
        <v>6737</v>
      </c>
      <c r="P1740" s="17">
        <v>418</v>
      </c>
      <c r="Q1740" s="175">
        <f t="shared" si="115"/>
        <v>1.2900000000000003</v>
      </c>
      <c r="R1740" s="175">
        <f t="shared" si="114"/>
        <v>2.4900000000000002</v>
      </c>
      <c r="S1740" s="199">
        <v>2.4900000000000002</v>
      </c>
      <c r="T1740" s="149">
        <v>0.13</v>
      </c>
      <c r="U1740" s="149" t="str">
        <f t="shared" si="116"/>
        <v>1,20</v>
      </c>
      <c r="V1740" s="149">
        <f t="shared" si="117"/>
        <v>0.33999999999999997</v>
      </c>
      <c r="W1740" s="149">
        <v>0.6</v>
      </c>
      <c r="X1740" s="152">
        <f t="shared" si="118"/>
        <v>0.15890000000000001</v>
      </c>
      <c r="Y1740" s="150">
        <f t="shared" si="113"/>
        <v>1.2092000000000001</v>
      </c>
      <c r="Z1740" s="152">
        <f t="shared" si="119"/>
        <v>2.4900000000000002</v>
      </c>
      <c r="AA1740" s="150">
        <f t="shared" si="120"/>
        <v>2.4289000000000001</v>
      </c>
      <c r="AB1740" s="150"/>
      <c r="AC1740" s="154"/>
      <c r="AD1740" s="154"/>
      <c r="AE1740" s="154"/>
      <c r="AF1740" s="154"/>
    </row>
    <row r="1741" spans="1:32" x14ac:dyDescent="0.25">
      <c r="A1741" s="196">
        <v>1809</v>
      </c>
      <c r="B1741" s="196" t="s">
        <v>8353</v>
      </c>
      <c r="C1741" s="196" t="s">
        <v>8354</v>
      </c>
      <c r="D1741" s="196" t="s">
        <v>3116</v>
      </c>
      <c r="E1741" s="196" t="s">
        <v>1913</v>
      </c>
      <c r="F1741" s="196">
        <v>2001</v>
      </c>
      <c r="H1741" s="196" t="s">
        <v>2734</v>
      </c>
      <c r="I1741" s="184" t="s">
        <v>1929</v>
      </c>
      <c r="K1741" s="196" t="s">
        <v>1881</v>
      </c>
      <c r="L1741" s="184" t="s">
        <v>8355</v>
      </c>
      <c r="M1741" s="196">
        <v>194</v>
      </c>
      <c r="O1741" s="196" t="s">
        <v>6738</v>
      </c>
      <c r="P1741" s="17">
        <v>337</v>
      </c>
      <c r="Q1741" s="175">
        <f t="shared" si="115"/>
        <v>0.85439999999999983</v>
      </c>
      <c r="R1741" s="175">
        <f t="shared" si="114"/>
        <v>2.0543999999999998</v>
      </c>
      <c r="S1741" s="199">
        <v>1.944</v>
      </c>
      <c r="T1741" s="149">
        <v>0.13</v>
      </c>
      <c r="U1741" s="149" t="str">
        <f t="shared" si="116"/>
        <v>1,20</v>
      </c>
      <c r="V1741" s="149">
        <f t="shared" si="117"/>
        <v>0.33999999999999997</v>
      </c>
      <c r="W1741" s="149">
        <v>0.25</v>
      </c>
      <c r="X1741" s="152">
        <f t="shared" si="118"/>
        <v>0.13439999999999999</v>
      </c>
      <c r="Y1741" s="150">
        <f t="shared" si="113"/>
        <v>1.1743520000000001</v>
      </c>
      <c r="Z1741" s="152">
        <f t="shared" si="119"/>
        <v>1.944</v>
      </c>
      <c r="AA1741" s="150">
        <f t="shared" si="120"/>
        <v>2.0543999999999998</v>
      </c>
      <c r="AB1741" s="150"/>
      <c r="AC1741" s="154"/>
      <c r="AD1741" s="154"/>
      <c r="AE1741" s="154"/>
      <c r="AF1741" s="154"/>
    </row>
    <row r="1742" spans="1:32" x14ac:dyDescent="0.25">
      <c r="A1742" s="196">
        <v>735</v>
      </c>
      <c r="B1742" s="196" t="s">
        <v>7741</v>
      </c>
      <c r="C1742" s="196" t="s">
        <v>8356</v>
      </c>
      <c r="D1742" s="196" t="s">
        <v>2897</v>
      </c>
      <c r="E1742" s="196" t="s">
        <v>1913</v>
      </c>
      <c r="F1742" s="196">
        <v>1997</v>
      </c>
      <c r="H1742" s="196" t="s">
        <v>2734</v>
      </c>
      <c r="I1742" s="184" t="s">
        <v>1879</v>
      </c>
      <c r="K1742" s="196" t="s">
        <v>1881</v>
      </c>
      <c r="L1742" s="184" t="s">
        <v>8357</v>
      </c>
      <c r="M1742" s="196">
        <v>450</v>
      </c>
      <c r="O1742" s="196" t="s">
        <v>6739</v>
      </c>
      <c r="P1742" s="17">
        <v>821</v>
      </c>
      <c r="Q1742" s="175">
        <f t="shared" si="115"/>
        <v>0.88939999999999997</v>
      </c>
      <c r="R1742" s="175">
        <f t="shared" si="114"/>
        <v>2.5893999999999999</v>
      </c>
      <c r="S1742" s="199">
        <v>2.2000000000000002</v>
      </c>
      <c r="T1742" s="149">
        <v>0.13</v>
      </c>
      <c r="U1742" s="149" t="str">
        <f t="shared" si="116"/>
        <v>1,70</v>
      </c>
      <c r="V1742" s="149">
        <f t="shared" si="117"/>
        <v>0.33999999999999997</v>
      </c>
      <c r="W1742" s="149">
        <v>0.25</v>
      </c>
      <c r="X1742" s="152">
        <f t="shared" si="118"/>
        <v>0.1694</v>
      </c>
      <c r="Y1742" s="150">
        <f t="shared" si="113"/>
        <v>1.217152</v>
      </c>
      <c r="Z1742" s="152">
        <f t="shared" si="119"/>
        <v>2.2000000000000002</v>
      </c>
      <c r="AA1742" s="150">
        <f t="shared" si="120"/>
        <v>2.5893999999999999</v>
      </c>
      <c r="AB1742" s="150"/>
      <c r="AC1742" s="154"/>
      <c r="AD1742" s="154"/>
      <c r="AE1742" s="154"/>
      <c r="AF1742" s="154"/>
    </row>
    <row r="1743" spans="1:32" x14ac:dyDescent="0.25">
      <c r="A1743" s="196">
        <v>2522</v>
      </c>
      <c r="B1743" s="196" t="s">
        <v>8358</v>
      </c>
      <c r="C1743" s="196" t="s">
        <v>8359</v>
      </c>
      <c r="D1743" s="196" t="s">
        <v>1912</v>
      </c>
      <c r="E1743" s="196" t="s">
        <v>1921</v>
      </c>
      <c r="F1743" s="196">
        <v>2012</v>
      </c>
      <c r="H1743" s="196" t="s">
        <v>1878</v>
      </c>
      <c r="I1743" s="184" t="s">
        <v>1879</v>
      </c>
      <c r="K1743" s="196" t="s">
        <v>1881</v>
      </c>
      <c r="L1743" s="184" t="s">
        <v>8360</v>
      </c>
      <c r="M1743" s="196">
        <v>448</v>
      </c>
      <c r="O1743" s="196" t="s">
        <v>6740</v>
      </c>
      <c r="P1743" s="17">
        <v>398</v>
      </c>
      <c r="Q1743" s="175">
        <f t="shared" si="115"/>
        <v>0.85439999999999983</v>
      </c>
      <c r="R1743" s="175">
        <f t="shared" si="114"/>
        <v>2.0543999999999998</v>
      </c>
      <c r="S1743" s="199">
        <v>1.89</v>
      </c>
      <c r="T1743" s="149">
        <v>0.13</v>
      </c>
      <c r="U1743" s="149" t="str">
        <f t="shared" si="116"/>
        <v>1,20</v>
      </c>
      <c r="V1743" s="149">
        <f t="shared" si="117"/>
        <v>0.33999999999999997</v>
      </c>
      <c r="W1743" s="149">
        <v>0.25</v>
      </c>
      <c r="X1743" s="152">
        <f t="shared" si="118"/>
        <v>0.13439999999999999</v>
      </c>
      <c r="Y1743" s="150">
        <f t="shared" si="113"/>
        <v>1.1743520000000001</v>
      </c>
      <c r="Z1743" s="152">
        <f t="shared" si="119"/>
        <v>1.89</v>
      </c>
      <c r="AA1743" s="150">
        <f t="shared" si="120"/>
        <v>2.0543999999999998</v>
      </c>
      <c r="AB1743" s="150"/>
      <c r="AC1743" s="154"/>
      <c r="AD1743" s="154"/>
      <c r="AE1743" s="154"/>
      <c r="AF1743" s="154"/>
    </row>
    <row r="1744" spans="1:32" x14ac:dyDescent="0.25">
      <c r="A1744" s="196">
        <v>796</v>
      </c>
      <c r="B1744" s="196" t="s">
        <v>3143</v>
      </c>
      <c r="C1744" s="196" t="s">
        <v>4614</v>
      </c>
      <c r="D1744" s="196" t="s">
        <v>2609</v>
      </c>
      <c r="F1744" s="196">
        <v>2009</v>
      </c>
      <c r="H1744" s="196" t="s">
        <v>1878</v>
      </c>
      <c r="I1744" s="184" t="s">
        <v>1879</v>
      </c>
      <c r="K1744" s="196" t="s">
        <v>1881</v>
      </c>
      <c r="L1744" s="184" t="s">
        <v>8361</v>
      </c>
      <c r="M1744" s="196">
        <v>448</v>
      </c>
      <c r="O1744" s="196" t="s">
        <v>6741</v>
      </c>
      <c r="P1744" s="17">
        <v>394</v>
      </c>
      <c r="Q1744" s="175">
        <f t="shared" si="115"/>
        <v>0.85439999999999983</v>
      </c>
      <c r="R1744" s="175">
        <f t="shared" si="114"/>
        <v>2.0543999999999998</v>
      </c>
      <c r="S1744" s="199">
        <v>1.9</v>
      </c>
      <c r="T1744" s="149">
        <v>0.13</v>
      </c>
      <c r="U1744" s="149" t="str">
        <f t="shared" si="116"/>
        <v>1,20</v>
      </c>
      <c r="V1744" s="149">
        <f t="shared" si="117"/>
        <v>0.33999999999999997</v>
      </c>
      <c r="W1744" s="149">
        <v>0.25</v>
      </c>
      <c r="X1744" s="152">
        <f t="shared" si="118"/>
        <v>0.13439999999999999</v>
      </c>
      <c r="Y1744" s="150">
        <f t="shared" si="113"/>
        <v>1.1743520000000001</v>
      </c>
      <c r="Z1744" s="152">
        <f t="shared" si="119"/>
        <v>1.9</v>
      </c>
      <c r="AA1744" s="150">
        <f t="shared" si="120"/>
        <v>2.0543999999999998</v>
      </c>
      <c r="AB1744" s="150"/>
      <c r="AC1744" s="154"/>
      <c r="AD1744" s="154"/>
      <c r="AE1744" s="154"/>
      <c r="AF1744" s="154"/>
    </row>
    <row r="1745" spans="1:32" x14ac:dyDescent="0.25">
      <c r="A1745" s="196">
        <v>632</v>
      </c>
      <c r="B1745" s="196" t="s">
        <v>8362</v>
      </c>
      <c r="C1745" s="196" t="s">
        <v>8639</v>
      </c>
      <c r="D1745" s="196" t="s">
        <v>2054</v>
      </c>
      <c r="F1745" s="196">
        <v>1984</v>
      </c>
      <c r="H1745" s="196" t="s">
        <v>2734</v>
      </c>
      <c r="I1745" s="184" t="s">
        <v>1879</v>
      </c>
      <c r="K1745" s="196" t="s">
        <v>1881</v>
      </c>
      <c r="L1745" s="184" t="s">
        <v>8363</v>
      </c>
      <c r="M1745" s="196">
        <v>378</v>
      </c>
      <c r="O1745" s="196" t="s">
        <v>6742</v>
      </c>
      <c r="P1745" s="17">
        <v>469</v>
      </c>
      <c r="Q1745" s="175">
        <f t="shared" si="115"/>
        <v>1.8173999999999999</v>
      </c>
      <c r="R1745" s="175">
        <f t="shared" si="114"/>
        <v>3.0173999999999999</v>
      </c>
      <c r="S1745" s="199">
        <v>3</v>
      </c>
      <c r="T1745" s="149">
        <v>0.13</v>
      </c>
      <c r="U1745" s="149" t="str">
        <f t="shared" si="116"/>
        <v>1,20</v>
      </c>
      <c r="V1745" s="149">
        <f t="shared" si="117"/>
        <v>0.33999999999999997</v>
      </c>
      <c r="W1745" s="149">
        <v>1.1499999999999999</v>
      </c>
      <c r="X1745" s="152">
        <f t="shared" si="118"/>
        <v>0.19739999999999999</v>
      </c>
      <c r="Y1745" s="150">
        <f t="shared" si="113"/>
        <v>1.2513920000000001</v>
      </c>
      <c r="Z1745" s="152">
        <f t="shared" si="119"/>
        <v>3</v>
      </c>
      <c r="AA1745" s="150">
        <f t="shared" si="120"/>
        <v>3.0173999999999999</v>
      </c>
      <c r="AB1745" s="150"/>
      <c r="AC1745" s="154"/>
      <c r="AD1745" s="154"/>
      <c r="AE1745" s="154"/>
      <c r="AF1745" s="154"/>
    </row>
    <row r="1746" spans="1:32" x14ac:dyDescent="0.25">
      <c r="A1746" s="196">
        <v>689</v>
      </c>
      <c r="B1746" s="196" t="s">
        <v>2470</v>
      </c>
      <c r="C1746" s="196" t="s">
        <v>8364</v>
      </c>
      <c r="D1746" s="196" t="s">
        <v>3022</v>
      </c>
      <c r="F1746" s="196">
        <v>1998</v>
      </c>
      <c r="H1746" s="196" t="s">
        <v>2734</v>
      </c>
      <c r="I1746" s="184" t="s">
        <v>1929</v>
      </c>
      <c r="K1746" s="196" t="s">
        <v>1881</v>
      </c>
      <c r="L1746" s="184" t="s">
        <v>8365</v>
      </c>
      <c r="M1746" s="196">
        <v>338</v>
      </c>
      <c r="O1746" s="196" t="s">
        <v>6743</v>
      </c>
      <c r="P1746" s="17">
        <v>630</v>
      </c>
      <c r="Q1746" s="175">
        <f t="shared" si="115"/>
        <v>1.22</v>
      </c>
      <c r="R1746" s="175">
        <f t="shared" si="114"/>
        <v>2.92</v>
      </c>
      <c r="S1746" s="199">
        <f>0.63+2.29</f>
        <v>2.92</v>
      </c>
      <c r="T1746" s="149">
        <v>0.13</v>
      </c>
      <c r="U1746" s="149" t="str">
        <f t="shared" si="116"/>
        <v>1,70</v>
      </c>
      <c r="V1746" s="149">
        <f t="shared" si="117"/>
        <v>0.33999999999999997</v>
      </c>
      <c r="W1746" s="149">
        <v>0.55000000000000004</v>
      </c>
      <c r="X1746" s="152">
        <f t="shared" si="118"/>
        <v>0.19039999999999999</v>
      </c>
      <c r="Y1746" s="150">
        <f t="shared" si="113"/>
        <v>1.2436</v>
      </c>
      <c r="Z1746" s="152">
        <f t="shared" si="119"/>
        <v>2.92</v>
      </c>
      <c r="AA1746" s="150">
        <f t="shared" si="120"/>
        <v>2.9103999999999997</v>
      </c>
      <c r="AB1746" s="150"/>
      <c r="AC1746" s="154"/>
      <c r="AD1746" s="154"/>
      <c r="AE1746" s="154"/>
      <c r="AF1746" s="154"/>
    </row>
    <row r="1747" spans="1:32" x14ac:dyDescent="0.25">
      <c r="A1747" s="196">
        <v>853</v>
      </c>
      <c r="B1747" s="196" t="s">
        <v>8366</v>
      </c>
      <c r="C1747" s="196" t="s">
        <v>8367</v>
      </c>
      <c r="D1747" s="196" t="s">
        <v>8368</v>
      </c>
      <c r="F1747" s="196">
        <v>1986</v>
      </c>
      <c r="H1747" s="196" t="s">
        <v>2734</v>
      </c>
      <c r="I1747" s="184" t="s">
        <v>1879</v>
      </c>
      <c r="K1747" s="196" t="s">
        <v>1881</v>
      </c>
      <c r="L1747" s="184" t="s">
        <v>8369</v>
      </c>
      <c r="M1747" s="196">
        <v>162</v>
      </c>
      <c r="O1747" s="196" t="s">
        <v>6744</v>
      </c>
      <c r="P1747" s="17">
        <v>622</v>
      </c>
      <c r="Q1747" s="175">
        <f t="shared" si="115"/>
        <v>2.1198999999999995</v>
      </c>
      <c r="R1747" s="175">
        <f t="shared" si="114"/>
        <v>3.8198999999999996</v>
      </c>
      <c r="S1747" s="199">
        <v>3.77</v>
      </c>
      <c r="T1747" s="149">
        <v>0.13</v>
      </c>
      <c r="U1747" s="149" t="str">
        <f t="shared" si="116"/>
        <v>1,70</v>
      </c>
      <c r="V1747" s="149">
        <f t="shared" si="117"/>
        <v>0.33999999999999997</v>
      </c>
      <c r="W1747" s="149">
        <v>1.4</v>
      </c>
      <c r="X1747" s="152">
        <f t="shared" si="118"/>
        <v>0.24989999999999996</v>
      </c>
      <c r="Y1747" s="150">
        <f t="shared" si="113"/>
        <v>1.3155920000000001</v>
      </c>
      <c r="Z1747" s="152">
        <f t="shared" si="119"/>
        <v>3.77</v>
      </c>
      <c r="AA1747" s="150">
        <f t="shared" si="120"/>
        <v>3.8198999999999996</v>
      </c>
      <c r="AB1747" s="150"/>
      <c r="AC1747" s="154"/>
      <c r="AD1747" s="154"/>
      <c r="AE1747" s="154"/>
      <c r="AF1747" s="154"/>
    </row>
    <row r="1748" spans="1:32" x14ac:dyDescent="0.25">
      <c r="A1748" s="196">
        <v>1289</v>
      </c>
      <c r="B1748" s="196" t="s">
        <v>8370</v>
      </c>
      <c r="C1748" s="196" t="s">
        <v>8371</v>
      </c>
      <c r="D1748" s="196" t="s">
        <v>2835</v>
      </c>
      <c r="E1748" s="196" t="s">
        <v>1899</v>
      </c>
      <c r="F1748" s="196">
        <v>1977</v>
      </c>
      <c r="H1748" s="196" t="s">
        <v>1878</v>
      </c>
      <c r="I1748" s="184" t="s">
        <v>1914</v>
      </c>
      <c r="K1748" s="196" t="s">
        <v>1881</v>
      </c>
      <c r="M1748" s="196">
        <v>104</v>
      </c>
      <c r="O1748" s="196" t="s">
        <v>6745</v>
      </c>
      <c r="P1748" s="17">
        <v>163</v>
      </c>
      <c r="Q1748" s="175">
        <f t="shared" si="115"/>
        <v>1.7103999999999997</v>
      </c>
      <c r="R1748" s="175">
        <f t="shared" si="114"/>
        <v>2.9103999999999997</v>
      </c>
      <c r="S1748" s="199">
        <v>2.87</v>
      </c>
      <c r="T1748" s="149">
        <v>0.13</v>
      </c>
      <c r="U1748" s="149" t="str">
        <f t="shared" si="116"/>
        <v>1,20</v>
      </c>
      <c r="V1748" s="149">
        <f t="shared" si="117"/>
        <v>0.33999999999999997</v>
      </c>
      <c r="W1748" s="149">
        <v>1.05</v>
      </c>
      <c r="X1748" s="152">
        <f t="shared" si="118"/>
        <v>0.19039999999999999</v>
      </c>
      <c r="Y1748" s="150">
        <f t="shared" si="113"/>
        <v>1.2428319999999999</v>
      </c>
      <c r="Z1748" s="152">
        <f t="shared" si="119"/>
        <v>2.87</v>
      </c>
      <c r="AA1748" s="150">
        <f t="shared" si="120"/>
        <v>2.9103999999999997</v>
      </c>
      <c r="AB1748" s="150"/>
      <c r="AC1748" s="154"/>
      <c r="AD1748" s="154"/>
      <c r="AE1748" s="154"/>
      <c r="AF1748" s="154"/>
    </row>
    <row r="1749" spans="1:32" x14ac:dyDescent="0.25">
      <c r="A1749" s="196">
        <v>1927</v>
      </c>
      <c r="B1749" s="196" t="s">
        <v>8372</v>
      </c>
      <c r="C1749" s="196" t="s">
        <v>8373</v>
      </c>
      <c r="D1749" s="196" t="s">
        <v>2609</v>
      </c>
      <c r="F1749" s="196">
        <v>2000</v>
      </c>
      <c r="H1749" s="196" t="s">
        <v>1878</v>
      </c>
      <c r="I1749" s="184" t="s">
        <v>1914</v>
      </c>
      <c r="K1749" s="196" t="s">
        <v>1881</v>
      </c>
      <c r="L1749" s="184" t="s">
        <v>8374</v>
      </c>
      <c r="M1749" s="196">
        <v>208</v>
      </c>
      <c r="O1749" s="196" t="s">
        <v>6746</v>
      </c>
      <c r="P1749" s="17">
        <v>190</v>
      </c>
      <c r="Q1749" s="175">
        <f t="shared" si="115"/>
        <v>0.91859999999999986</v>
      </c>
      <c r="R1749" s="175">
        <f t="shared" si="114"/>
        <v>2.1185999999999998</v>
      </c>
      <c r="S1749" s="199">
        <v>2.1</v>
      </c>
      <c r="T1749" s="149">
        <v>0.13</v>
      </c>
      <c r="U1749" s="149" t="str">
        <f t="shared" si="116"/>
        <v>1,20</v>
      </c>
      <c r="V1749" s="149">
        <f t="shared" si="117"/>
        <v>0.33999999999999997</v>
      </c>
      <c r="W1749" s="149">
        <v>0.31</v>
      </c>
      <c r="X1749" s="152">
        <f t="shared" si="118"/>
        <v>0.1386</v>
      </c>
      <c r="Y1749" s="150">
        <f t="shared" si="113"/>
        <v>1.1794880000000001</v>
      </c>
      <c r="Z1749" s="152">
        <f t="shared" si="119"/>
        <v>2.1</v>
      </c>
      <c r="AA1749" s="150">
        <f t="shared" si="120"/>
        <v>2.1185999999999998</v>
      </c>
      <c r="AB1749" s="150"/>
      <c r="AC1749" s="154"/>
      <c r="AD1749" s="154"/>
      <c r="AE1749" s="154"/>
      <c r="AF1749" s="154"/>
    </row>
    <row r="1750" spans="1:32" x14ac:dyDescent="0.25">
      <c r="A1750" s="196">
        <v>1904</v>
      </c>
      <c r="B1750" s="196" t="s">
        <v>8375</v>
      </c>
      <c r="C1750" s="196" t="s">
        <v>8376</v>
      </c>
      <c r="D1750" s="196" t="s">
        <v>2818</v>
      </c>
      <c r="F1750" s="196">
        <v>2003</v>
      </c>
      <c r="H1750" s="196" t="s">
        <v>2734</v>
      </c>
      <c r="I1750" s="184" t="s">
        <v>1879</v>
      </c>
      <c r="K1750" s="196" t="s">
        <v>1881</v>
      </c>
      <c r="L1750" s="184" t="s">
        <v>8377</v>
      </c>
      <c r="M1750" s="196">
        <v>354</v>
      </c>
      <c r="O1750" s="196" t="s">
        <v>6747</v>
      </c>
      <c r="P1750" s="17">
        <v>449</v>
      </c>
      <c r="Q1750" s="175">
        <f t="shared" si="115"/>
        <v>1.1900000000000002</v>
      </c>
      <c r="R1750" s="175">
        <f t="shared" si="114"/>
        <v>2.39</v>
      </c>
      <c r="S1750" s="199">
        <v>2.39</v>
      </c>
      <c r="T1750" s="149">
        <v>0.13</v>
      </c>
      <c r="U1750" s="149" t="str">
        <f t="shared" si="116"/>
        <v>1,20</v>
      </c>
      <c r="V1750" s="149">
        <f t="shared" si="117"/>
        <v>0.33999999999999997</v>
      </c>
      <c r="W1750" s="149">
        <v>0.55000000000000004</v>
      </c>
      <c r="X1750" s="152">
        <f t="shared" si="118"/>
        <v>0.15539999999999998</v>
      </c>
      <c r="Y1750" s="150">
        <f t="shared" si="113"/>
        <v>1.2012</v>
      </c>
      <c r="Z1750" s="152">
        <f t="shared" si="119"/>
        <v>2.39</v>
      </c>
      <c r="AA1750" s="150">
        <f t="shared" si="120"/>
        <v>2.3754</v>
      </c>
      <c r="AB1750" s="150"/>
      <c r="AC1750" s="154"/>
      <c r="AD1750" s="154"/>
      <c r="AE1750" s="154"/>
      <c r="AF1750" s="154"/>
    </row>
    <row r="1751" spans="1:32" x14ac:dyDescent="0.25">
      <c r="A1751" s="196">
        <v>1321</v>
      </c>
      <c r="C1751" s="196" t="s">
        <v>8378</v>
      </c>
      <c r="F1751" s="196">
        <v>2006</v>
      </c>
      <c r="H1751" s="196" t="s">
        <v>2734</v>
      </c>
      <c r="I1751" s="184" t="s">
        <v>1929</v>
      </c>
      <c r="J1751" s="182" t="s">
        <v>8379</v>
      </c>
      <c r="K1751" s="196" t="s">
        <v>1881</v>
      </c>
      <c r="L1751" s="184" t="s">
        <v>8380</v>
      </c>
      <c r="O1751" s="196" t="s">
        <v>6748</v>
      </c>
      <c r="P1751" s="17">
        <v>355</v>
      </c>
      <c r="Q1751" s="175">
        <f t="shared" si="115"/>
        <v>2.58</v>
      </c>
      <c r="R1751" s="175">
        <f t="shared" si="114"/>
        <v>3.7800000000000002</v>
      </c>
      <c r="S1751" s="199">
        <f>1.29+2.49</f>
        <v>3.7800000000000002</v>
      </c>
      <c r="T1751" s="149">
        <v>0.13</v>
      </c>
      <c r="U1751" s="149" t="str">
        <f t="shared" si="116"/>
        <v>1,20</v>
      </c>
      <c r="V1751" s="149">
        <f t="shared" si="117"/>
        <v>0.33999999999999997</v>
      </c>
      <c r="W1751" s="149">
        <v>1.85</v>
      </c>
      <c r="X1751" s="152">
        <f t="shared" si="118"/>
        <v>0.24640000000000001</v>
      </c>
      <c r="Y1751" s="150">
        <f t="shared" si="113"/>
        <v>1.3124</v>
      </c>
      <c r="Z1751" s="152">
        <f t="shared" si="119"/>
        <v>3.7800000000000002</v>
      </c>
      <c r="AA1751" s="150">
        <f t="shared" si="120"/>
        <v>3.7664</v>
      </c>
      <c r="AB1751" s="150"/>
      <c r="AC1751" s="154"/>
      <c r="AD1751" s="154"/>
      <c r="AE1751" s="154"/>
      <c r="AF1751" s="154"/>
    </row>
    <row r="1752" spans="1:32" x14ac:dyDescent="0.25">
      <c r="A1752" s="196">
        <v>2652</v>
      </c>
      <c r="B1752" s="196" t="s">
        <v>8381</v>
      </c>
      <c r="C1752" s="196" t="s">
        <v>8382</v>
      </c>
      <c r="D1752" s="196" t="s">
        <v>2041</v>
      </c>
      <c r="H1752" s="196" t="s">
        <v>2734</v>
      </c>
      <c r="I1752" s="184" t="s">
        <v>1929</v>
      </c>
      <c r="K1752" s="196" t="s">
        <v>1881</v>
      </c>
      <c r="L1752" s="184" t="s">
        <v>8383</v>
      </c>
      <c r="M1752" s="196">
        <v>130</v>
      </c>
      <c r="O1752" s="196" t="s">
        <v>6749</v>
      </c>
      <c r="P1752" s="17">
        <v>601</v>
      </c>
      <c r="Q1752" s="175">
        <f t="shared" si="115"/>
        <v>2.601399999999999</v>
      </c>
      <c r="R1752" s="175">
        <f t="shared" si="114"/>
        <v>4.3013999999999992</v>
      </c>
      <c r="S1752" s="199">
        <v>4.29</v>
      </c>
      <c r="T1752" s="149">
        <v>0.13</v>
      </c>
      <c r="U1752" s="149" t="str">
        <f t="shared" si="116"/>
        <v>1,70</v>
      </c>
      <c r="V1752" s="149">
        <f t="shared" si="117"/>
        <v>0.33999999999999997</v>
      </c>
      <c r="W1752" s="149">
        <v>1.85</v>
      </c>
      <c r="X1752" s="152">
        <f t="shared" si="118"/>
        <v>0.28139999999999993</v>
      </c>
      <c r="Y1752" s="150">
        <f t="shared" si="113"/>
        <v>1.354112</v>
      </c>
      <c r="Z1752" s="152">
        <f t="shared" si="119"/>
        <v>4.29</v>
      </c>
      <c r="AA1752" s="150">
        <f t="shared" si="120"/>
        <v>4.3013999999999992</v>
      </c>
      <c r="AB1752" s="150"/>
      <c r="AC1752" s="154"/>
      <c r="AD1752" s="154"/>
      <c r="AE1752" s="154"/>
      <c r="AF1752" s="154"/>
    </row>
    <row r="1753" spans="1:32" x14ac:dyDescent="0.25">
      <c r="A1753" s="196">
        <v>914</v>
      </c>
      <c r="B1753" s="196" t="s">
        <v>8384</v>
      </c>
      <c r="C1753" s="196" t="s">
        <v>8385</v>
      </c>
      <c r="D1753" s="196" t="s">
        <v>2257</v>
      </c>
      <c r="E1753" s="196" t="s">
        <v>1899</v>
      </c>
      <c r="F1753" s="196">
        <v>1978</v>
      </c>
      <c r="H1753" s="196" t="s">
        <v>1878</v>
      </c>
      <c r="I1753" s="184" t="s">
        <v>1914</v>
      </c>
      <c r="K1753" s="196" t="s">
        <v>1881</v>
      </c>
      <c r="L1753" s="184" t="s">
        <v>8386</v>
      </c>
      <c r="M1753" s="196">
        <v>480</v>
      </c>
      <c r="O1753" s="196" t="s">
        <v>6750</v>
      </c>
      <c r="P1753" s="17">
        <v>360</v>
      </c>
      <c r="Q1753" s="175">
        <f t="shared" si="115"/>
        <v>1.2289000000000001</v>
      </c>
      <c r="R1753" s="175">
        <f t="shared" si="114"/>
        <v>2.4289000000000001</v>
      </c>
      <c r="S1753" s="199">
        <v>2.4</v>
      </c>
      <c r="T1753" s="149">
        <v>0.13</v>
      </c>
      <c r="U1753" s="149" t="str">
        <f t="shared" si="116"/>
        <v>1,20</v>
      </c>
      <c r="V1753" s="149">
        <f t="shared" si="117"/>
        <v>0.33999999999999997</v>
      </c>
      <c r="W1753" s="149">
        <v>0.6</v>
      </c>
      <c r="X1753" s="152">
        <f t="shared" si="118"/>
        <v>0.15890000000000001</v>
      </c>
      <c r="Y1753" s="150">
        <f t="shared" si="113"/>
        <v>1.204312</v>
      </c>
      <c r="Z1753" s="152">
        <f t="shared" si="119"/>
        <v>2.4</v>
      </c>
      <c r="AA1753" s="150">
        <f t="shared" si="120"/>
        <v>2.4289000000000001</v>
      </c>
      <c r="AB1753" s="150"/>
      <c r="AC1753" s="154"/>
      <c r="AD1753" s="154"/>
      <c r="AE1753" s="154"/>
      <c r="AF1753" s="154"/>
    </row>
    <row r="1754" spans="1:32" x14ac:dyDescent="0.25">
      <c r="A1754" s="196">
        <v>1395</v>
      </c>
      <c r="B1754" s="196" t="s">
        <v>8387</v>
      </c>
      <c r="C1754" s="196" t="s">
        <v>8388</v>
      </c>
      <c r="D1754" s="196" t="s">
        <v>2300</v>
      </c>
      <c r="F1754" s="196">
        <v>2007</v>
      </c>
      <c r="H1754" s="196" t="s">
        <v>1878</v>
      </c>
      <c r="I1754" s="184" t="s">
        <v>1914</v>
      </c>
      <c r="K1754" s="196" t="s">
        <v>1881</v>
      </c>
      <c r="L1754" s="184" t="s">
        <v>8389</v>
      </c>
      <c r="M1754" s="196">
        <v>384</v>
      </c>
      <c r="O1754" s="196" t="s">
        <v>6751</v>
      </c>
      <c r="P1754" s="17">
        <v>353</v>
      </c>
      <c r="Q1754" s="175">
        <f t="shared" si="115"/>
        <v>0.85439999999999983</v>
      </c>
      <c r="R1754" s="175">
        <f t="shared" si="114"/>
        <v>2.0543999999999998</v>
      </c>
      <c r="S1754" s="199">
        <v>1.7</v>
      </c>
      <c r="T1754" s="149">
        <v>0.13</v>
      </c>
      <c r="U1754" s="149" t="str">
        <f t="shared" si="116"/>
        <v>1,20</v>
      </c>
      <c r="V1754" s="149">
        <f t="shared" si="117"/>
        <v>0.33999999999999997</v>
      </c>
      <c r="W1754" s="149">
        <v>0.25</v>
      </c>
      <c r="X1754" s="152">
        <f t="shared" si="118"/>
        <v>0.13439999999999999</v>
      </c>
      <c r="Y1754" s="150">
        <f t="shared" si="113"/>
        <v>1.1743520000000001</v>
      </c>
      <c r="Z1754" s="152">
        <f t="shared" si="119"/>
        <v>1.7</v>
      </c>
      <c r="AA1754" s="150">
        <f t="shared" si="120"/>
        <v>2.0543999999999998</v>
      </c>
      <c r="AB1754" s="150"/>
      <c r="AC1754" s="154"/>
      <c r="AD1754" s="154"/>
      <c r="AE1754" s="154"/>
      <c r="AF1754" s="154"/>
    </row>
    <row r="1755" spans="1:32" x14ac:dyDescent="0.25">
      <c r="A1755" s="196">
        <v>1984</v>
      </c>
      <c r="C1755" s="196" t="s">
        <v>8390</v>
      </c>
      <c r="D1755" s="196" t="s">
        <v>3524</v>
      </c>
      <c r="E1755" s="182" t="s">
        <v>1913</v>
      </c>
      <c r="F1755" s="196">
        <v>2014</v>
      </c>
      <c r="H1755" s="196" t="s">
        <v>2734</v>
      </c>
      <c r="I1755" s="184" t="s">
        <v>1879</v>
      </c>
      <c r="K1755" s="196" t="s">
        <v>1881</v>
      </c>
      <c r="L1755" s="184" t="s">
        <v>8391</v>
      </c>
      <c r="M1755" s="196">
        <v>126</v>
      </c>
      <c r="O1755" s="196" t="s">
        <v>6752</v>
      </c>
      <c r="P1755" s="17">
        <v>544</v>
      </c>
      <c r="Q1755" s="175">
        <f t="shared" si="115"/>
        <v>1.2900000000000003</v>
      </c>
      <c r="R1755" s="175">
        <f t="shared" si="114"/>
        <v>2.99</v>
      </c>
      <c r="S1755" s="199">
        <v>2.99</v>
      </c>
      <c r="T1755" s="149">
        <v>0.13</v>
      </c>
      <c r="U1755" s="149" t="str">
        <f t="shared" si="116"/>
        <v>1,70</v>
      </c>
      <c r="V1755" s="149">
        <f t="shared" si="117"/>
        <v>0.33999999999999997</v>
      </c>
      <c r="W1755" s="149">
        <v>0.6</v>
      </c>
      <c r="X1755" s="152">
        <f t="shared" si="118"/>
        <v>0.19389999999999999</v>
      </c>
      <c r="Y1755" s="150">
        <f t="shared" si="113"/>
        <v>1.2492000000000001</v>
      </c>
      <c r="Z1755" s="152">
        <f t="shared" si="119"/>
        <v>2.99</v>
      </c>
      <c r="AA1755" s="150">
        <f t="shared" si="120"/>
        <v>2.9639000000000002</v>
      </c>
      <c r="AB1755" s="150"/>
      <c r="AC1755" s="154"/>
      <c r="AD1755" s="154"/>
      <c r="AE1755" s="154"/>
      <c r="AF1755" s="154"/>
    </row>
    <row r="1756" spans="1:32" x14ac:dyDescent="0.25">
      <c r="A1756" s="196">
        <v>248</v>
      </c>
      <c r="B1756" s="196" t="s">
        <v>7690</v>
      </c>
      <c r="C1756" s="196" t="s">
        <v>8392</v>
      </c>
      <c r="D1756" s="196" t="s">
        <v>1912</v>
      </c>
      <c r="F1756" s="196">
        <v>1998</v>
      </c>
      <c r="H1756" s="196" t="s">
        <v>1878</v>
      </c>
      <c r="I1756" s="184" t="s">
        <v>1879</v>
      </c>
      <c r="K1756" s="196" t="s">
        <v>1881</v>
      </c>
      <c r="L1756" s="184" t="s">
        <v>8393</v>
      </c>
      <c r="M1756" s="196">
        <v>368</v>
      </c>
      <c r="O1756" s="196" t="s">
        <v>6753</v>
      </c>
      <c r="P1756" s="17">
        <v>349</v>
      </c>
      <c r="Q1756" s="175">
        <f t="shared" si="115"/>
        <v>0.85439999999999983</v>
      </c>
      <c r="R1756" s="175">
        <f t="shared" si="114"/>
        <v>2.0543999999999998</v>
      </c>
      <c r="S1756" s="199">
        <v>1.65</v>
      </c>
      <c r="T1756" s="149">
        <v>0.13</v>
      </c>
      <c r="U1756" s="149" t="str">
        <f t="shared" si="116"/>
        <v>1,20</v>
      </c>
      <c r="V1756" s="149">
        <f t="shared" si="117"/>
        <v>0.33999999999999997</v>
      </c>
      <c r="W1756" s="149">
        <v>0.25</v>
      </c>
      <c r="X1756" s="152">
        <f t="shared" si="118"/>
        <v>0.13439999999999999</v>
      </c>
      <c r="Y1756" s="150">
        <f t="shared" si="113"/>
        <v>1.1743520000000001</v>
      </c>
      <c r="Z1756" s="152">
        <f t="shared" si="119"/>
        <v>1.65</v>
      </c>
      <c r="AA1756" s="150">
        <f t="shared" si="120"/>
        <v>2.0543999999999998</v>
      </c>
      <c r="AB1756" s="150"/>
      <c r="AC1756" s="154"/>
      <c r="AD1756" s="154"/>
      <c r="AE1756" s="154"/>
      <c r="AF1756" s="154"/>
    </row>
    <row r="1757" spans="1:32" x14ac:dyDescent="0.25">
      <c r="A1757" s="196">
        <v>2522</v>
      </c>
      <c r="B1757" s="196" t="s">
        <v>6262</v>
      </c>
      <c r="C1757" s="196" t="s">
        <v>6263</v>
      </c>
      <c r="D1757" s="196" t="s">
        <v>2209</v>
      </c>
      <c r="E1757" s="196" t="s">
        <v>2518</v>
      </c>
      <c r="F1757" s="196">
        <v>2006</v>
      </c>
      <c r="H1757" s="196" t="s">
        <v>1878</v>
      </c>
      <c r="I1757" s="184" t="s">
        <v>1879</v>
      </c>
      <c r="K1757" s="196" t="s">
        <v>1881</v>
      </c>
      <c r="L1757" s="184" t="s">
        <v>8394</v>
      </c>
      <c r="M1757" s="196">
        <v>528</v>
      </c>
      <c r="O1757" s="196" t="s">
        <v>6754</v>
      </c>
      <c r="P1757" s="17">
        <v>428</v>
      </c>
      <c r="Q1757" s="175">
        <f t="shared" si="115"/>
        <v>1.1900000000000002</v>
      </c>
      <c r="R1757" s="175">
        <f t="shared" si="114"/>
        <v>2.39</v>
      </c>
      <c r="S1757" s="199">
        <v>2.39</v>
      </c>
      <c r="T1757" s="149">
        <v>0.13</v>
      </c>
      <c r="U1757" s="149" t="str">
        <f t="shared" si="116"/>
        <v>1,20</v>
      </c>
      <c r="V1757" s="149">
        <f t="shared" si="117"/>
        <v>0.33999999999999997</v>
      </c>
      <c r="W1757" s="149">
        <v>0.55000000000000004</v>
      </c>
      <c r="X1757" s="152">
        <f t="shared" si="118"/>
        <v>0.15539999999999998</v>
      </c>
      <c r="Y1757" s="150">
        <f t="shared" si="113"/>
        <v>1.2012</v>
      </c>
      <c r="Z1757" s="152">
        <f t="shared" si="119"/>
        <v>2.39</v>
      </c>
      <c r="AA1757" s="150">
        <f t="shared" si="120"/>
        <v>2.3754</v>
      </c>
      <c r="AB1757" s="150"/>
      <c r="AC1757" s="154"/>
      <c r="AD1757" s="154"/>
      <c r="AE1757" s="154"/>
      <c r="AF1757" s="154"/>
    </row>
    <row r="1758" spans="1:32" x14ac:dyDescent="0.25">
      <c r="A1758" s="196">
        <v>1321</v>
      </c>
      <c r="B1758" s="196" t="s">
        <v>8395</v>
      </c>
      <c r="C1758" s="196" t="s">
        <v>8396</v>
      </c>
      <c r="D1758" s="196" t="s">
        <v>4693</v>
      </c>
      <c r="F1758" s="196">
        <v>2004</v>
      </c>
      <c r="H1758" s="196" t="s">
        <v>1878</v>
      </c>
      <c r="I1758" s="184" t="s">
        <v>1914</v>
      </c>
      <c r="K1758" s="196" t="s">
        <v>1881</v>
      </c>
      <c r="L1758" s="184" t="s">
        <v>8397</v>
      </c>
      <c r="M1758" s="196">
        <v>272</v>
      </c>
      <c r="O1758" s="196" t="s">
        <v>6755</v>
      </c>
      <c r="P1758" s="17">
        <v>756</v>
      </c>
      <c r="Q1758" s="175">
        <f t="shared" si="115"/>
        <v>0.88939999999999997</v>
      </c>
      <c r="R1758" s="175">
        <f t="shared" si="114"/>
        <v>2.5893999999999999</v>
      </c>
      <c r="S1758" s="199">
        <v>2</v>
      </c>
      <c r="T1758" s="149">
        <v>0.13</v>
      </c>
      <c r="U1758" s="149" t="str">
        <f t="shared" si="116"/>
        <v>1,70</v>
      </c>
      <c r="V1758" s="149">
        <f t="shared" si="117"/>
        <v>0.33999999999999997</v>
      </c>
      <c r="W1758" s="149">
        <v>0.25</v>
      </c>
      <c r="X1758" s="152">
        <f t="shared" si="118"/>
        <v>0.1694</v>
      </c>
      <c r="Y1758" s="150">
        <f t="shared" si="113"/>
        <v>1.217152</v>
      </c>
      <c r="Z1758" s="152">
        <f t="shared" si="119"/>
        <v>2</v>
      </c>
      <c r="AA1758" s="150">
        <f t="shared" si="120"/>
        <v>2.5893999999999999</v>
      </c>
      <c r="AB1758" s="150"/>
      <c r="AC1758" s="154"/>
      <c r="AD1758" s="154"/>
      <c r="AE1758" s="154"/>
      <c r="AF1758" s="154"/>
    </row>
    <row r="1759" spans="1:32" x14ac:dyDescent="0.25">
      <c r="A1759" s="196">
        <v>1324</v>
      </c>
      <c r="C1759" s="196" t="s">
        <v>8398</v>
      </c>
      <c r="D1759" s="196" t="s">
        <v>8399</v>
      </c>
      <c r="F1759" s="196">
        <v>2006</v>
      </c>
      <c r="H1759" s="196" t="s">
        <v>1878</v>
      </c>
      <c r="I1759" s="184" t="s">
        <v>7527</v>
      </c>
      <c r="K1759" s="196" t="s">
        <v>1881</v>
      </c>
      <c r="L1759" s="184" t="s">
        <v>8400</v>
      </c>
      <c r="M1759" s="196">
        <v>80</v>
      </c>
      <c r="O1759" s="196" t="s">
        <v>6756</v>
      </c>
      <c r="P1759" s="17">
        <v>139</v>
      </c>
      <c r="Q1759" s="175">
        <f t="shared" si="115"/>
        <v>1.5799999999999998</v>
      </c>
      <c r="R1759" s="175">
        <f t="shared" si="114"/>
        <v>2.78</v>
      </c>
      <c r="S1759" s="199">
        <v>2.78</v>
      </c>
      <c r="T1759" s="149">
        <v>0.13</v>
      </c>
      <c r="U1759" s="149" t="str">
        <f t="shared" si="116"/>
        <v>1,20</v>
      </c>
      <c r="V1759" s="149">
        <f t="shared" si="117"/>
        <v>0.33999999999999997</v>
      </c>
      <c r="W1759" s="149">
        <v>0.9</v>
      </c>
      <c r="X1759" s="152">
        <f t="shared" si="118"/>
        <v>0.17989999999999998</v>
      </c>
      <c r="Y1759" s="150">
        <f t="shared" si="113"/>
        <v>1.2323999999999999</v>
      </c>
      <c r="Z1759" s="152">
        <f t="shared" si="119"/>
        <v>2.78</v>
      </c>
      <c r="AA1759" s="150">
        <f t="shared" si="120"/>
        <v>2.7498999999999998</v>
      </c>
      <c r="AB1759" s="150"/>
      <c r="AC1759" s="154"/>
      <c r="AD1759" s="154"/>
      <c r="AE1759" s="154"/>
      <c r="AF1759" s="154"/>
    </row>
    <row r="1760" spans="1:32" x14ac:dyDescent="0.25">
      <c r="A1760" s="196">
        <v>1231</v>
      </c>
      <c r="B1760" s="196" t="s">
        <v>8401</v>
      </c>
      <c r="C1760" s="196" t="s">
        <v>8402</v>
      </c>
      <c r="D1760" s="196" t="s">
        <v>8403</v>
      </c>
      <c r="E1760" s="196" t="s">
        <v>1921</v>
      </c>
      <c r="F1760" s="196">
        <v>2002</v>
      </c>
      <c r="H1760" s="196" t="s">
        <v>1878</v>
      </c>
      <c r="I1760" s="184" t="s">
        <v>1879</v>
      </c>
      <c r="K1760" s="196" t="s">
        <v>1881</v>
      </c>
      <c r="L1760" s="184" t="s">
        <v>8404</v>
      </c>
      <c r="M1760" s="196">
        <v>544</v>
      </c>
      <c r="O1760" s="196" t="s">
        <v>6757</v>
      </c>
      <c r="P1760" s="17">
        <v>489</v>
      </c>
      <c r="Q1760" s="175">
        <f t="shared" si="115"/>
        <v>3.8</v>
      </c>
      <c r="R1760" s="175">
        <f t="shared" si="114"/>
        <v>5</v>
      </c>
      <c r="S1760" s="199">
        <v>5</v>
      </c>
      <c r="T1760" s="149">
        <v>0.13</v>
      </c>
      <c r="U1760" s="149" t="str">
        <f t="shared" si="116"/>
        <v>1,20</v>
      </c>
      <c r="V1760" s="149">
        <f t="shared" si="117"/>
        <v>0.33999999999999997</v>
      </c>
      <c r="W1760" s="149">
        <v>3</v>
      </c>
      <c r="X1760" s="152">
        <f t="shared" si="118"/>
        <v>0.32689999999999997</v>
      </c>
      <c r="Y1760" s="150">
        <f t="shared" si="113"/>
        <v>1.4100000000000001</v>
      </c>
      <c r="Z1760" s="152">
        <f t="shared" si="119"/>
        <v>5</v>
      </c>
      <c r="AA1760" s="150">
        <f t="shared" si="120"/>
        <v>4.9969000000000001</v>
      </c>
      <c r="AB1760" s="150"/>
      <c r="AC1760" s="154"/>
      <c r="AD1760" s="154"/>
      <c r="AE1760" s="154"/>
      <c r="AF1760" s="154"/>
    </row>
    <row r="1761" spans="1:32" x14ac:dyDescent="0.25">
      <c r="A1761" s="196">
        <v>1325</v>
      </c>
      <c r="B1761" s="196" t="s">
        <v>8405</v>
      </c>
      <c r="C1761" s="196" t="s">
        <v>8406</v>
      </c>
      <c r="D1761" s="196" t="s">
        <v>2644</v>
      </c>
      <c r="F1761" s="196">
        <v>1989</v>
      </c>
      <c r="H1761" s="196" t="s">
        <v>1878</v>
      </c>
      <c r="I1761" s="184" t="s">
        <v>1914</v>
      </c>
      <c r="K1761" s="196" t="s">
        <v>1881</v>
      </c>
      <c r="L1761" s="184" t="s">
        <v>8407</v>
      </c>
      <c r="M1761" s="196">
        <v>176</v>
      </c>
      <c r="O1761" s="196" t="s">
        <v>6758</v>
      </c>
      <c r="P1761" s="17">
        <v>157</v>
      </c>
      <c r="Q1761" s="175">
        <f t="shared" si="115"/>
        <v>0.85439999999999983</v>
      </c>
      <c r="R1761" s="175">
        <f t="shared" si="114"/>
        <v>2.0543999999999998</v>
      </c>
      <c r="S1761" s="199">
        <v>1.65</v>
      </c>
      <c r="T1761" s="149">
        <v>0.13</v>
      </c>
      <c r="U1761" s="149" t="str">
        <f t="shared" si="116"/>
        <v>1,20</v>
      </c>
      <c r="V1761" s="149">
        <f t="shared" si="117"/>
        <v>0.33999999999999997</v>
      </c>
      <c r="W1761" s="149">
        <v>0.25</v>
      </c>
      <c r="X1761" s="152">
        <f t="shared" si="118"/>
        <v>0.13439999999999999</v>
      </c>
      <c r="Y1761" s="150">
        <f t="shared" si="113"/>
        <v>1.1743520000000001</v>
      </c>
      <c r="Z1761" s="152">
        <f t="shared" si="119"/>
        <v>1.65</v>
      </c>
      <c r="AA1761" s="150">
        <f t="shared" si="120"/>
        <v>2.0543999999999998</v>
      </c>
      <c r="AB1761" s="150"/>
      <c r="AC1761" s="154"/>
      <c r="AD1761" s="154"/>
      <c r="AE1761" s="154"/>
      <c r="AF1761" s="154"/>
    </row>
    <row r="1762" spans="1:32" x14ac:dyDescent="0.25">
      <c r="A1762" s="196">
        <v>721</v>
      </c>
      <c r="B1762" s="196" t="s">
        <v>8408</v>
      </c>
      <c r="C1762" s="196" t="s">
        <v>8409</v>
      </c>
      <c r="D1762" s="196" t="s">
        <v>2036</v>
      </c>
      <c r="F1762" s="196">
        <v>2002</v>
      </c>
      <c r="H1762" s="196" t="s">
        <v>4297</v>
      </c>
      <c r="I1762" s="184" t="s">
        <v>1929</v>
      </c>
      <c r="K1762" s="196" t="s">
        <v>1881</v>
      </c>
      <c r="L1762" s="184" t="s">
        <v>8410</v>
      </c>
      <c r="M1762" s="196">
        <v>262</v>
      </c>
      <c r="O1762" s="196" t="s">
        <v>6759</v>
      </c>
      <c r="P1762" s="17">
        <v>693</v>
      </c>
      <c r="Q1762" s="175">
        <f t="shared" si="115"/>
        <v>1.3173999999999999</v>
      </c>
      <c r="R1762" s="175">
        <f t="shared" si="114"/>
        <v>3.0173999999999999</v>
      </c>
      <c r="S1762" s="199">
        <v>3</v>
      </c>
      <c r="T1762" s="149">
        <v>0.13</v>
      </c>
      <c r="U1762" s="149" t="str">
        <f t="shared" si="116"/>
        <v>1,70</v>
      </c>
      <c r="V1762" s="149">
        <f t="shared" si="117"/>
        <v>0.33999999999999997</v>
      </c>
      <c r="W1762" s="149">
        <v>0.65</v>
      </c>
      <c r="X1762" s="152">
        <f t="shared" si="118"/>
        <v>0.19739999999999999</v>
      </c>
      <c r="Y1762" s="150">
        <f t="shared" si="113"/>
        <v>1.2513920000000001</v>
      </c>
      <c r="Z1762" s="152">
        <f t="shared" si="119"/>
        <v>3</v>
      </c>
      <c r="AA1762" s="150">
        <f t="shared" si="120"/>
        <v>3.0173999999999999</v>
      </c>
      <c r="AB1762" s="150"/>
      <c r="AC1762" s="154"/>
      <c r="AD1762" s="154"/>
      <c r="AE1762" s="154"/>
      <c r="AF1762" s="154"/>
    </row>
    <row r="1763" spans="1:32" x14ac:dyDescent="0.25">
      <c r="A1763" s="196">
        <v>796</v>
      </c>
      <c r="B1763" s="196" t="s">
        <v>7334</v>
      </c>
      <c r="C1763" s="196" t="s">
        <v>8414</v>
      </c>
      <c r="D1763" s="196" t="s">
        <v>2300</v>
      </c>
      <c r="E1763" s="196" t="s">
        <v>2335</v>
      </c>
      <c r="F1763" s="196">
        <v>2001</v>
      </c>
      <c r="H1763" s="196" t="s">
        <v>1878</v>
      </c>
      <c r="I1763" s="184" t="s">
        <v>1879</v>
      </c>
      <c r="K1763" s="196" t="s">
        <v>1881</v>
      </c>
      <c r="L1763" s="184" t="s">
        <v>8415</v>
      </c>
      <c r="M1763" s="196">
        <v>192</v>
      </c>
      <c r="O1763" s="196" t="s">
        <v>6761</v>
      </c>
      <c r="P1763" s="17">
        <v>184</v>
      </c>
      <c r="Q1763" s="175">
        <f t="shared" si="115"/>
        <v>1.0684000000000002</v>
      </c>
      <c r="R1763" s="175">
        <f t="shared" si="114"/>
        <v>2.2684000000000002</v>
      </c>
      <c r="S1763" s="199">
        <v>2.2599999999999998</v>
      </c>
      <c r="T1763" s="149">
        <v>0.13</v>
      </c>
      <c r="U1763" s="149" t="str">
        <f t="shared" si="116"/>
        <v>1,20</v>
      </c>
      <c r="V1763" s="149">
        <f t="shared" si="117"/>
        <v>0.33999999999999997</v>
      </c>
      <c r="W1763" s="149">
        <v>0.45</v>
      </c>
      <c r="X1763" s="152">
        <f t="shared" si="118"/>
        <v>0.1484</v>
      </c>
      <c r="Y1763" s="150">
        <f t="shared" si="113"/>
        <v>1.1914720000000001</v>
      </c>
      <c r="Z1763" s="152">
        <f t="shared" si="119"/>
        <v>2.2599999999999998</v>
      </c>
      <c r="AA1763" s="150">
        <f t="shared" si="120"/>
        <v>2.2684000000000002</v>
      </c>
      <c r="AB1763" s="150"/>
      <c r="AC1763" s="154"/>
      <c r="AD1763" s="154"/>
      <c r="AE1763" s="154"/>
      <c r="AF1763" s="154"/>
    </row>
    <row r="1764" spans="1:32" x14ac:dyDescent="0.25">
      <c r="A1764" s="196">
        <v>760</v>
      </c>
      <c r="C1764" s="196" t="s">
        <v>8416</v>
      </c>
      <c r="D1764" s="196" t="s">
        <v>8417</v>
      </c>
      <c r="E1764" s="182">
        <v>8</v>
      </c>
      <c r="F1764" s="196">
        <v>2006</v>
      </c>
      <c r="H1764" s="196" t="s">
        <v>1878</v>
      </c>
      <c r="I1764" s="184" t="s">
        <v>1879</v>
      </c>
      <c r="K1764" s="196" t="s">
        <v>1881</v>
      </c>
      <c r="L1764" s="184" t="s">
        <v>8418</v>
      </c>
      <c r="M1764" s="196">
        <v>472</v>
      </c>
      <c r="O1764" s="196" t="s">
        <v>6762</v>
      </c>
      <c r="P1764" s="17">
        <v>829</v>
      </c>
      <c r="Q1764" s="175">
        <f t="shared" si="115"/>
        <v>11.3</v>
      </c>
      <c r="R1764" s="175">
        <f t="shared" si="114"/>
        <v>13</v>
      </c>
      <c r="S1764" s="199">
        <v>13</v>
      </c>
      <c r="T1764" s="149">
        <v>0.13</v>
      </c>
      <c r="U1764" s="149" t="str">
        <f t="shared" si="116"/>
        <v>1,70</v>
      </c>
      <c r="V1764" s="149">
        <f t="shared" si="117"/>
        <v>0.33999999999999997</v>
      </c>
      <c r="W1764" s="149">
        <v>9.9</v>
      </c>
      <c r="X1764" s="152">
        <f t="shared" si="118"/>
        <v>0.84489999999999998</v>
      </c>
      <c r="Y1764" s="150">
        <f t="shared" si="113"/>
        <v>2.0499999999999998</v>
      </c>
      <c r="Z1764" s="152">
        <f t="shared" si="119"/>
        <v>13</v>
      </c>
      <c r="AA1764" s="150">
        <f t="shared" si="120"/>
        <v>12.914899999999999</v>
      </c>
      <c r="AB1764" s="150"/>
      <c r="AC1764" s="154"/>
      <c r="AD1764" s="154"/>
      <c r="AE1764" s="154"/>
      <c r="AF1764" s="154"/>
    </row>
    <row r="1765" spans="1:32" x14ac:dyDescent="0.25">
      <c r="A1765" s="196">
        <v>2522</v>
      </c>
      <c r="B1765" s="196" t="s">
        <v>2021</v>
      </c>
      <c r="C1765" s="196" t="s">
        <v>8419</v>
      </c>
      <c r="D1765" s="196" t="s">
        <v>5005</v>
      </c>
      <c r="F1765" s="196">
        <v>2002</v>
      </c>
      <c r="H1765" s="196" t="s">
        <v>1878</v>
      </c>
      <c r="I1765" s="184" t="s">
        <v>1879</v>
      </c>
      <c r="K1765" s="196" t="s">
        <v>1881</v>
      </c>
      <c r="M1765" s="196">
        <v>544</v>
      </c>
      <c r="O1765" s="196" t="s">
        <v>6763</v>
      </c>
      <c r="P1765" s="17">
        <v>388</v>
      </c>
      <c r="Q1765" s="175">
        <f t="shared" si="115"/>
        <v>0.85439999999999983</v>
      </c>
      <c r="R1765" s="175">
        <f t="shared" si="114"/>
        <v>2.0543999999999998</v>
      </c>
      <c r="S1765" s="199">
        <v>1.82</v>
      </c>
      <c r="T1765" s="149">
        <v>0.13</v>
      </c>
      <c r="U1765" s="149" t="str">
        <f t="shared" si="116"/>
        <v>1,20</v>
      </c>
      <c r="V1765" s="149">
        <f t="shared" si="117"/>
        <v>0.33999999999999997</v>
      </c>
      <c r="W1765" s="149">
        <v>0.25</v>
      </c>
      <c r="X1765" s="152">
        <f t="shared" si="118"/>
        <v>0.13439999999999999</v>
      </c>
      <c r="Y1765" s="150">
        <f t="shared" si="113"/>
        <v>1.1743520000000001</v>
      </c>
      <c r="Z1765" s="152">
        <f t="shared" si="119"/>
        <v>1.82</v>
      </c>
      <c r="AA1765" s="150">
        <f t="shared" si="120"/>
        <v>2.0543999999999998</v>
      </c>
      <c r="AB1765" s="150"/>
      <c r="AC1765" s="154"/>
      <c r="AD1765" s="154"/>
      <c r="AE1765" s="154"/>
      <c r="AF1765" s="154"/>
    </row>
    <row r="1766" spans="1:32" x14ac:dyDescent="0.25">
      <c r="A1766" s="196">
        <v>2668</v>
      </c>
      <c r="B1766" s="196" t="s">
        <v>8420</v>
      </c>
      <c r="C1766" s="196" t="s">
        <v>8421</v>
      </c>
      <c r="D1766" s="196" t="s">
        <v>1912</v>
      </c>
      <c r="E1766" s="196" t="s">
        <v>1921</v>
      </c>
      <c r="F1766" s="196">
        <v>2001</v>
      </c>
      <c r="H1766" s="196" t="s">
        <v>1878</v>
      </c>
      <c r="I1766" s="184" t="s">
        <v>1914</v>
      </c>
      <c r="K1766" s="196" t="s">
        <v>1881</v>
      </c>
      <c r="L1766" s="184" t="s">
        <v>8422</v>
      </c>
      <c r="M1766" s="196">
        <v>352</v>
      </c>
      <c r="O1766" s="196" t="s">
        <v>6764</v>
      </c>
      <c r="P1766" s="17">
        <v>324</v>
      </c>
      <c r="Q1766" s="175">
        <f t="shared" si="115"/>
        <v>0.85439999999999983</v>
      </c>
      <c r="R1766" s="175">
        <f t="shared" si="114"/>
        <v>2.0543999999999998</v>
      </c>
      <c r="S1766" s="199">
        <v>1.25</v>
      </c>
      <c r="T1766" s="149">
        <v>0.13</v>
      </c>
      <c r="U1766" s="149" t="str">
        <f t="shared" si="116"/>
        <v>1,20</v>
      </c>
      <c r="V1766" s="149">
        <f t="shared" si="117"/>
        <v>0.33999999999999997</v>
      </c>
      <c r="W1766" s="149">
        <v>0.25</v>
      </c>
      <c r="X1766" s="152">
        <f t="shared" si="118"/>
        <v>0.13439999999999999</v>
      </c>
      <c r="Y1766" s="150">
        <f t="shared" si="113"/>
        <v>1.1743520000000001</v>
      </c>
      <c r="Z1766" s="152">
        <f t="shared" si="119"/>
        <v>1.25</v>
      </c>
      <c r="AA1766" s="150">
        <f t="shared" si="120"/>
        <v>2.0543999999999998</v>
      </c>
      <c r="AB1766" s="150"/>
      <c r="AC1766" s="154"/>
      <c r="AD1766" s="154"/>
      <c r="AE1766" s="154"/>
      <c r="AF1766" s="154"/>
    </row>
    <row r="1767" spans="1:32" x14ac:dyDescent="0.25">
      <c r="A1767" s="196">
        <v>765</v>
      </c>
      <c r="B1767" s="196" t="s">
        <v>8423</v>
      </c>
      <c r="C1767" s="196" t="s">
        <v>8424</v>
      </c>
      <c r="D1767" s="196" t="s">
        <v>8425</v>
      </c>
      <c r="E1767" s="196" t="s">
        <v>4622</v>
      </c>
      <c r="F1767" s="196">
        <v>2005</v>
      </c>
      <c r="H1767" s="196" t="s">
        <v>1878</v>
      </c>
      <c r="I1767" s="184" t="s">
        <v>1914</v>
      </c>
      <c r="K1767" s="196" t="s">
        <v>1881</v>
      </c>
      <c r="L1767" s="184" t="s">
        <v>8426</v>
      </c>
      <c r="M1767" s="196">
        <v>224</v>
      </c>
      <c r="O1767" s="196" t="s">
        <v>6765</v>
      </c>
      <c r="P1767" s="17">
        <v>291</v>
      </c>
      <c r="Q1767" s="175">
        <f t="shared" si="115"/>
        <v>1.0148999999999997</v>
      </c>
      <c r="R1767" s="175">
        <f t="shared" si="114"/>
        <v>2.2148999999999996</v>
      </c>
      <c r="S1767" s="199">
        <v>2.2000000000000002</v>
      </c>
      <c r="T1767" s="149">
        <v>0.13</v>
      </c>
      <c r="U1767" s="149" t="str">
        <f t="shared" si="116"/>
        <v>1,20</v>
      </c>
      <c r="V1767" s="149">
        <f t="shared" si="117"/>
        <v>0.33999999999999997</v>
      </c>
      <c r="W1767" s="149">
        <v>0.4</v>
      </c>
      <c r="X1767" s="152">
        <f t="shared" si="118"/>
        <v>0.1449</v>
      </c>
      <c r="Y1767" s="150">
        <f t="shared" si="113"/>
        <v>1.187192</v>
      </c>
      <c r="Z1767" s="152">
        <f t="shared" si="119"/>
        <v>2.2000000000000002</v>
      </c>
      <c r="AA1767" s="150">
        <f t="shared" si="120"/>
        <v>2.2148999999999996</v>
      </c>
      <c r="AB1767" s="150"/>
      <c r="AC1767" s="154"/>
      <c r="AD1767" s="154"/>
      <c r="AE1767" s="154"/>
      <c r="AF1767" s="154"/>
    </row>
    <row r="1768" spans="1:32" x14ac:dyDescent="0.25">
      <c r="A1768" s="196">
        <v>689</v>
      </c>
      <c r="B1768" s="196" t="s">
        <v>8427</v>
      </c>
      <c r="C1768" s="196" t="s">
        <v>8428</v>
      </c>
      <c r="D1768" s="196" t="s">
        <v>3077</v>
      </c>
      <c r="F1768" s="196">
        <v>1999</v>
      </c>
      <c r="H1768" s="196" t="s">
        <v>1878</v>
      </c>
      <c r="I1768" s="184" t="s">
        <v>1914</v>
      </c>
      <c r="K1768" s="196" t="s">
        <v>1881</v>
      </c>
      <c r="L1768" s="184" t="s">
        <v>8429</v>
      </c>
      <c r="M1768" s="196">
        <v>256</v>
      </c>
      <c r="O1768" s="196" t="s">
        <v>6766</v>
      </c>
      <c r="P1768" s="17">
        <v>237</v>
      </c>
      <c r="Q1768" s="175">
        <f t="shared" si="115"/>
        <v>0.85439999999999983</v>
      </c>
      <c r="R1768" s="175">
        <f t="shared" si="114"/>
        <v>2.0543999999999998</v>
      </c>
      <c r="S1768" s="199">
        <v>1.65</v>
      </c>
      <c r="T1768" s="149">
        <v>0.13</v>
      </c>
      <c r="U1768" s="149" t="str">
        <f t="shared" si="116"/>
        <v>1,20</v>
      </c>
      <c r="V1768" s="149">
        <f t="shared" si="117"/>
        <v>0.33999999999999997</v>
      </c>
      <c r="W1768" s="149">
        <v>0.25</v>
      </c>
      <c r="X1768" s="152">
        <f t="shared" si="118"/>
        <v>0.13439999999999999</v>
      </c>
      <c r="Y1768" s="150">
        <f t="shared" si="113"/>
        <v>1.1743520000000001</v>
      </c>
      <c r="Z1768" s="152">
        <f t="shared" si="119"/>
        <v>1.65</v>
      </c>
      <c r="AA1768" s="150">
        <f t="shared" si="120"/>
        <v>2.0543999999999998</v>
      </c>
      <c r="AB1768" s="150"/>
      <c r="AC1768" s="154"/>
      <c r="AD1768" s="154"/>
      <c r="AE1768" s="154"/>
      <c r="AF1768" s="154"/>
    </row>
    <row r="1769" spans="1:32" x14ac:dyDescent="0.25">
      <c r="A1769" s="196">
        <v>632</v>
      </c>
      <c r="B1769" s="196" t="s">
        <v>3233</v>
      </c>
      <c r="C1769" s="196" t="s">
        <v>3908</v>
      </c>
      <c r="D1769" s="196" t="s">
        <v>2257</v>
      </c>
      <c r="F1769" s="196">
        <v>2005</v>
      </c>
      <c r="H1769" s="196" t="s">
        <v>1878</v>
      </c>
      <c r="I1769" s="184" t="s">
        <v>1914</v>
      </c>
      <c r="K1769" s="196" t="s">
        <v>1881</v>
      </c>
      <c r="L1769" s="184" t="s">
        <v>8430</v>
      </c>
      <c r="M1769" s="196">
        <v>624</v>
      </c>
      <c r="O1769" s="196" t="s">
        <v>6767</v>
      </c>
      <c r="P1769" s="17">
        <v>458</v>
      </c>
      <c r="Q1769" s="175">
        <f t="shared" si="115"/>
        <v>0.85439999999999983</v>
      </c>
      <c r="R1769" s="175">
        <f t="shared" si="114"/>
        <v>2.0543999999999998</v>
      </c>
      <c r="S1769" s="199">
        <v>1.65</v>
      </c>
      <c r="T1769" s="149">
        <v>0.13</v>
      </c>
      <c r="U1769" s="149" t="str">
        <f t="shared" si="116"/>
        <v>1,20</v>
      </c>
      <c r="V1769" s="149">
        <f t="shared" si="117"/>
        <v>0.33999999999999997</v>
      </c>
      <c r="W1769" s="149">
        <v>0.25</v>
      </c>
      <c r="X1769" s="152">
        <f t="shared" si="118"/>
        <v>0.13439999999999999</v>
      </c>
      <c r="Y1769" s="150">
        <f t="shared" si="113"/>
        <v>1.1743520000000001</v>
      </c>
      <c r="Z1769" s="152">
        <f t="shared" si="119"/>
        <v>1.65</v>
      </c>
      <c r="AA1769" s="150">
        <f t="shared" si="120"/>
        <v>2.0543999999999998</v>
      </c>
      <c r="AB1769" s="150"/>
      <c r="AC1769" s="154"/>
      <c r="AD1769" s="154"/>
      <c r="AE1769" s="154"/>
      <c r="AF1769" s="154"/>
    </row>
    <row r="1770" spans="1:32" x14ac:dyDescent="0.25">
      <c r="A1770" s="196">
        <v>734</v>
      </c>
      <c r="B1770" s="196" t="s">
        <v>8431</v>
      </c>
      <c r="C1770" s="196" t="s">
        <v>8432</v>
      </c>
      <c r="D1770" s="196" t="s">
        <v>2209</v>
      </c>
      <c r="E1770" s="196" t="s">
        <v>2922</v>
      </c>
      <c r="F1770" s="196">
        <v>1990</v>
      </c>
      <c r="H1770" s="196" t="s">
        <v>1878</v>
      </c>
      <c r="I1770" s="184" t="s">
        <v>7527</v>
      </c>
      <c r="K1770" s="196" t="s">
        <v>1881</v>
      </c>
      <c r="L1770" s="184" t="s">
        <v>8433</v>
      </c>
      <c r="M1770" s="196">
        <v>720</v>
      </c>
      <c r="O1770" s="196" t="s">
        <v>6768</v>
      </c>
      <c r="P1770" s="17">
        <v>444</v>
      </c>
      <c r="Q1770" s="175">
        <f t="shared" si="115"/>
        <v>0.85439999999999983</v>
      </c>
      <c r="R1770" s="175">
        <f t="shared" si="114"/>
        <v>2.0543999999999998</v>
      </c>
      <c r="S1770" s="199">
        <v>1.75</v>
      </c>
      <c r="T1770" s="149">
        <v>0.13</v>
      </c>
      <c r="U1770" s="149" t="str">
        <f t="shared" si="116"/>
        <v>1,20</v>
      </c>
      <c r="V1770" s="149">
        <f t="shared" si="117"/>
        <v>0.33999999999999997</v>
      </c>
      <c r="W1770" s="149">
        <v>0.25</v>
      </c>
      <c r="X1770" s="152">
        <f t="shared" si="118"/>
        <v>0.13439999999999999</v>
      </c>
      <c r="Y1770" s="150">
        <f t="shared" si="113"/>
        <v>1.1743520000000001</v>
      </c>
      <c r="Z1770" s="152">
        <f t="shared" si="119"/>
        <v>1.75</v>
      </c>
      <c r="AA1770" s="150">
        <f t="shared" si="120"/>
        <v>2.0543999999999998</v>
      </c>
      <c r="AB1770" s="150"/>
      <c r="AC1770" s="154"/>
      <c r="AD1770" s="154"/>
      <c r="AE1770" s="154"/>
      <c r="AF1770" s="154"/>
    </row>
    <row r="1771" spans="1:32" x14ac:dyDescent="0.25">
      <c r="A1771" s="196">
        <v>1875</v>
      </c>
      <c r="C1771" s="196" t="s">
        <v>8434</v>
      </c>
      <c r="D1771" s="196" t="s">
        <v>8435</v>
      </c>
      <c r="F1771" s="196">
        <v>2013</v>
      </c>
      <c r="H1771" s="196" t="s">
        <v>1394</v>
      </c>
      <c r="I1771" s="184" t="s">
        <v>1879</v>
      </c>
      <c r="K1771" s="196" t="s">
        <v>1881</v>
      </c>
      <c r="L1771" s="184" t="s">
        <v>8436</v>
      </c>
      <c r="O1771" s="196" t="s">
        <v>6769</v>
      </c>
      <c r="P1771" s="17">
        <v>250</v>
      </c>
      <c r="Q1771" s="175">
        <f t="shared" si="115"/>
        <v>6.25</v>
      </c>
      <c r="R1771" s="175">
        <f t="shared" si="114"/>
        <v>7.45</v>
      </c>
      <c r="S1771" s="199">
        <v>7.45</v>
      </c>
      <c r="T1771" s="149">
        <v>0.13</v>
      </c>
      <c r="U1771" s="149" t="str">
        <f t="shared" si="116"/>
        <v>1,20</v>
      </c>
      <c r="V1771" s="149">
        <f t="shared" si="117"/>
        <v>0.33999999999999997</v>
      </c>
      <c r="W1771" s="149">
        <v>5.25</v>
      </c>
      <c r="X1771" s="152">
        <f t="shared" si="118"/>
        <v>0.4844</v>
      </c>
      <c r="Y1771" s="150">
        <f t="shared" si="113"/>
        <v>1.6059999999999999</v>
      </c>
      <c r="Z1771" s="152">
        <f t="shared" si="119"/>
        <v>7.45</v>
      </c>
      <c r="AA1771" s="150">
        <f t="shared" si="120"/>
        <v>7.4043999999999999</v>
      </c>
      <c r="AB1771" s="150"/>
      <c r="AC1771" s="154"/>
      <c r="AD1771" s="154"/>
      <c r="AE1771" s="154"/>
      <c r="AF1771" s="154"/>
    </row>
    <row r="1772" spans="1:32" x14ac:dyDescent="0.25">
      <c r="A1772" s="196">
        <v>1355</v>
      </c>
      <c r="B1772" s="196" t="s">
        <v>8437</v>
      </c>
      <c r="C1772" s="196" t="s">
        <v>8438</v>
      </c>
      <c r="H1772" s="196" t="s">
        <v>8439</v>
      </c>
      <c r="I1772" s="184" t="s">
        <v>1879</v>
      </c>
      <c r="K1772" s="196" t="s">
        <v>1881</v>
      </c>
      <c r="L1772" s="184" t="s">
        <v>8440</v>
      </c>
      <c r="O1772" s="196" t="s">
        <v>6770</v>
      </c>
      <c r="P1772" s="17">
        <v>44</v>
      </c>
      <c r="Q1772" s="175">
        <f t="shared" si="115"/>
        <v>1.78</v>
      </c>
      <c r="R1772" s="175">
        <f t="shared" si="114"/>
        <v>2.98</v>
      </c>
      <c r="S1772" s="199">
        <v>2.98</v>
      </c>
      <c r="T1772" s="149">
        <v>0.13</v>
      </c>
      <c r="U1772" s="149" t="str">
        <f t="shared" si="116"/>
        <v>1,20</v>
      </c>
      <c r="V1772" s="149">
        <f t="shared" si="117"/>
        <v>0.33999999999999997</v>
      </c>
      <c r="W1772" s="149">
        <v>1.1000000000000001</v>
      </c>
      <c r="X1772" s="152">
        <f t="shared" si="118"/>
        <v>0.19389999999999999</v>
      </c>
      <c r="Y1772" s="150">
        <f t="shared" ref="Y1772:Y1835" si="121">(IF(Z1772&gt;AA1772,Z1772,AA1772)*0.08)+1.01</f>
        <v>1.2484</v>
      </c>
      <c r="Z1772" s="152">
        <f t="shared" si="119"/>
        <v>2.98</v>
      </c>
      <c r="AA1772" s="150">
        <f t="shared" si="120"/>
        <v>2.9639000000000002</v>
      </c>
      <c r="AB1772" s="150"/>
      <c r="AC1772" s="154"/>
      <c r="AD1772" s="154"/>
      <c r="AE1772" s="154"/>
      <c r="AF1772" s="154"/>
    </row>
    <row r="1773" spans="1:32" x14ac:dyDescent="0.25">
      <c r="A1773" s="196">
        <v>601</v>
      </c>
      <c r="B1773" s="196" t="s">
        <v>8441</v>
      </c>
      <c r="C1773" s="196" t="s">
        <v>8442</v>
      </c>
      <c r="D1773" s="196" t="s">
        <v>8443</v>
      </c>
      <c r="F1773" s="196">
        <v>2014</v>
      </c>
      <c r="H1773" s="196" t="s">
        <v>1878</v>
      </c>
      <c r="I1773" s="184" t="s">
        <v>1929</v>
      </c>
      <c r="K1773" s="196" t="s">
        <v>2025</v>
      </c>
      <c r="L1773" s="184" t="s">
        <v>8444</v>
      </c>
      <c r="M1773" s="196">
        <v>120</v>
      </c>
      <c r="O1773" s="196" t="s">
        <v>6771</v>
      </c>
      <c r="P1773" s="17">
        <v>126</v>
      </c>
      <c r="Q1773" s="175">
        <f t="shared" si="115"/>
        <v>1.6462000000000001</v>
      </c>
      <c r="R1773" s="175">
        <f t="shared" si="114"/>
        <v>2.8462000000000001</v>
      </c>
      <c r="T1773" s="149">
        <v>0.13</v>
      </c>
      <c r="U1773" s="149" t="str">
        <f t="shared" si="116"/>
        <v>1,20</v>
      </c>
      <c r="V1773" s="149">
        <f t="shared" si="117"/>
        <v>0.33999999999999997</v>
      </c>
      <c r="W1773" s="149">
        <v>0.99</v>
      </c>
      <c r="X1773" s="152">
        <f t="shared" si="118"/>
        <v>0.1862</v>
      </c>
      <c r="Y1773" s="150">
        <f t="shared" si="121"/>
        <v>1.2376960000000001</v>
      </c>
      <c r="Z1773" s="152">
        <f t="shared" si="119"/>
        <v>0</v>
      </c>
      <c r="AA1773" s="150">
        <f t="shared" si="120"/>
        <v>2.8462000000000001</v>
      </c>
      <c r="AB1773" s="150"/>
      <c r="AC1773" s="154"/>
      <c r="AD1773" s="154"/>
      <c r="AE1773" s="154"/>
      <c r="AF1773" s="154"/>
    </row>
    <row r="1774" spans="1:32" x14ac:dyDescent="0.25">
      <c r="A1774" s="196">
        <v>2571</v>
      </c>
      <c r="B1774" s="196" t="s">
        <v>8445</v>
      </c>
      <c r="C1774" s="196" t="s">
        <v>8446</v>
      </c>
      <c r="D1774" s="196" t="s">
        <v>1912</v>
      </c>
      <c r="E1774" s="196" t="s">
        <v>1913</v>
      </c>
      <c r="F1774" s="196">
        <v>1978</v>
      </c>
      <c r="H1774" s="196" t="s">
        <v>1878</v>
      </c>
      <c r="I1774" s="184" t="s">
        <v>1879</v>
      </c>
      <c r="K1774" s="196" t="s">
        <v>1881</v>
      </c>
      <c r="L1774" s="184" t="s">
        <v>8447</v>
      </c>
      <c r="M1774" s="196">
        <v>160</v>
      </c>
      <c r="O1774" s="196" t="s">
        <v>6772</v>
      </c>
      <c r="P1774" s="17">
        <v>10</v>
      </c>
      <c r="Q1774" s="175">
        <f t="shared" si="115"/>
        <v>1.7103999999999997</v>
      </c>
      <c r="R1774" s="175">
        <f t="shared" si="114"/>
        <v>2.9103999999999997</v>
      </c>
      <c r="S1774" s="199">
        <v>2.9</v>
      </c>
      <c r="T1774" s="149">
        <v>0.13</v>
      </c>
      <c r="U1774" s="149" t="str">
        <f t="shared" si="116"/>
        <v>1,20</v>
      </c>
      <c r="V1774" s="149">
        <f t="shared" si="117"/>
        <v>0.33999999999999997</v>
      </c>
      <c r="W1774" s="149">
        <v>1.05</v>
      </c>
      <c r="X1774" s="152">
        <f t="shared" si="118"/>
        <v>0.19039999999999999</v>
      </c>
      <c r="Y1774" s="150">
        <f t="shared" si="121"/>
        <v>1.2428319999999999</v>
      </c>
      <c r="Z1774" s="152">
        <f t="shared" si="119"/>
        <v>2.9</v>
      </c>
      <c r="AA1774" s="150">
        <f t="shared" si="120"/>
        <v>2.9103999999999997</v>
      </c>
      <c r="AB1774" s="150"/>
      <c r="AC1774" s="154"/>
      <c r="AD1774" s="154"/>
      <c r="AE1774" s="154"/>
      <c r="AF1774" s="154"/>
    </row>
    <row r="1775" spans="1:32" x14ac:dyDescent="0.25">
      <c r="A1775" s="196">
        <v>2522</v>
      </c>
      <c r="B1775" s="196" t="s">
        <v>8448</v>
      </c>
      <c r="C1775" s="196" t="s">
        <v>8449</v>
      </c>
      <c r="D1775" s="196" t="s">
        <v>2054</v>
      </c>
      <c r="F1775" s="196">
        <v>2005</v>
      </c>
      <c r="H1775" s="196" t="s">
        <v>1878</v>
      </c>
      <c r="I1775" s="184" t="s">
        <v>1879</v>
      </c>
      <c r="K1775" s="196" t="s">
        <v>1881</v>
      </c>
      <c r="L1775" s="184" t="s">
        <v>8450</v>
      </c>
      <c r="M1775" s="196">
        <v>368</v>
      </c>
      <c r="O1775" s="196" t="s">
        <v>6773</v>
      </c>
      <c r="P1775" s="17">
        <v>360</v>
      </c>
      <c r="Q1775" s="175">
        <f t="shared" si="115"/>
        <v>1.3</v>
      </c>
      <c r="R1775" s="175">
        <f t="shared" si="114"/>
        <v>2.5</v>
      </c>
      <c r="S1775" s="199">
        <v>2.5</v>
      </c>
      <c r="T1775" s="149">
        <v>0.13</v>
      </c>
      <c r="U1775" s="149" t="str">
        <f t="shared" si="116"/>
        <v>1,20</v>
      </c>
      <c r="V1775" s="149">
        <f t="shared" si="117"/>
        <v>0.33999999999999997</v>
      </c>
      <c r="W1775" s="149">
        <v>0.65</v>
      </c>
      <c r="X1775" s="152">
        <f t="shared" si="118"/>
        <v>0.16239999999999999</v>
      </c>
      <c r="Y1775" s="150">
        <f t="shared" si="121"/>
        <v>1.21</v>
      </c>
      <c r="Z1775" s="152">
        <f t="shared" si="119"/>
        <v>2.5</v>
      </c>
      <c r="AA1775" s="150">
        <f t="shared" si="120"/>
        <v>2.4823999999999997</v>
      </c>
      <c r="AB1775" s="150"/>
      <c r="AC1775" s="154"/>
      <c r="AD1775" s="154"/>
      <c r="AE1775" s="154"/>
      <c r="AF1775" s="154"/>
    </row>
    <row r="1776" spans="1:32" x14ac:dyDescent="0.25">
      <c r="A1776" s="196">
        <v>796</v>
      </c>
      <c r="B1776" s="196" t="s">
        <v>8451</v>
      </c>
      <c r="C1776" s="196" t="s">
        <v>8452</v>
      </c>
      <c r="D1776" s="196" t="s">
        <v>2300</v>
      </c>
      <c r="E1776" s="196" t="s">
        <v>1921</v>
      </c>
      <c r="F1776" s="196">
        <v>2010</v>
      </c>
      <c r="H1776" s="196" t="s">
        <v>1878</v>
      </c>
      <c r="I1776" s="184" t="s">
        <v>1879</v>
      </c>
      <c r="K1776" s="196" t="s">
        <v>1881</v>
      </c>
      <c r="L1776" s="184" t="s">
        <v>8453</v>
      </c>
      <c r="M1776" s="196">
        <v>352</v>
      </c>
      <c r="O1776" s="196" t="s">
        <v>6774</v>
      </c>
      <c r="P1776" s="17">
        <v>291</v>
      </c>
      <c r="Q1776" s="175">
        <f t="shared" si="115"/>
        <v>0.85439999999999983</v>
      </c>
      <c r="R1776" s="175">
        <f t="shared" si="114"/>
        <v>2.0543999999999998</v>
      </c>
      <c r="S1776" s="199">
        <v>1.55</v>
      </c>
      <c r="T1776" s="149">
        <v>0.13</v>
      </c>
      <c r="U1776" s="149" t="str">
        <f t="shared" si="116"/>
        <v>1,20</v>
      </c>
      <c r="V1776" s="149">
        <f t="shared" si="117"/>
        <v>0.33999999999999997</v>
      </c>
      <c r="W1776" s="149">
        <v>0.25</v>
      </c>
      <c r="X1776" s="152">
        <f t="shared" si="118"/>
        <v>0.13439999999999999</v>
      </c>
      <c r="Y1776" s="150">
        <f t="shared" si="121"/>
        <v>1.1743520000000001</v>
      </c>
      <c r="Z1776" s="152">
        <f t="shared" si="119"/>
        <v>1.55</v>
      </c>
      <c r="AA1776" s="150">
        <f t="shared" si="120"/>
        <v>2.0543999999999998</v>
      </c>
      <c r="AB1776" s="150"/>
      <c r="AC1776" s="154"/>
      <c r="AD1776" s="154"/>
      <c r="AE1776" s="154"/>
      <c r="AF1776" s="154"/>
    </row>
    <row r="1777" spans="1:32" x14ac:dyDescent="0.25">
      <c r="A1777" s="196">
        <v>692</v>
      </c>
      <c r="B1777" s="196" t="s">
        <v>8454</v>
      </c>
      <c r="C1777" s="196" t="s">
        <v>8455</v>
      </c>
      <c r="D1777" s="196" t="s">
        <v>2257</v>
      </c>
      <c r="F1777" s="196">
        <v>1996</v>
      </c>
      <c r="H1777" s="196" t="s">
        <v>1878</v>
      </c>
      <c r="I1777" s="184" t="s">
        <v>1879</v>
      </c>
      <c r="K1777" s="196" t="s">
        <v>1881</v>
      </c>
      <c r="L1777" s="184" t="s">
        <v>8456</v>
      </c>
      <c r="M1777" s="196">
        <v>416</v>
      </c>
      <c r="O1777" s="196" t="s">
        <v>6775</v>
      </c>
      <c r="P1777" s="17">
        <v>271</v>
      </c>
      <c r="Q1777" s="175">
        <f t="shared" si="115"/>
        <v>0.85439999999999983</v>
      </c>
      <c r="R1777" s="175">
        <f t="shared" si="114"/>
        <v>2.0543999999999998</v>
      </c>
      <c r="S1777" s="199">
        <v>1.65</v>
      </c>
      <c r="T1777" s="149">
        <v>0.13</v>
      </c>
      <c r="U1777" s="149" t="str">
        <f t="shared" si="116"/>
        <v>1,20</v>
      </c>
      <c r="V1777" s="149">
        <f t="shared" si="117"/>
        <v>0.33999999999999997</v>
      </c>
      <c r="W1777" s="149">
        <v>0.25</v>
      </c>
      <c r="X1777" s="152">
        <f t="shared" si="118"/>
        <v>0.13439999999999999</v>
      </c>
      <c r="Y1777" s="150">
        <f t="shared" si="121"/>
        <v>1.1743520000000001</v>
      </c>
      <c r="Z1777" s="152">
        <f t="shared" si="119"/>
        <v>1.65</v>
      </c>
      <c r="AA1777" s="150">
        <f t="shared" si="120"/>
        <v>2.0543999999999998</v>
      </c>
      <c r="AB1777" s="150"/>
      <c r="AC1777" s="154"/>
      <c r="AD1777" s="154"/>
      <c r="AE1777" s="154"/>
      <c r="AF1777" s="154"/>
    </row>
    <row r="1778" spans="1:32" x14ac:dyDescent="0.25">
      <c r="A1778" s="196">
        <v>481</v>
      </c>
      <c r="B1778" s="196" t="s">
        <v>8457</v>
      </c>
      <c r="C1778" s="196" t="s">
        <v>8458</v>
      </c>
      <c r="D1778" s="196" t="s">
        <v>2309</v>
      </c>
      <c r="E1778" s="196" t="s">
        <v>1913</v>
      </c>
      <c r="F1778" s="196">
        <v>2011</v>
      </c>
      <c r="H1778" s="196" t="s">
        <v>1878</v>
      </c>
      <c r="I1778" s="184" t="s">
        <v>1879</v>
      </c>
      <c r="K1778" s="196" t="s">
        <v>1881</v>
      </c>
      <c r="L1778" s="184" t="s">
        <v>8459</v>
      </c>
      <c r="M1778" s="196">
        <v>288</v>
      </c>
      <c r="O1778" s="196" t="s">
        <v>6776</v>
      </c>
      <c r="P1778" s="17">
        <v>282</v>
      </c>
      <c r="Q1778" s="175">
        <f t="shared" si="115"/>
        <v>1.6033999999999999</v>
      </c>
      <c r="R1778" s="175">
        <f t="shared" si="114"/>
        <v>2.8033999999999999</v>
      </c>
      <c r="S1778" s="199">
        <v>2.8</v>
      </c>
      <c r="T1778" s="149">
        <v>0.13</v>
      </c>
      <c r="U1778" s="149" t="str">
        <f t="shared" si="116"/>
        <v>1,20</v>
      </c>
      <c r="V1778" s="149">
        <f t="shared" si="117"/>
        <v>0.33999999999999997</v>
      </c>
      <c r="W1778" s="149">
        <v>0.95</v>
      </c>
      <c r="X1778" s="152">
        <f t="shared" si="118"/>
        <v>0.18340000000000001</v>
      </c>
      <c r="Y1778" s="150">
        <f t="shared" si="121"/>
        <v>1.234272</v>
      </c>
      <c r="Z1778" s="152">
        <f t="shared" si="119"/>
        <v>2.8</v>
      </c>
      <c r="AA1778" s="150">
        <f t="shared" si="120"/>
        <v>2.8033999999999999</v>
      </c>
      <c r="AB1778" s="150"/>
      <c r="AC1778" s="154"/>
      <c r="AD1778" s="154"/>
      <c r="AE1778" s="154"/>
      <c r="AF1778" s="154"/>
    </row>
    <row r="1779" spans="1:32" x14ac:dyDescent="0.25">
      <c r="A1779" s="196">
        <v>1984</v>
      </c>
      <c r="B1779" s="196" t="s">
        <v>8460</v>
      </c>
      <c r="C1779" s="196" t="s">
        <v>8461</v>
      </c>
      <c r="D1779" s="196" t="s">
        <v>2530</v>
      </c>
      <c r="F1779" s="196">
        <v>2013</v>
      </c>
      <c r="H1779" s="196" t="s">
        <v>1878</v>
      </c>
      <c r="I1779" s="184" t="s">
        <v>1929</v>
      </c>
      <c r="K1779" s="196" t="s">
        <v>1881</v>
      </c>
      <c r="L1779" s="184" t="s">
        <v>8462</v>
      </c>
      <c r="M1779" s="196">
        <v>62</v>
      </c>
      <c r="O1779" s="196" t="s">
        <v>6777</v>
      </c>
      <c r="P1779" s="17">
        <v>157</v>
      </c>
      <c r="Q1779" s="175">
        <f t="shared" si="115"/>
        <v>1.0684000000000002</v>
      </c>
      <c r="R1779" s="175">
        <f t="shared" si="114"/>
        <v>2.2684000000000002</v>
      </c>
      <c r="S1779" s="199">
        <v>2.25</v>
      </c>
      <c r="T1779" s="149">
        <v>0.13</v>
      </c>
      <c r="U1779" s="149" t="str">
        <f t="shared" si="116"/>
        <v>1,20</v>
      </c>
      <c r="V1779" s="149">
        <f t="shared" si="117"/>
        <v>0.33999999999999997</v>
      </c>
      <c r="W1779" s="149">
        <v>0.45</v>
      </c>
      <c r="X1779" s="152">
        <f t="shared" si="118"/>
        <v>0.1484</v>
      </c>
      <c r="Y1779" s="150">
        <f t="shared" si="121"/>
        <v>1.1914720000000001</v>
      </c>
      <c r="Z1779" s="152">
        <f t="shared" si="119"/>
        <v>2.25</v>
      </c>
      <c r="AA1779" s="150">
        <f t="shared" si="120"/>
        <v>2.2684000000000002</v>
      </c>
      <c r="AB1779" s="150"/>
      <c r="AC1779" s="154"/>
      <c r="AD1779" s="154"/>
      <c r="AE1779" s="154"/>
      <c r="AF1779" s="154"/>
    </row>
    <row r="1780" spans="1:32" x14ac:dyDescent="0.25">
      <c r="A1780" s="196">
        <v>1984</v>
      </c>
      <c r="B1780" s="196" t="s">
        <v>8463</v>
      </c>
      <c r="C1780" s="196" t="s">
        <v>8464</v>
      </c>
      <c r="D1780" s="196" t="s">
        <v>8465</v>
      </c>
      <c r="F1780" s="196">
        <v>1991</v>
      </c>
      <c r="H1780" s="196" t="s">
        <v>8439</v>
      </c>
      <c r="I1780" s="184" t="s">
        <v>1914</v>
      </c>
      <c r="K1780" s="196" t="s">
        <v>1881</v>
      </c>
      <c r="L1780" s="184" t="s">
        <v>8466</v>
      </c>
      <c r="O1780" s="196" t="s">
        <v>6778</v>
      </c>
      <c r="P1780" s="17">
        <v>88</v>
      </c>
      <c r="Q1780" s="175">
        <f t="shared" si="115"/>
        <v>3.29</v>
      </c>
      <c r="R1780" s="175">
        <f t="shared" si="114"/>
        <v>4.49</v>
      </c>
      <c r="S1780" s="199">
        <v>4.49</v>
      </c>
      <c r="T1780" s="149">
        <v>0.13</v>
      </c>
      <c r="U1780" s="149" t="str">
        <f t="shared" si="116"/>
        <v>1,20</v>
      </c>
      <c r="V1780" s="149">
        <f t="shared" si="117"/>
        <v>0.33999999999999997</v>
      </c>
      <c r="W1780" s="149">
        <v>2.5</v>
      </c>
      <c r="X1780" s="152">
        <f t="shared" si="118"/>
        <v>0.29189999999999999</v>
      </c>
      <c r="Y1780" s="150">
        <f t="shared" si="121"/>
        <v>1.3692</v>
      </c>
      <c r="Z1780" s="152">
        <f t="shared" si="119"/>
        <v>4.49</v>
      </c>
      <c r="AA1780" s="150">
        <f t="shared" si="120"/>
        <v>4.4619</v>
      </c>
      <c r="AB1780" s="150"/>
      <c r="AC1780" s="154"/>
      <c r="AD1780" s="154"/>
      <c r="AE1780" s="154"/>
      <c r="AF1780" s="154"/>
    </row>
    <row r="1781" spans="1:32" x14ac:dyDescent="0.25">
      <c r="A1781" s="196">
        <v>2010</v>
      </c>
      <c r="B1781" s="196" t="s">
        <v>8467</v>
      </c>
      <c r="C1781" s="196" t="s">
        <v>8468</v>
      </c>
      <c r="D1781" s="196" t="s">
        <v>8469</v>
      </c>
      <c r="F1781" s="196">
        <v>2012</v>
      </c>
      <c r="H1781" s="196" t="s">
        <v>1878</v>
      </c>
      <c r="I1781" s="184" t="s">
        <v>1879</v>
      </c>
      <c r="J1781" s="52" t="s">
        <v>3854</v>
      </c>
      <c r="K1781" s="196" t="s">
        <v>2025</v>
      </c>
      <c r="L1781" s="184" t="s">
        <v>8470</v>
      </c>
      <c r="M1781" s="196">
        <v>362</v>
      </c>
      <c r="O1781" s="196" t="s">
        <v>6779</v>
      </c>
      <c r="P1781" s="17">
        <v>260</v>
      </c>
      <c r="Q1781" s="175">
        <f t="shared" si="115"/>
        <v>1.5000000000000002</v>
      </c>
      <c r="R1781" s="175">
        <f t="shared" si="114"/>
        <v>2.7</v>
      </c>
      <c r="S1781" s="199">
        <v>2.7</v>
      </c>
      <c r="T1781" s="149">
        <v>0.13</v>
      </c>
      <c r="U1781" s="149" t="str">
        <f t="shared" si="116"/>
        <v>1,20</v>
      </c>
      <c r="V1781" s="149">
        <f t="shared" si="117"/>
        <v>0.33999999999999997</v>
      </c>
      <c r="W1781" s="149">
        <v>0.85</v>
      </c>
      <c r="X1781" s="152">
        <f t="shared" si="118"/>
        <v>0.1764</v>
      </c>
      <c r="Y1781" s="150">
        <f t="shared" si="121"/>
        <v>1.226</v>
      </c>
      <c r="Z1781" s="152">
        <f t="shared" si="119"/>
        <v>2.7</v>
      </c>
      <c r="AA1781" s="150">
        <f t="shared" si="120"/>
        <v>2.6964000000000001</v>
      </c>
      <c r="AB1781" s="150"/>
      <c r="AC1781" s="154"/>
      <c r="AD1781" s="154"/>
      <c r="AE1781" s="154"/>
      <c r="AF1781" s="154"/>
    </row>
    <row r="1782" spans="1:32" x14ac:dyDescent="0.25">
      <c r="A1782" s="196">
        <v>1386</v>
      </c>
      <c r="B1782" s="196" t="s">
        <v>8471</v>
      </c>
      <c r="C1782" s="196" t="s">
        <v>8472</v>
      </c>
      <c r="D1782" s="196" t="s">
        <v>1988</v>
      </c>
      <c r="E1782" s="196" t="s">
        <v>1921</v>
      </c>
      <c r="F1782" s="196">
        <v>2005</v>
      </c>
      <c r="H1782" s="196" t="s">
        <v>1878</v>
      </c>
      <c r="I1782" s="184" t="s">
        <v>1879</v>
      </c>
      <c r="J1782" s="196" t="s">
        <v>8473</v>
      </c>
      <c r="K1782" s="196" t="s">
        <v>1881</v>
      </c>
      <c r="L1782" s="184" t="s">
        <v>8474</v>
      </c>
      <c r="M1782" s="196">
        <v>360</v>
      </c>
      <c r="O1782" s="196" t="s">
        <v>6780</v>
      </c>
      <c r="P1782" s="17">
        <v>454</v>
      </c>
      <c r="Q1782" s="175">
        <f t="shared" si="115"/>
        <v>0.85439999999999983</v>
      </c>
      <c r="R1782" s="175">
        <f t="shared" si="114"/>
        <v>2.0543999999999998</v>
      </c>
      <c r="S1782" s="199">
        <v>1.65</v>
      </c>
      <c r="T1782" s="149">
        <v>0.13</v>
      </c>
      <c r="U1782" s="149" t="str">
        <f t="shared" si="116"/>
        <v>1,20</v>
      </c>
      <c r="V1782" s="149">
        <f t="shared" si="117"/>
        <v>0.33999999999999997</v>
      </c>
      <c r="W1782" s="149">
        <v>0.25</v>
      </c>
      <c r="X1782" s="152">
        <f t="shared" si="118"/>
        <v>0.13439999999999999</v>
      </c>
      <c r="Y1782" s="150">
        <f t="shared" si="121"/>
        <v>1.1743520000000001</v>
      </c>
      <c r="Z1782" s="152">
        <f t="shared" si="119"/>
        <v>1.65</v>
      </c>
      <c r="AA1782" s="150">
        <f t="shared" si="120"/>
        <v>2.0543999999999998</v>
      </c>
      <c r="AB1782" s="150"/>
      <c r="AC1782" s="154"/>
      <c r="AD1782" s="154"/>
      <c r="AE1782" s="154"/>
      <c r="AF1782" s="154"/>
    </row>
    <row r="1783" spans="1:32" x14ac:dyDescent="0.25">
      <c r="A1783" s="196">
        <v>1386</v>
      </c>
      <c r="B1783" s="196" t="s">
        <v>3684</v>
      </c>
      <c r="C1783" s="196" t="s">
        <v>8475</v>
      </c>
      <c r="D1783" s="196" t="s">
        <v>2054</v>
      </c>
      <c r="F1783" s="196">
        <v>2008</v>
      </c>
      <c r="H1783" s="196" t="s">
        <v>1878</v>
      </c>
      <c r="I1783" s="184" t="s">
        <v>1879</v>
      </c>
      <c r="K1783" s="196" t="s">
        <v>1881</v>
      </c>
      <c r="L1783" s="184" t="s">
        <v>8476</v>
      </c>
      <c r="M1783" s="196">
        <v>802</v>
      </c>
      <c r="O1783" s="196" t="s">
        <v>6781</v>
      </c>
      <c r="P1783" s="17">
        <v>749</v>
      </c>
      <c r="Q1783" s="175">
        <f t="shared" si="115"/>
        <v>2.601399999999999</v>
      </c>
      <c r="R1783" s="175">
        <f t="shared" si="114"/>
        <v>4.3013999999999992</v>
      </c>
      <c r="S1783" s="199">
        <v>4.3</v>
      </c>
      <c r="T1783" s="149">
        <v>0.13</v>
      </c>
      <c r="U1783" s="149" t="str">
        <f t="shared" si="116"/>
        <v>1,70</v>
      </c>
      <c r="V1783" s="149">
        <f t="shared" si="117"/>
        <v>0.33999999999999997</v>
      </c>
      <c r="W1783" s="149">
        <v>1.85</v>
      </c>
      <c r="X1783" s="152">
        <f t="shared" si="118"/>
        <v>0.28139999999999993</v>
      </c>
      <c r="Y1783" s="150">
        <f t="shared" si="121"/>
        <v>1.354112</v>
      </c>
      <c r="Z1783" s="152">
        <f t="shared" si="119"/>
        <v>4.3</v>
      </c>
      <c r="AA1783" s="150">
        <f t="shared" si="120"/>
        <v>4.3013999999999992</v>
      </c>
      <c r="AB1783" s="150"/>
      <c r="AC1783" s="154"/>
      <c r="AD1783" s="154"/>
      <c r="AE1783" s="154"/>
      <c r="AF1783" s="154"/>
    </row>
    <row r="1784" spans="1:32" x14ac:dyDescent="0.25">
      <c r="A1784" s="196">
        <v>1367</v>
      </c>
      <c r="B1784" s="196" t="s">
        <v>8478</v>
      </c>
      <c r="C1784" s="196" t="s">
        <v>8477</v>
      </c>
      <c r="H1784" s="196" t="s">
        <v>2734</v>
      </c>
      <c r="I1784" s="184" t="s">
        <v>1929</v>
      </c>
      <c r="K1784" s="196" t="s">
        <v>1881</v>
      </c>
      <c r="L1784" s="184" t="s">
        <v>8479</v>
      </c>
      <c r="M1784" s="196">
        <v>322</v>
      </c>
      <c r="O1784" s="196" t="s">
        <v>6782</v>
      </c>
      <c r="P1784" s="17">
        <v>665</v>
      </c>
      <c r="Q1784" s="175">
        <f t="shared" si="115"/>
        <v>3.4038999999999993</v>
      </c>
      <c r="R1784" s="175">
        <f t="shared" si="114"/>
        <v>5.1038999999999994</v>
      </c>
      <c r="S1784" s="199">
        <v>5.0999999999999996</v>
      </c>
      <c r="T1784" s="149">
        <v>0.13</v>
      </c>
      <c r="U1784" s="149" t="str">
        <f t="shared" si="116"/>
        <v>1,70</v>
      </c>
      <c r="V1784" s="149">
        <f t="shared" si="117"/>
        <v>0.33999999999999997</v>
      </c>
      <c r="W1784" s="149">
        <v>2.6</v>
      </c>
      <c r="X1784" s="152">
        <f t="shared" si="118"/>
        <v>0.33389999999999997</v>
      </c>
      <c r="Y1784" s="150">
        <f t="shared" si="121"/>
        <v>1.418312</v>
      </c>
      <c r="Z1784" s="152">
        <f t="shared" si="119"/>
        <v>5.0999999999999996</v>
      </c>
      <c r="AA1784" s="150">
        <f t="shared" si="120"/>
        <v>5.1038999999999994</v>
      </c>
      <c r="AB1784" s="150"/>
      <c r="AC1784" s="154"/>
      <c r="AD1784" s="154"/>
      <c r="AE1784" s="154"/>
      <c r="AF1784" s="154"/>
    </row>
    <row r="1785" spans="1:32" x14ac:dyDescent="0.25">
      <c r="A1785" s="196">
        <v>2518</v>
      </c>
      <c r="B1785" s="196" t="s">
        <v>8480</v>
      </c>
      <c r="C1785" s="196" t="s">
        <v>8481</v>
      </c>
      <c r="D1785" s="196" t="s">
        <v>6393</v>
      </c>
      <c r="F1785" s="196">
        <v>2010</v>
      </c>
      <c r="H1785" s="196" t="s">
        <v>1878</v>
      </c>
      <c r="I1785" s="184" t="s">
        <v>1929</v>
      </c>
      <c r="K1785" s="196" t="s">
        <v>1881</v>
      </c>
      <c r="L1785" s="184" t="s">
        <v>8482</v>
      </c>
      <c r="M1785" s="196">
        <v>224</v>
      </c>
      <c r="O1785" s="196" t="s">
        <v>6783</v>
      </c>
      <c r="P1785" s="17">
        <v>272</v>
      </c>
      <c r="Q1785" s="175">
        <f t="shared" si="115"/>
        <v>0.85439999999999983</v>
      </c>
      <c r="R1785" s="175">
        <f t="shared" si="114"/>
        <v>2.0543999999999998</v>
      </c>
      <c r="S1785" s="199">
        <v>2</v>
      </c>
      <c r="T1785" s="149">
        <v>0.13</v>
      </c>
      <c r="U1785" s="149" t="str">
        <f t="shared" si="116"/>
        <v>1,20</v>
      </c>
      <c r="V1785" s="149">
        <f t="shared" si="117"/>
        <v>0.33999999999999997</v>
      </c>
      <c r="W1785" s="149">
        <v>0.25</v>
      </c>
      <c r="X1785" s="152">
        <f t="shared" si="118"/>
        <v>0.13439999999999999</v>
      </c>
      <c r="Y1785" s="150">
        <f t="shared" si="121"/>
        <v>1.1743520000000001</v>
      </c>
      <c r="Z1785" s="152">
        <f t="shared" si="119"/>
        <v>2</v>
      </c>
      <c r="AA1785" s="150">
        <f t="shared" si="120"/>
        <v>2.0543999999999998</v>
      </c>
      <c r="AB1785" s="150"/>
      <c r="AC1785" s="154"/>
      <c r="AD1785" s="154"/>
      <c r="AE1785" s="154"/>
      <c r="AF1785" s="154"/>
    </row>
    <row r="1786" spans="1:32" x14ac:dyDescent="0.25">
      <c r="A1786" s="196">
        <v>2851</v>
      </c>
      <c r="B1786" s="196" t="s">
        <v>2456</v>
      </c>
      <c r="C1786" s="196" t="s">
        <v>8483</v>
      </c>
      <c r="D1786" s="196" t="s">
        <v>5005</v>
      </c>
      <c r="F1786" s="196">
        <v>2000</v>
      </c>
      <c r="H1786" s="196" t="s">
        <v>1878</v>
      </c>
      <c r="I1786" s="184" t="s">
        <v>7527</v>
      </c>
      <c r="K1786" s="196" t="s">
        <v>1881</v>
      </c>
      <c r="M1786" s="196">
        <v>608</v>
      </c>
      <c r="O1786" s="196" t="s">
        <v>6784</v>
      </c>
      <c r="P1786" s="17">
        <v>446</v>
      </c>
      <c r="Q1786" s="175">
        <f t="shared" si="115"/>
        <v>0.85439999999999983</v>
      </c>
      <c r="R1786" s="175">
        <f t="shared" si="114"/>
        <v>2.0543999999999998</v>
      </c>
      <c r="S1786" s="199">
        <v>1.5</v>
      </c>
      <c r="T1786" s="149">
        <v>0.13</v>
      </c>
      <c r="U1786" s="149" t="str">
        <f t="shared" si="116"/>
        <v>1,20</v>
      </c>
      <c r="V1786" s="149">
        <f t="shared" si="117"/>
        <v>0.33999999999999997</v>
      </c>
      <c r="W1786" s="149">
        <v>0.25</v>
      </c>
      <c r="X1786" s="152">
        <f t="shared" si="118"/>
        <v>0.13439999999999999</v>
      </c>
      <c r="Y1786" s="150">
        <f t="shared" si="121"/>
        <v>1.1743520000000001</v>
      </c>
      <c r="Z1786" s="152">
        <f t="shared" si="119"/>
        <v>1.5</v>
      </c>
      <c r="AA1786" s="150">
        <f t="shared" si="120"/>
        <v>2.0543999999999998</v>
      </c>
      <c r="AB1786" s="150"/>
      <c r="AC1786" s="154"/>
      <c r="AD1786" s="154"/>
      <c r="AE1786" s="154"/>
      <c r="AF1786" s="154"/>
    </row>
    <row r="1787" spans="1:32" x14ac:dyDescent="0.25">
      <c r="A1787" s="196">
        <v>1386</v>
      </c>
      <c r="B1787" s="196" t="s">
        <v>8488</v>
      </c>
      <c r="C1787" s="196" t="s">
        <v>8489</v>
      </c>
      <c r="D1787" s="196" t="s">
        <v>2309</v>
      </c>
      <c r="E1787" s="196" t="s">
        <v>1913</v>
      </c>
      <c r="F1787" s="196">
        <v>2010</v>
      </c>
      <c r="H1787" s="196" t="s">
        <v>1878</v>
      </c>
      <c r="I1787" s="184" t="s">
        <v>1879</v>
      </c>
      <c r="K1787" s="196" t="s">
        <v>1881</v>
      </c>
      <c r="L1787" s="184" t="s">
        <v>8490</v>
      </c>
      <c r="M1787" s="196">
        <v>322</v>
      </c>
      <c r="O1787" s="196" t="s">
        <v>6786</v>
      </c>
      <c r="P1787" s="17">
        <v>350</v>
      </c>
      <c r="Q1787" s="175">
        <f t="shared" si="115"/>
        <v>0.85439999999999983</v>
      </c>
      <c r="R1787" s="175">
        <f t="shared" si="114"/>
        <v>2.0543999999999998</v>
      </c>
      <c r="S1787" s="199">
        <v>1.89</v>
      </c>
      <c r="T1787" s="149">
        <v>0.13</v>
      </c>
      <c r="U1787" s="149" t="str">
        <f t="shared" si="116"/>
        <v>1,20</v>
      </c>
      <c r="V1787" s="149">
        <f t="shared" si="117"/>
        <v>0.33999999999999997</v>
      </c>
      <c r="W1787" s="149">
        <v>0.25</v>
      </c>
      <c r="X1787" s="152">
        <f t="shared" si="118"/>
        <v>0.13439999999999999</v>
      </c>
      <c r="Y1787" s="150">
        <f t="shared" si="121"/>
        <v>1.1743520000000001</v>
      </c>
      <c r="Z1787" s="152">
        <f t="shared" si="119"/>
        <v>1.89</v>
      </c>
      <c r="AA1787" s="150">
        <f t="shared" si="120"/>
        <v>2.0543999999999998</v>
      </c>
      <c r="AB1787" s="150"/>
      <c r="AC1787" s="154"/>
      <c r="AD1787" s="154"/>
      <c r="AE1787" s="154"/>
      <c r="AF1787" s="154"/>
    </row>
    <row r="1788" spans="1:32" x14ac:dyDescent="0.25">
      <c r="A1788" s="196">
        <v>2522</v>
      </c>
      <c r="B1788" s="196" t="s">
        <v>3065</v>
      </c>
      <c r="C1788" s="196" t="s">
        <v>3066</v>
      </c>
      <c r="D1788" s="196" t="s">
        <v>2054</v>
      </c>
      <c r="F1788" s="196">
        <v>2008</v>
      </c>
      <c r="H1788" s="196" t="s">
        <v>2734</v>
      </c>
      <c r="I1788" s="184" t="s">
        <v>1879</v>
      </c>
      <c r="K1788" s="196" t="s">
        <v>1881</v>
      </c>
      <c r="L1788" s="184" t="s">
        <v>8491</v>
      </c>
      <c r="M1788" s="196">
        <v>690</v>
      </c>
      <c r="O1788" s="196" t="s">
        <v>6787</v>
      </c>
      <c r="P1788" s="17">
        <v>577</v>
      </c>
      <c r="Q1788" s="175">
        <f t="shared" si="115"/>
        <v>7.4699</v>
      </c>
      <c r="R1788" s="175">
        <f t="shared" si="114"/>
        <v>9.1699000000000002</v>
      </c>
      <c r="S1788" s="199">
        <f>6.95+2.2</f>
        <v>9.15</v>
      </c>
      <c r="T1788" s="149">
        <v>0.13</v>
      </c>
      <c r="U1788" s="149" t="str">
        <f t="shared" si="116"/>
        <v>1,70</v>
      </c>
      <c r="V1788" s="149">
        <f t="shared" si="117"/>
        <v>0.33999999999999997</v>
      </c>
      <c r="W1788" s="149">
        <v>6.4</v>
      </c>
      <c r="X1788" s="152">
        <f t="shared" si="118"/>
        <v>0.59989999999999999</v>
      </c>
      <c r="Y1788" s="150">
        <f t="shared" si="121"/>
        <v>1.743592</v>
      </c>
      <c r="Z1788" s="152">
        <f t="shared" si="119"/>
        <v>9.15</v>
      </c>
      <c r="AA1788" s="150">
        <f t="shared" si="120"/>
        <v>9.1699000000000002</v>
      </c>
      <c r="AB1788" s="150"/>
      <c r="AC1788" s="154"/>
      <c r="AD1788" s="154"/>
      <c r="AE1788" s="154"/>
      <c r="AF1788" s="154"/>
    </row>
    <row r="1789" spans="1:32" x14ac:dyDescent="0.25">
      <c r="A1789" s="196">
        <v>2649</v>
      </c>
      <c r="C1789" s="196" t="s">
        <v>8492</v>
      </c>
      <c r="D1789" s="196" t="s">
        <v>2103</v>
      </c>
      <c r="F1789" s="196">
        <v>2006</v>
      </c>
      <c r="H1789" s="196" t="s">
        <v>1878</v>
      </c>
      <c r="I1789" s="184" t="s">
        <v>1879</v>
      </c>
      <c r="K1789" s="196" t="s">
        <v>1881</v>
      </c>
      <c r="L1789" s="184" t="s">
        <v>8493</v>
      </c>
      <c r="M1789" s="196">
        <v>336</v>
      </c>
      <c r="O1789" s="196" t="s">
        <v>6788</v>
      </c>
      <c r="P1789" s="17">
        <v>323</v>
      </c>
      <c r="Q1789" s="175">
        <f t="shared" si="115"/>
        <v>0.90789999999999993</v>
      </c>
      <c r="R1789" s="175">
        <f t="shared" si="114"/>
        <v>2.1078999999999999</v>
      </c>
      <c r="S1789" s="199">
        <v>2.1</v>
      </c>
      <c r="T1789" s="149">
        <v>0.13</v>
      </c>
      <c r="U1789" s="149" t="str">
        <f t="shared" si="116"/>
        <v>1,20</v>
      </c>
      <c r="V1789" s="149">
        <f t="shared" si="117"/>
        <v>0.33999999999999997</v>
      </c>
      <c r="W1789" s="149">
        <v>0.3</v>
      </c>
      <c r="X1789" s="152">
        <f t="shared" si="118"/>
        <v>0.13789999999999999</v>
      </c>
      <c r="Y1789" s="150">
        <f t="shared" si="121"/>
        <v>1.1786319999999999</v>
      </c>
      <c r="Z1789" s="152">
        <f t="shared" si="119"/>
        <v>2.1</v>
      </c>
      <c r="AA1789" s="150">
        <f t="shared" si="120"/>
        <v>2.1078999999999999</v>
      </c>
      <c r="AB1789" s="150"/>
      <c r="AC1789" s="154"/>
      <c r="AD1789" s="154"/>
      <c r="AE1789" s="154"/>
      <c r="AF1789" s="154"/>
    </row>
    <row r="1790" spans="1:32" x14ac:dyDescent="0.25">
      <c r="A1790" s="196">
        <v>2522</v>
      </c>
      <c r="B1790" s="196" t="s">
        <v>8494</v>
      </c>
      <c r="C1790" s="196" t="s">
        <v>8495</v>
      </c>
      <c r="D1790" s="196" t="s">
        <v>2257</v>
      </c>
      <c r="F1790" s="196">
        <v>2002</v>
      </c>
      <c r="H1790" s="196" t="s">
        <v>1878</v>
      </c>
      <c r="I1790" s="184" t="s">
        <v>1879</v>
      </c>
      <c r="J1790" s="52" t="s">
        <v>3854</v>
      </c>
      <c r="K1790" s="196" t="s">
        <v>1881</v>
      </c>
      <c r="L1790" s="184" t="s">
        <v>8496</v>
      </c>
      <c r="M1790" s="196">
        <v>640</v>
      </c>
      <c r="O1790" s="196" t="s">
        <v>6789</v>
      </c>
      <c r="P1790" s="17">
        <v>482</v>
      </c>
      <c r="Q1790" s="175">
        <f t="shared" si="115"/>
        <v>1.6199999999999999</v>
      </c>
      <c r="R1790" s="175">
        <f t="shared" ref="R1790:R1838" si="122">IF(Z1790&gt;AA1790,Z1790,AA1790)</f>
        <v>2.82</v>
      </c>
      <c r="S1790" s="199">
        <v>2.82</v>
      </c>
      <c r="T1790" s="149">
        <v>0.13</v>
      </c>
      <c r="U1790" s="149" t="str">
        <f t="shared" si="116"/>
        <v>1,20</v>
      </c>
      <c r="V1790" s="149">
        <f t="shared" si="117"/>
        <v>0.33999999999999997</v>
      </c>
      <c r="W1790" s="149">
        <v>0.95</v>
      </c>
      <c r="X1790" s="152">
        <f t="shared" si="118"/>
        <v>0.18340000000000001</v>
      </c>
      <c r="Y1790" s="150">
        <f t="shared" si="121"/>
        <v>1.2356</v>
      </c>
      <c r="Z1790" s="152">
        <f t="shared" si="119"/>
        <v>2.82</v>
      </c>
      <c r="AA1790" s="150">
        <f t="shared" si="120"/>
        <v>2.8033999999999999</v>
      </c>
      <c r="AB1790" s="150"/>
      <c r="AC1790" s="154"/>
      <c r="AD1790" s="154"/>
      <c r="AE1790" s="154"/>
      <c r="AF1790" s="154"/>
    </row>
    <row r="1791" spans="1:32" x14ac:dyDescent="0.25">
      <c r="A1791" s="196">
        <v>2546</v>
      </c>
      <c r="B1791" s="196" t="s">
        <v>8497</v>
      </c>
      <c r="C1791" s="196" t="s">
        <v>8498</v>
      </c>
      <c r="D1791" s="196" t="s">
        <v>2424</v>
      </c>
      <c r="E1791" s="196" t="s">
        <v>1921</v>
      </c>
      <c r="F1791" s="196">
        <v>2007</v>
      </c>
      <c r="H1791" s="196" t="s">
        <v>1878</v>
      </c>
      <c r="I1791" s="184" t="s">
        <v>1879</v>
      </c>
      <c r="K1791" s="196" t="s">
        <v>1881</v>
      </c>
      <c r="L1791" s="184" t="s">
        <v>8499</v>
      </c>
      <c r="M1791" s="196">
        <v>352</v>
      </c>
      <c r="O1791" s="196" t="s">
        <v>6790</v>
      </c>
      <c r="P1791" s="17">
        <v>336</v>
      </c>
      <c r="Q1791" s="175">
        <f t="shared" ref="Q1791:Q1838" si="123">R1791-U1791</f>
        <v>0.90789999999999993</v>
      </c>
      <c r="R1791" s="175">
        <f t="shared" si="122"/>
        <v>2.1078999999999999</v>
      </c>
      <c r="S1791" s="199">
        <v>2.1</v>
      </c>
      <c r="T1791" s="149">
        <v>0.13</v>
      </c>
      <c r="U1791" s="149" t="str">
        <f t="shared" ref="U1791:U1838" si="124">IF(P1791&lt;501,"1,20","1,70")</f>
        <v>1,20</v>
      </c>
      <c r="V1791" s="149">
        <f t="shared" ref="V1791:V1892" si="125">0.08+0.09+0.17</f>
        <v>0.33999999999999997</v>
      </c>
      <c r="W1791" s="149">
        <v>0.3</v>
      </c>
      <c r="X1791" s="152">
        <f t="shared" ref="X1791:X1854" si="126">(T1791+U1791+V1791+W1791)/100*7</f>
        <v>0.13789999999999999</v>
      </c>
      <c r="Y1791" s="150">
        <f t="shared" si="121"/>
        <v>1.1786319999999999</v>
      </c>
      <c r="Z1791" s="152">
        <f t="shared" ref="Z1791:Z1854" si="127">S1791</f>
        <v>2.1</v>
      </c>
      <c r="AA1791" s="150">
        <f t="shared" ref="AA1791:AA1854" si="128">T1791+U1791+V1791+W1791+X1791</f>
        <v>2.1078999999999999</v>
      </c>
      <c r="AB1791" s="150"/>
      <c r="AC1791" s="154"/>
      <c r="AD1791" s="154"/>
      <c r="AE1791" s="154"/>
      <c r="AF1791" s="154"/>
    </row>
    <row r="1792" spans="1:32" x14ac:dyDescent="0.25">
      <c r="A1792" s="196">
        <v>1386</v>
      </c>
      <c r="B1792" s="196" t="s">
        <v>8500</v>
      </c>
      <c r="C1792" s="196" t="s">
        <v>8501</v>
      </c>
      <c r="D1792" s="196" t="s">
        <v>3077</v>
      </c>
      <c r="E1792" s="196" t="s">
        <v>1913</v>
      </c>
      <c r="F1792" s="196">
        <v>2009</v>
      </c>
      <c r="H1792" s="196" t="s">
        <v>1878</v>
      </c>
      <c r="I1792" s="184" t="s">
        <v>1879</v>
      </c>
      <c r="J1792" s="52" t="s">
        <v>3854</v>
      </c>
      <c r="K1792" s="196" t="s">
        <v>1881</v>
      </c>
      <c r="L1792" s="184" t="s">
        <v>8502</v>
      </c>
      <c r="M1792" s="196">
        <v>512</v>
      </c>
      <c r="O1792" s="196" t="s">
        <v>6791</v>
      </c>
      <c r="P1792" s="17">
        <v>397</v>
      </c>
      <c r="Q1792" s="175">
        <f t="shared" si="123"/>
        <v>0.85439999999999983</v>
      </c>
      <c r="R1792" s="175">
        <f t="shared" si="122"/>
        <v>2.0543999999999998</v>
      </c>
      <c r="S1792" s="199">
        <v>1.78</v>
      </c>
      <c r="T1792" s="149">
        <v>0.13</v>
      </c>
      <c r="U1792" s="149" t="str">
        <f t="shared" si="124"/>
        <v>1,20</v>
      </c>
      <c r="V1792" s="149">
        <f t="shared" si="125"/>
        <v>0.33999999999999997</v>
      </c>
      <c r="W1792" s="149">
        <v>0.25</v>
      </c>
      <c r="X1792" s="152">
        <f t="shared" si="126"/>
        <v>0.13439999999999999</v>
      </c>
      <c r="Y1792" s="150">
        <f t="shared" si="121"/>
        <v>1.1743520000000001</v>
      </c>
      <c r="Z1792" s="152">
        <f t="shared" si="127"/>
        <v>1.78</v>
      </c>
      <c r="AA1792" s="150">
        <f t="shared" si="128"/>
        <v>2.0543999999999998</v>
      </c>
      <c r="AB1792" s="150"/>
      <c r="AC1792" s="154"/>
      <c r="AD1792" s="154"/>
      <c r="AE1792" s="154"/>
      <c r="AF1792" s="154"/>
    </row>
    <row r="1793" spans="1:32" x14ac:dyDescent="0.25">
      <c r="A1793" s="196">
        <v>796</v>
      </c>
      <c r="B1793" s="196" t="s">
        <v>8503</v>
      </c>
      <c r="C1793" s="196" t="s">
        <v>8504</v>
      </c>
      <c r="D1793" s="196" t="s">
        <v>2054</v>
      </c>
      <c r="F1793" s="196">
        <v>2008</v>
      </c>
      <c r="H1793" s="196" t="s">
        <v>1878</v>
      </c>
      <c r="I1793" s="184" t="s">
        <v>1879</v>
      </c>
      <c r="J1793" s="52" t="s">
        <v>3854</v>
      </c>
      <c r="K1793" s="196" t="s">
        <v>1881</v>
      </c>
      <c r="L1793" s="184" t="s">
        <v>8505</v>
      </c>
      <c r="M1793" s="196">
        <v>146</v>
      </c>
      <c r="O1793" s="196" t="s">
        <v>6792</v>
      </c>
      <c r="P1793" s="17">
        <v>206</v>
      </c>
      <c r="Q1793" s="175">
        <f t="shared" si="123"/>
        <v>2.2999999999999998</v>
      </c>
      <c r="R1793" s="175">
        <f t="shared" si="122"/>
        <v>3.5</v>
      </c>
      <c r="S1793" s="199">
        <v>3.5</v>
      </c>
      <c r="T1793" s="149">
        <v>0.13</v>
      </c>
      <c r="U1793" s="149" t="str">
        <f t="shared" si="124"/>
        <v>1,20</v>
      </c>
      <c r="V1793" s="149">
        <f t="shared" si="125"/>
        <v>0.33999999999999997</v>
      </c>
      <c r="W1793" s="149">
        <v>1.6</v>
      </c>
      <c r="X1793" s="152">
        <f t="shared" si="126"/>
        <v>0.22889999999999999</v>
      </c>
      <c r="Y1793" s="150">
        <f t="shared" si="121"/>
        <v>1.29</v>
      </c>
      <c r="Z1793" s="152">
        <f t="shared" si="127"/>
        <v>3.5</v>
      </c>
      <c r="AA1793" s="150">
        <f t="shared" si="128"/>
        <v>3.4988999999999999</v>
      </c>
      <c r="AB1793" s="150"/>
      <c r="AC1793" s="154"/>
      <c r="AD1793" s="154"/>
      <c r="AE1793" s="154"/>
      <c r="AF1793" s="154"/>
    </row>
    <row r="1794" spans="1:32" x14ac:dyDescent="0.25">
      <c r="Y1794" s="150">
        <f t="shared" si="121"/>
        <v>1.01</v>
      </c>
    </row>
    <row r="1795" spans="1:32" x14ac:dyDescent="0.25">
      <c r="A1795" s="196">
        <v>796</v>
      </c>
      <c r="B1795" s="196" t="s">
        <v>5856</v>
      </c>
      <c r="C1795" s="196" t="s">
        <v>8512</v>
      </c>
      <c r="D1795" s="196" t="s">
        <v>2257</v>
      </c>
      <c r="F1795" s="196">
        <v>2004</v>
      </c>
      <c r="H1795" s="196" t="s">
        <v>1878</v>
      </c>
      <c r="I1795" s="184" t="s">
        <v>1879</v>
      </c>
      <c r="K1795" s="196" t="s">
        <v>1881</v>
      </c>
      <c r="L1795" s="184" t="s">
        <v>8513</v>
      </c>
      <c r="M1795" s="196">
        <v>288</v>
      </c>
      <c r="O1795" s="196" t="s">
        <v>6795</v>
      </c>
      <c r="P1795" s="17">
        <v>293</v>
      </c>
      <c r="Q1795" s="175">
        <f t="shared" si="123"/>
        <v>0.85439999999999983</v>
      </c>
      <c r="R1795" s="175">
        <f t="shared" si="122"/>
        <v>2.0543999999999998</v>
      </c>
      <c r="S1795" s="199">
        <v>1.51</v>
      </c>
      <c r="T1795" s="149">
        <v>0.13</v>
      </c>
      <c r="U1795" s="149" t="str">
        <f t="shared" si="124"/>
        <v>1,20</v>
      </c>
      <c r="V1795" s="149">
        <f t="shared" si="125"/>
        <v>0.33999999999999997</v>
      </c>
      <c r="W1795" s="149">
        <v>0.25</v>
      </c>
      <c r="X1795" s="152">
        <f t="shared" si="126"/>
        <v>0.13439999999999999</v>
      </c>
      <c r="Y1795" s="150">
        <f t="shared" si="121"/>
        <v>1.1743520000000001</v>
      </c>
      <c r="Z1795" s="152">
        <f t="shared" si="127"/>
        <v>1.51</v>
      </c>
      <c r="AA1795" s="150">
        <f t="shared" si="128"/>
        <v>2.0543999999999998</v>
      </c>
      <c r="AB1795" s="150"/>
      <c r="AC1795" s="154"/>
      <c r="AD1795" s="154"/>
      <c r="AE1795" s="154"/>
      <c r="AF1795" s="154"/>
    </row>
    <row r="1796" spans="1:32" x14ac:dyDescent="0.25">
      <c r="A1796" s="196">
        <v>1315</v>
      </c>
      <c r="B1796" s="196" t="s">
        <v>8514</v>
      </c>
      <c r="C1796" s="196" t="s">
        <v>8515</v>
      </c>
      <c r="D1796" s="196" t="s">
        <v>3116</v>
      </c>
      <c r="E1796" s="196" t="s">
        <v>1913</v>
      </c>
      <c r="F1796" s="196">
        <v>2013</v>
      </c>
      <c r="H1796" s="196" t="s">
        <v>1878</v>
      </c>
      <c r="I1796" s="184" t="s">
        <v>1879</v>
      </c>
      <c r="K1796" s="196" t="s">
        <v>1881</v>
      </c>
      <c r="L1796" s="184" t="s">
        <v>8516</v>
      </c>
      <c r="M1796" s="196">
        <v>376</v>
      </c>
      <c r="O1796" s="196" t="s">
        <v>6796</v>
      </c>
      <c r="P1796" s="17">
        <v>586</v>
      </c>
      <c r="Q1796" s="175">
        <f t="shared" si="123"/>
        <v>1.55</v>
      </c>
      <c r="R1796" s="175">
        <f t="shared" si="122"/>
        <v>3.25</v>
      </c>
      <c r="S1796" s="199">
        <v>3.25</v>
      </c>
      <c r="T1796" s="149">
        <v>0.13</v>
      </c>
      <c r="U1796" s="149" t="str">
        <f t="shared" si="124"/>
        <v>1,70</v>
      </c>
      <c r="V1796" s="149">
        <f t="shared" si="125"/>
        <v>0.33999999999999997</v>
      </c>
      <c r="W1796" s="149">
        <v>0.85</v>
      </c>
      <c r="X1796" s="152">
        <f t="shared" si="126"/>
        <v>0.2114</v>
      </c>
      <c r="Y1796" s="150">
        <f t="shared" si="121"/>
        <v>1.27</v>
      </c>
      <c r="Z1796" s="152">
        <f t="shared" si="127"/>
        <v>3.25</v>
      </c>
      <c r="AA1796" s="150">
        <f t="shared" si="128"/>
        <v>3.2313999999999998</v>
      </c>
      <c r="AB1796" s="150"/>
      <c r="AC1796" s="154"/>
      <c r="AD1796" s="154"/>
      <c r="AE1796" s="154"/>
      <c r="AF1796" s="154"/>
    </row>
    <row r="1797" spans="1:32" x14ac:dyDescent="0.25">
      <c r="A1797" s="196">
        <v>721</v>
      </c>
      <c r="C1797" s="196" t="s">
        <v>8517</v>
      </c>
      <c r="D1797" s="196" t="s">
        <v>8518</v>
      </c>
      <c r="H1797" s="196" t="s">
        <v>2734</v>
      </c>
      <c r="I1797" s="184" t="s">
        <v>1879</v>
      </c>
      <c r="J1797" s="52" t="s">
        <v>3854</v>
      </c>
      <c r="K1797" s="196" t="s">
        <v>1881</v>
      </c>
      <c r="L1797" s="184" t="s">
        <v>8519</v>
      </c>
      <c r="M1797" s="196">
        <v>290</v>
      </c>
      <c r="O1797" s="196" t="s">
        <v>6797</v>
      </c>
      <c r="P1797" s="17">
        <v>643</v>
      </c>
      <c r="Q1797" s="175">
        <f t="shared" si="123"/>
        <v>2.601399999999999</v>
      </c>
      <c r="R1797" s="175">
        <f t="shared" si="122"/>
        <v>4.3013999999999992</v>
      </c>
      <c r="S1797" s="199">
        <v>4.29</v>
      </c>
      <c r="T1797" s="149">
        <v>0.13</v>
      </c>
      <c r="U1797" s="149" t="str">
        <f t="shared" si="124"/>
        <v>1,70</v>
      </c>
      <c r="V1797" s="149">
        <f t="shared" si="125"/>
        <v>0.33999999999999997</v>
      </c>
      <c r="W1797" s="149">
        <v>1.85</v>
      </c>
      <c r="X1797" s="152">
        <f t="shared" si="126"/>
        <v>0.28139999999999993</v>
      </c>
      <c r="Y1797" s="150">
        <f t="shared" si="121"/>
        <v>1.354112</v>
      </c>
      <c r="Z1797" s="152">
        <f t="shared" si="127"/>
        <v>4.29</v>
      </c>
      <c r="AA1797" s="150">
        <f t="shared" si="128"/>
        <v>4.3013999999999992</v>
      </c>
      <c r="AB1797" s="150"/>
      <c r="AC1797" s="154"/>
      <c r="AD1797" s="154"/>
      <c r="AE1797" s="154"/>
      <c r="AF1797" s="154"/>
    </row>
    <row r="1798" spans="1:32" x14ac:dyDescent="0.25">
      <c r="A1798" s="196">
        <v>1984</v>
      </c>
      <c r="B1798" s="196" t="s">
        <v>8520</v>
      </c>
      <c r="C1798" s="196" t="s">
        <v>7217</v>
      </c>
      <c r="D1798" s="196" t="s">
        <v>3524</v>
      </c>
      <c r="F1798" s="196">
        <v>2003</v>
      </c>
      <c r="H1798" s="196" t="s">
        <v>8439</v>
      </c>
      <c r="I1798" s="184" t="s">
        <v>1879</v>
      </c>
      <c r="K1798" s="196" t="s">
        <v>1881</v>
      </c>
      <c r="L1798" s="184" t="s">
        <v>8521</v>
      </c>
      <c r="M1798" s="196">
        <v>62</v>
      </c>
      <c r="O1798" s="196" t="s">
        <v>6798</v>
      </c>
      <c r="P1798" s="17">
        <v>123</v>
      </c>
      <c r="Q1798" s="175">
        <f t="shared" si="123"/>
        <v>0.85439999999999983</v>
      </c>
      <c r="R1798" s="175">
        <f t="shared" si="122"/>
        <v>2.0543999999999998</v>
      </c>
      <c r="S1798" s="199">
        <v>1.9</v>
      </c>
      <c r="T1798" s="149">
        <v>0.13</v>
      </c>
      <c r="U1798" s="149" t="str">
        <f t="shared" si="124"/>
        <v>1,20</v>
      </c>
      <c r="V1798" s="149">
        <f t="shared" si="125"/>
        <v>0.33999999999999997</v>
      </c>
      <c r="W1798" s="149">
        <v>0.25</v>
      </c>
      <c r="X1798" s="152">
        <f t="shared" si="126"/>
        <v>0.13439999999999999</v>
      </c>
      <c r="Y1798" s="150">
        <f t="shared" si="121"/>
        <v>1.1743520000000001</v>
      </c>
      <c r="Z1798" s="152">
        <f t="shared" si="127"/>
        <v>1.9</v>
      </c>
      <c r="AA1798" s="150">
        <f t="shared" si="128"/>
        <v>2.0543999999999998</v>
      </c>
      <c r="AB1798" s="150"/>
      <c r="AC1798" s="154"/>
      <c r="AD1798" s="154"/>
      <c r="AE1798" s="154"/>
      <c r="AF1798" s="154"/>
    </row>
    <row r="1799" spans="1:32" x14ac:dyDescent="0.25">
      <c r="A1799" s="196">
        <v>691</v>
      </c>
      <c r="C1799" s="196" t="s">
        <v>8522</v>
      </c>
      <c r="D1799" s="196" t="s">
        <v>8523</v>
      </c>
      <c r="F1799" s="196">
        <v>2011</v>
      </c>
      <c r="H1799" s="196" t="s">
        <v>2734</v>
      </c>
      <c r="I1799" s="184" t="s">
        <v>1914</v>
      </c>
      <c r="J1799" s="182" t="s">
        <v>8524</v>
      </c>
      <c r="K1799" s="196" t="s">
        <v>1881</v>
      </c>
      <c r="L1799" s="184" t="s">
        <v>8525</v>
      </c>
      <c r="M1799" s="196">
        <v>66</v>
      </c>
      <c r="O1799" s="196" t="s">
        <v>6799</v>
      </c>
      <c r="P1799" s="17">
        <v>485</v>
      </c>
      <c r="Q1799" s="175">
        <f t="shared" si="123"/>
        <v>2.2000000000000002</v>
      </c>
      <c r="R1799" s="175">
        <f t="shared" si="122"/>
        <v>3.4</v>
      </c>
      <c r="S1799" s="199">
        <v>3.4</v>
      </c>
      <c r="T1799" s="149">
        <v>0.13</v>
      </c>
      <c r="U1799" s="149" t="str">
        <f t="shared" si="124"/>
        <v>1,20</v>
      </c>
      <c r="V1799" s="149">
        <f t="shared" si="125"/>
        <v>0.33999999999999997</v>
      </c>
      <c r="W1799" s="149">
        <v>1.5</v>
      </c>
      <c r="X1799" s="152">
        <f t="shared" si="126"/>
        <v>0.22189999999999999</v>
      </c>
      <c r="Y1799" s="150">
        <f t="shared" si="121"/>
        <v>1.282</v>
      </c>
      <c r="Z1799" s="152">
        <f t="shared" si="127"/>
        <v>3.4</v>
      </c>
      <c r="AA1799" s="150">
        <f t="shared" si="128"/>
        <v>3.3918999999999997</v>
      </c>
      <c r="AB1799" s="150"/>
      <c r="AC1799" s="154"/>
      <c r="AD1799" s="154"/>
      <c r="AE1799" s="154"/>
      <c r="AF1799" s="154"/>
    </row>
    <row r="1800" spans="1:32" x14ac:dyDescent="0.25">
      <c r="A1800" s="196">
        <v>691</v>
      </c>
      <c r="C1800" s="196" t="s">
        <v>8526</v>
      </c>
      <c r="D1800" s="196" t="s">
        <v>8527</v>
      </c>
      <c r="F1800" s="196">
        <v>2011</v>
      </c>
      <c r="H1800" s="196" t="s">
        <v>2734</v>
      </c>
      <c r="I1800" s="184" t="s">
        <v>1914</v>
      </c>
      <c r="J1800" s="182" t="s">
        <v>8524</v>
      </c>
      <c r="K1800" s="196" t="s">
        <v>1881</v>
      </c>
      <c r="L1800" s="184" t="s">
        <v>8525</v>
      </c>
      <c r="M1800" s="196">
        <v>66</v>
      </c>
      <c r="O1800" s="196" t="s">
        <v>6800</v>
      </c>
      <c r="P1800" s="17">
        <v>458</v>
      </c>
      <c r="Q1800" s="175">
        <f t="shared" si="123"/>
        <v>2.2000000000000002</v>
      </c>
      <c r="R1800" s="175">
        <f t="shared" si="122"/>
        <v>3.4</v>
      </c>
      <c r="S1800" s="199">
        <v>3.4</v>
      </c>
      <c r="T1800" s="149">
        <v>0.13</v>
      </c>
      <c r="U1800" s="149" t="str">
        <f t="shared" si="124"/>
        <v>1,20</v>
      </c>
      <c r="V1800" s="149">
        <f t="shared" si="125"/>
        <v>0.33999999999999997</v>
      </c>
      <c r="W1800" s="149">
        <v>1.5</v>
      </c>
      <c r="X1800" s="152">
        <f t="shared" si="126"/>
        <v>0.22189999999999999</v>
      </c>
      <c r="Y1800" s="150">
        <f t="shared" si="121"/>
        <v>1.282</v>
      </c>
      <c r="Z1800" s="152">
        <f t="shared" si="127"/>
        <v>3.4</v>
      </c>
      <c r="AA1800" s="150">
        <f t="shared" si="128"/>
        <v>3.3918999999999997</v>
      </c>
      <c r="AB1800" s="150"/>
      <c r="AC1800" s="154"/>
      <c r="AD1800" s="154"/>
      <c r="AE1800" s="154"/>
      <c r="AF1800" s="154"/>
    </row>
    <row r="1801" spans="1:32" x14ac:dyDescent="0.25">
      <c r="A1801" s="196">
        <v>691</v>
      </c>
      <c r="C1801" s="196" t="s">
        <v>8528</v>
      </c>
      <c r="D1801" s="196" t="s">
        <v>8523</v>
      </c>
      <c r="F1801" s="196">
        <v>2012</v>
      </c>
      <c r="H1801" s="196" t="s">
        <v>2734</v>
      </c>
      <c r="I1801" s="184" t="s">
        <v>1914</v>
      </c>
      <c r="J1801" s="196" t="s">
        <v>8529</v>
      </c>
      <c r="K1801" s="196" t="s">
        <v>1881</v>
      </c>
      <c r="L1801" s="184" t="s">
        <v>8530</v>
      </c>
      <c r="M1801" s="196">
        <v>46</v>
      </c>
      <c r="O1801" s="196" t="s">
        <v>6801</v>
      </c>
      <c r="P1801" s="17">
        <v>373</v>
      </c>
      <c r="Q1801" s="175">
        <f t="shared" si="123"/>
        <v>0.85439999999999983</v>
      </c>
      <c r="R1801" s="175">
        <f t="shared" si="122"/>
        <v>2.0543999999999998</v>
      </c>
      <c r="S1801" s="199">
        <v>1.83</v>
      </c>
      <c r="T1801" s="149">
        <v>0.13</v>
      </c>
      <c r="U1801" s="149" t="str">
        <f t="shared" si="124"/>
        <v>1,20</v>
      </c>
      <c r="V1801" s="149">
        <f t="shared" si="125"/>
        <v>0.33999999999999997</v>
      </c>
      <c r="W1801" s="149">
        <v>0.25</v>
      </c>
      <c r="X1801" s="152">
        <f t="shared" si="126"/>
        <v>0.13439999999999999</v>
      </c>
      <c r="Y1801" s="150">
        <f t="shared" si="121"/>
        <v>1.1743520000000001</v>
      </c>
      <c r="Z1801" s="152">
        <f t="shared" si="127"/>
        <v>1.83</v>
      </c>
      <c r="AA1801" s="150">
        <f t="shared" si="128"/>
        <v>2.0543999999999998</v>
      </c>
      <c r="AB1801" s="150"/>
      <c r="AC1801" s="154"/>
      <c r="AD1801" s="154"/>
      <c r="AE1801" s="154"/>
      <c r="AF1801" s="154"/>
    </row>
    <row r="1802" spans="1:32" x14ac:dyDescent="0.25">
      <c r="A1802" s="196">
        <v>691</v>
      </c>
      <c r="C1802" s="196" t="s">
        <v>8531</v>
      </c>
      <c r="D1802" s="196" t="s">
        <v>8523</v>
      </c>
      <c r="F1802" s="196">
        <v>2011</v>
      </c>
      <c r="H1802" s="196" t="s">
        <v>2734</v>
      </c>
      <c r="I1802" s="184" t="s">
        <v>1914</v>
      </c>
      <c r="J1802" s="182" t="s">
        <v>8524</v>
      </c>
      <c r="K1802" s="196" t="s">
        <v>1881</v>
      </c>
      <c r="L1802" s="184" t="s">
        <v>8532</v>
      </c>
      <c r="M1802" s="196">
        <v>66</v>
      </c>
      <c r="O1802" s="196" t="s">
        <v>6802</v>
      </c>
      <c r="P1802" s="17">
        <v>489</v>
      </c>
      <c r="Q1802" s="175">
        <f t="shared" si="123"/>
        <v>1.7103999999999997</v>
      </c>
      <c r="R1802" s="175">
        <f t="shared" si="122"/>
        <v>2.9103999999999997</v>
      </c>
      <c r="S1802" s="199">
        <v>2.9</v>
      </c>
      <c r="T1802" s="149">
        <v>0.13</v>
      </c>
      <c r="U1802" s="149" t="str">
        <f t="shared" si="124"/>
        <v>1,20</v>
      </c>
      <c r="V1802" s="149">
        <f t="shared" si="125"/>
        <v>0.33999999999999997</v>
      </c>
      <c r="W1802" s="149">
        <v>1.05</v>
      </c>
      <c r="X1802" s="152">
        <f t="shared" si="126"/>
        <v>0.19039999999999999</v>
      </c>
      <c r="Y1802" s="150">
        <f t="shared" si="121"/>
        <v>1.2428319999999999</v>
      </c>
      <c r="Z1802" s="152">
        <f t="shared" si="127"/>
        <v>2.9</v>
      </c>
      <c r="AA1802" s="150">
        <f t="shared" si="128"/>
        <v>2.9103999999999997</v>
      </c>
      <c r="AB1802" s="150"/>
      <c r="AC1802" s="154"/>
      <c r="AD1802" s="154"/>
      <c r="AE1802" s="154"/>
      <c r="AF1802" s="154"/>
    </row>
    <row r="1803" spans="1:32" x14ac:dyDescent="0.25">
      <c r="A1803" s="196">
        <v>651</v>
      </c>
      <c r="B1803" s="182" t="s">
        <v>8533</v>
      </c>
      <c r="C1803" s="196" t="s">
        <v>8534</v>
      </c>
      <c r="D1803" s="196" t="s">
        <v>8535</v>
      </c>
      <c r="F1803" s="196">
        <v>2002</v>
      </c>
      <c r="H1803" s="196" t="s">
        <v>2734</v>
      </c>
      <c r="I1803" s="184" t="s">
        <v>1879</v>
      </c>
      <c r="K1803" s="196" t="s">
        <v>1881</v>
      </c>
      <c r="L1803" s="184" t="s">
        <v>8536</v>
      </c>
      <c r="M1803" s="196">
        <v>138</v>
      </c>
      <c r="O1803" s="196" t="s">
        <v>6803</v>
      </c>
      <c r="P1803" s="17">
        <v>734</v>
      </c>
      <c r="Q1803" s="175">
        <f t="shared" si="123"/>
        <v>1.5999999999999999</v>
      </c>
      <c r="R1803" s="175">
        <f t="shared" si="122"/>
        <v>3.3</v>
      </c>
      <c r="S1803" s="199">
        <v>3.3</v>
      </c>
      <c r="T1803" s="149">
        <v>0.13</v>
      </c>
      <c r="U1803" s="149" t="str">
        <f t="shared" si="124"/>
        <v>1,70</v>
      </c>
      <c r="V1803" s="149">
        <f t="shared" si="125"/>
        <v>0.33999999999999997</v>
      </c>
      <c r="W1803" s="149">
        <v>0.9</v>
      </c>
      <c r="X1803" s="152">
        <f t="shared" si="126"/>
        <v>0.21489999999999998</v>
      </c>
      <c r="Y1803" s="150">
        <f t="shared" si="121"/>
        <v>1.274</v>
      </c>
      <c r="Z1803" s="152">
        <f t="shared" si="127"/>
        <v>3.3</v>
      </c>
      <c r="AA1803" s="150">
        <f t="shared" si="128"/>
        <v>3.2848999999999999</v>
      </c>
      <c r="AB1803" s="150"/>
      <c r="AC1803" s="154"/>
      <c r="AD1803" s="154"/>
      <c r="AE1803" s="154"/>
      <c r="AF1803" s="154"/>
    </row>
    <row r="1804" spans="1:32" x14ac:dyDescent="0.25">
      <c r="A1804" s="196">
        <v>1340</v>
      </c>
      <c r="B1804" s="182" t="s">
        <v>8537</v>
      </c>
      <c r="C1804" s="196" t="s">
        <v>8538</v>
      </c>
      <c r="D1804" s="196" t="s">
        <v>3606</v>
      </c>
      <c r="F1804" s="196">
        <v>2010</v>
      </c>
      <c r="H1804" s="196" t="s">
        <v>1878</v>
      </c>
      <c r="I1804" s="184" t="s">
        <v>7817</v>
      </c>
      <c r="K1804" s="196" t="s">
        <v>1881</v>
      </c>
      <c r="L1804" s="184" t="s">
        <v>8539</v>
      </c>
      <c r="M1804" s="196">
        <v>128</v>
      </c>
      <c r="O1804" s="196" t="s">
        <v>6804</v>
      </c>
      <c r="P1804" s="17">
        <v>389</v>
      </c>
      <c r="Q1804" s="175">
        <f t="shared" si="123"/>
        <v>4.2</v>
      </c>
      <c r="R1804" s="175">
        <f t="shared" si="122"/>
        <v>5.4</v>
      </c>
      <c r="S1804" s="199">
        <v>5.4</v>
      </c>
      <c r="T1804" s="149">
        <v>0.13</v>
      </c>
      <c r="U1804" s="149" t="str">
        <f t="shared" si="124"/>
        <v>1,20</v>
      </c>
      <c r="V1804" s="149">
        <f t="shared" si="125"/>
        <v>0.33999999999999997</v>
      </c>
      <c r="W1804" s="149">
        <v>3.35</v>
      </c>
      <c r="X1804" s="152">
        <f t="shared" si="126"/>
        <v>0.35139999999999993</v>
      </c>
      <c r="Y1804" s="150">
        <f t="shared" si="121"/>
        <v>1.4420000000000002</v>
      </c>
      <c r="Z1804" s="152">
        <f t="shared" si="127"/>
        <v>5.4</v>
      </c>
      <c r="AA1804" s="150">
        <f t="shared" si="128"/>
        <v>5.3713999999999995</v>
      </c>
      <c r="AB1804" s="150"/>
      <c r="AC1804" s="154"/>
      <c r="AD1804" s="154"/>
      <c r="AE1804" s="154"/>
      <c r="AF1804" s="154"/>
    </row>
    <row r="1805" spans="1:32" x14ac:dyDescent="0.25">
      <c r="A1805" s="196">
        <v>2943</v>
      </c>
      <c r="B1805" s="182" t="s">
        <v>8540</v>
      </c>
      <c r="C1805" s="196" t="s">
        <v>8541</v>
      </c>
      <c r="D1805" s="196" t="s">
        <v>4693</v>
      </c>
      <c r="E1805" s="196" t="s">
        <v>1913</v>
      </c>
      <c r="F1805" s="196">
        <v>1995</v>
      </c>
      <c r="H1805" s="196" t="s">
        <v>1878</v>
      </c>
      <c r="I1805" s="184" t="s">
        <v>1879</v>
      </c>
      <c r="K1805" s="196" t="s">
        <v>1881</v>
      </c>
      <c r="L1805" s="184" t="s">
        <v>8542</v>
      </c>
      <c r="M1805" s="196">
        <v>96</v>
      </c>
      <c r="O1805" s="196" t="s">
        <v>6805</v>
      </c>
      <c r="P1805" s="17">
        <v>255</v>
      </c>
      <c r="Q1805" s="175">
        <f t="shared" si="123"/>
        <v>0.96140000000000003</v>
      </c>
      <c r="R1805" s="175">
        <f t="shared" si="122"/>
        <v>2.1614</v>
      </c>
      <c r="S1805" s="199">
        <v>2.13</v>
      </c>
      <c r="T1805" s="149">
        <v>0.13</v>
      </c>
      <c r="U1805" s="149" t="str">
        <f t="shared" si="124"/>
        <v>1,20</v>
      </c>
      <c r="V1805" s="149">
        <f t="shared" si="125"/>
        <v>0.33999999999999997</v>
      </c>
      <c r="W1805" s="149">
        <v>0.35</v>
      </c>
      <c r="X1805" s="152">
        <f t="shared" si="126"/>
        <v>0.1414</v>
      </c>
      <c r="Y1805" s="150">
        <f t="shared" si="121"/>
        <v>1.182912</v>
      </c>
      <c r="Z1805" s="152">
        <f t="shared" si="127"/>
        <v>2.13</v>
      </c>
      <c r="AA1805" s="150">
        <f t="shared" si="128"/>
        <v>2.1614</v>
      </c>
      <c r="AB1805" s="150"/>
      <c r="AC1805" s="154"/>
      <c r="AD1805" s="154"/>
      <c r="AE1805" s="154"/>
      <c r="AF1805" s="154"/>
    </row>
    <row r="1806" spans="1:32" x14ac:dyDescent="0.25">
      <c r="A1806" s="196">
        <v>763</v>
      </c>
      <c r="B1806" s="196" t="s">
        <v>8543</v>
      </c>
      <c r="C1806" s="196" t="s">
        <v>8544</v>
      </c>
      <c r="D1806" s="196" t="s">
        <v>4693</v>
      </c>
      <c r="E1806" s="196" t="s">
        <v>2175</v>
      </c>
      <c r="F1806" s="196">
        <v>2008</v>
      </c>
      <c r="H1806" s="196" t="s">
        <v>1878</v>
      </c>
      <c r="I1806" s="184" t="s">
        <v>7817</v>
      </c>
      <c r="K1806" s="196" t="s">
        <v>1881</v>
      </c>
      <c r="L1806" s="184" t="s">
        <v>8545</v>
      </c>
      <c r="M1806" s="196">
        <v>128</v>
      </c>
      <c r="O1806" s="196" t="s">
        <v>6806</v>
      </c>
      <c r="P1806" s="17">
        <v>313</v>
      </c>
      <c r="Q1806" s="175">
        <f t="shared" si="123"/>
        <v>0.85439999999999983</v>
      </c>
      <c r="R1806" s="175">
        <f t="shared" si="122"/>
        <v>2.0543999999999998</v>
      </c>
      <c r="S1806" s="199">
        <v>1.55</v>
      </c>
      <c r="T1806" s="149">
        <v>0.13</v>
      </c>
      <c r="U1806" s="149" t="str">
        <f t="shared" si="124"/>
        <v>1,20</v>
      </c>
      <c r="V1806" s="149">
        <f t="shared" si="125"/>
        <v>0.33999999999999997</v>
      </c>
      <c r="W1806" s="149">
        <v>0.25</v>
      </c>
      <c r="X1806" s="152">
        <f t="shared" si="126"/>
        <v>0.13439999999999999</v>
      </c>
      <c r="Y1806" s="150">
        <f t="shared" si="121"/>
        <v>1.1743520000000001</v>
      </c>
      <c r="Z1806" s="152">
        <f t="shared" si="127"/>
        <v>1.55</v>
      </c>
      <c r="AA1806" s="150">
        <f t="shared" si="128"/>
        <v>2.0543999999999998</v>
      </c>
      <c r="AB1806" s="150"/>
      <c r="AC1806" s="154"/>
      <c r="AD1806" s="154"/>
      <c r="AE1806" s="154"/>
      <c r="AF1806" s="154"/>
    </row>
    <row r="1807" spans="1:32" x14ac:dyDescent="0.25">
      <c r="A1807" s="196">
        <v>704</v>
      </c>
      <c r="B1807" s="196" t="s">
        <v>4649</v>
      </c>
      <c r="C1807" s="196" t="s">
        <v>8546</v>
      </c>
      <c r="D1807" s="196" t="s">
        <v>1998</v>
      </c>
      <c r="E1807" s="196" t="s">
        <v>1877</v>
      </c>
      <c r="F1807" s="196">
        <v>2008</v>
      </c>
      <c r="H1807" s="196" t="s">
        <v>1878</v>
      </c>
      <c r="I1807" s="184" t="s">
        <v>7817</v>
      </c>
      <c r="K1807" s="196" t="s">
        <v>1881</v>
      </c>
      <c r="L1807" s="184" t="s">
        <v>8547</v>
      </c>
      <c r="M1807" s="196">
        <v>162</v>
      </c>
      <c r="O1807" s="196" t="s">
        <v>6807</v>
      </c>
      <c r="P1807" s="17">
        <v>238</v>
      </c>
      <c r="Q1807" s="175">
        <f t="shared" si="123"/>
        <v>1.0148999999999997</v>
      </c>
      <c r="R1807" s="175">
        <f t="shared" si="122"/>
        <v>2.2148999999999996</v>
      </c>
      <c r="S1807" s="199">
        <v>2.2000000000000002</v>
      </c>
      <c r="T1807" s="149">
        <v>0.13</v>
      </c>
      <c r="U1807" s="149" t="str">
        <f t="shared" si="124"/>
        <v>1,20</v>
      </c>
      <c r="V1807" s="149">
        <f t="shared" si="125"/>
        <v>0.33999999999999997</v>
      </c>
      <c r="W1807" s="149">
        <v>0.4</v>
      </c>
      <c r="X1807" s="152">
        <f t="shared" si="126"/>
        <v>0.1449</v>
      </c>
      <c r="Y1807" s="150">
        <f t="shared" si="121"/>
        <v>1.187192</v>
      </c>
      <c r="Z1807" s="152">
        <f t="shared" si="127"/>
        <v>2.2000000000000002</v>
      </c>
      <c r="AA1807" s="150">
        <f t="shared" si="128"/>
        <v>2.2148999999999996</v>
      </c>
      <c r="AB1807" s="150"/>
      <c r="AC1807" s="154"/>
      <c r="AD1807" s="154"/>
      <c r="AE1807" s="154"/>
      <c r="AF1807" s="154"/>
    </row>
    <row r="1808" spans="1:32" x14ac:dyDescent="0.25">
      <c r="A1808" s="196">
        <v>765</v>
      </c>
      <c r="C1808" s="196" t="s">
        <v>7981</v>
      </c>
      <c r="D1808" s="196" t="s">
        <v>8548</v>
      </c>
      <c r="F1808" s="196">
        <v>2017</v>
      </c>
      <c r="H1808" s="196" t="s">
        <v>2734</v>
      </c>
      <c r="I1808" s="184" t="s">
        <v>1879</v>
      </c>
      <c r="J1808" s="182" t="s">
        <v>8549</v>
      </c>
      <c r="K1808" s="196" t="s">
        <v>1881</v>
      </c>
      <c r="L1808" s="184" t="s">
        <v>8550</v>
      </c>
      <c r="O1808" s="196" t="s">
        <v>6808</v>
      </c>
      <c r="P1808" s="17">
        <v>430</v>
      </c>
      <c r="Q1808" s="175">
        <f t="shared" si="123"/>
        <v>3.3499999999999996</v>
      </c>
      <c r="R1808" s="175">
        <f t="shared" si="122"/>
        <v>4.55</v>
      </c>
      <c r="S1808" s="199">
        <v>4.55</v>
      </c>
      <c r="T1808" s="149">
        <v>0.13</v>
      </c>
      <c r="U1808" s="149" t="str">
        <f t="shared" si="124"/>
        <v>1,20</v>
      </c>
      <c r="V1808" s="149">
        <f t="shared" si="125"/>
        <v>0.33999999999999997</v>
      </c>
      <c r="W1808" s="149">
        <v>2.5499999999999998</v>
      </c>
      <c r="X1808" s="152">
        <f t="shared" si="126"/>
        <v>0.29539999999999994</v>
      </c>
      <c r="Y1808" s="150">
        <f t="shared" si="121"/>
        <v>1.3740000000000001</v>
      </c>
      <c r="Z1808" s="152">
        <f t="shared" si="127"/>
        <v>4.55</v>
      </c>
      <c r="AA1808" s="150">
        <f t="shared" si="128"/>
        <v>4.5153999999999996</v>
      </c>
      <c r="AB1808" s="150"/>
      <c r="AC1808" s="154"/>
      <c r="AD1808" s="154"/>
      <c r="AE1808" s="154"/>
      <c r="AF1808" s="154"/>
    </row>
    <row r="1809" spans="1:32" x14ac:dyDescent="0.25">
      <c r="Y1809" s="150">
        <f t="shared" si="121"/>
        <v>1.01</v>
      </c>
    </row>
    <row r="1810" spans="1:32" x14ac:dyDescent="0.25">
      <c r="A1810" s="196">
        <v>2522</v>
      </c>
      <c r="B1810" s="196" t="s">
        <v>3832</v>
      </c>
      <c r="C1810" s="196" t="s">
        <v>8554</v>
      </c>
      <c r="D1810" s="196" t="s">
        <v>2054</v>
      </c>
      <c r="F1810" s="196">
        <v>1997</v>
      </c>
      <c r="H1810" s="196" t="s">
        <v>2734</v>
      </c>
      <c r="I1810" s="184" t="s">
        <v>7527</v>
      </c>
      <c r="K1810" s="196" t="s">
        <v>1881</v>
      </c>
      <c r="L1810" s="184" t="s">
        <v>8555</v>
      </c>
      <c r="M1810" s="196">
        <v>546</v>
      </c>
      <c r="O1810" s="196" t="s">
        <v>6810</v>
      </c>
      <c r="P1810" s="17">
        <v>459</v>
      </c>
      <c r="Q1810" s="175">
        <f t="shared" si="123"/>
        <v>1.1218999999999999</v>
      </c>
      <c r="R1810" s="175">
        <f t="shared" si="122"/>
        <v>2.3218999999999999</v>
      </c>
      <c r="S1810" s="199">
        <v>2.2999999999999998</v>
      </c>
      <c r="T1810" s="149">
        <v>0.13</v>
      </c>
      <c r="U1810" s="149" t="str">
        <f t="shared" si="124"/>
        <v>1,20</v>
      </c>
      <c r="V1810" s="149">
        <f t="shared" si="125"/>
        <v>0.33999999999999997</v>
      </c>
      <c r="W1810" s="149">
        <v>0.5</v>
      </c>
      <c r="X1810" s="152">
        <f t="shared" si="126"/>
        <v>0.15190000000000001</v>
      </c>
      <c r="Y1810" s="150">
        <f t="shared" si="121"/>
        <v>1.1957519999999999</v>
      </c>
      <c r="Z1810" s="152">
        <f t="shared" si="127"/>
        <v>2.2999999999999998</v>
      </c>
      <c r="AA1810" s="150">
        <f t="shared" si="128"/>
        <v>2.3218999999999999</v>
      </c>
      <c r="AB1810" s="150"/>
      <c r="AC1810" s="154"/>
      <c r="AD1810" s="154"/>
      <c r="AE1810" s="154"/>
      <c r="AF1810" s="154"/>
    </row>
    <row r="1811" spans="1:32" x14ac:dyDescent="0.25">
      <c r="A1811" s="196">
        <v>2905</v>
      </c>
      <c r="B1811" s="196" t="s">
        <v>8556</v>
      </c>
      <c r="C1811" s="196" t="s">
        <v>8557</v>
      </c>
      <c r="D1811" s="196" t="s">
        <v>1912</v>
      </c>
      <c r="E1811" s="196" t="s">
        <v>1877</v>
      </c>
      <c r="F1811" s="196">
        <v>2015</v>
      </c>
      <c r="H1811" s="196" t="s">
        <v>1878</v>
      </c>
      <c r="I1811" s="184" t="s">
        <v>1879</v>
      </c>
      <c r="K1811" s="196" t="s">
        <v>1881</v>
      </c>
      <c r="L1811" s="184" t="s">
        <v>8558</v>
      </c>
      <c r="M1811" s="196">
        <v>544</v>
      </c>
      <c r="O1811" s="196" t="s">
        <v>6811</v>
      </c>
      <c r="P1811" s="17">
        <v>435</v>
      </c>
      <c r="Q1811" s="175">
        <f t="shared" si="123"/>
        <v>1.6033999999999999</v>
      </c>
      <c r="R1811" s="175">
        <f t="shared" si="122"/>
        <v>2.8033999999999999</v>
      </c>
      <c r="S1811" s="199">
        <v>2.8</v>
      </c>
      <c r="T1811" s="149">
        <v>0.13</v>
      </c>
      <c r="U1811" s="149" t="str">
        <f t="shared" si="124"/>
        <v>1,20</v>
      </c>
      <c r="V1811" s="149">
        <f t="shared" si="125"/>
        <v>0.33999999999999997</v>
      </c>
      <c r="W1811" s="149">
        <v>0.95</v>
      </c>
      <c r="X1811" s="152">
        <f t="shared" si="126"/>
        <v>0.18340000000000001</v>
      </c>
      <c r="Y1811" s="150">
        <f t="shared" si="121"/>
        <v>1.234272</v>
      </c>
      <c r="Z1811" s="152">
        <f t="shared" si="127"/>
        <v>2.8</v>
      </c>
      <c r="AA1811" s="150">
        <f t="shared" si="128"/>
        <v>2.8033999999999999</v>
      </c>
      <c r="AB1811" s="150"/>
      <c r="AC1811" s="154"/>
      <c r="AD1811" s="154"/>
      <c r="AE1811" s="154"/>
      <c r="AF1811" s="154"/>
    </row>
    <row r="1812" spans="1:32" x14ac:dyDescent="0.25">
      <c r="A1812" s="196">
        <v>2905</v>
      </c>
      <c r="B1812" s="196" t="s">
        <v>8559</v>
      </c>
      <c r="C1812" s="196" t="s">
        <v>8560</v>
      </c>
      <c r="D1812" s="196" t="s">
        <v>2453</v>
      </c>
      <c r="E1812" s="196" t="s">
        <v>2032</v>
      </c>
      <c r="F1812" s="196">
        <v>2006</v>
      </c>
      <c r="H1812" s="196" t="s">
        <v>1878</v>
      </c>
      <c r="I1812" s="184" t="s">
        <v>1879</v>
      </c>
      <c r="K1812" s="196" t="s">
        <v>1881</v>
      </c>
      <c r="L1812" s="184" t="s">
        <v>8561</v>
      </c>
      <c r="M1812" s="196">
        <v>384</v>
      </c>
      <c r="O1812" s="196" t="s">
        <v>6812</v>
      </c>
      <c r="P1812" s="17">
        <v>407</v>
      </c>
      <c r="Q1812" s="175">
        <f t="shared" si="123"/>
        <v>0.85439999999999983</v>
      </c>
      <c r="R1812" s="175">
        <f t="shared" si="122"/>
        <v>2.0543999999999998</v>
      </c>
      <c r="S1812" s="199">
        <v>1.8</v>
      </c>
      <c r="T1812" s="149">
        <v>0.13</v>
      </c>
      <c r="U1812" s="149" t="str">
        <f t="shared" si="124"/>
        <v>1,20</v>
      </c>
      <c r="V1812" s="149">
        <f t="shared" si="125"/>
        <v>0.33999999999999997</v>
      </c>
      <c r="W1812" s="149">
        <v>0.25</v>
      </c>
      <c r="X1812" s="152">
        <f t="shared" si="126"/>
        <v>0.13439999999999999</v>
      </c>
      <c r="Y1812" s="150">
        <f t="shared" si="121"/>
        <v>1.1743520000000001</v>
      </c>
      <c r="Z1812" s="152">
        <f t="shared" si="127"/>
        <v>1.8</v>
      </c>
      <c r="AA1812" s="150">
        <f t="shared" si="128"/>
        <v>2.0543999999999998</v>
      </c>
      <c r="AB1812" s="150"/>
      <c r="AC1812" s="154"/>
      <c r="AD1812" s="154"/>
      <c r="AE1812" s="154"/>
      <c r="AF1812" s="154"/>
    </row>
    <row r="1813" spans="1:32" x14ac:dyDescent="0.25">
      <c r="A1813" s="196">
        <v>774</v>
      </c>
      <c r="B1813" s="196" t="s">
        <v>8562</v>
      </c>
      <c r="C1813" s="196" t="s">
        <v>8563</v>
      </c>
      <c r="D1813" s="196" t="s">
        <v>8403</v>
      </c>
      <c r="F1813" s="196">
        <v>2010</v>
      </c>
      <c r="H1813" s="196" t="s">
        <v>1878</v>
      </c>
      <c r="I1813" s="184" t="s">
        <v>1929</v>
      </c>
      <c r="K1813" s="196" t="s">
        <v>1881</v>
      </c>
      <c r="L1813" s="184" t="s">
        <v>8564</v>
      </c>
      <c r="M1813" s="196">
        <v>496</v>
      </c>
      <c r="O1813" s="196" t="s">
        <v>6813</v>
      </c>
      <c r="P1813" s="17">
        <v>346</v>
      </c>
      <c r="Q1813" s="175">
        <f t="shared" si="123"/>
        <v>0.85439999999999983</v>
      </c>
      <c r="R1813" s="175">
        <f t="shared" si="122"/>
        <v>2.0543999999999998</v>
      </c>
      <c r="S1813" s="199">
        <v>1.68</v>
      </c>
      <c r="T1813" s="149">
        <v>0.13</v>
      </c>
      <c r="U1813" s="149" t="str">
        <f t="shared" si="124"/>
        <v>1,20</v>
      </c>
      <c r="V1813" s="149">
        <f t="shared" si="125"/>
        <v>0.33999999999999997</v>
      </c>
      <c r="W1813" s="149">
        <v>0.25</v>
      </c>
      <c r="X1813" s="152">
        <f t="shared" si="126"/>
        <v>0.13439999999999999</v>
      </c>
      <c r="Y1813" s="150">
        <f t="shared" si="121"/>
        <v>1.1743520000000001</v>
      </c>
      <c r="Z1813" s="152">
        <f t="shared" si="127"/>
        <v>1.68</v>
      </c>
      <c r="AA1813" s="150">
        <f t="shared" si="128"/>
        <v>2.0543999999999998</v>
      </c>
      <c r="AB1813" s="150"/>
      <c r="AC1813" s="154"/>
      <c r="AD1813" s="154"/>
      <c r="AE1813" s="154"/>
      <c r="AF1813" s="154"/>
    </row>
    <row r="1814" spans="1:32" x14ac:dyDescent="0.25">
      <c r="A1814" s="196">
        <v>1386</v>
      </c>
      <c r="B1814" s="196" t="s">
        <v>8500</v>
      </c>
      <c r="C1814" s="196" t="s">
        <v>8565</v>
      </c>
      <c r="D1814" s="196" t="s">
        <v>3077</v>
      </c>
      <c r="F1814" s="196">
        <v>2007</v>
      </c>
      <c r="H1814" s="196" t="s">
        <v>1878</v>
      </c>
      <c r="I1814" s="184" t="s">
        <v>1929</v>
      </c>
      <c r="K1814" s="196" t="s">
        <v>1881</v>
      </c>
      <c r="L1814" s="184" t="s">
        <v>8566</v>
      </c>
      <c r="M1814" s="196">
        <v>928</v>
      </c>
      <c r="O1814" s="196" t="s">
        <v>6814</v>
      </c>
      <c r="P1814" s="17">
        <v>604</v>
      </c>
      <c r="Q1814" s="175">
        <f t="shared" si="123"/>
        <v>0.88939999999999997</v>
      </c>
      <c r="R1814" s="175">
        <f t="shared" si="122"/>
        <v>2.5893999999999999</v>
      </c>
      <c r="S1814" s="199">
        <v>2.2000000000000002</v>
      </c>
      <c r="T1814" s="149">
        <v>0.13</v>
      </c>
      <c r="U1814" s="149" t="str">
        <f t="shared" si="124"/>
        <v>1,70</v>
      </c>
      <c r="V1814" s="149">
        <f t="shared" si="125"/>
        <v>0.33999999999999997</v>
      </c>
      <c r="W1814" s="149">
        <v>0.25</v>
      </c>
      <c r="X1814" s="152">
        <f t="shared" si="126"/>
        <v>0.1694</v>
      </c>
      <c r="Y1814" s="150">
        <f t="shared" si="121"/>
        <v>1.217152</v>
      </c>
      <c r="Z1814" s="152">
        <f t="shared" si="127"/>
        <v>2.2000000000000002</v>
      </c>
      <c r="AA1814" s="150">
        <f t="shared" si="128"/>
        <v>2.5893999999999999</v>
      </c>
      <c r="AB1814" s="150"/>
      <c r="AC1814" s="154"/>
      <c r="AD1814" s="154"/>
      <c r="AE1814" s="154"/>
      <c r="AF1814" s="154"/>
    </row>
    <row r="1815" spans="1:32" x14ac:dyDescent="0.25">
      <c r="A1815" s="196">
        <v>796</v>
      </c>
      <c r="B1815" s="196" t="s">
        <v>8567</v>
      </c>
      <c r="C1815" s="196" t="s">
        <v>8568</v>
      </c>
      <c r="D1815" s="196" t="s">
        <v>2300</v>
      </c>
      <c r="F1815" s="196">
        <v>2012</v>
      </c>
      <c r="H1815" s="196" t="s">
        <v>1878</v>
      </c>
      <c r="I1815" s="184" t="s">
        <v>1929</v>
      </c>
      <c r="K1815" s="196" t="s">
        <v>1881</v>
      </c>
      <c r="L1815" s="184" t="s">
        <v>8569</v>
      </c>
      <c r="M1815" s="196">
        <v>240</v>
      </c>
      <c r="O1815" s="196" t="s">
        <v>6815</v>
      </c>
      <c r="P1815" s="17">
        <v>200</v>
      </c>
      <c r="Q1815" s="175">
        <f t="shared" si="123"/>
        <v>1.2289000000000001</v>
      </c>
      <c r="R1815" s="175">
        <f t="shared" si="122"/>
        <v>2.4289000000000001</v>
      </c>
      <c r="S1815" s="199">
        <v>2.4</v>
      </c>
      <c r="T1815" s="149">
        <v>0.13</v>
      </c>
      <c r="U1815" s="149" t="str">
        <f t="shared" si="124"/>
        <v>1,20</v>
      </c>
      <c r="V1815" s="149">
        <f t="shared" si="125"/>
        <v>0.33999999999999997</v>
      </c>
      <c r="W1815" s="149">
        <v>0.6</v>
      </c>
      <c r="X1815" s="152">
        <f t="shared" si="126"/>
        <v>0.15890000000000001</v>
      </c>
      <c r="Y1815" s="150">
        <f t="shared" si="121"/>
        <v>1.204312</v>
      </c>
      <c r="Z1815" s="152">
        <f t="shared" si="127"/>
        <v>2.4</v>
      </c>
      <c r="AA1815" s="150">
        <f t="shared" si="128"/>
        <v>2.4289000000000001</v>
      </c>
      <c r="AB1815" s="150"/>
      <c r="AC1815" s="154"/>
      <c r="AD1815" s="154"/>
      <c r="AE1815" s="154"/>
      <c r="AF1815" s="154"/>
    </row>
    <row r="1816" spans="1:32" x14ac:dyDescent="0.25">
      <c r="A1816" s="196">
        <v>1358</v>
      </c>
      <c r="B1816" s="196" t="s">
        <v>8570</v>
      </c>
      <c r="C1816" s="196" t="s">
        <v>8571</v>
      </c>
      <c r="D1816" s="196" t="s">
        <v>2300</v>
      </c>
      <c r="F1816" s="196">
        <v>2011</v>
      </c>
      <c r="H1816" s="196" t="s">
        <v>1878</v>
      </c>
      <c r="I1816" s="184" t="s">
        <v>1929</v>
      </c>
      <c r="K1816" s="196" t="s">
        <v>1881</v>
      </c>
      <c r="L1816" s="184" t="s">
        <v>8572</v>
      </c>
      <c r="M1816" s="196">
        <v>368</v>
      </c>
      <c r="O1816" s="196" t="s">
        <v>6816</v>
      </c>
      <c r="P1816" s="17">
        <v>307</v>
      </c>
      <c r="Q1816" s="175">
        <f t="shared" si="123"/>
        <v>0.85439999999999983</v>
      </c>
      <c r="R1816" s="175">
        <f t="shared" si="122"/>
        <v>2.0543999999999998</v>
      </c>
      <c r="S1816" s="199">
        <v>2</v>
      </c>
      <c r="T1816" s="149">
        <v>0.13</v>
      </c>
      <c r="U1816" s="149" t="str">
        <f t="shared" si="124"/>
        <v>1,20</v>
      </c>
      <c r="V1816" s="149">
        <f t="shared" si="125"/>
        <v>0.33999999999999997</v>
      </c>
      <c r="W1816" s="149">
        <v>0.25</v>
      </c>
      <c r="X1816" s="152">
        <f t="shared" si="126"/>
        <v>0.13439999999999999</v>
      </c>
      <c r="Y1816" s="150">
        <f t="shared" si="121"/>
        <v>1.1743520000000001</v>
      </c>
      <c r="Z1816" s="152">
        <f t="shared" si="127"/>
        <v>2</v>
      </c>
      <c r="AA1816" s="150">
        <f t="shared" si="128"/>
        <v>2.0543999999999998</v>
      </c>
      <c r="AB1816" s="150"/>
      <c r="AC1816" s="154"/>
      <c r="AD1816" s="154"/>
      <c r="AE1816" s="154"/>
      <c r="AF1816" s="154"/>
    </row>
    <row r="1817" spans="1:32" x14ac:dyDescent="0.25">
      <c r="A1817" s="196">
        <v>1809</v>
      </c>
      <c r="B1817" s="196" t="s">
        <v>8573</v>
      </c>
      <c r="C1817" s="196" t="s">
        <v>8574</v>
      </c>
      <c r="D1817" s="196" t="s">
        <v>2822</v>
      </c>
      <c r="F1817" s="196">
        <v>2009</v>
      </c>
      <c r="H1817" s="196" t="s">
        <v>1878</v>
      </c>
      <c r="I1817" s="184" t="s">
        <v>1879</v>
      </c>
      <c r="K1817" s="196" t="s">
        <v>1881</v>
      </c>
      <c r="L1817" s="184" t="s">
        <v>8575</v>
      </c>
      <c r="M1817" s="196">
        <v>256</v>
      </c>
      <c r="O1817" s="196" t="s">
        <v>6817</v>
      </c>
      <c r="P1817" s="17">
        <v>368</v>
      </c>
      <c r="Q1817" s="175">
        <f t="shared" si="123"/>
        <v>0.96140000000000003</v>
      </c>
      <c r="R1817" s="175">
        <f t="shared" si="122"/>
        <v>2.1614</v>
      </c>
      <c r="S1817" s="199">
        <v>2.16</v>
      </c>
      <c r="T1817" s="149">
        <v>0.13</v>
      </c>
      <c r="U1817" s="149" t="str">
        <f t="shared" si="124"/>
        <v>1,20</v>
      </c>
      <c r="V1817" s="149">
        <f t="shared" si="125"/>
        <v>0.33999999999999997</v>
      </c>
      <c r="W1817" s="149">
        <v>0.35</v>
      </c>
      <c r="X1817" s="152">
        <f t="shared" si="126"/>
        <v>0.1414</v>
      </c>
      <c r="Y1817" s="150">
        <f t="shared" si="121"/>
        <v>1.182912</v>
      </c>
      <c r="Z1817" s="152">
        <f t="shared" si="127"/>
        <v>2.16</v>
      </c>
      <c r="AA1817" s="150">
        <f t="shared" si="128"/>
        <v>2.1614</v>
      </c>
      <c r="AB1817" s="150"/>
      <c r="AC1817" s="154"/>
      <c r="AD1817" s="154"/>
      <c r="AE1817" s="154"/>
      <c r="AF1817" s="154"/>
    </row>
    <row r="1818" spans="1:32" x14ac:dyDescent="0.25">
      <c r="A1818" s="196">
        <v>692</v>
      </c>
      <c r="B1818" s="196" t="s">
        <v>8130</v>
      </c>
      <c r="C1818" s="196" t="s">
        <v>8576</v>
      </c>
      <c r="D1818" s="196" t="s">
        <v>5005</v>
      </c>
      <c r="F1818" s="196">
        <v>2006</v>
      </c>
      <c r="H1818" s="196" t="s">
        <v>1878</v>
      </c>
      <c r="I1818" s="184" t="s">
        <v>1879</v>
      </c>
      <c r="K1818" s="196" t="s">
        <v>1881</v>
      </c>
      <c r="M1818" s="196">
        <v>336</v>
      </c>
      <c r="O1818" s="196" t="s">
        <v>6818</v>
      </c>
      <c r="P1818" s="17">
        <v>248</v>
      </c>
      <c r="Q1818" s="175">
        <f t="shared" si="123"/>
        <v>0.85439999999999983</v>
      </c>
      <c r="R1818" s="175">
        <f t="shared" si="122"/>
        <v>2.0543999999999998</v>
      </c>
      <c r="S1818" s="199">
        <v>1.55</v>
      </c>
      <c r="T1818" s="149">
        <v>0.13</v>
      </c>
      <c r="U1818" s="149" t="str">
        <f t="shared" si="124"/>
        <v>1,20</v>
      </c>
      <c r="V1818" s="149">
        <f t="shared" si="125"/>
        <v>0.33999999999999997</v>
      </c>
      <c r="W1818" s="149">
        <v>0.25</v>
      </c>
      <c r="X1818" s="152">
        <f t="shared" si="126"/>
        <v>0.13439999999999999</v>
      </c>
      <c r="Y1818" s="150">
        <f t="shared" si="121"/>
        <v>1.1743520000000001</v>
      </c>
      <c r="Z1818" s="152">
        <f t="shared" si="127"/>
        <v>1.55</v>
      </c>
      <c r="AA1818" s="150">
        <f t="shared" si="128"/>
        <v>2.0543999999999998</v>
      </c>
      <c r="AB1818" s="150"/>
      <c r="AC1818" s="154"/>
      <c r="AD1818" s="154"/>
      <c r="AE1818" s="154"/>
      <c r="AF1818" s="154"/>
    </row>
    <row r="1819" spans="1:32" x14ac:dyDescent="0.25">
      <c r="A1819" s="196">
        <v>1386</v>
      </c>
      <c r="B1819" s="196" t="s">
        <v>8577</v>
      </c>
      <c r="C1819" s="196" t="s">
        <v>8578</v>
      </c>
      <c r="D1819" s="196" t="s">
        <v>2257</v>
      </c>
      <c r="E1819" s="196" t="s">
        <v>1921</v>
      </c>
      <c r="F1819" s="196">
        <v>2001</v>
      </c>
      <c r="H1819" s="196" t="s">
        <v>1878</v>
      </c>
      <c r="I1819" s="184" t="s">
        <v>1914</v>
      </c>
      <c r="K1819" s="196" t="s">
        <v>1881</v>
      </c>
      <c r="L1819" s="184" t="s">
        <v>8579</v>
      </c>
      <c r="M1819" s="196">
        <v>320</v>
      </c>
      <c r="O1819" s="196" t="s">
        <v>6819</v>
      </c>
      <c r="P1819" s="17">
        <v>213</v>
      </c>
      <c r="Q1819" s="175">
        <f t="shared" si="123"/>
        <v>0.90789999999999993</v>
      </c>
      <c r="R1819" s="175">
        <f t="shared" si="122"/>
        <v>2.1078999999999999</v>
      </c>
      <c r="S1819" s="199">
        <v>2.1</v>
      </c>
      <c r="T1819" s="149">
        <v>0.13</v>
      </c>
      <c r="U1819" s="149" t="str">
        <f t="shared" si="124"/>
        <v>1,20</v>
      </c>
      <c r="V1819" s="149">
        <f t="shared" si="125"/>
        <v>0.33999999999999997</v>
      </c>
      <c r="W1819" s="149">
        <v>0.3</v>
      </c>
      <c r="X1819" s="152">
        <f t="shared" si="126"/>
        <v>0.13789999999999999</v>
      </c>
      <c r="Y1819" s="150">
        <f t="shared" si="121"/>
        <v>1.1786319999999999</v>
      </c>
      <c r="Z1819" s="152">
        <f t="shared" si="127"/>
        <v>2.1</v>
      </c>
      <c r="AA1819" s="150">
        <f t="shared" si="128"/>
        <v>2.1078999999999999</v>
      </c>
      <c r="AB1819" s="150"/>
      <c r="AC1819" s="154"/>
      <c r="AD1819" s="154"/>
      <c r="AE1819" s="154"/>
      <c r="AF1819" s="154"/>
    </row>
    <row r="1820" spans="1:32" x14ac:dyDescent="0.25">
      <c r="A1820" s="196">
        <v>2591</v>
      </c>
      <c r="B1820" s="196" t="s">
        <v>8580</v>
      </c>
      <c r="C1820" s="196" t="s">
        <v>8581</v>
      </c>
      <c r="D1820" s="196" t="s">
        <v>8582</v>
      </c>
      <c r="F1820" s="196">
        <v>1993</v>
      </c>
      <c r="H1820" s="196" t="s">
        <v>1878</v>
      </c>
      <c r="I1820" s="184" t="s">
        <v>1914</v>
      </c>
      <c r="K1820" s="196" t="s">
        <v>1881</v>
      </c>
      <c r="L1820" s="184" t="s">
        <v>8583</v>
      </c>
      <c r="O1820" s="196" t="s">
        <v>6820</v>
      </c>
      <c r="P1820" s="17">
        <v>51</v>
      </c>
      <c r="Q1820" s="175">
        <f t="shared" si="123"/>
        <v>1.2</v>
      </c>
      <c r="R1820" s="175">
        <f t="shared" si="122"/>
        <v>2.4</v>
      </c>
      <c r="S1820" s="199">
        <v>2.4</v>
      </c>
      <c r="T1820" s="149">
        <v>0.13</v>
      </c>
      <c r="U1820" s="149" t="str">
        <f t="shared" si="124"/>
        <v>1,20</v>
      </c>
      <c r="V1820" s="149">
        <f t="shared" si="125"/>
        <v>0.33999999999999997</v>
      </c>
      <c r="W1820" s="149">
        <v>0.55000000000000004</v>
      </c>
      <c r="X1820" s="152">
        <f t="shared" si="126"/>
        <v>0.15539999999999998</v>
      </c>
      <c r="Y1820" s="150">
        <f t="shared" si="121"/>
        <v>1.202</v>
      </c>
      <c r="Z1820" s="152">
        <f t="shared" si="127"/>
        <v>2.4</v>
      </c>
      <c r="AA1820" s="150">
        <f t="shared" si="128"/>
        <v>2.3754</v>
      </c>
      <c r="AB1820" s="150"/>
      <c r="AC1820" s="154"/>
      <c r="AD1820" s="154"/>
      <c r="AE1820" s="154"/>
      <c r="AF1820" s="154"/>
    </row>
    <row r="1821" spans="1:32" x14ac:dyDescent="0.25">
      <c r="A1821" s="196">
        <v>2547</v>
      </c>
      <c r="B1821" s="196" t="s">
        <v>8584</v>
      </c>
      <c r="C1821" s="196" t="s">
        <v>8585</v>
      </c>
      <c r="D1821" s="196" t="s">
        <v>2309</v>
      </c>
      <c r="E1821" s="196" t="s">
        <v>1921</v>
      </c>
      <c r="F1821" s="196">
        <v>2001</v>
      </c>
      <c r="H1821" s="196" t="s">
        <v>1878</v>
      </c>
      <c r="I1821" s="184" t="s">
        <v>1914</v>
      </c>
      <c r="K1821" s="196" t="s">
        <v>1881</v>
      </c>
      <c r="L1821" s="184" t="s">
        <v>8586</v>
      </c>
      <c r="M1821" s="196">
        <v>384</v>
      </c>
      <c r="O1821" s="196" t="s">
        <v>6821</v>
      </c>
      <c r="P1821" s="17">
        <v>251</v>
      </c>
      <c r="Q1821" s="175">
        <f t="shared" si="123"/>
        <v>1.1500000000000001</v>
      </c>
      <c r="R1821" s="175">
        <f t="shared" si="122"/>
        <v>2.35</v>
      </c>
      <c r="S1821" s="199">
        <f>0.8+1.55</f>
        <v>2.35</v>
      </c>
      <c r="T1821" s="149">
        <v>0.13</v>
      </c>
      <c r="U1821" s="149" t="str">
        <f t="shared" si="124"/>
        <v>1,20</v>
      </c>
      <c r="V1821" s="149">
        <f t="shared" si="125"/>
        <v>0.33999999999999997</v>
      </c>
      <c r="W1821" s="149">
        <v>0.5</v>
      </c>
      <c r="X1821" s="152">
        <f t="shared" si="126"/>
        <v>0.15190000000000001</v>
      </c>
      <c r="Y1821" s="150">
        <f t="shared" si="121"/>
        <v>1.198</v>
      </c>
      <c r="Z1821" s="152">
        <f t="shared" si="127"/>
        <v>2.35</v>
      </c>
      <c r="AA1821" s="150">
        <f t="shared" si="128"/>
        <v>2.3218999999999999</v>
      </c>
      <c r="AB1821" s="150"/>
      <c r="AC1821" s="154"/>
      <c r="AD1821" s="154"/>
      <c r="AE1821" s="154"/>
      <c r="AF1821" s="154"/>
    </row>
    <row r="1822" spans="1:32" x14ac:dyDescent="0.25">
      <c r="A1822" s="196">
        <v>1315</v>
      </c>
      <c r="B1822" s="196" t="s">
        <v>4725</v>
      </c>
      <c r="C1822" s="196" t="s">
        <v>8587</v>
      </c>
      <c r="D1822" s="196" t="s">
        <v>2402</v>
      </c>
      <c r="F1822" s="196">
        <v>1988</v>
      </c>
      <c r="H1822" s="196" t="s">
        <v>2734</v>
      </c>
      <c r="I1822" s="184" t="s">
        <v>1879</v>
      </c>
      <c r="K1822" s="196" t="s">
        <v>1881</v>
      </c>
      <c r="L1822" s="184" t="s">
        <v>8588</v>
      </c>
      <c r="M1822" s="196">
        <v>130</v>
      </c>
      <c r="O1822" s="196" t="s">
        <v>6822</v>
      </c>
      <c r="P1822" s="17">
        <v>204</v>
      </c>
      <c r="Q1822" s="175">
        <f t="shared" si="123"/>
        <v>1.0999999999999999</v>
      </c>
      <c r="R1822" s="175">
        <f t="shared" si="122"/>
        <v>2.2999999999999998</v>
      </c>
      <c r="S1822" s="199">
        <v>2.2999999999999998</v>
      </c>
      <c r="T1822" s="149">
        <v>0.13</v>
      </c>
      <c r="U1822" s="149" t="str">
        <f t="shared" si="124"/>
        <v>1,20</v>
      </c>
      <c r="V1822" s="149">
        <f t="shared" si="125"/>
        <v>0.33999999999999997</v>
      </c>
      <c r="W1822" s="149">
        <v>0.45</v>
      </c>
      <c r="X1822" s="152">
        <f t="shared" si="126"/>
        <v>0.1484</v>
      </c>
      <c r="Y1822" s="150">
        <f t="shared" si="121"/>
        <v>1.194</v>
      </c>
      <c r="Z1822" s="152">
        <f t="shared" si="127"/>
        <v>2.2999999999999998</v>
      </c>
      <c r="AA1822" s="150">
        <f t="shared" si="128"/>
        <v>2.2684000000000002</v>
      </c>
      <c r="AB1822" s="150"/>
      <c r="AC1822" s="154"/>
      <c r="AD1822" s="154"/>
      <c r="AE1822" s="154"/>
      <c r="AF1822" s="154"/>
    </row>
    <row r="1823" spans="1:32" x14ac:dyDescent="0.25">
      <c r="A1823" s="196">
        <v>1332</v>
      </c>
      <c r="C1823" s="196" t="s">
        <v>8589</v>
      </c>
      <c r="D1823" s="196" t="s">
        <v>3332</v>
      </c>
      <c r="H1823" s="196" t="s">
        <v>2734</v>
      </c>
      <c r="I1823" s="184" t="s">
        <v>1929</v>
      </c>
      <c r="K1823" s="196" t="s">
        <v>1881</v>
      </c>
      <c r="L1823" s="184" t="s">
        <v>8590</v>
      </c>
      <c r="M1823" s="196">
        <v>242</v>
      </c>
      <c r="O1823" s="196" t="s">
        <v>6823</v>
      </c>
      <c r="P1823" s="17">
        <v>375</v>
      </c>
      <c r="Q1823" s="175">
        <f t="shared" si="123"/>
        <v>1.8299999999999998</v>
      </c>
      <c r="R1823" s="175">
        <f t="shared" si="122"/>
        <v>3.03</v>
      </c>
      <c r="S1823" s="199">
        <v>3.03</v>
      </c>
      <c r="T1823" s="149">
        <v>0.13</v>
      </c>
      <c r="U1823" s="149" t="str">
        <f t="shared" si="124"/>
        <v>1,20</v>
      </c>
      <c r="V1823" s="149">
        <f t="shared" si="125"/>
        <v>0.33999999999999997</v>
      </c>
      <c r="W1823" s="149">
        <v>1.1499999999999999</v>
      </c>
      <c r="X1823" s="152">
        <f t="shared" si="126"/>
        <v>0.19739999999999999</v>
      </c>
      <c r="Y1823" s="150">
        <f t="shared" si="121"/>
        <v>1.2524</v>
      </c>
      <c r="Z1823" s="152">
        <f t="shared" si="127"/>
        <v>3.03</v>
      </c>
      <c r="AA1823" s="150">
        <f t="shared" si="128"/>
        <v>3.0173999999999999</v>
      </c>
      <c r="AB1823" s="150"/>
      <c r="AC1823" s="154"/>
      <c r="AD1823" s="154"/>
      <c r="AE1823" s="154"/>
      <c r="AF1823" s="154"/>
    </row>
    <row r="1824" spans="1:32" x14ac:dyDescent="0.25">
      <c r="A1824" s="196">
        <v>2514</v>
      </c>
      <c r="B1824" s="196" t="s">
        <v>8591</v>
      </c>
      <c r="C1824" s="196" t="s">
        <v>4866</v>
      </c>
      <c r="D1824" s="196" t="s">
        <v>3116</v>
      </c>
      <c r="E1824" s="196" t="s">
        <v>2922</v>
      </c>
      <c r="F1824" s="196">
        <v>2008</v>
      </c>
      <c r="H1824" s="196" t="s">
        <v>2734</v>
      </c>
      <c r="I1824" s="184" t="s">
        <v>1914</v>
      </c>
      <c r="K1824" s="196" t="s">
        <v>1881</v>
      </c>
      <c r="L1824" s="184" t="s">
        <v>8592</v>
      </c>
      <c r="M1824" s="196">
        <v>68</v>
      </c>
      <c r="O1824" s="196" t="s">
        <v>6824</v>
      </c>
      <c r="P1824" s="17">
        <v>321</v>
      </c>
      <c r="Q1824" s="175">
        <f t="shared" si="123"/>
        <v>1.0148999999999997</v>
      </c>
      <c r="R1824" s="175">
        <f t="shared" si="122"/>
        <v>2.2148999999999996</v>
      </c>
      <c r="S1824" s="199">
        <v>2.2000000000000002</v>
      </c>
      <c r="T1824" s="149">
        <v>0.13</v>
      </c>
      <c r="U1824" s="149" t="str">
        <f t="shared" si="124"/>
        <v>1,20</v>
      </c>
      <c r="V1824" s="149">
        <f t="shared" si="125"/>
        <v>0.33999999999999997</v>
      </c>
      <c r="W1824" s="149">
        <v>0.4</v>
      </c>
      <c r="X1824" s="152">
        <f t="shared" si="126"/>
        <v>0.1449</v>
      </c>
      <c r="Y1824" s="150">
        <f t="shared" si="121"/>
        <v>1.187192</v>
      </c>
      <c r="Z1824" s="152">
        <f t="shared" si="127"/>
        <v>2.2000000000000002</v>
      </c>
      <c r="AA1824" s="150">
        <f t="shared" si="128"/>
        <v>2.2148999999999996</v>
      </c>
      <c r="AB1824" s="150"/>
      <c r="AC1824" s="154"/>
      <c r="AD1824" s="154"/>
      <c r="AE1824" s="154"/>
      <c r="AF1824" s="154"/>
    </row>
    <row r="1825" spans="1:36" x14ac:dyDescent="0.25">
      <c r="A1825" s="196">
        <v>782</v>
      </c>
      <c r="B1825" s="196" t="s">
        <v>8593</v>
      </c>
      <c r="C1825" s="196" t="s">
        <v>8594</v>
      </c>
      <c r="D1825" s="196" t="s">
        <v>8595</v>
      </c>
      <c r="H1825" s="196" t="s">
        <v>2734</v>
      </c>
      <c r="I1825" s="184" t="s">
        <v>1914</v>
      </c>
      <c r="K1825" s="196" t="s">
        <v>1881</v>
      </c>
      <c r="L1825" s="184" t="s">
        <v>8596</v>
      </c>
      <c r="M1825" s="196">
        <v>62</v>
      </c>
      <c r="O1825" s="196" t="s">
        <v>6825</v>
      </c>
      <c r="P1825" s="17">
        <v>230</v>
      </c>
      <c r="Q1825" s="175">
        <f t="shared" si="123"/>
        <v>0.85439999999999983</v>
      </c>
      <c r="R1825" s="175">
        <f t="shared" si="122"/>
        <v>2.0543999999999998</v>
      </c>
      <c r="S1825" s="199">
        <v>2.0499999999999998</v>
      </c>
      <c r="T1825" s="149">
        <v>0.13</v>
      </c>
      <c r="U1825" s="149" t="str">
        <f t="shared" si="124"/>
        <v>1,20</v>
      </c>
      <c r="V1825" s="149">
        <f t="shared" si="125"/>
        <v>0.33999999999999997</v>
      </c>
      <c r="W1825" s="149">
        <v>0.25</v>
      </c>
      <c r="X1825" s="152">
        <f t="shared" si="126"/>
        <v>0.13439999999999999</v>
      </c>
      <c r="Y1825" s="150">
        <f t="shared" si="121"/>
        <v>1.1743520000000001</v>
      </c>
      <c r="Z1825" s="152">
        <f t="shared" si="127"/>
        <v>2.0499999999999998</v>
      </c>
      <c r="AA1825" s="150">
        <f t="shared" si="128"/>
        <v>2.0543999999999998</v>
      </c>
      <c r="AB1825" s="150"/>
      <c r="AC1825" s="154"/>
      <c r="AD1825" s="154"/>
      <c r="AE1825" s="154"/>
      <c r="AF1825" s="154"/>
    </row>
    <row r="1826" spans="1:36" x14ac:dyDescent="0.25">
      <c r="A1826" s="196">
        <v>796</v>
      </c>
      <c r="B1826" s="196" t="s">
        <v>8597</v>
      </c>
      <c r="C1826" s="196" t="s">
        <v>8598</v>
      </c>
      <c r="D1826" s="196" t="s">
        <v>8599</v>
      </c>
      <c r="F1826" s="196">
        <v>2014</v>
      </c>
      <c r="H1826" s="196" t="s">
        <v>1878</v>
      </c>
      <c r="I1826" s="184" t="s">
        <v>1879</v>
      </c>
      <c r="K1826" s="196" t="s">
        <v>1881</v>
      </c>
      <c r="L1826" s="184" t="s">
        <v>8600</v>
      </c>
      <c r="M1826" s="196">
        <v>224</v>
      </c>
      <c r="O1826" s="196" t="s">
        <v>6826</v>
      </c>
      <c r="P1826" s="17">
        <v>402</v>
      </c>
      <c r="Q1826" s="175">
        <f t="shared" si="123"/>
        <v>4.7063999999999995</v>
      </c>
      <c r="R1826" s="175">
        <f t="shared" si="122"/>
        <v>5.9063999999999997</v>
      </c>
      <c r="S1826" s="199">
        <v>5.9</v>
      </c>
      <c r="T1826" s="149">
        <v>0.13</v>
      </c>
      <c r="U1826" s="149" t="str">
        <f t="shared" si="124"/>
        <v>1,20</v>
      </c>
      <c r="V1826" s="149">
        <f t="shared" si="125"/>
        <v>0.33999999999999997</v>
      </c>
      <c r="W1826" s="149">
        <v>3.85</v>
      </c>
      <c r="X1826" s="152">
        <f t="shared" si="126"/>
        <v>0.38639999999999997</v>
      </c>
      <c r="Y1826" s="150">
        <f t="shared" si="121"/>
        <v>1.4825120000000001</v>
      </c>
      <c r="Z1826" s="152">
        <f t="shared" si="127"/>
        <v>5.9</v>
      </c>
      <c r="AA1826" s="150">
        <f t="shared" si="128"/>
        <v>5.9063999999999997</v>
      </c>
      <c r="AB1826" s="150"/>
      <c r="AC1826" s="154"/>
      <c r="AD1826" s="154"/>
      <c r="AE1826" s="154"/>
      <c r="AF1826" s="154"/>
    </row>
    <row r="1827" spans="1:36" x14ac:dyDescent="0.25">
      <c r="A1827" s="196">
        <v>2522</v>
      </c>
      <c r="B1827" s="196" t="s">
        <v>8601</v>
      </c>
      <c r="C1827" s="196" t="s">
        <v>8602</v>
      </c>
      <c r="D1827" s="196" t="s">
        <v>8603</v>
      </c>
      <c r="E1827" s="196" t="s">
        <v>1913</v>
      </c>
      <c r="F1827" s="196">
        <v>2017</v>
      </c>
      <c r="H1827" s="196" t="s">
        <v>1878</v>
      </c>
      <c r="I1827" s="184" t="s">
        <v>1929</v>
      </c>
      <c r="J1827" s="196" t="s">
        <v>8473</v>
      </c>
      <c r="K1827" s="196" t="s">
        <v>1881</v>
      </c>
      <c r="M1827" s="196">
        <v>384</v>
      </c>
      <c r="O1827" s="196" t="s">
        <v>6827</v>
      </c>
      <c r="P1827" s="17">
        <v>334</v>
      </c>
      <c r="Q1827" s="175">
        <f t="shared" si="123"/>
        <v>1.6900000000000002</v>
      </c>
      <c r="R1827" s="175">
        <f t="shared" si="122"/>
        <v>2.89</v>
      </c>
      <c r="S1827" s="199">
        <v>2.89</v>
      </c>
      <c r="T1827" s="149">
        <v>0.13</v>
      </c>
      <c r="U1827" s="149" t="str">
        <f t="shared" si="124"/>
        <v>1,20</v>
      </c>
      <c r="V1827" s="149">
        <f t="shared" si="125"/>
        <v>0.33999999999999997</v>
      </c>
      <c r="W1827" s="149">
        <v>1</v>
      </c>
      <c r="X1827" s="152">
        <f t="shared" si="126"/>
        <v>0.18689999999999998</v>
      </c>
      <c r="Y1827" s="150">
        <f t="shared" si="121"/>
        <v>1.2412000000000001</v>
      </c>
      <c r="Z1827" s="152">
        <f t="shared" si="127"/>
        <v>2.89</v>
      </c>
      <c r="AA1827" s="150">
        <f t="shared" si="128"/>
        <v>2.8569</v>
      </c>
      <c r="AB1827" s="150"/>
      <c r="AC1827" s="154"/>
      <c r="AD1827" s="154"/>
      <c r="AE1827" s="154"/>
      <c r="AF1827" s="154"/>
    </row>
    <row r="1828" spans="1:36" x14ac:dyDescent="0.25">
      <c r="A1828" s="196">
        <v>1386</v>
      </c>
      <c r="B1828" s="196" t="s">
        <v>7937</v>
      </c>
      <c r="C1828" s="196" t="s">
        <v>8604</v>
      </c>
      <c r="D1828" s="196" t="s">
        <v>2054</v>
      </c>
      <c r="F1828" s="196">
        <v>2009</v>
      </c>
      <c r="H1828" s="196" t="s">
        <v>1878</v>
      </c>
      <c r="I1828" s="184" t="s">
        <v>1879</v>
      </c>
      <c r="K1828" s="196" t="s">
        <v>1881</v>
      </c>
      <c r="L1828" s="184" t="s">
        <v>8605</v>
      </c>
      <c r="M1828" s="196">
        <v>482</v>
      </c>
      <c r="O1828" s="196" t="s">
        <v>6828</v>
      </c>
      <c r="P1828" s="17">
        <v>542</v>
      </c>
      <c r="Q1828" s="175">
        <f t="shared" si="123"/>
        <v>0.88939999999999997</v>
      </c>
      <c r="R1828" s="175">
        <f t="shared" si="122"/>
        <v>2.5893999999999999</v>
      </c>
      <c r="S1828" s="199">
        <v>2.5</v>
      </c>
      <c r="T1828" s="149">
        <v>0.13</v>
      </c>
      <c r="U1828" s="149" t="str">
        <f t="shared" si="124"/>
        <v>1,70</v>
      </c>
      <c r="V1828" s="149">
        <f t="shared" si="125"/>
        <v>0.33999999999999997</v>
      </c>
      <c r="W1828" s="149">
        <v>0.25</v>
      </c>
      <c r="X1828" s="152">
        <f t="shared" si="126"/>
        <v>0.1694</v>
      </c>
      <c r="Y1828" s="150">
        <f t="shared" si="121"/>
        <v>1.217152</v>
      </c>
      <c r="Z1828" s="152">
        <f t="shared" si="127"/>
        <v>2.5</v>
      </c>
      <c r="AA1828" s="150">
        <f t="shared" si="128"/>
        <v>2.5893999999999999</v>
      </c>
      <c r="AB1828" s="150"/>
      <c r="AC1828" s="154"/>
      <c r="AD1828" s="154"/>
      <c r="AE1828" s="154"/>
      <c r="AF1828" s="154"/>
    </row>
    <row r="1829" spans="1:36" x14ac:dyDescent="0.25">
      <c r="A1829" s="196">
        <v>782</v>
      </c>
      <c r="B1829" s="196" t="s">
        <v>8593</v>
      </c>
      <c r="C1829" s="196" t="s">
        <v>8609</v>
      </c>
      <c r="D1829" s="196" t="s">
        <v>1927</v>
      </c>
      <c r="F1829" s="196">
        <v>2016</v>
      </c>
      <c r="H1829" s="196" t="s">
        <v>2734</v>
      </c>
      <c r="I1829" s="184" t="s">
        <v>1879</v>
      </c>
      <c r="K1829" s="196" t="s">
        <v>1881</v>
      </c>
      <c r="L1829" s="184" t="s">
        <v>8610</v>
      </c>
      <c r="M1829" s="196">
        <v>66</v>
      </c>
      <c r="O1829" s="196" t="s">
        <v>6829</v>
      </c>
      <c r="P1829" s="17">
        <v>471</v>
      </c>
      <c r="Q1829" s="175">
        <f t="shared" si="123"/>
        <v>1.7</v>
      </c>
      <c r="R1829" s="175">
        <f t="shared" si="122"/>
        <v>2.9</v>
      </c>
      <c r="S1829" s="199">
        <v>2.9</v>
      </c>
      <c r="T1829" s="149">
        <v>0.13</v>
      </c>
      <c r="U1829" s="149" t="str">
        <f t="shared" si="124"/>
        <v>1,20</v>
      </c>
      <c r="V1829" s="149">
        <f t="shared" si="125"/>
        <v>0.33999999999999997</v>
      </c>
      <c r="W1829" s="149">
        <v>1</v>
      </c>
      <c r="X1829" s="152">
        <f t="shared" si="126"/>
        <v>0.18689999999999998</v>
      </c>
      <c r="Y1829" s="150">
        <f t="shared" si="121"/>
        <v>1.242</v>
      </c>
      <c r="Z1829" s="152">
        <f t="shared" si="127"/>
        <v>2.9</v>
      </c>
      <c r="AA1829" s="150">
        <f t="shared" si="128"/>
        <v>2.8569</v>
      </c>
      <c r="AB1829" s="150"/>
      <c r="AC1829" s="154"/>
      <c r="AD1829" s="154"/>
      <c r="AE1829" s="154"/>
      <c r="AF1829" s="154"/>
    </row>
    <row r="1830" spans="1:36" x14ac:dyDescent="0.25">
      <c r="A1830" s="196">
        <v>2524</v>
      </c>
      <c r="B1830" s="196" t="s">
        <v>8613</v>
      </c>
      <c r="C1830" s="196" t="s">
        <v>8614</v>
      </c>
      <c r="D1830" s="196" t="s">
        <v>8258</v>
      </c>
      <c r="F1830" s="196">
        <v>2000</v>
      </c>
      <c r="H1830" s="196" t="s">
        <v>2734</v>
      </c>
      <c r="I1830" s="184" t="s">
        <v>1929</v>
      </c>
      <c r="K1830" s="196" t="s">
        <v>1881</v>
      </c>
      <c r="L1830" s="184" t="s">
        <v>8615</v>
      </c>
      <c r="M1830" s="196">
        <v>186</v>
      </c>
      <c r="O1830" s="196" t="s">
        <v>6831</v>
      </c>
      <c r="P1830" s="17">
        <v>310</v>
      </c>
      <c r="Q1830" s="175">
        <f t="shared" si="123"/>
        <v>1.0000000000000002</v>
      </c>
      <c r="R1830" s="175">
        <f t="shared" si="122"/>
        <v>2.2000000000000002</v>
      </c>
      <c r="S1830" s="199">
        <v>2.2000000000000002</v>
      </c>
      <c r="T1830" s="149">
        <v>0.13</v>
      </c>
      <c r="U1830" s="149" t="str">
        <f t="shared" si="124"/>
        <v>1,20</v>
      </c>
      <c r="V1830" s="149">
        <f t="shared" si="125"/>
        <v>0.33999999999999997</v>
      </c>
      <c r="W1830" s="149">
        <v>0.35</v>
      </c>
      <c r="X1830" s="152">
        <f t="shared" si="126"/>
        <v>0.1414</v>
      </c>
      <c r="Y1830" s="150">
        <f t="shared" si="121"/>
        <v>1.1859999999999999</v>
      </c>
      <c r="Z1830" s="152">
        <f t="shared" si="127"/>
        <v>2.2000000000000002</v>
      </c>
      <c r="AA1830" s="150">
        <f t="shared" si="128"/>
        <v>2.1614</v>
      </c>
      <c r="AB1830" s="150"/>
      <c r="AC1830" s="154"/>
      <c r="AD1830" s="154"/>
      <c r="AE1830" s="154"/>
      <c r="AF1830" s="154"/>
    </row>
    <row r="1831" spans="1:36" x14ac:dyDescent="0.25">
      <c r="A1831" s="196">
        <v>667</v>
      </c>
      <c r="B1831" s="196" t="s">
        <v>8616</v>
      </c>
      <c r="C1831" s="196" t="s">
        <v>8617</v>
      </c>
      <c r="D1831" s="196" t="s">
        <v>8616</v>
      </c>
      <c r="F1831" s="196">
        <v>2011</v>
      </c>
      <c r="H1831" s="196" t="s">
        <v>1878</v>
      </c>
      <c r="I1831" s="184" t="s">
        <v>7527</v>
      </c>
      <c r="K1831" s="196" t="s">
        <v>1881</v>
      </c>
      <c r="L1831" s="184" t="s">
        <v>8618</v>
      </c>
      <c r="M1831" s="196">
        <v>208</v>
      </c>
      <c r="O1831" s="196" t="s">
        <v>6832</v>
      </c>
      <c r="P1831" s="17">
        <v>463</v>
      </c>
      <c r="Q1831" s="175">
        <f t="shared" si="123"/>
        <v>1.39</v>
      </c>
      <c r="R1831" s="175">
        <f t="shared" si="122"/>
        <v>2.59</v>
      </c>
      <c r="S1831" s="199">
        <v>2.59</v>
      </c>
      <c r="T1831" s="149">
        <v>0.13</v>
      </c>
      <c r="U1831" s="149" t="str">
        <f t="shared" si="124"/>
        <v>1,20</v>
      </c>
      <c r="V1831" s="149">
        <f t="shared" si="125"/>
        <v>0.33999999999999997</v>
      </c>
      <c r="W1831" s="149">
        <v>0.75</v>
      </c>
      <c r="X1831" s="152">
        <f t="shared" si="126"/>
        <v>0.1694</v>
      </c>
      <c r="Y1831" s="150">
        <f t="shared" si="121"/>
        <v>1.2172000000000001</v>
      </c>
      <c r="Z1831" s="152">
        <f t="shared" si="127"/>
        <v>2.59</v>
      </c>
      <c r="AA1831" s="150">
        <f t="shared" si="128"/>
        <v>2.5893999999999999</v>
      </c>
      <c r="AB1831" s="150"/>
      <c r="AC1831" s="154"/>
      <c r="AD1831" s="154"/>
      <c r="AE1831" s="154"/>
      <c r="AF1831" s="154"/>
    </row>
    <row r="1832" spans="1:36" x14ac:dyDescent="0.25">
      <c r="A1832" s="196">
        <v>666</v>
      </c>
      <c r="B1832" s="196" t="s">
        <v>8616</v>
      </c>
      <c r="C1832" s="196" t="s">
        <v>8619</v>
      </c>
      <c r="D1832" s="196" t="s">
        <v>8616</v>
      </c>
      <c r="F1832" s="196">
        <v>2010</v>
      </c>
      <c r="H1832" s="196" t="s">
        <v>1878</v>
      </c>
      <c r="I1832" s="184" t="s">
        <v>1914</v>
      </c>
      <c r="K1832" s="196" t="s">
        <v>1881</v>
      </c>
      <c r="L1832" s="184" t="s">
        <v>8620</v>
      </c>
      <c r="M1832" s="196">
        <v>192</v>
      </c>
      <c r="O1832" s="196" t="s">
        <v>6833</v>
      </c>
      <c r="P1832" s="17">
        <v>447</v>
      </c>
      <c r="Q1832" s="175">
        <f t="shared" si="123"/>
        <v>8.2000000000000011</v>
      </c>
      <c r="R1832" s="175">
        <f t="shared" si="122"/>
        <v>9.4</v>
      </c>
      <c r="S1832" s="199">
        <v>9.4</v>
      </c>
      <c r="T1832" s="149">
        <v>0.13</v>
      </c>
      <c r="U1832" s="149" t="str">
        <f t="shared" si="124"/>
        <v>1,20</v>
      </c>
      <c r="V1832" s="149">
        <f t="shared" si="125"/>
        <v>0.33999999999999997</v>
      </c>
      <c r="W1832" s="149">
        <v>7.1</v>
      </c>
      <c r="X1832" s="152">
        <f t="shared" si="126"/>
        <v>0.6139</v>
      </c>
      <c r="Y1832" s="150">
        <f t="shared" si="121"/>
        <v>1.762</v>
      </c>
      <c r="Z1832" s="152">
        <f t="shared" si="127"/>
        <v>9.4</v>
      </c>
      <c r="AA1832" s="150">
        <f t="shared" si="128"/>
        <v>9.3838999999999988</v>
      </c>
      <c r="AB1832" s="150"/>
      <c r="AC1832" s="154"/>
      <c r="AD1832" s="154"/>
      <c r="AE1832" s="154"/>
      <c r="AF1832" s="154"/>
    </row>
    <row r="1833" spans="1:36" x14ac:dyDescent="0.25">
      <c r="A1833" s="196">
        <v>2952</v>
      </c>
      <c r="B1833" s="196" t="s">
        <v>8621</v>
      </c>
      <c r="C1833" s="196" t="s">
        <v>8622</v>
      </c>
      <c r="D1833" s="196" t="s">
        <v>1912</v>
      </c>
      <c r="F1833" s="196">
        <v>2002</v>
      </c>
      <c r="H1833" s="196" t="s">
        <v>1878</v>
      </c>
      <c r="I1833" s="184" t="s">
        <v>1914</v>
      </c>
      <c r="K1833" s="196" t="s">
        <v>1881</v>
      </c>
      <c r="L1833" s="184" t="s">
        <v>8623</v>
      </c>
      <c r="M1833" s="196">
        <v>448</v>
      </c>
      <c r="O1833" s="196" t="s">
        <v>6834</v>
      </c>
      <c r="P1833" s="17">
        <v>414</v>
      </c>
      <c r="Q1833" s="175">
        <f t="shared" si="123"/>
        <v>0.85439999999999983</v>
      </c>
      <c r="R1833" s="175">
        <f t="shared" si="122"/>
        <v>2.0543999999999998</v>
      </c>
      <c r="S1833" s="199">
        <v>1.6</v>
      </c>
      <c r="T1833" s="149">
        <v>0.13</v>
      </c>
      <c r="U1833" s="149" t="str">
        <f t="shared" si="124"/>
        <v>1,20</v>
      </c>
      <c r="V1833" s="149">
        <f t="shared" si="125"/>
        <v>0.33999999999999997</v>
      </c>
      <c r="W1833" s="149">
        <v>0.25</v>
      </c>
      <c r="X1833" s="152">
        <f t="shared" si="126"/>
        <v>0.13439999999999999</v>
      </c>
      <c r="Y1833" s="150">
        <f t="shared" si="121"/>
        <v>1.1743520000000001</v>
      </c>
      <c r="Z1833" s="152">
        <f t="shared" si="127"/>
        <v>1.6</v>
      </c>
      <c r="AA1833" s="150">
        <f t="shared" si="128"/>
        <v>2.0543999999999998</v>
      </c>
      <c r="AB1833" s="150"/>
      <c r="AC1833" s="154"/>
      <c r="AD1833" s="154"/>
      <c r="AE1833" s="154"/>
      <c r="AF1833" s="154"/>
    </row>
    <row r="1834" spans="1:36" x14ac:dyDescent="0.25">
      <c r="A1834" s="196">
        <v>1386</v>
      </c>
      <c r="B1834" s="196" t="s">
        <v>8624</v>
      </c>
      <c r="C1834" s="196" t="s">
        <v>8625</v>
      </c>
      <c r="D1834" s="196" t="s">
        <v>2054</v>
      </c>
      <c r="F1834" s="196">
        <v>2011</v>
      </c>
      <c r="H1834" s="196" t="s">
        <v>2734</v>
      </c>
      <c r="I1834" s="184" t="s">
        <v>1879</v>
      </c>
      <c r="K1834" s="196" t="s">
        <v>1881</v>
      </c>
      <c r="L1834" s="184" t="s">
        <v>8626</v>
      </c>
      <c r="M1834" s="196">
        <v>386</v>
      </c>
      <c r="O1834" s="196" t="s">
        <v>6835</v>
      </c>
      <c r="P1834" s="17">
        <v>446</v>
      </c>
      <c r="Q1834" s="175">
        <f t="shared" si="123"/>
        <v>0.85439999999999983</v>
      </c>
      <c r="R1834" s="175">
        <f t="shared" si="122"/>
        <v>2.0543999999999998</v>
      </c>
      <c r="S1834" s="199">
        <v>1.65</v>
      </c>
      <c r="T1834" s="149">
        <v>0.13</v>
      </c>
      <c r="U1834" s="149" t="str">
        <f t="shared" si="124"/>
        <v>1,20</v>
      </c>
      <c r="V1834" s="149">
        <f t="shared" si="125"/>
        <v>0.33999999999999997</v>
      </c>
      <c r="W1834" s="149">
        <v>0.25</v>
      </c>
      <c r="X1834" s="152">
        <f t="shared" si="126"/>
        <v>0.13439999999999999</v>
      </c>
      <c r="Y1834" s="150">
        <f t="shared" si="121"/>
        <v>1.1743520000000001</v>
      </c>
      <c r="Z1834" s="152">
        <f t="shared" si="127"/>
        <v>1.65</v>
      </c>
      <c r="AA1834" s="150">
        <f t="shared" si="128"/>
        <v>2.0543999999999998</v>
      </c>
      <c r="AB1834" s="150"/>
      <c r="AC1834" s="154"/>
      <c r="AD1834" s="154"/>
      <c r="AE1834" s="154"/>
      <c r="AF1834" s="154"/>
    </row>
    <row r="1835" spans="1:36" x14ac:dyDescent="0.25">
      <c r="A1835" s="196">
        <v>2522</v>
      </c>
      <c r="B1835" s="196" t="s">
        <v>8627</v>
      </c>
      <c r="C1835" s="196" t="s">
        <v>8628</v>
      </c>
      <c r="D1835" s="196" t="s">
        <v>3895</v>
      </c>
      <c r="F1835" s="196">
        <v>2005</v>
      </c>
      <c r="H1835" s="196" t="s">
        <v>1878</v>
      </c>
      <c r="I1835" s="184" t="s">
        <v>1879</v>
      </c>
      <c r="K1835" s="196" t="s">
        <v>1881</v>
      </c>
      <c r="L1835" s="184" t="s">
        <v>8629</v>
      </c>
      <c r="M1835" s="196">
        <v>384</v>
      </c>
      <c r="O1835" s="196" t="s">
        <v>6836</v>
      </c>
      <c r="P1835" s="17">
        <v>331</v>
      </c>
      <c r="Q1835" s="175">
        <f t="shared" si="123"/>
        <v>1.7103999999999997</v>
      </c>
      <c r="R1835" s="175">
        <f t="shared" si="122"/>
        <v>2.9103999999999997</v>
      </c>
      <c r="S1835" s="199">
        <v>2.9</v>
      </c>
      <c r="T1835" s="149">
        <v>0.13</v>
      </c>
      <c r="U1835" s="149" t="str">
        <f t="shared" si="124"/>
        <v>1,20</v>
      </c>
      <c r="V1835" s="149">
        <f t="shared" si="125"/>
        <v>0.33999999999999997</v>
      </c>
      <c r="W1835" s="149">
        <v>1.05</v>
      </c>
      <c r="X1835" s="152">
        <f t="shared" si="126"/>
        <v>0.19039999999999999</v>
      </c>
      <c r="Y1835" s="150">
        <f t="shared" si="121"/>
        <v>1.2428319999999999</v>
      </c>
      <c r="Z1835" s="152">
        <f t="shared" si="127"/>
        <v>2.9</v>
      </c>
      <c r="AA1835" s="150">
        <f t="shared" si="128"/>
        <v>2.9103999999999997</v>
      </c>
      <c r="AB1835" s="150"/>
      <c r="AC1835" s="154"/>
      <c r="AD1835" s="154"/>
      <c r="AE1835" s="154"/>
      <c r="AF1835" s="154"/>
    </row>
    <row r="1836" spans="1:36" x14ac:dyDescent="0.25">
      <c r="A1836" s="196">
        <v>1395</v>
      </c>
      <c r="B1836" s="196" t="s">
        <v>8630</v>
      </c>
      <c r="C1836" s="196" t="s">
        <v>8631</v>
      </c>
      <c r="D1836" s="196" t="s">
        <v>1912</v>
      </c>
      <c r="E1836" s="196" t="s">
        <v>2032</v>
      </c>
      <c r="F1836" s="196">
        <v>2007</v>
      </c>
      <c r="H1836" s="196" t="s">
        <v>1878</v>
      </c>
      <c r="I1836" s="184" t="s">
        <v>1914</v>
      </c>
      <c r="K1836" s="196" t="s">
        <v>1881</v>
      </c>
      <c r="L1836" s="184" t="s">
        <v>8632</v>
      </c>
      <c r="M1836" s="196">
        <v>384</v>
      </c>
      <c r="O1836" s="196" t="s">
        <v>6837</v>
      </c>
      <c r="P1836" s="17">
        <v>319</v>
      </c>
      <c r="Q1836" s="175">
        <f t="shared" si="123"/>
        <v>0.85439999999999983</v>
      </c>
      <c r="R1836" s="175">
        <f t="shared" si="122"/>
        <v>2.0543999999999998</v>
      </c>
      <c r="S1836" s="199">
        <v>1.45</v>
      </c>
      <c r="T1836" s="149">
        <v>0.13</v>
      </c>
      <c r="U1836" s="149" t="str">
        <f t="shared" si="124"/>
        <v>1,20</v>
      </c>
      <c r="V1836" s="149">
        <f t="shared" si="125"/>
        <v>0.33999999999999997</v>
      </c>
      <c r="W1836" s="149">
        <v>0.25</v>
      </c>
      <c r="X1836" s="152">
        <f t="shared" si="126"/>
        <v>0.13439999999999999</v>
      </c>
      <c r="Y1836" s="150">
        <f t="shared" ref="Y1836:Y1899" si="129">(IF(Z1836&gt;AA1836,Z1836,AA1836)*0.08)+1.01</f>
        <v>1.1743520000000001</v>
      </c>
      <c r="Z1836" s="152">
        <f t="shared" si="127"/>
        <v>1.45</v>
      </c>
      <c r="AA1836" s="150">
        <f t="shared" si="128"/>
        <v>2.0543999999999998</v>
      </c>
      <c r="AB1836" s="150"/>
      <c r="AC1836" s="154"/>
      <c r="AD1836" s="154"/>
      <c r="AE1836" s="154"/>
      <c r="AF1836" s="154"/>
    </row>
    <row r="1837" spans="1:36" x14ac:dyDescent="0.25">
      <c r="A1837" s="196">
        <v>1231</v>
      </c>
      <c r="B1837" s="196" t="s">
        <v>8633</v>
      </c>
      <c r="C1837" s="196" t="s">
        <v>8634</v>
      </c>
      <c r="D1837" s="196" t="s">
        <v>1920</v>
      </c>
      <c r="F1837" s="196">
        <v>2004</v>
      </c>
      <c r="H1837" s="196" t="s">
        <v>1878</v>
      </c>
      <c r="I1837" s="184" t="s">
        <v>1914</v>
      </c>
      <c r="K1837" s="196" t="s">
        <v>1881</v>
      </c>
      <c r="L1837" s="184" t="s">
        <v>8635</v>
      </c>
      <c r="M1837" s="196">
        <v>416</v>
      </c>
      <c r="O1837" s="196" t="s">
        <v>6838</v>
      </c>
      <c r="P1837" s="17">
        <v>361</v>
      </c>
      <c r="Q1837" s="175">
        <f t="shared" si="123"/>
        <v>0.85439999999999983</v>
      </c>
      <c r="R1837" s="175">
        <f t="shared" si="122"/>
        <v>2.0543999999999998</v>
      </c>
      <c r="S1837" s="199">
        <v>1.55</v>
      </c>
      <c r="T1837" s="149">
        <v>0.13</v>
      </c>
      <c r="U1837" s="149" t="str">
        <f t="shared" si="124"/>
        <v>1,20</v>
      </c>
      <c r="V1837" s="149">
        <f t="shared" si="125"/>
        <v>0.33999999999999997</v>
      </c>
      <c r="W1837" s="149">
        <v>0.25</v>
      </c>
      <c r="X1837" s="152">
        <f t="shared" si="126"/>
        <v>0.13439999999999999</v>
      </c>
      <c r="Y1837" s="150">
        <f t="shared" si="129"/>
        <v>1.1743520000000001</v>
      </c>
      <c r="Z1837" s="152">
        <f t="shared" si="127"/>
        <v>1.55</v>
      </c>
      <c r="AA1837" s="150">
        <f t="shared" si="128"/>
        <v>2.0543999999999998</v>
      </c>
      <c r="AB1837" s="150"/>
      <c r="AC1837" s="154"/>
      <c r="AD1837" s="154"/>
      <c r="AE1837" s="154"/>
      <c r="AF1837" s="154"/>
    </row>
    <row r="1838" spans="1:36" s="220" customFormat="1" x14ac:dyDescent="0.25">
      <c r="A1838" s="214">
        <v>1386</v>
      </c>
      <c r="B1838" s="214" t="s">
        <v>8636</v>
      </c>
      <c r="C1838" s="214" t="s">
        <v>8637</v>
      </c>
      <c r="D1838" s="214" t="s">
        <v>2209</v>
      </c>
      <c r="E1838" s="214"/>
      <c r="F1838" s="214">
        <v>2017</v>
      </c>
      <c r="G1838" s="214"/>
      <c r="H1838" s="214" t="s">
        <v>1878</v>
      </c>
      <c r="I1838" s="215" t="s">
        <v>1879</v>
      </c>
      <c r="J1838" s="100" t="s">
        <v>3854</v>
      </c>
      <c r="K1838" s="214" t="s">
        <v>1881</v>
      </c>
      <c r="L1838" s="215" t="s">
        <v>8638</v>
      </c>
      <c r="M1838" s="214">
        <v>560</v>
      </c>
      <c r="N1838" s="214"/>
      <c r="O1838" s="214" t="s">
        <v>6839</v>
      </c>
      <c r="P1838" s="216">
        <v>493</v>
      </c>
      <c r="Q1838" s="217">
        <f t="shared" si="123"/>
        <v>1.0148999999999997</v>
      </c>
      <c r="R1838" s="217">
        <f t="shared" si="122"/>
        <v>2.2148999999999996</v>
      </c>
      <c r="S1838" s="202">
        <v>2.2000000000000002</v>
      </c>
      <c r="T1838" s="211">
        <v>0.13</v>
      </c>
      <c r="U1838" s="211" t="str">
        <f t="shared" si="124"/>
        <v>1,20</v>
      </c>
      <c r="V1838" s="211">
        <f t="shared" si="125"/>
        <v>0.33999999999999997</v>
      </c>
      <c r="W1838" s="211">
        <v>0.4</v>
      </c>
      <c r="X1838" s="218">
        <f t="shared" si="126"/>
        <v>0.1449</v>
      </c>
      <c r="Y1838" s="150">
        <f t="shared" si="129"/>
        <v>1.187192</v>
      </c>
      <c r="Z1838" s="218">
        <f t="shared" si="127"/>
        <v>2.2000000000000002</v>
      </c>
      <c r="AA1838" s="218">
        <f t="shared" si="128"/>
        <v>2.2148999999999996</v>
      </c>
      <c r="AB1838" s="218"/>
      <c r="AC1838" s="219"/>
      <c r="AD1838" s="219"/>
      <c r="AE1838" s="219"/>
      <c r="AF1838" s="219"/>
      <c r="AJ1838" s="221"/>
    </row>
    <row r="1839" spans="1:36" x14ac:dyDescent="0.25">
      <c r="A1839" s="196">
        <v>1321</v>
      </c>
      <c r="C1839" s="196" t="s">
        <v>8642</v>
      </c>
      <c r="D1839" s="196" t="s">
        <v>2077</v>
      </c>
      <c r="E1839" s="182" t="s">
        <v>1913</v>
      </c>
      <c r="F1839" s="196">
        <v>2008</v>
      </c>
      <c r="H1839" s="196" t="s">
        <v>2734</v>
      </c>
      <c r="I1839" s="184" t="s">
        <v>1879</v>
      </c>
      <c r="K1839" s="196" t="s">
        <v>1881</v>
      </c>
      <c r="L1839" s="184" t="s">
        <v>8643</v>
      </c>
      <c r="M1839" s="196">
        <v>130</v>
      </c>
      <c r="O1839" s="196" t="s">
        <v>6840</v>
      </c>
      <c r="P1839" s="17">
        <v>626</v>
      </c>
      <c r="Q1839" s="175">
        <f>IF(Z1839&gt;AA1839,Z1839,AA1839)</f>
        <v>7.8</v>
      </c>
      <c r="S1839" s="199">
        <f>5.5+2.3</f>
        <v>7.8</v>
      </c>
      <c r="T1839" s="149">
        <v>0.13</v>
      </c>
      <c r="U1839" s="149" t="str">
        <f t="shared" ref="U1839:U1892" si="130">IF(P1839&lt;501,"1,90","2,20")</f>
        <v>2,20</v>
      </c>
      <c r="V1839" s="149">
        <f t="shared" si="125"/>
        <v>0.33999999999999997</v>
      </c>
      <c r="W1839" s="149">
        <v>4.5999999999999996</v>
      </c>
      <c r="X1839" s="152">
        <f t="shared" si="126"/>
        <v>0.50890000000000002</v>
      </c>
      <c r="Y1839" s="150">
        <f t="shared" si="129"/>
        <v>1.6339999999999999</v>
      </c>
      <c r="Z1839" s="152">
        <f t="shared" si="127"/>
        <v>7.8</v>
      </c>
      <c r="AA1839" s="150">
        <f>T1839+U1839+V1839+W1839+X1839</f>
        <v>7.7788999999999993</v>
      </c>
      <c r="AB1839" s="150"/>
      <c r="AC1839" s="154"/>
      <c r="AD1839" s="154"/>
      <c r="AE1839" s="154"/>
      <c r="AF1839" s="154"/>
    </row>
    <row r="1840" spans="1:36" x14ac:dyDescent="0.25">
      <c r="A1840" s="196">
        <v>655</v>
      </c>
      <c r="B1840" s="196" t="s">
        <v>8644</v>
      </c>
      <c r="C1840" s="196" t="s">
        <v>8645</v>
      </c>
      <c r="D1840" s="196" t="s">
        <v>8646</v>
      </c>
      <c r="E1840" s="196" t="s">
        <v>2375</v>
      </c>
      <c r="F1840" s="196">
        <v>1968</v>
      </c>
      <c r="H1840" s="196" t="s">
        <v>2734</v>
      </c>
      <c r="I1840" s="184" t="s">
        <v>1879</v>
      </c>
      <c r="K1840" s="196" t="s">
        <v>1881</v>
      </c>
      <c r="M1840" s="196">
        <v>434</v>
      </c>
      <c r="O1840" s="196" t="s">
        <v>6841</v>
      </c>
      <c r="P1840" s="17">
        <v>796</v>
      </c>
      <c r="Q1840" s="175">
        <f>IF(Z1840&gt;AA1840,Z1840,AA1840)</f>
        <v>3.2313999999999998</v>
      </c>
      <c r="S1840" s="199">
        <f>0.71+1.99</f>
        <v>2.7</v>
      </c>
      <c r="T1840" s="149">
        <v>0.13</v>
      </c>
      <c r="U1840" s="149" t="str">
        <f>IF(P1840&lt;501,"1,90","2,20")</f>
        <v>2,20</v>
      </c>
      <c r="V1840" s="149">
        <f t="shared" si="125"/>
        <v>0.33999999999999997</v>
      </c>
      <c r="W1840" s="149">
        <v>0.35</v>
      </c>
      <c r="X1840" s="152">
        <f t="shared" si="126"/>
        <v>0.2114</v>
      </c>
      <c r="Y1840" s="150">
        <f t="shared" si="129"/>
        <v>1.2685119999999999</v>
      </c>
      <c r="Z1840" s="152">
        <f t="shared" si="127"/>
        <v>2.7</v>
      </c>
      <c r="AA1840" s="150">
        <f t="shared" si="128"/>
        <v>3.2313999999999998</v>
      </c>
      <c r="AB1840" s="150"/>
      <c r="AC1840" s="154"/>
      <c r="AD1840" s="154"/>
      <c r="AE1840" s="154"/>
      <c r="AF1840" s="154"/>
    </row>
    <row r="1841" spans="1:32" x14ac:dyDescent="0.25">
      <c r="A1841" s="196">
        <v>587</v>
      </c>
      <c r="B1841" s="196" t="s">
        <v>8647</v>
      </c>
      <c r="C1841" s="196" t="s">
        <v>8648</v>
      </c>
      <c r="D1841" s="196" t="s">
        <v>2054</v>
      </c>
      <c r="F1841" s="196">
        <v>2001</v>
      </c>
      <c r="H1841" s="196" t="s">
        <v>2734</v>
      </c>
      <c r="I1841" s="184" t="s">
        <v>1879</v>
      </c>
      <c r="K1841" s="196" t="s">
        <v>1881</v>
      </c>
      <c r="L1841" s="184" t="s">
        <v>8649</v>
      </c>
      <c r="M1841" s="196">
        <v>82</v>
      </c>
      <c r="O1841" s="196" t="s">
        <v>6842</v>
      </c>
      <c r="P1841" s="17">
        <v>355</v>
      </c>
      <c r="Q1841" s="175">
        <f t="shared" ref="Q1841:Q1892" si="131">IF(Z1841&gt;AA1841,Z1841,AA1841)</f>
        <v>2.9103999999999997</v>
      </c>
      <c r="S1841" s="199">
        <v>1.65</v>
      </c>
      <c r="T1841" s="149">
        <v>0.13</v>
      </c>
      <c r="U1841" s="149" t="str">
        <f t="shared" si="130"/>
        <v>1,90</v>
      </c>
      <c r="V1841" s="149">
        <f t="shared" si="125"/>
        <v>0.33999999999999997</v>
      </c>
      <c r="W1841" s="149">
        <v>0.35</v>
      </c>
      <c r="X1841" s="152">
        <f t="shared" si="126"/>
        <v>0.19039999999999999</v>
      </c>
      <c r="Y1841" s="150">
        <f t="shared" si="129"/>
        <v>1.2428319999999999</v>
      </c>
      <c r="Z1841" s="152">
        <f t="shared" si="127"/>
        <v>1.65</v>
      </c>
      <c r="AA1841" s="150">
        <f t="shared" si="128"/>
        <v>2.9103999999999997</v>
      </c>
      <c r="AB1841" s="150"/>
      <c r="AC1841" s="154"/>
      <c r="AD1841" s="154"/>
      <c r="AE1841" s="154"/>
      <c r="AF1841" s="154"/>
    </row>
    <row r="1842" spans="1:32" x14ac:dyDescent="0.25">
      <c r="A1842" s="196">
        <v>1395</v>
      </c>
      <c r="B1842" s="196" t="s">
        <v>8650</v>
      </c>
      <c r="C1842" s="196" t="s">
        <v>8651</v>
      </c>
      <c r="D1842" s="196" t="s">
        <v>2054</v>
      </c>
      <c r="F1842" s="196">
        <v>1997</v>
      </c>
      <c r="H1842" s="196" t="s">
        <v>2734</v>
      </c>
      <c r="I1842" s="184" t="s">
        <v>1879</v>
      </c>
      <c r="K1842" s="196" t="s">
        <v>1881</v>
      </c>
      <c r="L1842" s="184" t="s">
        <v>8652</v>
      </c>
      <c r="M1842" s="196">
        <v>322</v>
      </c>
      <c r="O1842" s="196" t="s">
        <v>6843</v>
      </c>
      <c r="P1842" s="17">
        <v>418</v>
      </c>
      <c r="Q1842" s="175">
        <f t="shared" si="131"/>
        <v>2.9103999999999997</v>
      </c>
      <c r="S1842" s="199">
        <v>2.4</v>
      </c>
      <c r="T1842" s="149">
        <v>0.13</v>
      </c>
      <c r="U1842" s="149" t="str">
        <f t="shared" si="130"/>
        <v>1,90</v>
      </c>
      <c r="V1842" s="149">
        <f t="shared" si="125"/>
        <v>0.33999999999999997</v>
      </c>
      <c r="W1842" s="149">
        <v>0.35</v>
      </c>
      <c r="X1842" s="152">
        <f t="shared" si="126"/>
        <v>0.19039999999999999</v>
      </c>
      <c r="Y1842" s="150">
        <f t="shared" si="129"/>
        <v>1.2428319999999999</v>
      </c>
      <c r="Z1842" s="152">
        <f t="shared" si="127"/>
        <v>2.4</v>
      </c>
      <c r="AA1842" s="150">
        <f t="shared" si="128"/>
        <v>2.9103999999999997</v>
      </c>
      <c r="AB1842" s="150"/>
      <c r="AC1842" s="154"/>
      <c r="AD1842" s="154"/>
      <c r="AE1842" s="154"/>
      <c r="AF1842" s="154"/>
    </row>
    <row r="1843" spans="1:32" x14ac:dyDescent="0.25">
      <c r="A1843" s="196">
        <v>767</v>
      </c>
      <c r="B1843" s="196" t="s">
        <v>8653</v>
      </c>
      <c r="C1843" s="196" t="s">
        <v>8654</v>
      </c>
      <c r="D1843" s="196" t="s">
        <v>8655</v>
      </c>
      <c r="F1843" s="196">
        <v>1997</v>
      </c>
      <c r="H1843" s="196" t="s">
        <v>1878</v>
      </c>
      <c r="I1843" s="184" t="s">
        <v>1879</v>
      </c>
      <c r="K1843" s="196" t="s">
        <v>1881</v>
      </c>
      <c r="L1843" s="184" t="s">
        <v>8656</v>
      </c>
      <c r="M1843" s="196">
        <v>120</v>
      </c>
      <c r="O1843" s="196" t="s">
        <v>6844</v>
      </c>
      <c r="P1843" s="17">
        <v>140</v>
      </c>
      <c r="Q1843" s="175">
        <f t="shared" si="131"/>
        <v>2.9103999999999997</v>
      </c>
      <c r="S1843" s="199">
        <v>2</v>
      </c>
      <c r="T1843" s="149">
        <v>0.13</v>
      </c>
      <c r="U1843" s="149" t="str">
        <f t="shared" si="130"/>
        <v>1,90</v>
      </c>
      <c r="V1843" s="149">
        <f t="shared" si="125"/>
        <v>0.33999999999999997</v>
      </c>
      <c r="W1843" s="149">
        <v>0.35</v>
      </c>
      <c r="X1843" s="152">
        <f t="shared" si="126"/>
        <v>0.19039999999999999</v>
      </c>
      <c r="Y1843" s="150">
        <f t="shared" si="129"/>
        <v>1.2428319999999999</v>
      </c>
      <c r="Z1843" s="152">
        <f t="shared" si="127"/>
        <v>2</v>
      </c>
      <c r="AA1843" s="150">
        <f t="shared" si="128"/>
        <v>2.9103999999999997</v>
      </c>
      <c r="AB1843" s="150"/>
      <c r="AC1843" s="154"/>
      <c r="AD1843" s="154"/>
      <c r="AE1843" s="154"/>
      <c r="AF1843" s="154"/>
    </row>
    <row r="1844" spans="1:32" x14ac:dyDescent="0.25">
      <c r="A1844" s="196">
        <v>618</v>
      </c>
      <c r="B1844" s="196" t="s">
        <v>7378</v>
      </c>
      <c r="C1844" s="196" t="s">
        <v>8657</v>
      </c>
      <c r="D1844" s="196" t="s">
        <v>3077</v>
      </c>
      <c r="F1844" s="196">
        <v>1999</v>
      </c>
      <c r="H1844" s="196" t="s">
        <v>1878</v>
      </c>
      <c r="I1844" s="184" t="s">
        <v>7527</v>
      </c>
      <c r="K1844" s="196" t="s">
        <v>1881</v>
      </c>
      <c r="L1844" s="184" t="s">
        <v>8658</v>
      </c>
      <c r="M1844" s="196">
        <v>160</v>
      </c>
      <c r="O1844" s="196" t="s">
        <v>6845</v>
      </c>
      <c r="P1844" s="17">
        <v>153</v>
      </c>
      <c r="Q1844" s="175">
        <f t="shared" si="131"/>
        <v>2.9103999999999997</v>
      </c>
      <c r="S1844" s="199">
        <v>2.2000000000000002</v>
      </c>
      <c r="T1844" s="149">
        <v>0.13</v>
      </c>
      <c r="U1844" s="149" t="str">
        <f t="shared" si="130"/>
        <v>1,90</v>
      </c>
      <c r="V1844" s="149">
        <f t="shared" si="125"/>
        <v>0.33999999999999997</v>
      </c>
      <c r="W1844" s="149">
        <v>0.35</v>
      </c>
      <c r="X1844" s="152">
        <f t="shared" si="126"/>
        <v>0.19039999999999999</v>
      </c>
      <c r="Y1844" s="150">
        <f t="shared" si="129"/>
        <v>1.2428319999999999</v>
      </c>
      <c r="Z1844" s="152">
        <f t="shared" si="127"/>
        <v>2.2000000000000002</v>
      </c>
      <c r="AA1844" s="150">
        <f t="shared" si="128"/>
        <v>2.9103999999999997</v>
      </c>
      <c r="AB1844" s="150"/>
      <c r="AC1844" s="154"/>
      <c r="AD1844" s="154"/>
      <c r="AE1844" s="154"/>
      <c r="AF1844" s="154"/>
    </row>
    <row r="1845" spans="1:32" x14ac:dyDescent="0.25">
      <c r="A1845" s="196">
        <v>766</v>
      </c>
      <c r="B1845" s="196" t="s">
        <v>8659</v>
      </c>
      <c r="C1845" s="196" t="s">
        <v>8660</v>
      </c>
      <c r="D1845" s="196" t="s">
        <v>2971</v>
      </c>
      <c r="E1845" s="196" t="s">
        <v>2922</v>
      </c>
      <c r="F1845" s="196">
        <v>2004</v>
      </c>
      <c r="H1845" s="196" t="s">
        <v>1878</v>
      </c>
      <c r="I1845" s="184" t="s">
        <v>1879</v>
      </c>
      <c r="K1845" s="196" t="s">
        <v>1881</v>
      </c>
      <c r="L1845" s="184" t="s">
        <v>8661</v>
      </c>
      <c r="M1845" s="196">
        <v>160</v>
      </c>
      <c r="O1845" s="196" t="s">
        <v>6846</v>
      </c>
      <c r="P1845" s="17">
        <v>259</v>
      </c>
      <c r="Q1845" s="175">
        <f t="shared" si="131"/>
        <v>2.9103999999999997</v>
      </c>
      <c r="S1845" s="199">
        <v>2.25</v>
      </c>
      <c r="T1845" s="149">
        <v>0.13</v>
      </c>
      <c r="U1845" s="149" t="str">
        <f t="shared" si="130"/>
        <v>1,90</v>
      </c>
      <c r="V1845" s="149">
        <f t="shared" si="125"/>
        <v>0.33999999999999997</v>
      </c>
      <c r="W1845" s="149">
        <v>0.35</v>
      </c>
      <c r="X1845" s="152">
        <f t="shared" si="126"/>
        <v>0.19039999999999999</v>
      </c>
      <c r="Y1845" s="150">
        <f t="shared" si="129"/>
        <v>1.2428319999999999</v>
      </c>
      <c r="Z1845" s="152">
        <f t="shared" si="127"/>
        <v>2.25</v>
      </c>
      <c r="AA1845" s="150">
        <f t="shared" si="128"/>
        <v>2.9103999999999997</v>
      </c>
      <c r="AB1845" s="150"/>
      <c r="AC1845" s="154"/>
      <c r="AD1845" s="154"/>
      <c r="AE1845" s="154"/>
      <c r="AF1845" s="154"/>
    </row>
    <row r="1846" spans="1:32" x14ac:dyDescent="0.25">
      <c r="A1846" s="196">
        <v>726</v>
      </c>
      <c r="B1846" s="196" t="s">
        <v>8662</v>
      </c>
      <c r="C1846" s="196" t="s">
        <v>8663</v>
      </c>
      <c r="D1846" s="196" t="s">
        <v>2054</v>
      </c>
      <c r="F1846" s="196">
        <v>2006</v>
      </c>
      <c r="H1846" s="196" t="s">
        <v>1878</v>
      </c>
      <c r="I1846" s="184" t="s">
        <v>7527</v>
      </c>
      <c r="K1846" s="196" t="s">
        <v>1881</v>
      </c>
      <c r="L1846" s="184" t="s">
        <v>8664</v>
      </c>
      <c r="M1846" s="196">
        <v>480</v>
      </c>
      <c r="O1846" s="196" t="s">
        <v>6847</v>
      </c>
      <c r="P1846" s="17">
        <v>467</v>
      </c>
      <c r="Q1846" s="175">
        <f t="shared" si="131"/>
        <v>2.9103999999999997</v>
      </c>
      <c r="S1846" s="199">
        <v>2.35</v>
      </c>
      <c r="T1846" s="149">
        <v>0.13</v>
      </c>
      <c r="U1846" s="149" t="str">
        <f t="shared" si="130"/>
        <v>1,90</v>
      </c>
      <c r="V1846" s="149">
        <f t="shared" si="125"/>
        <v>0.33999999999999997</v>
      </c>
      <c r="W1846" s="149">
        <v>0.35</v>
      </c>
      <c r="X1846" s="152">
        <f t="shared" si="126"/>
        <v>0.19039999999999999</v>
      </c>
      <c r="Y1846" s="150">
        <f t="shared" si="129"/>
        <v>1.2428319999999999</v>
      </c>
      <c r="Z1846" s="152">
        <f t="shared" si="127"/>
        <v>2.35</v>
      </c>
      <c r="AA1846" s="150">
        <f t="shared" si="128"/>
        <v>2.9103999999999997</v>
      </c>
      <c r="AB1846" s="150"/>
      <c r="AC1846" s="154"/>
      <c r="AD1846" s="154"/>
      <c r="AE1846" s="154"/>
      <c r="AF1846" s="154"/>
    </row>
    <row r="1847" spans="1:32" x14ac:dyDescent="0.25">
      <c r="A1847" s="196">
        <v>2522</v>
      </c>
      <c r="B1847" s="196" t="s">
        <v>8665</v>
      </c>
      <c r="C1847" s="196" t="s">
        <v>8666</v>
      </c>
      <c r="D1847" s="196" t="s">
        <v>2300</v>
      </c>
      <c r="E1847" s="196" t="s">
        <v>1921</v>
      </c>
      <c r="F1847" s="196">
        <v>2014</v>
      </c>
      <c r="H1847" s="196" t="s">
        <v>1878</v>
      </c>
      <c r="I1847" s="184" t="s">
        <v>1879</v>
      </c>
      <c r="J1847" s="52" t="s">
        <v>3854</v>
      </c>
      <c r="K1847" s="196" t="s">
        <v>1881</v>
      </c>
      <c r="L1847" s="184" t="s">
        <v>8667</v>
      </c>
      <c r="M1847" s="196">
        <v>368</v>
      </c>
      <c r="O1847" s="196" t="s">
        <v>6848</v>
      </c>
      <c r="P1847" s="17">
        <v>372</v>
      </c>
      <c r="Q1847" s="175">
        <f t="shared" si="131"/>
        <v>2.9103999999999997</v>
      </c>
      <c r="S1847" s="199">
        <v>1.7</v>
      </c>
      <c r="T1847" s="149">
        <v>0.13</v>
      </c>
      <c r="U1847" s="149" t="str">
        <f t="shared" si="130"/>
        <v>1,90</v>
      </c>
      <c r="V1847" s="149">
        <f t="shared" si="125"/>
        <v>0.33999999999999997</v>
      </c>
      <c r="W1847" s="149">
        <v>0.35</v>
      </c>
      <c r="X1847" s="152">
        <f t="shared" si="126"/>
        <v>0.19039999999999999</v>
      </c>
      <c r="Y1847" s="150">
        <f t="shared" si="129"/>
        <v>1.2428319999999999</v>
      </c>
      <c r="Z1847" s="152">
        <f t="shared" si="127"/>
        <v>1.7</v>
      </c>
      <c r="AA1847" s="150">
        <f t="shared" si="128"/>
        <v>2.9103999999999997</v>
      </c>
      <c r="AB1847" s="150"/>
      <c r="AC1847" s="154"/>
      <c r="AD1847" s="154"/>
      <c r="AE1847" s="154"/>
      <c r="AF1847" s="154"/>
    </row>
    <row r="1848" spans="1:32" x14ac:dyDescent="0.25">
      <c r="A1848" s="196">
        <v>632</v>
      </c>
      <c r="B1848" s="196" t="s">
        <v>2467</v>
      </c>
      <c r="C1848" s="196" t="s">
        <v>8668</v>
      </c>
      <c r="D1848" s="196" t="s">
        <v>2054</v>
      </c>
      <c r="F1848" s="196">
        <v>2005</v>
      </c>
      <c r="H1848" s="196" t="s">
        <v>1878</v>
      </c>
      <c r="I1848" s="184" t="s">
        <v>1914</v>
      </c>
      <c r="K1848" s="196" t="s">
        <v>1881</v>
      </c>
      <c r="L1848" s="184" t="s">
        <v>8669</v>
      </c>
      <c r="M1848" s="196">
        <v>1248</v>
      </c>
      <c r="O1848" s="196" t="s">
        <v>6849</v>
      </c>
      <c r="P1848" s="17">
        <v>747</v>
      </c>
      <c r="Q1848" s="175">
        <f t="shared" si="131"/>
        <v>3.2313999999999998</v>
      </c>
      <c r="S1848" s="199">
        <v>3.09</v>
      </c>
      <c r="T1848" s="149">
        <v>0.13</v>
      </c>
      <c r="U1848" s="149" t="str">
        <f t="shared" si="130"/>
        <v>2,20</v>
      </c>
      <c r="V1848" s="149">
        <f t="shared" si="125"/>
        <v>0.33999999999999997</v>
      </c>
      <c r="W1848" s="149">
        <v>0.35</v>
      </c>
      <c r="X1848" s="152">
        <f t="shared" si="126"/>
        <v>0.2114</v>
      </c>
      <c r="Y1848" s="150">
        <f t="shared" si="129"/>
        <v>1.2685119999999999</v>
      </c>
      <c r="Z1848" s="152">
        <f t="shared" si="127"/>
        <v>3.09</v>
      </c>
      <c r="AA1848" s="150">
        <f t="shared" si="128"/>
        <v>3.2313999999999998</v>
      </c>
      <c r="AB1848" s="150"/>
      <c r="AC1848" s="154"/>
      <c r="AD1848" s="154"/>
      <c r="AE1848" s="154"/>
      <c r="AF1848" s="154"/>
    </row>
    <row r="1849" spans="1:32" x14ac:dyDescent="0.25">
      <c r="A1849" s="196">
        <v>1396</v>
      </c>
      <c r="B1849" s="196" t="s">
        <v>8670</v>
      </c>
      <c r="C1849" s="196" t="s">
        <v>8671</v>
      </c>
      <c r="D1849" s="196" t="s">
        <v>2386</v>
      </c>
      <c r="F1849" s="196">
        <v>1987</v>
      </c>
      <c r="H1849" s="196" t="s">
        <v>2734</v>
      </c>
      <c r="I1849" s="184" t="s">
        <v>1879</v>
      </c>
      <c r="K1849" s="196" t="s">
        <v>1881</v>
      </c>
      <c r="M1849" s="196">
        <v>482</v>
      </c>
      <c r="O1849" s="196" t="s">
        <v>6850</v>
      </c>
      <c r="P1849" s="17">
        <v>601</v>
      </c>
      <c r="Q1849" s="175">
        <f t="shared" si="131"/>
        <v>3.2313999999999998</v>
      </c>
      <c r="S1849" s="199">
        <v>1.4</v>
      </c>
      <c r="T1849" s="149">
        <v>0.13</v>
      </c>
      <c r="U1849" s="149" t="str">
        <f t="shared" si="130"/>
        <v>2,20</v>
      </c>
      <c r="V1849" s="149">
        <f t="shared" si="125"/>
        <v>0.33999999999999997</v>
      </c>
      <c r="W1849" s="149">
        <v>0.35</v>
      </c>
      <c r="X1849" s="152">
        <f t="shared" si="126"/>
        <v>0.2114</v>
      </c>
      <c r="Y1849" s="150">
        <f t="shared" si="129"/>
        <v>1.2685119999999999</v>
      </c>
      <c r="Z1849" s="152">
        <f t="shared" si="127"/>
        <v>1.4</v>
      </c>
      <c r="AA1849" s="150">
        <f t="shared" si="128"/>
        <v>3.2313999999999998</v>
      </c>
      <c r="AB1849" s="150"/>
      <c r="AC1849" s="154"/>
      <c r="AD1849" s="154"/>
      <c r="AE1849" s="154"/>
      <c r="AF1849" s="154"/>
    </row>
    <row r="1850" spans="1:32" x14ac:dyDescent="0.25">
      <c r="A1850" s="196">
        <v>792</v>
      </c>
      <c r="B1850" s="196" t="s">
        <v>8672</v>
      </c>
      <c r="C1850" s="196" t="s">
        <v>8674</v>
      </c>
      <c r="D1850" s="196" t="s">
        <v>2007</v>
      </c>
      <c r="F1850" s="196">
        <v>2017</v>
      </c>
      <c r="H1850" s="196" t="s">
        <v>1878</v>
      </c>
      <c r="I1850" s="184" t="s">
        <v>1929</v>
      </c>
      <c r="K1850" s="196" t="s">
        <v>1881</v>
      </c>
      <c r="L1850" s="184" t="s">
        <v>8673</v>
      </c>
      <c r="M1850" s="196">
        <v>146</v>
      </c>
      <c r="O1850" s="196" t="s">
        <v>6851</v>
      </c>
      <c r="P1850" s="17">
        <v>211</v>
      </c>
      <c r="Q1850" s="175">
        <f t="shared" si="131"/>
        <v>2.9103999999999997</v>
      </c>
      <c r="S1850" s="199">
        <v>2.2000000000000002</v>
      </c>
      <c r="T1850" s="149">
        <v>0.13</v>
      </c>
      <c r="U1850" s="149" t="str">
        <f t="shared" si="130"/>
        <v>1,90</v>
      </c>
      <c r="V1850" s="149">
        <f t="shared" si="125"/>
        <v>0.33999999999999997</v>
      </c>
      <c r="W1850" s="149">
        <v>0.35</v>
      </c>
      <c r="X1850" s="152">
        <f t="shared" si="126"/>
        <v>0.19039999999999999</v>
      </c>
      <c r="Y1850" s="150">
        <f t="shared" si="129"/>
        <v>1.2428319999999999</v>
      </c>
      <c r="Z1850" s="152">
        <f t="shared" si="127"/>
        <v>2.2000000000000002</v>
      </c>
      <c r="AA1850" s="150">
        <f t="shared" si="128"/>
        <v>2.9103999999999997</v>
      </c>
      <c r="AB1850" s="150"/>
      <c r="AC1850" s="154"/>
      <c r="AD1850" s="154"/>
      <c r="AE1850" s="154"/>
      <c r="AF1850" s="154"/>
    </row>
    <row r="1851" spans="1:32" x14ac:dyDescent="0.25">
      <c r="A1851" s="196">
        <v>2910</v>
      </c>
      <c r="B1851" s="196" t="s">
        <v>6544</v>
      </c>
      <c r="C1851" s="196" t="s">
        <v>8675</v>
      </c>
      <c r="D1851" s="196" t="s">
        <v>6546</v>
      </c>
      <c r="F1851" s="196">
        <v>2011</v>
      </c>
      <c r="H1851" s="196" t="s">
        <v>1878</v>
      </c>
      <c r="I1851" s="184" t="s">
        <v>1879</v>
      </c>
      <c r="K1851" s="196" t="s">
        <v>1881</v>
      </c>
      <c r="L1851" s="184" t="s">
        <v>8676</v>
      </c>
      <c r="M1851" s="196">
        <v>104</v>
      </c>
      <c r="O1851" s="196" t="s">
        <v>6852</v>
      </c>
      <c r="P1851" s="17">
        <v>313</v>
      </c>
      <c r="Q1851" s="175">
        <f t="shared" si="131"/>
        <v>4.7</v>
      </c>
      <c r="S1851" s="199">
        <v>4.7</v>
      </c>
      <c r="T1851" s="149">
        <v>0.13</v>
      </c>
      <c r="U1851" s="149" t="str">
        <f t="shared" si="130"/>
        <v>1,90</v>
      </c>
      <c r="V1851" s="149">
        <f t="shared" si="125"/>
        <v>0.33999999999999997</v>
      </c>
      <c r="W1851" s="149">
        <v>0.35</v>
      </c>
      <c r="X1851" s="152">
        <f t="shared" si="126"/>
        <v>0.19039999999999999</v>
      </c>
      <c r="Y1851" s="150">
        <f t="shared" si="129"/>
        <v>1.3860000000000001</v>
      </c>
      <c r="Z1851" s="152">
        <f t="shared" si="127"/>
        <v>4.7</v>
      </c>
      <c r="AA1851" s="150">
        <f t="shared" si="128"/>
        <v>2.9103999999999997</v>
      </c>
      <c r="AB1851" s="150"/>
      <c r="AC1851" s="154"/>
      <c r="AD1851" s="154"/>
      <c r="AE1851" s="154"/>
      <c r="AF1851" s="154"/>
    </row>
    <row r="1852" spans="1:32" x14ac:dyDescent="0.25">
      <c r="A1852" s="196">
        <v>612</v>
      </c>
      <c r="B1852" s="196" t="s">
        <v>8677</v>
      </c>
      <c r="C1852" s="196" t="s">
        <v>8678</v>
      </c>
      <c r="D1852" s="196" t="s">
        <v>8679</v>
      </c>
      <c r="F1852" s="196">
        <v>2016</v>
      </c>
      <c r="H1852" s="196" t="s">
        <v>2734</v>
      </c>
      <c r="I1852" s="184" t="s">
        <v>1929</v>
      </c>
      <c r="K1852" s="196" t="s">
        <v>1881</v>
      </c>
      <c r="L1852" s="184" t="s">
        <v>8680</v>
      </c>
      <c r="M1852" s="196">
        <v>418</v>
      </c>
      <c r="O1852" s="196" t="s">
        <v>6853</v>
      </c>
      <c r="P1852" s="17">
        <v>1207</v>
      </c>
      <c r="Q1852" s="175">
        <f t="shared" si="131"/>
        <v>8.7799999999999994</v>
      </c>
      <c r="S1852" s="199">
        <f>4.88+3.9</f>
        <v>8.7799999999999994</v>
      </c>
      <c r="T1852" s="149">
        <v>0.13</v>
      </c>
      <c r="U1852" s="149" t="str">
        <f t="shared" si="130"/>
        <v>2,20</v>
      </c>
      <c r="V1852" s="149">
        <f t="shared" si="125"/>
        <v>0.33999999999999997</v>
      </c>
      <c r="W1852" s="149">
        <v>0.35</v>
      </c>
      <c r="X1852" s="152">
        <f t="shared" si="126"/>
        <v>0.2114</v>
      </c>
      <c r="Y1852" s="150">
        <f t="shared" si="129"/>
        <v>1.7123999999999999</v>
      </c>
      <c r="Z1852" s="152">
        <f t="shared" si="127"/>
        <v>8.7799999999999994</v>
      </c>
      <c r="AA1852" s="150">
        <f t="shared" si="128"/>
        <v>3.2313999999999998</v>
      </c>
      <c r="AB1852" s="150"/>
      <c r="AC1852" s="154"/>
      <c r="AD1852" s="154"/>
      <c r="AE1852" s="154"/>
      <c r="AF1852" s="154"/>
    </row>
    <row r="1853" spans="1:32" x14ac:dyDescent="0.25">
      <c r="A1853" s="196">
        <v>1327</v>
      </c>
      <c r="B1853" s="196" t="s">
        <v>8681</v>
      </c>
      <c r="C1853" s="196" t="s">
        <v>8682</v>
      </c>
      <c r="D1853" s="196" t="s">
        <v>2394</v>
      </c>
      <c r="E1853" s="196" t="s">
        <v>1913</v>
      </c>
      <c r="F1853" s="196">
        <v>2014</v>
      </c>
      <c r="H1853" s="196" t="s">
        <v>2734</v>
      </c>
      <c r="I1853" s="184" t="s">
        <v>1929</v>
      </c>
      <c r="K1853" s="196" t="s">
        <v>1881</v>
      </c>
      <c r="L1853" s="184" t="s">
        <v>8683</v>
      </c>
      <c r="M1853" s="196">
        <v>450</v>
      </c>
      <c r="O1853" s="196" t="s">
        <v>6854</v>
      </c>
      <c r="P1853" s="17">
        <v>645</v>
      </c>
      <c r="Q1853" s="175">
        <f t="shared" si="131"/>
        <v>3.2313999999999998</v>
      </c>
      <c r="S1853" s="199">
        <v>3.2</v>
      </c>
      <c r="T1853" s="149">
        <v>0.13</v>
      </c>
      <c r="U1853" s="149" t="str">
        <f t="shared" si="130"/>
        <v>2,20</v>
      </c>
      <c r="V1853" s="149">
        <f t="shared" si="125"/>
        <v>0.33999999999999997</v>
      </c>
      <c r="W1853" s="149">
        <v>0.35</v>
      </c>
      <c r="X1853" s="152">
        <f t="shared" si="126"/>
        <v>0.2114</v>
      </c>
      <c r="Y1853" s="150">
        <f t="shared" si="129"/>
        <v>1.2685119999999999</v>
      </c>
      <c r="Z1853" s="152">
        <f t="shared" si="127"/>
        <v>3.2</v>
      </c>
      <c r="AA1853" s="150">
        <f t="shared" si="128"/>
        <v>3.2313999999999998</v>
      </c>
      <c r="AB1853" s="150"/>
      <c r="AC1853" s="154"/>
      <c r="AD1853" s="154"/>
      <c r="AE1853" s="154"/>
      <c r="AF1853" s="154"/>
    </row>
    <row r="1854" spans="1:32" x14ac:dyDescent="0.25">
      <c r="A1854" s="196">
        <v>1327</v>
      </c>
      <c r="B1854" s="196" t="s">
        <v>8684</v>
      </c>
      <c r="C1854" s="196" t="s">
        <v>8685</v>
      </c>
      <c r="D1854" s="196" t="s">
        <v>7445</v>
      </c>
      <c r="E1854" s="196" t="s">
        <v>1913</v>
      </c>
      <c r="F1854" s="196">
        <v>2016</v>
      </c>
      <c r="H1854" s="196" t="s">
        <v>2734</v>
      </c>
      <c r="I1854" s="184" t="s">
        <v>1929</v>
      </c>
      <c r="J1854" s="52" t="s">
        <v>3854</v>
      </c>
      <c r="K1854" s="196" t="s">
        <v>1881</v>
      </c>
      <c r="L1854" s="184" t="s">
        <v>8686</v>
      </c>
      <c r="M1854" s="196">
        <v>322</v>
      </c>
      <c r="O1854" s="196" t="s">
        <v>6855</v>
      </c>
      <c r="P1854" s="17">
        <v>546</v>
      </c>
      <c r="Q1854" s="175">
        <f t="shared" si="131"/>
        <v>3.2313999999999998</v>
      </c>
      <c r="S1854" s="199">
        <v>3</v>
      </c>
      <c r="T1854" s="149">
        <v>0.13</v>
      </c>
      <c r="U1854" s="149" t="str">
        <f t="shared" si="130"/>
        <v>2,20</v>
      </c>
      <c r="V1854" s="149">
        <f t="shared" si="125"/>
        <v>0.33999999999999997</v>
      </c>
      <c r="W1854" s="149">
        <v>0.35</v>
      </c>
      <c r="X1854" s="152">
        <f t="shared" si="126"/>
        <v>0.2114</v>
      </c>
      <c r="Y1854" s="150">
        <f t="shared" si="129"/>
        <v>1.2685119999999999</v>
      </c>
      <c r="Z1854" s="152">
        <f t="shared" si="127"/>
        <v>3</v>
      </c>
      <c r="AA1854" s="150">
        <f t="shared" si="128"/>
        <v>3.2313999999999998</v>
      </c>
      <c r="AB1854" s="150"/>
      <c r="AC1854" s="154"/>
      <c r="AD1854" s="154"/>
      <c r="AE1854" s="154"/>
      <c r="AF1854" s="154"/>
    </row>
    <row r="1855" spans="1:32" ht="105.6" x14ac:dyDescent="0.25">
      <c r="A1855" s="196">
        <v>1231</v>
      </c>
      <c r="B1855" s="196" t="s">
        <v>8687</v>
      </c>
      <c r="C1855" s="196" t="s">
        <v>8688</v>
      </c>
      <c r="D1855" s="196" t="s">
        <v>1920</v>
      </c>
      <c r="F1855" s="196">
        <v>2015</v>
      </c>
      <c r="H1855" s="196" t="s">
        <v>2734</v>
      </c>
      <c r="I1855" s="184" t="s">
        <v>1929</v>
      </c>
      <c r="J1855" s="52" t="s">
        <v>8689</v>
      </c>
      <c r="K1855" s="196" t="s">
        <v>1881</v>
      </c>
      <c r="L1855" s="184" t="s">
        <v>8690</v>
      </c>
      <c r="M1855" s="196">
        <v>258</v>
      </c>
      <c r="O1855" s="196" t="s">
        <v>6856</v>
      </c>
      <c r="P1855" s="17">
        <v>438</v>
      </c>
      <c r="Q1855" s="175">
        <f t="shared" si="131"/>
        <v>2.9103999999999997</v>
      </c>
      <c r="S1855" s="199">
        <v>2.9</v>
      </c>
      <c r="T1855" s="149">
        <v>0.13</v>
      </c>
      <c r="U1855" s="149" t="str">
        <f t="shared" si="130"/>
        <v>1,90</v>
      </c>
      <c r="V1855" s="149">
        <f t="shared" si="125"/>
        <v>0.33999999999999997</v>
      </c>
      <c r="W1855" s="149">
        <v>0.35</v>
      </c>
      <c r="X1855" s="152">
        <f t="shared" ref="X1855:X1892" si="132">(T1855+U1855+V1855+W1855)/100*7</f>
        <v>0.19039999999999999</v>
      </c>
      <c r="Y1855" s="150">
        <f t="shared" si="129"/>
        <v>1.2428319999999999</v>
      </c>
      <c r="Z1855" s="152">
        <f t="shared" ref="Z1855:Z1892" si="133">S1855</f>
        <v>2.9</v>
      </c>
      <c r="AA1855" s="150">
        <f t="shared" ref="AA1855:AA1892" si="134">T1855+U1855+V1855+W1855+X1855</f>
        <v>2.9103999999999997</v>
      </c>
      <c r="AB1855" s="150"/>
      <c r="AC1855" s="154"/>
      <c r="AD1855" s="154"/>
      <c r="AE1855" s="154"/>
      <c r="AF1855" s="154"/>
    </row>
    <row r="1856" spans="1:32" x14ac:dyDescent="0.25">
      <c r="A1856" s="196">
        <v>704</v>
      </c>
      <c r="B1856" s="196" t="s">
        <v>8691</v>
      </c>
      <c r="C1856" s="196" t="s">
        <v>8692</v>
      </c>
      <c r="D1856" s="196" t="s">
        <v>8693</v>
      </c>
      <c r="F1856" s="196">
        <v>2012</v>
      </c>
      <c r="H1856" s="196" t="s">
        <v>2734</v>
      </c>
      <c r="I1856" s="184" t="s">
        <v>1929</v>
      </c>
      <c r="K1856" s="196" t="s">
        <v>1881</v>
      </c>
      <c r="L1856" s="184" t="s">
        <v>8694</v>
      </c>
      <c r="M1856" s="196">
        <v>266</v>
      </c>
      <c r="O1856" s="196" t="s">
        <v>6857</v>
      </c>
      <c r="P1856" s="17">
        <v>479</v>
      </c>
      <c r="Q1856" s="175">
        <f t="shared" si="131"/>
        <v>4.08</v>
      </c>
      <c r="S1856" s="199">
        <f>1.38+2.7</f>
        <v>4.08</v>
      </c>
      <c r="T1856" s="149">
        <v>0.13</v>
      </c>
      <c r="U1856" s="149" t="str">
        <f t="shared" si="130"/>
        <v>1,90</v>
      </c>
      <c r="V1856" s="149">
        <f t="shared" si="125"/>
        <v>0.33999999999999997</v>
      </c>
      <c r="W1856" s="149">
        <v>0.35</v>
      </c>
      <c r="X1856" s="152">
        <f t="shared" si="132"/>
        <v>0.19039999999999999</v>
      </c>
      <c r="Y1856" s="150">
        <f t="shared" si="129"/>
        <v>1.3364</v>
      </c>
      <c r="Z1856" s="152">
        <f t="shared" si="133"/>
        <v>4.08</v>
      </c>
      <c r="AA1856" s="150">
        <f t="shared" si="134"/>
        <v>2.9103999999999997</v>
      </c>
      <c r="AB1856" s="150"/>
      <c r="AC1856" s="154"/>
      <c r="AD1856" s="154"/>
      <c r="AE1856" s="154"/>
      <c r="AF1856" s="154"/>
    </row>
    <row r="1857" spans="1:32" x14ac:dyDescent="0.25">
      <c r="A1857" s="196">
        <v>704</v>
      </c>
      <c r="B1857" s="196" t="s">
        <v>8695</v>
      </c>
      <c r="C1857" s="196" t="s">
        <v>8696</v>
      </c>
      <c r="D1857" s="196" t="s">
        <v>8697</v>
      </c>
      <c r="E1857" s="196" t="s">
        <v>1913</v>
      </c>
      <c r="F1857" s="196">
        <v>2009</v>
      </c>
      <c r="H1857" s="196" t="s">
        <v>2734</v>
      </c>
      <c r="I1857" s="184" t="s">
        <v>1929</v>
      </c>
      <c r="K1857" s="196" t="s">
        <v>1881</v>
      </c>
      <c r="L1857" s="184" t="s">
        <v>8698</v>
      </c>
      <c r="M1857" s="196">
        <v>296</v>
      </c>
      <c r="O1857" s="196" t="s">
        <v>6858</v>
      </c>
      <c r="P1857" s="17">
        <v>445</v>
      </c>
      <c r="Q1857" s="175">
        <f t="shared" si="131"/>
        <v>4.25</v>
      </c>
      <c r="S1857" s="199">
        <v>4.25</v>
      </c>
      <c r="T1857" s="149">
        <v>0.13</v>
      </c>
      <c r="U1857" s="149" t="str">
        <f t="shared" si="130"/>
        <v>1,90</v>
      </c>
      <c r="V1857" s="149">
        <f t="shared" si="125"/>
        <v>0.33999999999999997</v>
      </c>
      <c r="W1857" s="149">
        <v>0.35</v>
      </c>
      <c r="X1857" s="152">
        <f t="shared" si="132"/>
        <v>0.19039999999999999</v>
      </c>
      <c r="Y1857" s="150">
        <f t="shared" si="129"/>
        <v>1.35</v>
      </c>
      <c r="Z1857" s="152">
        <f t="shared" si="133"/>
        <v>4.25</v>
      </c>
      <c r="AA1857" s="150">
        <f t="shared" si="134"/>
        <v>2.9103999999999997</v>
      </c>
      <c r="AB1857" s="150"/>
      <c r="AC1857" s="154"/>
      <c r="AD1857" s="154"/>
      <c r="AE1857" s="154"/>
      <c r="AF1857" s="154"/>
    </row>
    <row r="1858" spans="1:32" x14ac:dyDescent="0.25">
      <c r="A1858" s="196">
        <v>481</v>
      </c>
      <c r="C1858" s="196" t="s">
        <v>8699</v>
      </c>
      <c r="D1858" s="196" t="s">
        <v>2007</v>
      </c>
      <c r="F1858" s="196">
        <v>2016</v>
      </c>
      <c r="H1858" s="196" t="s">
        <v>1878</v>
      </c>
      <c r="I1858" s="184" t="s">
        <v>1929</v>
      </c>
      <c r="K1858" s="196" t="s">
        <v>1881</v>
      </c>
      <c r="L1858" s="184" t="s">
        <v>8700</v>
      </c>
      <c r="M1858" s="196">
        <v>224</v>
      </c>
      <c r="O1858" s="196" t="s">
        <v>6859</v>
      </c>
      <c r="P1858" s="17">
        <v>278</v>
      </c>
      <c r="Q1858" s="175">
        <f t="shared" si="131"/>
        <v>2.9103999999999997</v>
      </c>
      <c r="S1858" s="199">
        <v>2.2000000000000002</v>
      </c>
      <c r="T1858" s="149">
        <v>0.13</v>
      </c>
      <c r="U1858" s="149" t="str">
        <f t="shared" si="130"/>
        <v>1,90</v>
      </c>
      <c r="V1858" s="149">
        <f t="shared" si="125"/>
        <v>0.33999999999999997</v>
      </c>
      <c r="W1858" s="149">
        <v>0.35</v>
      </c>
      <c r="X1858" s="152">
        <f t="shared" si="132"/>
        <v>0.19039999999999999</v>
      </c>
      <c r="Y1858" s="150">
        <f t="shared" si="129"/>
        <v>1.2428319999999999</v>
      </c>
      <c r="Z1858" s="152">
        <f t="shared" si="133"/>
        <v>2.2000000000000002</v>
      </c>
      <c r="AA1858" s="150">
        <f t="shared" si="134"/>
        <v>2.9103999999999997</v>
      </c>
      <c r="AB1858" s="150"/>
      <c r="AC1858" s="154"/>
      <c r="AD1858" s="154"/>
      <c r="AE1858" s="154"/>
      <c r="AF1858" s="154"/>
    </row>
    <row r="1859" spans="1:32" x14ac:dyDescent="0.25">
      <c r="A1859" s="196">
        <v>1335</v>
      </c>
      <c r="B1859" s="196" t="s">
        <v>8701</v>
      </c>
      <c r="C1859" s="196" t="s">
        <v>8702</v>
      </c>
      <c r="D1859" s="196" t="s">
        <v>7445</v>
      </c>
      <c r="E1859" s="196" t="s">
        <v>1913</v>
      </c>
      <c r="F1859" s="196">
        <v>2016</v>
      </c>
      <c r="H1859" s="196" t="s">
        <v>1878</v>
      </c>
      <c r="I1859" s="184" t="s">
        <v>1929</v>
      </c>
      <c r="J1859" s="52" t="s">
        <v>3854</v>
      </c>
      <c r="K1859" s="196" t="s">
        <v>1881</v>
      </c>
      <c r="L1859" s="184" t="s">
        <v>8703</v>
      </c>
      <c r="M1859" s="196">
        <v>64</v>
      </c>
      <c r="O1859" s="196" t="s">
        <v>6860</v>
      </c>
      <c r="P1859" s="17">
        <v>105</v>
      </c>
      <c r="Q1859" s="175">
        <f t="shared" si="131"/>
        <v>2.9103999999999997</v>
      </c>
      <c r="S1859" s="199">
        <v>2.2000000000000002</v>
      </c>
      <c r="T1859" s="149">
        <v>0.13</v>
      </c>
      <c r="U1859" s="149" t="str">
        <f t="shared" si="130"/>
        <v>1,90</v>
      </c>
      <c r="V1859" s="149">
        <f t="shared" si="125"/>
        <v>0.33999999999999997</v>
      </c>
      <c r="W1859" s="149">
        <v>0.35</v>
      </c>
      <c r="X1859" s="152">
        <f t="shared" si="132"/>
        <v>0.19039999999999999</v>
      </c>
      <c r="Y1859" s="150">
        <f t="shared" si="129"/>
        <v>1.2428319999999999</v>
      </c>
      <c r="Z1859" s="152">
        <f t="shared" si="133"/>
        <v>2.2000000000000002</v>
      </c>
      <c r="AA1859" s="150">
        <f t="shared" si="134"/>
        <v>2.9103999999999997</v>
      </c>
      <c r="AB1859" s="150"/>
      <c r="AC1859" s="154"/>
      <c r="AD1859" s="154"/>
      <c r="AE1859" s="154"/>
      <c r="AF1859" s="154"/>
    </row>
    <row r="1860" spans="1:32" x14ac:dyDescent="0.25">
      <c r="A1860" s="196">
        <v>2518</v>
      </c>
      <c r="B1860" s="196" t="s">
        <v>8704</v>
      </c>
      <c r="C1860" s="196" t="s">
        <v>8705</v>
      </c>
      <c r="D1860" s="196" t="s">
        <v>2933</v>
      </c>
      <c r="E1860" s="196" t="s">
        <v>1913</v>
      </c>
      <c r="F1860" s="196">
        <v>2014</v>
      </c>
      <c r="H1860" s="196" t="s">
        <v>1878</v>
      </c>
      <c r="I1860" s="184" t="s">
        <v>1929</v>
      </c>
      <c r="J1860" s="52" t="s">
        <v>3854</v>
      </c>
      <c r="K1860" s="196" t="s">
        <v>1881</v>
      </c>
      <c r="L1860" s="184" t="s">
        <v>8706</v>
      </c>
      <c r="M1860" s="196">
        <v>382</v>
      </c>
      <c r="O1860" s="196" t="s">
        <v>6861</v>
      </c>
      <c r="P1860" s="17">
        <v>381</v>
      </c>
      <c r="Q1860" s="175">
        <f t="shared" si="131"/>
        <v>2.9103999999999997</v>
      </c>
      <c r="S1860" s="199">
        <v>2.5099999999999998</v>
      </c>
      <c r="T1860" s="149">
        <v>0.13</v>
      </c>
      <c r="U1860" s="149" t="str">
        <f t="shared" si="130"/>
        <v>1,90</v>
      </c>
      <c r="V1860" s="149">
        <f t="shared" si="125"/>
        <v>0.33999999999999997</v>
      </c>
      <c r="W1860" s="149">
        <v>0.35</v>
      </c>
      <c r="X1860" s="152">
        <f t="shared" si="132"/>
        <v>0.19039999999999999</v>
      </c>
      <c r="Y1860" s="150">
        <f t="shared" si="129"/>
        <v>1.2428319999999999</v>
      </c>
      <c r="Z1860" s="152">
        <f t="shared" si="133"/>
        <v>2.5099999999999998</v>
      </c>
      <c r="AA1860" s="150">
        <f t="shared" si="134"/>
        <v>2.9103999999999997</v>
      </c>
      <c r="AB1860" s="150"/>
      <c r="AC1860" s="154"/>
      <c r="AD1860" s="154"/>
      <c r="AE1860" s="154"/>
      <c r="AF1860" s="154"/>
    </row>
    <row r="1861" spans="1:32" x14ac:dyDescent="0.25">
      <c r="A1861" s="196">
        <v>1327</v>
      </c>
      <c r="B1861" s="196" t="s">
        <v>8707</v>
      </c>
      <c r="C1861" s="196" t="s">
        <v>8708</v>
      </c>
      <c r="D1861" s="196" t="s">
        <v>2300</v>
      </c>
      <c r="E1861" s="196" t="s">
        <v>2014</v>
      </c>
      <c r="F1861" s="196">
        <v>1987</v>
      </c>
      <c r="H1861" s="196" t="s">
        <v>1878</v>
      </c>
      <c r="I1861" s="184" t="s">
        <v>1879</v>
      </c>
      <c r="K1861" s="196" t="s">
        <v>1881</v>
      </c>
      <c r="M1861" s="196">
        <v>106</v>
      </c>
      <c r="O1861" s="196" t="s">
        <v>6862</v>
      </c>
      <c r="P1861" s="17">
        <v>124</v>
      </c>
      <c r="Q1861" s="175">
        <f t="shared" si="131"/>
        <v>2.9103999999999997</v>
      </c>
      <c r="S1861" s="199">
        <v>1.45</v>
      </c>
      <c r="T1861" s="149">
        <v>0.13</v>
      </c>
      <c r="U1861" s="149" t="str">
        <f t="shared" si="130"/>
        <v>1,90</v>
      </c>
      <c r="V1861" s="149">
        <f t="shared" si="125"/>
        <v>0.33999999999999997</v>
      </c>
      <c r="W1861" s="149">
        <v>0.35</v>
      </c>
      <c r="X1861" s="152">
        <f t="shared" si="132"/>
        <v>0.19039999999999999</v>
      </c>
      <c r="Y1861" s="150">
        <f t="shared" si="129"/>
        <v>1.2428319999999999</v>
      </c>
      <c r="Z1861" s="152">
        <f t="shared" si="133"/>
        <v>1.45</v>
      </c>
      <c r="AA1861" s="150">
        <f t="shared" si="134"/>
        <v>2.9103999999999997</v>
      </c>
      <c r="AB1861" s="150"/>
      <c r="AC1861" s="154"/>
      <c r="AD1861" s="154"/>
      <c r="AE1861" s="154"/>
      <c r="AF1861" s="154"/>
    </row>
    <row r="1862" spans="1:32" x14ac:dyDescent="0.25">
      <c r="A1862" s="196">
        <v>1327</v>
      </c>
      <c r="B1862" s="196" t="s">
        <v>8709</v>
      </c>
      <c r="C1862" s="196" t="s">
        <v>8710</v>
      </c>
      <c r="D1862" s="196" t="s">
        <v>2300</v>
      </c>
      <c r="E1862" s="196" t="s">
        <v>2014</v>
      </c>
      <c r="F1862" s="196">
        <v>1987</v>
      </c>
      <c r="H1862" s="196" t="s">
        <v>1878</v>
      </c>
      <c r="I1862" s="184" t="s">
        <v>1879</v>
      </c>
      <c r="K1862" s="196" t="s">
        <v>1881</v>
      </c>
      <c r="M1862" s="196">
        <v>270</v>
      </c>
      <c r="O1862" s="196" t="s">
        <v>6863</v>
      </c>
      <c r="P1862" s="17">
        <v>159</v>
      </c>
      <c r="Q1862" s="175">
        <f t="shared" si="131"/>
        <v>2.9103999999999997</v>
      </c>
      <c r="S1862" s="199">
        <v>2.5</v>
      </c>
      <c r="T1862" s="149">
        <v>0.13</v>
      </c>
      <c r="U1862" s="149" t="str">
        <f t="shared" si="130"/>
        <v>1,90</v>
      </c>
      <c r="V1862" s="149">
        <f t="shared" si="125"/>
        <v>0.33999999999999997</v>
      </c>
      <c r="W1862" s="149">
        <v>0.35</v>
      </c>
      <c r="X1862" s="152">
        <f t="shared" si="132"/>
        <v>0.19039999999999999</v>
      </c>
      <c r="Y1862" s="150">
        <f t="shared" si="129"/>
        <v>1.2428319999999999</v>
      </c>
      <c r="Z1862" s="152">
        <f t="shared" si="133"/>
        <v>2.5</v>
      </c>
      <c r="AA1862" s="150">
        <f t="shared" si="134"/>
        <v>2.9103999999999997</v>
      </c>
      <c r="AB1862" s="150"/>
      <c r="AC1862" s="154"/>
      <c r="AD1862" s="154"/>
      <c r="AE1862" s="154"/>
      <c r="AF1862" s="154"/>
    </row>
    <row r="1863" spans="1:32" x14ac:dyDescent="0.25">
      <c r="A1863" s="196">
        <v>1386</v>
      </c>
      <c r="B1863" s="196" t="s">
        <v>8711</v>
      </c>
      <c r="C1863" s="196" t="s">
        <v>8712</v>
      </c>
      <c r="D1863" s="196" t="s">
        <v>2007</v>
      </c>
      <c r="F1863" s="196">
        <v>2018</v>
      </c>
      <c r="H1863" s="196" t="s">
        <v>2734</v>
      </c>
      <c r="I1863" s="184" t="s">
        <v>1929</v>
      </c>
      <c r="K1863" s="196" t="s">
        <v>1881</v>
      </c>
      <c r="L1863" s="184" t="s">
        <v>8713</v>
      </c>
      <c r="M1863" s="196">
        <v>66</v>
      </c>
      <c r="O1863" s="196" t="s">
        <v>6864</v>
      </c>
      <c r="P1863" s="17">
        <v>89</v>
      </c>
      <c r="Q1863" s="175">
        <f t="shared" si="131"/>
        <v>3.83</v>
      </c>
      <c r="S1863" s="199">
        <v>3.83</v>
      </c>
      <c r="T1863" s="149">
        <v>0.13</v>
      </c>
      <c r="U1863" s="149" t="str">
        <f t="shared" si="130"/>
        <v>1,90</v>
      </c>
      <c r="V1863" s="149">
        <f t="shared" si="125"/>
        <v>0.33999999999999997</v>
      </c>
      <c r="W1863" s="149">
        <v>0.35</v>
      </c>
      <c r="X1863" s="152">
        <f t="shared" si="132"/>
        <v>0.19039999999999999</v>
      </c>
      <c r="Y1863" s="150">
        <f t="shared" si="129"/>
        <v>1.3164</v>
      </c>
      <c r="Z1863" s="152">
        <f t="shared" si="133"/>
        <v>3.83</v>
      </c>
      <c r="AA1863" s="150">
        <f t="shared" si="134"/>
        <v>2.9103999999999997</v>
      </c>
      <c r="AB1863" s="150"/>
      <c r="AC1863" s="154"/>
      <c r="AD1863" s="154"/>
      <c r="AE1863" s="154"/>
      <c r="AF1863" s="154"/>
    </row>
    <row r="1864" spans="1:32" x14ac:dyDescent="0.25">
      <c r="A1864" s="196">
        <v>2644</v>
      </c>
      <c r="C1864" s="196" t="s">
        <v>8714</v>
      </c>
      <c r="D1864" s="196" t="s">
        <v>8715</v>
      </c>
      <c r="E1864" s="196" t="s">
        <v>1913</v>
      </c>
      <c r="F1864" s="196">
        <v>2017</v>
      </c>
      <c r="H1864" s="196" t="s">
        <v>1878</v>
      </c>
      <c r="I1864" s="184" t="s">
        <v>1929</v>
      </c>
      <c r="J1864" s="196" t="s">
        <v>43</v>
      </c>
      <c r="K1864" s="196" t="s">
        <v>1881</v>
      </c>
      <c r="L1864" s="184" t="s">
        <v>8716</v>
      </c>
      <c r="O1864" s="196" t="s">
        <v>6865</v>
      </c>
      <c r="P1864" s="17">
        <v>193</v>
      </c>
      <c r="Q1864" s="175">
        <f t="shared" si="131"/>
        <v>3.83</v>
      </c>
      <c r="S1864" s="199">
        <v>3.83</v>
      </c>
      <c r="T1864" s="149">
        <v>0.13</v>
      </c>
      <c r="U1864" s="149" t="str">
        <f t="shared" si="130"/>
        <v>1,90</v>
      </c>
      <c r="V1864" s="149">
        <f t="shared" si="125"/>
        <v>0.33999999999999997</v>
      </c>
      <c r="W1864" s="149">
        <v>0.35</v>
      </c>
      <c r="X1864" s="152">
        <f t="shared" si="132"/>
        <v>0.19039999999999999</v>
      </c>
      <c r="Y1864" s="150">
        <f t="shared" si="129"/>
        <v>1.3164</v>
      </c>
      <c r="Z1864" s="152">
        <f t="shared" si="133"/>
        <v>3.83</v>
      </c>
      <c r="AA1864" s="150">
        <f t="shared" si="134"/>
        <v>2.9103999999999997</v>
      </c>
      <c r="AB1864" s="150"/>
      <c r="AC1864" s="154"/>
      <c r="AD1864" s="154"/>
      <c r="AE1864" s="154"/>
      <c r="AF1864" s="154"/>
    </row>
    <row r="1865" spans="1:32" x14ac:dyDescent="0.25">
      <c r="A1865" s="196">
        <v>1327</v>
      </c>
      <c r="B1865" s="196" t="s">
        <v>8717</v>
      </c>
      <c r="C1865" s="196" t="s">
        <v>8718</v>
      </c>
      <c r="D1865" s="196" t="s">
        <v>2300</v>
      </c>
      <c r="E1865" s="196" t="s">
        <v>2014</v>
      </c>
      <c r="F1865" s="196">
        <v>1987</v>
      </c>
      <c r="H1865" s="196" t="s">
        <v>1878</v>
      </c>
      <c r="I1865" s="184" t="s">
        <v>1879</v>
      </c>
      <c r="K1865" s="196" t="s">
        <v>1881</v>
      </c>
      <c r="M1865" s="196">
        <v>126</v>
      </c>
      <c r="O1865" s="196" t="s">
        <v>6866</v>
      </c>
      <c r="P1865" s="17">
        <v>80</v>
      </c>
      <c r="Q1865" s="175">
        <f t="shared" si="131"/>
        <v>2.9103999999999997</v>
      </c>
      <c r="S1865" s="199">
        <v>1.7</v>
      </c>
      <c r="T1865" s="149">
        <v>0.13</v>
      </c>
      <c r="U1865" s="149" t="str">
        <f t="shared" si="130"/>
        <v>1,90</v>
      </c>
      <c r="V1865" s="149">
        <f t="shared" si="125"/>
        <v>0.33999999999999997</v>
      </c>
      <c r="W1865" s="149">
        <v>0.35</v>
      </c>
      <c r="X1865" s="152">
        <f t="shared" si="132"/>
        <v>0.19039999999999999</v>
      </c>
      <c r="Y1865" s="150">
        <f t="shared" si="129"/>
        <v>1.2428319999999999</v>
      </c>
      <c r="Z1865" s="152">
        <f t="shared" si="133"/>
        <v>1.7</v>
      </c>
      <c r="AA1865" s="150">
        <f t="shared" si="134"/>
        <v>2.9103999999999997</v>
      </c>
      <c r="AB1865" s="150"/>
      <c r="AC1865" s="154"/>
      <c r="AD1865" s="154"/>
      <c r="AE1865" s="154"/>
      <c r="AF1865" s="154"/>
    </row>
    <row r="1866" spans="1:32" x14ac:dyDescent="0.25">
      <c r="A1866" s="196">
        <v>1327</v>
      </c>
      <c r="B1866" s="196" t="s">
        <v>8719</v>
      </c>
      <c r="C1866" s="196" t="s">
        <v>8720</v>
      </c>
      <c r="D1866" s="196" t="s">
        <v>2300</v>
      </c>
      <c r="E1866" s="196" t="s">
        <v>2014</v>
      </c>
      <c r="F1866" s="196">
        <v>1987</v>
      </c>
      <c r="H1866" s="196" t="s">
        <v>1878</v>
      </c>
      <c r="I1866" s="184" t="s">
        <v>1879</v>
      </c>
      <c r="K1866" s="196" t="s">
        <v>1881</v>
      </c>
      <c r="M1866" s="196">
        <v>254</v>
      </c>
      <c r="O1866" s="196" t="s">
        <v>6867</v>
      </c>
      <c r="P1866" s="17">
        <v>150</v>
      </c>
      <c r="Q1866" s="175">
        <f t="shared" si="131"/>
        <v>2.9103999999999997</v>
      </c>
      <c r="S1866" s="199">
        <v>1.55</v>
      </c>
      <c r="T1866" s="149">
        <v>0.13</v>
      </c>
      <c r="U1866" s="149" t="str">
        <f t="shared" si="130"/>
        <v>1,90</v>
      </c>
      <c r="V1866" s="149">
        <f t="shared" si="125"/>
        <v>0.33999999999999997</v>
      </c>
      <c r="W1866" s="149">
        <v>0.35</v>
      </c>
      <c r="X1866" s="152">
        <f t="shared" si="132"/>
        <v>0.19039999999999999</v>
      </c>
      <c r="Y1866" s="150">
        <f t="shared" si="129"/>
        <v>1.2428319999999999</v>
      </c>
      <c r="Z1866" s="152">
        <f t="shared" si="133"/>
        <v>1.55</v>
      </c>
      <c r="AA1866" s="150">
        <f t="shared" si="134"/>
        <v>2.9103999999999997</v>
      </c>
      <c r="AB1866" s="150"/>
      <c r="AC1866" s="154"/>
      <c r="AD1866" s="154"/>
      <c r="AE1866" s="154"/>
      <c r="AF1866" s="154"/>
    </row>
    <row r="1867" spans="1:32" x14ac:dyDescent="0.25">
      <c r="A1867" s="196">
        <v>2437</v>
      </c>
      <c r="B1867" s="196" t="s">
        <v>8721</v>
      </c>
      <c r="C1867" s="196" t="s">
        <v>8722</v>
      </c>
      <c r="D1867" s="196" t="s">
        <v>8723</v>
      </c>
      <c r="E1867" s="196" t="s">
        <v>2358</v>
      </c>
      <c r="F1867" s="196">
        <v>1992</v>
      </c>
      <c r="H1867" s="196" t="s">
        <v>1878</v>
      </c>
      <c r="I1867" s="184" t="s">
        <v>1879</v>
      </c>
      <c r="K1867" s="196" t="s">
        <v>1881</v>
      </c>
      <c r="L1867" s="184" t="s">
        <v>8724</v>
      </c>
      <c r="M1867" s="196">
        <v>208</v>
      </c>
      <c r="O1867" s="196" t="s">
        <v>6868</v>
      </c>
      <c r="P1867" s="17">
        <v>304</v>
      </c>
      <c r="Q1867" s="175">
        <f t="shared" si="131"/>
        <v>2.9103999999999997</v>
      </c>
      <c r="S1867" s="199">
        <v>1.65</v>
      </c>
      <c r="T1867" s="149">
        <v>0.13</v>
      </c>
      <c r="U1867" s="149" t="str">
        <f t="shared" si="130"/>
        <v>1,90</v>
      </c>
      <c r="V1867" s="149">
        <f t="shared" si="125"/>
        <v>0.33999999999999997</v>
      </c>
      <c r="W1867" s="149">
        <v>0.35</v>
      </c>
      <c r="X1867" s="152">
        <f t="shared" si="132"/>
        <v>0.19039999999999999</v>
      </c>
      <c r="Y1867" s="150">
        <f t="shared" si="129"/>
        <v>1.2428319999999999</v>
      </c>
      <c r="Z1867" s="152">
        <f t="shared" si="133"/>
        <v>1.65</v>
      </c>
      <c r="AA1867" s="150">
        <f t="shared" si="134"/>
        <v>2.9103999999999997</v>
      </c>
      <c r="AB1867" s="150"/>
      <c r="AC1867" s="154"/>
      <c r="AD1867" s="154"/>
      <c r="AE1867" s="154"/>
      <c r="AF1867" s="154"/>
    </row>
    <row r="1868" spans="1:32" x14ac:dyDescent="0.25">
      <c r="A1868" s="196">
        <v>1327</v>
      </c>
      <c r="B1868" s="196" t="s">
        <v>8725</v>
      </c>
      <c r="C1868" s="196" t="s">
        <v>8726</v>
      </c>
      <c r="D1868" s="196" t="s">
        <v>2300</v>
      </c>
      <c r="E1868" s="196" t="s">
        <v>2014</v>
      </c>
      <c r="F1868" s="196">
        <v>1987</v>
      </c>
      <c r="H1868" s="196" t="s">
        <v>1878</v>
      </c>
      <c r="I1868" s="184" t="s">
        <v>1879</v>
      </c>
      <c r="K1868" s="196" t="s">
        <v>1881</v>
      </c>
      <c r="M1868" s="196">
        <v>160</v>
      </c>
      <c r="O1868" s="196" t="s">
        <v>6869</v>
      </c>
      <c r="P1868" s="17">
        <v>97</v>
      </c>
      <c r="Q1868" s="175">
        <f t="shared" si="131"/>
        <v>4.3499999999999996</v>
      </c>
      <c r="S1868" s="199">
        <f>2.4+1.95</f>
        <v>4.3499999999999996</v>
      </c>
      <c r="T1868" s="149">
        <v>0.13</v>
      </c>
      <c r="U1868" s="149" t="str">
        <f t="shared" si="130"/>
        <v>1,90</v>
      </c>
      <c r="V1868" s="149">
        <f t="shared" si="125"/>
        <v>0.33999999999999997</v>
      </c>
      <c r="W1868" s="149">
        <v>0.35</v>
      </c>
      <c r="X1868" s="152">
        <f t="shared" si="132"/>
        <v>0.19039999999999999</v>
      </c>
      <c r="Y1868" s="150">
        <f t="shared" si="129"/>
        <v>1.3580000000000001</v>
      </c>
      <c r="Z1868" s="152">
        <f t="shared" si="133"/>
        <v>4.3499999999999996</v>
      </c>
      <c r="AA1868" s="150">
        <f t="shared" si="134"/>
        <v>2.9103999999999997</v>
      </c>
      <c r="AB1868" s="150"/>
      <c r="AC1868" s="154"/>
      <c r="AD1868" s="154"/>
      <c r="AE1868" s="154"/>
      <c r="AF1868" s="154"/>
    </row>
    <row r="1869" spans="1:32" x14ac:dyDescent="0.25">
      <c r="A1869" s="196">
        <v>606</v>
      </c>
      <c r="B1869" s="196" t="s">
        <v>8727</v>
      </c>
      <c r="C1869" s="196" t="s">
        <v>8728</v>
      </c>
      <c r="D1869" s="196" t="s">
        <v>8729</v>
      </c>
      <c r="F1869" s="196">
        <v>2016</v>
      </c>
      <c r="H1869" s="196" t="s">
        <v>2734</v>
      </c>
      <c r="I1869" s="184" t="s">
        <v>1929</v>
      </c>
      <c r="K1869" s="196" t="s">
        <v>1881</v>
      </c>
      <c r="L1869" s="184" t="s">
        <v>8730</v>
      </c>
      <c r="M1869" s="196">
        <v>272</v>
      </c>
      <c r="O1869" s="196" t="s">
        <v>6870</v>
      </c>
      <c r="P1869" s="17">
        <v>708</v>
      </c>
      <c r="Q1869" s="175">
        <f t="shared" si="131"/>
        <v>10</v>
      </c>
      <c r="S1869" s="199">
        <v>10</v>
      </c>
      <c r="T1869" s="149">
        <v>0.13</v>
      </c>
      <c r="U1869" s="149" t="str">
        <f t="shared" si="130"/>
        <v>2,20</v>
      </c>
      <c r="V1869" s="149">
        <f t="shared" si="125"/>
        <v>0.33999999999999997</v>
      </c>
      <c r="W1869" s="149">
        <v>0.35</v>
      </c>
      <c r="X1869" s="152">
        <f t="shared" si="132"/>
        <v>0.2114</v>
      </c>
      <c r="Y1869" s="150">
        <f t="shared" si="129"/>
        <v>1.81</v>
      </c>
      <c r="Z1869" s="152">
        <f t="shared" si="133"/>
        <v>10</v>
      </c>
      <c r="AA1869" s="150">
        <f t="shared" si="134"/>
        <v>3.2313999999999998</v>
      </c>
      <c r="AB1869" s="150"/>
      <c r="AC1869" s="154"/>
      <c r="AD1869" s="154"/>
      <c r="AE1869" s="154"/>
      <c r="AF1869" s="154"/>
    </row>
    <row r="1870" spans="1:32" x14ac:dyDescent="0.25">
      <c r="A1870" s="196">
        <v>1030</v>
      </c>
      <c r="B1870" s="196" t="s">
        <v>8731</v>
      </c>
      <c r="C1870" s="196" t="s">
        <v>8732</v>
      </c>
      <c r="D1870" s="196" t="s">
        <v>8733</v>
      </c>
      <c r="F1870" s="196">
        <v>1988</v>
      </c>
      <c r="H1870" s="196" t="s">
        <v>1878</v>
      </c>
      <c r="I1870" s="184" t="s">
        <v>1879</v>
      </c>
      <c r="K1870" s="196" t="s">
        <v>1881</v>
      </c>
      <c r="L1870" s="184" t="s">
        <v>8734</v>
      </c>
      <c r="M1870" s="196">
        <v>148</v>
      </c>
      <c r="O1870" s="196" t="s">
        <v>6871</v>
      </c>
      <c r="P1870" s="17">
        <v>163</v>
      </c>
      <c r="Q1870" s="175">
        <f t="shared" si="131"/>
        <v>2.9103999999999997</v>
      </c>
      <c r="S1870" s="199">
        <v>2.0299999999999998</v>
      </c>
      <c r="T1870" s="149">
        <v>0.13</v>
      </c>
      <c r="U1870" s="149" t="str">
        <f t="shared" si="130"/>
        <v>1,90</v>
      </c>
      <c r="V1870" s="149">
        <f t="shared" si="125"/>
        <v>0.33999999999999997</v>
      </c>
      <c r="W1870" s="149">
        <v>0.35</v>
      </c>
      <c r="X1870" s="152">
        <f t="shared" si="132"/>
        <v>0.19039999999999999</v>
      </c>
      <c r="Y1870" s="150">
        <f t="shared" si="129"/>
        <v>1.2428319999999999</v>
      </c>
      <c r="Z1870" s="152">
        <f t="shared" si="133"/>
        <v>2.0299999999999998</v>
      </c>
      <c r="AA1870" s="150">
        <f t="shared" si="134"/>
        <v>2.9103999999999997</v>
      </c>
      <c r="AB1870" s="150"/>
      <c r="AC1870" s="154"/>
      <c r="AD1870" s="154"/>
      <c r="AE1870" s="154"/>
      <c r="AF1870" s="154"/>
    </row>
    <row r="1871" spans="1:32" x14ac:dyDescent="0.25">
      <c r="A1871" s="196">
        <v>767</v>
      </c>
      <c r="B1871" s="196" t="s">
        <v>8735</v>
      </c>
      <c r="C1871" s="196" t="s">
        <v>8736</v>
      </c>
      <c r="D1871" s="196" t="s">
        <v>5005</v>
      </c>
      <c r="E1871" s="196" t="s">
        <v>1921</v>
      </c>
      <c r="F1871" s="196">
        <v>2007</v>
      </c>
      <c r="H1871" s="196" t="s">
        <v>2734</v>
      </c>
      <c r="I1871" s="184" t="s">
        <v>1879</v>
      </c>
      <c r="K1871" s="196" t="s">
        <v>1881</v>
      </c>
      <c r="M1871" s="196">
        <v>306</v>
      </c>
      <c r="O1871" s="196" t="s">
        <v>6872</v>
      </c>
      <c r="P1871" s="17">
        <v>485</v>
      </c>
      <c r="Q1871" s="175">
        <f t="shared" si="131"/>
        <v>7.3</v>
      </c>
      <c r="S1871" s="199">
        <v>7.3</v>
      </c>
      <c r="T1871" s="149">
        <v>0.13</v>
      </c>
      <c r="U1871" s="149" t="str">
        <f t="shared" si="130"/>
        <v>1,90</v>
      </c>
      <c r="V1871" s="149">
        <f t="shared" si="125"/>
        <v>0.33999999999999997</v>
      </c>
      <c r="W1871" s="149">
        <v>0.35</v>
      </c>
      <c r="X1871" s="152">
        <f t="shared" si="132"/>
        <v>0.19039999999999999</v>
      </c>
      <c r="Y1871" s="150">
        <f t="shared" si="129"/>
        <v>1.5939999999999999</v>
      </c>
      <c r="Z1871" s="152">
        <f t="shared" si="133"/>
        <v>7.3</v>
      </c>
      <c r="AA1871" s="150">
        <f t="shared" si="134"/>
        <v>2.9103999999999997</v>
      </c>
      <c r="AB1871" s="150"/>
      <c r="AC1871" s="154"/>
      <c r="AD1871" s="154"/>
      <c r="AE1871" s="154"/>
      <c r="AF1871" s="154"/>
    </row>
    <row r="1872" spans="1:32" x14ac:dyDescent="0.25">
      <c r="A1872" s="196">
        <v>796</v>
      </c>
      <c r="B1872" s="196" t="s">
        <v>8737</v>
      </c>
      <c r="C1872" s="196" t="s">
        <v>8738</v>
      </c>
      <c r="D1872" s="196" t="s">
        <v>2054</v>
      </c>
      <c r="F1872" s="196">
        <v>2006</v>
      </c>
      <c r="H1872" s="196" t="s">
        <v>1878</v>
      </c>
      <c r="I1872" s="184" t="s">
        <v>1879</v>
      </c>
      <c r="K1872" s="196" t="s">
        <v>1881</v>
      </c>
      <c r="L1872" s="184" t="s">
        <v>8739</v>
      </c>
      <c r="M1872" s="196">
        <v>448</v>
      </c>
      <c r="O1872" s="196" t="s">
        <v>6873</v>
      </c>
      <c r="P1872" s="17">
        <v>332</v>
      </c>
      <c r="Q1872" s="175">
        <f t="shared" si="131"/>
        <v>2.9103999999999997</v>
      </c>
      <c r="S1872" s="199">
        <v>1.24</v>
      </c>
      <c r="T1872" s="149">
        <v>0.13</v>
      </c>
      <c r="U1872" s="149" t="str">
        <f t="shared" si="130"/>
        <v>1,90</v>
      </c>
      <c r="V1872" s="149">
        <f t="shared" si="125"/>
        <v>0.33999999999999997</v>
      </c>
      <c r="W1872" s="149">
        <v>0.35</v>
      </c>
      <c r="X1872" s="152">
        <f t="shared" si="132"/>
        <v>0.19039999999999999</v>
      </c>
      <c r="Y1872" s="150">
        <f t="shared" si="129"/>
        <v>1.2428319999999999</v>
      </c>
      <c r="Z1872" s="152">
        <f t="shared" si="133"/>
        <v>1.24</v>
      </c>
      <c r="AA1872" s="150">
        <f t="shared" si="134"/>
        <v>2.9103999999999997</v>
      </c>
      <c r="AB1872" s="150"/>
      <c r="AC1872" s="154"/>
      <c r="AD1872" s="154"/>
      <c r="AE1872" s="154"/>
      <c r="AF1872" s="154"/>
    </row>
    <row r="1873" spans="1:32" x14ac:dyDescent="0.25">
      <c r="A1873" s="196">
        <v>2522</v>
      </c>
      <c r="B1873" s="196" t="s">
        <v>8245</v>
      </c>
      <c r="C1873" s="196" t="s">
        <v>8740</v>
      </c>
      <c r="D1873" s="196" t="s">
        <v>2054</v>
      </c>
      <c r="F1873" s="196">
        <v>2006</v>
      </c>
      <c r="H1873" s="196" t="s">
        <v>4297</v>
      </c>
      <c r="I1873" s="184" t="s">
        <v>1879</v>
      </c>
      <c r="K1873" s="196" t="s">
        <v>1881</v>
      </c>
      <c r="L1873" s="184" t="s">
        <v>8741</v>
      </c>
      <c r="M1873" s="196">
        <v>530</v>
      </c>
      <c r="O1873" s="196" t="s">
        <v>6874</v>
      </c>
      <c r="P1873" s="17">
        <v>577</v>
      </c>
      <c r="Q1873" s="175">
        <f t="shared" si="131"/>
        <v>3.2313999999999998</v>
      </c>
      <c r="S1873" s="199">
        <v>2.2000000000000002</v>
      </c>
      <c r="T1873" s="149">
        <v>0.13</v>
      </c>
      <c r="U1873" s="149" t="str">
        <f t="shared" si="130"/>
        <v>2,20</v>
      </c>
      <c r="V1873" s="149">
        <f t="shared" si="125"/>
        <v>0.33999999999999997</v>
      </c>
      <c r="W1873" s="149">
        <v>0.35</v>
      </c>
      <c r="X1873" s="152">
        <f t="shared" si="132"/>
        <v>0.2114</v>
      </c>
      <c r="Y1873" s="150">
        <f t="shared" si="129"/>
        <v>1.2685119999999999</v>
      </c>
      <c r="Z1873" s="152">
        <f t="shared" si="133"/>
        <v>2.2000000000000002</v>
      </c>
      <c r="AA1873" s="150">
        <f t="shared" si="134"/>
        <v>3.2313999999999998</v>
      </c>
      <c r="AB1873" s="150"/>
      <c r="AC1873" s="154"/>
      <c r="AD1873" s="154"/>
      <c r="AE1873" s="154"/>
      <c r="AF1873" s="154"/>
    </row>
    <row r="1874" spans="1:32" x14ac:dyDescent="0.25">
      <c r="A1874" s="196">
        <v>692</v>
      </c>
      <c r="B1874" s="196" t="s">
        <v>8742</v>
      </c>
      <c r="C1874" s="196" t="s">
        <v>8743</v>
      </c>
      <c r="D1874" s="196" t="s">
        <v>5005</v>
      </c>
      <c r="F1874" s="196">
        <v>2008</v>
      </c>
      <c r="H1874" s="196" t="s">
        <v>1878</v>
      </c>
      <c r="I1874" s="184" t="s">
        <v>1879</v>
      </c>
      <c r="K1874" s="196" t="s">
        <v>1881</v>
      </c>
      <c r="M1874" s="196">
        <v>448</v>
      </c>
      <c r="O1874" s="196" t="s">
        <v>6875</v>
      </c>
      <c r="P1874" s="17">
        <v>328</v>
      </c>
      <c r="Q1874" s="175">
        <f t="shared" si="131"/>
        <v>2.9103999999999997</v>
      </c>
      <c r="S1874" s="199">
        <v>1.65</v>
      </c>
      <c r="T1874" s="149">
        <v>0.13</v>
      </c>
      <c r="U1874" s="149" t="str">
        <f t="shared" si="130"/>
        <v>1,90</v>
      </c>
      <c r="V1874" s="149">
        <f t="shared" si="125"/>
        <v>0.33999999999999997</v>
      </c>
      <c r="W1874" s="149">
        <v>0.35</v>
      </c>
      <c r="X1874" s="152">
        <f t="shared" si="132"/>
        <v>0.19039999999999999</v>
      </c>
      <c r="Y1874" s="150">
        <f t="shared" si="129"/>
        <v>1.2428319999999999</v>
      </c>
      <c r="Z1874" s="152">
        <f t="shared" si="133"/>
        <v>1.65</v>
      </c>
      <c r="AA1874" s="150">
        <f t="shared" si="134"/>
        <v>2.9103999999999997</v>
      </c>
      <c r="AB1874" s="150"/>
      <c r="AC1874" s="154"/>
      <c r="AD1874" s="154"/>
      <c r="AE1874" s="154"/>
      <c r="AF1874" s="154"/>
    </row>
    <row r="1875" spans="1:32" x14ac:dyDescent="0.25">
      <c r="A1875" s="196">
        <v>1809</v>
      </c>
      <c r="B1875" s="196" t="s">
        <v>8744</v>
      </c>
      <c r="C1875" s="196" t="s">
        <v>8745</v>
      </c>
      <c r="D1875" s="196" t="s">
        <v>2822</v>
      </c>
      <c r="E1875" s="196" t="s">
        <v>2175</v>
      </c>
      <c r="F1875" s="196">
        <v>2011</v>
      </c>
      <c r="H1875" s="196" t="s">
        <v>1878</v>
      </c>
      <c r="I1875" s="184" t="s">
        <v>1879</v>
      </c>
      <c r="K1875" s="196" t="s">
        <v>1881</v>
      </c>
      <c r="L1875" s="184" t="s">
        <v>8746</v>
      </c>
      <c r="M1875" s="196">
        <v>416</v>
      </c>
      <c r="O1875" s="196" t="s">
        <v>6876</v>
      </c>
      <c r="P1875" s="17">
        <v>508</v>
      </c>
      <c r="Q1875" s="175">
        <f t="shared" si="131"/>
        <v>3.2313999999999998</v>
      </c>
      <c r="S1875" s="199">
        <f>1.65+0.79</f>
        <v>2.44</v>
      </c>
      <c r="T1875" s="149">
        <v>0.13</v>
      </c>
      <c r="U1875" s="149" t="str">
        <f t="shared" si="130"/>
        <v>2,20</v>
      </c>
      <c r="V1875" s="149">
        <f t="shared" si="125"/>
        <v>0.33999999999999997</v>
      </c>
      <c r="W1875" s="149">
        <v>0.35</v>
      </c>
      <c r="X1875" s="152">
        <f t="shared" si="132"/>
        <v>0.2114</v>
      </c>
      <c r="Y1875" s="150">
        <f t="shared" si="129"/>
        <v>1.2685119999999999</v>
      </c>
      <c r="Z1875" s="152">
        <f t="shared" si="133"/>
        <v>2.44</v>
      </c>
      <c r="AA1875" s="150">
        <f t="shared" si="134"/>
        <v>3.2313999999999998</v>
      </c>
      <c r="AB1875" s="150"/>
      <c r="AC1875" s="154"/>
      <c r="AD1875" s="154"/>
      <c r="AE1875" s="154"/>
      <c r="AF1875" s="154"/>
    </row>
    <row r="1876" spans="1:32" x14ac:dyDescent="0.25">
      <c r="A1876" s="196">
        <v>692</v>
      </c>
      <c r="B1876" s="196" t="s">
        <v>6447</v>
      </c>
      <c r="C1876" s="196" t="s">
        <v>6448</v>
      </c>
      <c r="D1876" s="196" t="s">
        <v>2424</v>
      </c>
      <c r="E1876" s="196" t="s">
        <v>1877</v>
      </c>
      <c r="F1876" s="196">
        <v>2014</v>
      </c>
      <c r="H1876" s="196" t="s">
        <v>1878</v>
      </c>
      <c r="I1876" s="184" t="s">
        <v>1879</v>
      </c>
      <c r="K1876" s="196" t="s">
        <v>1881</v>
      </c>
      <c r="L1876" s="184" t="s">
        <v>6449</v>
      </c>
      <c r="M1876" s="196">
        <v>368</v>
      </c>
      <c r="O1876" s="196" t="s">
        <v>6877</v>
      </c>
      <c r="P1876" s="17">
        <v>465</v>
      </c>
      <c r="Q1876" s="175">
        <f t="shared" si="131"/>
        <v>2.9103999999999997</v>
      </c>
      <c r="S1876" s="199">
        <v>2.0499999999999998</v>
      </c>
      <c r="T1876" s="149">
        <v>0.13</v>
      </c>
      <c r="U1876" s="149" t="str">
        <f t="shared" si="130"/>
        <v>1,90</v>
      </c>
      <c r="V1876" s="149">
        <f t="shared" si="125"/>
        <v>0.33999999999999997</v>
      </c>
      <c r="W1876" s="149">
        <v>0.35</v>
      </c>
      <c r="X1876" s="152">
        <f t="shared" si="132"/>
        <v>0.19039999999999999</v>
      </c>
      <c r="Y1876" s="150">
        <f t="shared" si="129"/>
        <v>1.2428319999999999</v>
      </c>
      <c r="Z1876" s="152">
        <f t="shared" si="133"/>
        <v>2.0499999999999998</v>
      </c>
      <c r="AA1876" s="150">
        <f t="shared" si="134"/>
        <v>2.9103999999999997</v>
      </c>
      <c r="AB1876" s="150"/>
      <c r="AC1876" s="154"/>
      <c r="AD1876" s="154"/>
      <c r="AE1876" s="154"/>
      <c r="AF1876" s="154"/>
    </row>
    <row r="1877" spans="1:32" x14ac:dyDescent="0.25">
      <c r="A1877" s="196">
        <v>1386</v>
      </c>
      <c r="B1877" s="196" t="s">
        <v>8747</v>
      </c>
      <c r="C1877" s="196" t="s">
        <v>8748</v>
      </c>
      <c r="D1877" s="196" t="s">
        <v>2257</v>
      </c>
      <c r="F1877" s="196">
        <v>2011</v>
      </c>
      <c r="H1877" s="196" t="s">
        <v>1878</v>
      </c>
      <c r="I1877" s="184" t="s">
        <v>1879</v>
      </c>
      <c r="K1877" s="196" t="s">
        <v>1881</v>
      </c>
      <c r="L1877" s="184" t="s">
        <v>8749</v>
      </c>
      <c r="M1877" s="196">
        <v>864</v>
      </c>
      <c r="O1877" s="196" t="s">
        <v>6878</v>
      </c>
      <c r="P1877" s="17">
        <v>543</v>
      </c>
      <c r="Q1877" s="175">
        <f t="shared" si="131"/>
        <v>3.2313999999999998</v>
      </c>
      <c r="S1877" s="199">
        <v>2.15</v>
      </c>
      <c r="T1877" s="149">
        <v>0.13</v>
      </c>
      <c r="U1877" s="149" t="str">
        <f t="shared" si="130"/>
        <v>2,20</v>
      </c>
      <c r="V1877" s="149">
        <f t="shared" si="125"/>
        <v>0.33999999999999997</v>
      </c>
      <c r="W1877" s="149">
        <v>0.35</v>
      </c>
      <c r="X1877" s="152">
        <f t="shared" si="132"/>
        <v>0.2114</v>
      </c>
      <c r="Y1877" s="150">
        <f t="shared" si="129"/>
        <v>1.2685119999999999</v>
      </c>
      <c r="Z1877" s="152">
        <f t="shared" si="133"/>
        <v>2.15</v>
      </c>
      <c r="AA1877" s="150">
        <f t="shared" si="134"/>
        <v>3.2313999999999998</v>
      </c>
      <c r="AB1877" s="150"/>
      <c r="AC1877" s="154"/>
      <c r="AD1877" s="154"/>
      <c r="AE1877" s="154"/>
      <c r="AF1877" s="154"/>
    </row>
    <row r="1878" spans="1:32" x14ac:dyDescent="0.25">
      <c r="A1878" s="196">
        <v>1395</v>
      </c>
      <c r="B1878" s="196" t="s">
        <v>8570</v>
      </c>
      <c r="C1878" s="196" t="s">
        <v>8750</v>
      </c>
      <c r="D1878" s="196" t="s">
        <v>2300</v>
      </c>
      <c r="F1878" s="196">
        <v>2012</v>
      </c>
      <c r="H1878" s="196" t="s">
        <v>1878</v>
      </c>
      <c r="I1878" s="184" t="s">
        <v>1879</v>
      </c>
      <c r="K1878" s="196" t="s">
        <v>1881</v>
      </c>
      <c r="L1878" s="184" t="s">
        <v>8751</v>
      </c>
      <c r="M1878" s="196">
        <v>352</v>
      </c>
      <c r="O1878" s="196" t="s">
        <v>6879</v>
      </c>
      <c r="P1878" s="17">
        <v>364</v>
      </c>
      <c r="Q1878" s="175">
        <f t="shared" si="131"/>
        <v>2.9103999999999997</v>
      </c>
      <c r="S1878" s="199">
        <v>1.6</v>
      </c>
      <c r="T1878" s="149">
        <v>0.13</v>
      </c>
      <c r="U1878" s="149" t="str">
        <f t="shared" si="130"/>
        <v>1,90</v>
      </c>
      <c r="V1878" s="149">
        <f t="shared" si="125"/>
        <v>0.33999999999999997</v>
      </c>
      <c r="W1878" s="149">
        <v>0.35</v>
      </c>
      <c r="X1878" s="152">
        <f t="shared" si="132"/>
        <v>0.19039999999999999</v>
      </c>
      <c r="Y1878" s="150">
        <f t="shared" si="129"/>
        <v>1.2428319999999999</v>
      </c>
      <c r="Z1878" s="152">
        <f t="shared" si="133"/>
        <v>1.6</v>
      </c>
      <c r="AA1878" s="150">
        <f t="shared" si="134"/>
        <v>2.9103999999999997</v>
      </c>
      <c r="AB1878" s="150"/>
      <c r="AC1878" s="154"/>
      <c r="AD1878" s="154"/>
      <c r="AE1878" s="154"/>
      <c r="AF1878" s="154"/>
    </row>
    <row r="1879" spans="1:32" x14ac:dyDescent="0.25">
      <c r="A1879" s="196">
        <v>1395</v>
      </c>
      <c r="B1879" s="196" t="s">
        <v>2935</v>
      </c>
      <c r="C1879" s="196" t="s">
        <v>8752</v>
      </c>
      <c r="D1879" s="196" t="s">
        <v>2609</v>
      </c>
      <c r="E1879" s="196" t="s">
        <v>1877</v>
      </c>
      <c r="F1879" s="196">
        <v>2011</v>
      </c>
      <c r="H1879" s="196" t="s">
        <v>1878</v>
      </c>
      <c r="I1879" s="184" t="s">
        <v>1879</v>
      </c>
      <c r="K1879" s="196" t="s">
        <v>1881</v>
      </c>
      <c r="L1879" s="184" t="s">
        <v>8753</v>
      </c>
      <c r="M1879" s="196">
        <v>288</v>
      </c>
      <c r="O1879" s="196" t="s">
        <v>6880</v>
      </c>
      <c r="P1879" s="17">
        <v>260</v>
      </c>
      <c r="Q1879" s="175">
        <f t="shared" si="131"/>
        <v>2.9103999999999997</v>
      </c>
      <c r="S1879" s="199">
        <v>2.1</v>
      </c>
      <c r="T1879" s="149">
        <v>0.13</v>
      </c>
      <c r="U1879" s="149" t="str">
        <f t="shared" si="130"/>
        <v>1,90</v>
      </c>
      <c r="V1879" s="149">
        <f t="shared" si="125"/>
        <v>0.33999999999999997</v>
      </c>
      <c r="W1879" s="149">
        <v>0.35</v>
      </c>
      <c r="X1879" s="152">
        <f t="shared" si="132"/>
        <v>0.19039999999999999</v>
      </c>
      <c r="Y1879" s="150">
        <f t="shared" si="129"/>
        <v>1.2428319999999999</v>
      </c>
      <c r="Z1879" s="152">
        <f t="shared" si="133"/>
        <v>2.1</v>
      </c>
      <c r="AA1879" s="150">
        <f t="shared" si="134"/>
        <v>2.9103999999999997</v>
      </c>
      <c r="AB1879" s="150"/>
      <c r="AC1879" s="154"/>
      <c r="AD1879" s="154"/>
      <c r="AE1879" s="154"/>
      <c r="AF1879" s="154"/>
    </row>
    <row r="1880" spans="1:32" x14ac:dyDescent="0.25">
      <c r="A1880" s="196">
        <v>1809</v>
      </c>
      <c r="B1880" s="196" t="s">
        <v>8754</v>
      </c>
      <c r="C1880" s="196" t="s">
        <v>8755</v>
      </c>
      <c r="D1880" s="196" t="s">
        <v>2822</v>
      </c>
      <c r="F1880" s="196">
        <v>2008</v>
      </c>
      <c r="H1880" s="196" t="s">
        <v>1878</v>
      </c>
      <c r="I1880" s="184" t="s">
        <v>1879</v>
      </c>
      <c r="K1880" s="196" t="s">
        <v>1881</v>
      </c>
      <c r="L1880" s="184" t="s">
        <v>8756</v>
      </c>
      <c r="M1880" s="196">
        <v>192</v>
      </c>
      <c r="O1880" s="196" t="s">
        <v>6881</v>
      </c>
      <c r="P1880" s="17">
        <v>289</v>
      </c>
      <c r="Q1880" s="175">
        <f t="shared" si="131"/>
        <v>2.9103999999999997</v>
      </c>
      <c r="S1880" s="199">
        <f>0.49+2.29</f>
        <v>2.7800000000000002</v>
      </c>
      <c r="T1880" s="149">
        <v>0.13</v>
      </c>
      <c r="U1880" s="149" t="str">
        <f t="shared" si="130"/>
        <v>1,90</v>
      </c>
      <c r="V1880" s="149">
        <f t="shared" si="125"/>
        <v>0.33999999999999997</v>
      </c>
      <c r="W1880" s="149">
        <v>0.35</v>
      </c>
      <c r="X1880" s="152">
        <f t="shared" si="132"/>
        <v>0.19039999999999999</v>
      </c>
      <c r="Y1880" s="150">
        <f t="shared" si="129"/>
        <v>1.2428319999999999</v>
      </c>
      <c r="Z1880" s="152">
        <f t="shared" si="133"/>
        <v>2.7800000000000002</v>
      </c>
      <c r="AA1880" s="150">
        <f t="shared" si="134"/>
        <v>2.9103999999999997</v>
      </c>
      <c r="AB1880" s="150"/>
      <c r="AC1880" s="154"/>
      <c r="AD1880" s="154"/>
      <c r="AE1880" s="154"/>
      <c r="AF1880" s="154"/>
    </row>
    <row r="1881" spans="1:32" x14ac:dyDescent="0.25">
      <c r="A1881" s="196">
        <v>1809</v>
      </c>
      <c r="B1881" s="196" t="s">
        <v>8044</v>
      </c>
      <c r="C1881" s="196" t="s">
        <v>8757</v>
      </c>
      <c r="D1881" s="196" t="s">
        <v>2822</v>
      </c>
      <c r="F1881" s="196">
        <v>2009</v>
      </c>
      <c r="H1881" s="196" t="s">
        <v>1878</v>
      </c>
      <c r="I1881" s="184" t="s">
        <v>1879</v>
      </c>
      <c r="K1881" s="196" t="s">
        <v>1881</v>
      </c>
      <c r="L1881" s="184" t="s">
        <v>8758</v>
      </c>
      <c r="M1881" s="196">
        <v>240</v>
      </c>
      <c r="O1881" s="196" t="s">
        <v>6882</v>
      </c>
      <c r="P1881" s="17">
        <v>345</v>
      </c>
      <c r="Q1881" s="175">
        <f t="shared" si="131"/>
        <v>2.9103999999999997</v>
      </c>
      <c r="S1881" s="199">
        <v>2.2999999999999998</v>
      </c>
      <c r="T1881" s="149">
        <v>0.13</v>
      </c>
      <c r="U1881" s="149" t="str">
        <f t="shared" si="130"/>
        <v>1,90</v>
      </c>
      <c r="V1881" s="149">
        <f t="shared" si="125"/>
        <v>0.33999999999999997</v>
      </c>
      <c r="W1881" s="149">
        <v>0.35</v>
      </c>
      <c r="X1881" s="152">
        <f t="shared" si="132"/>
        <v>0.19039999999999999</v>
      </c>
      <c r="Y1881" s="150">
        <f t="shared" si="129"/>
        <v>1.2428319999999999</v>
      </c>
      <c r="Z1881" s="152">
        <f t="shared" si="133"/>
        <v>2.2999999999999998</v>
      </c>
      <c r="AA1881" s="150">
        <f t="shared" si="134"/>
        <v>2.9103999999999997</v>
      </c>
      <c r="AB1881" s="150"/>
      <c r="AC1881" s="154"/>
      <c r="AD1881" s="154"/>
      <c r="AE1881" s="154"/>
      <c r="AF1881" s="154"/>
    </row>
    <row r="1882" spans="1:32" x14ac:dyDescent="0.25">
      <c r="A1882" s="196">
        <v>1809</v>
      </c>
      <c r="B1882" s="196" t="s">
        <v>8759</v>
      </c>
      <c r="C1882" s="196" t="s">
        <v>8760</v>
      </c>
      <c r="D1882" s="196" t="s">
        <v>2822</v>
      </c>
      <c r="F1882" s="196">
        <v>2008</v>
      </c>
      <c r="H1882" s="196" t="s">
        <v>1878</v>
      </c>
      <c r="I1882" s="184" t="s">
        <v>1879</v>
      </c>
      <c r="K1882" s="196" t="s">
        <v>1881</v>
      </c>
      <c r="L1882" s="184" t="s">
        <v>8761</v>
      </c>
      <c r="M1882" s="196">
        <v>176</v>
      </c>
      <c r="O1882" s="196" t="s">
        <v>6883</v>
      </c>
      <c r="P1882" s="17">
        <v>267</v>
      </c>
      <c r="Q1882" s="175">
        <f t="shared" si="131"/>
        <v>2.9103999999999997</v>
      </c>
      <c r="S1882" s="199">
        <v>1.75</v>
      </c>
      <c r="T1882" s="149">
        <v>0.13</v>
      </c>
      <c r="U1882" s="149" t="str">
        <f t="shared" si="130"/>
        <v>1,90</v>
      </c>
      <c r="V1882" s="149">
        <f t="shared" si="125"/>
        <v>0.33999999999999997</v>
      </c>
      <c r="W1882" s="149">
        <v>0.35</v>
      </c>
      <c r="X1882" s="152">
        <f t="shared" si="132"/>
        <v>0.19039999999999999</v>
      </c>
      <c r="Y1882" s="150">
        <f t="shared" si="129"/>
        <v>1.2428319999999999</v>
      </c>
      <c r="Z1882" s="152">
        <f t="shared" si="133"/>
        <v>1.75</v>
      </c>
      <c r="AA1882" s="150">
        <f t="shared" si="134"/>
        <v>2.9103999999999997</v>
      </c>
      <c r="AB1882" s="150"/>
      <c r="AC1882" s="154"/>
      <c r="AD1882" s="154"/>
      <c r="AE1882" s="154"/>
      <c r="AF1882" s="154"/>
    </row>
    <row r="1883" spans="1:32" x14ac:dyDescent="0.25">
      <c r="A1883" s="196">
        <v>692</v>
      </c>
      <c r="B1883" s="196" t="s">
        <v>8762</v>
      </c>
      <c r="C1883" s="196" t="s">
        <v>8763</v>
      </c>
      <c r="D1883" s="196" t="s">
        <v>5005</v>
      </c>
      <c r="F1883" s="196">
        <v>2008</v>
      </c>
      <c r="H1883" s="196" t="s">
        <v>1878</v>
      </c>
      <c r="I1883" s="184" t="s">
        <v>1879</v>
      </c>
      <c r="K1883" s="196" t="s">
        <v>1881</v>
      </c>
      <c r="M1883" s="196">
        <v>368</v>
      </c>
      <c r="O1883" s="196" t="s">
        <v>6884</v>
      </c>
      <c r="P1883" s="17">
        <v>270</v>
      </c>
      <c r="Q1883" s="175">
        <f t="shared" si="131"/>
        <v>2.9103999999999997</v>
      </c>
      <c r="S1883" s="199">
        <v>1.6</v>
      </c>
      <c r="T1883" s="149">
        <v>0.13</v>
      </c>
      <c r="U1883" s="149" t="str">
        <f t="shared" si="130"/>
        <v>1,90</v>
      </c>
      <c r="V1883" s="149">
        <f t="shared" si="125"/>
        <v>0.33999999999999997</v>
      </c>
      <c r="W1883" s="149">
        <v>0.35</v>
      </c>
      <c r="X1883" s="152">
        <f t="shared" si="132"/>
        <v>0.19039999999999999</v>
      </c>
      <c r="Y1883" s="150">
        <f t="shared" si="129"/>
        <v>1.2428319999999999</v>
      </c>
      <c r="Z1883" s="152">
        <f t="shared" si="133"/>
        <v>1.6</v>
      </c>
      <c r="AA1883" s="150">
        <f t="shared" si="134"/>
        <v>2.9103999999999997</v>
      </c>
      <c r="AB1883" s="150"/>
      <c r="AC1883" s="154"/>
      <c r="AD1883" s="154"/>
      <c r="AE1883" s="154"/>
      <c r="AF1883" s="154"/>
    </row>
    <row r="1884" spans="1:32" x14ac:dyDescent="0.25">
      <c r="A1884" s="196">
        <v>692</v>
      </c>
      <c r="B1884" s="196" t="s">
        <v>3856</v>
      </c>
      <c r="C1884" s="196" t="s">
        <v>3857</v>
      </c>
      <c r="D1884" s="196" t="s">
        <v>5005</v>
      </c>
      <c r="F1884" s="196">
        <v>2008</v>
      </c>
      <c r="H1884" s="196" t="s">
        <v>1878</v>
      </c>
      <c r="I1884" s="184" t="s">
        <v>1879</v>
      </c>
      <c r="K1884" s="196" t="s">
        <v>1881</v>
      </c>
      <c r="M1884" s="196">
        <v>384</v>
      </c>
      <c r="O1884" s="196" t="s">
        <v>6885</v>
      </c>
      <c r="P1884" s="17">
        <v>274</v>
      </c>
      <c r="Q1884" s="175">
        <f t="shared" si="131"/>
        <v>2.9103999999999997</v>
      </c>
      <c r="S1884" s="199">
        <v>1.5</v>
      </c>
      <c r="T1884" s="149">
        <v>0.13</v>
      </c>
      <c r="U1884" s="149" t="str">
        <f t="shared" si="130"/>
        <v>1,90</v>
      </c>
      <c r="V1884" s="149">
        <f t="shared" si="125"/>
        <v>0.33999999999999997</v>
      </c>
      <c r="W1884" s="149">
        <v>0.35</v>
      </c>
      <c r="X1884" s="152">
        <f t="shared" si="132"/>
        <v>0.19039999999999999</v>
      </c>
      <c r="Y1884" s="150">
        <f t="shared" si="129"/>
        <v>1.2428319999999999</v>
      </c>
      <c r="Z1884" s="152">
        <f t="shared" si="133"/>
        <v>1.5</v>
      </c>
      <c r="AA1884" s="150">
        <f t="shared" si="134"/>
        <v>2.9103999999999997</v>
      </c>
      <c r="AB1884" s="150"/>
      <c r="AC1884" s="154"/>
      <c r="AD1884" s="154"/>
      <c r="AE1884" s="154"/>
      <c r="AF1884" s="154"/>
    </row>
    <row r="1885" spans="1:32" x14ac:dyDescent="0.25">
      <c r="A1885" s="196">
        <v>1395</v>
      </c>
      <c r="B1885" s="196" t="s">
        <v>8762</v>
      </c>
      <c r="C1885" s="196" t="s">
        <v>8764</v>
      </c>
      <c r="D1885" s="196" t="s">
        <v>5005</v>
      </c>
      <c r="F1885" s="196">
        <v>2008</v>
      </c>
      <c r="H1885" s="196" t="s">
        <v>1878</v>
      </c>
      <c r="I1885" s="184" t="s">
        <v>1879</v>
      </c>
      <c r="K1885" s="196" t="s">
        <v>1881</v>
      </c>
      <c r="M1885" s="196">
        <v>352</v>
      </c>
      <c r="O1885" s="196" t="s">
        <v>6886</v>
      </c>
      <c r="P1885" s="17">
        <v>257</v>
      </c>
      <c r="Q1885" s="175">
        <f t="shared" si="131"/>
        <v>2.9103999999999997</v>
      </c>
      <c r="S1885" s="199">
        <v>1.64</v>
      </c>
      <c r="T1885" s="149">
        <v>0.13</v>
      </c>
      <c r="U1885" s="149" t="str">
        <f t="shared" si="130"/>
        <v>1,90</v>
      </c>
      <c r="V1885" s="149">
        <f t="shared" si="125"/>
        <v>0.33999999999999997</v>
      </c>
      <c r="W1885" s="149">
        <v>0.35</v>
      </c>
      <c r="X1885" s="152">
        <f t="shared" si="132"/>
        <v>0.19039999999999999</v>
      </c>
      <c r="Y1885" s="150">
        <f t="shared" si="129"/>
        <v>1.2428319999999999</v>
      </c>
      <c r="Z1885" s="152">
        <f t="shared" si="133"/>
        <v>1.64</v>
      </c>
      <c r="AA1885" s="150">
        <f t="shared" si="134"/>
        <v>2.9103999999999997</v>
      </c>
      <c r="AB1885" s="150"/>
      <c r="AC1885" s="154"/>
      <c r="AD1885" s="154"/>
      <c r="AE1885" s="154"/>
      <c r="AF1885" s="154"/>
    </row>
    <row r="1886" spans="1:32" x14ac:dyDescent="0.25">
      <c r="A1886" s="196">
        <v>631</v>
      </c>
      <c r="B1886" s="196" t="s">
        <v>8765</v>
      </c>
      <c r="C1886" s="196" t="s">
        <v>8766</v>
      </c>
      <c r="D1886" s="196" t="s">
        <v>1912</v>
      </c>
      <c r="E1886" s="196" t="s">
        <v>1921</v>
      </c>
      <c r="F1886" s="196">
        <v>2012</v>
      </c>
      <c r="H1886" s="196" t="s">
        <v>1878</v>
      </c>
      <c r="I1886" s="184" t="s">
        <v>1879</v>
      </c>
      <c r="K1886" s="196" t="s">
        <v>1881</v>
      </c>
      <c r="L1886" s="184" t="s">
        <v>8767</v>
      </c>
      <c r="M1886" s="196">
        <v>672</v>
      </c>
      <c r="O1886" s="196" t="s">
        <v>6887</v>
      </c>
      <c r="P1886" s="17">
        <v>682</v>
      </c>
      <c r="Q1886" s="175">
        <f t="shared" si="131"/>
        <v>3.2313999999999998</v>
      </c>
      <c r="S1886" s="199">
        <v>2.35</v>
      </c>
      <c r="T1886" s="149">
        <v>0.13</v>
      </c>
      <c r="U1886" s="149" t="str">
        <f t="shared" si="130"/>
        <v>2,20</v>
      </c>
      <c r="V1886" s="149">
        <f t="shared" si="125"/>
        <v>0.33999999999999997</v>
      </c>
      <c r="W1886" s="149">
        <v>0.35</v>
      </c>
      <c r="X1886" s="152">
        <f t="shared" si="132"/>
        <v>0.2114</v>
      </c>
      <c r="Y1886" s="150">
        <f t="shared" si="129"/>
        <v>1.2685119999999999</v>
      </c>
      <c r="Z1886" s="152">
        <f t="shared" si="133"/>
        <v>2.35</v>
      </c>
      <c r="AA1886" s="150">
        <f t="shared" si="134"/>
        <v>3.2313999999999998</v>
      </c>
      <c r="AB1886" s="150"/>
      <c r="AC1886" s="154"/>
      <c r="AD1886" s="154"/>
      <c r="AE1886" s="154"/>
      <c r="AF1886" s="154"/>
    </row>
    <row r="1887" spans="1:32" x14ac:dyDescent="0.25">
      <c r="A1887" s="196">
        <v>631</v>
      </c>
      <c r="B1887" s="196" t="s">
        <v>8765</v>
      </c>
      <c r="C1887" s="196" t="s">
        <v>8768</v>
      </c>
      <c r="D1887" s="196" t="s">
        <v>1912</v>
      </c>
      <c r="E1887" s="196" t="s">
        <v>1921</v>
      </c>
      <c r="F1887" s="196">
        <v>2012</v>
      </c>
      <c r="H1887" s="196" t="s">
        <v>1878</v>
      </c>
      <c r="I1887" s="184" t="s">
        <v>1879</v>
      </c>
      <c r="K1887" s="196" t="s">
        <v>1881</v>
      </c>
      <c r="L1887" s="184" t="s">
        <v>8769</v>
      </c>
      <c r="M1887" s="196">
        <v>608</v>
      </c>
      <c r="O1887" s="196" t="s">
        <v>6888</v>
      </c>
      <c r="P1887" s="17">
        <v>622</v>
      </c>
      <c r="Q1887" s="175">
        <f t="shared" si="131"/>
        <v>3.2313999999999998</v>
      </c>
      <c r="S1887" s="199">
        <v>2.1</v>
      </c>
      <c r="T1887" s="149">
        <v>0.13</v>
      </c>
      <c r="U1887" s="149" t="str">
        <f t="shared" si="130"/>
        <v>2,20</v>
      </c>
      <c r="V1887" s="149">
        <f t="shared" si="125"/>
        <v>0.33999999999999997</v>
      </c>
      <c r="W1887" s="149">
        <v>0.35</v>
      </c>
      <c r="X1887" s="152">
        <f t="shared" si="132"/>
        <v>0.2114</v>
      </c>
      <c r="Y1887" s="150">
        <f t="shared" si="129"/>
        <v>1.2685119999999999</v>
      </c>
      <c r="Z1887" s="152">
        <f t="shared" si="133"/>
        <v>2.1</v>
      </c>
      <c r="AA1887" s="150">
        <f t="shared" si="134"/>
        <v>3.2313999999999998</v>
      </c>
      <c r="AB1887" s="150"/>
      <c r="AC1887" s="154"/>
      <c r="AD1887" s="154"/>
      <c r="AE1887" s="154"/>
      <c r="AF1887" s="154"/>
    </row>
    <row r="1888" spans="1:32" x14ac:dyDescent="0.25">
      <c r="A1888" s="196">
        <v>392</v>
      </c>
      <c r="B1888" s="196" t="s">
        <v>8130</v>
      </c>
      <c r="C1888" s="196" t="s">
        <v>8770</v>
      </c>
      <c r="D1888" s="196" t="s">
        <v>5005</v>
      </c>
      <c r="F1888" s="196">
        <v>2008</v>
      </c>
      <c r="H1888" s="196" t="s">
        <v>1878</v>
      </c>
      <c r="I1888" s="184" t="s">
        <v>7527</v>
      </c>
      <c r="K1888" s="196" t="s">
        <v>1881</v>
      </c>
      <c r="M1888" s="196">
        <v>480</v>
      </c>
      <c r="O1888" s="196" t="s">
        <v>6889</v>
      </c>
      <c r="P1888" s="17">
        <v>349</v>
      </c>
      <c r="Q1888" s="175">
        <f t="shared" si="131"/>
        <v>2.9103999999999997</v>
      </c>
      <c r="S1888" s="199">
        <v>1.8</v>
      </c>
      <c r="T1888" s="149">
        <v>0.13</v>
      </c>
      <c r="U1888" s="149" t="str">
        <f t="shared" si="130"/>
        <v>1,90</v>
      </c>
      <c r="V1888" s="149">
        <f t="shared" si="125"/>
        <v>0.33999999999999997</v>
      </c>
      <c r="W1888" s="149">
        <v>0.35</v>
      </c>
      <c r="X1888" s="152">
        <f t="shared" si="132"/>
        <v>0.19039999999999999</v>
      </c>
      <c r="Y1888" s="150">
        <f t="shared" si="129"/>
        <v>1.2428319999999999</v>
      </c>
      <c r="Z1888" s="152">
        <f t="shared" si="133"/>
        <v>1.8</v>
      </c>
      <c r="AA1888" s="150">
        <f t="shared" si="134"/>
        <v>2.9103999999999997</v>
      </c>
      <c r="AB1888" s="150"/>
      <c r="AC1888" s="154"/>
      <c r="AD1888" s="154"/>
      <c r="AE1888" s="154"/>
      <c r="AF1888" s="154"/>
    </row>
    <row r="1889" spans="1:32" x14ac:dyDescent="0.25">
      <c r="A1889" s="196">
        <v>796</v>
      </c>
      <c r="B1889" s="196" t="s">
        <v>3143</v>
      </c>
      <c r="C1889" s="196" t="s">
        <v>3144</v>
      </c>
      <c r="D1889" s="196" t="s">
        <v>2609</v>
      </c>
      <c r="F1889" s="196">
        <v>2004</v>
      </c>
      <c r="H1889" s="196" t="s">
        <v>1878</v>
      </c>
      <c r="I1889" s="184" t="s">
        <v>7527</v>
      </c>
      <c r="K1889" s="196" t="s">
        <v>1881</v>
      </c>
      <c r="L1889" s="184" t="s">
        <v>8771</v>
      </c>
      <c r="M1889" s="196">
        <v>416</v>
      </c>
      <c r="O1889" s="196" t="s">
        <v>6890</v>
      </c>
      <c r="P1889" s="17">
        <v>362</v>
      </c>
      <c r="Q1889" s="175">
        <f t="shared" si="131"/>
        <v>2.9103999999999997</v>
      </c>
      <c r="S1889" s="199">
        <v>1.9</v>
      </c>
      <c r="T1889" s="149">
        <v>0.13</v>
      </c>
      <c r="U1889" s="149" t="str">
        <f t="shared" si="130"/>
        <v>1,90</v>
      </c>
      <c r="V1889" s="149">
        <f t="shared" si="125"/>
        <v>0.33999999999999997</v>
      </c>
      <c r="W1889" s="149">
        <v>0.35</v>
      </c>
      <c r="X1889" s="152">
        <f t="shared" si="132"/>
        <v>0.19039999999999999</v>
      </c>
      <c r="Y1889" s="150">
        <f t="shared" si="129"/>
        <v>1.2428319999999999</v>
      </c>
      <c r="Z1889" s="152">
        <f t="shared" si="133"/>
        <v>1.9</v>
      </c>
      <c r="AA1889" s="150">
        <f t="shared" si="134"/>
        <v>2.9103999999999997</v>
      </c>
      <c r="AB1889" s="150"/>
      <c r="AC1889" s="154"/>
      <c r="AD1889" s="154"/>
      <c r="AE1889" s="154"/>
      <c r="AF1889" s="154"/>
    </row>
    <row r="1890" spans="1:32" x14ac:dyDescent="0.25">
      <c r="A1890" s="196">
        <v>2521</v>
      </c>
      <c r="B1890" s="196" t="s">
        <v>8772</v>
      </c>
      <c r="C1890" s="196" t="s">
        <v>8773</v>
      </c>
      <c r="D1890" s="196" t="s">
        <v>1998</v>
      </c>
      <c r="F1890" s="196">
        <v>1983</v>
      </c>
      <c r="H1890" s="196" t="s">
        <v>2734</v>
      </c>
      <c r="I1890" s="184" t="s">
        <v>7527</v>
      </c>
      <c r="K1890" s="196" t="s">
        <v>1881</v>
      </c>
      <c r="M1890" s="196">
        <v>640</v>
      </c>
      <c r="O1890" s="196" t="s">
        <v>6891</v>
      </c>
      <c r="P1890" s="17">
        <v>885</v>
      </c>
      <c r="Q1890" s="175">
        <f t="shared" si="131"/>
        <v>3.2313999999999998</v>
      </c>
      <c r="S1890" s="199">
        <v>1.55</v>
      </c>
      <c r="T1890" s="149">
        <v>0.13</v>
      </c>
      <c r="U1890" s="149" t="str">
        <f t="shared" si="130"/>
        <v>2,20</v>
      </c>
      <c r="V1890" s="149">
        <f t="shared" si="125"/>
        <v>0.33999999999999997</v>
      </c>
      <c r="W1890" s="149">
        <v>0.35</v>
      </c>
      <c r="X1890" s="152">
        <f t="shared" si="132"/>
        <v>0.2114</v>
      </c>
      <c r="Y1890" s="150">
        <f t="shared" si="129"/>
        <v>1.2685119999999999</v>
      </c>
      <c r="Z1890" s="152">
        <f t="shared" si="133"/>
        <v>1.55</v>
      </c>
      <c r="AA1890" s="150">
        <f t="shared" si="134"/>
        <v>3.2313999999999998</v>
      </c>
      <c r="AB1890" s="150"/>
      <c r="AC1890" s="154"/>
      <c r="AD1890" s="154"/>
      <c r="AE1890" s="154"/>
      <c r="AF1890" s="154"/>
    </row>
    <row r="1891" spans="1:32" x14ac:dyDescent="0.25">
      <c r="A1891" s="196">
        <v>2521</v>
      </c>
      <c r="B1891" s="196" t="s">
        <v>8774</v>
      </c>
      <c r="C1891" s="196" t="s">
        <v>8775</v>
      </c>
      <c r="D1891" s="196" t="s">
        <v>1876</v>
      </c>
      <c r="F1891" s="196">
        <v>1989</v>
      </c>
      <c r="H1891" s="196" t="s">
        <v>2734</v>
      </c>
      <c r="I1891" s="184" t="s">
        <v>1879</v>
      </c>
      <c r="K1891" s="196" t="s">
        <v>1881</v>
      </c>
      <c r="M1891" s="196">
        <v>530</v>
      </c>
      <c r="O1891" s="196" t="s">
        <v>6892</v>
      </c>
      <c r="P1891" s="17">
        <v>702</v>
      </c>
      <c r="Q1891" s="175">
        <f t="shared" si="131"/>
        <v>3.2313999999999998</v>
      </c>
      <c r="S1891" s="199">
        <v>1.65</v>
      </c>
      <c r="T1891" s="149">
        <v>0.13</v>
      </c>
      <c r="U1891" s="149" t="str">
        <f t="shared" si="130"/>
        <v>2,20</v>
      </c>
      <c r="V1891" s="149">
        <f t="shared" si="125"/>
        <v>0.33999999999999997</v>
      </c>
      <c r="W1891" s="149">
        <v>0.35</v>
      </c>
      <c r="X1891" s="152">
        <f t="shared" si="132"/>
        <v>0.2114</v>
      </c>
      <c r="Y1891" s="150">
        <f t="shared" si="129"/>
        <v>1.2685119999999999</v>
      </c>
      <c r="Z1891" s="152">
        <f t="shared" si="133"/>
        <v>1.65</v>
      </c>
      <c r="AA1891" s="150">
        <f t="shared" si="134"/>
        <v>3.2313999999999998</v>
      </c>
      <c r="AB1891" s="150"/>
      <c r="AC1891" s="154"/>
      <c r="AD1891" s="154"/>
      <c r="AE1891" s="154"/>
      <c r="AF1891" s="154"/>
    </row>
    <row r="1892" spans="1:32" x14ac:dyDescent="0.25">
      <c r="A1892" s="196">
        <v>633</v>
      </c>
      <c r="B1892" s="196" t="s">
        <v>8776</v>
      </c>
      <c r="C1892" s="196" t="s">
        <v>8777</v>
      </c>
      <c r="D1892" s="196" t="s">
        <v>2257</v>
      </c>
      <c r="F1892" s="196">
        <v>1971</v>
      </c>
      <c r="H1892" s="196" t="s">
        <v>2734</v>
      </c>
      <c r="I1892" s="184" t="s">
        <v>1879</v>
      </c>
      <c r="J1892" s="182" t="s">
        <v>2505</v>
      </c>
      <c r="K1892" s="196" t="s">
        <v>1881</v>
      </c>
      <c r="M1892" s="196">
        <v>614</v>
      </c>
      <c r="O1892" s="196" t="s">
        <v>6893</v>
      </c>
      <c r="P1892" s="17">
        <v>847</v>
      </c>
      <c r="Q1892" s="175">
        <f t="shared" si="131"/>
        <v>3.2313999999999998</v>
      </c>
      <c r="S1892" s="199">
        <v>2</v>
      </c>
      <c r="T1892" s="149">
        <v>0.13</v>
      </c>
      <c r="U1892" s="149" t="str">
        <f t="shared" si="130"/>
        <v>2,20</v>
      </c>
      <c r="V1892" s="149">
        <f t="shared" si="125"/>
        <v>0.33999999999999997</v>
      </c>
      <c r="W1892" s="149">
        <v>0.35</v>
      </c>
      <c r="X1892" s="152">
        <f t="shared" si="132"/>
        <v>0.2114</v>
      </c>
      <c r="Y1892" s="150">
        <f t="shared" si="129"/>
        <v>1.2685119999999999</v>
      </c>
      <c r="Z1892" s="152">
        <f t="shared" si="133"/>
        <v>2</v>
      </c>
      <c r="AA1892" s="150">
        <f t="shared" si="134"/>
        <v>3.2313999999999998</v>
      </c>
      <c r="AB1892" s="150"/>
      <c r="AC1892" s="154"/>
      <c r="AD1892" s="154"/>
      <c r="AE1892" s="154"/>
      <c r="AF1892" s="154"/>
    </row>
    <row r="1893" spans="1:32" x14ac:dyDescent="0.25">
      <c r="A1893" s="182">
        <v>1720</v>
      </c>
      <c r="B1893" s="182" t="s">
        <v>9023</v>
      </c>
      <c r="C1893" s="182" t="s">
        <v>9024</v>
      </c>
      <c r="D1893" s="182" t="s">
        <v>1988</v>
      </c>
      <c r="F1893" s="182">
        <v>2002</v>
      </c>
      <c r="H1893" s="182" t="s">
        <v>1878</v>
      </c>
      <c r="I1893" s="184" t="s">
        <v>7527</v>
      </c>
      <c r="J1893" s="182" t="s">
        <v>9025</v>
      </c>
      <c r="K1893" s="182" t="s">
        <v>1881</v>
      </c>
      <c r="L1893" s="184" t="s">
        <v>9026</v>
      </c>
      <c r="M1893" s="182">
        <v>267</v>
      </c>
      <c r="O1893" s="196" t="s">
        <v>6894</v>
      </c>
      <c r="P1893" s="17">
        <v>235</v>
      </c>
      <c r="Q1893" s="175">
        <v>3.3</v>
      </c>
      <c r="R1893" s="199">
        <v>1.2</v>
      </c>
      <c r="S1893" s="199">
        <v>4.5</v>
      </c>
      <c r="T1893" s="149">
        <v>0.13</v>
      </c>
      <c r="U1893" s="149" t="s">
        <v>9027</v>
      </c>
      <c r="V1893" s="149">
        <v>0.33999999999999997</v>
      </c>
      <c r="W1893" s="149">
        <v>0.35</v>
      </c>
      <c r="X1893" s="152">
        <v>0.19039999999999999</v>
      </c>
      <c r="Y1893" s="150">
        <f t="shared" si="129"/>
        <v>1.37</v>
      </c>
      <c r="Z1893" s="152">
        <v>4.5</v>
      </c>
      <c r="AA1893" s="150">
        <v>2.9103999999999997</v>
      </c>
      <c r="AB1893" s="150"/>
      <c r="AC1893" s="154"/>
      <c r="AD1893" s="154"/>
      <c r="AE1893" s="154"/>
      <c r="AF1893" s="154"/>
    </row>
    <row r="1894" spans="1:32" x14ac:dyDescent="0.25">
      <c r="A1894" s="182">
        <v>1720</v>
      </c>
      <c r="B1894" s="182" t="s">
        <v>7529</v>
      </c>
      <c r="C1894" s="182" t="s">
        <v>9028</v>
      </c>
      <c r="D1894" s="182" t="s">
        <v>3077</v>
      </c>
      <c r="F1894" s="182">
        <v>2008</v>
      </c>
      <c r="H1894" s="182" t="s">
        <v>1878</v>
      </c>
      <c r="I1894" s="184" t="s">
        <v>1879</v>
      </c>
      <c r="K1894" s="182" t="s">
        <v>1881</v>
      </c>
      <c r="L1894" s="184" t="s">
        <v>9029</v>
      </c>
      <c r="M1894" s="182">
        <v>447</v>
      </c>
      <c r="O1894" s="196" t="s">
        <v>6895</v>
      </c>
      <c r="P1894" s="17">
        <v>333</v>
      </c>
      <c r="Q1894" s="175">
        <v>1.8472319999999998</v>
      </c>
      <c r="R1894" s="199">
        <v>1.2</v>
      </c>
      <c r="S1894" s="199">
        <v>2.9</v>
      </c>
      <c r="T1894" s="149">
        <v>0.13</v>
      </c>
      <c r="U1894" s="149" t="s">
        <v>9027</v>
      </c>
      <c r="V1894" s="149">
        <v>0.33999999999999997</v>
      </c>
      <c r="W1894" s="149">
        <v>0.35</v>
      </c>
      <c r="X1894" s="152">
        <v>0.19039999999999999</v>
      </c>
      <c r="Y1894" s="150">
        <f t="shared" si="129"/>
        <v>1.2428319999999999</v>
      </c>
      <c r="Z1894" s="152">
        <v>2.9</v>
      </c>
      <c r="AA1894" s="150">
        <v>2.9103999999999997</v>
      </c>
      <c r="AB1894" s="150"/>
      <c r="AC1894" s="154"/>
      <c r="AD1894" s="154"/>
      <c r="AE1894" s="154"/>
      <c r="AF1894" s="154"/>
    </row>
    <row r="1895" spans="1:32" x14ac:dyDescent="0.25">
      <c r="A1895" s="182">
        <v>613</v>
      </c>
      <c r="B1895" s="182" t="s">
        <v>9030</v>
      </c>
      <c r="C1895" s="182" t="s">
        <v>9031</v>
      </c>
      <c r="D1895" s="182" t="s">
        <v>9032</v>
      </c>
      <c r="F1895" s="182">
        <v>1972</v>
      </c>
      <c r="H1895" s="182" t="s">
        <v>1878</v>
      </c>
      <c r="I1895" s="184" t="s">
        <v>1914</v>
      </c>
      <c r="K1895" s="182" t="s">
        <v>1881</v>
      </c>
      <c r="L1895" s="184" t="s">
        <v>9033</v>
      </c>
      <c r="M1895" s="182">
        <v>160</v>
      </c>
      <c r="O1895" s="196" t="s">
        <v>6896</v>
      </c>
      <c r="P1895" s="17">
        <v>120</v>
      </c>
      <c r="Q1895" s="175">
        <v>1.8472319999999998</v>
      </c>
      <c r="R1895" s="199">
        <v>1.2</v>
      </c>
      <c r="S1895" s="199">
        <v>1.65</v>
      </c>
      <c r="T1895" s="149">
        <v>0.13</v>
      </c>
      <c r="U1895" s="149" t="s">
        <v>9027</v>
      </c>
      <c r="V1895" s="149">
        <v>0.33999999999999997</v>
      </c>
      <c r="W1895" s="149">
        <v>0.35</v>
      </c>
      <c r="X1895" s="152">
        <v>0.19039999999999999</v>
      </c>
      <c r="Y1895" s="150">
        <f t="shared" si="129"/>
        <v>1.2428319999999999</v>
      </c>
      <c r="Z1895" s="152">
        <v>1.65</v>
      </c>
      <c r="AA1895" s="150">
        <v>2.9103999999999997</v>
      </c>
      <c r="AB1895" s="150"/>
      <c r="AC1895" s="154"/>
      <c r="AD1895" s="154"/>
      <c r="AE1895" s="154"/>
      <c r="AF1895" s="154"/>
    </row>
    <row r="1896" spans="1:32" x14ac:dyDescent="0.25">
      <c r="A1896" s="182">
        <v>785</v>
      </c>
      <c r="B1896" s="182" t="s">
        <v>9034</v>
      </c>
      <c r="C1896" s="182" t="s">
        <v>9035</v>
      </c>
      <c r="D1896" s="182" t="s">
        <v>9036</v>
      </c>
      <c r="E1896" s="182">
        <v>1</v>
      </c>
      <c r="F1896" s="182">
        <v>2006</v>
      </c>
      <c r="H1896" s="182" t="s">
        <v>1878</v>
      </c>
      <c r="I1896" s="184" t="s">
        <v>1929</v>
      </c>
      <c r="K1896" s="182" t="s">
        <v>1881</v>
      </c>
      <c r="L1896" s="184" t="s">
        <v>9037</v>
      </c>
      <c r="O1896" s="196" t="s">
        <v>6897</v>
      </c>
      <c r="P1896" s="17">
        <v>177</v>
      </c>
      <c r="Q1896" s="175">
        <v>4.8599999999999994</v>
      </c>
      <c r="R1896" s="199">
        <v>1.2</v>
      </c>
      <c r="S1896" s="199">
        <v>5.6999999999999993</v>
      </c>
      <c r="T1896" s="149">
        <v>0.13</v>
      </c>
      <c r="U1896" s="149" t="s">
        <v>9027</v>
      </c>
      <c r="V1896" s="149">
        <v>0.33999999999999997</v>
      </c>
      <c r="W1896" s="149">
        <v>0.35</v>
      </c>
      <c r="X1896" s="152">
        <v>0.19039999999999999</v>
      </c>
      <c r="Y1896" s="150">
        <f t="shared" si="129"/>
        <v>1.466</v>
      </c>
      <c r="Z1896" s="152">
        <v>5.6999999999999993</v>
      </c>
      <c r="AA1896" s="150">
        <v>2.9103999999999997</v>
      </c>
      <c r="AB1896" s="150"/>
      <c r="AC1896" s="154"/>
      <c r="AD1896" s="154"/>
      <c r="AE1896" s="154"/>
      <c r="AF1896" s="154"/>
    </row>
    <row r="1897" spans="1:32" x14ac:dyDescent="0.25">
      <c r="A1897" s="182">
        <v>796</v>
      </c>
      <c r="B1897" s="182" t="s">
        <v>9041</v>
      </c>
      <c r="C1897" s="182" t="s">
        <v>9042</v>
      </c>
      <c r="D1897" s="182" t="s">
        <v>2644</v>
      </c>
      <c r="F1897" s="182">
        <v>2000</v>
      </c>
      <c r="H1897" s="182" t="s">
        <v>1878</v>
      </c>
      <c r="I1897" s="184" t="s">
        <v>7527</v>
      </c>
      <c r="K1897" s="182" t="s">
        <v>1881</v>
      </c>
      <c r="L1897" s="184" t="s">
        <v>9043</v>
      </c>
      <c r="M1897" s="182">
        <v>307</v>
      </c>
      <c r="O1897" s="196" t="s">
        <v>6899</v>
      </c>
      <c r="P1897" s="17">
        <v>268</v>
      </c>
      <c r="Q1897" s="175">
        <v>1.8472319999999998</v>
      </c>
      <c r="R1897" s="199">
        <v>1.2</v>
      </c>
      <c r="S1897" s="199">
        <v>1.61</v>
      </c>
      <c r="T1897" s="149">
        <v>0.13</v>
      </c>
      <c r="U1897" s="149" t="s">
        <v>9027</v>
      </c>
      <c r="V1897" s="149">
        <v>0.33999999999999997</v>
      </c>
      <c r="W1897" s="149">
        <v>0.35</v>
      </c>
      <c r="X1897" s="152">
        <v>0.19039999999999999</v>
      </c>
      <c r="Y1897" s="150">
        <f t="shared" si="129"/>
        <v>1.2428319999999999</v>
      </c>
      <c r="Z1897" s="152">
        <v>1.61</v>
      </c>
      <c r="AA1897" s="150">
        <v>2.9103999999999997</v>
      </c>
      <c r="AB1897" s="150"/>
      <c r="AC1897" s="154"/>
      <c r="AD1897" s="154"/>
      <c r="AE1897" s="154"/>
      <c r="AF1897" s="154"/>
    </row>
    <row r="1898" spans="1:32" x14ac:dyDescent="0.25">
      <c r="A1898" s="182">
        <v>735</v>
      </c>
      <c r="B1898" s="182" t="s">
        <v>9044</v>
      </c>
      <c r="C1898" s="182" t="s">
        <v>9045</v>
      </c>
      <c r="D1898" s="182" t="s">
        <v>2209</v>
      </c>
      <c r="F1898" s="182">
        <v>1983</v>
      </c>
      <c r="H1898" s="182" t="s">
        <v>1878</v>
      </c>
      <c r="I1898" s="184" t="s">
        <v>7527</v>
      </c>
      <c r="K1898" s="182" t="s">
        <v>1881</v>
      </c>
      <c r="L1898" s="184" t="s">
        <v>9046</v>
      </c>
      <c r="M1898" s="182">
        <v>287</v>
      </c>
      <c r="O1898" s="196" t="s">
        <v>6900</v>
      </c>
      <c r="P1898" s="17">
        <v>203</v>
      </c>
      <c r="Q1898" s="175">
        <v>1.8472319999999998</v>
      </c>
      <c r="R1898" s="199">
        <v>1.2</v>
      </c>
      <c r="S1898" s="199">
        <v>1.63</v>
      </c>
      <c r="T1898" s="149">
        <v>0.13</v>
      </c>
      <c r="U1898" s="149" t="s">
        <v>9027</v>
      </c>
      <c r="V1898" s="149">
        <v>0.33999999999999997</v>
      </c>
      <c r="W1898" s="149">
        <v>0.35</v>
      </c>
      <c r="X1898" s="152">
        <v>0.19039999999999999</v>
      </c>
      <c r="Y1898" s="150">
        <f t="shared" si="129"/>
        <v>1.2428319999999999</v>
      </c>
      <c r="Z1898" s="152">
        <v>1.63</v>
      </c>
      <c r="AA1898" s="150">
        <v>2.9103999999999997</v>
      </c>
      <c r="AB1898" s="150"/>
      <c r="AC1898" s="154"/>
      <c r="AD1898" s="154"/>
      <c r="AE1898" s="154"/>
      <c r="AF1898" s="154"/>
    </row>
    <row r="1899" spans="1:32" x14ac:dyDescent="0.25">
      <c r="A1899" s="182">
        <v>632</v>
      </c>
      <c r="B1899" s="182" t="s">
        <v>9047</v>
      </c>
      <c r="C1899" s="182" t="s">
        <v>9048</v>
      </c>
      <c r="D1899" s="182" t="s">
        <v>2036</v>
      </c>
      <c r="F1899" s="182">
        <v>1993</v>
      </c>
      <c r="H1899" s="182" t="s">
        <v>2734</v>
      </c>
      <c r="I1899" s="184" t="s">
        <v>1879</v>
      </c>
      <c r="K1899" s="182" t="s">
        <v>1881</v>
      </c>
      <c r="L1899" s="184" t="s">
        <v>9049</v>
      </c>
      <c r="M1899" s="182">
        <v>287</v>
      </c>
      <c r="O1899" s="196" t="s">
        <v>6901</v>
      </c>
      <c r="P1899" s="17">
        <v>458</v>
      </c>
      <c r="Q1899" s="175">
        <v>1.8472319999999998</v>
      </c>
      <c r="R1899" s="199">
        <v>1.2</v>
      </c>
      <c r="S1899" s="199">
        <v>2.6</v>
      </c>
      <c r="T1899" s="149">
        <v>0.13</v>
      </c>
      <c r="U1899" s="149" t="s">
        <v>9027</v>
      </c>
      <c r="V1899" s="149">
        <v>0.33999999999999997</v>
      </c>
      <c r="W1899" s="149">
        <v>0.35</v>
      </c>
      <c r="X1899" s="152">
        <v>0.19039999999999999</v>
      </c>
      <c r="Y1899" s="150">
        <f t="shared" si="129"/>
        <v>1.2428319999999999</v>
      </c>
      <c r="Z1899" s="152">
        <v>2.6</v>
      </c>
      <c r="AA1899" s="150">
        <v>2.9103999999999997</v>
      </c>
      <c r="AB1899" s="150"/>
      <c r="AC1899" s="154"/>
      <c r="AD1899" s="154"/>
      <c r="AE1899" s="154"/>
      <c r="AF1899" s="154"/>
    </row>
    <row r="1900" spans="1:32" x14ac:dyDescent="0.25">
      <c r="A1900" s="182">
        <v>8</v>
      </c>
      <c r="B1900" s="182" t="s">
        <v>9050</v>
      </c>
      <c r="C1900" s="182" t="s">
        <v>9051</v>
      </c>
      <c r="D1900" s="182" t="s">
        <v>2257</v>
      </c>
      <c r="F1900" s="182">
        <v>1920</v>
      </c>
      <c r="H1900" s="182" t="s">
        <v>2734</v>
      </c>
      <c r="I1900" s="184" t="s">
        <v>1914</v>
      </c>
      <c r="J1900" s="182" t="s">
        <v>9052</v>
      </c>
      <c r="K1900" s="182" t="s">
        <v>1881</v>
      </c>
      <c r="M1900" s="182">
        <v>239</v>
      </c>
      <c r="O1900" s="196" t="s">
        <v>6902</v>
      </c>
      <c r="P1900" s="17">
        <v>318</v>
      </c>
      <c r="Q1900" s="175">
        <v>1.8472319999999998</v>
      </c>
      <c r="R1900" s="199">
        <v>1.2</v>
      </c>
      <c r="S1900" s="199">
        <v>1.48</v>
      </c>
      <c r="T1900" s="149">
        <v>0.13</v>
      </c>
      <c r="U1900" s="149" t="s">
        <v>9027</v>
      </c>
      <c r="V1900" s="149">
        <v>0.33999999999999997</v>
      </c>
      <c r="W1900" s="149">
        <v>0.35</v>
      </c>
      <c r="X1900" s="152">
        <v>0.19039999999999999</v>
      </c>
      <c r="Y1900" s="150">
        <f t="shared" ref="Y1900:Y1963" si="135">(IF(Z1900&gt;AA1900,Z1900,AA1900)*0.08)+1.01</f>
        <v>1.2428319999999999</v>
      </c>
      <c r="Z1900" s="152">
        <v>1.48</v>
      </c>
      <c r="AA1900" s="150">
        <v>2.9103999999999997</v>
      </c>
      <c r="AB1900" s="150"/>
      <c r="AC1900" s="154"/>
      <c r="AD1900" s="154"/>
      <c r="AE1900" s="154"/>
      <c r="AF1900" s="154"/>
    </row>
    <row r="1901" spans="1:32" x14ac:dyDescent="0.25">
      <c r="A1901" s="182">
        <v>1386</v>
      </c>
      <c r="B1901" s="182" t="s">
        <v>9053</v>
      </c>
      <c r="C1901" s="182" t="s">
        <v>9054</v>
      </c>
      <c r="F1901" s="182">
        <v>1994</v>
      </c>
      <c r="H1901" s="182" t="s">
        <v>1878</v>
      </c>
      <c r="I1901" s="184" t="s">
        <v>7527</v>
      </c>
      <c r="K1901" s="182" t="s">
        <v>1881</v>
      </c>
      <c r="L1901" s="184" t="s">
        <v>9055</v>
      </c>
      <c r="M1901" s="182">
        <v>425</v>
      </c>
      <c r="O1901" s="196" t="s">
        <v>6903</v>
      </c>
      <c r="P1901" s="17">
        <v>390</v>
      </c>
      <c r="Q1901" s="175">
        <v>1.8472319999999998</v>
      </c>
      <c r="R1901" s="199">
        <v>1.2</v>
      </c>
      <c r="S1901" s="199">
        <v>1.72</v>
      </c>
      <c r="T1901" s="149">
        <v>0.13</v>
      </c>
      <c r="U1901" s="149" t="s">
        <v>9027</v>
      </c>
      <c r="V1901" s="149">
        <v>0.33999999999999997</v>
      </c>
      <c r="W1901" s="149">
        <v>0.35</v>
      </c>
      <c r="X1901" s="152">
        <v>0.19039999999999999</v>
      </c>
      <c r="Y1901" s="150">
        <f t="shared" si="135"/>
        <v>1.2428319999999999</v>
      </c>
      <c r="Z1901" s="152">
        <v>1.72</v>
      </c>
      <c r="AA1901" s="150">
        <v>2.9103999999999997</v>
      </c>
      <c r="AB1901" s="150"/>
      <c r="AC1901" s="154"/>
      <c r="AD1901" s="154"/>
      <c r="AE1901" s="154"/>
      <c r="AF1901" s="154"/>
    </row>
    <row r="1902" spans="1:32" x14ac:dyDescent="0.25">
      <c r="A1902" s="182">
        <v>1231</v>
      </c>
      <c r="B1902" s="182" t="s">
        <v>9056</v>
      </c>
      <c r="C1902" s="182" t="s">
        <v>9057</v>
      </c>
      <c r="D1902" s="182" t="s">
        <v>8119</v>
      </c>
      <c r="F1902" s="182">
        <v>2005</v>
      </c>
      <c r="H1902" s="182" t="s">
        <v>2734</v>
      </c>
      <c r="I1902" s="184" t="s">
        <v>1879</v>
      </c>
      <c r="K1902" s="182" t="s">
        <v>1881</v>
      </c>
      <c r="L1902" s="184" t="s">
        <v>9058</v>
      </c>
      <c r="M1902" s="182">
        <v>107</v>
      </c>
      <c r="O1902" s="196" t="s">
        <v>6904</v>
      </c>
      <c r="P1902" s="17">
        <v>562</v>
      </c>
      <c r="Q1902" s="175">
        <v>1.653912</v>
      </c>
      <c r="R1902" s="199">
        <v>1.7</v>
      </c>
      <c r="S1902" s="199">
        <v>3.09</v>
      </c>
      <c r="T1902" s="149">
        <v>0.13</v>
      </c>
      <c r="U1902" s="149" t="s">
        <v>9059</v>
      </c>
      <c r="V1902" s="149">
        <v>0.33999999999999997</v>
      </c>
      <c r="W1902" s="149">
        <v>0.35</v>
      </c>
      <c r="X1902" s="152">
        <v>0.2114</v>
      </c>
      <c r="Y1902" s="150">
        <f t="shared" si="135"/>
        <v>1.2685119999999999</v>
      </c>
      <c r="Z1902" s="152">
        <v>3.09</v>
      </c>
      <c r="AA1902" s="150">
        <v>3.2313999999999998</v>
      </c>
      <c r="AB1902" s="150"/>
      <c r="AC1902" s="154"/>
      <c r="AD1902" s="154"/>
      <c r="AE1902" s="154"/>
      <c r="AF1902" s="154"/>
    </row>
    <row r="1903" spans="1:32" x14ac:dyDescent="0.25">
      <c r="A1903" s="182">
        <v>763</v>
      </c>
      <c r="B1903" s="182" t="s">
        <v>9060</v>
      </c>
      <c r="C1903" s="182" t="s">
        <v>9061</v>
      </c>
      <c r="D1903" s="182" t="s">
        <v>4825</v>
      </c>
      <c r="F1903" s="182">
        <v>1997</v>
      </c>
      <c r="H1903" s="182" t="s">
        <v>1878</v>
      </c>
      <c r="I1903" s="184" t="s">
        <v>7527</v>
      </c>
      <c r="K1903" s="182" t="s">
        <v>1881</v>
      </c>
      <c r="L1903" s="184" t="s">
        <v>9062</v>
      </c>
      <c r="M1903" s="182">
        <v>128</v>
      </c>
      <c r="O1903" s="196" t="s">
        <v>6905</v>
      </c>
      <c r="P1903" s="17">
        <v>347</v>
      </c>
      <c r="Q1903" s="175">
        <v>1.8472319999999998</v>
      </c>
      <c r="R1903" s="199">
        <v>1.2</v>
      </c>
      <c r="S1903" s="199">
        <v>2.9</v>
      </c>
      <c r="T1903" s="149">
        <v>0.13</v>
      </c>
      <c r="U1903" s="149" t="s">
        <v>9027</v>
      </c>
      <c r="V1903" s="149">
        <v>0.33999999999999997</v>
      </c>
      <c r="W1903" s="149">
        <v>0.35</v>
      </c>
      <c r="X1903" s="152">
        <v>0.19039999999999999</v>
      </c>
      <c r="Y1903" s="150">
        <f t="shared" si="135"/>
        <v>1.2428319999999999</v>
      </c>
      <c r="Z1903" s="152">
        <v>2.9</v>
      </c>
      <c r="AA1903" s="150">
        <v>2.9103999999999997</v>
      </c>
      <c r="AB1903" s="150"/>
      <c r="AC1903" s="154"/>
      <c r="AD1903" s="154"/>
      <c r="AE1903" s="154"/>
      <c r="AF1903" s="154"/>
    </row>
    <row r="1904" spans="1:32" x14ac:dyDescent="0.25">
      <c r="A1904" s="182">
        <v>548</v>
      </c>
      <c r="B1904" s="182" t="s">
        <v>9063</v>
      </c>
      <c r="C1904" s="182" t="s">
        <v>9064</v>
      </c>
      <c r="D1904" s="182" t="s">
        <v>9065</v>
      </c>
      <c r="F1904" s="182">
        <v>1997</v>
      </c>
      <c r="H1904" s="182" t="s">
        <v>2734</v>
      </c>
      <c r="I1904" s="184" t="s">
        <v>1929</v>
      </c>
      <c r="K1904" s="182" t="s">
        <v>1881</v>
      </c>
      <c r="L1904" s="184" t="s">
        <v>9066</v>
      </c>
      <c r="M1904" s="182">
        <v>179</v>
      </c>
      <c r="O1904" s="196" t="s">
        <v>6906</v>
      </c>
      <c r="P1904" s="17">
        <v>339</v>
      </c>
      <c r="Q1904" s="175">
        <v>1.8472319999999998</v>
      </c>
      <c r="R1904" s="199">
        <v>1.2</v>
      </c>
      <c r="S1904" s="199">
        <v>2.69</v>
      </c>
      <c r="T1904" s="149">
        <v>0.13</v>
      </c>
      <c r="U1904" s="149" t="s">
        <v>9027</v>
      </c>
      <c r="V1904" s="149">
        <v>0.33999999999999997</v>
      </c>
      <c r="W1904" s="149">
        <v>0.35</v>
      </c>
      <c r="X1904" s="152">
        <v>0.19039999999999999</v>
      </c>
      <c r="Y1904" s="150">
        <f t="shared" si="135"/>
        <v>1.2428319999999999</v>
      </c>
      <c r="Z1904" s="152">
        <v>2.69</v>
      </c>
      <c r="AA1904" s="150">
        <v>2.9103999999999997</v>
      </c>
      <c r="AB1904" s="150"/>
      <c r="AC1904" s="154"/>
      <c r="AD1904" s="154"/>
      <c r="AE1904" s="154"/>
      <c r="AF1904" s="154"/>
    </row>
    <row r="1905" spans="1:32" x14ac:dyDescent="0.25">
      <c r="A1905" s="182">
        <v>632</v>
      </c>
      <c r="B1905" s="182" t="s">
        <v>6256</v>
      </c>
      <c r="C1905" s="182" t="s">
        <v>9067</v>
      </c>
      <c r="D1905" s="182" t="s">
        <v>1920</v>
      </c>
      <c r="F1905" s="182">
        <v>2003</v>
      </c>
      <c r="H1905" s="182" t="s">
        <v>1878</v>
      </c>
      <c r="I1905" s="184" t="s">
        <v>1914</v>
      </c>
      <c r="K1905" s="182" t="s">
        <v>1881</v>
      </c>
      <c r="L1905" s="184" t="s">
        <v>9068</v>
      </c>
      <c r="M1905" s="182">
        <v>603</v>
      </c>
      <c r="O1905" s="196" t="s">
        <v>6907</v>
      </c>
      <c r="P1905" s="17">
        <v>507</v>
      </c>
      <c r="Q1905" s="175">
        <v>1.653912</v>
      </c>
      <c r="R1905" s="199">
        <v>1.7</v>
      </c>
      <c r="S1905" s="199">
        <v>2.15</v>
      </c>
      <c r="T1905" s="149">
        <v>0.13</v>
      </c>
      <c r="U1905" s="149" t="s">
        <v>9059</v>
      </c>
      <c r="V1905" s="149">
        <v>0.33999999999999997</v>
      </c>
      <c r="W1905" s="149">
        <v>0.35</v>
      </c>
      <c r="X1905" s="152">
        <v>0.2114</v>
      </c>
      <c r="Y1905" s="150">
        <f t="shared" si="135"/>
        <v>1.2685119999999999</v>
      </c>
      <c r="Z1905" s="152">
        <v>2.15</v>
      </c>
      <c r="AA1905" s="150">
        <v>3.2313999999999998</v>
      </c>
      <c r="AB1905" s="150"/>
      <c r="AC1905" s="154"/>
      <c r="AD1905" s="154"/>
      <c r="AE1905" s="154"/>
      <c r="AF1905" s="154"/>
    </row>
    <row r="1906" spans="1:32" x14ac:dyDescent="0.25">
      <c r="A1906" s="182">
        <v>632</v>
      </c>
      <c r="B1906" s="182" t="s">
        <v>7258</v>
      </c>
      <c r="C1906" s="182" t="s">
        <v>9069</v>
      </c>
      <c r="D1906" s="182" t="s">
        <v>2257</v>
      </c>
      <c r="F1906" s="182">
        <v>1990</v>
      </c>
      <c r="H1906" s="182" t="s">
        <v>1878</v>
      </c>
      <c r="I1906" s="184" t="s">
        <v>7527</v>
      </c>
      <c r="K1906" s="182" t="s">
        <v>1881</v>
      </c>
      <c r="L1906" s="184" t="s">
        <v>9070</v>
      </c>
      <c r="M1906" s="182">
        <v>636</v>
      </c>
      <c r="O1906" s="196" t="s">
        <v>6908</v>
      </c>
      <c r="P1906" s="17">
        <v>358</v>
      </c>
      <c r="Q1906" s="175">
        <v>1.8472319999999998</v>
      </c>
      <c r="R1906" s="199">
        <v>1.2</v>
      </c>
      <c r="S1906" s="199">
        <v>1.45</v>
      </c>
      <c r="T1906" s="149">
        <v>0.13</v>
      </c>
      <c r="U1906" s="149" t="s">
        <v>9027</v>
      </c>
      <c r="V1906" s="149">
        <v>0.33999999999999997</v>
      </c>
      <c r="W1906" s="149">
        <v>0.35</v>
      </c>
      <c r="X1906" s="152">
        <v>0.19039999999999999</v>
      </c>
      <c r="Y1906" s="150">
        <f t="shared" si="135"/>
        <v>1.2428319999999999</v>
      </c>
      <c r="Z1906" s="152">
        <v>1.45</v>
      </c>
      <c r="AA1906" s="150">
        <v>2.9103999999999997</v>
      </c>
      <c r="AB1906" s="150"/>
      <c r="AC1906" s="154"/>
      <c r="AD1906" s="154"/>
      <c r="AE1906" s="154"/>
      <c r="AF1906" s="154"/>
    </row>
    <row r="1907" spans="1:32" x14ac:dyDescent="0.25">
      <c r="A1907" s="182">
        <v>692</v>
      </c>
      <c r="B1907" s="182" t="s">
        <v>9071</v>
      </c>
      <c r="C1907" s="182" t="s">
        <v>9072</v>
      </c>
      <c r="D1907" s="182" t="s">
        <v>2054</v>
      </c>
      <c r="F1907" s="182">
        <v>2014</v>
      </c>
      <c r="H1907" s="182" t="s">
        <v>1878</v>
      </c>
      <c r="I1907" s="184" t="s">
        <v>1929</v>
      </c>
      <c r="K1907" s="182" t="s">
        <v>1881</v>
      </c>
      <c r="L1907" s="184" t="s">
        <v>9073</v>
      </c>
      <c r="M1907" s="182">
        <v>288</v>
      </c>
      <c r="O1907" s="196" t="s">
        <v>6909</v>
      </c>
      <c r="P1907" s="17">
        <v>282</v>
      </c>
      <c r="Q1907" s="175">
        <v>1.8472319999999998</v>
      </c>
      <c r="R1907" s="199">
        <v>1.2</v>
      </c>
      <c r="S1907" s="199">
        <v>1.7</v>
      </c>
      <c r="T1907" s="149">
        <v>0.13</v>
      </c>
      <c r="U1907" s="149" t="s">
        <v>9027</v>
      </c>
      <c r="V1907" s="149">
        <v>0.33999999999999997</v>
      </c>
      <c r="W1907" s="149">
        <v>0.35</v>
      </c>
      <c r="X1907" s="152">
        <v>0.19039999999999999</v>
      </c>
      <c r="Y1907" s="150">
        <f t="shared" si="135"/>
        <v>1.2428319999999999</v>
      </c>
      <c r="Z1907" s="152">
        <v>1.7</v>
      </c>
      <c r="AA1907" s="150">
        <v>2.9103999999999997</v>
      </c>
      <c r="AB1907" s="150"/>
      <c r="AC1907" s="154"/>
      <c r="AD1907" s="154"/>
      <c r="AE1907" s="154"/>
      <c r="AF1907" s="154"/>
    </row>
    <row r="1908" spans="1:32" x14ac:dyDescent="0.25">
      <c r="A1908" s="182">
        <v>692</v>
      </c>
      <c r="B1908" s="182" t="s">
        <v>4802</v>
      </c>
      <c r="C1908" s="182" t="s">
        <v>9074</v>
      </c>
      <c r="D1908" s="182" t="s">
        <v>1920</v>
      </c>
      <c r="F1908" s="182">
        <v>2011</v>
      </c>
      <c r="H1908" s="182" t="s">
        <v>1878</v>
      </c>
      <c r="I1908" s="184" t="s">
        <v>1929</v>
      </c>
      <c r="K1908" s="182" t="s">
        <v>1881</v>
      </c>
      <c r="M1908" s="182">
        <v>301</v>
      </c>
      <c r="O1908" s="196" t="s">
        <v>6910</v>
      </c>
      <c r="P1908" s="17">
        <v>229</v>
      </c>
      <c r="Q1908" s="175">
        <v>1.8472319999999998</v>
      </c>
      <c r="R1908" s="199">
        <v>1.2</v>
      </c>
      <c r="S1908" s="199">
        <v>1.7</v>
      </c>
      <c r="T1908" s="149">
        <v>0.13</v>
      </c>
      <c r="U1908" s="149" t="s">
        <v>9027</v>
      </c>
      <c r="V1908" s="149">
        <v>0.33999999999999997</v>
      </c>
      <c r="W1908" s="149">
        <v>0.35</v>
      </c>
      <c r="X1908" s="152">
        <v>0.19039999999999999</v>
      </c>
      <c r="Y1908" s="150">
        <f t="shared" si="135"/>
        <v>1.2428319999999999</v>
      </c>
      <c r="Z1908" s="152">
        <v>1.7</v>
      </c>
      <c r="AA1908" s="150">
        <v>2.9103999999999997</v>
      </c>
      <c r="AB1908" s="150"/>
      <c r="AC1908" s="154"/>
      <c r="AD1908" s="154"/>
      <c r="AE1908" s="154"/>
      <c r="AF1908" s="154"/>
    </row>
    <row r="1909" spans="1:32" x14ac:dyDescent="0.25">
      <c r="A1909" s="182">
        <v>692</v>
      </c>
      <c r="B1909" s="182" t="s">
        <v>9075</v>
      </c>
      <c r="C1909" s="182" t="s">
        <v>9076</v>
      </c>
      <c r="D1909" s="182" t="s">
        <v>2054</v>
      </c>
      <c r="F1909" s="182">
        <v>2014</v>
      </c>
      <c r="H1909" s="182" t="s">
        <v>1878</v>
      </c>
      <c r="I1909" s="184" t="s">
        <v>1929</v>
      </c>
      <c r="K1909" s="182" t="s">
        <v>1881</v>
      </c>
      <c r="L1909" s="184" t="s">
        <v>9077</v>
      </c>
      <c r="M1909" s="182">
        <v>383</v>
      </c>
      <c r="O1909" s="196" t="s">
        <v>6911</v>
      </c>
      <c r="P1909" s="17">
        <v>375</v>
      </c>
      <c r="Q1909" s="175">
        <v>1.8472319999999998</v>
      </c>
      <c r="R1909" s="199">
        <v>1.2</v>
      </c>
      <c r="S1909" s="199">
        <v>1.65</v>
      </c>
      <c r="T1909" s="149">
        <v>0.13</v>
      </c>
      <c r="U1909" s="149" t="s">
        <v>9027</v>
      </c>
      <c r="V1909" s="149">
        <v>0.33999999999999997</v>
      </c>
      <c r="W1909" s="149">
        <v>0.35</v>
      </c>
      <c r="X1909" s="152">
        <v>0.19039999999999999</v>
      </c>
      <c r="Y1909" s="150">
        <f t="shared" si="135"/>
        <v>1.2428319999999999</v>
      </c>
      <c r="Z1909" s="152">
        <v>1.65</v>
      </c>
      <c r="AA1909" s="150">
        <v>2.9103999999999997</v>
      </c>
      <c r="AB1909" s="150"/>
      <c r="AC1909" s="154"/>
      <c r="AD1909" s="154"/>
      <c r="AE1909" s="154"/>
      <c r="AF1909" s="154"/>
    </row>
    <row r="1910" spans="1:32" x14ac:dyDescent="0.25">
      <c r="A1910" s="182">
        <v>692</v>
      </c>
      <c r="B1910" s="182" t="s">
        <v>9078</v>
      </c>
      <c r="C1910" s="182" t="s">
        <v>9079</v>
      </c>
      <c r="D1910" s="182" t="s">
        <v>1912</v>
      </c>
      <c r="F1910" s="182">
        <v>2008</v>
      </c>
      <c r="H1910" s="182" t="s">
        <v>9080</v>
      </c>
      <c r="I1910" s="184" t="s">
        <v>7817</v>
      </c>
      <c r="K1910" s="182" t="s">
        <v>1881</v>
      </c>
      <c r="L1910" s="184" t="s">
        <v>9081</v>
      </c>
      <c r="M1910" s="182">
        <v>251</v>
      </c>
      <c r="O1910" s="196" t="s">
        <v>6912</v>
      </c>
      <c r="P1910" s="17">
        <v>248</v>
      </c>
      <c r="Q1910" s="175">
        <v>1.8472319999999998</v>
      </c>
      <c r="R1910" s="199">
        <v>1.2</v>
      </c>
      <c r="S1910" s="199">
        <v>1.65</v>
      </c>
      <c r="T1910" s="149">
        <v>0.13</v>
      </c>
      <c r="U1910" s="149" t="s">
        <v>9027</v>
      </c>
      <c r="V1910" s="149">
        <v>0.33999999999999997</v>
      </c>
      <c r="W1910" s="149">
        <v>0.35</v>
      </c>
      <c r="X1910" s="152">
        <v>0.19039999999999999</v>
      </c>
      <c r="Y1910" s="150">
        <f t="shared" si="135"/>
        <v>1.2428319999999999</v>
      </c>
      <c r="Z1910" s="152">
        <v>1.65</v>
      </c>
      <c r="AA1910" s="150">
        <v>2.9103999999999997</v>
      </c>
      <c r="AB1910" s="150"/>
      <c r="AC1910" s="154"/>
      <c r="AD1910" s="154"/>
      <c r="AE1910" s="154"/>
      <c r="AF1910" s="154"/>
    </row>
    <row r="1911" spans="1:32" x14ac:dyDescent="0.25">
      <c r="A1911" s="182">
        <v>2522</v>
      </c>
      <c r="B1911" s="182" t="s">
        <v>9082</v>
      </c>
      <c r="C1911" s="182" t="s">
        <v>9083</v>
      </c>
      <c r="D1911" s="182" t="s">
        <v>9084</v>
      </c>
      <c r="F1911" s="182">
        <v>2012</v>
      </c>
      <c r="H1911" s="182" t="s">
        <v>2734</v>
      </c>
      <c r="I1911" s="184" t="s">
        <v>1929</v>
      </c>
      <c r="K1911" s="182" t="s">
        <v>1881</v>
      </c>
      <c r="L1911" s="184" t="s">
        <v>9085</v>
      </c>
      <c r="M1911" s="182">
        <v>493</v>
      </c>
      <c r="O1911" s="196" t="s">
        <v>6913</v>
      </c>
      <c r="P1911" s="17">
        <v>711</v>
      </c>
      <c r="Q1911" s="175">
        <v>2.3760000000000003</v>
      </c>
      <c r="R1911" s="199">
        <v>1.7</v>
      </c>
      <c r="S1911" s="199">
        <v>3.9</v>
      </c>
      <c r="T1911" s="149">
        <v>0.13</v>
      </c>
      <c r="U1911" s="149" t="s">
        <v>9059</v>
      </c>
      <c r="V1911" s="149">
        <v>0.33999999999999997</v>
      </c>
      <c r="W1911" s="149">
        <v>0.35</v>
      </c>
      <c r="X1911" s="152">
        <v>0.2114</v>
      </c>
      <c r="Y1911" s="150">
        <f t="shared" si="135"/>
        <v>1.3220000000000001</v>
      </c>
      <c r="Z1911" s="152">
        <v>3.9</v>
      </c>
      <c r="AA1911" s="150">
        <v>3.2313999999999998</v>
      </c>
      <c r="AB1911" s="150"/>
      <c r="AC1911" s="154"/>
      <c r="AD1911" s="154"/>
      <c r="AE1911" s="154"/>
      <c r="AF1911" s="154"/>
    </row>
    <row r="1912" spans="1:32" x14ac:dyDescent="0.25">
      <c r="A1912" s="182">
        <v>2522</v>
      </c>
      <c r="B1912" s="182" t="s">
        <v>2101</v>
      </c>
      <c r="C1912" s="182" t="s">
        <v>9086</v>
      </c>
      <c r="D1912" s="182" t="s">
        <v>3524</v>
      </c>
      <c r="E1912" s="182" t="s">
        <v>1913</v>
      </c>
      <c r="F1912" s="182">
        <v>2010</v>
      </c>
      <c r="H1912" s="182" t="s">
        <v>1878</v>
      </c>
      <c r="I1912" s="184" t="s">
        <v>7817</v>
      </c>
      <c r="K1912" s="182" t="s">
        <v>1881</v>
      </c>
      <c r="L1912" s="184" t="s">
        <v>9087</v>
      </c>
      <c r="M1912" s="182">
        <v>300</v>
      </c>
      <c r="O1912" s="196" t="s">
        <v>6914</v>
      </c>
      <c r="P1912" s="17">
        <v>312</v>
      </c>
      <c r="Q1912" s="175">
        <v>1.8472319999999998</v>
      </c>
      <c r="R1912" s="199">
        <v>1.2</v>
      </c>
      <c r="S1912" s="199">
        <v>2.2000000000000002</v>
      </c>
      <c r="T1912" s="149">
        <v>0.13</v>
      </c>
      <c r="U1912" s="149" t="s">
        <v>9027</v>
      </c>
      <c r="V1912" s="149">
        <v>0.33999999999999997</v>
      </c>
      <c r="W1912" s="149">
        <v>0.35</v>
      </c>
      <c r="X1912" s="152">
        <v>0.19039999999999999</v>
      </c>
      <c r="Y1912" s="150">
        <f t="shared" si="135"/>
        <v>1.2428319999999999</v>
      </c>
      <c r="Z1912" s="152">
        <v>2.2000000000000002</v>
      </c>
      <c r="AA1912" s="150">
        <v>2.9103999999999997</v>
      </c>
      <c r="AB1912" s="150"/>
      <c r="AC1912" s="154"/>
      <c r="AD1912" s="154"/>
      <c r="AE1912" s="154"/>
      <c r="AF1912" s="154"/>
    </row>
    <row r="1913" spans="1:32" x14ac:dyDescent="0.25">
      <c r="A1913" s="182">
        <v>1913</v>
      </c>
      <c r="B1913" s="182" t="s">
        <v>8774</v>
      </c>
      <c r="C1913" s="182" t="s">
        <v>9088</v>
      </c>
      <c r="D1913" s="182" t="s">
        <v>1912</v>
      </c>
      <c r="F1913" s="182">
        <v>1998</v>
      </c>
      <c r="H1913" s="182" t="s">
        <v>1878</v>
      </c>
      <c r="I1913" s="184" t="s">
        <v>7527</v>
      </c>
      <c r="K1913" s="182" t="s">
        <v>1881</v>
      </c>
      <c r="L1913" s="184" t="s">
        <v>9089</v>
      </c>
      <c r="M1913" s="182">
        <v>572</v>
      </c>
      <c r="O1913" s="196" t="s">
        <v>6915</v>
      </c>
      <c r="P1913" s="17">
        <v>391</v>
      </c>
      <c r="Q1913" s="175">
        <v>1.8472319999999998</v>
      </c>
      <c r="R1913" s="199">
        <v>1.2</v>
      </c>
      <c r="S1913" s="199">
        <v>1.7</v>
      </c>
      <c r="T1913" s="149">
        <v>0.13</v>
      </c>
      <c r="U1913" s="149" t="s">
        <v>9027</v>
      </c>
      <c r="V1913" s="149">
        <v>0.33999999999999997</v>
      </c>
      <c r="W1913" s="149">
        <v>0.35</v>
      </c>
      <c r="X1913" s="152">
        <v>0.19039999999999999</v>
      </c>
      <c r="Y1913" s="150">
        <f t="shared" si="135"/>
        <v>1.2428319999999999</v>
      </c>
      <c r="Z1913" s="152">
        <v>1.7</v>
      </c>
      <c r="AA1913" s="150">
        <v>2.9103999999999997</v>
      </c>
      <c r="AB1913" s="150"/>
      <c r="AC1913" s="154"/>
      <c r="AD1913" s="154"/>
      <c r="AE1913" s="154"/>
      <c r="AF1913" s="154"/>
    </row>
    <row r="1914" spans="1:32" x14ac:dyDescent="0.25">
      <c r="A1914" s="182">
        <v>631</v>
      </c>
      <c r="B1914" s="182" t="s">
        <v>9090</v>
      </c>
      <c r="C1914" s="182" t="s">
        <v>9091</v>
      </c>
      <c r="D1914" s="182" t="s">
        <v>2926</v>
      </c>
      <c r="F1914" s="182">
        <v>2001</v>
      </c>
      <c r="H1914" s="182" t="s">
        <v>1878</v>
      </c>
      <c r="I1914" s="184" t="s">
        <v>1879</v>
      </c>
      <c r="J1914" s="182" t="s">
        <v>9092</v>
      </c>
      <c r="K1914" s="182" t="s">
        <v>1881</v>
      </c>
      <c r="L1914" s="184" t="s">
        <v>9093</v>
      </c>
      <c r="M1914" s="182">
        <v>219</v>
      </c>
      <c r="O1914" s="196" t="s">
        <v>6916</v>
      </c>
      <c r="P1914" s="17">
        <v>206</v>
      </c>
      <c r="Q1914" s="175">
        <v>1.8472319999999998</v>
      </c>
      <c r="R1914" s="199">
        <v>1.2</v>
      </c>
      <c r="S1914" s="199">
        <v>2.7800000000000002</v>
      </c>
      <c r="T1914" s="149">
        <v>0.13</v>
      </c>
      <c r="U1914" s="149" t="s">
        <v>9027</v>
      </c>
      <c r="V1914" s="149">
        <v>0.33999999999999997</v>
      </c>
      <c r="W1914" s="149">
        <v>0.35</v>
      </c>
      <c r="X1914" s="152">
        <v>0.19039999999999999</v>
      </c>
      <c r="Y1914" s="150">
        <f t="shared" si="135"/>
        <v>1.2428319999999999</v>
      </c>
      <c r="Z1914" s="152">
        <v>2.7800000000000002</v>
      </c>
      <c r="AA1914" s="150">
        <v>2.9103999999999997</v>
      </c>
      <c r="AB1914" s="150"/>
      <c r="AC1914" s="154"/>
      <c r="AD1914" s="154"/>
      <c r="AE1914" s="154"/>
      <c r="AF1914" s="154"/>
    </row>
    <row r="1915" spans="1:32" x14ac:dyDescent="0.25">
      <c r="A1915" s="182">
        <v>689</v>
      </c>
      <c r="B1915" s="182" t="s">
        <v>2242</v>
      </c>
      <c r="C1915" s="182" t="s">
        <v>7437</v>
      </c>
      <c r="D1915" s="182" t="s">
        <v>9094</v>
      </c>
      <c r="F1915" s="182">
        <v>2001</v>
      </c>
      <c r="H1915" s="182" t="s">
        <v>2734</v>
      </c>
      <c r="I1915" s="184" t="s">
        <v>1879</v>
      </c>
      <c r="K1915" s="182" t="s">
        <v>1881</v>
      </c>
      <c r="M1915" s="182">
        <v>494</v>
      </c>
      <c r="O1915" s="196" t="s">
        <v>6917</v>
      </c>
      <c r="P1915" s="17">
        <v>600</v>
      </c>
      <c r="Q1915" s="175">
        <v>1.653912</v>
      </c>
      <c r="R1915" s="199">
        <v>1.7</v>
      </c>
      <c r="S1915" s="199">
        <v>1.4</v>
      </c>
      <c r="T1915" s="149">
        <v>0.13</v>
      </c>
      <c r="U1915" s="149" t="s">
        <v>9059</v>
      </c>
      <c r="V1915" s="149">
        <v>0.33999999999999997</v>
      </c>
      <c r="W1915" s="149">
        <v>0.35</v>
      </c>
      <c r="X1915" s="152">
        <v>0.2114</v>
      </c>
      <c r="Y1915" s="150">
        <f t="shared" si="135"/>
        <v>1.2685119999999999</v>
      </c>
      <c r="Z1915" s="152">
        <v>1.4</v>
      </c>
      <c r="AA1915" s="150">
        <v>3.2313999999999998</v>
      </c>
      <c r="AB1915" s="150"/>
      <c r="AC1915" s="154"/>
      <c r="AD1915" s="154"/>
      <c r="AE1915" s="154"/>
      <c r="AF1915" s="154"/>
    </row>
    <row r="1916" spans="1:32" x14ac:dyDescent="0.25">
      <c r="A1916" s="182">
        <v>701</v>
      </c>
      <c r="B1916" s="182" t="s">
        <v>9095</v>
      </c>
      <c r="C1916" s="182" t="s">
        <v>9096</v>
      </c>
      <c r="D1916" s="182" t="s">
        <v>2609</v>
      </c>
      <c r="F1916" s="182">
        <v>2011</v>
      </c>
      <c r="H1916" s="182" t="s">
        <v>1878</v>
      </c>
      <c r="I1916" s="184" t="s">
        <v>7527</v>
      </c>
      <c r="J1916" s="182" t="s">
        <v>9092</v>
      </c>
      <c r="K1916" s="182" t="s">
        <v>1881</v>
      </c>
      <c r="L1916" s="184" t="s">
        <v>9097</v>
      </c>
      <c r="M1916" s="182">
        <v>301</v>
      </c>
      <c r="O1916" s="196" t="s">
        <v>6918</v>
      </c>
      <c r="P1916" s="17">
        <v>276</v>
      </c>
      <c r="Q1916" s="175">
        <v>1.8472319999999998</v>
      </c>
      <c r="R1916" s="199">
        <v>1.2</v>
      </c>
      <c r="S1916" s="199">
        <v>1.79</v>
      </c>
      <c r="T1916" s="149">
        <v>0.13</v>
      </c>
      <c r="U1916" s="149" t="s">
        <v>9027</v>
      </c>
      <c r="V1916" s="149">
        <v>0.33999999999999997</v>
      </c>
      <c r="W1916" s="149">
        <v>0.35</v>
      </c>
      <c r="X1916" s="152">
        <v>0.19039999999999999</v>
      </c>
      <c r="Y1916" s="150">
        <f t="shared" si="135"/>
        <v>1.2428319999999999</v>
      </c>
      <c r="Z1916" s="152">
        <v>1.79</v>
      </c>
      <c r="AA1916" s="150">
        <v>2.9103999999999997</v>
      </c>
      <c r="AB1916" s="150"/>
      <c r="AC1916" s="154"/>
      <c r="AD1916" s="154"/>
      <c r="AE1916" s="154"/>
      <c r="AF1916" s="154"/>
    </row>
    <row r="1917" spans="1:32" x14ac:dyDescent="0.25">
      <c r="A1917" s="182">
        <v>2553</v>
      </c>
      <c r="B1917" s="182" t="s">
        <v>9098</v>
      </c>
      <c r="C1917" s="182" t="s">
        <v>9099</v>
      </c>
      <c r="D1917" s="182" t="s">
        <v>2054</v>
      </c>
      <c r="F1917" s="182">
        <v>2003</v>
      </c>
      <c r="H1917" s="182" t="s">
        <v>1878</v>
      </c>
      <c r="I1917" s="184" t="s">
        <v>7527</v>
      </c>
      <c r="K1917" s="182" t="s">
        <v>1881</v>
      </c>
      <c r="L1917" s="184" t="s">
        <v>9100</v>
      </c>
      <c r="M1917" s="182">
        <v>446</v>
      </c>
      <c r="O1917" s="196" t="s">
        <v>6919</v>
      </c>
      <c r="P1917" s="17">
        <v>323</v>
      </c>
      <c r="Q1917" s="175">
        <v>1.8472319999999998</v>
      </c>
      <c r="R1917" s="199">
        <v>1.2</v>
      </c>
      <c r="S1917" s="199">
        <v>1.58</v>
      </c>
      <c r="T1917" s="149">
        <v>0.13</v>
      </c>
      <c r="U1917" s="149" t="s">
        <v>9027</v>
      </c>
      <c r="V1917" s="149">
        <v>0.33999999999999997</v>
      </c>
      <c r="W1917" s="149">
        <v>0.35</v>
      </c>
      <c r="X1917" s="152">
        <v>0.19039999999999999</v>
      </c>
      <c r="Y1917" s="150">
        <f t="shared" si="135"/>
        <v>1.2428319999999999</v>
      </c>
      <c r="Z1917" s="152">
        <v>1.58</v>
      </c>
      <c r="AA1917" s="150">
        <v>2.9103999999999997</v>
      </c>
      <c r="AB1917" s="150"/>
      <c r="AC1917" s="154"/>
      <c r="AD1917" s="154"/>
      <c r="AE1917" s="154"/>
      <c r="AF1917" s="154"/>
    </row>
    <row r="1918" spans="1:32" x14ac:dyDescent="0.25">
      <c r="A1918" s="182">
        <v>1327</v>
      </c>
      <c r="B1918" s="182" t="s">
        <v>9101</v>
      </c>
      <c r="C1918" s="182" t="s">
        <v>9102</v>
      </c>
      <c r="D1918" s="182" t="s">
        <v>1876</v>
      </c>
      <c r="F1918" s="182">
        <v>1996</v>
      </c>
      <c r="H1918" s="182" t="s">
        <v>1878</v>
      </c>
      <c r="I1918" s="184" t="s">
        <v>7527</v>
      </c>
      <c r="K1918" s="182" t="s">
        <v>1881</v>
      </c>
      <c r="L1918" s="184" t="s">
        <v>9103</v>
      </c>
      <c r="M1918" s="182">
        <v>122</v>
      </c>
      <c r="O1918" s="196" t="s">
        <v>6920</v>
      </c>
      <c r="P1918" s="17">
        <v>158</v>
      </c>
      <c r="Q1918" s="175">
        <v>1.8472319999999998</v>
      </c>
      <c r="R1918" s="199">
        <v>1.2</v>
      </c>
      <c r="S1918" s="199">
        <v>1.45</v>
      </c>
      <c r="T1918" s="149">
        <v>0.13</v>
      </c>
      <c r="U1918" s="149" t="s">
        <v>9027</v>
      </c>
      <c r="V1918" s="149">
        <v>0.33999999999999997</v>
      </c>
      <c r="W1918" s="149">
        <v>0.35</v>
      </c>
      <c r="X1918" s="152">
        <v>0.19039999999999999</v>
      </c>
      <c r="Y1918" s="150">
        <f t="shared" si="135"/>
        <v>1.2428319999999999</v>
      </c>
      <c r="Z1918" s="152">
        <v>1.45</v>
      </c>
      <c r="AA1918" s="150">
        <v>2.9103999999999997</v>
      </c>
      <c r="AB1918" s="150"/>
      <c r="AC1918" s="154"/>
      <c r="AD1918" s="154"/>
      <c r="AE1918" s="154"/>
      <c r="AF1918" s="154"/>
    </row>
    <row r="1919" spans="1:32" x14ac:dyDescent="0.25">
      <c r="A1919" s="182">
        <v>632</v>
      </c>
      <c r="B1919" s="182" t="s">
        <v>3832</v>
      </c>
      <c r="C1919" s="182" t="s">
        <v>9104</v>
      </c>
      <c r="D1919" s="182" t="s">
        <v>2054</v>
      </c>
      <c r="F1919" s="182">
        <v>2012</v>
      </c>
      <c r="H1919" s="182" t="s">
        <v>1878</v>
      </c>
      <c r="I1919" s="184" t="s">
        <v>1879</v>
      </c>
      <c r="K1919" s="182" t="s">
        <v>1881</v>
      </c>
      <c r="L1919" s="184" t="s">
        <v>9105</v>
      </c>
      <c r="M1919" s="182">
        <v>1214</v>
      </c>
      <c r="O1919" s="196" t="s">
        <v>6921</v>
      </c>
      <c r="P1919" s="17">
        <v>1156</v>
      </c>
      <c r="Q1919" s="175">
        <v>2.4192000000000005</v>
      </c>
      <c r="R1919" s="199">
        <v>1.7</v>
      </c>
      <c r="S1919" s="199">
        <v>3.9400000000000004</v>
      </c>
      <c r="T1919" s="149">
        <v>0.13</v>
      </c>
      <c r="U1919" s="149" t="s">
        <v>9059</v>
      </c>
      <c r="V1919" s="149">
        <v>0.33999999999999997</v>
      </c>
      <c r="W1919" s="149">
        <v>0.35</v>
      </c>
      <c r="X1919" s="152">
        <v>0.2114</v>
      </c>
      <c r="Y1919" s="150">
        <f t="shared" si="135"/>
        <v>1.3252000000000002</v>
      </c>
      <c r="Z1919" s="152">
        <v>3.9400000000000004</v>
      </c>
      <c r="AA1919" s="150">
        <v>3.2313999999999998</v>
      </c>
      <c r="AB1919" s="150"/>
      <c r="AC1919" s="154"/>
      <c r="AD1919" s="154"/>
      <c r="AE1919" s="154"/>
      <c r="AF1919" s="154"/>
    </row>
    <row r="1920" spans="1:32" x14ac:dyDescent="0.25">
      <c r="A1920" s="182">
        <v>1904</v>
      </c>
      <c r="B1920" s="182" t="s">
        <v>7541</v>
      </c>
      <c r="C1920" s="182" t="s">
        <v>9106</v>
      </c>
      <c r="D1920" s="182" t="s">
        <v>2209</v>
      </c>
      <c r="F1920" s="182">
        <v>2011</v>
      </c>
      <c r="H1920" s="182" t="s">
        <v>1878</v>
      </c>
      <c r="I1920" s="184" t="s">
        <v>7527</v>
      </c>
      <c r="K1920" s="182" t="s">
        <v>1881</v>
      </c>
      <c r="L1920" s="184" t="s">
        <v>9107</v>
      </c>
      <c r="M1920" s="182">
        <v>447</v>
      </c>
      <c r="O1920" s="196" t="s">
        <v>6922</v>
      </c>
      <c r="P1920" s="17">
        <v>386</v>
      </c>
      <c r="Q1920" s="175">
        <v>1.8472319999999998</v>
      </c>
      <c r="R1920" s="199">
        <v>1.2</v>
      </c>
      <c r="S1920" s="199">
        <v>1.8</v>
      </c>
      <c r="T1920" s="149">
        <v>0.13</v>
      </c>
      <c r="U1920" s="149" t="s">
        <v>9027</v>
      </c>
      <c r="V1920" s="149">
        <v>0.33999999999999997</v>
      </c>
      <c r="W1920" s="149">
        <v>0.35</v>
      </c>
      <c r="X1920" s="152">
        <v>0.19039999999999999</v>
      </c>
      <c r="Y1920" s="150">
        <f t="shared" si="135"/>
        <v>1.2428319999999999</v>
      </c>
      <c r="Z1920" s="152">
        <v>1.8</v>
      </c>
      <c r="AA1920" s="150">
        <v>2.9103999999999997</v>
      </c>
      <c r="AB1920" s="150"/>
      <c r="AC1920" s="154"/>
      <c r="AD1920" s="154"/>
      <c r="AE1920" s="154"/>
      <c r="AF1920" s="154"/>
    </row>
    <row r="1921" spans="1:36" x14ac:dyDescent="0.25">
      <c r="A1921" s="182">
        <v>1386</v>
      </c>
      <c r="B1921" s="182" t="s">
        <v>9108</v>
      </c>
      <c r="C1921" s="182" t="s">
        <v>9109</v>
      </c>
      <c r="D1921" s="182" t="s">
        <v>2818</v>
      </c>
      <c r="E1921" s="182" t="s">
        <v>2157</v>
      </c>
      <c r="F1921" s="182">
        <v>1998</v>
      </c>
      <c r="H1921" s="182" t="s">
        <v>1878</v>
      </c>
      <c r="I1921" s="184" t="s">
        <v>7527</v>
      </c>
      <c r="K1921" s="182" t="s">
        <v>1881</v>
      </c>
      <c r="L1921" s="184" t="s">
        <v>9110</v>
      </c>
      <c r="M1921" s="182">
        <v>206</v>
      </c>
      <c r="O1921" s="196" t="s">
        <v>6923</v>
      </c>
      <c r="P1921" s="17">
        <v>179</v>
      </c>
      <c r="Q1921" s="175">
        <v>1.8472319999999998</v>
      </c>
      <c r="R1921" s="199">
        <v>1.2</v>
      </c>
      <c r="S1921" s="199">
        <v>1.7</v>
      </c>
      <c r="T1921" s="149">
        <v>0.13</v>
      </c>
      <c r="U1921" s="149" t="s">
        <v>9027</v>
      </c>
      <c r="V1921" s="149">
        <v>0.33999999999999997</v>
      </c>
      <c r="W1921" s="149">
        <v>0.35</v>
      </c>
      <c r="X1921" s="152">
        <v>0.19039999999999999</v>
      </c>
      <c r="Y1921" s="150">
        <f t="shared" si="135"/>
        <v>1.2428319999999999</v>
      </c>
      <c r="Z1921" s="152">
        <v>1.7</v>
      </c>
      <c r="AA1921" s="150">
        <v>2.9103999999999997</v>
      </c>
      <c r="AB1921" s="150"/>
      <c r="AC1921" s="154"/>
      <c r="AD1921" s="154"/>
      <c r="AE1921" s="154"/>
      <c r="AF1921" s="154"/>
    </row>
    <row r="1922" spans="1:36" x14ac:dyDescent="0.25">
      <c r="A1922" s="182">
        <v>632</v>
      </c>
      <c r="B1922" s="182" t="s">
        <v>9111</v>
      </c>
      <c r="C1922" s="182" t="s">
        <v>9112</v>
      </c>
      <c r="D1922" s="182" t="s">
        <v>2368</v>
      </c>
      <c r="F1922" s="182">
        <v>2017</v>
      </c>
      <c r="H1922" s="182" t="s">
        <v>2734</v>
      </c>
      <c r="I1922" s="184" t="s">
        <v>7817</v>
      </c>
      <c r="K1922" s="182" t="s">
        <v>1881</v>
      </c>
      <c r="L1922" s="184" t="s">
        <v>9113</v>
      </c>
      <c r="M1922" s="182">
        <v>762</v>
      </c>
      <c r="O1922" s="196" t="s">
        <v>6924</v>
      </c>
      <c r="P1922" s="17">
        <v>866</v>
      </c>
      <c r="Q1922" s="175">
        <v>8.3699999999999992</v>
      </c>
      <c r="R1922" s="199">
        <v>1.7</v>
      </c>
      <c r="S1922" s="199">
        <v>9.4499999999999993</v>
      </c>
      <c r="T1922" s="149">
        <v>0.13</v>
      </c>
      <c r="U1922" s="149" t="s">
        <v>9059</v>
      </c>
      <c r="V1922" s="149">
        <v>0.33999999999999997</v>
      </c>
      <c r="W1922" s="149">
        <v>0.35</v>
      </c>
      <c r="X1922" s="152">
        <v>0.2114</v>
      </c>
      <c r="Y1922" s="150">
        <f t="shared" si="135"/>
        <v>1.766</v>
      </c>
      <c r="Z1922" s="152">
        <v>9.4499999999999993</v>
      </c>
      <c r="AA1922" s="150">
        <v>3.2313999999999998</v>
      </c>
      <c r="AB1922" s="150"/>
      <c r="AC1922" s="154"/>
      <c r="AD1922" s="154"/>
      <c r="AE1922" s="154"/>
      <c r="AF1922" s="154"/>
    </row>
    <row r="1923" spans="1:36" x14ac:dyDescent="0.25">
      <c r="A1923" s="182">
        <v>632</v>
      </c>
      <c r="B1923" s="182" t="s">
        <v>3059</v>
      </c>
      <c r="C1923" s="182" t="s">
        <v>9114</v>
      </c>
      <c r="D1923" s="182" t="s">
        <v>2822</v>
      </c>
      <c r="H1923" s="182" t="s">
        <v>2734</v>
      </c>
      <c r="I1923" s="184" t="s">
        <v>7817</v>
      </c>
      <c r="K1923" s="182" t="s">
        <v>1881</v>
      </c>
      <c r="L1923" s="184" t="s">
        <v>9115</v>
      </c>
      <c r="M1923" s="182">
        <v>796</v>
      </c>
      <c r="O1923" s="196" t="s">
        <v>6925</v>
      </c>
      <c r="P1923" s="17">
        <v>937</v>
      </c>
      <c r="Q1923" s="175">
        <v>3.1319999999999992</v>
      </c>
      <c r="R1923" s="199">
        <v>1.7</v>
      </c>
      <c r="S1923" s="199">
        <v>4.5999999999999996</v>
      </c>
      <c r="T1923" s="149">
        <v>0.13</v>
      </c>
      <c r="U1923" s="149" t="s">
        <v>9059</v>
      </c>
      <c r="V1923" s="149">
        <v>0.33999999999999997</v>
      </c>
      <c r="W1923" s="149">
        <v>0.35</v>
      </c>
      <c r="X1923" s="152">
        <v>0.2114</v>
      </c>
      <c r="Y1923" s="150">
        <f t="shared" si="135"/>
        <v>1.3780000000000001</v>
      </c>
      <c r="Z1923" s="152">
        <v>4.5999999999999996</v>
      </c>
      <c r="AA1923" s="150">
        <v>3.2313999999999998</v>
      </c>
      <c r="AB1923" s="150"/>
      <c r="AC1923" s="154"/>
      <c r="AD1923" s="154"/>
      <c r="AE1923" s="154"/>
      <c r="AF1923" s="154"/>
    </row>
    <row r="1924" spans="1:36" x14ac:dyDescent="0.25">
      <c r="A1924" s="182">
        <v>2522</v>
      </c>
      <c r="B1924" s="182" t="s">
        <v>2191</v>
      </c>
      <c r="C1924" s="182" t="s">
        <v>9116</v>
      </c>
      <c r="D1924" s="182" t="s">
        <v>1912</v>
      </c>
      <c r="E1924" s="182" t="s">
        <v>1877</v>
      </c>
      <c r="F1924" s="182">
        <v>2010</v>
      </c>
      <c r="H1924" s="182" t="s">
        <v>2734</v>
      </c>
      <c r="I1924" s="184" t="s">
        <v>1929</v>
      </c>
      <c r="K1924" s="182" t="s">
        <v>1881</v>
      </c>
      <c r="L1924" s="184" t="s">
        <v>9117</v>
      </c>
      <c r="M1924" s="182">
        <v>413</v>
      </c>
      <c r="O1924" s="196" t="s">
        <v>6926</v>
      </c>
      <c r="P1924" s="17">
        <v>599</v>
      </c>
      <c r="Q1924" s="175">
        <v>1.653912</v>
      </c>
      <c r="R1924" s="199">
        <v>1.7</v>
      </c>
      <c r="S1924" s="199">
        <v>2.5</v>
      </c>
      <c r="T1924" s="149">
        <v>0.13</v>
      </c>
      <c r="U1924" s="149" t="s">
        <v>9059</v>
      </c>
      <c r="V1924" s="149">
        <v>0.33999999999999997</v>
      </c>
      <c r="W1924" s="149">
        <v>0.35</v>
      </c>
      <c r="X1924" s="152">
        <v>0.2114</v>
      </c>
      <c r="Y1924" s="150">
        <f t="shared" si="135"/>
        <v>1.2685119999999999</v>
      </c>
      <c r="Z1924" s="152">
        <v>2.5</v>
      </c>
      <c r="AA1924" s="150">
        <v>3.2313999999999998</v>
      </c>
      <c r="AB1924" s="150"/>
      <c r="AC1924" s="154"/>
      <c r="AD1924" s="154"/>
      <c r="AE1924" s="154"/>
      <c r="AF1924" s="154"/>
    </row>
    <row r="1925" spans="1:36" x14ac:dyDescent="0.25">
      <c r="A1925" s="182">
        <v>1386</v>
      </c>
      <c r="B1925" s="182" t="s">
        <v>3901</v>
      </c>
      <c r="C1925" s="182" t="s">
        <v>9118</v>
      </c>
      <c r="D1925" s="182" t="s">
        <v>9119</v>
      </c>
      <c r="E1925" s="182" t="s">
        <v>2412</v>
      </c>
      <c r="F1925" s="182">
        <v>2012</v>
      </c>
      <c r="H1925" s="182" t="s">
        <v>1878</v>
      </c>
      <c r="I1925" s="184" t="s">
        <v>1879</v>
      </c>
      <c r="K1925" s="182" t="s">
        <v>1881</v>
      </c>
      <c r="L1925" s="184" t="s">
        <v>3903</v>
      </c>
      <c r="M1925" s="182">
        <v>490</v>
      </c>
      <c r="O1925" s="196" t="s">
        <v>6927</v>
      </c>
      <c r="P1925" s="17">
        <v>382</v>
      </c>
      <c r="Q1925" s="175">
        <v>1.8472319999999998</v>
      </c>
      <c r="R1925" s="199">
        <v>1.2</v>
      </c>
      <c r="S1925" s="199">
        <v>2.6</v>
      </c>
      <c r="T1925" s="149">
        <v>0.13</v>
      </c>
      <c r="U1925" s="149" t="s">
        <v>9027</v>
      </c>
      <c r="V1925" s="149">
        <v>0.33999999999999997</v>
      </c>
      <c r="W1925" s="149">
        <v>0.35</v>
      </c>
      <c r="X1925" s="152">
        <v>0.19039999999999999</v>
      </c>
      <c r="Y1925" s="150">
        <f t="shared" si="135"/>
        <v>1.2428319999999999</v>
      </c>
      <c r="Z1925" s="152">
        <v>2.6</v>
      </c>
      <c r="AA1925" s="150">
        <v>2.9103999999999997</v>
      </c>
      <c r="AB1925" s="150"/>
      <c r="AC1925" s="154"/>
      <c r="AD1925" s="154"/>
      <c r="AE1925" s="154"/>
      <c r="AF1925" s="154"/>
    </row>
    <row r="1926" spans="1:36" x14ac:dyDescent="0.25">
      <c r="A1926" s="182">
        <v>1386</v>
      </c>
      <c r="B1926" s="182" t="s">
        <v>9120</v>
      </c>
      <c r="C1926" s="182" t="s">
        <v>9121</v>
      </c>
      <c r="D1926" s="182" t="s">
        <v>3077</v>
      </c>
      <c r="E1926" s="182" t="s">
        <v>1877</v>
      </c>
      <c r="F1926" s="182">
        <v>2009</v>
      </c>
      <c r="H1926" s="182" t="s">
        <v>1878</v>
      </c>
      <c r="I1926" s="184" t="s">
        <v>1929</v>
      </c>
      <c r="K1926" s="182" t="s">
        <v>1881</v>
      </c>
      <c r="L1926" s="184" t="s">
        <v>9122</v>
      </c>
      <c r="M1926" s="182">
        <v>509</v>
      </c>
      <c r="O1926" s="196" t="s">
        <v>6928</v>
      </c>
      <c r="P1926" s="17">
        <v>389</v>
      </c>
      <c r="Q1926" s="175">
        <v>1.8472319999999998</v>
      </c>
      <c r="R1926" s="199">
        <v>1.2</v>
      </c>
      <c r="S1926" s="199">
        <v>1.75</v>
      </c>
      <c r="T1926" s="149">
        <v>0.13</v>
      </c>
      <c r="U1926" s="149" t="s">
        <v>9027</v>
      </c>
      <c r="V1926" s="149">
        <v>0.33999999999999997</v>
      </c>
      <c r="W1926" s="149">
        <v>0.35</v>
      </c>
      <c r="X1926" s="152">
        <v>0.19039999999999999</v>
      </c>
      <c r="Y1926" s="150">
        <f t="shared" si="135"/>
        <v>1.2428319999999999</v>
      </c>
      <c r="Z1926" s="152">
        <v>1.75</v>
      </c>
      <c r="AA1926" s="150">
        <v>2.9103999999999997</v>
      </c>
      <c r="AB1926" s="150"/>
      <c r="AC1926" s="154"/>
      <c r="AD1926" s="154"/>
      <c r="AE1926" s="154"/>
      <c r="AF1926" s="154"/>
    </row>
    <row r="1927" spans="1:36" x14ac:dyDescent="0.25">
      <c r="A1927" s="182">
        <v>689</v>
      </c>
      <c r="B1927" s="182" t="s">
        <v>2470</v>
      </c>
      <c r="C1927" s="182" t="s">
        <v>9123</v>
      </c>
      <c r="D1927" s="182" t="s">
        <v>2309</v>
      </c>
      <c r="E1927" s="182" t="s">
        <v>1913</v>
      </c>
      <c r="F1927" s="182">
        <v>2009</v>
      </c>
      <c r="H1927" s="182" t="s">
        <v>1878</v>
      </c>
      <c r="I1927" s="184" t="s">
        <v>1879</v>
      </c>
      <c r="K1927" s="182" t="s">
        <v>1881</v>
      </c>
      <c r="L1927" s="184" t="s">
        <v>9124</v>
      </c>
      <c r="M1927" s="182">
        <v>703</v>
      </c>
      <c r="O1927" s="196" t="s">
        <v>6929</v>
      </c>
      <c r="P1927" s="17">
        <v>496</v>
      </c>
      <c r="Q1927" s="175">
        <v>1.8472319999999998</v>
      </c>
      <c r="R1927" s="199">
        <v>1.2</v>
      </c>
      <c r="S1927" s="199">
        <v>2.3899999999999997</v>
      </c>
      <c r="T1927" s="149">
        <v>0.13</v>
      </c>
      <c r="U1927" s="149" t="s">
        <v>9027</v>
      </c>
      <c r="V1927" s="149">
        <v>0.33999999999999997</v>
      </c>
      <c r="W1927" s="149">
        <v>0.35</v>
      </c>
      <c r="X1927" s="152">
        <v>0.19039999999999999</v>
      </c>
      <c r="Y1927" s="150">
        <f t="shared" si="135"/>
        <v>1.2428319999999999</v>
      </c>
      <c r="Z1927" s="152">
        <v>2.3899999999999997</v>
      </c>
      <c r="AA1927" s="150">
        <v>2.9103999999999997</v>
      </c>
      <c r="AB1927" s="150"/>
      <c r="AC1927" s="154"/>
      <c r="AD1927" s="154"/>
      <c r="AE1927" s="154"/>
      <c r="AF1927" s="154"/>
    </row>
    <row r="1928" spans="1:36" x14ac:dyDescent="0.25">
      <c r="A1928" s="182">
        <v>1385</v>
      </c>
      <c r="C1928" s="182" t="s">
        <v>9125</v>
      </c>
      <c r="D1928" s="182" t="s">
        <v>5930</v>
      </c>
      <c r="F1928" s="182">
        <v>2004</v>
      </c>
      <c r="H1928" s="182" t="s">
        <v>2734</v>
      </c>
      <c r="I1928" s="184" t="s">
        <v>7817</v>
      </c>
      <c r="K1928" s="182" t="s">
        <v>1881</v>
      </c>
      <c r="L1928" s="184" t="s">
        <v>9126</v>
      </c>
      <c r="M1928" s="182">
        <v>160</v>
      </c>
      <c r="O1928" s="196" t="s">
        <v>6930</v>
      </c>
      <c r="P1928" s="17">
        <v>388</v>
      </c>
      <c r="Q1928" s="175">
        <v>2.2679999999999998</v>
      </c>
      <c r="R1928" s="199">
        <v>1.2</v>
      </c>
      <c r="S1928" s="199">
        <v>3.3</v>
      </c>
      <c r="T1928" s="149">
        <v>0.13</v>
      </c>
      <c r="U1928" s="149" t="s">
        <v>9027</v>
      </c>
      <c r="V1928" s="149">
        <v>0.33999999999999997</v>
      </c>
      <c r="W1928" s="149">
        <v>0.35</v>
      </c>
      <c r="X1928" s="152">
        <v>0.19039999999999999</v>
      </c>
      <c r="Y1928" s="150">
        <f t="shared" si="135"/>
        <v>1.274</v>
      </c>
      <c r="Z1928" s="152">
        <v>3.3</v>
      </c>
      <c r="AA1928" s="150">
        <v>2.9103999999999997</v>
      </c>
      <c r="AB1928" s="150"/>
      <c r="AC1928" s="154"/>
      <c r="AD1928" s="154"/>
      <c r="AE1928" s="154"/>
      <c r="AF1928" s="154"/>
    </row>
    <row r="1929" spans="1:36" x14ac:dyDescent="0.25">
      <c r="A1929" s="182">
        <v>689</v>
      </c>
      <c r="B1929" s="182" t="s">
        <v>9127</v>
      </c>
      <c r="C1929" s="182" t="s">
        <v>9128</v>
      </c>
      <c r="D1929" s="182" t="s">
        <v>2209</v>
      </c>
      <c r="E1929" s="182" t="s">
        <v>2412</v>
      </c>
      <c r="F1929" s="182">
        <v>1995</v>
      </c>
      <c r="H1929" s="182" t="s">
        <v>1878</v>
      </c>
      <c r="I1929" s="184" t="s">
        <v>7817</v>
      </c>
      <c r="K1929" s="182" t="s">
        <v>1881</v>
      </c>
      <c r="L1929" s="184" t="s">
        <v>9129</v>
      </c>
      <c r="M1929" s="182">
        <v>410</v>
      </c>
      <c r="O1929" s="196" t="s">
        <v>6931</v>
      </c>
      <c r="P1929" s="17">
        <v>372</v>
      </c>
      <c r="Q1929" s="175">
        <v>1.8472319999999998</v>
      </c>
      <c r="R1929" s="199">
        <v>1.2</v>
      </c>
      <c r="S1929" s="199">
        <v>1.7</v>
      </c>
      <c r="T1929" s="149">
        <v>0.13</v>
      </c>
      <c r="U1929" s="149" t="s">
        <v>9027</v>
      </c>
      <c r="V1929" s="149">
        <v>0.33999999999999997</v>
      </c>
      <c r="W1929" s="149">
        <v>0.35</v>
      </c>
      <c r="X1929" s="152">
        <v>0.19039999999999999</v>
      </c>
      <c r="Y1929" s="150">
        <f t="shared" si="135"/>
        <v>1.2428319999999999</v>
      </c>
      <c r="Z1929" s="152">
        <v>1.7</v>
      </c>
      <c r="AA1929" s="150">
        <v>2.9103999999999997</v>
      </c>
      <c r="AB1929" s="150"/>
      <c r="AC1929" s="154"/>
      <c r="AD1929" s="154"/>
      <c r="AE1929" s="154"/>
      <c r="AF1929" s="154"/>
    </row>
    <row r="1930" spans="1:36" x14ac:dyDescent="0.25">
      <c r="A1930" s="182">
        <v>689</v>
      </c>
      <c r="B1930" s="182" t="s">
        <v>9130</v>
      </c>
      <c r="C1930" s="182" t="s">
        <v>9131</v>
      </c>
      <c r="D1930" s="182" t="s">
        <v>807</v>
      </c>
      <c r="F1930" s="182">
        <v>2012</v>
      </c>
      <c r="H1930" s="182" t="s">
        <v>1878</v>
      </c>
      <c r="I1930" s="184" t="s">
        <v>1929</v>
      </c>
      <c r="K1930" s="182" t="s">
        <v>1881</v>
      </c>
      <c r="L1930" s="184" t="s">
        <v>9132</v>
      </c>
      <c r="M1930" s="182">
        <v>444</v>
      </c>
      <c r="O1930" s="196" t="s">
        <v>6932</v>
      </c>
      <c r="P1930" s="17">
        <v>428</v>
      </c>
      <c r="Q1930" s="175">
        <v>2.3760000000000003</v>
      </c>
      <c r="R1930" s="199">
        <v>1.2</v>
      </c>
      <c r="S1930" s="199">
        <v>3.4</v>
      </c>
      <c r="T1930" s="149">
        <v>0.13</v>
      </c>
      <c r="U1930" s="149" t="s">
        <v>9027</v>
      </c>
      <c r="V1930" s="149">
        <v>0.33999999999999997</v>
      </c>
      <c r="W1930" s="149">
        <v>0.35</v>
      </c>
      <c r="X1930" s="152">
        <v>0.19039999999999999</v>
      </c>
      <c r="Y1930" s="150">
        <f t="shared" si="135"/>
        <v>1.282</v>
      </c>
      <c r="Z1930" s="152">
        <v>3.4</v>
      </c>
      <c r="AA1930" s="150">
        <v>2.9103999999999997</v>
      </c>
      <c r="AB1930" s="150"/>
      <c r="AC1930" s="154"/>
      <c r="AD1930" s="154"/>
      <c r="AE1930" s="154"/>
      <c r="AF1930" s="154"/>
    </row>
    <row r="1931" spans="1:36" s="146" customFormat="1" x14ac:dyDescent="0.25">
      <c r="A1931" s="196">
        <v>1385</v>
      </c>
      <c r="B1931" s="196" t="s">
        <v>9133</v>
      </c>
      <c r="C1931" s="196" t="s">
        <v>9134</v>
      </c>
      <c r="D1931" s="196" t="s">
        <v>5926</v>
      </c>
      <c r="E1931" s="196"/>
      <c r="F1931" s="196">
        <v>2001</v>
      </c>
      <c r="G1931" s="196"/>
      <c r="H1931" s="196" t="s">
        <v>1878</v>
      </c>
      <c r="I1931" s="141" t="s">
        <v>7817</v>
      </c>
      <c r="J1931" s="196"/>
      <c r="K1931" s="196" t="s">
        <v>1881</v>
      </c>
      <c r="L1931" s="141" t="s">
        <v>9135</v>
      </c>
      <c r="M1931" s="196">
        <v>223</v>
      </c>
      <c r="N1931" s="196"/>
      <c r="O1931" s="196" t="s">
        <v>6933</v>
      </c>
      <c r="P1931" s="144">
        <v>221</v>
      </c>
      <c r="Q1931" s="145">
        <v>1.8472319999999998</v>
      </c>
      <c r="R1931" s="203">
        <v>1.2</v>
      </c>
      <c r="S1931" s="203">
        <v>1.8</v>
      </c>
      <c r="T1931" s="151">
        <v>0.13</v>
      </c>
      <c r="U1931" s="151" t="s">
        <v>9027</v>
      </c>
      <c r="V1931" s="151">
        <v>0.33999999999999997</v>
      </c>
      <c r="W1931" s="151">
        <v>0.35</v>
      </c>
      <c r="X1931" s="152">
        <v>0.19039999999999999</v>
      </c>
      <c r="Y1931" s="150">
        <f t="shared" si="135"/>
        <v>1.2428319999999999</v>
      </c>
      <c r="Z1931" s="152">
        <v>1.8</v>
      </c>
      <c r="AA1931" s="152">
        <v>2.9103999999999997</v>
      </c>
      <c r="AB1931" s="152"/>
      <c r="AC1931" s="153"/>
      <c r="AD1931" s="153"/>
      <c r="AE1931" s="153"/>
      <c r="AF1931" s="153"/>
      <c r="AJ1931" s="147"/>
    </row>
    <row r="1932" spans="1:36" x14ac:dyDescent="0.25">
      <c r="A1932" s="182">
        <v>689</v>
      </c>
      <c r="B1932" s="182" t="s">
        <v>9136</v>
      </c>
      <c r="C1932" s="182" t="s">
        <v>9137</v>
      </c>
      <c r="D1932" s="182" t="s">
        <v>9138</v>
      </c>
      <c r="F1932" s="182">
        <v>2007</v>
      </c>
      <c r="H1932" s="182" t="s">
        <v>2734</v>
      </c>
      <c r="I1932" s="184" t="s">
        <v>1929</v>
      </c>
      <c r="K1932" s="182" t="s">
        <v>1881</v>
      </c>
      <c r="L1932" s="184" t="s">
        <v>9139</v>
      </c>
      <c r="M1932" s="182">
        <v>462</v>
      </c>
      <c r="O1932" s="196" t="s">
        <v>6934</v>
      </c>
      <c r="P1932" s="17">
        <v>626</v>
      </c>
      <c r="Q1932" s="175">
        <f t="shared" ref="Q1932:Q1995" si="136">IF(Z1932&gt;AA1932,Z1932,AA1932)-R1932</f>
        <v>1.5313999999999999</v>
      </c>
      <c r="R1932" s="199">
        <v>1.7</v>
      </c>
      <c r="S1932" s="199">
        <v>2.2000000000000002</v>
      </c>
      <c r="T1932" s="149">
        <v>0.13</v>
      </c>
      <c r="U1932" s="149" t="s">
        <v>9059</v>
      </c>
      <c r="V1932" s="149">
        <v>0.33999999999999997</v>
      </c>
      <c r="W1932" s="149">
        <v>0.35</v>
      </c>
      <c r="X1932" s="152">
        <v>0.2114</v>
      </c>
      <c r="Y1932" s="150">
        <f t="shared" si="135"/>
        <v>1.2685119999999999</v>
      </c>
      <c r="Z1932" s="152">
        <f t="shared" ref="Z1932:Z1945" si="137">S1932</f>
        <v>2.2000000000000002</v>
      </c>
      <c r="AA1932" s="150">
        <v>3.2313999999999998</v>
      </c>
      <c r="AB1932" s="150"/>
      <c r="AC1932" s="154"/>
      <c r="AD1932" s="154"/>
      <c r="AE1932" s="154"/>
      <c r="AF1932" s="154"/>
    </row>
    <row r="1933" spans="1:36" x14ac:dyDescent="0.25">
      <c r="A1933" s="182">
        <v>689</v>
      </c>
      <c r="B1933" s="182" t="s">
        <v>9136</v>
      </c>
      <c r="C1933" s="182" t="s">
        <v>9140</v>
      </c>
      <c r="D1933" s="182" t="s">
        <v>9138</v>
      </c>
      <c r="E1933" s="182" t="s">
        <v>1877</v>
      </c>
      <c r="F1933" s="182">
        <v>2011</v>
      </c>
      <c r="H1933" s="182" t="s">
        <v>2734</v>
      </c>
      <c r="I1933" s="184" t="s">
        <v>7817</v>
      </c>
      <c r="K1933" s="182" t="s">
        <v>1881</v>
      </c>
      <c r="L1933" s="184" t="s">
        <v>9141</v>
      </c>
      <c r="M1933" s="182">
        <v>508</v>
      </c>
      <c r="O1933" s="196" t="s">
        <v>6935</v>
      </c>
      <c r="P1933" s="17">
        <v>688</v>
      </c>
      <c r="Q1933" s="175">
        <f t="shared" si="136"/>
        <v>1.5313999999999999</v>
      </c>
      <c r="R1933" s="199">
        <v>1.7</v>
      </c>
      <c r="S1933" s="199">
        <v>2.38</v>
      </c>
      <c r="T1933" s="149">
        <v>0.13</v>
      </c>
      <c r="U1933" s="149" t="s">
        <v>9059</v>
      </c>
      <c r="V1933" s="149">
        <v>0.33999999999999997</v>
      </c>
      <c r="W1933" s="149">
        <v>0.35</v>
      </c>
      <c r="X1933" s="152">
        <v>0.2114</v>
      </c>
      <c r="Y1933" s="150">
        <f t="shared" si="135"/>
        <v>1.2685119999999999</v>
      </c>
      <c r="Z1933" s="152">
        <f t="shared" si="137"/>
        <v>2.38</v>
      </c>
      <c r="AA1933" s="150">
        <v>3.2313999999999998</v>
      </c>
      <c r="AB1933" s="150"/>
      <c r="AC1933" s="154"/>
      <c r="AD1933" s="154"/>
      <c r="AE1933" s="154"/>
      <c r="AF1933" s="154"/>
    </row>
    <row r="1934" spans="1:36" x14ac:dyDescent="0.25">
      <c r="A1934" s="182">
        <v>689</v>
      </c>
      <c r="B1934" s="182" t="s">
        <v>9136</v>
      </c>
      <c r="C1934" s="182" t="s">
        <v>9142</v>
      </c>
      <c r="D1934" s="182" t="s">
        <v>9138</v>
      </c>
      <c r="F1934" s="182">
        <v>2008</v>
      </c>
      <c r="H1934" s="182" t="s">
        <v>2734</v>
      </c>
      <c r="I1934" s="184" t="s">
        <v>1929</v>
      </c>
      <c r="K1934" s="182" t="s">
        <v>1881</v>
      </c>
      <c r="L1934" s="184" t="s">
        <v>9143</v>
      </c>
      <c r="M1934" s="182">
        <v>442</v>
      </c>
      <c r="O1934" s="196" t="s">
        <v>6936</v>
      </c>
      <c r="P1934" s="17">
        <v>616</v>
      </c>
      <c r="Q1934" s="175">
        <f t="shared" si="136"/>
        <v>1.5313999999999999</v>
      </c>
      <c r="R1934" s="199">
        <v>1.7</v>
      </c>
      <c r="S1934" s="199">
        <v>2.2200000000000002</v>
      </c>
      <c r="T1934" s="149">
        <v>0.13</v>
      </c>
      <c r="U1934" s="149" t="s">
        <v>9059</v>
      </c>
      <c r="V1934" s="149">
        <v>0.33999999999999997</v>
      </c>
      <c r="W1934" s="149">
        <v>0.35</v>
      </c>
      <c r="X1934" s="152">
        <v>0.2114</v>
      </c>
      <c r="Y1934" s="150">
        <f t="shared" si="135"/>
        <v>1.2685119999999999</v>
      </c>
      <c r="Z1934" s="152">
        <f t="shared" si="137"/>
        <v>2.2200000000000002</v>
      </c>
      <c r="AA1934" s="150">
        <v>3.2313999999999998</v>
      </c>
      <c r="AB1934" s="150"/>
      <c r="AC1934" s="154"/>
      <c r="AD1934" s="154"/>
      <c r="AE1934" s="154"/>
      <c r="AF1934" s="154"/>
    </row>
    <row r="1935" spans="1:36" x14ac:dyDescent="0.25">
      <c r="A1935" s="182">
        <v>689</v>
      </c>
      <c r="B1935" s="182" t="s">
        <v>9136</v>
      </c>
      <c r="C1935" s="182" t="s">
        <v>9144</v>
      </c>
      <c r="D1935" s="182" t="s">
        <v>9138</v>
      </c>
      <c r="E1935" s="182" t="s">
        <v>1877</v>
      </c>
      <c r="F1935" s="182">
        <v>2010</v>
      </c>
      <c r="H1935" s="182" t="s">
        <v>2734</v>
      </c>
      <c r="I1935" s="184" t="s">
        <v>1929</v>
      </c>
      <c r="K1935" s="182" t="s">
        <v>1881</v>
      </c>
      <c r="L1935" s="184" t="s">
        <v>9145</v>
      </c>
      <c r="M1935" s="182">
        <v>538</v>
      </c>
      <c r="O1935" s="196" t="s">
        <v>6937</v>
      </c>
      <c r="P1935" s="17">
        <v>736</v>
      </c>
      <c r="Q1935" s="175">
        <f t="shared" si="136"/>
        <v>1.5313999999999999</v>
      </c>
      <c r="R1935" s="199">
        <v>1.7</v>
      </c>
      <c r="S1935" s="199">
        <v>1.94</v>
      </c>
      <c r="T1935" s="149">
        <v>0.13</v>
      </c>
      <c r="U1935" s="149" t="s">
        <v>9059</v>
      </c>
      <c r="V1935" s="149">
        <v>0.33999999999999997</v>
      </c>
      <c r="W1935" s="149">
        <v>0.35</v>
      </c>
      <c r="X1935" s="152">
        <v>0.2114</v>
      </c>
      <c r="Y1935" s="150">
        <f t="shared" si="135"/>
        <v>1.2685119999999999</v>
      </c>
      <c r="Z1935" s="152">
        <f t="shared" si="137"/>
        <v>1.94</v>
      </c>
      <c r="AA1935" s="150">
        <v>3.2313999999999998</v>
      </c>
      <c r="AB1935" s="150"/>
      <c r="AC1935" s="154"/>
      <c r="AD1935" s="154"/>
      <c r="AE1935" s="154"/>
      <c r="AF1935" s="154"/>
    </row>
    <row r="1936" spans="1:36" x14ac:dyDescent="0.25">
      <c r="A1936" s="182">
        <v>689</v>
      </c>
      <c r="B1936" s="182" t="s">
        <v>9136</v>
      </c>
      <c r="C1936" s="182" t="s">
        <v>9146</v>
      </c>
      <c r="D1936" s="182" t="s">
        <v>9138</v>
      </c>
      <c r="F1936" s="182">
        <v>2009</v>
      </c>
      <c r="H1936" s="182" t="s">
        <v>2734</v>
      </c>
      <c r="I1936" s="184" t="s">
        <v>1929</v>
      </c>
      <c r="K1936" s="182" t="s">
        <v>1881</v>
      </c>
      <c r="L1936" s="184" t="s">
        <v>9147</v>
      </c>
      <c r="M1936" s="182">
        <v>574</v>
      </c>
      <c r="O1936" s="196" t="s">
        <v>6938</v>
      </c>
      <c r="P1936" s="17">
        <v>767</v>
      </c>
      <c r="Q1936" s="175">
        <f t="shared" si="136"/>
        <v>1.5313999999999999</v>
      </c>
      <c r="R1936" s="199">
        <v>1.7</v>
      </c>
      <c r="S1936" s="199">
        <v>2.5</v>
      </c>
      <c r="T1936" s="149">
        <v>0.13</v>
      </c>
      <c r="U1936" s="149" t="s">
        <v>9059</v>
      </c>
      <c r="V1936" s="149">
        <v>0.33999999999999997</v>
      </c>
      <c r="W1936" s="149">
        <v>0.35</v>
      </c>
      <c r="X1936" s="152">
        <v>0.2114</v>
      </c>
      <c r="Y1936" s="150">
        <f t="shared" si="135"/>
        <v>1.2685119999999999</v>
      </c>
      <c r="Z1936" s="152">
        <f t="shared" si="137"/>
        <v>2.5</v>
      </c>
      <c r="AA1936" s="150">
        <v>3.2313999999999998</v>
      </c>
      <c r="AB1936" s="150"/>
      <c r="AC1936" s="154"/>
      <c r="AD1936" s="154"/>
      <c r="AE1936" s="154"/>
      <c r="AF1936" s="154"/>
    </row>
    <row r="1937" spans="1:36" x14ac:dyDescent="0.25">
      <c r="A1937" s="182">
        <v>689</v>
      </c>
      <c r="B1937" s="182" t="s">
        <v>9136</v>
      </c>
      <c r="C1937" s="182" t="s">
        <v>9148</v>
      </c>
      <c r="D1937" s="182" t="s">
        <v>9138</v>
      </c>
      <c r="F1937" s="182">
        <v>2009</v>
      </c>
      <c r="H1937" s="182" t="s">
        <v>2734</v>
      </c>
      <c r="I1937" s="184" t="s">
        <v>1929</v>
      </c>
      <c r="K1937" s="182" t="s">
        <v>1881</v>
      </c>
      <c r="L1937" s="184" t="s">
        <v>9149</v>
      </c>
      <c r="M1937" s="182">
        <v>597</v>
      </c>
      <c r="O1937" s="196" t="s">
        <v>6939</v>
      </c>
      <c r="P1937" s="17">
        <v>796</v>
      </c>
      <c r="Q1937" s="175">
        <f t="shared" si="136"/>
        <v>1.5313999999999999</v>
      </c>
      <c r="R1937" s="199">
        <v>1.7</v>
      </c>
      <c r="S1937" s="199">
        <v>2.77</v>
      </c>
      <c r="T1937" s="149">
        <v>0.13</v>
      </c>
      <c r="U1937" s="149" t="s">
        <v>9059</v>
      </c>
      <c r="V1937" s="149">
        <v>0.33999999999999997</v>
      </c>
      <c r="W1937" s="149">
        <v>0.35</v>
      </c>
      <c r="X1937" s="152">
        <v>0.2114</v>
      </c>
      <c r="Y1937" s="150">
        <f t="shared" si="135"/>
        <v>1.2685119999999999</v>
      </c>
      <c r="Z1937" s="152">
        <f t="shared" si="137"/>
        <v>2.77</v>
      </c>
      <c r="AA1937" s="150">
        <v>3.2313999999999998</v>
      </c>
      <c r="AB1937" s="150"/>
      <c r="AC1937" s="154"/>
      <c r="AD1937" s="154"/>
      <c r="AE1937" s="154"/>
      <c r="AF1937" s="154"/>
    </row>
    <row r="1938" spans="1:36" x14ac:dyDescent="0.25">
      <c r="A1938" s="182">
        <v>689</v>
      </c>
      <c r="B1938" s="182" t="s">
        <v>9136</v>
      </c>
      <c r="C1938" s="182" t="s">
        <v>9150</v>
      </c>
      <c r="D1938" s="182" t="s">
        <v>9138</v>
      </c>
      <c r="F1938" s="182">
        <v>2010</v>
      </c>
      <c r="H1938" s="182" t="s">
        <v>2734</v>
      </c>
      <c r="I1938" s="184" t="s">
        <v>1929</v>
      </c>
      <c r="K1938" s="182" t="s">
        <v>1881</v>
      </c>
      <c r="L1938" s="184" t="s">
        <v>9151</v>
      </c>
      <c r="M1938" s="182">
        <v>593</v>
      </c>
      <c r="O1938" s="196" t="s">
        <v>6940</v>
      </c>
      <c r="P1938" s="17">
        <v>726</v>
      </c>
      <c r="Q1938" s="175">
        <f t="shared" si="136"/>
        <v>1.5313999999999999</v>
      </c>
      <c r="R1938" s="199">
        <v>1.7</v>
      </c>
      <c r="S1938" s="199">
        <v>2.9</v>
      </c>
      <c r="T1938" s="149">
        <v>0.13</v>
      </c>
      <c r="U1938" s="149" t="s">
        <v>9059</v>
      </c>
      <c r="V1938" s="149">
        <v>0.33999999999999997</v>
      </c>
      <c r="W1938" s="149">
        <v>0.35</v>
      </c>
      <c r="X1938" s="152">
        <v>0.2114</v>
      </c>
      <c r="Y1938" s="150">
        <f t="shared" si="135"/>
        <v>1.2685119999999999</v>
      </c>
      <c r="Z1938" s="152">
        <f t="shared" si="137"/>
        <v>2.9</v>
      </c>
      <c r="AA1938" s="150">
        <v>3.2313999999999998</v>
      </c>
      <c r="AB1938" s="150"/>
      <c r="AC1938" s="154"/>
      <c r="AD1938" s="154"/>
      <c r="AE1938" s="154"/>
      <c r="AF1938" s="154"/>
    </row>
    <row r="1939" spans="1:36" x14ac:dyDescent="0.25">
      <c r="A1939" s="182">
        <v>689</v>
      </c>
      <c r="B1939" s="182" t="s">
        <v>9136</v>
      </c>
      <c r="C1939" s="182" t="s">
        <v>9152</v>
      </c>
      <c r="D1939" s="182" t="s">
        <v>9138</v>
      </c>
      <c r="F1939" s="182">
        <v>2011</v>
      </c>
      <c r="H1939" s="182" t="s">
        <v>2734</v>
      </c>
      <c r="I1939" s="184" t="s">
        <v>7817</v>
      </c>
      <c r="K1939" s="182" t="s">
        <v>1881</v>
      </c>
      <c r="L1939" s="184" t="s">
        <v>9153</v>
      </c>
      <c r="M1939" s="182">
        <v>539</v>
      </c>
      <c r="O1939" s="196" t="s">
        <v>6941</v>
      </c>
      <c r="P1939" s="17">
        <v>719</v>
      </c>
      <c r="Q1939" s="175">
        <f t="shared" si="136"/>
        <v>1.5313999999999999</v>
      </c>
      <c r="R1939" s="199">
        <v>1.7</v>
      </c>
      <c r="S1939" s="199">
        <v>3</v>
      </c>
      <c r="T1939" s="149">
        <v>0.13</v>
      </c>
      <c r="U1939" s="149" t="s">
        <v>9059</v>
      </c>
      <c r="V1939" s="149">
        <v>0.33999999999999997</v>
      </c>
      <c r="W1939" s="149">
        <v>0.35</v>
      </c>
      <c r="X1939" s="152">
        <v>0.2114</v>
      </c>
      <c r="Y1939" s="150">
        <f t="shared" si="135"/>
        <v>1.2685119999999999</v>
      </c>
      <c r="Z1939" s="152">
        <f t="shared" si="137"/>
        <v>3</v>
      </c>
      <c r="AA1939" s="150">
        <v>3.2313999999999998</v>
      </c>
      <c r="AB1939" s="150"/>
      <c r="AC1939" s="154"/>
      <c r="AD1939" s="154"/>
      <c r="AE1939" s="154"/>
      <c r="AF1939" s="154"/>
    </row>
    <row r="1940" spans="1:36" x14ac:dyDescent="0.25">
      <c r="A1940" s="182">
        <v>2515</v>
      </c>
      <c r="B1940" s="182" t="s">
        <v>9154</v>
      </c>
      <c r="C1940" s="182" t="s">
        <v>9155</v>
      </c>
      <c r="D1940" s="182" t="s">
        <v>9156</v>
      </c>
      <c r="H1940" s="182" t="s">
        <v>2734</v>
      </c>
      <c r="I1940" s="184" t="s">
        <v>1929</v>
      </c>
      <c r="K1940" s="182" t="s">
        <v>1881</v>
      </c>
      <c r="L1940" s="184" t="s">
        <v>9157</v>
      </c>
      <c r="M1940" s="182">
        <v>640</v>
      </c>
      <c r="O1940" s="196" t="s">
        <v>6942</v>
      </c>
      <c r="P1940" s="17">
        <v>1152</v>
      </c>
      <c r="Q1940" s="175">
        <f t="shared" si="136"/>
        <v>2.3099999999999996</v>
      </c>
      <c r="R1940" s="199">
        <v>3.49</v>
      </c>
      <c r="S1940" s="199">
        <v>5.8</v>
      </c>
      <c r="T1940" s="149">
        <v>0.13</v>
      </c>
      <c r="U1940" s="127">
        <v>3.49</v>
      </c>
      <c r="V1940" s="149">
        <v>0.33999999999999997</v>
      </c>
      <c r="W1940" s="149">
        <v>0.35</v>
      </c>
      <c r="X1940" s="152">
        <v>0.2114</v>
      </c>
      <c r="Y1940" s="150">
        <f t="shared" si="135"/>
        <v>1.474</v>
      </c>
      <c r="Z1940" s="152">
        <f t="shared" si="137"/>
        <v>5.8</v>
      </c>
      <c r="AA1940" s="150">
        <v>3.2313999999999998</v>
      </c>
      <c r="AB1940" s="150"/>
      <c r="AC1940" s="154"/>
      <c r="AD1940" s="154"/>
      <c r="AE1940" s="154"/>
      <c r="AF1940" s="154"/>
    </row>
    <row r="1941" spans="1:36" x14ac:dyDescent="0.25">
      <c r="A1941" s="182">
        <v>302</v>
      </c>
      <c r="B1941" s="182" t="s">
        <v>9158</v>
      </c>
      <c r="C1941" s="182" t="s">
        <v>9159</v>
      </c>
      <c r="D1941" s="182" t="s">
        <v>9160</v>
      </c>
      <c r="F1941" s="182">
        <v>1978</v>
      </c>
      <c r="H1941" s="182" t="s">
        <v>1878</v>
      </c>
      <c r="I1941" s="184" t="s">
        <v>1879</v>
      </c>
      <c r="K1941" s="182" t="s">
        <v>1881</v>
      </c>
      <c r="L1941" s="184" t="s">
        <v>9161</v>
      </c>
      <c r="M1941" s="182">
        <v>660</v>
      </c>
      <c r="O1941" s="196" t="s">
        <v>6943</v>
      </c>
      <c r="P1941" s="17">
        <v>488</v>
      </c>
      <c r="Q1941" s="175">
        <f t="shared" si="136"/>
        <v>4.74</v>
      </c>
      <c r="R1941" s="199">
        <v>1.2</v>
      </c>
      <c r="S1941" s="199">
        <v>5.94</v>
      </c>
      <c r="T1941" s="149">
        <v>0.13</v>
      </c>
      <c r="U1941" s="149" t="s">
        <v>9027</v>
      </c>
      <c r="V1941" s="149">
        <v>0.33999999999999997</v>
      </c>
      <c r="W1941" s="149">
        <v>0.35</v>
      </c>
      <c r="X1941" s="152">
        <v>0.19039999999999999</v>
      </c>
      <c r="Y1941" s="150">
        <f t="shared" si="135"/>
        <v>1.4852000000000001</v>
      </c>
      <c r="Z1941" s="152">
        <f t="shared" si="137"/>
        <v>5.94</v>
      </c>
      <c r="AA1941" s="150">
        <v>2.9103999999999997</v>
      </c>
      <c r="AB1941" s="150"/>
      <c r="AC1941" s="154"/>
      <c r="AD1941" s="154"/>
      <c r="AE1941" s="154"/>
      <c r="AF1941" s="154"/>
    </row>
    <row r="1942" spans="1:36" x14ac:dyDescent="0.25">
      <c r="A1942" s="182">
        <v>2518</v>
      </c>
      <c r="B1942" s="182" t="s">
        <v>9162</v>
      </c>
      <c r="C1942" s="182" t="s">
        <v>9163</v>
      </c>
      <c r="D1942" s="182" t="s">
        <v>2644</v>
      </c>
      <c r="F1942" s="182">
        <v>1987</v>
      </c>
      <c r="H1942" s="182" t="s">
        <v>1878</v>
      </c>
      <c r="I1942" s="184" t="s">
        <v>1879</v>
      </c>
      <c r="K1942" s="182" t="s">
        <v>1881</v>
      </c>
      <c r="L1942" s="184" t="s">
        <v>9164</v>
      </c>
      <c r="M1942" s="182">
        <v>346</v>
      </c>
      <c r="O1942" s="196" t="s">
        <v>6944</v>
      </c>
      <c r="P1942" s="17">
        <v>259</v>
      </c>
      <c r="Q1942" s="175">
        <f t="shared" si="136"/>
        <v>1.7103999999999997</v>
      </c>
      <c r="R1942" s="199">
        <v>1.2</v>
      </c>
      <c r="S1942" s="199">
        <v>1.55</v>
      </c>
      <c r="T1942" s="149">
        <v>0.13</v>
      </c>
      <c r="U1942" s="149" t="s">
        <v>9027</v>
      </c>
      <c r="V1942" s="149">
        <v>0.33999999999999997</v>
      </c>
      <c r="W1942" s="149">
        <v>0.35</v>
      </c>
      <c r="X1942" s="152">
        <v>0.19039999999999999</v>
      </c>
      <c r="Y1942" s="150">
        <f t="shared" si="135"/>
        <v>1.2428319999999999</v>
      </c>
      <c r="Z1942" s="152">
        <f t="shared" si="137"/>
        <v>1.55</v>
      </c>
      <c r="AA1942" s="150">
        <v>2.9103999999999997</v>
      </c>
      <c r="AB1942" s="150"/>
      <c r="AC1942" s="154"/>
      <c r="AD1942" s="154"/>
      <c r="AE1942" s="154"/>
      <c r="AF1942" s="154"/>
    </row>
    <row r="1943" spans="1:36" x14ac:dyDescent="0.25">
      <c r="A1943" s="182">
        <v>785</v>
      </c>
      <c r="B1943" s="182" t="s">
        <v>9165</v>
      </c>
      <c r="C1943" s="182" t="s">
        <v>9166</v>
      </c>
      <c r="D1943" s="182" t="s">
        <v>9167</v>
      </c>
      <c r="H1943" s="182" t="s">
        <v>2734</v>
      </c>
      <c r="I1943" s="184" t="s">
        <v>1929</v>
      </c>
      <c r="K1943" s="182" t="s">
        <v>1881</v>
      </c>
      <c r="L1943" s="184" t="s">
        <v>9168</v>
      </c>
      <c r="M1943" s="182">
        <v>176</v>
      </c>
      <c r="O1943" s="196" t="s">
        <v>6945</v>
      </c>
      <c r="P1943" s="17">
        <v>664</v>
      </c>
      <c r="Q1943" s="175">
        <f t="shared" si="136"/>
        <v>1.5313999999999999</v>
      </c>
      <c r="R1943" s="199">
        <v>1.7</v>
      </c>
      <c r="S1943" s="199">
        <v>3.2</v>
      </c>
      <c r="T1943" s="149">
        <v>0.13</v>
      </c>
      <c r="U1943" s="149" t="s">
        <v>9059</v>
      </c>
      <c r="V1943" s="149">
        <v>0.33999999999999997</v>
      </c>
      <c r="W1943" s="149">
        <v>0.35</v>
      </c>
      <c r="X1943" s="152">
        <v>0.2114</v>
      </c>
      <c r="Y1943" s="150">
        <f t="shared" si="135"/>
        <v>1.2685119999999999</v>
      </c>
      <c r="Z1943" s="152">
        <f t="shared" si="137"/>
        <v>3.2</v>
      </c>
      <c r="AA1943" s="150">
        <v>3.2313999999999998</v>
      </c>
      <c r="AB1943" s="150"/>
      <c r="AC1943" s="154"/>
      <c r="AD1943" s="154"/>
      <c r="AE1943" s="154"/>
      <c r="AF1943" s="154"/>
    </row>
    <row r="1944" spans="1:36" x14ac:dyDescent="0.25">
      <c r="A1944" s="182">
        <v>1872</v>
      </c>
      <c r="C1944" s="182" t="s">
        <v>9169</v>
      </c>
      <c r="D1944" s="182" t="s">
        <v>5743</v>
      </c>
      <c r="H1944" s="182" t="s">
        <v>2734</v>
      </c>
      <c r="I1944" s="184" t="s">
        <v>1929</v>
      </c>
      <c r="K1944" s="182" t="s">
        <v>1881</v>
      </c>
      <c r="L1944" s="184" t="s">
        <v>9170</v>
      </c>
      <c r="M1944" s="182">
        <v>64</v>
      </c>
      <c r="O1944" s="196" t="s">
        <v>6946</v>
      </c>
      <c r="P1944" s="17">
        <v>281</v>
      </c>
      <c r="Q1944" s="175">
        <f t="shared" si="136"/>
        <v>1.7103999999999997</v>
      </c>
      <c r="R1944" s="199">
        <v>1.2</v>
      </c>
      <c r="S1944" s="199">
        <v>2.4</v>
      </c>
      <c r="T1944" s="149">
        <v>0.13</v>
      </c>
      <c r="U1944" s="149" t="s">
        <v>9027</v>
      </c>
      <c r="V1944" s="149">
        <v>0.33999999999999997</v>
      </c>
      <c r="W1944" s="149">
        <v>0.35</v>
      </c>
      <c r="X1944" s="152">
        <v>0.19039999999999999</v>
      </c>
      <c r="Y1944" s="150">
        <f t="shared" si="135"/>
        <v>1.2428319999999999</v>
      </c>
      <c r="Z1944" s="152">
        <f t="shared" si="137"/>
        <v>2.4</v>
      </c>
      <c r="AA1944" s="150">
        <v>2.9103999999999997</v>
      </c>
      <c r="AB1944" s="150"/>
      <c r="AC1944" s="154"/>
      <c r="AD1944" s="154"/>
      <c r="AE1944" s="154"/>
      <c r="AF1944" s="154"/>
    </row>
    <row r="1945" spans="1:36" s="135" customFormat="1" x14ac:dyDescent="0.25">
      <c r="A1945" s="128">
        <v>689</v>
      </c>
      <c r="B1945" s="128" t="s">
        <v>3808</v>
      </c>
      <c r="C1945" s="128" t="s">
        <v>9171</v>
      </c>
      <c r="D1945" s="128" t="s">
        <v>807</v>
      </c>
      <c r="E1945" s="128"/>
      <c r="F1945" s="128">
        <v>2014</v>
      </c>
      <c r="G1945" s="128"/>
      <c r="H1945" s="128" t="s">
        <v>1878</v>
      </c>
      <c r="I1945" s="129" t="s">
        <v>7817</v>
      </c>
      <c r="J1945" s="128" t="s">
        <v>9052</v>
      </c>
      <c r="K1945" s="128" t="s">
        <v>1881</v>
      </c>
      <c r="L1945" s="129" t="s">
        <v>9172</v>
      </c>
      <c r="M1945" s="128"/>
      <c r="N1945" s="128"/>
      <c r="O1945" s="128" t="s">
        <v>6947</v>
      </c>
      <c r="P1945" s="130">
        <v>511</v>
      </c>
      <c r="Q1945" s="145">
        <f t="shared" si="136"/>
        <v>1.5313999999999999</v>
      </c>
      <c r="R1945" s="131">
        <v>1.7</v>
      </c>
      <c r="S1945" s="131">
        <v>1.95</v>
      </c>
      <c r="T1945" s="132">
        <v>0.13</v>
      </c>
      <c r="U1945" s="132" t="s">
        <v>9059</v>
      </c>
      <c r="V1945" s="132">
        <v>0.33999999999999997</v>
      </c>
      <c r="W1945" s="132">
        <v>0.35</v>
      </c>
      <c r="X1945" s="133">
        <v>0.2114</v>
      </c>
      <c r="Y1945" s="150">
        <f t="shared" si="135"/>
        <v>1.2685119999999999</v>
      </c>
      <c r="Z1945" s="133">
        <f t="shared" si="137"/>
        <v>1.95</v>
      </c>
      <c r="AA1945" s="133">
        <v>3.2313999999999998</v>
      </c>
      <c r="AB1945" s="133"/>
      <c r="AC1945" s="134"/>
      <c r="AD1945" s="134"/>
      <c r="AE1945" s="134"/>
      <c r="AF1945" s="134"/>
      <c r="AJ1945" s="136"/>
    </row>
    <row r="1946" spans="1:36" x14ac:dyDescent="0.25">
      <c r="A1946" s="138">
        <v>1386</v>
      </c>
      <c r="B1946" s="196" t="s">
        <v>4175</v>
      </c>
      <c r="C1946" s="196" t="s">
        <v>9173</v>
      </c>
      <c r="D1946" s="196" t="s">
        <v>4177</v>
      </c>
      <c r="E1946" s="148"/>
      <c r="F1946" s="148"/>
      <c r="G1946" s="148"/>
      <c r="H1946" s="196" t="s">
        <v>2734</v>
      </c>
      <c r="I1946" s="141" t="s">
        <v>1929</v>
      </c>
      <c r="J1946" s="148"/>
      <c r="K1946" s="196" t="s">
        <v>1881</v>
      </c>
      <c r="L1946" s="141" t="s">
        <v>9174</v>
      </c>
      <c r="M1946" s="196">
        <v>125</v>
      </c>
      <c r="N1946" s="148"/>
      <c r="O1946" s="196" t="s">
        <v>9175</v>
      </c>
      <c r="P1946" s="144">
        <v>236</v>
      </c>
      <c r="Q1946" s="145">
        <f t="shared" si="136"/>
        <v>1.7103999999999997</v>
      </c>
      <c r="R1946" s="203">
        <v>1.2</v>
      </c>
      <c r="S1946" s="140">
        <v>1.45</v>
      </c>
      <c r="T1946" s="149">
        <v>0.13</v>
      </c>
      <c r="U1946" s="149">
        <v>1.9</v>
      </c>
      <c r="V1946" s="149">
        <v>0.33999999999999997</v>
      </c>
      <c r="W1946" s="149">
        <v>0.35</v>
      </c>
      <c r="X1946" s="152">
        <v>0.19039999999999999</v>
      </c>
      <c r="Y1946" s="150">
        <f t="shared" si="135"/>
        <v>1.2428319999999999</v>
      </c>
      <c r="Z1946" s="152">
        <f>S1946</f>
        <v>1.45</v>
      </c>
      <c r="AA1946" s="150">
        <f>SUM(T1946:X1946)</f>
        <v>2.9103999999999997</v>
      </c>
      <c r="AB1946" s="150"/>
      <c r="AC1946" s="154"/>
      <c r="AD1946" s="154"/>
      <c r="AE1946" s="154"/>
      <c r="AF1946" s="154"/>
    </row>
    <row r="1947" spans="1:36" x14ac:dyDescent="0.25">
      <c r="A1947" s="138">
        <v>692</v>
      </c>
      <c r="B1947" s="196" t="s">
        <v>9176</v>
      </c>
      <c r="C1947" s="196" t="s">
        <v>9177</v>
      </c>
      <c r="D1947" s="196" t="s">
        <v>1920</v>
      </c>
      <c r="E1947" s="148"/>
      <c r="F1947" s="196">
        <v>2005</v>
      </c>
      <c r="G1947" s="148"/>
      <c r="H1947" s="196" t="s">
        <v>1878</v>
      </c>
      <c r="I1947" s="141" t="s">
        <v>7817</v>
      </c>
      <c r="J1947" s="148"/>
      <c r="K1947" s="196" t="s">
        <v>1881</v>
      </c>
      <c r="L1947" s="141" t="s">
        <v>9178</v>
      </c>
      <c r="M1947" s="196">
        <v>348</v>
      </c>
      <c r="N1947" s="148"/>
      <c r="O1947" s="196" t="s">
        <v>9179</v>
      </c>
      <c r="P1947" s="144">
        <v>405</v>
      </c>
      <c r="Q1947" s="145">
        <f t="shared" si="136"/>
        <v>1.84</v>
      </c>
      <c r="R1947" s="203">
        <v>1.2</v>
      </c>
      <c r="S1947" s="140">
        <v>3.04</v>
      </c>
      <c r="T1947" s="149">
        <v>0.13</v>
      </c>
      <c r="U1947" s="149">
        <v>1.9</v>
      </c>
      <c r="V1947" s="149">
        <v>0.33999999999999997</v>
      </c>
      <c r="W1947" s="137">
        <v>0.35</v>
      </c>
      <c r="X1947" s="152">
        <v>0.19039999999999999</v>
      </c>
      <c r="Y1947" s="150">
        <f t="shared" si="135"/>
        <v>1.2532000000000001</v>
      </c>
      <c r="Z1947" s="152">
        <f t="shared" ref="Z1947:Z2010" si="138">S1947</f>
        <v>3.04</v>
      </c>
      <c r="AA1947" s="150">
        <f t="shared" ref="AA1947:AA2010" si="139">SUM(T1947:X1947)</f>
        <v>2.9103999999999997</v>
      </c>
      <c r="AB1947" s="150"/>
      <c r="AC1947" s="154"/>
      <c r="AD1947" s="154"/>
      <c r="AE1947" s="154"/>
      <c r="AF1947" s="154"/>
    </row>
    <row r="1948" spans="1:36" x14ac:dyDescent="0.25">
      <c r="A1948" s="138">
        <v>2549</v>
      </c>
      <c r="B1948" s="196" t="s">
        <v>9180</v>
      </c>
      <c r="C1948" s="196" t="s">
        <v>9181</v>
      </c>
      <c r="D1948" s="196" t="s">
        <v>1912</v>
      </c>
      <c r="E1948" s="196" t="s">
        <v>1899</v>
      </c>
      <c r="F1948" s="196">
        <v>1997</v>
      </c>
      <c r="G1948" s="148"/>
      <c r="H1948" s="196" t="s">
        <v>1878</v>
      </c>
      <c r="I1948" s="141" t="s">
        <v>1879</v>
      </c>
      <c r="J1948" s="196" t="s">
        <v>9182</v>
      </c>
      <c r="K1948" s="196" t="s">
        <v>1881</v>
      </c>
      <c r="L1948" s="141" t="s">
        <v>9183</v>
      </c>
      <c r="M1948" s="196">
        <v>472</v>
      </c>
      <c r="N1948" s="148"/>
      <c r="O1948" s="196" t="s">
        <v>9184</v>
      </c>
      <c r="P1948" s="144">
        <v>324</v>
      </c>
      <c r="Q1948" s="145">
        <f t="shared" si="136"/>
        <v>1.7103999999999997</v>
      </c>
      <c r="R1948" s="203">
        <v>1.2</v>
      </c>
      <c r="S1948" s="140">
        <v>1.55</v>
      </c>
      <c r="T1948" s="149">
        <v>0.13</v>
      </c>
      <c r="U1948" s="149">
        <v>1.9</v>
      </c>
      <c r="V1948" s="149">
        <v>0.33999999999999997</v>
      </c>
      <c r="W1948" s="149">
        <v>0.35</v>
      </c>
      <c r="X1948" s="152">
        <v>0.19039999999999999</v>
      </c>
      <c r="Y1948" s="150">
        <f t="shared" si="135"/>
        <v>1.2428319999999999</v>
      </c>
      <c r="Z1948" s="152">
        <f t="shared" si="138"/>
        <v>1.55</v>
      </c>
      <c r="AA1948" s="150">
        <f t="shared" si="139"/>
        <v>2.9103999999999997</v>
      </c>
      <c r="AB1948" s="150"/>
      <c r="AC1948" s="154"/>
      <c r="AD1948" s="154"/>
      <c r="AE1948" s="154"/>
      <c r="AF1948" s="154"/>
    </row>
    <row r="1949" spans="1:36" x14ac:dyDescent="0.25">
      <c r="A1949" s="138">
        <v>689</v>
      </c>
      <c r="B1949" s="196" t="s">
        <v>2242</v>
      </c>
      <c r="C1949" s="196" t="s">
        <v>7437</v>
      </c>
      <c r="D1949" s="196" t="s">
        <v>2609</v>
      </c>
      <c r="E1949" s="148"/>
      <c r="F1949" s="196">
        <v>2002</v>
      </c>
      <c r="G1949" s="148"/>
      <c r="H1949" s="196" t="s">
        <v>1878</v>
      </c>
      <c r="I1949" s="141" t="s">
        <v>1879</v>
      </c>
      <c r="J1949" s="148"/>
      <c r="K1949" s="196" t="s">
        <v>1881</v>
      </c>
      <c r="L1949" s="141" t="s">
        <v>9185</v>
      </c>
      <c r="M1949" s="196">
        <v>494</v>
      </c>
      <c r="N1949" s="148"/>
      <c r="O1949" s="196" t="s">
        <v>9186</v>
      </c>
      <c r="P1949" s="144">
        <v>431</v>
      </c>
      <c r="Q1949" s="145">
        <f t="shared" si="136"/>
        <v>1.7103999999999997</v>
      </c>
      <c r="R1949" s="203">
        <v>1.2</v>
      </c>
      <c r="S1949" s="140">
        <v>1.55</v>
      </c>
      <c r="T1949" s="149">
        <v>0.13</v>
      </c>
      <c r="U1949" s="149">
        <v>1.9</v>
      </c>
      <c r="V1949" s="149">
        <v>0.33999999999999997</v>
      </c>
      <c r="W1949" s="149">
        <v>0.35</v>
      </c>
      <c r="X1949" s="152">
        <v>0.19039999999999999</v>
      </c>
      <c r="Y1949" s="150">
        <f t="shared" si="135"/>
        <v>1.2428319999999999</v>
      </c>
      <c r="Z1949" s="152">
        <f t="shared" si="138"/>
        <v>1.55</v>
      </c>
      <c r="AA1949" s="150">
        <f t="shared" si="139"/>
        <v>2.9103999999999997</v>
      </c>
      <c r="AB1949" s="150"/>
      <c r="AC1949" s="154"/>
      <c r="AD1949" s="154"/>
      <c r="AE1949" s="154"/>
      <c r="AF1949" s="154"/>
    </row>
    <row r="1950" spans="1:36" x14ac:dyDescent="0.25">
      <c r="A1950" s="138">
        <v>689</v>
      </c>
      <c r="B1950" s="196" t="s">
        <v>9187</v>
      </c>
      <c r="C1950" s="196" t="s">
        <v>9188</v>
      </c>
      <c r="D1950" s="196" t="s">
        <v>1920</v>
      </c>
      <c r="E1950" s="196" t="s">
        <v>1913</v>
      </c>
      <c r="F1950" s="196">
        <v>2000</v>
      </c>
      <c r="G1950" s="148"/>
      <c r="H1950" s="196" t="s">
        <v>1878</v>
      </c>
      <c r="I1950" s="141" t="s">
        <v>1879</v>
      </c>
      <c r="J1950" s="148"/>
      <c r="K1950" s="196" t="s">
        <v>1881</v>
      </c>
      <c r="L1950" s="141" t="s">
        <v>9189</v>
      </c>
      <c r="M1950" s="196">
        <v>491</v>
      </c>
      <c r="N1950" s="148"/>
      <c r="O1950" s="196" t="s">
        <v>6948</v>
      </c>
      <c r="P1950" s="144">
        <v>332</v>
      </c>
      <c r="Q1950" s="145">
        <f t="shared" si="136"/>
        <v>1.7103999999999997</v>
      </c>
      <c r="R1950" s="203">
        <v>1.2</v>
      </c>
      <c r="S1950" s="139">
        <f>0.99+1.35</f>
        <v>2.34</v>
      </c>
      <c r="T1950" s="149">
        <v>0.13</v>
      </c>
      <c r="U1950" s="149">
        <v>1.9</v>
      </c>
      <c r="V1950" s="149">
        <v>0.33999999999999997</v>
      </c>
      <c r="W1950" s="149">
        <v>0.35</v>
      </c>
      <c r="X1950" s="152">
        <v>0.19039999999999999</v>
      </c>
      <c r="Y1950" s="150">
        <f t="shared" si="135"/>
        <v>1.2428319999999999</v>
      </c>
      <c r="Z1950" s="152">
        <f t="shared" si="138"/>
        <v>2.34</v>
      </c>
      <c r="AA1950" s="150">
        <f t="shared" si="139"/>
        <v>2.9103999999999997</v>
      </c>
      <c r="AB1950" s="150"/>
      <c r="AC1950" s="154"/>
      <c r="AD1950" s="154"/>
      <c r="AE1950" s="154"/>
      <c r="AF1950" s="154"/>
    </row>
    <row r="1951" spans="1:36" x14ac:dyDescent="0.25">
      <c r="A1951" s="138">
        <v>1374</v>
      </c>
      <c r="B1951" s="196" t="s">
        <v>9190</v>
      </c>
      <c r="C1951" s="196" t="s">
        <v>9191</v>
      </c>
      <c r="D1951" s="196" t="s">
        <v>9192</v>
      </c>
      <c r="E1951" s="196" t="s">
        <v>2032</v>
      </c>
      <c r="F1951" s="196">
        <v>2009</v>
      </c>
      <c r="G1951" s="148"/>
      <c r="H1951" s="196" t="s">
        <v>1878</v>
      </c>
      <c r="I1951" s="141" t="s">
        <v>1929</v>
      </c>
      <c r="J1951" s="148"/>
      <c r="K1951" s="196" t="s">
        <v>1881</v>
      </c>
      <c r="L1951" s="141" t="s">
        <v>9193</v>
      </c>
      <c r="M1951" s="196">
        <v>203</v>
      </c>
      <c r="N1951" s="148"/>
      <c r="O1951" s="196" t="s">
        <v>6949</v>
      </c>
      <c r="P1951" s="144">
        <v>236</v>
      </c>
      <c r="Q1951" s="145">
        <f t="shared" si="136"/>
        <v>1.7103999999999997</v>
      </c>
      <c r="R1951" s="203">
        <v>1.2</v>
      </c>
      <c r="S1951" s="140">
        <v>1.65</v>
      </c>
      <c r="T1951" s="149">
        <v>0.13</v>
      </c>
      <c r="U1951" s="149">
        <v>1.9</v>
      </c>
      <c r="V1951" s="149">
        <v>0.33999999999999997</v>
      </c>
      <c r="W1951" s="149">
        <v>0.35</v>
      </c>
      <c r="X1951" s="152">
        <v>0.19039999999999999</v>
      </c>
      <c r="Y1951" s="150">
        <f t="shared" si="135"/>
        <v>1.2428319999999999</v>
      </c>
      <c r="Z1951" s="152">
        <f t="shared" si="138"/>
        <v>1.65</v>
      </c>
      <c r="AA1951" s="150">
        <f t="shared" si="139"/>
        <v>2.9103999999999997</v>
      </c>
      <c r="AB1951" s="150"/>
      <c r="AC1951" s="154"/>
      <c r="AD1951" s="154"/>
      <c r="AE1951" s="154"/>
      <c r="AF1951" s="154"/>
    </row>
    <row r="1952" spans="1:36" x14ac:dyDescent="0.25">
      <c r="A1952" s="138">
        <v>701</v>
      </c>
      <c r="B1952" s="196" t="s">
        <v>9194</v>
      </c>
      <c r="C1952" s="196" t="s">
        <v>9195</v>
      </c>
      <c r="D1952" s="196" t="s">
        <v>1912</v>
      </c>
      <c r="E1952" s="196" t="s">
        <v>1913</v>
      </c>
      <c r="F1952" s="196">
        <v>2011</v>
      </c>
      <c r="G1952" s="148"/>
      <c r="H1952" s="196" t="s">
        <v>1878</v>
      </c>
      <c r="I1952" s="141" t="s">
        <v>1879</v>
      </c>
      <c r="J1952" s="196" t="s">
        <v>9196</v>
      </c>
      <c r="K1952" s="196" t="s">
        <v>1881</v>
      </c>
      <c r="L1952" s="141" t="s">
        <v>9197</v>
      </c>
      <c r="M1952" s="196">
        <v>379</v>
      </c>
      <c r="N1952" s="148"/>
      <c r="O1952" s="196" t="s">
        <v>6950</v>
      </c>
      <c r="P1952" s="144">
        <v>312</v>
      </c>
      <c r="Q1952" s="145">
        <f t="shared" si="136"/>
        <v>1.7103999999999997</v>
      </c>
      <c r="R1952" s="203">
        <v>1.2</v>
      </c>
      <c r="S1952" s="140">
        <v>1.84</v>
      </c>
      <c r="T1952" s="149">
        <v>0.13</v>
      </c>
      <c r="U1952" s="149">
        <v>1.9</v>
      </c>
      <c r="V1952" s="149">
        <v>0.33999999999999997</v>
      </c>
      <c r="W1952" s="149">
        <v>0.35</v>
      </c>
      <c r="X1952" s="152">
        <v>0.19039999999999999</v>
      </c>
      <c r="Y1952" s="150">
        <f t="shared" si="135"/>
        <v>1.2428319999999999</v>
      </c>
      <c r="Z1952" s="152">
        <f t="shared" si="138"/>
        <v>1.84</v>
      </c>
      <c r="AA1952" s="150">
        <f t="shared" si="139"/>
        <v>2.9103999999999997</v>
      </c>
      <c r="AB1952" s="150"/>
      <c r="AC1952" s="154"/>
      <c r="AD1952" s="154"/>
      <c r="AE1952" s="154"/>
      <c r="AF1952" s="154"/>
    </row>
    <row r="1953" spans="1:36" x14ac:dyDescent="0.25">
      <c r="A1953" s="138">
        <v>796</v>
      </c>
      <c r="B1953" s="196" t="s">
        <v>9198</v>
      </c>
      <c r="C1953" s="196" t="s">
        <v>9199</v>
      </c>
      <c r="D1953" s="196" t="s">
        <v>9200</v>
      </c>
      <c r="E1953" s="148"/>
      <c r="F1953" s="196">
        <v>1994</v>
      </c>
      <c r="G1953" s="148"/>
      <c r="H1953" s="196" t="s">
        <v>2734</v>
      </c>
      <c r="I1953" s="141" t="s">
        <v>1879</v>
      </c>
      <c r="J1953" s="196" t="s">
        <v>9196</v>
      </c>
      <c r="K1953" s="196" t="s">
        <v>1881</v>
      </c>
      <c r="L1953" s="141" t="s">
        <v>9201</v>
      </c>
      <c r="M1953" s="196">
        <v>542</v>
      </c>
      <c r="N1953" s="148"/>
      <c r="O1953" s="196" t="s">
        <v>6951</v>
      </c>
      <c r="P1953" s="144">
        <v>667</v>
      </c>
      <c r="Q1953" s="145">
        <f t="shared" si="136"/>
        <v>1.5313999999999999</v>
      </c>
      <c r="R1953" s="203">
        <v>1.7</v>
      </c>
      <c r="S1953" s="139">
        <f>0.88+1.4</f>
        <v>2.2799999999999998</v>
      </c>
      <c r="T1953" s="149">
        <v>0.13</v>
      </c>
      <c r="U1953" s="149">
        <v>2.2000000000000002</v>
      </c>
      <c r="V1953" s="149">
        <v>0.33999999999999997</v>
      </c>
      <c r="W1953" s="149">
        <v>0.35</v>
      </c>
      <c r="X1953" s="152">
        <v>0.2114</v>
      </c>
      <c r="Y1953" s="150">
        <f t="shared" si="135"/>
        <v>1.2685119999999999</v>
      </c>
      <c r="Z1953" s="152">
        <f t="shared" si="138"/>
        <v>2.2799999999999998</v>
      </c>
      <c r="AA1953" s="150">
        <f t="shared" si="139"/>
        <v>3.2313999999999998</v>
      </c>
      <c r="AB1953" s="150"/>
      <c r="AC1953" s="154"/>
      <c r="AD1953" s="154"/>
      <c r="AE1953" s="154"/>
      <c r="AF1953" s="154"/>
    </row>
    <row r="1954" spans="1:36" x14ac:dyDescent="0.25">
      <c r="A1954" s="138">
        <v>692</v>
      </c>
      <c r="B1954" s="196" t="s">
        <v>2456</v>
      </c>
      <c r="C1954" s="196" t="s">
        <v>9202</v>
      </c>
      <c r="D1954" s="196" t="s">
        <v>9203</v>
      </c>
      <c r="E1954" s="148"/>
      <c r="F1954" s="196">
        <v>1998</v>
      </c>
      <c r="G1954" s="148"/>
      <c r="H1954" s="196" t="s">
        <v>1878</v>
      </c>
      <c r="I1954" s="141" t="s">
        <v>7527</v>
      </c>
      <c r="J1954" s="148"/>
      <c r="K1954" s="196" t="s">
        <v>1881</v>
      </c>
      <c r="L1954" s="148"/>
      <c r="M1954" s="196">
        <v>530</v>
      </c>
      <c r="N1954" s="148"/>
      <c r="O1954" s="196" t="s">
        <v>6952</v>
      </c>
      <c r="P1954" s="144">
        <v>390</v>
      </c>
      <c r="Q1954" s="145">
        <f t="shared" si="136"/>
        <v>1.7103999999999997</v>
      </c>
      <c r="R1954" s="203">
        <v>1.2</v>
      </c>
      <c r="S1954" s="140">
        <v>1.8</v>
      </c>
      <c r="T1954" s="149">
        <v>0.13</v>
      </c>
      <c r="U1954" s="149">
        <v>1.9</v>
      </c>
      <c r="V1954" s="149">
        <v>0.33999999999999997</v>
      </c>
      <c r="W1954" s="149">
        <v>0.35</v>
      </c>
      <c r="X1954" s="152">
        <v>0.19039999999999999</v>
      </c>
      <c r="Y1954" s="150">
        <f t="shared" si="135"/>
        <v>1.2428319999999999</v>
      </c>
      <c r="Z1954" s="152">
        <f t="shared" si="138"/>
        <v>1.8</v>
      </c>
      <c r="AA1954" s="150">
        <f t="shared" si="139"/>
        <v>2.9103999999999997</v>
      </c>
      <c r="AB1954" s="150"/>
      <c r="AC1954" s="154"/>
      <c r="AD1954" s="154"/>
      <c r="AE1954" s="154"/>
      <c r="AF1954" s="154"/>
    </row>
    <row r="1955" spans="1:36" x14ac:dyDescent="0.25">
      <c r="A1955" s="138">
        <v>692</v>
      </c>
      <c r="B1955" s="196" t="s">
        <v>9204</v>
      </c>
      <c r="C1955" s="196" t="s">
        <v>9205</v>
      </c>
      <c r="D1955" s="196" t="s">
        <v>9032</v>
      </c>
      <c r="E1955" s="196" t="s">
        <v>1913</v>
      </c>
      <c r="F1955" s="196">
        <v>1997</v>
      </c>
      <c r="G1955" s="148"/>
      <c r="H1955" s="196" t="s">
        <v>1878</v>
      </c>
      <c r="I1955" s="141" t="s">
        <v>7527</v>
      </c>
      <c r="J1955" s="148"/>
      <c r="K1955" s="196" t="s">
        <v>1881</v>
      </c>
      <c r="L1955" s="141" t="s">
        <v>9206</v>
      </c>
      <c r="M1955" s="196">
        <v>442</v>
      </c>
      <c r="N1955" s="148"/>
      <c r="O1955" s="196" t="s">
        <v>6953</v>
      </c>
      <c r="P1955" s="144">
        <v>367</v>
      </c>
      <c r="Q1955" s="145">
        <f t="shared" si="136"/>
        <v>1.7103999999999997</v>
      </c>
      <c r="R1955" s="203">
        <v>1.2</v>
      </c>
      <c r="S1955" s="140">
        <v>1.65</v>
      </c>
      <c r="T1955" s="149">
        <v>0.13</v>
      </c>
      <c r="U1955" s="149">
        <v>1.9</v>
      </c>
      <c r="V1955" s="149">
        <v>0.33999999999999997</v>
      </c>
      <c r="W1955" s="149">
        <v>0.35</v>
      </c>
      <c r="X1955" s="152">
        <v>0.19039999999999999</v>
      </c>
      <c r="Y1955" s="150">
        <f t="shared" si="135"/>
        <v>1.2428319999999999</v>
      </c>
      <c r="Z1955" s="152">
        <f t="shared" si="138"/>
        <v>1.65</v>
      </c>
      <c r="AA1955" s="150">
        <f t="shared" si="139"/>
        <v>2.9103999999999997</v>
      </c>
      <c r="AB1955" s="150"/>
      <c r="AC1955" s="154"/>
      <c r="AD1955" s="154"/>
      <c r="AE1955" s="154"/>
      <c r="AF1955" s="154"/>
    </row>
    <row r="1956" spans="1:36" x14ac:dyDescent="0.25">
      <c r="A1956" s="142">
        <v>692</v>
      </c>
      <c r="B1956" s="196" t="s">
        <v>7478</v>
      </c>
      <c r="C1956" s="196" t="s">
        <v>9207</v>
      </c>
      <c r="D1956" s="196" t="s">
        <v>1912</v>
      </c>
      <c r="E1956" s="148"/>
      <c r="F1956" s="196">
        <v>2007</v>
      </c>
      <c r="G1956" s="148"/>
      <c r="H1956" s="196" t="s">
        <v>1878</v>
      </c>
      <c r="I1956" s="141" t="s">
        <v>7527</v>
      </c>
      <c r="J1956" s="196" t="s">
        <v>9208</v>
      </c>
      <c r="K1956" s="196" t="s">
        <v>1881</v>
      </c>
      <c r="L1956" s="141" t="s">
        <v>9209</v>
      </c>
      <c r="M1956" s="196">
        <v>350</v>
      </c>
      <c r="N1956" s="148"/>
      <c r="O1956" s="196" t="s">
        <v>6954</v>
      </c>
      <c r="P1956" s="144">
        <v>292</v>
      </c>
      <c r="Q1956" s="145">
        <f t="shared" si="136"/>
        <v>1.7103999999999997</v>
      </c>
      <c r="R1956" s="203">
        <v>1.2</v>
      </c>
      <c r="S1956" s="140">
        <v>1.84</v>
      </c>
      <c r="T1956" s="149">
        <v>0.13</v>
      </c>
      <c r="U1956" s="149">
        <v>1.9</v>
      </c>
      <c r="V1956" s="149">
        <v>0.33999999999999997</v>
      </c>
      <c r="W1956" s="149">
        <v>0.35</v>
      </c>
      <c r="X1956" s="152">
        <v>0.19039999999999999</v>
      </c>
      <c r="Y1956" s="150">
        <f t="shared" si="135"/>
        <v>1.2428319999999999</v>
      </c>
      <c r="Z1956" s="152">
        <f t="shared" si="138"/>
        <v>1.84</v>
      </c>
      <c r="AA1956" s="150">
        <f t="shared" si="139"/>
        <v>2.9103999999999997</v>
      </c>
      <c r="AB1956" s="150"/>
      <c r="AC1956" s="154"/>
      <c r="AD1956" s="154"/>
      <c r="AE1956" s="154"/>
      <c r="AF1956" s="154"/>
    </row>
    <row r="1957" spans="1:36" x14ac:dyDescent="0.25">
      <c r="A1957" s="142">
        <v>692</v>
      </c>
      <c r="B1957" s="196" t="s">
        <v>9210</v>
      </c>
      <c r="C1957" s="196" t="s">
        <v>9211</v>
      </c>
      <c r="D1957" s="196" t="s">
        <v>9032</v>
      </c>
      <c r="E1957" s="148"/>
      <c r="F1957" s="196">
        <v>2006</v>
      </c>
      <c r="G1957" s="148"/>
      <c r="H1957" s="196" t="s">
        <v>1878</v>
      </c>
      <c r="I1957" s="141" t="s">
        <v>1914</v>
      </c>
      <c r="J1957" s="196" t="s">
        <v>9196</v>
      </c>
      <c r="K1957" s="196" t="s">
        <v>1881</v>
      </c>
      <c r="L1957" s="141" t="s">
        <v>9212</v>
      </c>
      <c r="M1957" s="196">
        <v>306</v>
      </c>
      <c r="N1957" s="148"/>
      <c r="O1957" s="196" t="s">
        <v>6955</v>
      </c>
      <c r="P1957" s="144">
        <v>296</v>
      </c>
      <c r="Q1957" s="145">
        <f t="shared" si="136"/>
        <v>1.7103999999999997</v>
      </c>
      <c r="R1957" s="203">
        <v>1.2</v>
      </c>
      <c r="S1957" s="140">
        <v>1.64</v>
      </c>
      <c r="T1957" s="149">
        <v>0.13</v>
      </c>
      <c r="U1957" s="149">
        <v>1.9</v>
      </c>
      <c r="V1957" s="149">
        <v>0.33999999999999997</v>
      </c>
      <c r="W1957" s="149">
        <v>0.35</v>
      </c>
      <c r="X1957" s="152">
        <v>0.19039999999999999</v>
      </c>
      <c r="Y1957" s="150">
        <f t="shared" si="135"/>
        <v>1.2428319999999999</v>
      </c>
      <c r="Z1957" s="152">
        <f t="shared" si="138"/>
        <v>1.64</v>
      </c>
      <c r="AA1957" s="150">
        <f t="shared" si="139"/>
        <v>2.9103999999999997</v>
      </c>
      <c r="AB1957" s="150"/>
      <c r="AC1957" s="154"/>
      <c r="AD1957" s="154"/>
      <c r="AE1957" s="154"/>
      <c r="AF1957" s="154"/>
    </row>
    <row r="1958" spans="1:36" x14ac:dyDescent="0.25">
      <c r="A1958" s="138">
        <v>643</v>
      </c>
      <c r="B1958" s="196" t="s">
        <v>9213</v>
      </c>
      <c r="C1958" s="196" t="s">
        <v>9214</v>
      </c>
      <c r="D1958" s="196" t="s">
        <v>9215</v>
      </c>
      <c r="E1958" s="148"/>
      <c r="F1958" s="196">
        <v>2008</v>
      </c>
      <c r="G1958" s="148"/>
      <c r="H1958" s="196" t="s">
        <v>1878</v>
      </c>
      <c r="I1958" s="141" t="s">
        <v>1929</v>
      </c>
      <c r="J1958" s="148"/>
      <c r="K1958" s="196" t="s">
        <v>1881</v>
      </c>
      <c r="L1958" s="141" t="s">
        <v>9216</v>
      </c>
      <c r="M1958" s="148"/>
      <c r="N1958" s="148"/>
      <c r="O1958" s="196" t="s">
        <v>6956</v>
      </c>
      <c r="P1958" s="144">
        <v>74</v>
      </c>
      <c r="Q1958" s="145">
        <f t="shared" si="136"/>
        <v>1.7103999999999997</v>
      </c>
      <c r="R1958" s="203">
        <v>1.2</v>
      </c>
      <c r="S1958" s="140">
        <v>2.7</v>
      </c>
      <c r="T1958" s="149">
        <v>0.13</v>
      </c>
      <c r="U1958" s="149">
        <v>1.9</v>
      </c>
      <c r="V1958" s="149">
        <v>0.33999999999999997</v>
      </c>
      <c r="W1958" s="149">
        <v>0.35</v>
      </c>
      <c r="X1958" s="152">
        <v>0.19039999999999999</v>
      </c>
      <c r="Y1958" s="150">
        <f t="shared" si="135"/>
        <v>1.2428319999999999</v>
      </c>
      <c r="Z1958" s="152">
        <f t="shared" si="138"/>
        <v>2.7</v>
      </c>
      <c r="AA1958" s="150">
        <f t="shared" si="139"/>
        <v>2.9103999999999997</v>
      </c>
      <c r="AB1958" s="150"/>
      <c r="AC1958" s="154"/>
      <c r="AD1958" s="154"/>
      <c r="AE1958" s="154"/>
      <c r="AF1958" s="154"/>
      <c r="AG1958" s="197"/>
      <c r="AH1958" s="197"/>
      <c r="AI1958" s="197"/>
      <c r="AJ1958" s="197"/>
    </row>
    <row r="1959" spans="1:36" x14ac:dyDescent="0.25">
      <c r="A1959" s="138">
        <v>632</v>
      </c>
      <c r="B1959" s="196" t="s">
        <v>1904</v>
      </c>
      <c r="C1959" s="196" t="s">
        <v>1905</v>
      </c>
      <c r="D1959" s="196" t="s">
        <v>4517</v>
      </c>
      <c r="E1959" s="196" t="s">
        <v>1913</v>
      </c>
      <c r="F1959" s="196">
        <v>2009</v>
      </c>
      <c r="G1959" s="148"/>
      <c r="H1959" s="196" t="s">
        <v>1878</v>
      </c>
      <c r="I1959" s="141" t="s">
        <v>1879</v>
      </c>
      <c r="J1959" s="148"/>
      <c r="K1959" s="196" t="s">
        <v>1881</v>
      </c>
      <c r="L1959" s="141" t="s">
        <v>9217</v>
      </c>
      <c r="M1959" s="196">
        <v>585</v>
      </c>
      <c r="N1959" s="148"/>
      <c r="O1959" s="196" t="s">
        <v>6957</v>
      </c>
      <c r="P1959" s="144">
        <v>433</v>
      </c>
      <c r="Q1959" s="145">
        <f t="shared" si="136"/>
        <v>1.7103999999999997</v>
      </c>
      <c r="R1959" s="203">
        <v>1.2</v>
      </c>
      <c r="S1959" s="140">
        <v>1.65</v>
      </c>
      <c r="T1959" s="149">
        <v>0.13</v>
      </c>
      <c r="U1959" s="149">
        <v>1.9</v>
      </c>
      <c r="V1959" s="149">
        <v>0.33999999999999997</v>
      </c>
      <c r="W1959" s="149">
        <v>0.35</v>
      </c>
      <c r="X1959" s="152">
        <v>0.19039999999999999</v>
      </c>
      <c r="Y1959" s="150">
        <f t="shared" si="135"/>
        <v>1.2428319999999999</v>
      </c>
      <c r="Z1959" s="152">
        <f t="shared" si="138"/>
        <v>1.65</v>
      </c>
      <c r="AA1959" s="150">
        <f t="shared" si="139"/>
        <v>2.9103999999999997</v>
      </c>
      <c r="AB1959" s="150"/>
      <c r="AC1959" s="154"/>
      <c r="AD1959" s="154"/>
      <c r="AE1959" s="154"/>
      <c r="AF1959" s="154"/>
      <c r="AG1959" s="197"/>
      <c r="AH1959" s="197"/>
      <c r="AI1959" s="197"/>
      <c r="AJ1959" s="197"/>
    </row>
    <row r="1960" spans="1:36" x14ac:dyDescent="0.25">
      <c r="A1960" s="142">
        <v>692</v>
      </c>
      <c r="B1960" s="196" t="s">
        <v>2935</v>
      </c>
      <c r="C1960" s="196" t="s">
        <v>9218</v>
      </c>
      <c r="D1960" s="196" t="s">
        <v>2609</v>
      </c>
      <c r="E1960" s="148"/>
      <c r="F1960" s="196">
        <v>2005</v>
      </c>
      <c r="G1960" s="148"/>
      <c r="H1960" s="196" t="s">
        <v>2734</v>
      </c>
      <c r="I1960" s="141" t="s">
        <v>7817</v>
      </c>
      <c r="J1960" s="148"/>
      <c r="K1960" s="196" t="s">
        <v>1881</v>
      </c>
      <c r="L1960" s="141" t="s">
        <v>9219</v>
      </c>
      <c r="M1960" s="196">
        <v>250</v>
      </c>
      <c r="N1960" s="148"/>
      <c r="O1960" s="196" t="s">
        <v>6958</v>
      </c>
      <c r="P1960" s="144">
        <v>348</v>
      </c>
      <c r="Q1960" s="145">
        <f t="shared" si="136"/>
        <v>1.7103999999999997</v>
      </c>
      <c r="R1960" s="203">
        <v>1.2</v>
      </c>
      <c r="S1960" s="139">
        <f>0.25+1.39</f>
        <v>1.64</v>
      </c>
      <c r="T1960" s="149">
        <v>0.13</v>
      </c>
      <c r="U1960" s="149">
        <v>1.9</v>
      </c>
      <c r="V1960" s="149">
        <v>0.33999999999999997</v>
      </c>
      <c r="W1960" s="149">
        <v>0.35</v>
      </c>
      <c r="X1960" s="152">
        <v>0.19039999999999999</v>
      </c>
      <c r="Y1960" s="150">
        <f t="shared" si="135"/>
        <v>1.2428319999999999</v>
      </c>
      <c r="Z1960" s="152">
        <f t="shared" si="138"/>
        <v>1.64</v>
      </c>
      <c r="AA1960" s="150">
        <f t="shared" si="139"/>
        <v>2.9103999999999997</v>
      </c>
      <c r="AB1960" s="150"/>
      <c r="AC1960" s="154"/>
      <c r="AD1960" s="154"/>
      <c r="AE1960" s="154"/>
      <c r="AF1960" s="154"/>
      <c r="AG1960" s="197"/>
      <c r="AH1960" s="197"/>
      <c r="AI1960" s="197"/>
      <c r="AJ1960" s="197"/>
    </row>
    <row r="1961" spans="1:36" s="146" customFormat="1" x14ac:dyDescent="0.25">
      <c r="A1961" s="142">
        <v>692</v>
      </c>
      <c r="B1961" s="196" t="s">
        <v>9220</v>
      </c>
      <c r="C1961" s="196" t="s">
        <v>9221</v>
      </c>
      <c r="D1961" s="196" t="s">
        <v>2424</v>
      </c>
      <c r="E1961" s="196" t="s">
        <v>2518</v>
      </c>
      <c r="F1961" s="196">
        <v>2001</v>
      </c>
      <c r="G1961" s="196"/>
      <c r="H1961" s="196" t="s">
        <v>1878</v>
      </c>
      <c r="I1961" s="141" t="s">
        <v>7527</v>
      </c>
      <c r="J1961" s="196"/>
      <c r="K1961" s="196" t="s">
        <v>1881</v>
      </c>
      <c r="L1961" s="141" t="s">
        <v>9222</v>
      </c>
      <c r="M1961" s="196">
        <v>365</v>
      </c>
      <c r="N1961" s="196"/>
      <c r="O1961" s="196" t="s">
        <v>6959</v>
      </c>
      <c r="P1961" s="144">
        <v>393</v>
      </c>
      <c r="Q1961" s="145">
        <f t="shared" si="136"/>
        <v>1.7103999999999997</v>
      </c>
      <c r="R1961" s="203">
        <v>1.2</v>
      </c>
      <c r="S1961" s="140">
        <v>1.65</v>
      </c>
      <c r="T1961" s="151">
        <v>0.13</v>
      </c>
      <c r="U1961" s="149">
        <v>1.9</v>
      </c>
      <c r="V1961" s="151">
        <v>0.33999999999999997</v>
      </c>
      <c r="W1961" s="151">
        <v>0.35</v>
      </c>
      <c r="X1961" s="152">
        <v>0.19039999999999999</v>
      </c>
      <c r="Y1961" s="150">
        <f t="shared" si="135"/>
        <v>1.2428319999999999</v>
      </c>
      <c r="Z1961" s="152">
        <f t="shared" si="138"/>
        <v>1.65</v>
      </c>
      <c r="AA1961" s="150">
        <f t="shared" si="139"/>
        <v>2.9103999999999997</v>
      </c>
      <c r="AB1961" s="150"/>
      <c r="AC1961" s="153"/>
      <c r="AD1961" s="153"/>
      <c r="AE1961" s="153"/>
      <c r="AF1961" s="153"/>
      <c r="AJ1961" s="147"/>
    </row>
    <row r="1962" spans="1:36" x14ac:dyDescent="0.25">
      <c r="A1962" s="142">
        <v>632</v>
      </c>
      <c r="B1962" s="196" t="s">
        <v>1904</v>
      </c>
      <c r="C1962" s="196" t="s">
        <v>1905</v>
      </c>
      <c r="D1962" s="196" t="s">
        <v>4517</v>
      </c>
      <c r="E1962" s="196" t="s">
        <v>9223</v>
      </c>
      <c r="F1962" s="196">
        <v>2000</v>
      </c>
      <c r="G1962" s="148"/>
      <c r="H1962" s="196" t="s">
        <v>1878</v>
      </c>
      <c r="I1962" s="141" t="s">
        <v>1879</v>
      </c>
      <c r="J1962" s="148"/>
      <c r="K1962" s="196" t="s">
        <v>1881</v>
      </c>
      <c r="L1962" s="141" t="s">
        <v>1908</v>
      </c>
      <c r="M1962" s="196">
        <v>576</v>
      </c>
      <c r="N1962" s="148"/>
      <c r="O1962" s="196" t="s">
        <v>6960</v>
      </c>
      <c r="P1962" s="144">
        <v>588</v>
      </c>
      <c r="Q1962" s="145">
        <f t="shared" si="136"/>
        <v>1.5313999999999999</v>
      </c>
      <c r="R1962" s="203">
        <v>1.7</v>
      </c>
      <c r="S1962" s="140">
        <v>1.55</v>
      </c>
      <c r="T1962" s="149">
        <v>0.13</v>
      </c>
      <c r="U1962" s="149">
        <v>2.2000000000000002</v>
      </c>
      <c r="V1962" s="149">
        <v>0.33999999999999997</v>
      </c>
      <c r="W1962" s="149">
        <v>0.35</v>
      </c>
      <c r="X1962" s="152">
        <v>0.2114</v>
      </c>
      <c r="Y1962" s="150">
        <f t="shared" si="135"/>
        <v>1.2685119999999999</v>
      </c>
      <c r="Z1962" s="152">
        <f t="shared" si="138"/>
        <v>1.55</v>
      </c>
      <c r="AA1962" s="150">
        <f t="shared" si="139"/>
        <v>3.2313999999999998</v>
      </c>
      <c r="AB1962" s="150"/>
      <c r="AC1962" s="154"/>
      <c r="AD1962" s="154"/>
      <c r="AE1962" s="154"/>
      <c r="AF1962" s="154"/>
      <c r="AG1962" s="197"/>
      <c r="AH1962" s="197"/>
      <c r="AI1962" s="197"/>
      <c r="AJ1962" s="197"/>
    </row>
    <row r="1963" spans="1:36" x14ac:dyDescent="0.25">
      <c r="A1963" s="142">
        <v>1972</v>
      </c>
      <c r="B1963" s="196" t="s">
        <v>9224</v>
      </c>
      <c r="C1963" s="196" t="s">
        <v>9225</v>
      </c>
      <c r="D1963" s="196" t="s">
        <v>1998</v>
      </c>
      <c r="E1963" s="196" t="s">
        <v>1913</v>
      </c>
      <c r="F1963" s="196">
        <v>2005</v>
      </c>
      <c r="G1963" s="148"/>
      <c r="H1963" s="196" t="s">
        <v>1878</v>
      </c>
      <c r="I1963" s="141" t="s">
        <v>1879</v>
      </c>
      <c r="J1963" s="148"/>
      <c r="K1963" s="196" t="s">
        <v>1881</v>
      </c>
      <c r="L1963" s="141" t="s">
        <v>9226</v>
      </c>
      <c r="M1963" s="196">
        <v>240</v>
      </c>
      <c r="N1963" s="148"/>
      <c r="O1963" s="196" t="s">
        <v>6961</v>
      </c>
      <c r="P1963" s="144">
        <v>192</v>
      </c>
      <c r="Q1963" s="145">
        <f t="shared" si="136"/>
        <v>1.7103999999999997</v>
      </c>
      <c r="R1963" s="203">
        <v>1.2</v>
      </c>
      <c r="S1963" s="140">
        <v>2.1</v>
      </c>
      <c r="T1963" s="149">
        <v>0.13</v>
      </c>
      <c r="U1963" s="149">
        <v>1.9</v>
      </c>
      <c r="V1963" s="149">
        <v>0.33999999999999997</v>
      </c>
      <c r="W1963" s="149">
        <v>0.35</v>
      </c>
      <c r="X1963" s="152">
        <v>0.19039999999999999</v>
      </c>
      <c r="Y1963" s="150">
        <f t="shared" si="135"/>
        <v>1.2428319999999999</v>
      </c>
      <c r="Z1963" s="152">
        <f t="shared" si="138"/>
        <v>2.1</v>
      </c>
      <c r="AA1963" s="150">
        <f t="shared" si="139"/>
        <v>2.9103999999999997</v>
      </c>
      <c r="AB1963" s="150"/>
      <c r="AC1963" s="154"/>
      <c r="AD1963" s="154"/>
      <c r="AE1963" s="154"/>
      <c r="AF1963" s="154"/>
      <c r="AG1963" s="197"/>
      <c r="AH1963" s="197"/>
      <c r="AI1963" s="197"/>
      <c r="AJ1963" s="197"/>
    </row>
    <row r="1964" spans="1:36" x14ac:dyDescent="0.25">
      <c r="A1964" s="142">
        <v>632</v>
      </c>
      <c r="B1964" s="196" t="s">
        <v>9227</v>
      </c>
      <c r="C1964" s="196" t="s">
        <v>9228</v>
      </c>
      <c r="D1964" s="196" t="s">
        <v>9229</v>
      </c>
      <c r="E1964" s="148"/>
      <c r="F1964" s="196">
        <v>2019</v>
      </c>
      <c r="G1964" s="148"/>
      <c r="H1964" s="196" t="s">
        <v>1878</v>
      </c>
      <c r="I1964" s="141" t="s">
        <v>7817</v>
      </c>
      <c r="J1964" s="148"/>
      <c r="K1964" s="196" t="s">
        <v>1881</v>
      </c>
      <c r="L1964" s="141" t="s">
        <v>9230</v>
      </c>
      <c r="M1964" s="196"/>
      <c r="N1964" s="148"/>
      <c r="O1964" s="196" t="s">
        <v>6962</v>
      </c>
      <c r="P1964" s="144">
        <v>256</v>
      </c>
      <c r="Q1964" s="145">
        <f t="shared" si="136"/>
        <v>3.8999999999999995</v>
      </c>
      <c r="R1964" s="203">
        <v>1.2</v>
      </c>
      <c r="S1964" s="139">
        <f>2.5+2.6</f>
        <v>5.0999999999999996</v>
      </c>
      <c r="T1964" s="149">
        <v>0.13</v>
      </c>
      <c r="U1964" s="149">
        <v>1.9</v>
      </c>
      <c r="V1964" s="149">
        <v>0.33999999999999997</v>
      </c>
      <c r="W1964" s="137">
        <v>0.35</v>
      </c>
      <c r="X1964" s="152">
        <v>0.19039999999999999</v>
      </c>
      <c r="Y1964" s="150">
        <f t="shared" ref="Y1964:Y2027" si="140">(IF(Z1964&gt;AA1964,Z1964,AA1964)*0.08)+1.01</f>
        <v>1.4179999999999999</v>
      </c>
      <c r="Z1964" s="152">
        <f t="shared" si="138"/>
        <v>5.0999999999999996</v>
      </c>
      <c r="AA1964" s="150">
        <f t="shared" si="139"/>
        <v>2.9103999999999997</v>
      </c>
      <c r="AB1964" s="150"/>
      <c r="AC1964" s="154"/>
      <c r="AD1964" s="154"/>
      <c r="AE1964" s="154"/>
      <c r="AF1964" s="154"/>
      <c r="AG1964" s="197"/>
      <c r="AH1964" s="197"/>
      <c r="AI1964" s="197"/>
      <c r="AJ1964" s="197"/>
    </row>
    <row r="1965" spans="1:36" x14ac:dyDescent="0.25">
      <c r="A1965" s="142">
        <v>2514</v>
      </c>
      <c r="B1965" s="196" t="s">
        <v>4628</v>
      </c>
      <c r="C1965" s="196" t="s">
        <v>9231</v>
      </c>
      <c r="D1965" s="196" t="s">
        <v>2402</v>
      </c>
      <c r="E1965" s="148"/>
      <c r="F1965" s="196">
        <v>2001</v>
      </c>
      <c r="G1965" s="148"/>
      <c r="H1965" s="196" t="s">
        <v>2734</v>
      </c>
      <c r="I1965" s="141" t="s">
        <v>7817</v>
      </c>
      <c r="J1965" s="148"/>
      <c r="K1965" s="196" t="s">
        <v>1881</v>
      </c>
      <c r="L1965" s="141" t="s">
        <v>9232</v>
      </c>
      <c r="M1965" s="196">
        <v>126</v>
      </c>
      <c r="N1965" s="148"/>
      <c r="O1965" s="196" t="s">
        <v>6963</v>
      </c>
      <c r="P1965" s="144">
        <v>180</v>
      </c>
      <c r="Q1965" s="145">
        <f t="shared" si="136"/>
        <v>1.7103999999999997</v>
      </c>
      <c r="R1965" s="203">
        <v>1.2</v>
      </c>
      <c r="S1965" s="140">
        <v>1.8</v>
      </c>
      <c r="T1965" s="149">
        <v>0.13</v>
      </c>
      <c r="U1965" s="149">
        <v>1.9</v>
      </c>
      <c r="V1965" s="149">
        <v>0.33999999999999997</v>
      </c>
      <c r="W1965" s="149">
        <v>0.35</v>
      </c>
      <c r="X1965" s="152">
        <v>0.19039999999999999</v>
      </c>
      <c r="Y1965" s="150">
        <f t="shared" si="140"/>
        <v>1.2428319999999999</v>
      </c>
      <c r="Z1965" s="152">
        <f t="shared" si="138"/>
        <v>1.8</v>
      </c>
      <c r="AA1965" s="150">
        <f t="shared" si="139"/>
        <v>2.9103999999999997</v>
      </c>
      <c r="AB1965" s="150"/>
      <c r="AC1965" s="154"/>
      <c r="AD1965" s="154"/>
      <c r="AE1965" s="154"/>
      <c r="AF1965" s="154"/>
      <c r="AG1965" s="197"/>
      <c r="AH1965" s="197"/>
      <c r="AI1965" s="197"/>
      <c r="AJ1965" s="197"/>
    </row>
    <row r="1966" spans="1:36" x14ac:dyDescent="0.25">
      <c r="A1966" s="142">
        <v>1913</v>
      </c>
      <c r="B1966" s="196" t="s">
        <v>7541</v>
      </c>
      <c r="C1966" s="196" t="s">
        <v>9233</v>
      </c>
      <c r="D1966" s="196" t="s">
        <v>2209</v>
      </c>
      <c r="E1966" s="148"/>
      <c r="F1966" s="196">
        <v>2005</v>
      </c>
      <c r="G1966" s="148"/>
      <c r="H1966" s="196" t="s">
        <v>1878</v>
      </c>
      <c r="I1966" s="141" t="s">
        <v>1879</v>
      </c>
      <c r="J1966" s="148"/>
      <c r="K1966" s="196" t="s">
        <v>1881</v>
      </c>
      <c r="L1966" s="141" t="s">
        <v>9234</v>
      </c>
      <c r="M1966" s="196">
        <v>480</v>
      </c>
      <c r="N1966" s="148"/>
      <c r="O1966" s="196" t="s">
        <v>6964</v>
      </c>
      <c r="P1966" s="144">
        <v>454</v>
      </c>
      <c r="Q1966" s="145">
        <f t="shared" si="136"/>
        <v>1.7103999999999997</v>
      </c>
      <c r="R1966" s="203">
        <v>1.2</v>
      </c>
      <c r="S1966" s="139">
        <f>0.25+1.39</f>
        <v>1.64</v>
      </c>
      <c r="T1966" s="149">
        <v>0.13</v>
      </c>
      <c r="U1966" s="149">
        <v>1.9</v>
      </c>
      <c r="V1966" s="149">
        <v>0.33999999999999997</v>
      </c>
      <c r="W1966" s="149">
        <v>0.35</v>
      </c>
      <c r="X1966" s="152">
        <v>0.19039999999999999</v>
      </c>
      <c r="Y1966" s="150">
        <f t="shared" si="140"/>
        <v>1.2428319999999999</v>
      </c>
      <c r="Z1966" s="152">
        <f t="shared" si="138"/>
        <v>1.64</v>
      </c>
      <c r="AA1966" s="150">
        <f t="shared" si="139"/>
        <v>2.9103999999999997</v>
      </c>
      <c r="AB1966" s="150"/>
      <c r="AC1966" s="154"/>
      <c r="AD1966" s="154"/>
      <c r="AE1966" s="154"/>
      <c r="AF1966" s="154"/>
      <c r="AG1966" s="197"/>
      <c r="AH1966" s="197"/>
      <c r="AI1966" s="197"/>
      <c r="AJ1966" s="197"/>
    </row>
    <row r="1967" spans="1:36" x14ac:dyDescent="0.25">
      <c r="A1967" s="142">
        <v>2514</v>
      </c>
      <c r="B1967" s="196" t="s">
        <v>9235</v>
      </c>
      <c r="C1967" s="196" t="s">
        <v>9236</v>
      </c>
      <c r="D1967" s="196" t="s">
        <v>1920</v>
      </c>
      <c r="E1967" s="148"/>
      <c r="F1967" s="196">
        <v>2000</v>
      </c>
      <c r="G1967" s="148"/>
      <c r="H1967" s="196" t="s">
        <v>2734</v>
      </c>
      <c r="I1967" s="141" t="s">
        <v>1914</v>
      </c>
      <c r="J1967" s="148"/>
      <c r="K1967" s="196" t="s">
        <v>1881</v>
      </c>
      <c r="L1967" s="141" t="s">
        <v>9237</v>
      </c>
      <c r="M1967" s="196">
        <v>322</v>
      </c>
      <c r="N1967" s="148"/>
      <c r="O1967" s="196" t="s">
        <v>6965</v>
      </c>
      <c r="P1967" s="144">
        <v>530</v>
      </c>
      <c r="Q1967" s="145">
        <f t="shared" si="136"/>
        <v>1.95</v>
      </c>
      <c r="R1967" s="203">
        <v>1.7</v>
      </c>
      <c r="S1967" s="139">
        <f>1.95+1.7</f>
        <v>3.65</v>
      </c>
      <c r="T1967" s="149">
        <v>0.13</v>
      </c>
      <c r="U1967" s="149">
        <v>2.2000000000000002</v>
      </c>
      <c r="V1967" s="149">
        <v>0.33999999999999997</v>
      </c>
      <c r="W1967" s="137">
        <v>0.35</v>
      </c>
      <c r="X1967" s="152">
        <v>0.2114</v>
      </c>
      <c r="Y1967" s="150">
        <f t="shared" si="140"/>
        <v>1.302</v>
      </c>
      <c r="Z1967" s="152">
        <f t="shared" si="138"/>
        <v>3.65</v>
      </c>
      <c r="AA1967" s="150">
        <f t="shared" si="139"/>
        <v>3.2313999999999998</v>
      </c>
      <c r="AB1967" s="150"/>
      <c r="AC1967" s="154"/>
      <c r="AD1967" s="154"/>
      <c r="AE1967" s="154"/>
      <c r="AF1967" s="154"/>
      <c r="AG1967" s="197"/>
      <c r="AH1967" s="197"/>
      <c r="AI1967" s="197"/>
      <c r="AJ1967" s="197"/>
    </row>
    <row r="1968" spans="1:36" x14ac:dyDescent="0.25">
      <c r="A1968" s="142">
        <v>690</v>
      </c>
      <c r="B1968" s="196" t="s">
        <v>9238</v>
      </c>
      <c r="C1968" s="196" t="s">
        <v>9239</v>
      </c>
      <c r="D1968" s="196" t="s">
        <v>9240</v>
      </c>
      <c r="E1968" s="148"/>
      <c r="F1968" s="196">
        <v>1984</v>
      </c>
      <c r="G1968" s="148"/>
      <c r="H1968" s="196" t="s">
        <v>2734</v>
      </c>
      <c r="I1968" s="141" t="s">
        <v>7527</v>
      </c>
      <c r="J1968" s="148"/>
      <c r="K1968" s="196" t="s">
        <v>1881</v>
      </c>
      <c r="L1968" s="141" t="s">
        <v>9241</v>
      </c>
      <c r="M1968" s="196">
        <v>258</v>
      </c>
      <c r="N1968" s="148"/>
      <c r="O1968" s="196" t="s">
        <v>6966</v>
      </c>
      <c r="P1968" s="144">
        <v>325</v>
      </c>
      <c r="Q1968" s="145">
        <f t="shared" si="136"/>
        <v>1.7103999999999997</v>
      </c>
      <c r="R1968" s="203">
        <v>1.2</v>
      </c>
      <c r="S1968" s="139">
        <v>1.65</v>
      </c>
      <c r="T1968" s="149">
        <v>0.13</v>
      </c>
      <c r="U1968" s="149">
        <v>1.9</v>
      </c>
      <c r="V1968" s="149">
        <v>0.33999999999999997</v>
      </c>
      <c r="W1968" s="149">
        <v>0.35</v>
      </c>
      <c r="X1968" s="152">
        <v>0.19039999999999999</v>
      </c>
      <c r="Y1968" s="150">
        <f t="shared" si="140"/>
        <v>1.2428319999999999</v>
      </c>
      <c r="Z1968" s="152">
        <f t="shared" si="138"/>
        <v>1.65</v>
      </c>
      <c r="AA1968" s="150">
        <f t="shared" si="139"/>
        <v>2.9103999999999997</v>
      </c>
      <c r="AB1968" s="150"/>
      <c r="AC1968" s="154"/>
      <c r="AD1968" s="154"/>
      <c r="AE1968" s="154"/>
      <c r="AF1968" s="154"/>
      <c r="AG1968" s="197"/>
      <c r="AH1968" s="197"/>
      <c r="AI1968" s="197"/>
      <c r="AJ1968" s="197"/>
    </row>
    <row r="1969" spans="1:36" x14ac:dyDescent="0.25">
      <c r="A1969" s="142">
        <v>734</v>
      </c>
      <c r="B1969" s="196" t="s">
        <v>7392</v>
      </c>
      <c r="C1969" s="196" t="s">
        <v>9242</v>
      </c>
      <c r="D1969" s="196" t="s">
        <v>2209</v>
      </c>
      <c r="E1969" s="196" t="s">
        <v>2918</v>
      </c>
      <c r="F1969" s="196">
        <v>1994</v>
      </c>
      <c r="G1969" s="148"/>
      <c r="H1969" s="196" t="s">
        <v>1878</v>
      </c>
      <c r="I1969" s="141" t="s">
        <v>1914</v>
      </c>
      <c r="J1969" s="148"/>
      <c r="K1969" s="196" t="s">
        <v>1881</v>
      </c>
      <c r="L1969" s="141" t="s">
        <v>9243</v>
      </c>
      <c r="M1969" s="196">
        <v>560</v>
      </c>
      <c r="N1969" s="148"/>
      <c r="O1969" s="196" t="s">
        <v>6967</v>
      </c>
      <c r="P1969" s="144">
        <v>361</v>
      </c>
      <c r="Q1969" s="145">
        <f t="shared" si="136"/>
        <v>1.7103999999999997</v>
      </c>
      <c r="R1969" s="203">
        <v>1.2</v>
      </c>
      <c r="S1969" s="139">
        <v>1.5</v>
      </c>
      <c r="T1969" s="149">
        <v>0.13</v>
      </c>
      <c r="U1969" s="149">
        <v>1.9</v>
      </c>
      <c r="V1969" s="149">
        <v>0.33999999999999997</v>
      </c>
      <c r="W1969" s="149">
        <v>0.35</v>
      </c>
      <c r="X1969" s="152">
        <v>0.19039999999999999</v>
      </c>
      <c r="Y1969" s="150">
        <f t="shared" si="140"/>
        <v>1.2428319999999999</v>
      </c>
      <c r="Z1969" s="152">
        <f t="shared" si="138"/>
        <v>1.5</v>
      </c>
      <c r="AA1969" s="150">
        <f t="shared" si="139"/>
        <v>2.9103999999999997</v>
      </c>
      <c r="AB1969" s="150"/>
      <c r="AC1969" s="154"/>
      <c r="AD1969" s="154"/>
      <c r="AE1969" s="154"/>
      <c r="AF1969" s="154"/>
      <c r="AG1969" s="197"/>
      <c r="AH1969" s="197"/>
      <c r="AI1969" s="197"/>
      <c r="AJ1969" s="197"/>
    </row>
    <row r="1970" spans="1:36" x14ac:dyDescent="0.25">
      <c r="A1970" s="142">
        <v>1315</v>
      </c>
      <c r="B1970" s="196" t="s">
        <v>4725</v>
      </c>
      <c r="C1970" s="196" t="s">
        <v>9244</v>
      </c>
      <c r="D1970" s="196" t="s">
        <v>2402</v>
      </c>
      <c r="E1970" s="148"/>
      <c r="F1970" s="196">
        <v>1982</v>
      </c>
      <c r="G1970" s="148"/>
      <c r="H1970" s="196" t="s">
        <v>2734</v>
      </c>
      <c r="I1970" s="141" t="s">
        <v>1929</v>
      </c>
      <c r="J1970" s="196" t="s">
        <v>9245</v>
      </c>
      <c r="K1970" s="196" t="s">
        <v>1881</v>
      </c>
      <c r="L1970" s="141" t="s">
        <v>9246</v>
      </c>
      <c r="M1970" s="196">
        <v>130</v>
      </c>
      <c r="N1970" s="148"/>
      <c r="O1970" s="196" t="s">
        <v>6968</v>
      </c>
      <c r="P1970" s="144">
        <v>203</v>
      </c>
      <c r="Q1970" s="145">
        <f t="shared" si="136"/>
        <v>1.7103999999999997</v>
      </c>
      <c r="R1970" s="203">
        <v>1.2</v>
      </c>
      <c r="S1970" s="139">
        <v>2</v>
      </c>
      <c r="T1970" s="149">
        <v>0.13</v>
      </c>
      <c r="U1970" s="149">
        <v>1.9</v>
      </c>
      <c r="V1970" s="149">
        <v>0.33999999999999997</v>
      </c>
      <c r="W1970" s="149">
        <v>0.35</v>
      </c>
      <c r="X1970" s="152">
        <v>0.19039999999999999</v>
      </c>
      <c r="Y1970" s="150">
        <f t="shared" si="140"/>
        <v>1.2428319999999999</v>
      </c>
      <c r="Z1970" s="152">
        <f t="shared" si="138"/>
        <v>2</v>
      </c>
      <c r="AA1970" s="150">
        <f t="shared" si="139"/>
        <v>2.9103999999999997</v>
      </c>
      <c r="AB1970" s="150"/>
      <c r="AC1970" s="154"/>
      <c r="AD1970" s="154"/>
      <c r="AE1970" s="154"/>
      <c r="AF1970" s="154"/>
      <c r="AG1970" s="197"/>
      <c r="AH1970" s="197"/>
      <c r="AI1970" s="197"/>
      <c r="AJ1970" s="197"/>
    </row>
    <row r="1971" spans="1:36" x14ac:dyDescent="0.25">
      <c r="A1971" s="142">
        <v>1386</v>
      </c>
      <c r="B1971" s="196" t="s">
        <v>9247</v>
      </c>
      <c r="C1971" s="196" t="s">
        <v>9248</v>
      </c>
      <c r="D1971" s="196" t="s">
        <v>2309</v>
      </c>
      <c r="E1971" s="196" t="s">
        <v>1913</v>
      </c>
      <c r="F1971" s="196">
        <v>2010</v>
      </c>
      <c r="G1971" s="148"/>
      <c r="H1971" s="196" t="s">
        <v>1878</v>
      </c>
      <c r="I1971" s="141" t="s">
        <v>1879</v>
      </c>
      <c r="J1971" s="148"/>
      <c r="K1971" s="196" t="s">
        <v>1881</v>
      </c>
      <c r="L1971" s="141" t="s">
        <v>9249</v>
      </c>
      <c r="M1971" s="196">
        <v>320</v>
      </c>
      <c r="N1971" s="148"/>
      <c r="O1971" s="196" t="s">
        <v>6969</v>
      </c>
      <c r="P1971" s="144">
        <v>268</v>
      </c>
      <c r="Q1971" s="145">
        <f t="shared" si="136"/>
        <v>1.7103999999999997</v>
      </c>
      <c r="R1971" s="203">
        <v>1.2</v>
      </c>
      <c r="S1971" s="139">
        <v>1.55</v>
      </c>
      <c r="T1971" s="149">
        <v>0.13</v>
      </c>
      <c r="U1971" s="149">
        <v>1.9</v>
      </c>
      <c r="V1971" s="149">
        <v>0.33999999999999997</v>
      </c>
      <c r="W1971" s="149">
        <v>0.35</v>
      </c>
      <c r="X1971" s="152">
        <v>0.19039999999999999</v>
      </c>
      <c r="Y1971" s="150">
        <f t="shared" si="140"/>
        <v>1.2428319999999999</v>
      </c>
      <c r="Z1971" s="152">
        <f t="shared" si="138"/>
        <v>1.55</v>
      </c>
      <c r="AA1971" s="150">
        <f t="shared" si="139"/>
        <v>2.9103999999999997</v>
      </c>
      <c r="AB1971" s="150"/>
      <c r="AC1971" s="154"/>
      <c r="AD1971" s="154"/>
      <c r="AE1971" s="154"/>
      <c r="AF1971" s="154"/>
      <c r="AG1971" s="197"/>
      <c r="AH1971" s="197"/>
      <c r="AI1971" s="197"/>
      <c r="AJ1971" s="197"/>
    </row>
    <row r="1972" spans="1:36" x14ac:dyDescent="0.25">
      <c r="A1972" s="142">
        <v>2522</v>
      </c>
      <c r="B1972" s="196" t="s">
        <v>9250</v>
      </c>
      <c r="C1972" s="196" t="s">
        <v>9251</v>
      </c>
      <c r="D1972" s="196" t="s">
        <v>2054</v>
      </c>
      <c r="E1972" s="148"/>
      <c r="F1972" s="196">
        <v>2011</v>
      </c>
      <c r="G1972" s="148"/>
      <c r="H1972" s="196" t="s">
        <v>1878</v>
      </c>
      <c r="I1972" s="141" t="s">
        <v>1879</v>
      </c>
      <c r="J1972" s="148"/>
      <c r="K1972" s="196" t="s">
        <v>1881</v>
      </c>
      <c r="L1972" s="141" t="s">
        <v>9252</v>
      </c>
      <c r="M1972" s="196">
        <v>416</v>
      </c>
      <c r="N1972" s="148"/>
      <c r="O1972" s="196" t="s">
        <v>6970</v>
      </c>
      <c r="P1972" s="144">
        <v>415</v>
      </c>
      <c r="Q1972" s="145">
        <f t="shared" si="136"/>
        <v>1.7103999999999997</v>
      </c>
      <c r="R1972" s="203">
        <v>1.2</v>
      </c>
      <c r="S1972" s="139">
        <v>1.9</v>
      </c>
      <c r="T1972" s="149">
        <v>0.13</v>
      </c>
      <c r="U1972" s="149">
        <v>1.9</v>
      </c>
      <c r="V1972" s="149">
        <v>0.33999999999999997</v>
      </c>
      <c r="W1972" s="149">
        <v>0.35</v>
      </c>
      <c r="X1972" s="152">
        <v>0.19039999999999999</v>
      </c>
      <c r="Y1972" s="150">
        <f t="shared" si="140"/>
        <v>1.2428319999999999</v>
      </c>
      <c r="Z1972" s="152">
        <f t="shared" si="138"/>
        <v>1.9</v>
      </c>
      <c r="AA1972" s="150">
        <f t="shared" si="139"/>
        <v>2.9103999999999997</v>
      </c>
      <c r="AB1972" s="150"/>
      <c r="AC1972" s="154"/>
      <c r="AD1972" s="154"/>
      <c r="AE1972" s="154"/>
      <c r="AF1972" s="154"/>
      <c r="AG1972" s="197"/>
      <c r="AH1972" s="197"/>
      <c r="AI1972" s="197"/>
      <c r="AJ1972" s="197"/>
    </row>
    <row r="1973" spans="1:36" x14ac:dyDescent="0.25">
      <c r="A1973" s="142">
        <v>632</v>
      </c>
      <c r="B1973" s="196" t="s">
        <v>9253</v>
      </c>
      <c r="C1973" s="196" t="s">
        <v>9254</v>
      </c>
      <c r="D1973" s="196" t="s">
        <v>2257</v>
      </c>
      <c r="E1973" s="148"/>
      <c r="F1973" s="196">
        <v>2007</v>
      </c>
      <c r="G1973" s="148"/>
      <c r="H1973" s="196" t="s">
        <v>1878</v>
      </c>
      <c r="I1973" s="141" t="s">
        <v>1879</v>
      </c>
      <c r="J1973" s="148"/>
      <c r="K1973" s="196" t="s">
        <v>1881</v>
      </c>
      <c r="L1973" s="141" t="s">
        <v>9255</v>
      </c>
      <c r="M1973" s="196">
        <v>656</v>
      </c>
      <c r="N1973" s="148"/>
      <c r="O1973" s="196" t="s">
        <v>6971</v>
      </c>
      <c r="P1973" s="144">
        <v>482</v>
      </c>
      <c r="Q1973" s="145">
        <f t="shared" si="136"/>
        <v>1.7103999999999997</v>
      </c>
      <c r="R1973" s="203">
        <v>1.2</v>
      </c>
      <c r="S1973" s="139">
        <f>0.64+1.31</f>
        <v>1.9500000000000002</v>
      </c>
      <c r="T1973" s="149">
        <v>0.13</v>
      </c>
      <c r="U1973" s="149">
        <v>1.9</v>
      </c>
      <c r="V1973" s="149">
        <v>0.33999999999999997</v>
      </c>
      <c r="W1973" s="149">
        <v>0.35</v>
      </c>
      <c r="X1973" s="152">
        <v>0.19039999999999999</v>
      </c>
      <c r="Y1973" s="150">
        <f t="shared" si="140"/>
        <v>1.2428319999999999</v>
      </c>
      <c r="Z1973" s="152">
        <f t="shared" si="138"/>
        <v>1.9500000000000002</v>
      </c>
      <c r="AA1973" s="150">
        <f t="shared" si="139"/>
        <v>2.9103999999999997</v>
      </c>
      <c r="AB1973" s="150"/>
      <c r="AC1973" s="154"/>
      <c r="AD1973" s="154"/>
      <c r="AE1973" s="154"/>
      <c r="AF1973" s="154"/>
      <c r="AG1973" s="197"/>
      <c r="AH1973" s="197"/>
      <c r="AI1973" s="197"/>
      <c r="AJ1973" s="197"/>
    </row>
    <row r="1974" spans="1:36" x14ac:dyDescent="0.25">
      <c r="A1974" s="142">
        <v>613</v>
      </c>
      <c r="B1974" s="196" t="s">
        <v>9256</v>
      </c>
      <c r="C1974" s="196" t="s">
        <v>9257</v>
      </c>
      <c r="D1974" s="196" t="s">
        <v>1920</v>
      </c>
      <c r="E1974" s="148"/>
      <c r="F1974" s="196">
        <v>2015</v>
      </c>
      <c r="G1974" s="148"/>
      <c r="H1974" s="196" t="s">
        <v>2734</v>
      </c>
      <c r="I1974" s="141" t="s">
        <v>1879</v>
      </c>
      <c r="J1974" s="148"/>
      <c r="K1974" s="196" t="s">
        <v>1881</v>
      </c>
      <c r="L1974" s="141" t="s">
        <v>9258</v>
      </c>
      <c r="M1974" s="196">
        <v>306</v>
      </c>
      <c r="N1974" s="148"/>
      <c r="O1974" s="196" t="s">
        <v>6972</v>
      </c>
      <c r="P1974" s="144">
        <v>553</v>
      </c>
      <c r="Q1974" s="145">
        <f t="shared" si="136"/>
        <v>1.6500000000000001</v>
      </c>
      <c r="R1974" s="203">
        <v>1.7</v>
      </c>
      <c r="S1974" s="139">
        <f>1.5+1.85</f>
        <v>3.35</v>
      </c>
      <c r="T1974" s="149">
        <v>0.13</v>
      </c>
      <c r="U1974" s="149">
        <v>2.2000000000000002</v>
      </c>
      <c r="V1974" s="149">
        <v>0.33999999999999997</v>
      </c>
      <c r="W1974" s="137">
        <v>0.35</v>
      </c>
      <c r="X1974" s="152">
        <v>0.2114</v>
      </c>
      <c r="Y1974" s="150">
        <f t="shared" si="140"/>
        <v>1.278</v>
      </c>
      <c r="Z1974" s="152">
        <f t="shared" si="138"/>
        <v>3.35</v>
      </c>
      <c r="AA1974" s="150">
        <f t="shared" si="139"/>
        <v>3.2313999999999998</v>
      </c>
      <c r="AB1974" s="150"/>
      <c r="AC1974" s="154"/>
      <c r="AD1974" s="154"/>
      <c r="AE1974" s="154"/>
      <c r="AF1974" s="154"/>
    </row>
    <row r="1975" spans="1:36" x14ac:dyDescent="0.25">
      <c r="A1975" s="142">
        <v>692</v>
      </c>
      <c r="B1975" s="196" t="s">
        <v>9259</v>
      </c>
      <c r="C1975" s="196" t="s">
        <v>9260</v>
      </c>
      <c r="D1975" s="196" t="s">
        <v>2309</v>
      </c>
      <c r="E1975" s="196" t="s">
        <v>1913</v>
      </c>
      <c r="F1975" s="196">
        <v>2019</v>
      </c>
      <c r="G1975" s="148"/>
      <c r="H1975" s="196" t="s">
        <v>1878</v>
      </c>
      <c r="I1975" s="141" t="s">
        <v>1879</v>
      </c>
      <c r="J1975" s="148"/>
      <c r="K1975" s="196" t="s">
        <v>1881</v>
      </c>
      <c r="L1975" s="141" t="s">
        <v>9261</v>
      </c>
      <c r="M1975" s="196">
        <v>320</v>
      </c>
      <c r="N1975" s="148"/>
      <c r="O1975" s="196" t="s">
        <v>6973</v>
      </c>
      <c r="P1975" s="144">
        <v>322</v>
      </c>
      <c r="Q1975" s="145">
        <f t="shared" si="136"/>
        <v>4.2</v>
      </c>
      <c r="R1975" s="203">
        <v>1.2</v>
      </c>
      <c r="S1975" s="139">
        <v>5.4</v>
      </c>
      <c r="T1975" s="149">
        <v>0.13</v>
      </c>
      <c r="U1975" s="149">
        <v>1.9</v>
      </c>
      <c r="V1975" s="149">
        <v>0.33999999999999997</v>
      </c>
      <c r="W1975" s="137">
        <v>0.35</v>
      </c>
      <c r="X1975" s="152">
        <v>0.19039999999999999</v>
      </c>
      <c r="Y1975" s="150">
        <f t="shared" si="140"/>
        <v>1.4420000000000002</v>
      </c>
      <c r="Z1975" s="152">
        <f t="shared" si="138"/>
        <v>5.4</v>
      </c>
      <c r="AA1975" s="150">
        <f t="shared" si="139"/>
        <v>2.9103999999999997</v>
      </c>
      <c r="AB1975" s="150"/>
      <c r="AC1975" s="154"/>
      <c r="AD1975" s="154"/>
      <c r="AE1975" s="154"/>
      <c r="AF1975" s="154"/>
    </row>
    <row r="1976" spans="1:36" x14ac:dyDescent="0.25">
      <c r="A1976" s="142">
        <v>632</v>
      </c>
      <c r="B1976" s="196" t="s">
        <v>9262</v>
      </c>
      <c r="C1976" s="196" t="s">
        <v>9263</v>
      </c>
      <c r="D1976" s="196" t="s">
        <v>2309</v>
      </c>
      <c r="E1976" s="196" t="s">
        <v>2922</v>
      </c>
      <c r="F1976" s="196">
        <v>2019</v>
      </c>
      <c r="G1976" s="148"/>
      <c r="H1976" s="196" t="s">
        <v>1878</v>
      </c>
      <c r="I1976" s="141" t="s">
        <v>1929</v>
      </c>
      <c r="J1976" s="148"/>
      <c r="K1976" s="196" t="s">
        <v>1881</v>
      </c>
      <c r="L1976" s="141" t="s">
        <v>9264</v>
      </c>
      <c r="M1976" s="196">
        <v>450</v>
      </c>
      <c r="N1976" s="148"/>
      <c r="O1976" s="196" t="s">
        <v>6974</v>
      </c>
      <c r="P1976" s="144">
        <v>326</v>
      </c>
      <c r="Q1976" s="145">
        <f t="shared" si="136"/>
        <v>1.7103999999999997</v>
      </c>
      <c r="R1976" s="203">
        <v>1.2</v>
      </c>
      <c r="S1976" s="139">
        <v>1.9</v>
      </c>
      <c r="T1976" s="149">
        <v>0.13</v>
      </c>
      <c r="U1976" s="149">
        <v>1.9</v>
      </c>
      <c r="V1976" s="149">
        <v>0.33999999999999997</v>
      </c>
      <c r="W1976" s="149">
        <v>0.35</v>
      </c>
      <c r="X1976" s="152">
        <v>0.19039999999999999</v>
      </c>
      <c r="Y1976" s="150">
        <f t="shared" si="140"/>
        <v>1.2428319999999999</v>
      </c>
      <c r="Z1976" s="152">
        <f t="shared" si="138"/>
        <v>1.9</v>
      </c>
      <c r="AA1976" s="150">
        <f t="shared" si="139"/>
        <v>2.9103999999999997</v>
      </c>
      <c r="AB1976" s="150"/>
      <c r="AC1976" s="154"/>
      <c r="AD1976" s="154"/>
      <c r="AE1976" s="154"/>
      <c r="AF1976" s="154"/>
    </row>
    <row r="1977" spans="1:36" x14ac:dyDescent="0.25">
      <c r="A1977" s="142">
        <v>844</v>
      </c>
      <c r="B1977" s="196" t="s">
        <v>9265</v>
      </c>
      <c r="C1977" s="196" t="s">
        <v>9266</v>
      </c>
      <c r="D1977" s="196" t="s">
        <v>1979</v>
      </c>
      <c r="E1977" s="148"/>
      <c r="F1977" s="196">
        <v>1972</v>
      </c>
      <c r="G1977" s="148"/>
      <c r="H1977" s="196" t="s">
        <v>2734</v>
      </c>
      <c r="I1977" s="141" t="s">
        <v>1914</v>
      </c>
      <c r="J1977" s="148"/>
      <c r="K1977" s="196" t="s">
        <v>1881</v>
      </c>
      <c r="L1977" s="141" t="s">
        <v>9267</v>
      </c>
      <c r="M1977" s="148"/>
      <c r="N1977" s="148"/>
      <c r="O1977" s="196" t="s">
        <v>6975</v>
      </c>
      <c r="P1977" s="144">
        <v>398</v>
      </c>
      <c r="Q1977" s="145">
        <f t="shared" si="136"/>
        <v>4.74</v>
      </c>
      <c r="R1977" s="203">
        <v>1.2</v>
      </c>
      <c r="S1977" s="139">
        <f>4.44+1.5</f>
        <v>5.94</v>
      </c>
      <c r="T1977" s="149">
        <v>0.13</v>
      </c>
      <c r="U1977" s="149">
        <v>1.9</v>
      </c>
      <c r="V1977" s="149">
        <v>0.33999999999999997</v>
      </c>
      <c r="W1977" s="137">
        <v>0.35</v>
      </c>
      <c r="X1977" s="152">
        <v>0.19039999999999999</v>
      </c>
      <c r="Y1977" s="150">
        <f t="shared" si="140"/>
        <v>1.4852000000000001</v>
      </c>
      <c r="Z1977" s="152">
        <f t="shared" si="138"/>
        <v>5.94</v>
      </c>
      <c r="AA1977" s="150">
        <f t="shared" si="139"/>
        <v>2.9103999999999997</v>
      </c>
      <c r="AB1977" s="150"/>
      <c r="AC1977" s="154"/>
      <c r="AD1977" s="154"/>
      <c r="AE1977" s="154"/>
      <c r="AF1977" s="154"/>
    </row>
    <row r="1978" spans="1:36" x14ac:dyDescent="0.25">
      <c r="A1978" s="142">
        <v>691</v>
      </c>
      <c r="B1978" s="196" t="s">
        <v>9268</v>
      </c>
      <c r="C1978" s="196" t="s">
        <v>9269</v>
      </c>
      <c r="D1978" s="196" t="s">
        <v>9270</v>
      </c>
      <c r="E1978" s="148"/>
      <c r="F1978" s="196">
        <v>1999</v>
      </c>
      <c r="G1978" s="148"/>
      <c r="H1978" s="196" t="s">
        <v>2734</v>
      </c>
      <c r="I1978" s="141" t="s">
        <v>1879</v>
      </c>
      <c r="J1978" s="148"/>
      <c r="K1978" s="196" t="s">
        <v>1881</v>
      </c>
      <c r="L1978" s="141" t="s">
        <v>9271</v>
      </c>
      <c r="M1978" s="148"/>
      <c r="N1978" s="148"/>
      <c r="O1978" s="196" t="s">
        <v>6976</v>
      </c>
      <c r="P1978" s="144">
        <v>373</v>
      </c>
      <c r="Q1978" s="145">
        <f t="shared" si="136"/>
        <v>2.0999999999999996</v>
      </c>
      <c r="R1978" s="203">
        <v>1.2</v>
      </c>
      <c r="S1978" s="139">
        <f>1.9+1.4</f>
        <v>3.3</v>
      </c>
      <c r="T1978" s="149">
        <v>0.13</v>
      </c>
      <c r="U1978" s="149">
        <v>1.9</v>
      </c>
      <c r="V1978" s="149">
        <v>0.33999999999999997</v>
      </c>
      <c r="W1978" s="137">
        <v>0.35</v>
      </c>
      <c r="X1978" s="152">
        <v>0.19039999999999999</v>
      </c>
      <c r="Y1978" s="150">
        <f t="shared" si="140"/>
        <v>1.274</v>
      </c>
      <c r="Z1978" s="152">
        <f t="shared" si="138"/>
        <v>3.3</v>
      </c>
      <c r="AA1978" s="150">
        <f t="shared" si="139"/>
        <v>2.9103999999999997</v>
      </c>
      <c r="AB1978" s="150"/>
      <c r="AC1978" s="154"/>
      <c r="AD1978" s="154"/>
      <c r="AE1978" s="154"/>
      <c r="AF1978" s="154"/>
    </row>
    <row r="1979" spans="1:36" x14ac:dyDescent="0.25">
      <c r="A1979" s="142">
        <v>691</v>
      </c>
      <c r="B1979" s="196" t="s">
        <v>9272</v>
      </c>
      <c r="C1979" s="196" t="s">
        <v>9273</v>
      </c>
      <c r="D1979" s="196" t="s">
        <v>1927</v>
      </c>
      <c r="E1979" s="148"/>
      <c r="F1979" s="148"/>
      <c r="G1979" s="148"/>
      <c r="H1979" s="196" t="s">
        <v>4297</v>
      </c>
      <c r="I1979" s="141" t="s">
        <v>1879</v>
      </c>
      <c r="J1979" s="196" t="s">
        <v>9274</v>
      </c>
      <c r="K1979" s="196" t="s">
        <v>1881</v>
      </c>
      <c r="L1979" s="141" t="s">
        <v>9275</v>
      </c>
      <c r="M1979" s="148"/>
      <c r="N1979" s="148"/>
      <c r="O1979" s="196" t="s">
        <v>6977</v>
      </c>
      <c r="P1979" s="144">
        <v>282</v>
      </c>
      <c r="Q1979" s="145">
        <f t="shared" si="136"/>
        <v>2.59</v>
      </c>
      <c r="R1979" s="203">
        <v>1.2</v>
      </c>
      <c r="S1979" s="139">
        <v>3.79</v>
      </c>
      <c r="T1979" s="149">
        <v>0.13</v>
      </c>
      <c r="U1979" s="149">
        <v>1.9</v>
      </c>
      <c r="V1979" s="149">
        <v>0.33999999999999997</v>
      </c>
      <c r="W1979" s="137">
        <v>0.35</v>
      </c>
      <c r="X1979" s="152">
        <v>0.19039999999999999</v>
      </c>
      <c r="Y1979" s="150">
        <f t="shared" si="140"/>
        <v>1.3132000000000001</v>
      </c>
      <c r="Z1979" s="152">
        <f t="shared" si="138"/>
        <v>3.79</v>
      </c>
      <c r="AA1979" s="150">
        <f t="shared" si="139"/>
        <v>2.9103999999999997</v>
      </c>
      <c r="AB1979" s="150"/>
      <c r="AC1979" s="154"/>
      <c r="AD1979" s="154"/>
      <c r="AE1979" s="154"/>
      <c r="AF1979" s="154"/>
    </row>
    <row r="1980" spans="1:36" x14ac:dyDescent="0.25">
      <c r="A1980" s="142">
        <v>691</v>
      </c>
      <c r="B1980" s="196" t="s">
        <v>9276</v>
      </c>
      <c r="C1980" s="196" t="s">
        <v>9277</v>
      </c>
      <c r="D1980" s="196" t="s">
        <v>4841</v>
      </c>
      <c r="E1980" s="148"/>
      <c r="F1980" s="196">
        <v>2009</v>
      </c>
      <c r="G1980" s="148"/>
      <c r="H1980" s="196" t="s">
        <v>2734</v>
      </c>
      <c r="I1980" s="141" t="s">
        <v>1879</v>
      </c>
      <c r="J1980" s="148"/>
      <c r="K1980" s="196" t="s">
        <v>1881</v>
      </c>
      <c r="L1980" s="141" t="s">
        <v>9278</v>
      </c>
      <c r="M1980" s="148"/>
      <c r="N1980" s="148"/>
      <c r="O1980" s="196" t="s">
        <v>6978</v>
      </c>
      <c r="P1980" s="144">
        <v>378</v>
      </c>
      <c r="Q1980" s="145">
        <f t="shared" si="136"/>
        <v>3.6499999999999995</v>
      </c>
      <c r="R1980" s="203">
        <v>1.2</v>
      </c>
      <c r="S1980" s="139">
        <f>2.3+2.55</f>
        <v>4.8499999999999996</v>
      </c>
      <c r="T1980" s="149">
        <v>0.13</v>
      </c>
      <c r="U1980" s="149">
        <v>1.9</v>
      </c>
      <c r="V1980" s="149">
        <v>0.33999999999999997</v>
      </c>
      <c r="W1980" s="137">
        <v>0.35</v>
      </c>
      <c r="X1980" s="152">
        <v>0.19039999999999999</v>
      </c>
      <c r="Y1980" s="150">
        <f t="shared" si="140"/>
        <v>1.3979999999999999</v>
      </c>
      <c r="Z1980" s="152">
        <f t="shared" si="138"/>
        <v>4.8499999999999996</v>
      </c>
      <c r="AA1980" s="150">
        <f t="shared" si="139"/>
        <v>2.9103999999999997</v>
      </c>
      <c r="AB1980" s="150"/>
      <c r="AC1980" s="154"/>
      <c r="AD1980" s="154"/>
      <c r="AE1980" s="154"/>
      <c r="AF1980" s="154"/>
    </row>
    <row r="1981" spans="1:36" x14ac:dyDescent="0.25">
      <c r="A1981" s="142">
        <v>691</v>
      </c>
      <c r="B1981" s="196" t="s">
        <v>9279</v>
      </c>
      <c r="C1981" s="196" t="s">
        <v>9280</v>
      </c>
      <c r="D1981" s="196" t="s">
        <v>1927</v>
      </c>
      <c r="E1981" s="148"/>
      <c r="F1981" s="148"/>
      <c r="G1981" s="148"/>
      <c r="H1981" s="196" t="s">
        <v>2734</v>
      </c>
      <c r="I1981" s="141" t="s">
        <v>1914</v>
      </c>
      <c r="J1981" s="148"/>
      <c r="K1981" s="196" t="s">
        <v>1881</v>
      </c>
      <c r="L1981" s="141" t="s">
        <v>9281</v>
      </c>
      <c r="M1981" s="148"/>
      <c r="N1981" s="148"/>
      <c r="O1981" s="196" t="s">
        <v>6979</v>
      </c>
      <c r="P1981" s="144">
        <v>321</v>
      </c>
      <c r="Q1981" s="145">
        <f t="shared" si="136"/>
        <v>1.7103999999999997</v>
      </c>
      <c r="R1981" s="203">
        <v>1.2</v>
      </c>
      <c r="S1981" s="139">
        <f>1.18+1.2</f>
        <v>2.38</v>
      </c>
      <c r="T1981" s="149">
        <v>0.13</v>
      </c>
      <c r="U1981" s="149">
        <v>1.9</v>
      </c>
      <c r="V1981" s="149">
        <v>0.33999999999999997</v>
      </c>
      <c r="W1981" s="149">
        <v>0.35</v>
      </c>
      <c r="X1981" s="152">
        <v>0.19039999999999999</v>
      </c>
      <c r="Y1981" s="150">
        <f t="shared" si="140"/>
        <v>1.2428319999999999</v>
      </c>
      <c r="Z1981" s="152">
        <f t="shared" si="138"/>
        <v>2.38</v>
      </c>
      <c r="AA1981" s="150">
        <f t="shared" si="139"/>
        <v>2.9103999999999997</v>
      </c>
      <c r="AB1981" s="150"/>
      <c r="AC1981" s="154"/>
      <c r="AD1981" s="154"/>
      <c r="AE1981" s="154"/>
      <c r="AF1981" s="154"/>
    </row>
    <row r="1982" spans="1:36" x14ac:dyDescent="0.25">
      <c r="A1982" s="142">
        <v>1393</v>
      </c>
      <c r="B1982" s="196" t="s">
        <v>9282</v>
      </c>
      <c r="C1982" s="196" t="s">
        <v>9283</v>
      </c>
      <c r="D1982" s="196" t="s">
        <v>9284</v>
      </c>
      <c r="E1982" s="148"/>
      <c r="F1982" s="196">
        <v>2002</v>
      </c>
      <c r="G1982" s="148"/>
      <c r="H1982" s="196" t="s">
        <v>2734</v>
      </c>
      <c r="I1982" s="141" t="s">
        <v>1879</v>
      </c>
      <c r="J1982" s="148"/>
      <c r="K1982" s="196" t="s">
        <v>1881</v>
      </c>
      <c r="L1982" s="141" t="s">
        <v>9285</v>
      </c>
      <c r="M1982" s="196">
        <v>30</v>
      </c>
      <c r="N1982" s="148"/>
      <c r="O1982" s="196" t="s">
        <v>6980</v>
      </c>
      <c r="P1982" s="144">
        <v>277</v>
      </c>
      <c r="Q1982" s="145">
        <f t="shared" si="136"/>
        <v>1.7103999999999997</v>
      </c>
      <c r="R1982" s="203">
        <v>1.2</v>
      </c>
      <c r="S1982" s="139">
        <v>2.9</v>
      </c>
      <c r="T1982" s="149">
        <v>0.13</v>
      </c>
      <c r="U1982" s="149">
        <v>1.9</v>
      </c>
      <c r="V1982" s="149">
        <v>0.33999999999999997</v>
      </c>
      <c r="W1982" s="149">
        <v>0.35</v>
      </c>
      <c r="X1982" s="152">
        <v>0.19039999999999999</v>
      </c>
      <c r="Y1982" s="150">
        <f t="shared" si="140"/>
        <v>1.2428319999999999</v>
      </c>
      <c r="Z1982" s="152">
        <f t="shared" si="138"/>
        <v>2.9</v>
      </c>
      <c r="AA1982" s="150">
        <f t="shared" si="139"/>
        <v>2.9103999999999997</v>
      </c>
      <c r="AB1982" s="150"/>
      <c r="AC1982" s="154"/>
      <c r="AD1982" s="154"/>
      <c r="AE1982" s="154"/>
      <c r="AF1982" s="154"/>
    </row>
    <row r="1983" spans="1:36" x14ac:dyDescent="0.25">
      <c r="A1983" s="142">
        <v>1313</v>
      </c>
      <c r="B1983" s="148"/>
      <c r="C1983" s="196" t="s">
        <v>9286</v>
      </c>
      <c r="D1983" s="196" t="s">
        <v>4334</v>
      </c>
      <c r="E1983" s="148"/>
      <c r="F1983" s="148"/>
      <c r="G1983" s="148"/>
      <c r="H1983" s="196" t="s">
        <v>2734</v>
      </c>
      <c r="I1983" s="141" t="s">
        <v>1879</v>
      </c>
      <c r="J1983" s="148"/>
      <c r="K1983" s="196" t="s">
        <v>1881</v>
      </c>
      <c r="L1983" s="141" t="s">
        <v>9287</v>
      </c>
      <c r="M1983" s="196">
        <v>126</v>
      </c>
      <c r="N1983" s="148"/>
      <c r="O1983" s="196" t="s">
        <v>6981</v>
      </c>
      <c r="P1983" s="144">
        <v>583</v>
      </c>
      <c r="Q1983" s="145">
        <f t="shared" si="136"/>
        <v>1.5104</v>
      </c>
      <c r="R1983" s="203">
        <v>1.7</v>
      </c>
      <c r="S1983" s="139">
        <v>2.88</v>
      </c>
      <c r="T1983" s="149">
        <v>0.13</v>
      </c>
      <c r="U1983" s="149">
        <v>2.2000000000000002</v>
      </c>
      <c r="V1983" s="149">
        <v>0.33999999999999997</v>
      </c>
      <c r="W1983" s="149">
        <v>0.35</v>
      </c>
      <c r="X1983" s="152">
        <v>0.19039999999999999</v>
      </c>
      <c r="Y1983" s="150">
        <f t="shared" si="140"/>
        <v>1.266832</v>
      </c>
      <c r="Z1983" s="152">
        <f t="shared" si="138"/>
        <v>2.88</v>
      </c>
      <c r="AA1983" s="150">
        <f t="shared" si="139"/>
        <v>3.2103999999999999</v>
      </c>
      <c r="AB1983" s="150"/>
      <c r="AC1983" s="154"/>
      <c r="AD1983" s="154"/>
      <c r="AE1983" s="154"/>
      <c r="AF1983" s="154"/>
    </row>
    <row r="1984" spans="1:36" x14ac:dyDescent="0.25">
      <c r="A1984" s="142">
        <v>2548</v>
      </c>
      <c r="B1984" s="196" t="s">
        <v>9288</v>
      </c>
      <c r="C1984" s="196" t="s">
        <v>9289</v>
      </c>
      <c r="D1984" s="196" t="s">
        <v>3010</v>
      </c>
      <c r="E1984" s="148"/>
      <c r="F1984" s="196">
        <v>1996</v>
      </c>
      <c r="G1984" s="148"/>
      <c r="H1984" s="196" t="s">
        <v>1878</v>
      </c>
      <c r="I1984" s="141" t="s">
        <v>1879</v>
      </c>
      <c r="J1984" s="148"/>
      <c r="K1984" s="196" t="s">
        <v>1881</v>
      </c>
      <c r="L1984" s="141" t="s">
        <v>9290</v>
      </c>
      <c r="M1984" s="196">
        <v>352</v>
      </c>
      <c r="N1984" s="148"/>
      <c r="O1984" s="196" t="s">
        <v>6982</v>
      </c>
      <c r="P1984" s="144">
        <v>382</v>
      </c>
      <c r="Q1984" s="145">
        <f t="shared" si="136"/>
        <v>1.7313999999999996</v>
      </c>
      <c r="R1984" s="203">
        <v>1.2</v>
      </c>
      <c r="S1984" s="139">
        <f>0.74+1.25</f>
        <v>1.99</v>
      </c>
      <c r="T1984" s="149">
        <v>0.13</v>
      </c>
      <c r="U1984" s="149">
        <v>1.9</v>
      </c>
      <c r="V1984" s="149">
        <v>0.33999999999999997</v>
      </c>
      <c r="W1984" s="149">
        <v>0.35</v>
      </c>
      <c r="X1984" s="152">
        <v>0.2114</v>
      </c>
      <c r="Y1984" s="150">
        <f t="shared" si="140"/>
        <v>1.2445120000000001</v>
      </c>
      <c r="Z1984" s="152">
        <f t="shared" si="138"/>
        <v>1.99</v>
      </c>
      <c r="AA1984" s="150">
        <f t="shared" si="139"/>
        <v>2.9313999999999996</v>
      </c>
      <c r="AB1984" s="150"/>
      <c r="AC1984" s="154"/>
      <c r="AD1984" s="154"/>
      <c r="AE1984" s="154"/>
      <c r="AF1984" s="154"/>
    </row>
    <row r="1985" spans="1:32" x14ac:dyDescent="0.25">
      <c r="A1985" s="142">
        <v>796</v>
      </c>
      <c r="B1985" s="196" t="s">
        <v>9291</v>
      </c>
      <c r="C1985" s="196" t="s">
        <v>9292</v>
      </c>
      <c r="D1985" s="196" t="s">
        <v>2209</v>
      </c>
      <c r="E1985" s="148"/>
      <c r="F1985" s="196">
        <v>2003</v>
      </c>
      <c r="G1985" s="148"/>
      <c r="H1985" s="196" t="s">
        <v>1878</v>
      </c>
      <c r="I1985" s="141" t="s">
        <v>1914</v>
      </c>
      <c r="J1985" s="148"/>
      <c r="K1985" s="196" t="s">
        <v>1881</v>
      </c>
      <c r="L1985" s="141" t="s">
        <v>9293</v>
      </c>
      <c r="M1985" s="196">
        <v>384</v>
      </c>
      <c r="N1985" s="148"/>
      <c r="O1985" s="196" t="s">
        <v>6983</v>
      </c>
      <c r="P1985" s="144">
        <v>372</v>
      </c>
      <c r="Q1985" s="145">
        <f t="shared" si="136"/>
        <v>1.7103999999999997</v>
      </c>
      <c r="R1985" s="203">
        <v>1.2</v>
      </c>
      <c r="S1985" s="139">
        <v>1.55</v>
      </c>
      <c r="T1985" s="149">
        <v>0.13</v>
      </c>
      <c r="U1985" s="149">
        <v>1.9</v>
      </c>
      <c r="V1985" s="149">
        <v>0.33999999999999997</v>
      </c>
      <c r="W1985" s="149">
        <v>0.35</v>
      </c>
      <c r="X1985" s="152">
        <v>0.19039999999999999</v>
      </c>
      <c r="Y1985" s="150">
        <f t="shared" si="140"/>
        <v>1.2428319999999999</v>
      </c>
      <c r="Z1985" s="152">
        <f t="shared" si="138"/>
        <v>1.55</v>
      </c>
      <c r="AA1985" s="150">
        <f t="shared" si="139"/>
        <v>2.9103999999999997</v>
      </c>
      <c r="AB1985" s="150"/>
      <c r="AC1985" s="154"/>
      <c r="AD1985" s="154"/>
      <c r="AE1985" s="154"/>
      <c r="AF1985" s="154"/>
    </row>
    <row r="1986" spans="1:32" x14ac:dyDescent="0.25">
      <c r="A1986" s="142">
        <v>649</v>
      </c>
      <c r="B1986" s="148"/>
      <c r="C1986" s="196" t="s">
        <v>9294</v>
      </c>
      <c r="D1986" s="196" t="s">
        <v>9295</v>
      </c>
      <c r="E1986" s="148"/>
      <c r="F1986" s="148"/>
      <c r="G1986" s="148"/>
      <c r="H1986" s="196" t="s">
        <v>2734</v>
      </c>
      <c r="I1986" s="141" t="s">
        <v>1879</v>
      </c>
      <c r="J1986" s="148"/>
      <c r="K1986" s="196" t="s">
        <v>1881</v>
      </c>
      <c r="L1986" s="141" t="s">
        <v>9296</v>
      </c>
      <c r="M1986" s="196">
        <v>66</v>
      </c>
      <c r="N1986" s="148"/>
      <c r="O1986" s="196" t="s">
        <v>6984</v>
      </c>
      <c r="P1986" s="144">
        <v>504</v>
      </c>
      <c r="Q1986" s="145">
        <f t="shared" si="136"/>
        <v>1.5104</v>
      </c>
      <c r="R1986" s="203">
        <v>1.7</v>
      </c>
      <c r="S1986" s="139">
        <v>2.7</v>
      </c>
      <c r="T1986" s="149">
        <v>0.13</v>
      </c>
      <c r="U1986" s="149">
        <v>2.2000000000000002</v>
      </c>
      <c r="V1986" s="149">
        <v>0.33999999999999997</v>
      </c>
      <c r="W1986" s="149">
        <v>0.35</v>
      </c>
      <c r="X1986" s="152">
        <v>0.19039999999999999</v>
      </c>
      <c r="Y1986" s="150">
        <f t="shared" si="140"/>
        <v>1.266832</v>
      </c>
      <c r="Z1986" s="152">
        <f t="shared" si="138"/>
        <v>2.7</v>
      </c>
      <c r="AA1986" s="150">
        <f t="shared" si="139"/>
        <v>3.2103999999999999</v>
      </c>
      <c r="AB1986" s="150"/>
      <c r="AC1986" s="154"/>
      <c r="AD1986" s="154"/>
      <c r="AE1986" s="154"/>
      <c r="AF1986" s="154"/>
    </row>
    <row r="1987" spans="1:32" x14ac:dyDescent="0.25">
      <c r="A1987" s="142">
        <v>1312</v>
      </c>
      <c r="B1987" s="148"/>
      <c r="C1987" s="196" t="s">
        <v>9297</v>
      </c>
      <c r="D1987" s="196" t="s">
        <v>9298</v>
      </c>
      <c r="E1987" s="148"/>
      <c r="F1987" s="196">
        <v>2000</v>
      </c>
      <c r="G1987" s="148"/>
      <c r="H1987" s="196" t="s">
        <v>2734</v>
      </c>
      <c r="I1987" s="141" t="s">
        <v>1879</v>
      </c>
      <c r="J1987" s="148"/>
      <c r="K1987" s="196" t="s">
        <v>1881</v>
      </c>
      <c r="L1987" s="148"/>
      <c r="M1987" s="148"/>
      <c r="N1987" s="148"/>
      <c r="O1987" s="196" t="s">
        <v>6985</v>
      </c>
      <c r="P1987" s="144">
        <v>216</v>
      </c>
      <c r="Q1987" s="145">
        <f t="shared" si="136"/>
        <v>1.7313999999999996</v>
      </c>
      <c r="R1987" s="203">
        <v>1.2</v>
      </c>
      <c r="S1987" s="139"/>
      <c r="T1987" s="149">
        <v>0.13</v>
      </c>
      <c r="U1987" s="149">
        <v>1.9</v>
      </c>
      <c r="V1987" s="149">
        <v>0.33999999999999997</v>
      </c>
      <c r="W1987" s="149">
        <v>0.35</v>
      </c>
      <c r="X1987" s="152">
        <v>0.2114</v>
      </c>
      <c r="Y1987" s="150">
        <f t="shared" si="140"/>
        <v>1.2445120000000001</v>
      </c>
      <c r="Z1987" s="152">
        <f t="shared" si="138"/>
        <v>0</v>
      </c>
      <c r="AA1987" s="150">
        <f t="shared" si="139"/>
        <v>2.9313999999999996</v>
      </c>
      <c r="AB1987" s="150"/>
      <c r="AC1987" s="154"/>
      <c r="AD1987" s="154"/>
      <c r="AE1987" s="154"/>
      <c r="AF1987" s="154"/>
    </row>
    <row r="1988" spans="1:32" x14ac:dyDescent="0.25">
      <c r="A1988" s="142">
        <v>691</v>
      </c>
      <c r="B1988" s="196" t="s">
        <v>9299</v>
      </c>
      <c r="C1988" s="196" t="s">
        <v>9300</v>
      </c>
      <c r="D1988" s="196" t="s">
        <v>9301</v>
      </c>
      <c r="E1988" s="148"/>
      <c r="F1988" s="148"/>
      <c r="G1988" s="148"/>
      <c r="H1988" s="196" t="s">
        <v>2734</v>
      </c>
      <c r="I1988" s="141" t="s">
        <v>1879</v>
      </c>
      <c r="J1988" s="148"/>
      <c r="K1988" s="196" t="s">
        <v>1881</v>
      </c>
      <c r="L1988" s="141" t="s">
        <v>9302</v>
      </c>
      <c r="M1988" s="148"/>
      <c r="N1988" s="148"/>
      <c r="O1988" s="196" t="s">
        <v>6986</v>
      </c>
      <c r="P1988" s="144">
        <v>231</v>
      </c>
      <c r="Q1988" s="145">
        <f t="shared" si="136"/>
        <v>3.05</v>
      </c>
      <c r="R1988" s="203">
        <v>1.2</v>
      </c>
      <c r="S1988" s="139">
        <v>4.25</v>
      </c>
      <c r="T1988" s="149">
        <v>0.13</v>
      </c>
      <c r="U1988" s="149">
        <v>1.9</v>
      </c>
      <c r="V1988" s="149">
        <v>0.33999999999999997</v>
      </c>
      <c r="W1988" s="137">
        <v>0.35</v>
      </c>
      <c r="X1988" s="152">
        <v>0.19039999999999999</v>
      </c>
      <c r="Y1988" s="150">
        <f t="shared" si="140"/>
        <v>1.35</v>
      </c>
      <c r="Z1988" s="152">
        <f t="shared" si="138"/>
        <v>4.25</v>
      </c>
      <c r="AA1988" s="150">
        <f t="shared" si="139"/>
        <v>2.9103999999999997</v>
      </c>
      <c r="AB1988" s="150"/>
      <c r="AC1988" s="154"/>
      <c r="AD1988" s="154"/>
      <c r="AE1988" s="154"/>
      <c r="AF1988" s="154"/>
    </row>
    <row r="1989" spans="1:32" x14ac:dyDescent="0.25">
      <c r="A1989" s="142">
        <v>2521</v>
      </c>
      <c r="B1989" s="196" t="s">
        <v>8774</v>
      </c>
      <c r="C1989" s="196" t="s">
        <v>9088</v>
      </c>
      <c r="D1989" s="196" t="s">
        <v>5005</v>
      </c>
      <c r="E1989" s="196" t="s">
        <v>1899</v>
      </c>
      <c r="F1989" s="196">
        <v>1996</v>
      </c>
      <c r="G1989" s="148"/>
      <c r="H1989" s="196" t="s">
        <v>2734</v>
      </c>
      <c r="I1989" s="141" t="s">
        <v>1914</v>
      </c>
      <c r="J1989" s="148"/>
      <c r="K1989" s="196" t="s">
        <v>1881</v>
      </c>
      <c r="L1989" s="141" t="s">
        <v>9303</v>
      </c>
      <c r="M1989" s="196">
        <v>578</v>
      </c>
      <c r="N1989" s="148"/>
      <c r="O1989" s="196" t="s">
        <v>6987</v>
      </c>
      <c r="P1989" s="144">
        <v>818</v>
      </c>
      <c r="Q1989" s="145">
        <f t="shared" si="136"/>
        <v>1.5104</v>
      </c>
      <c r="R1989" s="203">
        <v>1.7</v>
      </c>
      <c r="S1989" s="139">
        <f>0.25+1.9</f>
        <v>2.15</v>
      </c>
      <c r="T1989" s="149">
        <v>0.13</v>
      </c>
      <c r="U1989" s="149">
        <v>2.2000000000000002</v>
      </c>
      <c r="V1989" s="149">
        <v>0.33999999999999997</v>
      </c>
      <c r="W1989" s="149">
        <v>0.35</v>
      </c>
      <c r="X1989" s="152">
        <v>0.19039999999999999</v>
      </c>
      <c r="Y1989" s="150">
        <f t="shared" si="140"/>
        <v>1.266832</v>
      </c>
      <c r="Z1989" s="152">
        <f t="shared" si="138"/>
        <v>2.15</v>
      </c>
      <c r="AA1989" s="150">
        <f t="shared" si="139"/>
        <v>3.2103999999999999</v>
      </c>
      <c r="AB1989" s="150"/>
      <c r="AC1989" s="154"/>
      <c r="AD1989" s="154"/>
      <c r="AE1989" s="154"/>
      <c r="AF1989" s="154"/>
    </row>
    <row r="1990" spans="1:32" x14ac:dyDescent="0.25">
      <c r="A1990" s="142">
        <v>2521</v>
      </c>
      <c r="B1990" s="196" t="s">
        <v>8245</v>
      </c>
      <c r="C1990" s="196" t="s">
        <v>9304</v>
      </c>
      <c r="D1990" s="196" t="s">
        <v>2386</v>
      </c>
      <c r="E1990" s="148"/>
      <c r="F1990" s="196">
        <v>2004</v>
      </c>
      <c r="G1990" s="148"/>
      <c r="H1990" s="196" t="s">
        <v>2734</v>
      </c>
      <c r="I1990" s="141" t="s">
        <v>1879</v>
      </c>
      <c r="J1990" s="148"/>
      <c r="K1990" s="196" t="s">
        <v>1881</v>
      </c>
      <c r="L1990" s="141" t="s">
        <v>9305</v>
      </c>
      <c r="M1990" s="196">
        <v>610</v>
      </c>
      <c r="N1990" s="148"/>
      <c r="O1990" s="196" t="s">
        <v>6988</v>
      </c>
      <c r="P1990" s="144">
        <v>757</v>
      </c>
      <c r="Q1990" s="145">
        <f t="shared" si="136"/>
        <v>1.5313999999999999</v>
      </c>
      <c r="R1990" s="203">
        <v>1.7</v>
      </c>
      <c r="S1990" s="139">
        <v>2.0499999999999998</v>
      </c>
      <c r="T1990" s="149">
        <v>0.13</v>
      </c>
      <c r="U1990" s="149">
        <v>2.2000000000000002</v>
      </c>
      <c r="V1990" s="149">
        <v>0.33999999999999997</v>
      </c>
      <c r="W1990" s="149">
        <v>0.35</v>
      </c>
      <c r="X1990" s="152">
        <v>0.2114</v>
      </c>
      <c r="Y1990" s="150">
        <f t="shared" si="140"/>
        <v>1.2685119999999999</v>
      </c>
      <c r="Z1990" s="152">
        <f t="shared" si="138"/>
        <v>2.0499999999999998</v>
      </c>
      <c r="AA1990" s="150">
        <f t="shared" si="139"/>
        <v>3.2313999999999998</v>
      </c>
      <c r="AB1990" s="150"/>
      <c r="AC1990" s="154"/>
      <c r="AD1990" s="154"/>
      <c r="AE1990" s="154"/>
      <c r="AF1990" s="154"/>
    </row>
    <row r="1991" spans="1:32" x14ac:dyDescent="0.25">
      <c r="A1991" s="142">
        <v>2522</v>
      </c>
      <c r="B1991" s="196" t="s">
        <v>6445</v>
      </c>
      <c r="C1991" s="196" t="s">
        <v>9306</v>
      </c>
      <c r="D1991" s="196" t="s">
        <v>9307</v>
      </c>
      <c r="E1991" s="196" t="s">
        <v>1913</v>
      </c>
      <c r="F1991" s="196">
        <v>2006</v>
      </c>
      <c r="G1991" s="148"/>
      <c r="H1991" s="196" t="s">
        <v>2734</v>
      </c>
      <c r="I1991" s="141" t="s">
        <v>1879</v>
      </c>
      <c r="J1991" s="148"/>
      <c r="K1991" s="196" t="s">
        <v>1881</v>
      </c>
      <c r="L1991" s="141" t="s">
        <v>9308</v>
      </c>
      <c r="M1991" s="196">
        <v>354</v>
      </c>
      <c r="N1991" s="148"/>
      <c r="O1991" s="196" t="s">
        <v>6989</v>
      </c>
      <c r="P1991" s="144">
        <v>573</v>
      </c>
      <c r="Q1991" s="145">
        <f t="shared" si="136"/>
        <v>1.5313999999999999</v>
      </c>
      <c r="R1991" s="203">
        <v>1.7</v>
      </c>
      <c r="S1991" s="139">
        <f>0.5+1.95</f>
        <v>2.4500000000000002</v>
      </c>
      <c r="T1991" s="149">
        <v>0.13</v>
      </c>
      <c r="U1991" s="149">
        <v>2.2000000000000002</v>
      </c>
      <c r="V1991" s="149">
        <v>0.33999999999999997</v>
      </c>
      <c r="W1991" s="149">
        <v>0.35</v>
      </c>
      <c r="X1991" s="152">
        <v>0.2114</v>
      </c>
      <c r="Y1991" s="150">
        <f t="shared" si="140"/>
        <v>1.2685119999999999</v>
      </c>
      <c r="Z1991" s="152">
        <f t="shared" si="138"/>
        <v>2.4500000000000002</v>
      </c>
      <c r="AA1991" s="150">
        <f t="shared" si="139"/>
        <v>3.2313999999999998</v>
      </c>
      <c r="AB1991" s="150"/>
      <c r="AC1991" s="154"/>
      <c r="AD1991" s="154"/>
      <c r="AE1991" s="154"/>
      <c r="AF1991" s="154"/>
    </row>
    <row r="1992" spans="1:32" x14ac:dyDescent="0.25">
      <c r="A1992" s="142">
        <v>796</v>
      </c>
      <c r="B1992" s="196" t="s">
        <v>3143</v>
      </c>
      <c r="C1992" s="196" t="s">
        <v>3144</v>
      </c>
      <c r="D1992" s="196" t="s">
        <v>9309</v>
      </c>
      <c r="E1992" s="148"/>
      <c r="F1992" s="196">
        <v>2004</v>
      </c>
      <c r="G1992" s="148"/>
      <c r="H1992" s="196" t="s">
        <v>2734</v>
      </c>
      <c r="I1992" s="141" t="s">
        <v>1879</v>
      </c>
      <c r="J1992" s="148"/>
      <c r="K1992" s="196" t="s">
        <v>1881</v>
      </c>
      <c r="L1992" s="148"/>
      <c r="M1992" s="196">
        <v>418</v>
      </c>
      <c r="N1992" s="148"/>
      <c r="O1992" s="196" t="s">
        <v>6990</v>
      </c>
      <c r="P1992" s="144">
        <v>582</v>
      </c>
      <c r="Q1992" s="145">
        <f t="shared" si="136"/>
        <v>1.5313999999999999</v>
      </c>
      <c r="R1992" s="203">
        <v>1.7</v>
      </c>
      <c r="S1992" s="139">
        <v>1.5</v>
      </c>
      <c r="T1992" s="149">
        <v>0.13</v>
      </c>
      <c r="U1992" s="149">
        <v>2.2000000000000002</v>
      </c>
      <c r="V1992" s="149">
        <v>0.33999999999999997</v>
      </c>
      <c r="W1992" s="149">
        <v>0.35</v>
      </c>
      <c r="X1992" s="152">
        <v>0.2114</v>
      </c>
      <c r="Y1992" s="150">
        <f t="shared" si="140"/>
        <v>1.2685119999999999</v>
      </c>
      <c r="Z1992" s="152">
        <f t="shared" si="138"/>
        <v>1.5</v>
      </c>
      <c r="AA1992" s="150">
        <f t="shared" si="139"/>
        <v>3.2313999999999998</v>
      </c>
      <c r="AB1992" s="150"/>
      <c r="AC1992" s="154"/>
      <c r="AD1992" s="154"/>
      <c r="AE1992" s="154"/>
      <c r="AF1992" s="154"/>
    </row>
    <row r="1993" spans="1:32" x14ac:dyDescent="0.25">
      <c r="A1993" s="142">
        <v>852</v>
      </c>
      <c r="B1993" s="196" t="s">
        <v>9310</v>
      </c>
      <c r="C1993" s="196" t="s">
        <v>9311</v>
      </c>
      <c r="D1993" s="196" t="s">
        <v>2901</v>
      </c>
      <c r="E1993" s="148"/>
      <c r="F1993" s="196">
        <v>1982</v>
      </c>
      <c r="G1993" s="148"/>
      <c r="H1993" s="196" t="s">
        <v>2734</v>
      </c>
      <c r="I1993" s="141" t="s">
        <v>1879</v>
      </c>
      <c r="J1993" s="148"/>
      <c r="K1993" s="196" t="s">
        <v>1881</v>
      </c>
      <c r="L1993" s="141" t="s">
        <v>9312</v>
      </c>
      <c r="M1993" s="196">
        <v>418</v>
      </c>
      <c r="N1993" s="148"/>
      <c r="O1993" s="196" t="s">
        <v>6991</v>
      </c>
      <c r="P1993" s="144">
        <v>458</v>
      </c>
      <c r="Q1993" s="145">
        <f t="shared" si="136"/>
        <v>1.7313999999999996</v>
      </c>
      <c r="R1993" s="203">
        <v>1.2</v>
      </c>
      <c r="S1993" s="139">
        <f>1.5+1.2</f>
        <v>2.7</v>
      </c>
      <c r="T1993" s="149">
        <v>0.13</v>
      </c>
      <c r="U1993" s="149">
        <v>1.9</v>
      </c>
      <c r="V1993" s="149">
        <v>0.33999999999999997</v>
      </c>
      <c r="W1993" s="149">
        <v>0.35</v>
      </c>
      <c r="X1993" s="152">
        <v>0.2114</v>
      </c>
      <c r="Y1993" s="150">
        <f t="shared" si="140"/>
        <v>1.2445120000000001</v>
      </c>
      <c r="Z1993" s="152">
        <f t="shared" si="138"/>
        <v>2.7</v>
      </c>
      <c r="AA1993" s="150">
        <f t="shared" si="139"/>
        <v>2.9313999999999996</v>
      </c>
      <c r="AB1993" s="150"/>
      <c r="AC1993" s="154"/>
      <c r="AD1993" s="154"/>
      <c r="AE1993" s="154"/>
      <c r="AF1993" s="154"/>
    </row>
    <row r="1994" spans="1:32" x14ac:dyDescent="0.25">
      <c r="A1994" s="142">
        <v>1904</v>
      </c>
      <c r="B1994" s="196" t="s">
        <v>7541</v>
      </c>
      <c r="C1994" s="196" t="s">
        <v>9313</v>
      </c>
      <c r="D1994" s="196" t="s">
        <v>2209</v>
      </c>
      <c r="E1994" s="196" t="s">
        <v>2175</v>
      </c>
      <c r="F1994" s="196">
        <v>1992</v>
      </c>
      <c r="G1994" s="148"/>
      <c r="H1994" s="196" t="s">
        <v>1878</v>
      </c>
      <c r="I1994" s="141" t="s">
        <v>1914</v>
      </c>
      <c r="J1994" s="148"/>
      <c r="K1994" s="196" t="s">
        <v>1881</v>
      </c>
      <c r="L1994" s="141" t="s">
        <v>9314</v>
      </c>
      <c r="M1994" s="196">
        <v>560</v>
      </c>
      <c r="N1994" s="148"/>
      <c r="O1994" s="196" t="s">
        <v>6992</v>
      </c>
      <c r="P1994" s="144">
        <v>424</v>
      </c>
      <c r="Q1994" s="145">
        <f t="shared" si="136"/>
        <v>1.7103999999999997</v>
      </c>
      <c r="R1994" s="203">
        <v>1.2</v>
      </c>
      <c r="S1994" s="139">
        <v>1.55</v>
      </c>
      <c r="T1994" s="149">
        <v>0.13</v>
      </c>
      <c r="U1994" s="149">
        <v>1.9</v>
      </c>
      <c r="V1994" s="149">
        <v>0.33999999999999997</v>
      </c>
      <c r="W1994" s="149">
        <v>0.35</v>
      </c>
      <c r="X1994" s="152">
        <v>0.19039999999999999</v>
      </c>
      <c r="Y1994" s="150">
        <f t="shared" si="140"/>
        <v>1.2428319999999999</v>
      </c>
      <c r="Z1994" s="152">
        <f t="shared" si="138"/>
        <v>1.55</v>
      </c>
      <c r="AA1994" s="150">
        <f t="shared" si="139"/>
        <v>2.9103999999999997</v>
      </c>
      <c r="AB1994" s="150"/>
      <c r="AC1994" s="154"/>
      <c r="AD1994" s="154"/>
      <c r="AE1994" s="154"/>
      <c r="AF1994" s="154"/>
    </row>
    <row r="1995" spans="1:32" x14ac:dyDescent="0.25">
      <c r="A1995" s="142">
        <v>1232</v>
      </c>
      <c r="B1995" s="196" t="s">
        <v>9315</v>
      </c>
      <c r="C1995" s="196" t="s">
        <v>9316</v>
      </c>
      <c r="D1995" s="196" t="s">
        <v>9317</v>
      </c>
      <c r="E1995" s="148"/>
      <c r="F1995" s="196">
        <v>1978</v>
      </c>
      <c r="G1995" s="148"/>
      <c r="H1995" s="196" t="s">
        <v>2734</v>
      </c>
      <c r="I1995" s="141" t="s">
        <v>1879</v>
      </c>
      <c r="J1995" s="148"/>
      <c r="K1995" s="196" t="s">
        <v>1881</v>
      </c>
      <c r="L1995" s="141" t="s">
        <v>9318</v>
      </c>
      <c r="M1995" s="196">
        <v>274</v>
      </c>
      <c r="N1995" s="148"/>
      <c r="O1995" s="196" t="s">
        <v>6993</v>
      </c>
      <c r="P1995" s="144">
        <v>411</v>
      </c>
      <c r="Q1995" s="145">
        <f t="shared" si="136"/>
        <v>1.7103999999999997</v>
      </c>
      <c r="R1995" s="203">
        <v>1.2</v>
      </c>
      <c r="S1995" s="139">
        <v>2.25</v>
      </c>
      <c r="T1995" s="149">
        <v>0.13</v>
      </c>
      <c r="U1995" s="149">
        <v>1.9</v>
      </c>
      <c r="V1995" s="149">
        <v>0.33999999999999997</v>
      </c>
      <c r="W1995" s="149">
        <v>0.35</v>
      </c>
      <c r="X1995" s="152">
        <v>0.19039999999999999</v>
      </c>
      <c r="Y1995" s="150">
        <f t="shared" si="140"/>
        <v>1.2428319999999999</v>
      </c>
      <c r="Z1995" s="152">
        <f t="shared" si="138"/>
        <v>2.25</v>
      </c>
      <c r="AA1995" s="150">
        <f t="shared" si="139"/>
        <v>2.9103999999999997</v>
      </c>
      <c r="AB1995" s="150"/>
      <c r="AC1995" s="154"/>
      <c r="AD1995" s="154"/>
      <c r="AE1995" s="154"/>
      <c r="AF1995" s="154"/>
    </row>
    <row r="1996" spans="1:32" x14ac:dyDescent="0.25">
      <c r="A1996" s="142">
        <v>632</v>
      </c>
      <c r="B1996" s="196" t="s">
        <v>9319</v>
      </c>
      <c r="C1996" s="196" t="s">
        <v>9320</v>
      </c>
      <c r="D1996" s="196" t="s">
        <v>1920</v>
      </c>
      <c r="E1996" s="148"/>
      <c r="F1996" s="196">
        <v>2001</v>
      </c>
      <c r="G1996" s="148"/>
      <c r="H1996" s="196" t="s">
        <v>1878</v>
      </c>
      <c r="I1996" s="141" t="s">
        <v>1914</v>
      </c>
      <c r="J1996" s="143" t="s">
        <v>9321</v>
      </c>
      <c r="K1996" s="196" t="s">
        <v>1881</v>
      </c>
      <c r="L1996" s="141" t="s">
        <v>9322</v>
      </c>
      <c r="M1996" s="196">
        <v>384</v>
      </c>
      <c r="N1996" s="148"/>
      <c r="O1996" s="196" t="s">
        <v>6994</v>
      </c>
      <c r="P1996" s="144">
        <v>328</v>
      </c>
      <c r="Q1996" s="145">
        <f t="shared" ref="Q1996:Q2059" si="141">IF(Z1996&gt;AA1996,Z1996,AA1996)-R1996</f>
        <v>1.7103999999999997</v>
      </c>
      <c r="R1996" s="203">
        <v>1.2</v>
      </c>
      <c r="S1996" s="139">
        <v>1.9</v>
      </c>
      <c r="T1996" s="149">
        <v>0.13</v>
      </c>
      <c r="U1996" s="149">
        <v>1.9</v>
      </c>
      <c r="V1996" s="149">
        <v>0.33999999999999997</v>
      </c>
      <c r="W1996" s="149">
        <v>0.35</v>
      </c>
      <c r="X1996" s="152">
        <v>0.19039999999999999</v>
      </c>
      <c r="Y1996" s="150">
        <f t="shared" si="140"/>
        <v>1.2428319999999999</v>
      </c>
      <c r="Z1996" s="152">
        <f t="shared" si="138"/>
        <v>1.9</v>
      </c>
      <c r="AA1996" s="150">
        <f t="shared" si="139"/>
        <v>2.9103999999999997</v>
      </c>
      <c r="AB1996" s="150"/>
      <c r="AC1996" s="154"/>
      <c r="AD1996" s="154"/>
      <c r="AE1996" s="154"/>
      <c r="AF1996" s="154"/>
    </row>
    <row r="1997" spans="1:32" x14ac:dyDescent="0.25">
      <c r="A1997" s="142">
        <v>631</v>
      </c>
      <c r="B1997" s="196" t="s">
        <v>9323</v>
      </c>
      <c r="C1997" s="196" t="s">
        <v>9324</v>
      </c>
      <c r="D1997" s="196" t="s">
        <v>2209</v>
      </c>
      <c r="E1997" s="196" t="s">
        <v>9325</v>
      </c>
      <c r="F1997" s="196">
        <v>2015</v>
      </c>
      <c r="G1997" s="148"/>
      <c r="H1997" s="196" t="s">
        <v>1878</v>
      </c>
      <c r="I1997" s="141" t="s">
        <v>1914</v>
      </c>
      <c r="J1997" s="148"/>
      <c r="K1997" s="196" t="s">
        <v>1881</v>
      </c>
      <c r="L1997" s="141" t="s">
        <v>9326</v>
      </c>
      <c r="M1997" s="196">
        <v>768</v>
      </c>
      <c r="N1997" s="148"/>
      <c r="O1997" s="196" t="s">
        <v>6995</v>
      </c>
      <c r="P1997" s="144">
        <v>776</v>
      </c>
      <c r="Q1997" s="145">
        <f t="shared" si="141"/>
        <v>5.59</v>
      </c>
      <c r="R1997" s="203">
        <v>1.7</v>
      </c>
      <c r="S1997" s="139">
        <f>5.3+1.99</f>
        <v>7.29</v>
      </c>
      <c r="T1997" s="149">
        <v>0.13</v>
      </c>
      <c r="U1997" s="149">
        <v>2.2000000000000002</v>
      </c>
      <c r="V1997" s="149">
        <v>0.33999999999999997</v>
      </c>
      <c r="W1997" s="137">
        <v>0.35</v>
      </c>
      <c r="X1997" s="152">
        <v>0.19039999999999999</v>
      </c>
      <c r="Y1997" s="150">
        <f t="shared" si="140"/>
        <v>1.5931999999999999</v>
      </c>
      <c r="Z1997" s="152">
        <f t="shared" si="138"/>
        <v>7.29</v>
      </c>
      <c r="AA1997" s="150">
        <f t="shared" si="139"/>
        <v>3.2103999999999999</v>
      </c>
      <c r="AB1997" s="150"/>
      <c r="AC1997" s="154"/>
      <c r="AD1997" s="154"/>
      <c r="AE1997" s="154"/>
      <c r="AF1997" s="154"/>
    </row>
    <row r="1998" spans="1:32" x14ac:dyDescent="0.25">
      <c r="A1998" s="148"/>
      <c r="B1998" s="196" t="s">
        <v>9327</v>
      </c>
      <c r="C1998" s="196" t="s">
        <v>9328</v>
      </c>
      <c r="D1998" s="196" t="s">
        <v>9329</v>
      </c>
      <c r="E1998" s="148"/>
      <c r="F1998" s="196">
        <v>2001</v>
      </c>
      <c r="G1998" s="148"/>
      <c r="H1998" s="196" t="s">
        <v>2734</v>
      </c>
      <c r="I1998" s="141" t="s">
        <v>1879</v>
      </c>
      <c r="J1998" s="148"/>
      <c r="K1998" s="196" t="s">
        <v>1881</v>
      </c>
      <c r="L1998" s="141" t="s">
        <v>9330</v>
      </c>
      <c r="M1998" s="196">
        <v>100</v>
      </c>
      <c r="N1998" s="148"/>
      <c r="O1998" s="196" t="s">
        <v>6996</v>
      </c>
      <c r="P1998" s="144">
        <v>291</v>
      </c>
      <c r="Q1998" s="145">
        <f t="shared" si="141"/>
        <v>3</v>
      </c>
      <c r="R1998" s="203">
        <v>1.2</v>
      </c>
      <c r="S1998" s="139">
        <v>4.2</v>
      </c>
      <c r="T1998" s="149">
        <v>0.13</v>
      </c>
      <c r="U1998" s="149">
        <v>1.9</v>
      </c>
      <c r="V1998" s="149">
        <v>0.33999999999999997</v>
      </c>
      <c r="W1998" s="137">
        <v>0.35</v>
      </c>
      <c r="X1998" s="152">
        <v>0.2114</v>
      </c>
      <c r="Y1998" s="150">
        <f t="shared" si="140"/>
        <v>1.3460000000000001</v>
      </c>
      <c r="Z1998" s="152">
        <f t="shared" si="138"/>
        <v>4.2</v>
      </c>
      <c r="AA1998" s="150">
        <f t="shared" si="139"/>
        <v>2.9313999999999996</v>
      </c>
      <c r="AB1998" s="150"/>
      <c r="AC1998" s="154"/>
      <c r="AD1998" s="154"/>
      <c r="AE1998" s="154"/>
      <c r="AF1998" s="154"/>
    </row>
    <row r="1999" spans="1:32" x14ac:dyDescent="0.25">
      <c r="A1999" s="142">
        <v>1332</v>
      </c>
      <c r="B1999" s="196" t="s">
        <v>9331</v>
      </c>
      <c r="C1999" s="196" t="s">
        <v>9332</v>
      </c>
      <c r="D1999" s="196" t="s">
        <v>2050</v>
      </c>
      <c r="E1999" s="148"/>
      <c r="F1999" s="196">
        <v>1997</v>
      </c>
      <c r="G1999" s="148"/>
      <c r="H1999" s="196" t="s">
        <v>2734</v>
      </c>
      <c r="I1999" s="141" t="s">
        <v>1879</v>
      </c>
      <c r="J1999" s="148"/>
      <c r="K1999" s="196" t="s">
        <v>1881</v>
      </c>
      <c r="L1999" s="141" t="s">
        <v>9333</v>
      </c>
      <c r="M1999" s="196">
        <v>142</v>
      </c>
      <c r="N1999" s="148"/>
      <c r="O1999" s="196" t="s">
        <v>6997</v>
      </c>
      <c r="P1999" s="144">
        <v>522</v>
      </c>
      <c r="Q1999" s="145">
        <f t="shared" si="141"/>
        <v>1.5104</v>
      </c>
      <c r="R1999" s="203">
        <v>1.7</v>
      </c>
      <c r="S1999" s="139">
        <v>2.5</v>
      </c>
      <c r="T1999" s="149">
        <v>0.13</v>
      </c>
      <c r="U1999" s="149">
        <v>2.2000000000000002</v>
      </c>
      <c r="V1999" s="149">
        <v>0.33999999999999997</v>
      </c>
      <c r="W1999" s="149">
        <v>0.35</v>
      </c>
      <c r="X1999" s="152">
        <v>0.19039999999999999</v>
      </c>
      <c r="Y1999" s="150">
        <f t="shared" si="140"/>
        <v>1.266832</v>
      </c>
      <c r="Z1999" s="152">
        <f t="shared" si="138"/>
        <v>2.5</v>
      </c>
      <c r="AA1999" s="150">
        <f t="shared" si="139"/>
        <v>3.2103999999999999</v>
      </c>
      <c r="AB1999" s="150"/>
      <c r="AC1999" s="154"/>
      <c r="AD1999" s="154"/>
      <c r="AE1999" s="154"/>
      <c r="AF1999" s="154"/>
    </row>
    <row r="2000" spans="1:32" x14ac:dyDescent="0.25">
      <c r="A2000" s="142">
        <v>632</v>
      </c>
      <c r="B2000" s="196" t="s">
        <v>9334</v>
      </c>
      <c r="C2000" s="196" t="s">
        <v>9335</v>
      </c>
      <c r="D2000" s="196" t="s">
        <v>1920</v>
      </c>
      <c r="E2000" s="148"/>
      <c r="F2000" s="196">
        <v>2005</v>
      </c>
      <c r="G2000" s="148"/>
      <c r="H2000" s="196" t="s">
        <v>1878</v>
      </c>
      <c r="I2000" s="141" t="s">
        <v>1879</v>
      </c>
      <c r="J2000" s="148"/>
      <c r="K2000" s="196" t="s">
        <v>1881</v>
      </c>
      <c r="L2000" s="141" t="s">
        <v>9336</v>
      </c>
      <c r="M2000" s="196">
        <v>624</v>
      </c>
      <c r="N2000" s="148"/>
      <c r="O2000" s="196" t="s">
        <v>6998</v>
      </c>
      <c r="P2000" s="144">
        <v>533</v>
      </c>
      <c r="Q2000" s="145">
        <f t="shared" si="141"/>
        <v>1.5313999999999999</v>
      </c>
      <c r="R2000" s="203">
        <v>1.7</v>
      </c>
      <c r="S2000" s="139">
        <v>2.4</v>
      </c>
      <c r="T2000" s="149">
        <v>0.13</v>
      </c>
      <c r="U2000" s="149">
        <v>2.2000000000000002</v>
      </c>
      <c r="V2000" s="149">
        <v>0.33999999999999997</v>
      </c>
      <c r="W2000" s="149">
        <v>0.35</v>
      </c>
      <c r="X2000" s="152">
        <v>0.2114</v>
      </c>
      <c r="Y2000" s="150">
        <f t="shared" si="140"/>
        <v>1.2685119999999999</v>
      </c>
      <c r="Z2000" s="152">
        <f t="shared" si="138"/>
        <v>2.4</v>
      </c>
      <c r="AA2000" s="150">
        <f t="shared" si="139"/>
        <v>3.2313999999999998</v>
      </c>
      <c r="AB2000" s="150"/>
      <c r="AC2000" s="154"/>
      <c r="AD2000" s="154"/>
      <c r="AE2000" s="154"/>
      <c r="AF2000" s="154"/>
    </row>
    <row r="2001" spans="1:32" x14ac:dyDescent="0.25">
      <c r="A2001" s="142">
        <v>1396</v>
      </c>
      <c r="B2001" s="196" t="s">
        <v>9337</v>
      </c>
      <c r="C2001" s="196" t="s">
        <v>9338</v>
      </c>
      <c r="D2001" s="196" t="s">
        <v>2054</v>
      </c>
      <c r="E2001" s="148"/>
      <c r="F2001" s="196">
        <v>2002</v>
      </c>
      <c r="G2001" s="148"/>
      <c r="H2001" s="196" t="s">
        <v>2734</v>
      </c>
      <c r="I2001" s="141" t="s">
        <v>1879</v>
      </c>
      <c r="J2001" s="148"/>
      <c r="K2001" s="196" t="s">
        <v>1881</v>
      </c>
      <c r="L2001" s="141" t="s">
        <v>9339</v>
      </c>
      <c r="M2001" s="196">
        <v>498</v>
      </c>
      <c r="N2001" s="148"/>
      <c r="O2001" s="196" t="s">
        <v>6999</v>
      </c>
      <c r="P2001" s="144">
        <v>575</v>
      </c>
      <c r="Q2001" s="145">
        <f t="shared" si="141"/>
        <v>1.5313999999999999</v>
      </c>
      <c r="R2001" s="203">
        <v>1.7</v>
      </c>
      <c r="S2001" s="139">
        <v>2.7</v>
      </c>
      <c r="T2001" s="149">
        <v>0.13</v>
      </c>
      <c r="U2001" s="149">
        <v>2.2000000000000002</v>
      </c>
      <c r="V2001" s="149">
        <v>0.33999999999999997</v>
      </c>
      <c r="W2001" s="149">
        <v>0.35</v>
      </c>
      <c r="X2001" s="152">
        <v>0.2114</v>
      </c>
      <c r="Y2001" s="150">
        <f t="shared" si="140"/>
        <v>1.2685119999999999</v>
      </c>
      <c r="Z2001" s="152">
        <f t="shared" si="138"/>
        <v>2.7</v>
      </c>
      <c r="AA2001" s="150">
        <f t="shared" si="139"/>
        <v>3.2313999999999998</v>
      </c>
      <c r="AB2001" s="150"/>
      <c r="AC2001" s="154"/>
      <c r="AD2001" s="154"/>
      <c r="AE2001" s="154"/>
      <c r="AF2001" s="154"/>
    </row>
    <row r="2002" spans="1:32" x14ac:dyDescent="0.25">
      <c r="A2002" s="142">
        <v>1279</v>
      </c>
      <c r="B2002" s="148"/>
      <c r="C2002" s="196" t="s">
        <v>9340</v>
      </c>
      <c r="D2002" s="196" t="s">
        <v>6049</v>
      </c>
      <c r="E2002" s="148"/>
      <c r="F2002" s="196">
        <v>1989</v>
      </c>
      <c r="G2002" s="148"/>
      <c r="H2002" s="196" t="s">
        <v>4297</v>
      </c>
      <c r="I2002" s="141" t="s">
        <v>1879</v>
      </c>
      <c r="J2002" s="148"/>
      <c r="K2002" s="196" t="s">
        <v>1881</v>
      </c>
      <c r="L2002" s="141" t="s">
        <v>9341</v>
      </c>
      <c r="M2002" s="196">
        <v>176</v>
      </c>
      <c r="N2002" s="148"/>
      <c r="O2002" s="196" t="s">
        <v>7000</v>
      </c>
      <c r="P2002" s="144">
        <v>430</v>
      </c>
      <c r="Q2002" s="145">
        <f t="shared" si="141"/>
        <v>2.5199999999999996</v>
      </c>
      <c r="R2002" s="203">
        <v>1.2</v>
      </c>
      <c r="S2002" s="139">
        <f>2.27+1.45</f>
        <v>3.7199999999999998</v>
      </c>
      <c r="T2002" s="149">
        <v>0.13</v>
      </c>
      <c r="U2002" s="149">
        <v>1.9</v>
      </c>
      <c r="V2002" s="149">
        <v>0.33999999999999997</v>
      </c>
      <c r="W2002" s="137">
        <v>0.35</v>
      </c>
      <c r="X2002" s="152">
        <v>0.2114</v>
      </c>
      <c r="Y2002" s="150">
        <f t="shared" si="140"/>
        <v>1.3075999999999999</v>
      </c>
      <c r="Z2002" s="152">
        <f t="shared" si="138"/>
        <v>3.7199999999999998</v>
      </c>
      <c r="AA2002" s="150">
        <f t="shared" si="139"/>
        <v>2.9313999999999996</v>
      </c>
      <c r="AB2002" s="150"/>
      <c r="AC2002" s="154"/>
      <c r="AD2002" s="154"/>
      <c r="AE2002" s="154"/>
      <c r="AF2002" s="154"/>
    </row>
    <row r="2003" spans="1:32" x14ac:dyDescent="0.25">
      <c r="A2003" s="142">
        <v>692</v>
      </c>
      <c r="B2003" s="196" t="s">
        <v>2870</v>
      </c>
      <c r="C2003" s="196" t="s">
        <v>9342</v>
      </c>
      <c r="D2003" s="196" t="s">
        <v>2054</v>
      </c>
      <c r="E2003" s="148"/>
      <c r="F2003" s="148"/>
      <c r="G2003" s="148"/>
      <c r="H2003" s="196" t="s">
        <v>2734</v>
      </c>
      <c r="I2003" s="141" t="s">
        <v>1879</v>
      </c>
      <c r="J2003" s="148"/>
      <c r="K2003" s="196" t="s">
        <v>1881</v>
      </c>
      <c r="L2003" s="141" t="s">
        <v>9343</v>
      </c>
      <c r="M2003" s="196">
        <v>322</v>
      </c>
      <c r="N2003" s="148"/>
      <c r="O2003" s="196" t="s">
        <v>7001</v>
      </c>
      <c r="P2003" s="144">
        <v>385</v>
      </c>
      <c r="Q2003" s="145">
        <f t="shared" si="141"/>
        <v>1.7103999999999997</v>
      </c>
      <c r="R2003" s="203">
        <v>1.2</v>
      </c>
      <c r="S2003" s="139">
        <f>0.85+1.7</f>
        <v>2.5499999999999998</v>
      </c>
      <c r="T2003" s="149">
        <v>0.13</v>
      </c>
      <c r="U2003" s="149">
        <v>1.9</v>
      </c>
      <c r="V2003" s="149">
        <v>0.33999999999999997</v>
      </c>
      <c r="W2003" s="149">
        <v>0.35</v>
      </c>
      <c r="X2003" s="152">
        <v>0.19039999999999999</v>
      </c>
      <c r="Y2003" s="150">
        <f t="shared" si="140"/>
        <v>1.2428319999999999</v>
      </c>
      <c r="Z2003" s="152">
        <f t="shared" si="138"/>
        <v>2.5499999999999998</v>
      </c>
      <c r="AA2003" s="150">
        <f t="shared" si="139"/>
        <v>2.9103999999999997</v>
      </c>
      <c r="AB2003" s="150"/>
      <c r="AC2003" s="154"/>
      <c r="AD2003" s="154"/>
      <c r="AE2003" s="154"/>
      <c r="AF2003" s="154"/>
    </row>
    <row r="2004" spans="1:32" x14ac:dyDescent="0.25">
      <c r="A2004" s="142">
        <v>692</v>
      </c>
      <c r="B2004" s="196" t="s">
        <v>2870</v>
      </c>
      <c r="C2004" s="196" t="s">
        <v>9344</v>
      </c>
      <c r="D2004" s="196" t="s">
        <v>2054</v>
      </c>
      <c r="E2004" s="148"/>
      <c r="F2004" s="148"/>
      <c r="G2004" s="148"/>
      <c r="H2004" s="196" t="s">
        <v>2734</v>
      </c>
      <c r="I2004" s="141" t="s">
        <v>1879</v>
      </c>
      <c r="J2004" s="148"/>
      <c r="K2004" s="196" t="s">
        <v>1881</v>
      </c>
      <c r="L2004" s="141" t="s">
        <v>9345</v>
      </c>
      <c r="M2004" s="196">
        <v>290</v>
      </c>
      <c r="N2004" s="148"/>
      <c r="O2004" s="196" t="s">
        <v>7002</v>
      </c>
      <c r="P2004" s="144">
        <v>352</v>
      </c>
      <c r="Q2004" s="145">
        <f t="shared" si="141"/>
        <v>2.2000000000000002</v>
      </c>
      <c r="R2004" s="203">
        <v>1.2</v>
      </c>
      <c r="S2004" s="139">
        <f>1.9+1.5</f>
        <v>3.4</v>
      </c>
      <c r="T2004" s="149">
        <v>0.13</v>
      </c>
      <c r="U2004" s="149">
        <v>1.9</v>
      </c>
      <c r="V2004" s="149">
        <v>0.33999999999999997</v>
      </c>
      <c r="W2004" s="137">
        <v>0.35</v>
      </c>
      <c r="X2004" s="152">
        <v>0.19039999999999999</v>
      </c>
      <c r="Y2004" s="150">
        <f t="shared" si="140"/>
        <v>1.282</v>
      </c>
      <c r="Z2004" s="152">
        <f t="shared" si="138"/>
        <v>3.4</v>
      </c>
      <c r="AA2004" s="150">
        <f t="shared" si="139"/>
        <v>2.9103999999999997</v>
      </c>
      <c r="AB2004" s="150"/>
      <c r="AC2004" s="154"/>
      <c r="AD2004" s="154"/>
      <c r="AE2004" s="154"/>
      <c r="AF2004" s="154"/>
    </row>
    <row r="2005" spans="1:32" x14ac:dyDescent="0.25">
      <c r="A2005" s="142">
        <v>2522</v>
      </c>
      <c r="B2005" s="196" t="s">
        <v>9346</v>
      </c>
      <c r="C2005" s="196" t="s">
        <v>9347</v>
      </c>
      <c r="D2005" s="196" t="s">
        <v>1920</v>
      </c>
      <c r="E2005" s="148"/>
      <c r="F2005" s="196">
        <v>2006</v>
      </c>
      <c r="G2005" s="148"/>
      <c r="H2005" s="196" t="s">
        <v>1878</v>
      </c>
      <c r="I2005" s="141" t="s">
        <v>1879</v>
      </c>
      <c r="J2005" s="148"/>
      <c r="K2005" s="196" t="s">
        <v>1881</v>
      </c>
      <c r="L2005" s="141" t="s">
        <v>9348</v>
      </c>
      <c r="M2005" s="196">
        <v>528</v>
      </c>
      <c r="N2005" s="148"/>
      <c r="O2005" s="196" t="s">
        <v>7003</v>
      </c>
      <c r="P2005" s="144">
        <v>450</v>
      </c>
      <c r="Q2005" s="145">
        <f t="shared" si="141"/>
        <v>1.7103999999999997</v>
      </c>
      <c r="R2005" s="203">
        <v>1.2</v>
      </c>
      <c r="S2005" s="139">
        <f>0.51+0.99</f>
        <v>1.5</v>
      </c>
      <c r="T2005" s="149">
        <v>0.13</v>
      </c>
      <c r="U2005" s="149">
        <v>1.9</v>
      </c>
      <c r="V2005" s="149">
        <v>0.33999999999999997</v>
      </c>
      <c r="W2005" s="149">
        <v>0.35</v>
      </c>
      <c r="X2005" s="152">
        <v>0.19039999999999999</v>
      </c>
      <c r="Y2005" s="150">
        <f t="shared" si="140"/>
        <v>1.2428319999999999</v>
      </c>
      <c r="Z2005" s="152">
        <f t="shared" si="138"/>
        <v>1.5</v>
      </c>
      <c r="AA2005" s="150">
        <f t="shared" si="139"/>
        <v>2.9103999999999997</v>
      </c>
      <c r="AB2005" s="150"/>
      <c r="AC2005" s="154"/>
      <c r="AD2005" s="154"/>
      <c r="AE2005" s="154"/>
      <c r="AF2005" s="154"/>
    </row>
    <row r="2006" spans="1:32" x14ac:dyDescent="0.25">
      <c r="A2006" s="142">
        <v>701</v>
      </c>
      <c r="B2006" s="196" t="s">
        <v>9349</v>
      </c>
      <c r="C2006" s="196" t="s">
        <v>9350</v>
      </c>
      <c r="D2006" s="196" t="s">
        <v>1876</v>
      </c>
      <c r="E2006" s="148"/>
      <c r="F2006" s="196">
        <v>2009</v>
      </c>
      <c r="G2006" s="148"/>
      <c r="H2006" s="196" t="s">
        <v>2734</v>
      </c>
      <c r="I2006" s="141" t="s">
        <v>1929</v>
      </c>
      <c r="J2006" s="148"/>
      <c r="K2006" s="196" t="s">
        <v>1881</v>
      </c>
      <c r="L2006" s="141" t="s">
        <v>9351</v>
      </c>
      <c r="M2006" s="196">
        <v>178</v>
      </c>
      <c r="N2006" s="148"/>
      <c r="O2006" s="196" t="s">
        <v>7004</v>
      </c>
      <c r="P2006" s="144">
        <v>241</v>
      </c>
      <c r="Q2006" s="145">
        <f t="shared" si="141"/>
        <v>1.7900000000000003</v>
      </c>
      <c r="R2006" s="203">
        <v>1.2</v>
      </c>
      <c r="S2006" s="139">
        <v>2.99</v>
      </c>
      <c r="T2006" s="149">
        <v>0.13</v>
      </c>
      <c r="U2006" s="149">
        <v>1.9</v>
      </c>
      <c r="V2006" s="149">
        <v>0.33999999999999997</v>
      </c>
      <c r="W2006" s="137">
        <v>0.35</v>
      </c>
      <c r="X2006" s="152">
        <v>0.19039999999999999</v>
      </c>
      <c r="Y2006" s="150">
        <f t="shared" si="140"/>
        <v>1.2492000000000001</v>
      </c>
      <c r="Z2006" s="152">
        <f t="shared" si="138"/>
        <v>2.99</v>
      </c>
      <c r="AA2006" s="150">
        <f t="shared" si="139"/>
        <v>2.9103999999999997</v>
      </c>
      <c r="AB2006" s="150"/>
      <c r="AC2006" s="154"/>
      <c r="AD2006" s="154"/>
      <c r="AE2006" s="154"/>
      <c r="AF2006" s="154"/>
    </row>
    <row r="2007" spans="1:32" x14ac:dyDescent="0.25">
      <c r="A2007" s="142">
        <v>481</v>
      </c>
      <c r="B2007" s="148"/>
      <c r="C2007" s="196" t="s">
        <v>9352</v>
      </c>
      <c r="D2007" s="196" t="s">
        <v>2050</v>
      </c>
      <c r="E2007" s="148"/>
      <c r="F2007" s="196">
        <v>1994</v>
      </c>
      <c r="G2007" s="148"/>
      <c r="H2007" s="196" t="s">
        <v>2734</v>
      </c>
      <c r="I2007" s="141" t="s">
        <v>1879</v>
      </c>
      <c r="J2007" s="148"/>
      <c r="K2007" s="196" t="s">
        <v>1881</v>
      </c>
      <c r="L2007" s="141" t="s">
        <v>9353</v>
      </c>
      <c r="M2007" s="196">
        <v>162</v>
      </c>
      <c r="N2007" s="148"/>
      <c r="O2007" s="196" t="s">
        <v>7005</v>
      </c>
      <c r="P2007" s="144">
        <v>911</v>
      </c>
      <c r="Q2007" s="145">
        <f t="shared" si="141"/>
        <v>1.5104</v>
      </c>
      <c r="R2007" s="203">
        <v>1.7</v>
      </c>
      <c r="S2007" s="139">
        <v>2.54</v>
      </c>
      <c r="T2007" s="149">
        <v>0.13</v>
      </c>
      <c r="U2007" s="149">
        <v>2.2000000000000002</v>
      </c>
      <c r="V2007" s="149">
        <v>0.33999999999999997</v>
      </c>
      <c r="W2007" s="149">
        <v>0.35</v>
      </c>
      <c r="X2007" s="152">
        <v>0.19039999999999999</v>
      </c>
      <c r="Y2007" s="150">
        <f t="shared" si="140"/>
        <v>1.266832</v>
      </c>
      <c r="Z2007" s="152">
        <f t="shared" si="138"/>
        <v>2.54</v>
      </c>
      <c r="AA2007" s="150">
        <f t="shared" si="139"/>
        <v>3.2103999999999999</v>
      </c>
      <c r="AB2007" s="150"/>
      <c r="AC2007" s="154"/>
      <c r="AD2007" s="154"/>
      <c r="AE2007" s="154"/>
      <c r="AF2007" s="154"/>
    </row>
    <row r="2008" spans="1:32" x14ac:dyDescent="0.25">
      <c r="A2008" s="142">
        <v>1271</v>
      </c>
      <c r="B2008" s="196" t="s">
        <v>9354</v>
      </c>
      <c r="C2008" s="196" t="s">
        <v>9355</v>
      </c>
      <c r="D2008" s="196" t="s">
        <v>2054</v>
      </c>
      <c r="E2008" s="196" t="s">
        <v>2175</v>
      </c>
      <c r="F2008" s="196">
        <v>1986</v>
      </c>
      <c r="G2008" s="148"/>
      <c r="H2008" s="196" t="s">
        <v>2734</v>
      </c>
      <c r="I2008" s="141" t="s">
        <v>1879</v>
      </c>
      <c r="J2008" s="148"/>
      <c r="K2008" s="196" t="s">
        <v>1881</v>
      </c>
      <c r="L2008" s="141" t="s">
        <v>9356</v>
      </c>
      <c r="M2008" s="196">
        <v>206</v>
      </c>
      <c r="N2008" s="148"/>
      <c r="O2008" s="196" t="s">
        <v>7006</v>
      </c>
      <c r="P2008" s="144">
        <v>1251</v>
      </c>
      <c r="Q2008" s="145">
        <f t="shared" si="141"/>
        <v>4.2099999999999991</v>
      </c>
      <c r="R2008" s="203">
        <v>3.49</v>
      </c>
      <c r="S2008" s="139">
        <f>2.9+4.8</f>
        <v>7.6999999999999993</v>
      </c>
      <c r="T2008" s="149">
        <v>0.13</v>
      </c>
      <c r="U2008" s="149">
        <v>3.49</v>
      </c>
      <c r="V2008" s="149">
        <v>0.33999999999999997</v>
      </c>
      <c r="W2008" s="137">
        <v>0.35</v>
      </c>
      <c r="X2008" s="152">
        <v>0.2114</v>
      </c>
      <c r="Y2008" s="150">
        <f t="shared" si="140"/>
        <v>1.6259999999999999</v>
      </c>
      <c r="Z2008" s="152">
        <f t="shared" si="138"/>
        <v>7.6999999999999993</v>
      </c>
      <c r="AA2008" s="150">
        <f t="shared" si="139"/>
        <v>4.5213999999999999</v>
      </c>
      <c r="AB2008" s="150"/>
      <c r="AC2008" s="154"/>
      <c r="AD2008" s="154"/>
      <c r="AE2008" s="154"/>
      <c r="AF2008" s="154"/>
    </row>
    <row r="2009" spans="1:32" x14ac:dyDescent="0.25">
      <c r="A2009" s="142">
        <v>2522</v>
      </c>
      <c r="B2009" s="196" t="s">
        <v>9357</v>
      </c>
      <c r="C2009" s="196" t="s">
        <v>9358</v>
      </c>
      <c r="D2009" s="196" t="s">
        <v>3116</v>
      </c>
      <c r="E2009" s="196" t="s">
        <v>2032</v>
      </c>
      <c r="F2009" s="196">
        <v>2010</v>
      </c>
      <c r="G2009" s="148"/>
      <c r="H2009" s="196" t="s">
        <v>1878</v>
      </c>
      <c r="I2009" s="141" t="s">
        <v>1879</v>
      </c>
      <c r="J2009" s="148"/>
      <c r="K2009" s="196" t="s">
        <v>1881</v>
      </c>
      <c r="L2009" s="141" t="s">
        <v>9359</v>
      </c>
      <c r="M2009" s="196">
        <v>104</v>
      </c>
      <c r="N2009" s="148"/>
      <c r="O2009" s="196" t="s">
        <v>7007</v>
      </c>
      <c r="P2009" s="144">
        <v>95</v>
      </c>
      <c r="Q2009" s="145">
        <f t="shared" si="141"/>
        <v>1.7313999999999996</v>
      </c>
      <c r="R2009" s="203">
        <v>1.2</v>
      </c>
      <c r="S2009" s="139">
        <v>1.7</v>
      </c>
      <c r="T2009" s="149">
        <v>0.13</v>
      </c>
      <c r="U2009" s="149">
        <v>1.9</v>
      </c>
      <c r="V2009" s="149">
        <v>0.33999999999999997</v>
      </c>
      <c r="W2009" s="149">
        <v>0.35</v>
      </c>
      <c r="X2009" s="152">
        <v>0.2114</v>
      </c>
      <c r="Y2009" s="150">
        <f t="shared" si="140"/>
        <v>1.2445120000000001</v>
      </c>
      <c r="Z2009" s="152">
        <f t="shared" si="138"/>
        <v>1.7</v>
      </c>
      <c r="AA2009" s="150">
        <f t="shared" si="139"/>
        <v>2.9313999999999996</v>
      </c>
      <c r="AB2009" s="150"/>
      <c r="AC2009" s="154"/>
      <c r="AD2009" s="154"/>
      <c r="AE2009" s="154"/>
      <c r="AF2009" s="154"/>
    </row>
    <row r="2010" spans="1:32" x14ac:dyDescent="0.25">
      <c r="A2010" s="142">
        <v>1231</v>
      </c>
      <c r="B2010" s="196" t="s">
        <v>2199</v>
      </c>
      <c r="C2010" s="196" t="s">
        <v>2200</v>
      </c>
      <c r="D2010" s="196" t="s">
        <v>2257</v>
      </c>
      <c r="E2010" s="148"/>
      <c r="F2010" s="196">
        <v>2007</v>
      </c>
      <c r="G2010" s="148"/>
      <c r="H2010" s="196" t="s">
        <v>1878</v>
      </c>
      <c r="I2010" s="141" t="s">
        <v>1879</v>
      </c>
      <c r="J2010" s="143" t="s">
        <v>9321</v>
      </c>
      <c r="K2010" s="196" t="s">
        <v>1881</v>
      </c>
      <c r="L2010" s="141" t="s">
        <v>2202</v>
      </c>
      <c r="M2010" s="196">
        <v>272</v>
      </c>
      <c r="N2010" s="148"/>
      <c r="O2010" s="196" t="s">
        <v>7008</v>
      </c>
      <c r="P2010" s="144">
        <v>282</v>
      </c>
      <c r="Q2010" s="145">
        <f t="shared" si="141"/>
        <v>1.7103999999999997</v>
      </c>
      <c r="R2010" s="203">
        <v>1.2</v>
      </c>
      <c r="S2010" s="139">
        <f>0.49+0.99</f>
        <v>1.48</v>
      </c>
      <c r="T2010" s="149">
        <v>0.13</v>
      </c>
      <c r="U2010" s="149">
        <v>1.9</v>
      </c>
      <c r="V2010" s="149">
        <v>0.33999999999999997</v>
      </c>
      <c r="W2010" s="149">
        <v>0.35</v>
      </c>
      <c r="X2010" s="152">
        <v>0.19039999999999999</v>
      </c>
      <c r="Y2010" s="150">
        <f t="shared" si="140"/>
        <v>1.2428319999999999</v>
      </c>
      <c r="Z2010" s="152">
        <f t="shared" si="138"/>
        <v>1.48</v>
      </c>
      <c r="AA2010" s="150">
        <f t="shared" si="139"/>
        <v>2.9103999999999997</v>
      </c>
      <c r="AB2010" s="150"/>
      <c r="AC2010" s="154"/>
      <c r="AD2010" s="154"/>
      <c r="AE2010" s="154"/>
      <c r="AF2010" s="154"/>
    </row>
    <row r="2011" spans="1:32" x14ac:dyDescent="0.25">
      <c r="A2011" s="142">
        <v>2548</v>
      </c>
      <c r="B2011" s="196" t="s">
        <v>3956</v>
      </c>
      <c r="C2011" s="196" t="s">
        <v>9360</v>
      </c>
      <c r="D2011" s="196" t="s">
        <v>2644</v>
      </c>
      <c r="E2011" s="148"/>
      <c r="F2011" s="196">
        <v>1995</v>
      </c>
      <c r="G2011" s="148"/>
      <c r="H2011" s="196" t="s">
        <v>1878</v>
      </c>
      <c r="I2011" s="141" t="s">
        <v>1879</v>
      </c>
      <c r="J2011" s="148"/>
      <c r="K2011" s="196" t="s">
        <v>1881</v>
      </c>
      <c r="L2011" s="141" t="s">
        <v>9361</v>
      </c>
      <c r="M2011" s="196">
        <v>352</v>
      </c>
      <c r="N2011" s="148"/>
      <c r="O2011" s="196" t="s">
        <v>7009</v>
      </c>
      <c r="P2011" s="144">
        <v>278</v>
      </c>
      <c r="Q2011" s="145">
        <f t="shared" si="141"/>
        <v>1.7103999999999997</v>
      </c>
      <c r="R2011" s="203">
        <v>1.2</v>
      </c>
      <c r="S2011" s="139">
        <v>1.45</v>
      </c>
      <c r="T2011" s="149">
        <v>0.13</v>
      </c>
      <c r="U2011" s="149">
        <v>1.9</v>
      </c>
      <c r="V2011" s="149">
        <v>0.33999999999999997</v>
      </c>
      <c r="W2011" s="149">
        <v>0.35</v>
      </c>
      <c r="X2011" s="152">
        <v>0.19039999999999999</v>
      </c>
      <c r="Y2011" s="150">
        <f t="shared" si="140"/>
        <v>1.2428319999999999</v>
      </c>
      <c r="Z2011" s="152">
        <f t="shared" ref="Z2011:Z2074" si="142">S2011</f>
        <v>1.45</v>
      </c>
      <c r="AA2011" s="150">
        <f t="shared" ref="AA2011:AA2073" si="143">SUM(T2011:X2011)</f>
        <v>2.9103999999999997</v>
      </c>
      <c r="AB2011" s="150"/>
      <c r="AC2011" s="154"/>
      <c r="AD2011" s="154"/>
      <c r="AE2011" s="154"/>
      <c r="AF2011" s="154"/>
    </row>
    <row r="2012" spans="1:32" x14ac:dyDescent="0.25">
      <c r="A2012" s="142">
        <v>634</v>
      </c>
      <c r="B2012" s="196" t="s">
        <v>9362</v>
      </c>
      <c r="C2012" s="196" t="s">
        <v>9363</v>
      </c>
      <c r="D2012" s="196" t="s">
        <v>5708</v>
      </c>
      <c r="E2012" s="148"/>
      <c r="F2012" s="196">
        <v>1985</v>
      </c>
      <c r="G2012" s="148"/>
      <c r="H2012" s="196" t="s">
        <v>2734</v>
      </c>
      <c r="I2012" s="141" t="s">
        <v>1879</v>
      </c>
      <c r="J2012" s="148"/>
      <c r="K2012" s="196" t="s">
        <v>1881</v>
      </c>
      <c r="L2012" s="141" t="s">
        <v>9364</v>
      </c>
      <c r="M2012" s="196">
        <v>354</v>
      </c>
      <c r="N2012" s="148"/>
      <c r="O2012" s="196" t="s">
        <v>7010</v>
      </c>
      <c r="P2012" s="144">
        <v>399</v>
      </c>
      <c r="Q2012" s="145">
        <f t="shared" si="141"/>
        <v>1.7103999999999997</v>
      </c>
      <c r="R2012" s="203">
        <v>1.2</v>
      </c>
      <c r="S2012" s="139">
        <f>0.25+1.31</f>
        <v>1.56</v>
      </c>
      <c r="T2012" s="149">
        <v>0.13</v>
      </c>
      <c r="U2012" s="149">
        <v>1.9</v>
      </c>
      <c r="V2012" s="149">
        <v>0.33999999999999997</v>
      </c>
      <c r="W2012" s="149">
        <v>0.35</v>
      </c>
      <c r="X2012" s="152">
        <v>0.19039999999999999</v>
      </c>
      <c r="Y2012" s="150">
        <f t="shared" si="140"/>
        <v>1.2428319999999999</v>
      </c>
      <c r="Z2012" s="152">
        <f t="shared" si="142"/>
        <v>1.56</v>
      </c>
      <c r="AA2012" s="150">
        <f t="shared" si="143"/>
        <v>2.9103999999999997</v>
      </c>
      <c r="AB2012" s="150"/>
      <c r="AC2012" s="154"/>
      <c r="AD2012" s="154"/>
      <c r="AE2012" s="154"/>
      <c r="AF2012" s="154"/>
    </row>
    <row r="2013" spans="1:32" x14ac:dyDescent="0.25">
      <c r="A2013" s="142">
        <v>1324</v>
      </c>
      <c r="B2013" s="196" t="s">
        <v>7994</v>
      </c>
      <c r="C2013" s="196" t="s">
        <v>9365</v>
      </c>
      <c r="D2013" s="196" t="s">
        <v>4693</v>
      </c>
      <c r="E2013" s="196" t="s">
        <v>2375</v>
      </c>
      <c r="F2013" s="196">
        <v>2004</v>
      </c>
      <c r="G2013" s="148"/>
      <c r="H2013" s="196" t="s">
        <v>1878</v>
      </c>
      <c r="I2013" s="141" t="s">
        <v>7527</v>
      </c>
      <c r="J2013" s="148"/>
      <c r="K2013" s="196" t="s">
        <v>1881</v>
      </c>
      <c r="L2013" s="141" t="s">
        <v>9366</v>
      </c>
      <c r="M2013" s="196">
        <v>112</v>
      </c>
      <c r="N2013" s="148"/>
      <c r="O2013" s="196" t="s">
        <v>7011</v>
      </c>
      <c r="P2013" s="144">
        <v>277</v>
      </c>
      <c r="Q2013" s="145">
        <f t="shared" si="141"/>
        <v>1.8</v>
      </c>
      <c r="R2013" s="203">
        <v>1.2</v>
      </c>
      <c r="S2013" s="139">
        <v>3</v>
      </c>
      <c r="T2013" s="149">
        <v>0.13</v>
      </c>
      <c r="U2013" s="149">
        <v>1.9</v>
      </c>
      <c r="V2013" s="149">
        <v>0.33999999999999997</v>
      </c>
      <c r="W2013" s="149">
        <v>0.35</v>
      </c>
      <c r="X2013" s="152">
        <v>0.19039999999999999</v>
      </c>
      <c r="Y2013" s="150">
        <f t="shared" si="140"/>
        <v>1.25</v>
      </c>
      <c r="Z2013" s="152">
        <f t="shared" si="142"/>
        <v>3</v>
      </c>
      <c r="AA2013" s="150">
        <f t="shared" si="143"/>
        <v>2.9103999999999997</v>
      </c>
      <c r="AB2013" s="150"/>
      <c r="AC2013" s="154"/>
      <c r="AD2013" s="154"/>
      <c r="AE2013" s="154"/>
      <c r="AF2013" s="154"/>
    </row>
    <row r="2014" spans="1:32" x14ac:dyDescent="0.25">
      <c r="A2014" s="142">
        <v>765</v>
      </c>
      <c r="B2014" s="196" t="s">
        <v>9367</v>
      </c>
      <c r="C2014" s="196" t="s">
        <v>9368</v>
      </c>
      <c r="D2014" s="196" t="s">
        <v>4841</v>
      </c>
      <c r="E2014" s="196" t="s">
        <v>1899</v>
      </c>
      <c r="F2014" s="196">
        <v>2000</v>
      </c>
      <c r="G2014" s="148"/>
      <c r="H2014" s="196" t="s">
        <v>1878</v>
      </c>
      <c r="I2014" s="141" t="s">
        <v>1879</v>
      </c>
      <c r="J2014" s="148"/>
      <c r="K2014" s="196" t="s">
        <v>1881</v>
      </c>
      <c r="L2014" s="141" t="s">
        <v>9369</v>
      </c>
      <c r="M2014" s="196">
        <v>144</v>
      </c>
      <c r="N2014" s="148"/>
      <c r="O2014" s="196" t="s">
        <v>7012</v>
      </c>
      <c r="P2014" s="144">
        <v>132</v>
      </c>
      <c r="Q2014" s="145">
        <f t="shared" si="141"/>
        <v>2.92</v>
      </c>
      <c r="R2014" s="203">
        <v>1.2</v>
      </c>
      <c r="S2014" s="139">
        <v>4.12</v>
      </c>
      <c r="T2014" s="149">
        <v>0.13</v>
      </c>
      <c r="U2014" s="149">
        <v>1.9</v>
      </c>
      <c r="V2014" s="149">
        <v>0.33999999999999997</v>
      </c>
      <c r="W2014" s="137">
        <v>0.35</v>
      </c>
      <c r="X2014" s="152">
        <v>0.19039999999999999</v>
      </c>
      <c r="Y2014" s="150">
        <f t="shared" si="140"/>
        <v>1.3395999999999999</v>
      </c>
      <c r="Z2014" s="152">
        <f t="shared" si="142"/>
        <v>4.12</v>
      </c>
      <c r="AA2014" s="150">
        <f t="shared" si="143"/>
        <v>2.9103999999999997</v>
      </c>
      <c r="AB2014" s="150"/>
      <c r="AC2014" s="154"/>
      <c r="AD2014" s="154"/>
      <c r="AE2014" s="154"/>
      <c r="AF2014" s="154"/>
    </row>
    <row r="2015" spans="1:32" x14ac:dyDescent="0.25">
      <c r="A2015" s="142">
        <v>1395</v>
      </c>
      <c r="B2015" s="196" t="s">
        <v>8551</v>
      </c>
      <c r="C2015" s="196" t="s">
        <v>9370</v>
      </c>
      <c r="D2015" s="196" t="s">
        <v>2609</v>
      </c>
      <c r="E2015" s="148"/>
      <c r="F2015" s="196">
        <v>2015</v>
      </c>
      <c r="G2015" s="148"/>
      <c r="H2015" s="196" t="s">
        <v>1878</v>
      </c>
      <c r="I2015" s="141" t="s">
        <v>1879</v>
      </c>
      <c r="J2015" s="143" t="s">
        <v>9321</v>
      </c>
      <c r="K2015" s="196" t="s">
        <v>1881</v>
      </c>
      <c r="L2015" s="141" t="s">
        <v>9371</v>
      </c>
      <c r="M2015" s="196">
        <v>400</v>
      </c>
      <c r="N2015" s="148"/>
      <c r="O2015" s="196" t="s">
        <v>7013</v>
      </c>
      <c r="P2015" s="144">
        <v>361</v>
      </c>
      <c r="Q2015" s="145">
        <f t="shared" si="141"/>
        <v>1.7103999999999997</v>
      </c>
      <c r="R2015" s="203">
        <v>1.2</v>
      </c>
      <c r="S2015" s="139">
        <v>2.21</v>
      </c>
      <c r="T2015" s="149">
        <v>0.13</v>
      </c>
      <c r="U2015" s="149">
        <v>1.9</v>
      </c>
      <c r="V2015" s="149">
        <v>0.33999999999999997</v>
      </c>
      <c r="W2015" s="149">
        <v>0.35</v>
      </c>
      <c r="X2015" s="152">
        <v>0.19039999999999999</v>
      </c>
      <c r="Y2015" s="150">
        <f t="shared" si="140"/>
        <v>1.2428319999999999</v>
      </c>
      <c r="Z2015" s="152">
        <f t="shared" si="142"/>
        <v>2.21</v>
      </c>
      <c r="AA2015" s="150">
        <f t="shared" si="143"/>
        <v>2.9103999999999997</v>
      </c>
      <c r="AB2015" s="150"/>
      <c r="AC2015" s="154"/>
      <c r="AD2015" s="154"/>
      <c r="AE2015" s="154"/>
      <c r="AF2015" s="154"/>
    </row>
    <row r="2016" spans="1:32" x14ac:dyDescent="0.25">
      <c r="A2016" s="142">
        <v>692</v>
      </c>
      <c r="B2016" s="196" t="s">
        <v>7563</v>
      </c>
      <c r="C2016" s="196" t="s">
        <v>9372</v>
      </c>
      <c r="D2016" s="196" t="s">
        <v>1876</v>
      </c>
      <c r="E2016" s="196" t="s">
        <v>1877</v>
      </c>
      <c r="F2016" s="196">
        <v>2010</v>
      </c>
      <c r="G2016" s="148"/>
      <c r="H2016" s="196" t="s">
        <v>1878</v>
      </c>
      <c r="I2016" s="141" t="s">
        <v>1879</v>
      </c>
      <c r="J2016" s="148"/>
      <c r="K2016" s="196" t="s">
        <v>1881</v>
      </c>
      <c r="L2016" s="141" t="s">
        <v>9373</v>
      </c>
      <c r="M2016" s="196">
        <v>512</v>
      </c>
      <c r="N2016" s="148"/>
      <c r="O2016" s="196" t="s">
        <v>7014</v>
      </c>
      <c r="P2016" s="144">
        <v>432</v>
      </c>
      <c r="Q2016" s="145">
        <f t="shared" si="141"/>
        <v>1.7103999999999997</v>
      </c>
      <c r="R2016" s="203">
        <v>1.2</v>
      </c>
      <c r="S2016" s="139">
        <v>1.99</v>
      </c>
      <c r="T2016" s="149">
        <v>0.13</v>
      </c>
      <c r="U2016" s="149">
        <v>1.9</v>
      </c>
      <c r="V2016" s="149">
        <v>0.33999999999999997</v>
      </c>
      <c r="W2016" s="149">
        <v>0.35</v>
      </c>
      <c r="X2016" s="152">
        <v>0.19039999999999999</v>
      </c>
      <c r="Y2016" s="150">
        <f t="shared" si="140"/>
        <v>1.2428319999999999</v>
      </c>
      <c r="Z2016" s="152">
        <f t="shared" si="142"/>
        <v>1.99</v>
      </c>
      <c r="AA2016" s="150">
        <f t="shared" si="143"/>
        <v>2.9103999999999997</v>
      </c>
      <c r="AB2016" s="150"/>
      <c r="AC2016" s="154"/>
      <c r="AD2016" s="154"/>
      <c r="AE2016" s="154"/>
      <c r="AF2016" s="154"/>
    </row>
    <row r="2017" spans="1:32" x14ac:dyDescent="0.25">
      <c r="A2017" s="142">
        <v>735</v>
      </c>
      <c r="B2017" s="196" t="s">
        <v>9374</v>
      </c>
      <c r="C2017" s="196" t="s">
        <v>9375</v>
      </c>
      <c r="D2017" s="196" t="s">
        <v>9376</v>
      </c>
      <c r="E2017" s="148"/>
      <c r="F2017" s="196">
        <v>1990</v>
      </c>
      <c r="G2017" s="148"/>
      <c r="H2017" s="196" t="s">
        <v>2734</v>
      </c>
      <c r="I2017" s="141" t="s">
        <v>1879</v>
      </c>
      <c r="J2017" s="196" t="s">
        <v>9025</v>
      </c>
      <c r="K2017" s="196" t="s">
        <v>1881</v>
      </c>
      <c r="L2017" s="141" t="s">
        <v>9377</v>
      </c>
      <c r="M2017" s="196">
        <v>402</v>
      </c>
      <c r="N2017" s="148"/>
      <c r="O2017" s="196" t="s">
        <v>7015</v>
      </c>
      <c r="P2017" s="144">
        <v>516</v>
      </c>
      <c r="Q2017" s="145">
        <f t="shared" si="141"/>
        <v>2.2999999999999998</v>
      </c>
      <c r="R2017" s="203">
        <v>1.7</v>
      </c>
      <c r="S2017" s="139">
        <v>4</v>
      </c>
      <c r="T2017" s="149">
        <v>0.13</v>
      </c>
      <c r="U2017" s="149">
        <v>2.2000000000000002</v>
      </c>
      <c r="V2017" s="149">
        <v>0.33999999999999997</v>
      </c>
      <c r="W2017" s="137">
        <v>0.35</v>
      </c>
      <c r="X2017" s="152">
        <v>0.19039999999999999</v>
      </c>
      <c r="Y2017" s="150">
        <f t="shared" si="140"/>
        <v>1.33</v>
      </c>
      <c r="Z2017" s="152">
        <f t="shared" si="142"/>
        <v>4</v>
      </c>
      <c r="AA2017" s="150">
        <f t="shared" si="143"/>
        <v>3.2103999999999999</v>
      </c>
      <c r="AB2017" s="150"/>
      <c r="AC2017" s="154"/>
      <c r="AD2017" s="154"/>
      <c r="AE2017" s="154"/>
      <c r="AF2017" s="154"/>
    </row>
    <row r="2018" spans="1:32" x14ac:dyDescent="0.25">
      <c r="A2018" s="142">
        <v>1315</v>
      </c>
      <c r="B2018" s="196" t="s">
        <v>9378</v>
      </c>
      <c r="C2018" s="196" t="s">
        <v>9379</v>
      </c>
      <c r="D2018" s="196" t="s">
        <v>9380</v>
      </c>
      <c r="E2018" s="148"/>
      <c r="F2018" s="196">
        <v>1995</v>
      </c>
      <c r="G2018" s="148"/>
      <c r="H2018" s="196" t="s">
        <v>2008</v>
      </c>
      <c r="I2018" s="141" t="s">
        <v>1879</v>
      </c>
      <c r="J2018" s="148"/>
      <c r="K2018" s="196" t="s">
        <v>1881</v>
      </c>
      <c r="L2018" s="141" t="s">
        <v>9381</v>
      </c>
      <c r="M2018" s="196">
        <v>128</v>
      </c>
      <c r="N2018" s="148"/>
      <c r="O2018" s="196" t="s">
        <v>7016</v>
      </c>
      <c r="P2018" s="144">
        <v>100</v>
      </c>
      <c r="Q2018" s="145">
        <f t="shared" si="141"/>
        <v>1.7313999999999996</v>
      </c>
      <c r="R2018" s="203">
        <v>1.2</v>
      </c>
      <c r="S2018" s="139">
        <v>1.7</v>
      </c>
      <c r="T2018" s="149">
        <v>0.13</v>
      </c>
      <c r="U2018" s="149">
        <v>1.9</v>
      </c>
      <c r="V2018" s="149">
        <v>0.33999999999999997</v>
      </c>
      <c r="W2018" s="149">
        <v>0.35</v>
      </c>
      <c r="X2018" s="152">
        <v>0.2114</v>
      </c>
      <c r="Y2018" s="150">
        <f t="shared" si="140"/>
        <v>1.2445120000000001</v>
      </c>
      <c r="Z2018" s="152">
        <f t="shared" si="142"/>
        <v>1.7</v>
      </c>
      <c r="AA2018" s="150">
        <f t="shared" si="143"/>
        <v>2.9313999999999996</v>
      </c>
      <c r="AB2018" s="150"/>
      <c r="AC2018" s="154"/>
      <c r="AD2018" s="154"/>
      <c r="AE2018" s="154"/>
      <c r="AF2018" s="154"/>
    </row>
    <row r="2019" spans="1:32" x14ac:dyDescent="0.25">
      <c r="A2019" s="148"/>
      <c r="B2019" s="196" t="s">
        <v>9382</v>
      </c>
      <c r="C2019" s="196" t="s">
        <v>9383</v>
      </c>
      <c r="D2019" s="196" t="s">
        <v>2054</v>
      </c>
      <c r="E2019" s="148"/>
      <c r="F2019" s="196">
        <v>1993</v>
      </c>
      <c r="G2019" s="148"/>
      <c r="H2019" s="196" t="s">
        <v>2734</v>
      </c>
      <c r="I2019" s="141" t="s">
        <v>6422</v>
      </c>
      <c r="J2019" s="148"/>
      <c r="K2019" s="196" t="s">
        <v>1881</v>
      </c>
      <c r="L2019" s="141" t="s">
        <v>9384</v>
      </c>
      <c r="M2019" s="196">
        <v>322</v>
      </c>
      <c r="N2019" s="148"/>
      <c r="O2019" s="196" t="s">
        <v>7017</v>
      </c>
      <c r="P2019" s="144">
        <v>528</v>
      </c>
      <c r="Q2019" s="145">
        <f t="shared" si="141"/>
        <v>1.5104</v>
      </c>
      <c r="R2019" s="203">
        <v>1.7</v>
      </c>
      <c r="S2019" s="139">
        <v>2.65</v>
      </c>
      <c r="T2019" s="149">
        <v>0.13</v>
      </c>
      <c r="U2019" s="149">
        <v>2.2000000000000002</v>
      </c>
      <c r="V2019" s="149">
        <v>0.33999999999999997</v>
      </c>
      <c r="W2019" s="149">
        <v>0.35</v>
      </c>
      <c r="X2019" s="152">
        <v>0.19039999999999999</v>
      </c>
      <c r="Y2019" s="150">
        <f t="shared" si="140"/>
        <v>1.266832</v>
      </c>
      <c r="Z2019" s="152">
        <f t="shared" si="142"/>
        <v>2.65</v>
      </c>
      <c r="AA2019" s="150">
        <f t="shared" si="143"/>
        <v>3.2103999999999999</v>
      </c>
      <c r="AB2019" s="150"/>
      <c r="AC2019" s="154"/>
      <c r="AD2019" s="154"/>
      <c r="AE2019" s="154"/>
      <c r="AF2019" s="154"/>
    </row>
    <row r="2020" spans="1:32" x14ac:dyDescent="0.25">
      <c r="A2020" s="142">
        <v>1809</v>
      </c>
      <c r="B2020" s="196" t="s">
        <v>9385</v>
      </c>
      <c r="C2020" s="196" t="s">
        <v>9386</v>
      </c>
      <c r="D2020" s="196" t="s">
        <v>1979</v>
      </c>
      <c r="E2020" s="148"/>
      <c r="F2020" s="196">
        <v>2014</v>
      </c>
      <c r="G2020" s="148"/>
      <c r="H2020" s="196" t="s">
        <v>2734</v>
      </c>
      <c r="I2020" s="141" t="s">
        <v>7817</v>
      </c>
      <c r="J2020" s="148"/>
      <c r="K2020" s="196" t="s">
        <v>1881</v>
      </c>
      <c r="L2020" s="141" t="s">
        <v>9387</v>
      </c>
      <c r="M2020" s="196">
        <v>354</v>
      </c>
      <c r="N2020" s="148"/>
      <c r="O2020" s="196" t="s">
        <v>7018</v>
      </c>
      <c r="P2020" s="144">
        <v>529</v>
      </c>
      <c r="Q2020" s="145">
        <f t="shared" si="141"/>
        <v>1.5313999999999999</v>
      </c>
      <c r="R2020" s="203">
        <v>1.7</v>
      </c>
      <c r="S2020" s="139">
        <f>0.75+2.29</f>
        <v>3.04</v>
      </c>
      <c r="T2020" s="149">
        <v>0.13</v>
      </c>
      <c r="U2020" s="149">
        <v>2.2000000000000002</v>
      </c>
      <c r="V2020" s="149">
        <v>0.33999999999999997</v>
      </c>
      <c r="W2020" s="149">
        <v>0.35</v>
      </c>
      <c r="X2020" s="152">
        <v>0.2114</v>
      </c>
      <c r="Y2020" s="150">
        <f t="shared" si="140"/>
        <v>1.2685119999999999</v>
      </c>
      <c r="Z2020" s="152">
        <f t="shared" si="142"/>
        <v>3.04</v>
      </c>
      <c r="AA2020" s="150">
        <f t="shared" si="143"/>
        <v>3.2313999999999998</v>
      </c>
      <c r="AB2020" s="150"/>
      <c r="AC2020" s="154"/>
      <c r="AD2020" s="154"/>
      <c r="AE2020" s="154"/>
      <c r="AF2020" s="154"/>
    </row>
    <row r="2021" spans="1:32" x14ac:dyDescent="0.25">
      <c r="A2021" s="142">
        <v>2681</v>
      </c>
      <c r="B2021" s="196" t="s">
        <v>9388</v>
      </c>
      <c r="C2021" s="196" t="s">
        <v>9389</v>
      </c>
      <c r="D2021" s="196" t="s">
        <v>9390</v>
      </c>
      <c r="E2021" s="148"/>
      <c r="F2021" s="196">
        <v>2008</v>
      </c>
      <c r="G2021" s="148"/>
      <c r="H2021" s="196" t="s">
        <v>2734</v>
      </c>
      <c r="I2021" s="141" t="s">
        <v>1929</v>
      </c>
      <c r="J2021" s="148"/>
      <c r="K2021" s="196" t="s">
        <v>1881</v>
      </c>
      <c r="L2021" s="141" t="s">
        <v>9391</v>
      </c>
      <c r="M2021" s="196">
        <v>130</v>
      </c>
      <c r="N2021" s="148"/>
      <c r="O2021" s="196" t="s">
        <v>7019</v>
      </c>
      <c r="P2021" s="144">
        <v>580</v>
      </c>
      <c r="Q2021" s="145">
        <f t="shared" si="141"/>
        <v>1.5999999999999999</v>
      </c>
      <c r="R2021" s="203">
        <v>1.7</v>
      </c>
      <c r="S2021" s="139">
        <v>3.3</v>
      </c>
      <c r="T2021" s="149">
        <v>0.13</v>
      </c>
      <c r="U2021" s="149">
        <v>2.2000000000000002</v>
      </c>
      <c r="V2021" s="149">
        <v>0.33999999999999997</v>
      </c>
      <c r="W2021" s="137">
        <v>0.35</v>
      </c>
      <c r="X2021" s="152">
        <v>0.2114</v>
      </c>
      <c r="Y2021" s="150">
        <f t="shared" si="140"/>
        <v>1.274</v>
      </c>
      <c r="Z2021" s="152">
        <f t="shared" si="142"/>
        <v>3.3</v>
      </c>
      <c r="AA2021" s="150">
        <f t="shared" si="143"/>
        <v>3.2313999999999998</v>
      </c>
      <c r="AB2021" s="150"/>
      <c r="AC2021" s="154"/>
      <c r="AD2021" s="154"/>
      <c r="AE2021" s="154"/>
      <c r="AF2021" s="154"/>
    </row>
    <row r="2022" spans="1:32" x14ac:dyDescent="0.25">
      <c r="A2022" s="142">
        <v>634</v>
      </c>
      <c r="B2022" s="196" t="s">
        <v>9392</v>
      </c>
      <c r="C2022" s="196" t="s">
        <v>9393</v>
      </c>
      <c r="D2022" s="196" t="s">
        <v>4669</v>
      </c>
      <c r="E2022" s="148"/>
      <c r="F2022" s="196">
        <v>1981</v>
      </c>
      <c r="G2022" s="148"/>
      <c r="H2022" s="196" t="s">
        <v>2734</v>
      </c>
      <c r="I2022" s="141" t="s">
        <v>1879</v>
      </c>
      <c r="J2022" s="148"/>
      <c r="K2022" s="196" t="s">
        <v>1881</v>
      </c>
      <c r="L2022" s="148"/>
      <c r="M2022" s="196">
        <v>170</v>
      </c>
      <c r="N2022" s="148"/>
      <c r="O2022" s="196" t="s">
        <v>7020</v>
      </c>
      <c r="P2022" s="144">
        <v>402</v>
      </c>
      <c r="Q2022" s="145">
        <f t="shared" si="141"/>
        <v>1.7313999999999996</v>
      </c>
      <c r="R2022" s="203">
        <v>1.2</v>
      </c>
      <c r="S2022" s="139">
        <f>1.65+1.2</f>
        <v>2.8499999999999996</v>
      </c>
      <c r="T2022" s="149">
        <v>0.13</v>
      </c>
      <c r="U2022" s="149">
        <v>1.9</v>
      </c>
      <c r="V2022" s="149">
        <v>0.33999999999999997</v>
      </c>
      <c r="W2022" s="149">
        <v>0.35</v>
      </c>
      <c r="X2022" s="152">
        <v>0.2114</v>
      </c>
      <c r="Y2022" s="150">
        <f t="shared" si="140"/>
        <v>1.2445120000000001</v>
      </c>
      <c r="Z2022" s="152">
        <f t="shared" si="142"/>
        <v>2.8499999999999996</v>
      </c>
      <c r="AA2022" s="150">
        <f t="shared" si="143"/>
        <v>2.9313999999999996</v>
      </c>
      <c r="AB2022" s="150"/>
      <c r="AC2022" s="154"/>
      <c r="AD2022" s="154"/>
      <c r="AE2022" s="154"/>
      <c r="AF2022" s="154"/>
    </row>
    <row r="2023" spans="1:32" x14ac:dyDescent="0.25">
      <c r="A2023" s="142">
        <v>844</v>
      </c>
      <c r="B2023" s="148"/>
      <c r="C2023" s="196" t="s">
        <v>9394</v>
      </c>
      <c r="D2023" s="196" t="s">
        <v>2209</v>
      </c>
      <c r="E2023" s="148"/>
      <c r="F2023" s="196">
        <v>2002</v>
      </c>
      <c r="G2023" s="148"/>
      <c r="H2023" s="196" t="s">
        <v>1878</v>
      </c>
      <c r="I2023" s="141" t="s">
        <v>1879</v>
      </c>
      <c r="J2023" s="148"/>
      <c r="K2023" s="196" t="s">
        <v>1881</v>
      </c>
      <c r="L2023" s="141" t="s">
        <v>9395</v>
      </c>
      <c r="M2023" s="196">
        <v>832</v>
      </c>
      <c r="N2023" s="148"/>
      <c r="O2023" s="196" t="s">
        <v>7021</v>
      </c>
      <c r="P2023" s="144">
        <v>1003</v>
      </c>
      <c r="Q2023" s="145">
        <f t="shared" si="141"/>
        <v>3.5999999999999996</v>
      </c>
      <c r="R2023" s="203">
        <v>3.49</v>
      </c>
      <c r="S2023" s="139">
        <v>7.09</v>
      </c>
      <c r="T2023" s="149">
        <v>0.13</v>
      </c>
      <c r="U2023" s="149">
        <v>3.49</v>
      </c>
      <c r="V2023" s="149">
        <v>0.33999999999999997</v>
      </c>
      <c r="W2023" s="137">
        <v>0.35</v>
      </c>
      <c r="X2023" s="152">
        <v>0.19039999999999999</v>
      </c>
      <c r="Y2023" s="150">
        <f t="shared" si="140"/>
        <v>1.5771999999999999</v>
      </c>
      <c r="Z2023" s="152">
        <f t="shared" si="142"/>
        <v>7.09</v>
      </c>
      <c r="AA2023" s="150">
        <f t="shared" si="143"/>
        <v>4.5004</v>
      </c>
      <c r="AB2023" s="150"/>
      <c r="AC2023" s="154"/>
      <c r="AD2023" s="154"/>
      <c r="AE2023" s="154"/>
      <c r="AF2023" s="154"/>
    </row>
    <row r="2024" spans="1:32" x14ac:dyDescent="0.25">
      <c r="A2024" s="142">
        <v>1327</v>
      </c>
      <c r="B2024" s="196" t="s">
        <v>9396</v>
      </c>
      <c r="C2024" s="196" t="s">
        <v>9397</v>
      </c>
      <c r="D2024" s="196" t="s">
        <v>2901</v>
      </c>
      <c r="E2024" s="148"/>
      <c r="F2024" s="196">
        <v>2007</v>
      </c>
      <c r="G2024" s="148"/>
      <c r="H2024" s="196" t="s">
        <v>2734</v>
      </c>
      <c r="I2024" s="141" t="s">
        <v>1879</v>
      </c>
      <c r="J2024" s="148"/>
      <c r="K2024" s="196" t="s">
        <v>1881</v>
      </c>
      <c r="L2024" s="141" t="s">
        <v>9398</v>
      </c>
      <c r="M2024" s="196">
        <v>226</v>
      </c>
      <c r="N2024" s="148"/>
      <c r="O2024" s="196" t="s">
        <v>7022</v>
      </c>
      <c r="P2024" s="144">
        <v>363</v>
      </c>
      <c r="Q2024" s="145">
        <f t="shared" si="141"/>
        <v>1.7313999999999996</v>
      </c>
      <c r="R2024" s="203">
        <v>1.2</v>
      </c>
      <c r="S2024" s="139">
        <v>2.78</v>
      </c>
      <c r="T2024" s="149">
        <v>0.13</v>
      </c>
      <c r="U2024" s="149">
        <v>1.9</v>
      </c>
      <c r="V2024" s="149">
        <v>0.33999999999999997</v>
      </c>
      <c r="W2024" s="149">
        <v>0.35</v>
      </c>
      <c r="X2024" s="152">
        <v>0.2114</v>
      </c>
      <c r="Y2024" s="150">
        <f t="shared" si="140"/>
        <v>1.2445120000000001</v>
      </c>
      <c r="Z2024" s="152">
        <f t="shared" si="142"/>
        <v>2.78</v>
      </c>
      <c r="AA2024" s="150">
        <f t="shared" si="143"/>
        <v>2.9313999999999996</v>
      </c>
      <c r="AB2024" s="150"/>
      <c r="AC2024" s="154"/>
      <c r="AD2024" s="154"/>
      <c r="AE2024" s="154"/>
      <c r="AF2024" s="154"/>
    </row>
    <row r="2025" spans="1:32" x14ac:dyDescent="0.25">
      <c r="A2025" s="142">
        <v>796</v>
      </c>
      <c r="B2025" s="196" t="s">
        <v>9399</v>
      </c>
      <c r="C2025" s="196" t="s">
        <v>9400</v>
      </c>
      <c r="D2025" s="196" t="s">
        <v>9401</v>
      </c>
      <c r="E2025" s="196" t="s">
        <v>1913</v>
      </c>
      <c r="F2025" s="196">
        <v>2002</v>
      </c>
      <c r="G2025" s="148"/>
      <c r="H2025" s="196" t="s">
        <v>2734</v>
      </c>
      <c r="I2025" s="141" t="s">
        <v>1879</v>
      </c>
      <c r="J2025" s="148"/>
      <c r="K2025" s="196" t="s">
        <v>1881</v>
      </c>
      <c r="L2025" s="141" t="s">
        <v>9402</v>
      </c>
      <c r="M2025" s="196">
        <v>124</v>
      </c>
      <c r="N2025" s="148"/>
      <c r="O2025" s="196" t="s">
        <v>7023</v>
      </c>
      <c r="P2025" s="144">
        <v>269</v>
      </c>
      <c r="Q2025" s="145">
        <f t="shared" si="141"/>
        <v>1.7103999999999997</v>
      </c>
      <c r="R2025" s="203">
        <v>1.2</v>
      </c>
      <c r="S2025" s="139">
        <f>0.25+1.69</f>
        <v>1.94</v>
      </c>
      <c r="T2025" s="149">
        <v>0.13</v>
      </c>
      <c r="U2025" s="149">
        <v>1.9</v>
      </c>
      <c r="V2025" s="149">
        <v>0.33999999999999997</v>
      </c>
      <c r="W2025" s="149">
        <v>0.35</v>
      </c>
      <c r="X2025" s="152">
        <v>0.19039999999999999</v>
      </c>
      <c r="Y2025" s="150">
        <f t="shared" si="140"/>
        <v>1.2428319999999999</v>
      </c>
      <c r="Z2025" s="152">
        <f t="shared" si="142"/>
        <v>1.94</v>
      </c>
      <c r="AA2025" s="150">
        <f t="shared" si="143"/>
        <v>2.9103999999999997</v>
      </c>
      <c r="AB2025" s="150"/>
      <c r="AC2025" s="154"/>
      <c r="AD2025" s="154"/>
      <c r="AE2025" s="154"/>
      <c r="AF2025" s="154"/>
    </row>
    <row r="2026" spans="1:32" x14ac:dyDescent="0.25">
      <c r="A2026" s="142">
        <v>2547</v>
      </c>
      <c r="B2026" s="196" t="s">
        <v>9403</v>
      </c>
      <c r="C2026" s="196" t="s">
        <v>9404</v>
      </c>
      <c r="D2026" s="196" t="s">
        <v>1912</v>
      </c>
      <c r="E2026" s="196" t="s">
        <v>6097</v>
      </c>
      <c r="F2026" s="196">
        <v>1990</v>
      </c>
      <c r="G2026" s="148"/>
      <c r="H2026" s="196" t="s">
        <v>1878</v>
      </c>
      <c r="I2026" s="141" t="s">
        <v>1914</v>
      </c>
      <c r="J2026" s="148"/>
      <c r="K2026" s="196" t="s">
        <v>1881</v>
      </c>
      <c r="L2026" s="141" t="s">
        <v>9405</v>
      </c>
      <c r="M2026" s="196">
        <v>224</v>
      </c>
      <c r="N2026" s="148"/>
      <c r="O2026" s="196" t="s">
        <v>7024</v>
      </c>
      <c r="P2026" s="144">
        <v>128</v>
      </c>
      <c r="Q2026" s="145">
        <f t="shared" si="141"/>
        <v>1.7103999999999997</v>
      </c>
      <c r="R2026" s="203">
        <v>1.2</v>
      </c>
      <c r="S2026" s="139">
        <v>1.55</v>
      </c>
      <c r="T2026" s="149">
        <v>0.13</v>
      </c>
      <c r="U2026" s="149">
        <v>1.9</v>
      </c>
      <c r="V2026" s="149">
        <v>0.33999999999999997</v>
      </c>
      <c r="W2026" s="149">
        <v>0.35</v>
      </c>
      <c r="X2026" s="152">
        <v>0.19039999999999999</v>
      </c>
      <c r="Y2026" s="150">
        <f t="shared" si="140"/>
        <v>1.2428319999999999</v>
      </c>
      <c r="Z2026" s="152">
        <f t="shared" si="142"/>
        <v>1.55</v>
      </c>
      <c r="AA2026" s="150">
        <f t="shared" si="143"/>
        <v>2.9103999999999997</v>
      </c>
      <c r="AB2026" s="150"/>
      <c r="AC2026" s="154"/>
      <c r="AD2026" s="154"/>
      <c r="AE2026" s="154"/>
      <c r="AF2026" s="154"/>
    </row>
    <row r="2027" spans="1:32" x14ac:dyDescent="0.25">
      <c r="A2027" s="142">
        <v>1367</v>
      </c>
      <c r="B2027" s="148"/>
      <c r="C2027" s="196" t="s">
        <v>9406</v>
      </c>
      <c r="D2027" s="196" t="s">
        <v>2257</v>
      </c>
      <c r="E2027" s="148"/>
      <c r="F2027" s="196">
        <v>2001</v>
      </c>
      <c r="G2027" s="148"/>
      <c r="H2027" s="196" t="s">
        <v>2734</v>
      </c>
      <c r="I2027" s="141" t="s">
        <v>1929</v>
      </c>
      <c r="J2027" s="148"/>
      <c r="K2027" s="196" t="s">
        <v>1881</v>
      </c>
      <c r="L2027" s="141" t="s">
        <v>9407</v>
      </c>
      <c r="M2027" s="196">
        <v>386</v>
      </c>
      <c r="N2027" s="148"/>
      <c r="O2027" s="196" t="s">
        <v>7025</v>
      </c>
      <c r="P2027" s="144">
        <v>522</v>
      </c>
      <c r="Q2027" s="145">
        <f t="shared" si="141"/>
        <v>1.5104</v>
      </c>
      <c r="R2027" s="203">
        <v>1.7</v>
      </c>
      <c r="S2027" s="139">
        <v>2.36</v>
      </c>
      <c r="T2027" s="149">
        <v>0.13</v>
      </c>
      <c r="U2027" s="149">
        <v>2.2000000000000002</v>
      </c>
      <c r="V2027" s="149">
        <v>0.33999999999999997</v>
      </c>
      <c r="W2027" s="149">
        <v>0.35</v>
      </c>
      <c r="X2027" s="152">
        <v>0.19039999999999999</v>
      </c>
      <c r="Y2027" s="150">
        <f t="shared" si="140"/>
        <v>1.266832</v>
      </c>
      <c r="Z2027" s="152">
        <f t="shared" si="142"/>
        <v>2.36</v>
      </c>
      <c r="AA2027" s="150">
        <f t="shared" si="143"/>
        <v>3.2103999999999999</v>
      </c>
      <c r="AB2027" s="150"/>
      <c r="AC2027" s="154"/>
      <c r="AD2027" s="154"/>
      <c r="AE2027" s="154"/>
      <c r="AF2027" s="154"/>
    </row>
    <row r="2028" spans="1:32" x14ac:dyDescent="0.25">
      <c r="A2028" s="142">
        <v>2592</v>
      </c>
      <c r="B2028" s="196" t="s">
        <v>9408</v>
      </c>
      <c r="C2028" s="196" t="s">
        <v>9409</v>
      </c>
      <c r="D2028" s="196" t="s">
        <v>9410</v>
      </c>
      <c r="E2028" s="196" t="s">
        <v>1913</v>
      </c>
      <c r="F2028" s="196">
        <v>2007</v>
      </c>
      <c r="G2028" s="148"/>
      <c r="H2028" s="196" t="s">
        <v>1878</v>
      </c>
      <c r="I2028" s="141" t="s">
        <v>1914</v>
      </c>
      <c r="J2028" s="148"/>
      <c r="K2028" s="196" t="s">
        <v>1881</v>
      </c>
      <c r="L2028" s="148"/>
      <c r="M2028" s="196">
        <v>304</v>
      </c>
      <c r="N2028" s="148"/>
      <c r="O2028" s="196" t="s">
        <v>7026</v>
      </c>
      <c r="P2028" s="144">
        <v>582</v>
      </c>
      <c r="Q2028" s="145">
        <f t="shared" si="141"/>
        <v>1.5313999999999999</v>
      </c>
      <c r="R2028" s="203">
        <v>1.7</v>
      </c>
      <c r="S2028" s="139">
        <v>2.75</v>
      </c>
      <c r="T2028" s="149">
        <v>0.13</v>
      </c>
      <c r="U2028" s="149">
        <v>2.2000000000000002</v>
      </c>
      <c r="V2028" s="149">
        <v>0.33999999999999997</v>
      </c>
      <c r="W2028" s="149">
        <v>0.35</v>
      </c>
      <c r="X2028" s="152">
        <v>0.2114</v>
      </c>
      <c r="Y2028" s="150">
        <f t="shared" ref="Y2028:Y2085" si="144">(IF(Z2028&gt;AA2028,Z2028,AA2028)*0.08)+1.01</f>
        <v>1.2685119999999999</v>
      </c>
      <c r="Z2028" s="152">
        <f t="shared" si="142"/>
        <v>2.75</v>
      </c>
      <c r="AA2028" s="150">
        <f t="shared" si="143"/>
        <v>3.2313999999999998</v>
      </c>
      <c r="AB2028" s="150"/>
      <c r="AC2028" s="154"/>
      <c r="AD2028" s="154"/>
      <c r="AE2028" s="154"/>
      <c r="AF2028" s="154"/>
    </row>
    <row r="2029" spans="1:32" x14ac:dyDescent="0.25">
      <c r="A2029" s="142">
        <v>692</v>
      </c>
      <c r="B2029" s="196" t="s">
        <v>8613</v>
      </c>
      <c r="C2029" s="196" t="s">
        <v>9411</v>
      </c>
      <c r="D2029" s="196" t="s">
        <v>8258</v>
      </c>
      <c r="E2029" s="148"/>
      <c r="F2029" s="196">
        <v>1977</v>
      </c>
      <c r="G2029" s="148"/>
      <c r="H2029" s="196" t="s">
        <v>2734</v>
      </c>
      <c r="I2029" s="141" t="s">
        <v>1879</v>
      </c>
      <c r="J2029" s="148"/>
      <c r="K2029" s="196" t="s">
        <v>1881</v>
      </c>
      <c r="L2029" s="141" t="s">
        <v>9412</v>
      </c>
      <c r="M2029" s="196">
        <v>192</v>
      </c>
      <c r="N2029" s="148"/>
      <c r="O2029" s="196" t="s">
        <v>7027</v>
      </c>
      <c r="P2029" s="144">
        <v>414</v>
      </c>
      <c r="Q2029" s="145">
        <f t="shared" si="141"/>
        <v>1.7313999999999996</v>
      </c>
      <c r="R2029" s="203">
        <v>1.2</v>
      </c>
      <c r="S2029" s="139">
        <v>2.4</v>
      </c>
      <c r="T2029" s="149">
        <v>0.13</v>
      </c>
      <c r="U2029" s="149">
        <v>1.9</v>
      </c>
      <c r="V2029" s="149">
        <v>0.33999999999999997</v>
      </c>
      <c r="W2029" s="149">
        <v>0.35</v>
      </c>
      <c r="X2029" s="152">
        <v>0.2114</v>
      </c>
      <c r="Y2029" s="150">
        <f t="shared" si="144"/>
        <v>1.2445120000000001</v>
      </c>
      <c r="Z2029" s="152">
        <f t="shared" si="142"/>
        <v>2.4</v>
      </c>
      <c r="AA2029" s="150">
        <f t="shared" si="143"/>
        <v>2.9313999999999996</v>
      </c>
      <c r="AB2029" s="150"/>
      <c r="AC2029" s="154"/>
      <c r="AD2029" s="154"/>
      <c r="AE2029" s="154"/>
      <c r="AF2029" s="154"/>
    </row>
    <row r="2030" spans="1:32" x14ac:dyDescent="0.25">
      <c r="A2030" s="148"/>
      <c r="B2030" s="196" t="s">
        <v>9413</v>
      </c>
      <c r="C2030" s="196" t="s">
        <v>9414</v>
      </c>
      <c r="D2030" s="196" t="s">
        <v>9415</v>
      </c>
      <c r="E2030" s="148"/>
      <c r="F2030" s="196">
        <v>1985</v>
      </c>
      <c r="G2030" s="148"/>
      <c r="H2030" s="196" t="s">
        <v>2734</v>
      </c>
      <c r="I2030" s="141" t="s">
        <v>1879</v>
      </c>
      <c r="J2030" s="148"/>
      <c r="K2030" s="196" t="s">
        <v>1881</v>
      </c>
      <c r="L2030" s="141" t="s">
        <v>9416</v>
      </c>
      <c r="M2030" s="196">
        <v>864</v>
      </c>
      <c r="N2030" s="148"/>
      <c r="O2030" s="196" t="s">
        <v>7028</v>
      </c>
      <c r="P2030" s="144">
        <v>913</v>
      </c>
      <c r="Q2030" s="145">
        <f t="shared" si="141"/>
        <v>2.2999999999999998</v>
      </c>
      <c r="R2030" s="203">
        <v>1.7</v>
      </c>
      <c r="S2030" s="139">
        <v>4</v>
      </c>
      <c r="T2030" s="149">
        <v>0.13</v>
      </c>
      <c r="U2030" s="149">
        <v>2.2000000000000002</v>
      </c>
      <c r="V2030" s="149">
        <v>0.33999999999999997</v>
      </c>
      <c r="W2030" s="137">
        <v>0.35</v>
      </c>
      <c r="X2030" s="152">
        <v>0.19039999999999999</v>
      </c>
      <c r="Y2030" s="150">
        <f t="shared" si="144"/>
        <v>1.33</v>
      </c>
      <c r="Z2030" s="152">
        <f t="shared" si="142"/>
        <v>4</v>
      </c>
      <c r="AA2030" s="150">
        <f t="shared" si="143"/>
        <v>3.2103999999999999</v>
      </c>
      <c r="AB2030" s="150"/>
      <c r="AC2030" s="154"/>
      <c r="AD2030" s="154"/>
      <c r="AE2030" s="154"/>
      <c r="AF2030" s="154"/>
    </row>
    <row r="2031" spans="1:32" x14ac:dyDescent="0.25">
      <c r="A2031" s="142">
        <v>591</v>
      </c>
      <c r="B2031" s="196" t="s">
        <v>9417</v>
      </c>
      <c r="C2031" s="196" t="s">
        <v>9418</v>
      </c>
      <c r="D2031" s="196" t="s">
        <v>9419</v>
      </c>
      <c r="E2031" s="196" t="s">
        <v>1913</v>
      </c>
      <c r="F2031" s="196">
        <v>1989</v>
      </c>
      <c r="G2031" s="148"/>
      <c r="H2031" s="196" t="s">
        <v>2734</v>
      </c>
      <c r="I2031" s="141" t="s">
        <v>1879</v>
      </c>
      <c r="J2031" s="148"/>
      <c r="K2031" s="196" t="s">
        <v>1881</v>
      </c>
      <c r="L2031" s="141" t="s">
        <v>9420</v>
      </c>
      <c r="M2031" s="196">
        <v>158</v>
      </c>
      <c r="N2031" s="148"/>
      <c r="O2031" s="196" t="s">
        <v>7029</v>
      </c>
      <c r="P2031" s="144">
        <v>282</v>
      </c>
      <c r="Q2031" s="145">
        <f t="shared" si="141"/>
        <v>1.7313999999999996</v>
      </c>
      <c r="R2031" s="203">
        <v>1.2</v>
      </c>
      <c r="S2031" s="139">
        <v>2.5</v>
      </c>
      <c r="T2031" s="149">
        <v>0.13</v>
      </c>
      <c r="U2031" s="149">
        <v>1.9</v>
      </c>
      <c r="V2031" s="149">
        <v>0.33999999999999997</v>
      </c>
      <c r="W2031" s="149">
        <v>0.35</v>
      </c>
      <c r="X2031" s="152">
        <v>0.2114</v>
      </c>
      <c r="Y2031" s="150">
        <f t="shared" si="144"/>
        <v>1.2445120000000001</v>
      </c>
      <c r="Z2031" s="152">
        <f t="shared" si="142"/>
        <v>2.5</v>
      </c>
      <c r="AA2031" s="150">
        <f t="shared" si="143"/>
        <v>2.9313999999999996</v>
      </c>
      <c r="AB2031" s="150"/>
      <c r="AC2031" s="154"/>
      <c r="AD2031" s="154"/>
      <c r="AE2031" s="154"/>
      <c r="AF2031" s="154"/>
    </row>
    <row r="2032" spans="1:32" x14ac:dyDescent="0.25">
      <c r="A2032" s="142">
        <v>704</v>
      </c>
      <c r="B2032" s="196" t="s">
        <v>9421</v>
      </c>
      <c r="C2032" s="196" t="s">
        <v>9422</v>
      </c>
      <c r="D2032" s="196" t="s">
        <v>9423</v>
      </c>
      <c r="E2032" s="148"/>
      <c r="F2032" s="196">
        <v>1995</v>
      </c>
      <c r="G2032" s="148"/>
      <c r="H2032" s="196" t="s">
        <v>1878</v>
      </c>
      <c r="I2032" s="141" t="s">
        <v>1879</v>
      </c>
      <c r="J2032" s="148"/>
      <c r="K2032" s="196" t="s">
        <v>1881</v>
      </c>
      <c r="L2032" s="141" t="s">
        <v>9424</v>
      </c>
      <c r="M2032" s="196">
        <v>124</v>
      </c>
      <c r="N2032" s="148"/>
      <c r="O2032" s="196" t="s">
        <v>7030</v>
      </c>
      <c r="P2032" s="144">
        <v>122</v>
      </c>
      <c r="Q2032" s="145">
        <f t="shared" si="141"/>
        <v>1.7103999999999997</v>
      </c>
      <c r="R2032" s="203">
        <v>1.2</v>
      </c>
      <c r="S2032" s="139">
        <f>0.7+1.65</f>
        <v>2.3499999999999996</v>
      </c>
      <c r="T2032" s="149">
        <v>0.13</v>
      </c>
      <c r="U2032" s="149">
        <v>1.9</v>
      </c>
      <c r="V2032" s="149">
        <v>0.33999999999999997</v>
      </c>
      <c r="W2032" s="149">
        <v>0.35</v>
      </c>
      <c r="X2032" s="152">
        <v>0.19039999999999999</v>
      </c>
      <c r="Y2032" s="150">
        <f t="shared" si="144"/>
        <v>1.2428319999999999</v>
      </c>
      <c r="Z2032" s="152">
        <f t="shared" si="142"/>
        <v>2.3499999999999996</v>
      </c>
      <c r="AA2032" s="150">
        <f t="shared" si="143"/>
        <v>2.9103999999999997</v>
      </c>
      <c r="AB2032" s="150"/>
      <c r="AC2032" s="154"/>
      <c r="AD2032" s="154"/>
      <c r="AE2032" s="154"/>
      <c r="AF2032" s="154"/>
    </row>
    <row r="2033" spans="1:32" x14ac:dyDescent="0.25">
      <c r="A2033" s="142">
        <v>2551</v>
      </c>
      <c r="B2033" s="196" t="s">
        <v>9425</v>
      </c>
      <c r="C2033" s="196" t="s">
        <v>9426</v>
      </c>
      <c r="D2033" s="196" t="s">
        <v>5005</v>
      </c>
      <c r="E2033" s="148"/>
      <c r="F2033" s="196">
        <v>2005</v>
      </c>
      <c r="G2033" s="148"/>
      <c r="H2033" s="196" t="s">
        <v>1878</v>
      </c>
      <c r="I2033" s="141" t="s">
        <v>1879</v>
      </c>
      <c r="J2033" s="148"/>
      <c r="K2033" s="196" t="s">
        <v>1881</v>
      </c>
      <c r="L2033" s="148"/>
      <c r="M2033" s="196">
        <v>368</v>
      </c>
      <c r="N2033" s="148"/>
      <c r="O2033" s="196" t="s">
        <v>7031</v>
      </c>
      <c r="P2033" s="144">
        <v>264</v>
      </c>
      <c r="Q2033" s="145">
        <f t="shared" si="141"/>
        <v>1.7103999999999997</v>
      </c>
      <c r="R2033" s="203">
        <v>1.2</v>
      </c>
      <c r="S2033" s="139">
        <f>0.29+1.29</f>
        <v>1.58</v>
      </c>
      <c r="T2033" s="149">
        <v>0.13</v>
      </c>
      <c r="U2033" s="149">
        <v>1.9</v>
      </c>
      <c r="V2033" s="149">
        <v>0.33999999999999997</v>
      </c>
      <c r="W2033" s="149">
        <v>0.35</v>
      </c>
      <c r="X2033" s="152">
        <v>0.19039999999999999</v>
      </c>
      <c r="Y2033" s="150">
        <f t="shared" si="144"/>
        <v>1.2428319999999999</v>
      </c>
      <c r="Z2033" s="152">
        <f t="shared" si="142"/>
        <v>1.58</v>
      </c>
      <c r="AA2033" s="150">
        <f t="shared" si="143"/>
        <v>2.9103999999999997</v>
      </c>
      <c r="AB2033" s="150"/>
      <c r="AC2033" s="154"/>
      <c r="AD2033" s="154"/>
      <c r="AE2033" s="154"/>
      <c r="AF2033" s="154"/>
    </row>
    <row r="2034" spans="1:32" x14ac:dyDescent="0.25">
      <c r="A2034" s="142">
        <v>2522</v>
      </c>
      <c r="B2034" s="196" t="s">
        <v>9427</v>
      </c>
      <c r="C2034" s="196" t="s">
        <v>9428</v>
      </c>
      <c r="D2034" s="196" t="s">
        <v>2609</v>
      </c>
      <c r="E2034" s="148"/>
      <c r="F2034" s="196">
        <v>2010</v>
      </c>
      <c r="G2034" s="148"/>
      <c r="H2034" s="196" t="s">
        <v>1878</v>
      </c>
      <c r="I2034" s="141" t="s">
        <v>1879</v>
      </c>
      <c r="J2034" s="143" t="s">
        <v>9321</v>
      </c>
      <c r="K2034" s="196" t="s">
        <v>1881</v>
      </c>
      <c r="L2034" s="141" t="s">
        <v>9429</v>
      </c>
      <c r="M2034" s="196">
        <v>352</v>
      </c>
      <c r="N2034" s="148"/>
      <c r="O2034" s="196" t="s">
        <v>7032</v>
      </c>
      <c r="P2034" s="144">
        <v>311</v>
      </c>
      <c r="Q2034" s="145">
        <f t="shared" si="141"/>
        <v>1.7103999999999997</v>
      </c>
      <c r="R2034" s="203">
        <v>1.2</v>
      </c>
      <c r="S2034" s="139">
        <v>1.9</v>
      </c>
      <c r="T2034" s="149">
        <v>0.13</v>
      </c>
      <c r="U2034" s="149">
        <v>1.9</v>
      </c>
      <c r="V2034" s="149">
        <v>0.33999999999999997</v>
      </c>
      <c r="W2034" s="149">
        <v>0.35</v>
      </c>
      <c r="X2034" s="152">
        <v>0.19039999999999999</v>
      </c>
      <c r="Y2034" s="150">
        <f t="shared" si="144"/>
        <v>1.2428319999999999</v>
      </c>
      <c r="Z2034" s="152">
        <f t="shared" si="142"/>
        <v>1.9</v>
      </c>
      <c r="AA2034" s="150">
        <f t="shared" si="143"/>
        <v>2.9103999999999997</v>
      </c>
      <c r="AB2034" s="150"/>
      <c r="AC2034" s="154"/>
      <c r="AD2034" s="154"/>
      <c r="AE2034" s="154"/>
      <c r="AF2034" s="154"/>
    </row>
    <row r="2035" spans="1:32" x14ac:dyDescent="0.25">
      <c r="A2035" s="142">
        <v>381</v>
      </c>
      <c r="B2035" s="196" t="s">
        <v>9430</v>
      </c>
      <c r="C2035" s="196" t="s">
        <v>9431</v>
      </c>
      <c r="D2035" s="196" t="s">
        <v>9432</v>
      </c>
      <c r="E2035" s="148"/>
      <c r="F2035" s="196">
        <v>1984</v>
      </c>
      <c r="G2035" s="148"/>
      <c r="H2035" s="196" t="s">
        <v>1878</v>
      </c>
      <c r="I2035" s="141" t="s">
        <v>1879</v>
      </c>
      <c r="J2035" s="148"/>
      <c r="K2035" s="196" t="s">
        <v>1881</v>
      </c>
      <c r="L2035" s="141" t="s">
        <v>9433</v>
      </c>
      <c r="M2035" s="196">
        <v>116</v>
      </c>
      <c r="N2035" s="148"/>
      <c r="O2035" s="196" t="s">
        <v>7033</v>
      </c>
      <c r="P2035" s="144">
        <v>201</v>
      </c>
      <c r="Q2035" s="145">
        <f t="shared" si="141"/>
        <v>1.7103999999999997</v>
      </c>
      <c r="R2035" s="203">
        <v>1.2</v>
      </c>
      <c r="S2035" s="139">
        <v>1.9</v>
      </c>
      <c r="T2035" s="149">
        <v>0.13</v>
      </c>
      <c r="U2035" s="149">
        <v>1.9</v>
      </c>
      <c r="V2035" s="149">
        <v>0.33999999999999997</v>
      </c>
      <c r="W2035" s="149">
        <v>0.35</v>
      </c>
      <c r="X2035" s="152">
        <v>0.19039999999999999</v>
      </c>
      <c r="Y2035" s="150">
        <f t="shared" si="144"/>
        <v>1.2428319999999999</v>
      </c>
      <c r="Z2035" s="152">
        <f t="shared" si="142"/>
        <v>1.9</v>
      </c>
      <c r="AA2035" s="150">
        <f t="shared" si="143"/>
        <v>2.9103999999999997</v>
      </c>
      <c r="AB2035" s="150"/>
      <c r="AC2035" s="154"/>
      <c r="AD2035" s="154"/>
      <c r="AE2035" s="154"/>
      <c r="AF2035" s="154"/>
    </row>
    <row r="2036" spans="1:32" x14ac:dyDescent="0.25">
      <c r="A2036" s="142">
        <v>2551</v>
      </c>
      <c r="B2036" s="196" t="s">
        <v>9425</v>
      </c>
      <c r="C2036" s="196" t="s">
        <v>9434</v>
      </c>
      <c r="D2036" s="196" t="s">
        <v>5005</v>
      </c>
      <c r="E2036" s="148"/>
      <c r="F2036" s="196">
        <v>2005</v>
      </c>
      <c r="G2036" s="148"/>
      <c r="H2036" s="196" t="s">
        <v>1878</v>
      </c>
      <c r="I2036" s="141" t="s">
        <v>1879</v>
      </c>
      <c r="J2036" s="148"/>
      <c r="K2036" s="196" t="s">
        <v>1881</v>
      </c>
      <c r="L2036" s="148"/>
      <c r="M2036" s="196">
        <v>368</v>
      </c>
      <c r="N2036" s="148"/>
      <c r="O2036" s="196" t="s">
        <v>7034</v>
      </c>
      <c r="P2036" s="144">
        <v>268</v>
      </c>
      <c r="Q2036" s="145">
        <f t="shared" si="141"/>
        <v>1.7103999999999997</v>
      </c>
      <c r="R2036" s="203">
        <v>1.2</v>
      </c>
      <c r="S2036" s="139">
        <f>0.25+1.39</f>
        <v>1.64</v>
      </c>
      <c r="T2036" s="149">
        <v>0.13</v>
      </c>
      <c r="U2036" s="149">
        <v>1.9</v>
      </c>
      <c r="V2036" s="149">
        <v>0.33999999999999997</v>
      </c>
      <c r="W2036" s="149">
        <v>0.35</v>
      </c>
      <c r="X2036" s="152">
        <v>0.19039999999999999</v>
      </c>
      <c r="Y2036" s="150">
        <f t="shared" si="144"/>
        <v>1.2428319999999999</v>
      </c>
      <c r="Z2036" s="152">
        <f t="shared" si="142"/>
        <v>1.64</v>
      </c>
      <c r="AA2036" s="150">
        <f t="shared" si="143"/>
        <v>2.9103999999999997</v>
      </c>
      <c r="AB2036" s="150"/>
      <c r="AC2036" s="154"/>
      <c r="AD2036" s="154"/>
      <c r="AE2036" s="154"/>
      <c r="AF2036" s="154"/>
    </row>
    <row r="2037" spans="1:32" x14ac:dyDescent="0.25">
      <c r="A2037" s="142">
        <v>719</v>
      </c>
      <c r="B2037" s="148"/>
      <c r="C2037" s="196" t="s">
        <v>9435</v>
      </c>
      <c r="D2037" s="196" t="s">
        <v>8697</v>
      </c>
      <c r="E2037" s="148"/>
      <c r="F2037" s="196">
        <v>2004</v>
      </c>
      <c r="G2037" s="148"/>
      <c r="H2037" s="196" t="s">
        <v>2734</v>
      </c>
      <c r="I2037" s="141" t="s">
        <v>1879</v>
      </c>
      <c r="J2037" s="148"/>
      <c r="K2037" s="196" t="s">
        <v>1881</v>
      </c>
      <c r="L2037" s="141" t="s">
        <v>9436</v>
      </c>
      <c r="M2037" s="148"/>
      <c r="N2037" s="148"/>
      <c r="O2037" s="196" t="s">
        <v>7035</v>
      </c>
      <c r="P2037" s="144">
        <v>622</v>
      </c>
      <c r="Q2037" s="145">
        <f t="shared" si="141"/>
        <v>1.5104</v>
      </c>
      <c r="R2037" s="203">
        <v>1.7</v>
      </c>
      <c r="S2037" s="139">
        <v>2.6</v>
      </c>
      <c r="T2037" s="149">
        <v>0.13</v>
      </c>
      <c r="U2037" s="149">
        <v>2.2000000000000002</v>
      </c>
      <c r="V2037" s="149">
        <v>0.33999999999999997</v>
      </c>
      <c r="W2037" s="149">
        <v>0.35</v>
      </c>
      <c r="X2037" s="152">
        <v>0.19039999999999999</v>
      </c>
      <c r="Y2037" s="150">
        <f t="shared" si="144"/>
        <v>1.266832</v>
      </c>
      <c r="Z2037" s="152">
        <f t="shared" si="142"/>
        <v>2.6</v>
      </c>
      <c r="AA2037" s="150">
        <f t="shared" si="143"/>
        <v>3.2103999999999999</v>
      </c>
      <c r="AB2037" s="150"/>
      <c r="AC2037" s="154"/>
      <c r="AD2037" s="154"/>
      <c r="AE2037" s="154"/>
      <c r="AF2037" s="154"/>
    </row>
    <row r="2038" spans="1:32" x14ac:dyDescent="0.25">
      <c r="A2038" s="142">
        <v>2522</v>
      </c>
      <c r="B2038" s="196" t="s">
        <v>2456</v>
      </c>
      <c r="C2038" s="196" t="s">
        <v>9437</v>
      </c>
      <c r="D2038" s="196" t="s">
        <v>3077</v>
      </c>
      <c r="E2038" s="148"/>
      <c r="F2038" s="196">
        <v>2012</v>
      </c>
      <c r="G2038" s="148"/>
      <c r="H2038" s="196" t="s">
        <v>1878</v>
      </c>
      <c r="I2038" s="141" t="s">
        <v>1879</v>
      </c>
      <c r="J2038" s="148"/>
      <c r="K2038" s="196" t="s">
        <v>1881</v>
      </c>
      <c r="L2038" s="148"/>
      <c r="M2038" s="196">
        <v>512</v>
      </c>
      <c r="N2038" s="148"/>
      <c r="O2038" s="196" t="s">
        <v>7036</v>
      </c>
      <c r="P2038" s="144">
        <v>370</v>
      </c>
      <c r="Q2038" s="145">
        <f t="shared" si="141"/>
        <v>1.7313999999999996</v>
      </c>
      <c r="R2038" s="203">
        <v>1.2</v>
      </c>
      <c r="S2038" s="139">
        <v>1.65</v>
      </c>
      <c r="T2038" s="149">
        <v>0.13</v>
      </c>
      <c r="U2038" s="149">
        <v>1.9</v>
      </c>
      <c r="V2038" s="149">
        <v>0.33999999999999997</v>
      </c>
      <c r="W2038" s="149">
        <v>0.35</v>
      </c>
      <c r="X2038" s="152">
        <v>0.2114</v>
      </c>
      <c r="Y2038" s="150">
        <f t="shared" si="144"/>
        <v>1.2445120000000001</v>
      </c>
      <c r="Z2038" s="152">
        <f t="shared" si="142"/>
        <v>1.65</v>
      </c>
      <c r="AA2038" s="150">
        <f t="shared" si="143"/>
        <v>2.9313999999999996</v>
      </c>
      <c r="AB2038" s="150"/>
      <c r="AC2038" s="154"/>
      <c r="AD2038" s="154"/>
      <c r="AE2038" s="154"/>
      <c r="AF2038" s="154"/>
    </row>
    <row r="2039" spans="1:32" x14ac:dyDescent="0.25">
      <c r="A2039" s="142">
        <v>1355</v>
      </c>
      <c r="B2039" s="196" t="s">
        <v>9438</v>
      </c>
      <c r="C2039" s="196" t="s">
        <v>9439</v>
      </c>
      <c r="D2039" s="196" t="s">
        <v>1988</v>
      </c>
      <c r="E2039" s="196" t="s">
        <v>1913</v>
      </c>
      <c r="F2039" s="196">
        <v>1989</v>
      </c>
      <c r="G2039" s="148"/>
      <c r="H2039" s="196" t="s">
        <v>1878</v>
      </c>
      <c r="I2039" s="141" t="s">
        <v>1879</v>
      </c>
      <c r="J2039" s="148"/>
      <c r="K2039" s="196" t="s">
        <v>1881</v>
      </c>
      <c r="L2039" s="141" t="s">
        <v>9440</v>
      </c>
      <c r="M2039" s="148"/>
      <c r="N2039" s="148"/>
      <c r="O2039" s="196" t="s">
        <v>7037</v>
      </c>
      <c r="P2039" s="144">
        <v>154</v>
      </c>
      <c r="Q2039" s="145">
        <f t="shared" si="141"/>
        <v>1.7103999999999997</v>
      </c>
      <c r="R2039" s="203">
        <v>1.2</v>
      </c>
      <c r="S2039" s="139">
        <v>2.39</v>
      </c>
      <c r="T2039" s="149">
        <v>0.13</v>
      </c>
      <c r="U2039" s="149">
        <v>1.9</v>
      </c>
      <c r="V2039" s="149">
        <v>0.33999999999999997</v>
      </c>
      <c r="W2039" s="149">
        <v>0.35</v>
      </c>
      <c r="X2039" s="152">
        <v>0.19039999999999999</v>
      </c>
      <c r="Y2039" s="150">
        <f t="shared" si="144"/>
        <v>1.2428319999999999</v>
      </c>
      <c r="Z2039" s="152">
        <f t="shared" si="142"/>
        <v>2.39</v>
      </c>
      <c r="AA2039" s="150">
        <f t="shared" si="143"/>
        <v>2.9103999999999997</v>
      </c>
      <c r="AB2039" s="150"/>
      <c r="AC2039" s="154"/>
      <c r="AD2039" s="154"/>
      <c r="AE2039" s="154"/>
      <c r="AF2039" s="154"/>
    </row>
    <row r="2040" spans="1:32" x14ac:dyDescent="0.25">
      <c r="A2040" s="142">
        <v>655</v>
      </c>
      <c r="B2040" s="196" t="s">
        <v>9441</v>
      </c>
      <c r="C2040" s="196" t="s">
        <v>9442</v>
      </c>
      <c r="D2040" s="196" t="s">
        <v>1876</v>
      </c>
      <c r="E2040" s="196" t="s">
        <v>2375</v>
      </c>
      <c r="F2040" s="196">
        <v>1994</v>
      </c>
      <c r="G2040" s="148"/>
      <c r="H2040" s="196" t="s">
        <v>1878</v>
      </c>
      <c r="I2040" s="141" t="s">
        <v>1914</v>
      </c>
      <c r="J2040" s="148"/>
      <c r="K2040" s="196" t="s">
        <v>1881</v>
      </c>
      <c r="L2040" s="141" t="s">
        <v>9443</v>
      </c>
      <c r="M2040" s="196">
        <v>336</v>
      </c>
      <c r="N2040" s="148"/>
      <c r="O2040" s="196" t="s">
        <v>7038</v>
      </c>
      <c r="P2040" s="144">
        <v>285</v>
      </c>
      <c r="Q2040" s="145">
        <f t="shared" si="141"/>
        <v>2.5299999999999994</v>
      </c>
      <c r="R2040" s="203">
        <v>1.2</v>
      </c>
      <c r="S2040" s="139">
        <f>2.53+1.2</f>
        <v>3.7299999999999995</v>
      </c>
      <c r="T2040" s="149">
        <v>0.13</v>
      </c>
      <c r="U2040" s="149">
        <v>1.9</v>
      </c>
      <c r="V2040" s="149">
        <v>0.33999999999999997</v>
      </c>
      <c r="W2040" s="137">
        <v>0.35</v>
      </c>
      <c r="X2040" s="152">
        <v>0.19039999999999999</v>
      </c>
      <c r="Y2040" s="150">
        <f t="shared" si="144"/>
        <v>1.3084</v>
      </c>
      <c r="Z2040" s="152">
        <f t="shared" si="142"/>
        <v>3.7299999999999995</v>
      </c>
      <c r="AA2040" s="150">
        <f t="shared" si="143"/>
        <v>2.9103999999999997</v>
      </c>
      <c r="AB2040" s="150"/>
      <c r="AC2040" s="154"/>
      <c r="AD2040" s="154"/>
      <c r="AE2040" s="154"/>
      <c r="AF2040" s="154"/>
    </row>
    <row r="2041" spans="1:32" x14ac:dyDescent="0.25">
      <c r="A2041" s="142">
        <v>792</v>
      </c>
      <c r="B2041" s="148"/>
      <c r="C2041" s="196" t="s">
        <v>9444</v>
      </c>
      <c r="D2041" s="196" t="s">
        <v>1998</v>
      </c>
      <c r="E2041" s="196" t="s">
        <v>1877</v>
      </c>
      <c r="F2041" s="196">
        <v>1997</v>
      </c>
      <c r="G2041" s="148"/>
      <c r="H2041" s="196" t="s">
        <v>1878</v>
      </c>
      <c r="I2041" s="141" t="s">
        <v>1914</v>
      </c>
      <c r="J2041" s="148"/>
      <c r="K2041" s="196" t="s">
        <v>1881</v>
      </c>
      <c r="L2041" s="141" t="s">
        <v>9445</v>
      </c>
      <c r="M2041" s="196">
        <v>144</v>
      </c>
      <c r="N2041" s="148"/>
      <c r="O2041" s="196" t="s">
        <v>7039</v>
      </c>
      <c r="P2041" s="144">
        <v>132</v>
      </c>
      <c r="Q2041" s="145">
        <f t="shared" si="141"/>
        <v>1.7103999999999997</v>
      </c>
      <c r="R2041" s="203">
        <v>1.2</v>
      </c>
      <c r="S2041" s="139">
        <v>2.2000000000000002</v>
      </c>
      <c r="T2041" s="149">
        <v>0.13</v>
      </c>
      <c r="U2041" s="149">
        <v>1.9</v>
      </c>
      <c r="V2041" s="149">
        <v>0.33999999999999997</v>
      </c>
      <c r="W2041" s="149">
        <v>0.35</v>
      </c>
      <c r="X2041" s="152">
        <v>0.19039999999999999</v>
      </c>
      <c r="Y2041" s="150">
        <f t="shared" si="144"/>
        <v>1.2428319999999999</v>
      </c>
      <c r="Z2041" s="152">
        <f t="shared" si="142"/>
        <v>2.2000000000000002</v>
      </c>
      <c r="AA2041" s="150">
        <f t="shared" si="143"/>
        <v>2.9103999999999997</v>
      </c>
      <c r="AB2041" s="150"/>
      <c r="AC2041" s="154"/>
      <c r="AD2041" s="154"/>
      <c r="AE2041" s="154"/>
      <c r="AF2041" s="154"/>
    </row>
    <row r="2042" spans="1:32" x14ac:dyDescent="0.25">
      <c r="A2042" s="142">
        <v>792</v>
      </c>
      <c r="B2042" s="148"/>
      <c r="C2042" s="196" t="s">
        <v>9446</v>
      </c>
      <c r="D2042" s="196" t="s">
        <v>2209</v>
      </c>
      <c r="E2042" s="148"/>
      <c r="F2042" s="196">
        <v>1983</v>
      </c>
      <c r="G2042" s="148"/>
      <c r="H2042" s="196" t="s">
        <v>2008</v>
      </c>
      <c r="I2042" s="141" t="s">
        <v>1879</v>
      </c>
      <c r="J2042" s="148"/>
      <c r="K2042" s="196" t="s">
        <v>1881</v>
      </c>
      <c r="L2042" s="141" t="s">
        <v>9447</v>
      </c>
      <c r="M2042" s="196">
        <v>128</v>
      </c>
      <c r="N2042" s="148"/>
      <c r="O2042" s="196" t="s">
        <v>7040</v>
      </c>
      <c r="P2042" s="144">
        <v>114</v>
      </c>
      <c r="Q2042" s="145">
        <f t="shared" si="141"/>
        <v>1.74</v>
      </c>
      <c r="R2042" s="203">
        <v>1.2</v>
      </c>
      <c r="S2042" s="139">
        <v>2.94</v>
      </c>
      <c r="T2042" s="149">
        <v>0.13</v>
      </c>
      <c r="U2042" s="149">
        <v>1.9</v>
      </c>
      <c r="V2042" s="149">
        <v>0.33999999999999997</v>
      </c>
      <c r="W2042" s="137">
        <v>0.35</v>
      </c>
      <c r="X2042" s="152">
        <v>0.19039999999999999</v>
      </c>
      <c r="Y2042" s="150">
        <f t="shared" si="144"/>
        <v>1.2452000000000001</v>
      </c>
      <c r="Z2042" s="152">
        <f t="shared" si="142"/>
        <v>2.94</v>
      </c>
      <c r="AA2042" s="150">
        <f t="shared" si="143"/>
        <v>2.9103999999999997</v>
      </c>
      <c r="AB2042" s="150"/>
      <c r="AC2042" s="154"/>
      <c r="AD2042" s="154"/>
      <c r="AE2042" s="154"/>
      <c r="AF2042" s="154"/>
    </row>
    <row r="2043" spans="1:32" x14ac:dyDescent="0.25">
      <c r="A2043" s="142">
        <v>1327</v>
      </c>
      <c r="B2043" s="196" t="s">
        <v>9448</v>
      </c>
      <c r="C2043" s="196" t="s">
        <v>9449</v>
      </c>
      <c r="D2043" s="196" t="s">
        <v>2609</v>
      </c>
      <c r="E2043" s="148"/>
      <c r="F2043" s="196">
        <v>1982</v>
      </c>
      <c r="G2043" s="148"/>
      <c r="H2043" s="196" t="s">
        <v>2008</v>
      </c>
      <c r="I2043" s="141" t="s">
        <v>1914</v>
      </c>
      <c r="J2043" s="148"/>
      <c r="K2043" s="196" t="s">
        <v>1881</v>
      </c>
      <c r="L2043" s="141" t="s">
        <v>9450</v>
      </c>
      <c r="M2043" s="196">
        <v>144</v>
      </c>
      <c r="N2043" s="148"/>
      <c r="O2043" s="196" t="s">
        <v>7041</v>
      </c>
      <c r="P2043" s="144">
        <v>75</v>
      </c>
      <c r="Q2043" s="145">
        <f t="shared" si="141"/>
        <v>2.5</v>
      </c>
      <c r="R2043" s="203">
        <v>1.2</v>
      </c>
      <c r="S2043" s="139">
        <v>3.7</v>
      </c>
      <c r="T2043" s="149">
        <v>0.13</v>
      </c>
      <c r="U2043" s="149">
        <v>1.9</v>
      </c>
      <c r="V2043" s="149">
        <v>0.33999999999999997</v>
      </c>
      <c r="W2043" s="137">
        <v>0.35</v>
      </c>
      <c r="X2043" s="152">
        <v>0.19039999999999999</v>
      </c>
      <c r="Y2043" s="150">
        <f t="shared" si="144"/>
        <v>1.306</v>
      </c>
      <c r="Z2043" s="152">
        <f t="shared" si="142"/>
        <v>3.7</v>
      </c>
      <c r="AA2043" s="150">
        <f t="shared" si="143"/>
        <v>2.9103999999999997</v>
      </c>
      <c r="AB2043" s="150"/>
      <c r="AC2043" s="154"/>
      <c r="AD2043" s="154"/>
      <c r="AE2043" s="154"/>
      <c r="AF2043" s="154"/>
    </row>
    <row r="2044" spans="1:32" x14ac:dyDescent="0.25">
      <c r="A2044" s="142">
        <v>1355</v>
      </c>
      <c r="B2044" s="196" t="s">
        <v>9451</v>
      </c>
      <c r="C2044" s="196" t="s">
        <v>9452</v>
      </c>
      <c r="D2044" s="196" t="s">
        <v>2609</v>
      </c>
      <c r="E2044" s="148"/>
      <c r="F2044" s="196">
        <v>1986</v>
      </c>
      <c r="G2044" s="148"/>
      <c r="H2044" s="196" t="s">
        <v>1878</v>
      </c>
      <c r="I2044" s="141" t="s">
        <v>1914</v>
      </c>
      <c r="J2044" s="148"/>
      <c r="K2044" s="196" t="s">
        <v>1881</v>
      </c>
      <c r="L2044" s="141" t="s">
        <v>9453</v>
      </c>
      <c r="M2044" s="148"/>
      <c r="N2044" s="148"/>
      <c r="O2044" s="196" t="s">
        <v>7042</v>
      </c>
      <c r="P2044" s="144">
        <v>149</v>
      </c>
      <c r="Q2044" s="145">
        <f t="shared" si="141"/>
        <v>1.7103999999999997</v>
      </c>
      <c r="R2044" s="203">
        <v>1.2</v>
      </c>
      <c r="S2044" s="139">
        <v>2.9</v>
      </c>
      <c r="T2044" s="149">
        <v>0.13</v>
      </c>
      <c r="U2044" s="149">
        <v>1.9</v>
      </c>
      <c r="V2044" s="149">
        <v>0.33999999999999997</v>
      </c>
      <c r="W2044" s="149">
        <v>0.35</v>
      </c>
      <c r="X2044" s="152">
        <v>0.19039999999999999</v>
      </c>
      <c r="Y2044" s="150">
        <f t="shared" si="144"/>
        <v>1.2428319999999999</v>
      </c>
      <c r="Z2044" s="152">
        <f t="shared" si="142"/>
        <v>2.9</v>
      </c>
      <c r="AA2044" s="150">
        <f t="shared" si="143"/>
        <v>2.9103999999999997</v>
      </c>
      <c r="AB2044" s="150"/>
      <c r="AC2044" s="154"/>
      <c r="AD2044" s="154"/>
      <c r="AE2044" s="154"/>
      <c r="AF2044" s="154"/>
    </row>
    <row r="2045" spans="1:32" x14ac:dyDescent="0.25">
      <c r="A2045" s="142">
        <v>2673</v>
      </c>
      <c r="B2045" s="148"/>
      <c r="C2045" s="196" t="s">
        <v>9454</v>
      </c>
      <c r="D2045" s="196" t="s">
        <v>5930</v>
      </c>
      <c r="E2045" s="148"/>
      <c r="F2045" s="196">
        <v>1995</v>
      </c>
      <c r="G2045" s="148"/>
      <c r="H2045" s="196" t="s">
        <v>2734</v>
      </c>
      <c r="I2045" s="141" t="s">
        <v>1879</v>
      </c>
      <c r="J2045" s="148"/>
      <c r="K2045" s="196" t="s">
        <v>1881</v>
      </c>
      <c r="L2045" s="141" t="s">
        <v>9455</v>
      </c>
      <c r="M2045" s="196">
        <v>194</v>
      </c>
      <c r="N2045" s="148"/>
      <c r="O2045" s="196" t="s">
        <v>7043</v>
      </c>
      <c r="P2045" s="144">
        <v>391</v>
      </c>
      <c r="Q2045" s="145">
        <f t="shared" si="141"/>
        <v>1.7103999999999997</v>
      </c>
      <c r="R2045" s="203">
        <v>1.2</v>
      </c>
      <c r="S2045" s="139">
        <f>0.59+1.45</f>
        <v>2.04</v>
      </c>
      <c r="T2045" s="149">
        <v>0.13</v>
      </c>
      <c r="U2045" s="149">
        <v>1.9</v>
      </c>
      <c r="V2045" s="149">
        <v>0.33999999999999997</v>
      </c>
      <c r="W2045" s="149">
        <v>0.35</v>
      </c>
      <c r="X2045" s="152">
        <v>0.19039999999999999</v>
      </c>
      <c r="Y2045" s="150">
        <f t="shared" si="144"/>
        <v>1.2428319999999999</v>
      </c>
      <c r="Z2045" s="152">
        <f t="shared" si="142"/>
        <v>2.04</v>
      </c>
      <c r="AA2045" s="150">
        <f t="shared" si="143"/>
        <v>2.9103999999999997</v>
      </c>
      <c r="AB2045" s="150"/>
      <c r="AC2045" s="154"/>
      <c r="AD2045" s="154"/>
      <c r="AE2045" s="154"/>
      <c r="AF2045" s="154"/>
    </row>
    <row r="2046" spans="1:32" x14ac:dyDescent="0.25">
      <c r="A2046" s="142">
        <v>2530</v>
      </c>
      <c r="B2046" s="196" t="s">
        <v>9456</v>
      </c>
      <c r="C2046" s="196" t="s">
        <v>9457</v>
      </c>
      <c r="D2046" s="196" t="s">
        <v>2926</v>
      </c>
      <c r="E2046" s="148"/>
      <c r="F2046" s="196">
        <v>2002</v>
      </c>
      <c r="G2046" s="148"/>
      <c r="H2046" s="196" t="s">
        <v>2734</v>
      </c>
      <c r="I2046" s="141" t="s">
        <v>1879</v>
      </c>
      <c r="J2046" s="148"/>
      <c r="K2046" s="196" t="s">
        <v>1881</v>
      </c>
      <c r="L2046" s="141" t="s">
        <v>9458</v>
      </c>
      <c r="M2046" s="196">
        <v>322</v>
      </c>
      <c r="N2046" s="148"/>
      <c r="O2046" s="196" t="s">
        <v>7044</v>
      </c>
      <c r="P2046" s="144">
        <v>535</v>
      </c>
      <c r="Q2046" s="145">
        <f t="shared" si="141"/>
        <v>2.2700000000000005</v>
      </c>
      <c r="R2046" s="203">
        <v>1.7</v>
      </c>
      <c r="S2046" s="139">
        <f>2.22+1.75</f>
        <v>3.97</v>
      </c>
      <c r="T2046" s="149">
        <v>0.13</v>
      </c>
      <c r="U2046" s="149">
        <v>2.2000000000000002</v>
      </c>
      <c r="V2046" s="149">
        <v>0.33999999999999997</v>
      </c>
      <c r="W2046" s="137">
        <v>0.35</v>
      </c>
      <c r="X2046" s="152">
        <v>0.19039999999999999</v>
      </c>
      <c r="Y2046" s="150">
        <f t="shared" si="144"/>
        <v>1.3276000000000001</v>
      </c>
      <c r="Z2046" s="152">
        <f t="shared" si="142"/>
        <v>3.97</v>
      </c>
      <c r="AA2046" s="150">
        <f t="shared" si="143"/>
        <v>3.2103999999999999</v>
      </c>
      <c r="AB2046" s="150"/>
      <c r="AC2046" s="154"/>
      <c r="AD2046" s="154"/>
      <c r="AE2046" s="154"/>
      <c r="AF2046" s="154"/>
    </row>
    <row r="2047" spans="1:32" x14ac:dyDescent="0.25">
      <c r="A2047" s="142">
        <v>1386</v>
      </c>
      <c r="B2047" s="196" t="s">
        <v>9459</v>
      </c>
      <c r="C2047" s="196" t="s">
        <v>9460</v>
      </c>
      <c r="D2047" s="196" t="s">
        <v>2835</v>
      </c>
      <c r="E2047" s="196" t="s">
        <v>1913</v>
      </c>
      <c r="F2047" s="196">
        <v>2006</v>
      </c>
      <c r="G2047" s="148"/>
      <c r="H2047" s="196" t="s">
        <v>2734</v>
      </c>
      <c r="I2047" s="141" t="s">
        <v>1879</v>
      </c>
      <c r="J2047" s="148"/>
      <c r="K2047" s="196" t="s">
        <v>1881</v>
      </c>
      <c r="L2047" s="141" t="s">
        <v>9461</v>
      </c>
      <c r="M2047" s="196">
        <v>322</v>
      </c>
      <c r="N2047" s="148"/>
      <c r="O2047" s="196" t="s">
        <v>7045</v>
      </c>
      <c r="P2047" s="144">
        <v>417</v>
      </c>
      <c r="Q2047" s="145">
        <f t="shared" si="141"/>
        <v>1.7313999999999996</v>
      </c>
      <c r="R2047" s="203">
        <v>1.2</v>
      </c>
      <c r="S2047" s="139">
        <f>0.79+1.2</f>
        <v>1.99</v>
      </c>
      <c r="T2047" s="149">
        <v>0.13</v>
      </c>
      <c r="U2047" s="149">
        <v>1.9</v>
      </c>
      <c r="V2047" s="149">
        <v>0.33999999999999997</v>
      </c>
      <c r="W2047" s="149">
        <v>0.35</v>
      </c>
      <c r="X2047" s="152">
        <v>0.2114</v>
      </c>
      <c r="Y2047" s="150">
        <f t="shared" si="144"/>
        <v>1.2445120000000001</v>
      </c>
      <c r="Z2047" s="152">
        <f t="shared" si="142"/>
        <v>1.99</v>
      </c>
      <c r="AA2047" s="150">
        <f t="shared" si="143"/>
        <v>2.9313999999999996</v>
      </c>
      <c r="AB2047" s="150"/>
      <c r="AC2047" s="154"/>
      <c r="AD2047" s="154"/>
      <c r="AE2047" s="154"/>
      <c r="AF2047" s="154"/>
    </row>
    <row r="2048" spans="1:32" x14ac:dyDescent="0.25">
      <c r="A2048" s="142">
        <v>2522</v>
      </c>
      <c r="B2048" s="196" t="s">
        <v>9462</v>
      </c>
      <c r="C2048" s="196" t="s">
        <v>9463</v>
      </c>
      <c r="D2048" s="196" t="s">
        <v>9464</v>
      </c>
      <c r="E2048" s="148"/>
      <c r="F2048" s="196">
        <v>1991</v>
      </c>
      <c r="G2048" s="148"/>
      <c r="H2048" s="196" t="s">
        <v>2734</v>
      </c>
      <c r="I2048" s="141" t="s">
        <v>1879</v>
      </c>
      <c r="J2048" s="148"/>
      <c r="K2048" s="196" t="s">
        <v>1881</v>
      </c>
      <c r="L2048" s="141" t="s">
        <v>9465</v>
      </c>
      <c r="M2048" s="196">
        <v>234</v>
      </c>
      <c r="N2048" s="148"/>
      <c r="O2048" s="196" t="s">
        <v>7046</v>
      </c>
      <c r="P2048" s="144">
        <v>344</v>
      </c>
      <c r="Q2048" s="145">
        <f t="shared" si="141"/>
        <v>3.7</v>
      </c>
      <c r="R2048" s="203">
        <v>1.2</v>
      </c>
      <c r="S2048" s="139">
        <v>4.9000000000000004</v>
      </c>
      <c r="T2048" s="149">
        <v>0.13</v>
      </c>
      <c r="U2048" s="149">
        <v>1.9</v>
      </c>
      <c r="V2048" s="149">
        <v>0.33999999999999997</v>
      </c>
      <c r="W2048" s="137">
        <v>0.35</v>
      </c>
      <c r="X2048" s="152">
        <v>0.19039999999999999</v>
      </c>
      <c r="Y2048" s="150">
        <f t="shared" si="144"/>
        <v>1.4020000000000001</v>
      </c>
      <c r="Z2048" s="152">
        <f t="shared" si="142"/>
        <v>4.9000000000000004</v>
      </c>
      <c r="AA2048" s="150">
        <f t="shared" si="143"/>
        <v>2.9103999999999997</v>
      </c>
      <c r="AB2048" s="150"/>
      <c r="AC2048" s="154"/>
      <c r="AD2048" s="154"/>
      <c r="AE2048" s="154"/>
      <c r="AF2048" s="154"/>
    </row>
    <row r="2049" spans="1:32" x14ac:dyDescent="0.25">
      <c r="A2049" s="148"/>
      <c r="B2049" s="196" t="s">
        <v>3121</v>
      </c>
      <c r="C2049" s="196" t="s">
        <v>9466</v>
      </c>
      <c r="D2049" s="196" t="s">
        <v>3332</v>
      </c>
      <c r="E2049" s="148"/>
      <c r="F2049" s="196">
        <v>1990</v>
      </c>
      <c r="G2049" s="148"/>
      <c r="H2049" s="196" t="s">
        <v>2734</v>
      </c>
      <c r="I2049" s="141" t="s">
        <v>1879</v>
      </c>
      <c r="J2049" s="196" t="s">
        <v>2505</v>
      </c>
      <c r="K2049" s="196" t="s">
        <v>1881</v>
      </c>
      <c r="L2049" s="141" t="s">
        <v>9467</v>
      </c>
      <c r="M2049" s="196">
        <v>482</v>
      </c>
      <c r="N2049" s="148"/>
      <c r="O2049" s="196" t="s">
        <v>7047</v>
      </c>
      <c r="P2049" s="144">
        <v>506</v>
      </c>
      <c r="Q2049" s="145">
        <f t="shared" si="141"/>
        <v>1.5104</v>
      </c>
      <c r="R2049" s="203">
        <v>1.7</v>
      </c>
      <c r="S2049" s="139">
        <v>2.8</v>
      </c>
      <c r="T2049" s="149">
        <v>0.13</v>
      </c>
      <c r="U2049" s="149">
        <v>2.2000000000000002</v>
      </c>
      <c r="V2049" s="149">
        <v>0.33999999999999997</v>
      </c>
      <c r="W2049" s="149">
        <v>0.35</v>
      </c>
      <c r="X2049" s="152">
        <v>0.19039999999999999</v>
      </c>
      <c r="Y2049" s="150">
        <f t="shared" si="144"/>
        <v>1.266832</v>
      </c>
      <c r="Z2049" s="152">
        <f t="shared" si="142"/>
        <v>2.8</v>
      </c>
      <c r="AA2049" s="150">
        <f t="shared" si="143"/>
        <v>3.2103999999999999</v>
      </c>
      <c r="AB2049" s="150"/>
      <c r="AC2049" s="154"/>
      <c r="AD2049" s="154"/>
      <c r="AE2049" s="154"/>
      <c r="AF2049" s="154"/>
    </row>
    <row r="2050" spans="1:32" x14ac:dyDescent="0.25">
      <c r="A2050" s="142">
        <v>1327</v>
      </c>
      <c r="B2050" s="196" t="s">
        <v>9468</v>
      </c>
      <c r="C2050" s="196" t="s">
        <v>9469</v>
      </c>
      <c r="D2050" s="196" t="s">
        <v>2609</v>
      </c>
      <c r="E2050" s="148"/>
      <c r="F2050" s="196">
        <v>1978</v>
      </c>
      <c r="G2050" s="148"/>
      <c r="H2050" s="196" t="s">
        <v>2008</v>
      </c>
      <c r="I2050" s="141" t="s">
        <v>1914</v>
      </c>
      <c r="J2050" s="148"/>
      <c r="K2050" s="196" t="s">
        <v>1881</v>
      </c>
      <c r="L2050" s="141" t="s">
        <v>9470</v>
      </c>
      <c r="M2050" s="196">
        <v>142</v>
      </c>
      <c r="N2050" s="148"/>
      <c r="O2050" s="196" t="s">
        <v>7048</v>
      </c>
      <c r="P2050" s="144">
        <v>76</v>
      </c>
      <c r="Q2050" s="145">
        <f t="shared" si="141"/>
        <v>1.7313999999999996</v>
      </c>
      <c r="R2050" s="203">
        <v>1.2</v>
      </c>
      <c r="S2050" s="139">
        <v>2.5</v>
      </c>
      <c r="T2050" s="149">
        <v>0.13</v>
      </c>
      <c r="U2050" s="149">
        <v>1.9</v>
      </c>
      <c r="V2050" s="149">
        <v>0.33999999999999997</v>
      </c>
      <c r="W2050" s="149">
        <v>0.35</v>
      </c>
      <c r="X2050" s="152">
        <v>0.2114</v>
      </c>
      <c r="Y2050" s="150">
        <f t="shared" si="144"/>
        <v>1.2445120000000001</v>
      </c>
      <c r="Z2050" s="152">
        <f t="shared" si="142"/>
        <v>2.5</v>
      </c>
      <c r="AA2050" s="150">
        <f t="shared" si="143"/>
        <v>2.9313999999999996</v>
      </c>
      <c r="AB2050" s="150"/>
      <c r="AC2050" s="154"/>
      <c r="AD2050" s="154"/>
      <c r="AE2050" s="154"/>
      <c r="AF2050" s="154"/>
    </row>
    <row r="2051" spans="1:32" x14ac:dyDescent="0.25">
      <c r="A2051" s="142">
        <v>1327</v>
      </c>
      <c r="B2051" s="196" t="s">
        <v>9471</v>
      </c>
      <c r="C2051" s="196" t="s">
        <v>9472</v>
      </c>
      <c r="D2051" s="196" t="s">
        <v>2309</v>
      </c>
      <c r="E2051" s="196" t="s">
        <v>2032</v>
      </c>
      <c r="F2051" s="196">
        <v>1991</v>
      </c>
      <c r="G2051" s="148"/>
      <c r="H2051" s="196" t="s">
        <v>1878</v>
      </c>
      <c r="I2051" s="141" t="s">
        <v>1879</v>
      </c>
      <c r="J2051" s="196" t="s">
        <v>9473</v>
      </c>
      <c r="K2051" s="196" t="s">
        <v>1881</v>
      </c>
      <c r="L2051" s="141" t="s">
        <v>9474</v>
      </c>
      <c r="M2051" s="196">
        <v>80</v>
      </c>
      <c r="N2051" s="148"/>
      <c r="O2051" s="196" t="s">
        <v>7049</v>
      </c>
      <c r="P2051" s="144">
        <v>127</v>
      </c>
      <c r="Q2051" s="145">
        <f t="shared" si="141"/>
        <v>1.7103999999999997</v>
      </c>
      <c r="R2051" s="203">
        <v>1.2</v>
      </c>
      <c r="S2051" s="139">
        <v>1.84</v>
      </c>
      <c r="T2051" s="149">
        <v>0.13</v>
      </c>
      <c r="U2051" s="149">
        <v>1.9</v>
      </c>
      <c r="V2051" s="149">
        <v>0.33999999999999997</v>
      </c>
      <c r="W2051" s="149">
        <v>0.35</v>
      </c>
      <c r="X2051" s="152">
        <v>0.19039999999999999</v>
      </c>
      <c r="Y2051" s="150">
        <f t="shared" si="144"/>
        <v>1.2428319999999999</v>
      </c>
      <c r="Z2051" s="152">
        <f t="shared" si="142"/>
        <v>1.84</v>
      </c>
      <c r="AA2051" s="150">
        <f t="shared" si="143"/>
        <v>2.9103999999999997</v>
      </c>
      <c r="AB2051" s="150"/>
      <c r="AC2051" s="154"/>
      <c r="AD2051" s="154"/>
      <c r="AE2051" s="154"/>
      <c r="AF2051" s="154"/>
    </row>
    <row r="2052" spans="1:32" x14ac:dyDescent="0.25">
      <c r="A2052" s="142">
        <v>774</v>
      </c>
      <c r="B2052" s="196" t="s">
        <v>9475</v>
      </c>
      <c r="C2052" s="196" t="s">
        <v>9476</v>
      </c>
      <c r="D2052" s="196" t="s">
        <v>2209</v>
      </c>
      <c r="E2052" s="196" t="s">
        <v>1877</v>
      </c>
      <c r="F2052" s="196">
        <v>1982</v>
      </c>
      <c r="G2052" s="148"/>
      <c r="H2052" s="196" t="s">
        <v>1878</v>
      </c>
      <c r="I2052" s="141" t="s">
        <v>1914</v>
      </c>
      <c r="J2052" s="148"/>
      <c r="K2052" s="196" t="s">
        <v>1881</v>
      </c>
      <c r="L2052" s="141" t="s">
        <v>9477</v>
      </c>
      <c r="M2052" s="196">
        <v>416</v>
      </c>
      <c r="N2052" s="148"/>
      <c r="O2052" s="196" t="s">
        <v>7050</v>
      </c>
      <c r="P2052" s="144">
        <v>277</v>
      </c>
      <c r="Q2052" s="145">
        <f t="shared" si="141"/>
        <v>1.7103999999999997</v>
      </c>
      <c r="R2052" s="203">
        <v>1.2</v>
      </c>
      <c r="S2052" s="139">
        <v>2.9</v>
      </c>
      <c r="T2052" s="149">
        <v>0.13</v>
      </c>
      <c r="U2052" s="149">
        <v>1.9</v>
      </c>
      <c r="V2052" s="149">
        <v>0.33999999999999997</v>
      </c>
      <c r="W2052" s="149">
        <v>0.35</v>
      </c>
      <c r="X2052" s="152">
        <v>0.19039999999999999</v>
      </c>
      <c r="Y2052" s="150">
        <f t="shared" si="144"/>
        <v>1.2428319999999999</v>
      </c>
      <c r="Z2052" s="152">
        <f t="shared" si="142"/>
        <v>2.9</v>
      </c>
      <c r="AA2052" s="150">
        <f t="shared" si="143"/>
        <v>2.9103999999999997</v>
      </c>
      <c r="AB2052" s="150"/>
      <c r="AC2052" s="154"/>
      <c r="AD2052" s="154"/>
      <c r="AE2052" s="154"/>
      <c r="AF2052" s="154"/>
    </row>
    <row r="2053" spans="1:32" x14ac:dyDescent="0.25">
      <c r="A2053" s="142">
        <v>1324</v>
      </c>
      <c r="B2053" s="196" t="s">
        <v>9478</v>
      </c>
      <c r="C2053" s="196" t="s">
        <v>9479</v>
      </c>
      <c r="D2053" s="196" t="s">
        <v>2257</v>
      </c>
      <c r="E2053" s="148"/>
      <c r="F2053" s="196">
        <v>2001</v>
      </c>
      <c r="G2053" s="148"/>
      <c r="H2053" s="196" t="s">
        <v>1878</v>
      </c>
      <c r="I2053" s="141" t="s">
        <v>1879</v>
      </c>
      <c r="J2053" s="148"/>
      <c r="K2053" s="196" t="s">
        <v>1881</v>
      </c>
      <c r="L2053" s="141" t="s">
        <v>9480</v>
      </c>
      <c r="M2053" s="196">
        <v>144</v>
      </c>
      <c r="N2053" s="148"/>
      <c r="O2053" s="196" t="s">
        <v>7051</v>
      </c>
      <c r="P2053" s="144">
        <v>132</v>
      </c>
      <c r="Q2053" s="145">
        <f t="shared" si="141"/>
        <v>1.7103999999999997</v>
      </c>
      <c r="R2053" s="203">
        <v>1.2</v>
      </c>
      <c r="S2053" s="139">
        <v>2</v>
      </c>
      <c r="T2053" s="149">
        <v>0.13</v>
      </c>
      <c r="U2053" s="149">
        <v>1.9</v>
      </c>
      <c r="V2053" s="149">
        <v>0.33999999999999997</v>
      </c>
      <c r="W2053" s="149">
        <v>0.35</v>
      </c>
      <c r="X2053" s="152">
        <v>0.19039999999999999</v>
      </c>
      <c r="Y2053" s="150">
        <f t="shared" si="144"/>
        <v>1.2428319999999999</v>
      </c>
      <c r="Z2053" s="152">
        <f t="shared" si="142"/>
        <v>2</v>
      </c>
      <c r="AA2053" s="150">
        <f t="shared" si="143"/>
        <v>2.9103999999999997</v>
      </c>
      <c r="AB2053" s="150"/>
      <c r="AC2053" s="154"/>
      <c r="AD2053" s="154"/>
      <c r="AE2053" s="154"/>
      <c r="AF2053" s="154"/>
    </row>
    <row r="2054" spans="1:32" x14ac:dyDescent="0.25">
      <c r="A2054" s="142">
        <v>692</v>
      </c>
      <c r="B2054" s="196" t="s">
        <v>9481</v>
      </c>
      <c r="C2054" s="196" t="s">
        <v>9482</v>
      </c>
      <c r="D2054" s="196" t="s">
        <v>1912</v>
      </c>
      <c r="E2054" s="196" t="s">
        <v>1899</v>
      </c>
      <c r="F2054" s="196">
        <v>1993</v>
      </c>
      <c r="G2054" s="148"/>
      <c r="H2054" s="196" t="s">
        <v>1878</v>
      </c>
      <c r="I2054" s="141" t="s">
        <v>1914</v>
      </c>
      <c r="J2054" s="148"/>
      <c r="K2054" s="196" t="s">
        <v>1881</v>
      </c>
      <c r="L2054" s="141" t="s">
        <v>9483</v>
      </c>
      <c r="M2054" s="196">
        <v>146</v>
      </c>
      <c r="N2054" s="148"/>
      <c r="O2054" s="196" t="s">
        <v>7052</v>
      </c>
      <c r="P2054" s="144">
        <v>128</v>
      </c>
      <c r="Q2054" s="145">
        <f t="shared" si="141"/>
        <v>1.7103999999999997</v>
      </c>
      <c r="R2054" s="203">
        <v>1.2</v>
      </c>
      <c r="S2054" s="139">
        <v>1.65</v>
      </c>
      <c r="T2054" s="149">
        <v>0.13</v>
      </c>
      <c r="U2054" s="149">
        <v>1.9</v>
      </c>
      <c r="V2054" s="149">
        <v>0.33999999999999997</v>
      </c>
      <c r="W2054" s="149">
        <v>0.35</v>
      </c>
      <c r="X2054" s="152">
        <v>0.19039999999999999</v>
      </c>
      <c r="Y2054" s="150">
        <f t="shared" si="144"/>
        <v>1.2428319999999999</v>
      </c>
      <c r="Z2054" s="152">
        <f t="shared" si="142"/>
        <v>1.65</v>
      </c>
      <c r="AA2054" s="150">
        <f t="shared" si="143"/>
        <v>2.9103999999999997</v>
      </c>
      <c r="AB2054" s="150"/>
      <c r="AC2054" s="154"/>
      <c r="AD2054" s="154"/>
      <c r="AE2054" s="154"/>
      <c r="AF2054" s="154"/>
    </row>
    <row r="2055" spans="1:32" x14ac:dyDescent="0.25">
      <c r="A2055" s="142">
        <v>692</v>
      </c>
      <c r="B2055" s="196" t="s">
        <v>9484</v>
      </c>
      <c r="C2055" s="196" t="s">
        <v>9485</v>
      </c>
      <c r="D2055" s="196" t="s">
        <v>2609</v>
      </c>
      <c r="E2055" s="148"/>
      <c r="F2055" s="196">
        <v>1990</v>
      </c>
      <c r="G2055" s="148"/>
      <c r="H2055" s="196" t="s">
        <v>1878</v>
      </c>
      <c r="I2055" s="141" t="s">
        <v>1879</v>
      </c>
      <c r="J2055" s="148"/>
      <c r="K2055" s="196" t="s">
        <v>1881</v>
      </c>
      <c r="L2055" s="141" t="s">
        <v>9486</v>
      </c>
      <c r="M2055" s="196">
        <v>128</v>
      </c>
      <c r="N2055" s="148"/>
      <c r="O2055" s="196" t="s">
        <v>7053</v>
      </c>
      <c r="P2055" s="144">
        <v>93</v>
      </c>
      <c r="Q2055" s="145">
        <f t="shared" si="141"/>
        <v>1.7103999999999997</v>
      </c>
      <c r="R2055" s="203">
        <v>1.2</v>
      </c>
      <c r="S2055" s="139">
        <v>1.45</v>
      </c>
      <c r="T2055" s="149">
        <v>0.13</v>
      </c>
      <c r="U2055" s="149">
        <v>1.9</v>
      </c>
      <c r="V2055" s="149">
        <v>0.33999999999999997</v>
      </c>
      <c r="W2055" s="149">
        <v>0.35</v>
      </c>
      <c r="X2055" s="152">
        <v>0.19039999999999999</v>
      </c>
      <c r="Y2055" s="150">
        <f t="shared" si="144"/>
        <v>1.2428319999999999</v>
      </c>
      <c r="Z2055" s="152">
        <f t="shared" si="142"/>
        <v>1.45</v>
      </c>
      <c r="AA2055" s="150">
        <f t="shared" si="143"/>
        <v>2.9103999999999997</v>
      </c>
      <c r="AB2055" s="150"/>
      <c r="AC2055" s="154"/>
      <c r="AD2055" s="154"/>
      <c r="AE2055" s="154"/>
      <c r="AF2055" s="154"/>
    </row>
    <row r="2056" spans="1:32" x14ac:dyDescent="0.25">
      <c r="A2056" s="142">
        <v>284</v>
      </c>
      <c r="B2056" s="148"/>
      <c r="C2056" s="196" t="s">
        <v>9487</v>
      </c>
      <c r="D2056" s="148"/>
      <c r="E2056" s="148"/>
      <c r="F2056" s="148"/>
      <c r="G2056" s="148"/>
      <c r="H2056" s="196" t="s">
        <v>1878</v>
      </c>
      <c r="I2056" s="141" t="s">
        <v>1879</v>
      </c>
      <c r="J2056" s="148"/>
      <c r="K2056" s="196" t="s">
        <v>1881</v>
      </c>
      <c r="L2056" s="141" t="s">
        <v>9488</v>
      </c>
      <c r="M2056" s="196">
        <v>484</v>
      </c>
      <c r="N2056" s="148"/>
      <c r="O2056" s="196" t="s">
        <v>7054</v>
      </c>
      <c r="P2056" s="144">
        <v>250</v>
      </c>
      <c r="Q2056" s="145">
        <f t="shared" si="141"/>
        <v>2.2000000000000002</v>
      </c>
      <c r="R2056" s="203">
        <v>1.2</v>
      </c>
      <c r="S2056" s="139">
        <v>3.4</v>
      </c>
      <c r="T2056" s="149">
        <v>0.13</v>
      </c>
      <c r="U2056" s="149">
        <v>1.9</v>
      </c>
      <c r="V2056" s="149">
        <v>0.33999999999999997</v>
      </c>
      <c r="W2056" s="137">
        <v>0.35</v>
      </c>
      <c r="X2056" s="152">
        <v>0.19039999999999999</v>
      </c>
      <c r="Y2056" s="150">
        <f t="shared" si="144"/>
        <v>1.282</v>
      </c>
      <c r="Z2056" s="152">
        <f t="shared" si="142"/>
        <v>3.4</v>
      </c>
      <c r="AA2056" s="150">
        <f t="shared" si="143"/>
        <v>2.9103999999999997</v>
      </c>
      <c r="AB2056" s="150"/>
      <c r="AC2056" s="154"/>
      <c r="AD2056" s="154"/>
      <c r="AE2056" s="154"/>
      <c r="AF2056" s="154"/>
    </row>
    <row r="2057" spans="1:32" x14ac:dyDescent="0.25">
      <c r="A2057" s="138">
        <v>796</v>
      </c>
      <c r="B2057" s="196" t="s">
        <v>7334</v>
      </c>
      <c r="C2057" s="196" t="s">
        <v>9489</v>
      </c>
      <c r="D2057" s="196" t="s">
        <v>9490</v>
      </c>
      <c r="E2057" s="148"/>
      <c r="F2057" s="196">
        <v>1992</v>
      </c>
      <c r="G2057" s="148"/>
      <c r="H2057" s="196" t="s">
        <v>2734</v>
      </c>
      <c r="I2057" s="141" t="s">
        <v>1879</v>
      </c>
      <c r="J2057" s="148"/>
      <c r="K2057" s="196" t="s">
        <v>1881</v>
      </c>
      <c r="L2057" s="148"/>
      <c r="M2057" s="196">
        <v>319</v>
      </c>
      <c r="N2057" s="148"/>
      <c r="O2057" s="196" t="s">
        <v>7055</v>
      </c>
      <c r="P2057" s="144">
        <v>504</v>
      </c>
      <c r="Q2057" s="145">
        <f t="shared" si="141"/>
        <v>1.5104</v>
      </c>
      <c r="R2057" s="203">
        <v>1.7</v>
      </c>
      <c r="S2057" s="139">
        <v>1.45</v>
      </c>
      <c r="T2057" s="149">
        <v>0.13</v>
      </c>
      <c r="U2057" s="149">
        <v>2.2000000000000002</v>
      </c>
      <c r="V2057" s="149">
        <v>0.33999999999999997</v>
      </c>
      <c r="W2057" s="149">
        <v>0.35</v>
      </c>
      <c r="X2057" s="152">
        <v>0.19039999999999999</v>
      </c>
      <c r="Y2057" s="150">
        <f t="shared" si="144"/>
        <v>1.266832</v>
      </c>
      <c r="Z2057" s="152">
        <f t="shared" si="142"/>
        <v>1.45</v>
      </c>
      <c r="AA2057" s="150">
        <f t="shared" si="143"/>
        <v>3.2103999999999999</v>
      </c>
      <c r="AB2057" s="150"/>
      <c r="AC2057" s="154"/>
      <c r="AD2057" s="154"/>
      <c r="AE2057" s="154"/>
      <c r="AF2057" s="154"/>
    </row>
    <row r="2058" spans="1:32" x14ac:dyDescent="0.25">
      <c r="A2058" s="142">
        <v>796</v>
      </c>
      <c r="B2058" s="196" t="s">
        <v>9291</v>
      </c>
      <c r="C2058" s="196" t="s">
        <v>9491</v>
      </c>
      <c r="D2058" s="196" t="s">
        <v>2257</v>
      </c>
      <c r="E2058" s="148"/>
      <c r="F2058" s="196">
        <v>2008</v>
      </c>
      <c r="G2058" s="148"/>
      <c r="H2058" s="196" t="s">
        <v>1878</v>
      </c>
      <c r="I2058" s="141" t="s">
        <v>7527</v>
      </c>
      <c r="J2058" s="196" t="s">
        <v>9492</v>
      </c>
      <c r="K2058" s="196" t="s">
        <v>1881</v>
      </c>
      <c r="L2058" s="141" t="s">
        <v>9493</v>
      </c>
      <c r="M2058" s="196">
        <v>331</v>
      </c>
      <c r="N2058" s="148"/>
      <c r="O2058" s="196" t="s">
        <v>7056</v>
      </c>
      <c r="P2058" s="144">
        <v>296</v>
      </c>
      <c r="Q2058" s="145">
        <f t="shared" si="141"/>
        <v>1.7313999999999996</v>
      </c>
      <c r="R2058" s="203">
        <v>1.2</v>
      </c>
      <c r="S2058" s="139">
        <v>1.55</v>
      </c>
      <c r="T2058" s="149">
        <v>0.13</v>
      </c>
      <c r="U2058" s="149">
        <v>1.9</v>
      </c>
      <c r="V2058" s="149">
        <v>0.33999999999999997</v>
      </c>
      <c r="W2058" s="149">
        <v>0.35</v>
      </c>
      <c r="X2058" s="152">
        <v>0.2114</v>
      </c>
      <c r="Y2058" s="150">
        <f t="shared" si="144"/>
        <v>1.2445120000000001</v>
      </c>
      <c r="Z2058" s="152">
        <f t="shared" si="142"/>
        <v>1.55</v>
      </c>
      <c r="AA2058" s="150">
        <f t="shared" si="143"/>
        <v>2.9313999999999996</v>
      </c>
      <c r="AB2058" s="150"/>
      <c r="AC2058" s="154"/>
      <c r="AD2058" s="154"/>
      <c r="AE2058" s="154"/>
      <c r="AF2058" s="154"/>
    </row>
    <row r="2059" spans="1:32" x14ac:dyDescent="0.25">
      <c r="A2059" s="138">
        <v>689</v>
      </c>
      <c r="B2059" s="196" t="s">
        <v>2242</v>
      </c>
      <c r="C2059" s="196" t="s">
        <v>9494</v>
      </c>
      <c r="D2059" s="196" t="s">
        <v>2054</v>
      </c>
      <c r="E2059" s="148"/>
      <c r="F2059" s="196">
        <v>2008</v>
      </c>
      <c r="G2059" s="148"/>
      <c r="H2059" s="196" t="s">
        <v>2734</v>
      </c>
      <c r="I2059" s="141" t="s">
        <v>1879</v>
      </c>
      <c r="J2059" s="196" t="s">
        <v>9495</v>
      </c>
      <c r="K2059" s="196" t="s">
        <v>1881</v>
      </c>
      <c r="L2059" s="141" t="s">
        <v>9496</v>
      </c>
      <c r="M2059" s="196">
        <v>493</v>
      </c>
      <c r="N2059" s="148"/>
      <c r="O2059" s="196" t="s">
        <v>7057</v>
      </c>
      <c r="P2059" s="144">
        <v>560</v>
      </c>
      <c r="Q2059" s="145">
        <f t="shared" si="141"/>
        <v>1.5104</v>
      </c>
      <c r="R2059" s="203">
        <v>1.7</v>
      </c>
      <c r="S2059" s="139">
        <v>2.25</v>
      </c>
      <c r="T2059" s="149">
        <v>0.13</v>
      </c>
      <c r="U2059" s="149">
        <v>2.2000000000000002</v>
      </c>
      <c r="V2059" s="149">
        <v>0.33999999999999997</v>
      </c>
      <c r="W2059" s="149">
        <v>0.35</v>
      </c>
      <c r="X2059" s="152">
        <v>0.19039999999999999</v>
      </c>
      <c r="Y2059" s="150">
        <f t="shared" si="144"/>
        <v>1.266832</v>
      </c>
      <c r="Z2059" s="152">
        <f t="shared" si="142"/>
        <v>2.25</v>
      </c>
      <c r="AA2059" s="150">
        <f t="shared" si="143"/>
        <v>3.2103999999999999</v>
      </c>
      <c r="AB2059" s="150"/>
      <c r="AC2059" s="154"/>
      <c r="AD2059" s="154"/>
      <c r="AE2059" s="154"/>
      <c r="AF2059" s="154"/>
    </row>
    <row r="2060" spans="1:32" x14ac:dyDescent="0.25">
      <c r="A2060" s="138">
        <v>609</v>
      </c>
      <c r="B2060" s="196" t="s">
        <v>9497</v>
      </c>
      <c r="C2060" s="196" t="s">
        <v>9498</v>
      </c>
      <c r="D2060" s="196" t="s">
        <v>3212</v>
      </c>
      <c r="E2060" s="148"/>
      <c r="F2060" s="196">
        <v>1998</v>
      </c>
      <c r="G2060" s="148"/>
      <c r="H2060" s="196" t="s">
        <v>2734</v>
      </c>
      <c r="I2060" s="141" t="s">
        <v>1879</v>
      </c>
      <c r="J2060" s="148"/>
      <c r="K2060" s="196" t="s">
        <v>1881</v>
      </c>
      <c r="L2060" s="141" t="s">
        <v>9499</v>
      </c>
      <c r="M2060" s="196">
        <v>303</v>
      </c>
      <c r="N2060" s="148"/>
      <c r="O2060" s="196" t="s">
        <v>7058</v>
      </c>
      <c r="P2060" s="144">
        <v>676</v>
      </c>
      <c r="Q2060" s="145">
        <f t="shared" ref="Q2060:Q2085" si="145">IF(Z2060&gt;AA2060,Z2060,AA2060)-R2060</f>
        <v>1.5313999999999999</v>
      </c>
      <c r="R2060" s="203">
        <v>1.7</v>
      </c>
      <c r="S2060" s="139">
        <v>3.1</v>
      </c>
      <c r="T2060" s="149">
        <v>0.13</v>
      </c>
      <c r="U2060" s="149">
        <v>2.2000000000000002</v>
      </c>
      <c r="V2060" s="149">
        <v>0.33999999999999997</v>
      </c>
      <c r="W2060" s="137">
        <v>0.35</v>
      </c>
      <c r="X2060" s="152">
        <v>0.2114</v>
      </c>
      <c r="Y2060" s="150">
        <f t="shared" si="144"/>
        <v>1.2685119999999999</v>
      </c>
      <c r="Z2060" s="152">
        <f t="shared" si="142"/>
        <v>3.1</v>
      </c>
      <c r="AA2060" s="150">
        <f t="shared" si="143"/>
        <v>3.2313999999999998</v>
      </c>
      <c r="AB2060" s="150"/>
      <c r="AC2060" s="154"/>
      <c r="AD2060" s="154"/>
      <c r="AE2060" s="154"/>
      <c r="AF2060" s="154"/>
    </row>
    <row r="2061" spans="1:32" x14ac:dyDescent="0.25">
      <c r="A2061" s="138">
        <v>689</v>
      </c>
      <c r="B2061" s="196" t="s">
        <v>9500</v>
      </c>
      <c r="C2061" s="196" t="s">
        <v>9501</v>
      </c>
      <c r="D2061" s="196" t="s">
        <v>3116</v>
      </c>
      <c r="E2061" s="196" t="s">
        <v>1877</v>
      </c>
      <c r="F2061" s="196">
        <v>2008</v>
      </c>
      <c r="G2061" s="148"/>
      <c r="H2061" s="196" t="s">
        <v>2734</v>
      </c>
      <c r="I2061" s="141" t="s">
        <v>7527</v>
      </c>
      <c r="J2061" s="148"/>
      <c r="K2061" s="196" t="s">
        <v>1881</v>
      </c>
      <c r="L2061" s="141" t="s">
        <v>9502</v>
      </c>
      <c r="M2061" s="196">
        <v>503</v>
      </c>
      <c r="N2061" s="148"/>
      <c r="O2061" s="196" t="s">
        <v>7059</v>
      </c>
      <c r="P2061" s="144">
        <v>826</v>
      </c>
      <c r="Q2061" s="145">
        <f t="shared" si="145"/>
        <v>1.5313999999999999</v>
      </c>
      <c r="R2061" s="203">
        <v>1.7</v>
      </c>
      <c r="S2061" s="139">
        <f>1.9+0.75</f>
        <v>2.65</v>
      </c>
      <c r="T2061" s="149">
        <v>0.13</v>
      </c>
      <c r="U2061" s="149">
        <v>2.2000000000000002</v>
      </c>
      <c r="V2061" s="149">
        <v>0.33999999999999997</v>
      </c>
      <c r="W2061" s="149">
        <v>0.35</v>
      </c>
      <c r="X2061" s="152">
        <v>0.2114</v>
      </c>
      <c r="Y2061" s="150">
        <f t="shared" si="144"/>
        <v>1.2685119999999999</v>
      </c>
      <c r="Z2061" s="152">
        <f t="shared" si="142"/>
        <v>2.65</v>
      </c>
      <c r="AA2061" s="150">
        <f t="shared" si="143"/>
        <v>3.2313999999999998</v>
      </c>
      <c r="AB2061" s="150"/>
      <c r="AC2061" s="154"/>
      <c r="AD2061" s="154"/>
      <c r="AE2061" s="154"/>
      <c r="AF2061" s="154"/>
    </row>
    <row r="2062" spans="1:32" x14ac:dyDescent="0.25">
      <c r="A2062" s="138">
        <v>2547</v>
      </c>
      <c r="B2062" s="196" t="s">
        <v>9503</v>
      </c>
      <c r="C2062" s="196" t="s">
        <v>9504</v>
      </c>
      <c r="D2062" s="196" t="s">
        <v>1920</v>
      </c>
      <c r="E2062" s="148"/>
      <c r="F2062" s="196">
        <v>2002</v>
      </c>
      <c r="G2062" s="148"/>
      <c r="H2062" s="196" t="s">
        <v>1878</v>
      </c>
      <c r="I2062" s="141" t="s">
        <v>1914</v>
      </c>
      <c r="J2062" s="196" t="s">
        <v>9196</v>
      </c>
      <c r="K2062" s="196" t="s">
        <v>1881</v>
      </c>
      <c r="L2062" s="141" t="s">
        <v>9505</v>
      </c>
      <c r="M2062" s="196">
        <v>348</v>
      </c>
      <c r="N2062" s="148"/>
      <c r="O2062" s="196" t="s">
        <v>7060</v>
      </c>
      <c r="P2062" s="144">
        <v>382</v>
      </c>
      <c r="Q2062" s="145">
        <f t="shared" si="145"/>
        <v>1.7313999999999996</v>
      </c>
      <c r="R2062" s="203">
        <v>1.2</v>
      </c>
      <c r="S2062" s="139">
        <v>2.4</v>
      </c>
      <c r="T2062" s="149">
        <v>0.13</v>
      </c>
      <c r="U2062" s="149">
        <v>1.9</v>
      </c>
      <c r="V2062" s="149">
        <v>0.33999999999999997</v>
      </c>
      <c r="W2062" s="149">
        <v>0.35</v>
      </c>
      <c r="X2062" s="152">
        <v>0.2114</v>
      </c>
      <c r="Y2062" s="150">
        <f t="shared" si="144"/>
        <v>1.2445120000000001</v>
      </c>
      <c r="Z2062" s="152">
        <f t="shared" si="142"/>
        <v>2.4</v>
      </c>
      <c r="AA2062" s="150">
        <f t="shared" si="143"/>
        <v>2.9313999999999996</v>
      </c>
      <c r="AB2062" s="150"/>
      <c r="AC2062" s="154"/>
      <c r="AD2062" s="154"/>
      <c r="AE2062" s="154"/>
      <c r="AF2062" s="154"/>
    </row>
    <row r="2063" spans="1:32" x14ac:dyDescent="0.25">
      <c r="A2063" s="138">
        <v>1386</v>
      </c>
      <c r="B2063" s="196" t="s">
        <v>9506</v>
      </c>
      <c r="C2063" s="196" t="s">
        <v>9507</v>
      </c>
      <c r="D2063" s="196" t="s">
        <v>1920</v>
      </c>
      <c r="E2063" s="148"/>
      <c r="F2063" s="196">
        <v>2018</v>
      </c>
      <c r="G2063" s="148"/>
      <c r="H2063" s="196" t="s">
        <v>1878</v>
      </c>
      <c r="I2063" s="141" t="s">
        <v>8132</v>
      </c>
      <c r="J2063" s="196" t="s">
        <v>9196</v>
      </c>
      <c r="K2063" s="196" t="s">
        <v>1881</v>
      </c>
      <c r="L2063" s="141" t="s">
        <v>9508</v>
      </c>
      <c r="M2063" s="196">
        <v>589</v>
      </c>
      <c r="N2063" s="148"/>
      <c r="O2063" s="196" t="s">
        <v>7061</v>
      </c>
      <c r="P2063" s="144">
        <v>392</v>
      </c>
      <c r="Q2063" s="145">
        <f t="shared" si="145"/>
        <v>2.2000000000000002</v>
      </c>
      <c r="R2063" s="203">
        <v>1.2</v>
      </c>
      <c r="S2063" s="139">
        <v>3.4</v>
      </c>
      <c r="T2063" s="149">
        <v>0.13</v>
      </c>
      <c r="U2063" s="149">
        <v>1.9</v>
      </c>
      <c r="V2063" s="149">
        <v>0.33999999999999997</v>
      </c>
      <c r="W2063" s="137">
        <v>0.35</v>
      </c>
      <c r="X2063" s="152">
        <v>0.19039999999999999</v>
      </c>
      <c r="Y2063" s="150">
        <f t="shared" si="144"/>
        <v>1.282</v>
      </c>
      <c r="Z2063" s="152">
        <f t="shared" si="142"/>
        <v>3.4</v>
      </c>
      <c r="AA2063" s="150">
        <f t="shared" si="143"/>
        <v>2.9103999999999997</v>
      </c>
      <c r="AB2063" s="150"/>
      <c r="AC2063" s="154"/>
      <c r="AD2063" s="154"/>
      <c r="AE2063" s="154"/>
      <c r="AF2063" s="154"/>
    </row>
    <row r="2064" spans="1:32" x14ac:dyDescent="0.25">
      <c r="A2064" s="138">
        <v>1386</v>
      </c>
      <c r="B2064" s="196" t="s">
        <v>9509</v>
      </c>
      <c r="C2064" s="196" t="s">
        <v>9510</v>
      </c>
      <c r="D2064" s="196" t="s">
        <v>9511</v>
      </c>
      <c r="E2064" s="148"/>
      <c r="F2064" s="196">
        <v>2003</v>
      </c>
      <c r="G2064" s="148"/>
      <c r="H2064" s="196" t="s">
        <v>2734</v>
      </c>
      <c r="I2064" s="141" t="s">
        <v>1879</v>
      </c>
      <c r="J2064" s="148"/>
      <c r="K2064" s="196" t="s">
        <v>1881</v>
      </c>
      <c r="L2064" s="141" t="s">
        <v>9512</v>
      </c>
      <c r="M2064" s="196">
        <v>359</v>
      </c>
      <c r="N2064" s="148"/>
      <c r="O2064" s="196" t="s">
        <v>7062</v>
      </c>
      <c r="P2064" s="144">
        <v>783</v>
      </c>
      <c r="Q2064" s="145">
        <f t="shared" si="145"/>
        <v>1.5104</v>
      </c>
      <c r="R2064" s="203">
        <v>1.7</v>
      </c>
      <c r="S2064" s="139">
        <v>2.85</v>
      </c>
      <c r="T2064" s="149">
        <v>0.13</v>
      </c>
      <c r="U2064" s="149">
        <v>2.2000000000000002</v>
      </c>
      <c r="V2064" s="149">
        <v>0.33999999999999997</v>
      </c>
      <c r="W2064" s="149">
        <v>0.35</v>
      </c>
      <c r="X2064" s="152">
        <v>0.19039999999999999</v>
      </c>
      <c r="Y2064" s="150">
        <f t="shared" si="144"/>
        <v>1.266832</v>
      </c>
      <c r="Z2064" s="152">
        <f t="shared" si="142"/>
        <v>2.85</v>
      </c>
      <c r="AA2064" s="150">
        <f t="shared" si="143"/>
        <v>3.2103999999999999</v>
      </c>
      <c r="AB2064" s="150"/>
      <c r="AC2064" s="154"/>
      <c r="AD2064" s="154"/>
      <c r="AE2064" s="154"/>
      <c r="AF2064" s="154"/>
    </row>
    <row r="2065" spans="1:32" x14ac:dyDescent="0.25">
      <c r="A2065" s="138">
        <v>2553</v>
      </c>
      <c r="B2065" s="196" t="s">
        <v>9513</v>
      </c>
      <c r="C2065" s="196" t="s">
        <v>9514</v>
      </c>
      <c r="D2065" s="196" t="s">
        <v>9515</v>
      </c>
      <c r="E2065" s="148"/>
      <c r="F2065" s="196">
        <v>2016</v>
      </c>
      <c r="G2065" s="148"/>
      <c r="H2065" s="196" t="s">
        <v>1878</v>
      </c>
      <c r="I2065" s="141" t="s">
        <v>1879</v>
      </c>
      <c r="J2065" s="196" t="s">
        <v>9495</v>
      </c>
      <c r="K2065" s="196" t="s">
        <v>1881</v>
      </c>
      <c r="L2065" s="141" t="s">
        <v>9516</v>
      </c>
      <c r="M2065" s="196">
        <v>380</v>
      </c>
      <c r="N2065" s="148"/>
      <c r="O2065" s="196" t="s">
        <v>7063</v>
      </c>
      <c r="P2065" s="144">
        <v>325</v>
      </c>
      <c r="Q2065" s="145">
        <f t="shared" si="145"/>
        <v>1.9000000000000001</v>
      </c>
      <c r="R2065" s="203">
        <v>1.2</v>
      </c>
      <c r="S2065" s="139">
        <v>3.1</v>
      </c>
      <c r="T2065" s="149">
        <v>0.13</v>
      </c>
      <c r="U2065" s="149">
        <v>1.9</v>
      </c>
      <c r="V2065" s="149">
        <v>0.33999999999999997</v>
      </c>
      <c r="W2065" s="137">
        <v>0.35</v>
      </c>
      <c r="X2065" s="152">
        <v>0.2114</v>
      </c>
      <c r="Y2065" s="150">
        <f t="shared" si="144"/>
        <v>1.258</v>
      </c>
      <c r="Z2065" s="152">
        <f t="shared" si="142"/>
        <v>3.1</v>
      </c>
      <c r="AA2065" s="150">
        <f t="shared" si="143"/>
        <v>2.9313999999999996</v>
      </c>
      <c r="AB2065" s="150"/>
      <c r="AC2065" s="154"/>
      <c r="AD2065" s="154"/>
      <c r="AE2065" s="154"/>
      <c r="AF2065" s="154"/>
    </row>
    <row r="2066" spans="1:32" x14ac:dyDescent="0.25">
      <c r="A2066" s="138">
        <v>2522</v>
      </c>
      <c r="B2066" s="196" t="s">
        <v>9517</v>
      </c>
      <c r="C2066" s="196" t="s">
        <v>9518</v>
      </c>
      <c r="D2066" s="196" t="s">
        <v>1979</v>
      </c>
      <c r="E2066" s="148"/>
      <c r="F2066" s="196">
        <v>2011</v>
      </c>
      <c r="G2066" s="148"/>
      <c r="H2066" s="196" t="s">
        <v>1878</v>
      </c>
      <c r="I2066" s="141" t="s">
        <v>1879</v>
      </c>
      <c r="J2066" s="148"/>
      <c r="K2066" s="196" t="s">
        <v>1881</v>
      </c>
      <c r="L2066" s="141" t="s">
        <v>9519</v>
      </c>
      <c r="M2066" s="196">
        <v>469</v>
      </c>
      <c r="N2066" s="148"/>
      <c r="O2066" s="196" t="s">
        <v>7064</v>
      </c>
      <c r="P2066" s="144">
        <v>530</v>
      </c>
      <c r="Q2066" s="145">
        <f t="shared" si="145"/>
        <v>1.5104</v>
      </c>
      <c r="R2066" s="203">
        <v>1.7</v>
      </c>
      <c r="S2066" s="139">
        <v>1.55</v>
      </c>
      <c r="T2066" s="149">
        <v>0.13</v>
      </c>
      <c r="U2066" s="149">
        <v>2.2000000000000002</v>
      </c>
      <c r="V2066" s="149">
        <v>0.33999999999999997</v>
      </c>
      <c r="W2066" s="149">
        <v>0.35</v>
      </c>
      <c r="X2066" s="152">
        <v>0.19039999999999999</v>
      </c>
      <c r="Y2066" s="150">
        <f t="shared" si="144"/>
        <v>1.266832</v>
      </c>
      <c r="Z2066" s="152">
        <f t="shared" si="142"/>
        <v>1.55</v>
      </c>
      <c r="AA2066" s="150">
        <f t="shared" si="143"/>
        <v>3.2103999999999999</v>
      </c>
      <c r="AB2066" s="150"/>
      <c r="AC2066" s="154"/>
      <c r="AD2066" s="154"/>
      <c r="AE2066" s="154"/>
      <c r="AF2066" s="154"/>
    </row>
    <row r="2067" spans="1:32" x14ac:dyDescent="0.25">
      <c r="A2067" s="138">
        <v>548</v>
      </c>
      <c r="B2067" s="196" t="s">
        <v>9520</v>
      </c>
      <c r="C2067" s="196" t="s">
        <v>9521</v>
      </c>
      <c r="D2067" s="196" t="s">
        <v>9032</v>
      </c>
      <c r="E2067" s="196" t="s">
        <v>1913</v>
      </c>
      <c r="F2067" s="196">
        <v>1999</v>
      </c>
      <c r="G2067" s="148"/>
      <c r="H2067" s="196" t="s">
        <v>1878</v>
      </c>
      <c r="I2067" s="141" t="s">
        <v>1879</v>
      </c>
      <c r="J2067" s="148"/>
      <c r="K2067" s="196" t="s">
        <v>1881</v>
      </c>
      <c r="L2067" s="141" t="s">
        <v>9522</v>
      </c>
      <c r="M2067" s="196">
        <v>186</v>
      </c>
      <c r="N2067" s="148"/>
      <c r="O2067" s="196" t="s">
        <v>7065</v>
      </c>
      <c r="P2067" s="144">
        <v>201</v>
      </c>
      <c r="Q2067" s="145">
        <f t="shared" si="145"/>
        <v>1.7313999999999996</v>
      </c>
      <c r="R2067" s="203">
        <v>1.2</v>
      </c>
      <c r="S2067" s="139">
        <v>2.35</v>
      </c>
      <c r="T2067" s="149">
        <v>0.13</v>
      </c>
      <c r="U2067" s="149">
        <v>1.9</v>
      </c>
      <c r="V2067" s="149">
        <v>0.33999999999999997</v>
      </c>
      <c r="W2067" s="149">
        <v>0.35</v>
      </c>
      <c r="X2067" s="152">
        <v>0.2114</v>
      </c>
      <c r="Y2067" s="150">
        <f t="shared" si="144"/>
        <v>1.2445120000000001</v>
      </c>
      <c r="Z2067" s="152">
        <f t="shared" si="142"/>
        <v>2.35</v>
      </c>
      <c r="AA2067" s="150">
        <f t="shared" si="143"/>
        <v>2.9313999999999996</v>
      </c>
      <c r="AB2067" s="150"/>
      <c r="AC2067" s="154"/>
      <c r="AD2067" s="154"/>
      <c r="AE2067" s="154"/>
      <c r="AF2067" s="154"/>
    </row>
    <row r="2068" spans="1:32" x14ac:dyDescent="0.25">
      <c r="A2068" s="138">
        <v>692</v>
      </c>
      <c r="B2068" s="196" t="s">
        <v>7654</v>
      </c>
      <c r="C2068" s="196" t="s">
        <v>9523</v>
      </c>
      <c r="D2068" s="148"/>
      <c r="E2068" s="148"/>
      <c r="F2068" s="148"/>
      <c r="G2068" s="148"/>
      <c r="H2068" s="196" t="s">
        <v>1878</v>
      </c>
      <c r="I2068" s="141" t="s">
        <v>1879</v>
      </c>
      <c r="J2068" s="196" t="s">
        <v>9196</v>
      </c>
      <c r="K2068" s="196" t="s">
        <v>1881</v>
      </c>
      <c r="L2068" s="148"/>
      <c r="M2068" s="196">
        <v>382</v>
      </c>
      <c r="N2068" s="148"/>
      <c r="O2068" s="196" t="s">
        <v>7066</v>
      </c>
      <c r="P2068" s="144">
        <v>347</v>
      </c>
      <c r="Q2068" s="145">
        <f t="shared" si="145"/>
        <v>1.7103999999999997</v>
      </c>
      <c r="R2068" s="203">
        <v>1.2</v>
      </c>
      <c r="S2068" s="139">
        <v>1.55</v>
      </c>
      <c r="T2068" s="149">
        <v>0.13</v>
      </c>
      <c r="U2068" s="149">
        <v>1.9</v>
      </c>
      <c r="V2068" s="149">
        <v>0.33999999999999997</v>
      </c>
      <c r="W2068" s="149">
        <v>0.35</v>
      </c>
      <c r="X2068" s="152">
        <v>0.19039999999999999</v>
      </c>
      <c r="Y2068" s="150">
        <f t="shared" si="144"/>
        <v>1.2428319999999999</v>
      </c>
      <c r="Z2068" s="152">
        <f t="shared" si="142"/>
        <v>1.55</v>
      </c>
      <c r="AA2068" s="150">
        <f t="shared" si="143"/>
        <v>2.9103999999999997</v>
      </c>
      <c r="AB2068" s="150"/>
      <c r="AC2068" s="154"/>
      <c r="AD2068" s="154"/>
      <c r="AE2068" s="154"/>
      <c r="AF2068" s="154"/>
    </row>
    <row r="2069" spans="1:32" x14ac:dyDescent="0.25">
      <c r="A2069" s="138">
        <v>2851</v>
      </c>
      <c r="B2069" s="196" t="s">
        <v>9526</v>
      </c>
      <c r="C2069" s="196" t="s">
        <v>9527</v>
      </c>
      <c r="D2069" s="196" t="s">
        <v>9528</v>
      </c>
      <c r="E2069" s="196" t="s">
        <v>1913</v>
      </c>
      <c r="F2069" s="196">
        <v>2008</v>
      </c>
      <c r="G2069" s="148"/>
      <c r="H2069" s="196" t="s">
        <v>1878</v>
      </c>
      <c r="I2069" s="141" t="s">
        <v>1929</v>
      </c>
      <c r="J2069" s="148"/>
      <c r="K2069" s="196" t="s">
        <v>1881</v>
      </c>
      <c r="L2069" s="141" t="s">
        <v>9529</v>
      </c>
      <c r="M2069" s="196">
        <v>637</v>
      </c>
      <c r="N2069" s="148"/>
      <c r="O2069" s="196" t="s">
        <v>7068</v>
      </c>
      <c r="P2069" s="144">
        <v>477</v>
      </c>
      <c r="Q2069" s="145">
        <f t="shared" si="145"/>
        <v>10.8</v>
      </c>
      <c r="R2069" s="203">
        <v>1.2</v>
      </c>
      <c r="S2069" s="139">
        <v>12</v>
      </c>
      <c r="T2069" s="149">
        <v>0.13</v>
      </c>
      <c r="U2069" s="149">
        <v>1.9</v>
      </c>
      <c r="V2069" s="149">
        <v>0.33999999999999997</v>
      </c>
      <c r="W2069" s="137">
        <v>0.35</v>
      </c>
      <c r="X2069" s="152">
        <v>0.19039999999999999</v>
      </c>
      <c r="Y2069" s="150">
        <f t="shared" si="144"/>
        <v>1.97</v>
      </c>
      <c r="Z2069" s="152">
        <f t="shared" si="142"/>
        <v>12</v>
      </c>
      <c r="AA2069" s="150">
        <f t="shared" si="143"/>
        <v>2.9103999999999997</v>
      </c>
      <c r="AB2069" s="150"/>
      <c r="AC2069" s="154"/>
      <c r="AD2069" s="154"/>
      <c r="AE2069" s="154"/>
      <c r="AF2069" s="154"/>
    </row>
    <row r="2070" spans="1:32" x14ac:dyDescent="0.25">
      <c r="A2070" s="138">
        <v>692</v>
      </c>
      <c r="B2070" s="196" t="s">
        <v>9530</v>
      </c>
      <c r="C2070" s="196" t="s">
        <v>9531</v>
      </c>
      <c r="D2070" s="196" t="s">
        <v>2054</v>
      </c>
      <c r="E2070" s="148"/>
      <c r="F2070" s="148"/>
      <c r="G2070" s="148"/>
      <c r="H2070" s="196" t="s">
        <v>1878</v>
      </c>
      <c r="I2070" s="141" t="s">
        <v>1879</v>
      </c>
      <c r="J2070" s="148"/>
      <c r="K2070" s="196" t="s">
        <v>1881</v>
      </c>
      <c r="L2070" s="141" t="s">
        <v>9532</v>
      </c>
      <c r="M2070" s="196">
        <v>366</v>
      </c>
      <c r="N2070" s="148"/>
      <c r="O2070" s="196" t="s">
        <v>7069</v>
      </c>
      <c r="P2070" s="144">
        <v>265</v>
      </c>
      <c r="Q2070" s="145">
        <f t="shared" si="145"/>
        <v>1.7103999999999997</v>
      </c>
      <c r="R2070" s="203">
        <v>1.2</v>
      </c>
      <c r="S2070" s="139">
        <f>0.25+0.99</f>
        <v>1.24</v>
      </c>
      <c r="T2070" s="149">
        <v>0.13</v>
      </c>
      <c r="U2070" s="149">
        <v>1.9</v>
      </c>
      <c r="V2070" s="149">
        <v>0.33999999999999997</v>
      </c>
      <c r="W2070" s="149">
        <v>0.35</v>
      </c>
      <c r="X2070" s="152">
        <v>0.19039999999999999</v>
      </c>
      <c r="Y2070" s="150">
        <f t="shared" si="144"/>
        <v>1.2428319999999999</v>
      </c>
      <c r="Z2070" s="152">
        <f t="shared" si="142"/>
        <v>1.24</v>
      </c>
      <c r="AA2070" s="150">
        <f t="shared" si="143"/>
        <v>2.9103999999999997</v>
      </c>
      <c r="AB2070" s="150"/>
      <c r="AC2070" s="154"/>
      <c r="AD2070" s="154"/>
      <c r="AE2070" s="154"/>
      <c r="AF2070" s="154"/>
    </row>
    <row r="2071" spans="1:32" x14ac:dyDescent="0.25">
      <c r="A2071" s="142">
        <v>1386</v>
      </c>
      <c r="B2071" s="196" t="s">
        <v>9533</v>
      </c>
      <c r="C2071" s="196" t="s">
        <v>9534</v>
      </c>
      <c r="D2071" s="196" t="s">
        <v>4930</v>
      </c>
      <c r="E2071" s="148"/>
      <c r="F2071" s="196">
        <v>2007</v>
      </c>
      <c r="G2071" s="148"/>
      <c r="H2071" s="196" t="s">
        <v>2734</v>
      </c>
      <c r="I2071" s="141" t="s">
        <v>1879</v>
      </c>
      <c r="J2071" s="148"/>
      <c r="K2071" s="196" t="s">
        <v>1881</v>
      </c>
      <c r="L2071" s="148"/>
      <c r="M2071" s="196">
        <v>466</v>
      </c>
      <c r="N2071" s="148"/>
      <c r="O2071" s="196" t="s">
        <v>7070</v>
      </c>
      <c r="P2071" s="144">
        <v>538</v>
      </c>
      <c r="Q2071" s="145">
        <f t="shared" si="145"/>
        <v>1.5104</v>
      </c>
      <c r="R2071" s="203">
        <v>1.7</v>
      </c>
      <c r="S2071" s="139">
        <v>2.2999999999999998</v>
      </c>
      <c r="T2071" s="149">
        <v>0.13</v>
      </c>
      <c r="U2071" s="149">
        <v>2.2000000000000002</v>
      </c>
      <c r="V2071" s="149">
        <v>0.33999999999999997</v>
      </c>
      <c r="W2071" s="149">
        <v>0.35</v>
      </c>
      <c r="X2071" s="152">
        <v>0.19039999999999999</v>
      </c>
      <c r="Y2071" s="150">
        <f t="shared" si="144"/>
        <v>1.266832</v>
      </c>
      <c r="Z2071" s="152">
        <f t="shared" si="142"/>
        <v>2.2999999999999998</v>
      </c>
      <c r="AA2071" s="150">
        <f t="shared" si="143"/>
        <v>3.2103999999999999</v>
      </c>
      <c r="AB2071" s="150"/>
      <c r="AC2071" s="154"/>
      <c r="AD2071" s="154"/>
      <c r="AE2071" s="154"/>
      <c r="AF2071" s="154"/>
    </row>
    <row r="2072" spans="1:32" x14ac:dyDescent="0.25">
      <c r="A2072" s="142">
        <v>691</v>
      </c>
      <c r="B2072" s="196" t="s">
        <v>9535</v>
      </c>
      <c r="C2072" s="196" t="s">
        <v>9536</v>
      </c>
      <c r="D2072" s="196" t="s">
        <v>9537</v>
      </c>
      <c r="E2072" s="148"/>
      <c r="F2072" s="196">
        <v>1996</v>
      </c>
      <c r="G2072" s="148"/>
      <c r="H2072" s="196" t="s">
        <v>2734</v>
      </c>
      <c r="I2072" s="141" t="s">
        <v>1929</v>
      </c>
      <c r="J2072" s="148"/>
      <c r="K2072" s="196" t="s">
        <v>1881</v>
      </c>
      <c r="L2072" s="141" t="s">
        <v>9538</v>
      </c>
      <c r="M2072" s="148"/>
      <c r="N2072" s="148"/>
      <c r="O2072" s="196" t="s">
        <v>7071</v>
      </c>
      <c r="P2072" s="144">
        <v>233</v>
      </c>
      <c r="Q2072" s="145">
        <f t="shared" si="145"/>
        <v>3.58</v>
      </c>
      <c r="R2072" s="203">
        <v>1.2</v>
      </c>
      <c r="S2072" s="139">
        <f>1.79+2.99</f>
        <v>4.78</v>
      </c>
      <c r="T2072" s="149">
        <v>0.13</v>
      </c>
      <c r="U2072" s="149">
        <v>1.9</v>
      </c>
      <c r="V2072" s="149">
        <v>0.33999999999999997</v>
      </c>
      <c r="W2072" s="137">
        <v>0.35</v>
      </c>
      <c r="X2072" s="152">
        <v>0.2114</v>
      </c>
      <c r="Y2072" s="150">
        <f t="shared" si="144"/>
        <v>1.3924000000000001</v>
      </c>
      <c r="Z2072" s="152">
        <f t="shared" si="142"/>
        <v>4.78</v>
      </c>
      <c r="AA2072" s="150">
        <f t="shared" si="143"/>
        <v>2.9313999999999996</v>
      </c>
      <c r="AB2072" s="150"/>
      <c r="AC2072" s="154"/>
      <c r="AD2072" s="154"/>
      <c r="AE2072" s="154"/>
      <c r="AF2072" s="154"/>
    </row>
    <row r="2073" spans="1:32" x14ac:dyDescent="0.25">
      <c r="A2073" s="142">
        <v>796</v>
      </c>
      <c r="B2073" s="196" t="s">
        <v>9539</v>
      </c>
      <c r="C2073" s="196" t="s">
        <v>9540</v>
      </c>
      <c r="D2073" s="196" t="s">
        <v>2424</v>
      </c>
      <c r="E2073" s="148"/>
      <c r="F2073" s="196">
        <v>2008</v>
      </c>
      <c r="G2073" s="148"/>
      <c r="H2073" s="196" t="s">
        <v>1878</v>
      </c>
      <c r="I2073" s="141" t="s">
        <v>1879</v>
      </c>
      <c r="J2073" s="148"/>
      <c r="K2073" s="196" t="s">
        <v>1881</v>
      </c>
      <c r="L2073" s="141" t="s">
        <v>9541</v>
      </c>
      <c r="M2073" s="196">
        <v>384</v>
      </c>
      <c r="N2073" s="148"/>
      <c r="O2073" s="196" t="s">
        <v>7072</v>
      </c>
      <c r="P2073" s="144">
        <v>321</v>
      </c>
      <c r="Q2073" s="145">
        <f t="shared" si="145"/>
        <v>1.7103999999999997</v>
      </c>
      <c r="R2073" s="203">
        <v>1.2</v>
      </c>
      <c r="S2073" s="139">
        <f>0.25+1.44</f>
        <v>1.69</v>
      </c>
      <c r="T2073" s="149">
        <v>0.13</v>
      </c>
      <c r="U2073" s="149">
        <v>1.9</v>
      </c>
      <c r="V2073" s="149">
        <v>0.33999999999999997</v>
      </c>
      <c r="W2073" s="149">
        <v>0.35</v>
      </c>
      <c r="X2073" s="152">
        <v>0.19039999999999999</v>
      </c>
      <c r="Y2073" s="150">
        <f t="shared" si="144"/>
        <v>1.2428319999999999</v>
      </c>
      <c r="Z2073" s="152">
        <f t="shared" si="142"/>
        <v>1.69</v>
      </c>
      <c r="AA2073" s="150">
        <f t="shared" si="143"/>
        <v>2.9103999999999997</v>
      </c>
      <c r="AB2073" s="150"/>
      <c r="AC2073" s="154"/>
      <c r="AD2073" s="154"/>
      <c r="AE2073" s="154"/>
      <c r="AF2073" s="154"/>
    </row>
    <row r="2074" spans="1:32" x14ac:dyDescent="0.25">
      <c r="A2074" s="142">
        <v>1396</v>
      </c>
      <c r="B2074" s="196" t="s">
        <v>9542</v>
      </c>
      <c r="C2074" s="196" t="s">
        <v>9543</v>
      </c>
      <c r="D2074" s="196" t="s">
        <v>1920</v>
      </c>
      <c r="E2074" s="148"/>
      <c r="F2074" s="196">
        <v>2015</v>
      </c>
      <c r="G2074" s="148"/>
      <c r="H2074" s="196" t="s">
        <v>1878</v>
      </c>
      <c r="I2074" s="141" t="s">
        <v>1879</v>
      </c>
      <c r="J2074" s="148"/>
      <c r="K2074" s="196" t="s">
        <v>1881</v>
      </c>
      <c r="L2074" s="141" t="s">
        <v>9544</v>
      </c>
      <c r="M2074" s="196">
        <v>832</v>
      </c>
      <c r="N2074" s="148"/>
      <c r="O2074" s="196" t="s">
        <v>7073</v>
      </c>
      <c r="P2074" s="144">
        <v>563</v>
      </c>
      <c r="Q2074" s="145">
        <f t="shared" si="145"/>
        <v>1.5104</v>
      </c>
      <c r="R2074" s="203">
        <v>1.7</v>
      </c>
      <c r="S2074" s="139">
        <f>0.75+1.39</f>
        <v>2.1399999999999997</v>
      </c>
      <c r="T2074" s="149">
        <v>0.13</v>
      </c>
      <c r="U2074" s="149">
        <v>2.2000000000000002</v>
      </c>
      <c r="V2074" s="149">
        <v>0.33999999999999997</v>
      </c>
      <c r="W2074" s="149">
        <v>0.35</v>
      </c>
      <c r="X2074" s="152">
        <v>0.19039999999999999</v>
      </c>
      <c r="Y2074" s="150">
        <f t="shared" si="144"/>
        <v>1.266832</v>
      </c>
      <c r="Z2074" s="152">
        <f t="shared" si="142"/>
        <v>2.1399999999999997</v>
      </c>
      <c r="AA2074" s="150">
        <f t="shared" ref="AA2074:AA2085" si="146">SUM(T2074:X2074)</f>
        <v>3.2103999999999999</v>
      </c>
      <c r="AB2074" s="150"/>
      <c r="AC2074" s="154"/>
      <c r="AD2074" s="154"/>
      <c r="AE2074" s="154"/>
      <c r="AF2074" s="154"/>
    </row>
    <row r="2075" spans="1:32" x14ac:dyDescent="0.25">
      <c r="A2075" s="142">
        <v>2518</v>
      </c>
      <c r="B2075" s="196" t="s">
        <v>4519</v>
      </c>
      <c r="C2075" s="196" t="s">
        <v>9545</v>
      </c>
      <c r="D2075" s="196" t="s">
        <v>9546</v>
      </c>
      <c r="E2075" s="148"/>
      <c r="F2075" s="196">
        <v>2011</v>
      </c>
      <c r="G2075" s="148"/>
      <c r="H2075" s="196" t="s">
        <v>1878</v>
      </c>
      <c r="I2075" s="141" t="s">
        <v>1879</v>
      </c>
      <c r="J2075" s="148"/>
      <c r="K2075" s="196" t="s">
        <v>1881</v>
      </c>
      <c r="L2075" s="141" t="s">
        <v>9547</v>
      </c>
      <c r="M2075" s="196">
        <v>256</v>
      </c>
      <c r="N2075" s="148"/>
      <c r="O2075" s="196" t="s">
        <v>7074</v>
      </c>
      <c r="P2075" s="144">
        <v>207</v>
      </c>
      <c r="Q2075" s="145">
        <f t="shared" si="145"/>
        <v>1.7313999999999996</v>
      </c>
      <c r="R2075" s="203">
        <v>1.2</v>
      </c>
      <c r="S2075" s="139">
        <f>0.77+1.4</f>
        <v>2.17</v>
      </c>
      <c r="T2075" s="149">
        <v>0.13</v>
      </c>
      <c r="U2075" s="149">
        <v>1.9</v>
      </c>
      <c r="V2075" s="149">
        <v>0.33999999999999997</v>
      </c>
      <c r="W2075" s="149">
        <v>0.35</v>
      </c>
      <c r="X2075" s="152">
        <v>0.2114</v>
      </c>
      <c r="Y2075" s="150">
        <f t="shared" si="144"/>
        <v>1.2445120000000001</v>
      </c>
      <c r="Z2075" s="152">
        <f t="shared" ref="Z2075:Z2138" si="147">S2075</f>
        <v>2.17</v>
      </c>
      <c r="AA2075" s="150">
        <f t="shared" si="146"/>
        <v>2.9313999999999996</v>
      </c>
      <c r="AB2075" s="150"/>
      <c r="AC2075" s="154"/>
      <c r="AD2075" s="154"/>
      <c r="AE2075" s="154"/>
      <c r="AF2075" s="154"/>
    </row>
    <row r="2076" spans="1:32" x14ac:dyDescent="0.25">
      <c r="A2076" s="142">
        <v>692</v>
      </c>
      <c r="B2076" s="196" t="s">
        <v>9548</v>
      </c>
      <c r="C2076" s="196" t="s">
        <v>9549</v>
      </c>
      <c r="D2076" s="196" t="s">
        <v>1920</v>
      </c>
      <c r="E2076" s="148"/>
      <c r="F2076" s="196">
        <v>1993</v>
      </c>
      <c r="G2076" s="148"/>
      <c r="H2076" s="196" t="s">
        <v>1878</v>
      </c>
      <c r="I2076" s="141" t="s">
        <v>1914</v>
      </c>
      <c r="J2076" s="148"/>
      <c r="K2076" s="196" t="s">
        <v>1881</v>
      </c>
      <c r="L2076" s="141" t="s">
        <v>9550</v>
      </c>
      <c r="M2076" s="196">
        <v>384</v>
      </c>
      <c r="N2076" s="148"/>
      <c r="O2076" s="196" t="s">
        <v>7075</v>
      </c>
      <c r="P2076" s="144">
        <v>217</v>
      </c>
      <c r="Q2076" s="145">
        <f t="shared" si="145"/>
        <v>1.7103999999999997</v>
      </c>
      <c r="R2076" s="203">
        <v>1.2</v>
      </c>
      <c r="S2076" s="139">
        <v>1.7</v>
      </c>
      <c r="T2076" s="149">
        <v>0.13</v>
      </c>
      <c r="U2076" s="149">
        <v>1.9</v>
      </c>
      <c r="V2076" s="149">
        <v>0.33999999999999997</v>
      </c>
      <c r="W2076" s="149">
        <v>0.35</v>
      </c>
      <c r="X2076" s="152">
        <v>0.19039999999999999</v>
      </c>
      <c r="Y2076" s="150">
        <f t="shared" si="144"/>
        <v>1.2428319999999999</v>
      </c>
      <c r="Z2076" s="152">
        <f t="shared" si="147"/>
        <v>1.7</v>
      </c>
      <c r="AA2076" s="150">
        <f t="shared" si="146"/>
        <v>2.9103999999999997</v>
      </c>
      <c r="AB2076" s="150"/>
      <c r="AC2076" s="154"/>
      <c r="AD2076" s="154"/>
      <c r="AE2076" s="154"/>
      <c r="AF2076" s="154"/>
    </row>
    <row r="2077" spans="1:32" x14ac:dyDescent="0.25">
      <c r="A2077" s="142">
        <v>1395</v>
      </c>
      <c r="B2077" s="196" t="s">
        <v>9551</v>
      </c>
      <c r="C2077" s="196" t="s">
        <v>9552</v>
      </c>
      <c r="D2077" s="196" t="s">
        <v>2257</v>
      </c>
      <c r="E2077" s="148"/>
      <c r="F2077" s="196">
        <v>2004</v>
      </c>
      <c r="G2077" s="148"/>
      <c r="H2077" s="196" t="s">
        <v>1878</v>
      </c>
      <c r="I2077" s="141" t="s">
        <v>1879</v>
      </c>
      <c r="J2077" s="148"/>
      <c r="K2077" s="196" t="s">
        <v>1881</v>
      </c>
      <c r="L2077" s="141" t="s">
        <v>9553</v>
      </c>
      <c r="M2077" s="196">
        <v>240</v>
      </c>
      <c r="N2077" s="148"/>
      <c r="O2077" s="196" t="s">
        <v>7076</v>
      </c>
      <c r="P2077" s="144">
        <v>166</v>
      </c>
      <c r="Q2077" s="145">
        <f t="shared" si="145"/>
        <v>1.7103999999999997</v>
      </c>
      <c r="R2077" s="203">
        <v>1.2</v>
      </c>
      <c r="S2077" s="139">
        <v>2.1</v>
      </c>
      <c r="T2077" s="149">
        <v>0.13</v>
      </c>
      <c r="U2077" s="149">
        <v>1.9</v>
      </c>
      <c r="V2077" s="149">
        <v>0.33999999999999997</v>
      </c>
      <c r="W2077" s="149">
        <v>0.35</v>
      </c>
      <c r="X2077" s="152">
        <v>0.19039999999999999</v>
      </c>
      <c r="Y2077" s="150">
        <f t="shared" si="144"/>
        <v>1.2428319999999999</v>
      </c>
      <c r="Z2077" s="152">
        <f t="shared" si="147"/>
        <v>2.1</v>
      </c>
      <c r="AA2077" s="150">
        <f t="shared" si="146"/>
        <v>2.9103999999999997</v>
      </c>
      <c r="AB2077" s="150"/>
      <c r="AC2077" s="154"/>
      <c r="AD2077" s="154"/>
      <c r="AE2077" s="154"/>
      <c r="AF2077" s="154"/>
    </row>
    <row r="2078" spans="1:32" x14ac:dyDescent="0.25">
      <c r="A2078" s="142">
        <v>2548</v>
      </c>
      <c r="B2078" s="196" t="s">
        <v>7984</v>
      </c>
      <c r="C2078" s="196" t="s">
        <v>9554</v>
      </c>
      <c r="D2078" s="196" t="s">
        <v>2300</v>
      </c>
      <c r="E2078" s="148"/>
      <c r="F2078" s="196">
        <v>2005</v>
      </c>
      <c r="G2078" s="148"/>
      <c r="H2078" s="196" t="s">
        <v>1878</v>
      </c>
      <c r="I2078" s="141" t="s">
        <v>1879</v>
      </c>
      <c r="J2078" s="148"/>
      <c r="K2078" s="196" t="s">
        <v>1881</v>
      </c>
      <c r="L2078" s="141" t="s">
        <v>9555</v>
      </c>
      <c r="M2078" s="196">
        <v>382</v>
      </c>
      <c r="N2078" s="148"/>
      <c r="O2078" s="196" t="s">
        <v>7077</v>
      </c>
      <c r="P2078" s="144">
        <v>345</v>
      </c>
      <c r="Q2078" s="145">
        <f t="shared" si="145"/>
        <v>1.7103999999999997</v>
      </c>
      <c r="R2078" s="203">
        <v>1.2</v>
      </c>
      <c r="S2078" s="139">
        <v>1.75</v>
      </c>
      <c r="T2078" s="149">
        <v>0.13</v>
      </c>
      <c r="U2078" s="149">
        <v>1.9</v>
      </c>
      <c r="V2078" s="149">
        <v>0.33999999999999997</v>
      </c>
      <c r="W2078" s="149">
        <v>0.35</v>
      </c>
      <c r="X2078" s="152">
        <v>0.19039999999999999</v>
      </c>
      <c r="Y2078" s="150">
        <f t="shared" si="144"/>
        <v>1.2428319999999999</v>
      </c>
      <c r="Z2078" s="152">
        <f t="shared" si="147"/>
        <v>1.75</v>
      </c>
      <c r="AA2078" s="150">
        <f t="shared" si="146"/>
        <v>2.9103999999999997</v>
      </c>
      <c r="AB2078" s="150"/>
      <c r="AC2078" s="154"/>
      <c r="AD2078" s="154"/>
      <c r="AE2078" s="154"/>
      <c r="AF2078" s="154"/>
    </row>
    <row r="2079" spans="1:32" x14ac:dyDescent="0.25">
      <c r="A2079" s="142">
        <v>796</v>
      </c>
      <c r="B2079" s="196" t="s">
        <v>9556</v>
      </c>
      <c r="C2079" s="196" t="s">
        <v>9557</v>
      </c>
      <c r="D2079" s="196" t="s">
        <v>1876</v>
      </c>
      <c r="E2079" s="196" t="s">
        <v>2032</v>
      </c>
      <c r="F2079" s="196">
        <v>2017</v>
      </c>
      <c r="G2079" s="148"/>
      <c r="H2079" s="196" t="s">
        <v>1878</v>
      </c>
      <c r="I2079" s="141" t="s">
        <v>1879</v>
      </c>
      <c r="J2079" s="148"/>
      <c r="K2079" s="196" t="s">
        <v>1881</v>
      </c>
      <c r="L2079" s="141" t="s">
        <v>9558</v>
      </c>
      <c r="M2079" s="196">
        <v>320</v>
      </c>
      <c r="N2079" s="148"/>
      <c r="O2079" s="196" t="s">
        <v>7078</v>
      </c>
      <c r="P2079" s="144">
        <v>314</v>
      </c>
      <c r="Q2079" s="145">
        <f t="shared" si="145"/>
        <v>1.7103999999999997</v>
      </c>
      <c r="R2079" s="203">
        <v>1.2</v>
      </c>
      <c r="S2079" s="139">
        <v>1.7</v>
      </c>
      <c r="T2079" s="149">
        <v>0.13</v>
      </c>
      <c r="U2079" s="149">
        <v>1.9</v>
      </c>
      <c r="V2079" s="149">
        <v>0.33999999999999997</v>
      </c>
      <c r="W2079" s="149">
        <v>0.35</v>
      </c>
      <c r="X2079" s="152">
        <v>0.19039999999999999</v>
      </c>
      <c r="Y2079" s="150">
        <f t="shared" si="144"/>
        <v>1.2428319999999999</v>
      </c>
      <c r="Z2079" s="152">
        <f t="shared" si="147"/>
        <v>1.7</v>
      </c>
      <c r="AA2079" s="150">
        <f t="shared" si="146"/>
        <v>2.9103999999999997</v>
      </c>
      <c r="AB2079" s="150"/>
      <c r="AC2079" s="154"/>
      <c r="AD2079" s="154"/>
      <c r="AE2079" s="154"/>
      <c r="AF2079" s="154"/>
    </row>
    <row r="2080" spans="1:32" x14ac:dyDescent="0.25">
      <c r="A2080" s="142">
        <v>2522</v>
      </c>
      <c r="B2080" s="196" t="s">
        <v>9559</v>
      </c>
      <c r="C2080" s="196" t="s">
        <v>9560</v>
      </c>
      <c r="D2080" s="196" t="s">
        <v>1920</v>
      </c>
      <c r="E2080" s="148"/>
      <c r="F2080" s="196">
        <v>2008</v>
      </c>
      <c r="G2080" s="148"/>
      <c r="H2080" s="196" t="s">
        <v>1878</v>
      </c>
      <c r="I2080" s="141" t="s">
        <v>1914</v>
      </c>
      <c r="J2080" s="148"/>
      <c r="K2080" s="196" t="s">
        <v>1881</v>
      </c>
      <c r="L2080" s="141" t="s">
        <v>9561</v>
      </c>
      <c r="M2080" s="196">
        <v>448</v>
      </c>
      <c r="N2080" s="148"/>
      <c r="O2080" s="196" t="s">
        <v>7079</v>
      </c>
      <c r="P2080" s="144">
        <v>340</v>
      </c>
      <c r="Q2080" s="145">
        <f t="shared" si="145"/>
        <v>1.7103999999999997</v>
      </c>
      <c r="R2080" s="203">
        <v>1.2</v>
      </c>
      <c r="S2080" s="139">
        <v>1.45</v>
      </c>
      <c r="T2080" s="149">
        <v>0.13</v>
      </c>
      <c r="U2080" s="149">
        <v>1.9</v>
      </c>
      <c r="V2080" s="149">
        <v>0.33999999999999997</v>
      </c>
      <c r="W2080" s="149">
        <v>0.35</v>
      </c>
      <c r="X2080" s="152">
        <v>0.19039999999999999</v>
      </c>
      <c r="Y2080" s="150">
        <f t="shared" si="144"/>
        <v>1.2428319999999999</v>
      </c>
      <c r="Z2080" s="152">
        <f t="shared" si="147"/>
        <v>1.45</v>
      </c>
      <c r="AA2080" s="150">
        <f t="shared" si="146"/>
        <v>2.9103999999999997</v>
      </c>
      <c r="AB2080" s="150"/>
      <c r="AC2080" s="154"/>
      <c r="AD2080" s="154"/>
      <c r="AE2080" s="154"/>
      <c r="AF2080" s="154"/>
    </row>
    <row r="2081" spans="1:36" x14ac:dyDescent="0.25">
      <c r="A2081" s="148"/>
      <c r="B2081" s="196" t="s">
        <v>9562</v>
      </c>
      <c r="C2081" s="196" t="s">
        <v>9563</v>
      </c>
      <c r="D2081" s="196" t="s">
        <v>4930</v>
      </c>
      <c r="E2081" s="148"/>
      <c r="F2081" s="148"/>
      <c r="G2081" s="148"/>
      <c r="H2081" s="196" t="s">
        <v>2734</v>
      </c>
      <c r="I2081" s="141" t="s">
        <v>1914</v>
      </c>
      <c r="J2081" s="148"/>
      <c r="K2081" s="196" t="s">
        <v>1881</v>
      </c>
      <c r="L2081" s="148"/>
      <c r="M2081" s="196">
        <v>438</v>
      </c>
      <c r="N2081" s="148"/>
      <c r="O2081" s="196" t="s">
        <v>7080</v>
      </c>
      <c r="P2081" s="144">
        <v>530</v>
      </c>
      <c r="Q2081" s="145">
        <f t="shared" si="145"/>
        <v>1.5104</v>
      </c>
      <c r="R2081" s="203">
        <v>1.7</v>
      </c>
      <c r="S2081" s="139">
        <v>3</v>
      </c>
      <c r="T2081" s="149">
        <v>0.13</v>
      </c>
      <c r="U2081" s="149">
        <v>2.2000000000000002</v>
      </c>
      <c r="V2081" s="149">
        <v>0.33999999999999997</v>
      </c>
      <c r="W2081" s="149">
        <v>0.35</v>
      </c>
      <c r="X2081" s="152">
        <v>0.19039999999999999</v>
      </c>
      <c r="Y2081" s="150">
        <f t="shared" si="144"/>
        <v>1.266832</v>
      </c>
      <c r="Z2081" s="152">
        <f t="shared" si="147"/>
        <v>3</v>
      </c>
      <c r="AA2081" s="150">
        <f t="shared" si="146"/>
        <v>3.2103999999999999</v>
      </c>
      <c r="AB2081" s="150"/>
      <c r="AC2081" s="154"/>
      <c r="AD2081" s="154"/>
      <c r="AE2081" s="154"/>
      <c r="AF2081" s="154"/>
    </row>
    <row r="2082" spans="1:36" x14ac:dyDescent="0.25">
      <c r="A2082" s="142">
        <v>2518</v>
      </c>
      <c r="B2082" s="196" t="s">
        <v>9564</v>
      </c>
      <c r="C2082" s="196" t="s">
        <v>9565</v>
      </c>
      <c r="D2082" s="196" t="s">
        <v>1876</v>
      </c>
      <c r="E2082" s="148"/>
      <c r="F2082" s="196">
        <v>2009</v>
      </c>
      <c r="G2082" s="148"/>
      <c r="H2082" s="196" t="s">
        <v>1878</v>
      </c>
      <c r="I2082" s="141" t="s">
        <v>1879</v>
      </c>
      <c r="J2082" s="196" t="s">
        <v>9196</v>
      </c>
      <c r="K2082" s="196" t="s">
        <v>1881</v>
      </c>
      <c r="L2082" s="141" t="s">
        <v>9566</v>
      </c>
      <c r="M2082" s="196">
        <v>288</v>
      </c>
      <c r="N2082" s="148"/>
      <c r="O2082" s="196" t="s">
        <v>7081</v>
      </c>
      <c r="P2082" s="144">
        <v>314</v>
      </c>
      <c r="Q2082" s="145">
        <f t="shared" si="145"/>
        <v>1.7313999999999996</v>
      </c>
      <c r="R2082" s="203">
        <v>1.2</v>
      </c>
      <c r="S2082" s="139">
        <v>2.4</v>
      </c>
      <c r="T2082" s="149">
        <v>0.13</v>
      </c>
      <c r="U2082" s="149">
        <v>1.9</v>
      </c>
      <c r="V2082" s="149">
        <v>0.33999999999999997</v>
      </c>
      <c r="W2082" s="149">
        <v>0.35</v>
      </c>
      <c r="X2082" s="152">
        <v>0.2114</v>
      </c>
      <c r="Y2082" s="150">
        <f t="shared" si="144"/>
        <v>1.2445120000000001</v>
      </c>
      <c r="Z2082" s="152">
        <f t="shared" si="147"/>
        <v>2.4</v>
      </c>
      <c r="AA2082" s="150">
        <f t="shared" si="146"/>
        <v>2.9313999999999996</v>
      </c>
      <c r="AB2082" s="150"/>
      <c r="AC2082" s="154"/>
      <c r="AD2082" s="154"/>
      <c r="AE2082" s="154"/>
      <c r="AF2082" s="154"/>
    </row>
    <row r="2083" spans="1:36" x14ac:dyDescent="0.25">
      <c r="A2083" s="142">
        <v>1913</v>
      </c>
      <c r="B2083" s="196" t="s">
        <v>9567</v>
      </c>
      <c r="C2083" s="196" t="s">
        <v>9568</v>
      </c>
      <c r="D2083" s="196" t="s">
        <v>2209</v>
      </c>
      <c r="E2083" s="148"/>
      <c r="F2083" s="196">
        <v>2005</v>
      </c>
      <c r="G2083" s="148"/>
      <c r="H2083" s="196" t="s">
        <v>2734</v>
      </c>
      <c r="I2083" s="141" t="s">
        <v>1879</v>
      </c>
      <c r="J2083" s="148"/>
      <c r="K2083" s="196" t="s">
        <v>1881</v>
      </c>
      <c r="L2083" s="141" t="s">
        <v>9569</v>
      </c>
      <c r="M2083" s="196">
        <v>354</v>
      </c>
      <c r="N2083" s="148"/>
      <c r="O2083" s="196" t="s">
        <v>7082</v>
      </c>
      <c r="P2083" s="144">
        <v>586</v>
      </c>
      <c r="Q2083" s="145">
        <f t="shared" si="145"/>
        <v>1.5104</v>
      </c>
      <c r="R2083" s="203">
        <v>1.7</v>
      </c>
      <c r="S2083" s="139">
        <f>0.72+0.95</f>
        <v>1.67</v>
      </c>
      <c r="T2083" s="149">
        <v>0.13</v>
      </c>
      <c r="U2083" s="149">
        <v>2.2000000000000002</v>
      </c>
      <c r="V2083" s="149">
        <v>0.33999999999999997</v>
      </c>
      <c r="W2083" s="149">
        <v>0.35</v>
      </c>
      <c r="X2083" s="152">
        <v>0.19039999999999999</v>
      </c>
      <c r="Y2083" s="150">
        <f t="shared" si="144"/>
        <v>1.266832</v>
      </c>
      <c r="Z2083" s="152">
        <f t="shared" si="147"/>
        <v>1.67</v>
      </c>
      <c r="AA2083" s="150">
        <f t="shared" si="146"/>
        <v>3.2103999999999999</v>
      </c>
      <c r="AB2083" s="150"/>
      <c r="AC2083" s="154"/>
      <c r="AD2083" s="154"/>
      <c r="AE2083" s="154"/>
      <c r="AF2083" s="154"/>
    </row>
    <row r="2084" spans="1:36" x14ac:dyDescent="0.25">
      <c r="A2084" s="142">
        <v>2576</v>
      </c>
      <c r="B2084" s="196" t="s">
        <v>9570</v>
      </c>
      <c r="C2084" s="196" t="s">
        <v>9571</v>
      </c>
      <c r="D2084" s="196" t="s">
        <v>1920</v>
      </c>
      <c r="E2084" s="148"/>
      <c r="F2084" s="196">
        <v>2012</v>
      </c>
      <c r="G2084" s="148"/>
      <c r="H2084" s="196" t="s">
        <v>1878</v>
      </c>
      <c r="I2084" s="141" t="s">
        <v>1879</v>
      </c>
      <c r="J2084" s="148"/>
      <c r="K2084" s="196" t="s">
        <v>1881</v>
      </c>
      <c r="L2084" s="141" t="s">
        <v>9572</v>
      </c>
      <c r="M2084" s="196">
        <v>480</v>
      </c>
      <c r="N2084" s="148"/>
      <c r="O2084" s="196" t="s">
        <v>7083</v>
      </c>
      <c r="P2084" s="144">
        <v>419</v>
      </c>
      <c r="Q2084" s="145">
        <f t="shared" si="145"/>
        <v>1.7500000000000002</v>
      </c>
      <c r="R2084" s="203">
        <v>1.2</v>
      </c>
      <c r="S2084" s="139">
        <v>2.95</v>
      </c>
      <c r="T2084" s="149">
        <v>0.13</v>
      </c>
      <c r="U2084" s="149">
        <v>1.9</v>
      </c>
      <c r="V2084" s="149">
        <v>0.33999999999999997</v>
      </c>
      <c r="W2084" s="149">
        <v>0.35</v>
      </c>
      <c r="X2084" s="152">
        <v>0.2114</v>
      </c>
      <c r="Y2084" s="150">
        <f t="shared" si="144"/>
        <v>1.246</v>
      </c>
      <c r="Z2084" s="152">
        <f t="shared" si="147"/>
        <v>2.95</v>
      </c>
      <c r="AA2084" s="150">
        <f t="shared" si="146"/>
        <v>2.9313999999999996</v>
      </c>
      <c r="AB2084" s="150"/>
      <c r="AC2084" s="154"/>
      <c r="AD2084" s="154"/>
      <c r="AE2084" s="154"/>
      <c r="AF2084" s="154"/>
    </row>
    <row r="2085" spans="1:36" s="146" customFormat="1" x14ac:dyDescent="0.25">
      <c r="A2085" s="142">
        <v>1327</v>
      </c>
      <c r="B2085" s="196" t="s">
        <v>9573</v>
      </c>
      <c r="C2085" s="196" t="s">
        <v>9574</v>
      </c>
      <c r="D2085" s="196" t="s">
        <v>2257</v>
      </c>
      <c r="E2085" s="196"/>
      <c r="F2085" s="196">
        <v>1998</v>
      </c>
      <c r="G2085" s="196"/>
      <c r="H2085" s="196" t="s">
        <v>1878</v>
      </c>
      <c r="I2085" s="141" t="s">
        <v>1879</v>
      </c>
      <c r="J2085" s="196"/>
      <c r="K2085" s="196" t="s">
        <v>1881</v>
      </c>
      <c r="L2085" s="141" t="s">
        <v>9575</v>
      </c>
      <c r="M2085" s="196">
        <v>528</v>
      </c>
      <c r="N2085" s="196"/>
      <c r="O2085" s="196" t="s">
        <v>7084</v>
      </c>
      <c r="P2085" s="144">
        <v>339</v>
      </c>
      <c r="Q2085" s="145">
        <f t="shared" si="145"/>
        <v>1.7103999999999997</v>
      </c>
      <c r="R2085" s="203">
        <v>1.2</v>
      </c>
      <c r="S2085" s="140">
        <v>2.4</v>
      </c>
      <c r="T2085" s="151">
        <v>0.13</v>
      </c>
      <c r="U2085" s="151">
        <v>1.9</v>
      </c>
      <c r="V2085" s="151">
        <v>0.33999999999999997</v>
      </c>
      <c r="W2085" s="151">
        <v>0.35</v>
      </c>
      <c r="X2085" s="152">
        <v>0.19039999999999999</v>
      </c>
      <c r="Y2085" s="152">
        <f t="shared" si="144"/>
        <v>1.2428319999999999</v>
      </c>
      <c r="Z2085" s="152">
        <f t="shared" si="147"/>
        <v>2.4</v>
      </c>
      <c r="AA2085" s="152">
        <f t="shared" si="146"/>
        <v>2.9103999999999997</v>
      </c>
      <c r="AB2085" s="152"/>
      <c r="AC2085" s="153"/>
      <c r="AD2085" s="153"/>
      <c r="AE2085" s="153"/>
      <c r="AF2085" s="153"/>
      <c r="AJ2085" s="147"/>
    </row>
    <row r="2086" spans="1:36" x14ac:dyDescent="0.25">
      <c r="A2086" s="182">
        <v>2515</v>
      </c>
      <c r="B2086" s="182" t="s">
        <v>9684</v>
      </c>
      <c r="C2086" s="182" t="s">
        <v>9685</v>
      </c>
      <c r="D2086" s="182" t="s">
        <v>7982</v>
      </c>
      <c r="E2086" s="182" t="s">
        <v>2157</v>
      </c>
      <c r="F2086" s="182">
        <v>2004</v>
      </c>
      <c r="H2086" s="182" t="s">
        <v>2734</v>
      </c>
      <c r="I2086" s="184" t="s">
        <v>1879</v>
      </c>
      <c r="J2086" s="182" t="s">
        <v>9495</v>
      </c>
      <c r="K2086" s="182" t="s">
        <v>1881</v>
      </c>
      <c r="L2086" s="184" t="s">
        <v>9686</v>
      </c>
      <c r="M2086" s="182">
        <v>382</v>
      </c>
      <c r="O2086" s="182" t="s">
        <v>9687</v>
      </c>
      <c r="P2086" s="17">
        <v>545</v>
      </c>
      <c r="Q2086" s="145">
        <f>IF(Z2086&gt;AB2086,Z2086,AB2086)-R2086</f>
        <v>3.6428099999999999</v>
      </c>
      <c r="R2086" s="199">
        <v>1.7</v>
      </c>
      <c r="S2086" s="199">
        <v>4.9000000000000004</v>
      </c>
      <c r="T2086" s="149"/>
      <c r="U2086" s="149">
        <v>2.2000000000000002</v>
      </c>
      <c r="V2086" s="149">
        <v>0.34</v>
      </c>
      <c r="W2086" s="149">
        <f>(T2086+U2086+V2086)/100*45</f>
        <v>1.143</v>
      </c>
      <c r="X2086" s="150">
        <f>(T2086+U2086+V2086+W2086)/100*7</f>
        <v>0.25780999999999998</v>
      </c>
      <c r="Y2086" s="150">
        <f>(IF(Z2086&gt;AA2086,Z2086,AA2086)*0.08)+1.01</f>
        <v>1.4020000000000001</v>
      </c>
      <c r="Z2086" s="150">
        <f t="shared" si="147"/>
        <v>4.9000000000000004</v>
      </c>
      <c r="AA2086" s="150">
        <f>SUM(T2086:X2086)</f>
        <v>3.9408099999999999</v>
      </c>
      <c r="AB2086" s="150">
        <f>SUM(T2086:Y2086)</f>
        <v>5.3428100000000001</v>
      </c>
      <c r="AC2086" s="154"/>
      <c r="AD2086" s="154"/>
      <c r="AE2086" s="154"/>
      <c r="AF2086" s="154"/>
    </row>
    <row r="2087" spans="1:36" x14ac:dyDescent="0.25">
      <c r="A2087" s="182">
        <v>2515</v>
      </c>
      <c r="B2087" s="182" t="s">
        <v>9688</v>
      </c>
      <c r="C2087" s="182" t="s">
        <v>9689</v>
      </c>
      <c r="D2087" s="182" t="s">
        <v>9690</v>
      </c>
      <c r="E2087" s="182" t="s">
        <v>2922</v>
      </c>
      <c r="F2087" s="182">
        <v>2013</v>
      </c>
      <c r="H2087" s="182" t="s">
        <v>1878</v>
      </c>
      <c r="I2087" s="184" t="s">
        <v>1879</v>
      </c>
      <c r="K2087" s="182" t="s">
        <v>1881</v>
      </c>
      <c r="L2087" s="184" t="s">
        <v>9691</v>
      </c>
      <c r="M2087" s="182">
        <v>253</v>
      </c>
      <c r="O2087" s="182" t="s">
        <v>9692</v>
      </c>
      <c r="P2087" s="17">
        <v>196</v>
      </c>
      <c r="Q2087" s="145">
        <f t="shared" ref="Q2087:Q2143" si="148">IF(Z2087&gt;AB2087,Z2087,AB2087)-R2087</f>
        <v>4.0660748</v>
      </c>
      <c r="R2087" s="199">
        <v>1.2</v>
      </c>
      <c r="S2087" s="199">
        <v>3.73</v>
      </c>
      <c r="T2087" s="149"/>
      <c r="U2087" s="149">
        <v>2.2000000000000002</v>
      </c>
      <c r="V2087" s="149">
        <v>0.34</v>
      </c>
      <c r="W2087" s="149">
        <f t="shared" ref="W2087:W2150" si="149">(T2087+U2087+V2087)/100*45</f>
        <v>1.143</v>
      </c>
      <c r="X2087" s="150">
        <f t="shared" ref="X2087:X2150" si="150">(T2087+U2087+V2087+W2087)/100*7</f>
        <v>0.25780999999999998</v>
      </c>
      <c r="Y2087" s="150">
        <f t="shared" ref="Y2087:Y2150" si="151">(IF(Z2087&gt;AA2087,Z2087,AA2087)*0.08)+1.01</f>
        <v>1.3252648</v>
      </c>
      <c r="Z2087" s="150">
        <f t="shared" si="147"/>
        <v>3.73</v>
      </c>
      <c r="AA2087" s="150">
        <f t="shared" ref="AA2087:AA2150" si="152">SUM(T2087:X2087)</f>
        <v>3.9408099999999999</v>
      </c>
      <c r="AB2087" s="150">
        <f t="shared" ref="AB2087:AB2150" si="153">SUM(T2087:Y2087)</f>
        <v>5.2660748000000002</v>
      </c>
      <c r="AC2087" s="154"/>
      <c r="AD2087" s="154"/>
      <c r="AE2087" s="154"/>
      <c r="AF2087" s="154"/>
    </row>
    <row r="2088" spans="1:36" x14ac:dyDescent="0.25">
      <c r="A2088" s="182">
        <v>2515</v>
      </c>
      <c r="B2088" s="182" t="s">
        <v>9693</v>
      </c>
      <c r="C2088" s="182" t="s">
        <v>9694</v>
      </c>
      <c r="D2088" s="182" t="s">
        <v>9695</v>
      </c>
      <c r="F2088" s="182">
        <v>2008</v>
      </c>
      <c r="H2088" s="182" t="s">
        <v>1878</v>
      </c>
      <c r="I2088" s="184" t="s">
        <v>1879</v>
      </c>
      <c r="J2088" s="182" t="s">
        <v>9495</v>
      </c>
      <c r="K2088" s="182" t="s">
        <v>1881</v>
      </c>
      <c r="L2088" s="184" t="s">
        <v>9696</v>
      </c>
      <c r="M2088" s="182">
        <v>87</v>
      </c>
      <c r="O2088" s="182" t="s">
        <v>9697</v>
      </c>
      <c r="P2088" s="17">
        <v>100</v>
      </c>
      <c r="Q2088" s="145">
        <f t="shared" si="148"/>
        <v>4.1348099999999999</v>
      </c>
      <c r="R2088" s="199">
        <v>1.2</v>
      </c>
      <c r="S2088" s="199">
        <v>4.8</v>
      </c>
      <c r="T2088" s="149"/>
      <c r="U2088" s="149">
        <v>2.2000000000000002</v>
      </c>
      <c r="V2088" s="149">
        <v>0.34</v>
      </c>
      <c r="W2088" s="149">
        <f t="shared" si="149"/>
        <v>1.143</v>
      </c>
      <c r="X2088" s="150">
        <f t="shared" si="150"/>
        <v>0.25780999999999998</v>
      </c>
      <c r="Y2088" s="150">
        <f t="shared" si="151"/>
        <v>1.3940000000000001</v>
      </c>
      <c r="Z2088" s="150">
        <f t="shared" si="147"/>
        <v>4.8</v>
      </c>
      <c r="AA2088" s="150">
        <f t="shared" si="152"/>
        <v>3.9408099999999999</v>
      </c>
      <c r="AB2088" s="150">
        <f t="shared" si="153"/>
        <v>5.3348100000000001</v>
      </c>
      <c r="AC2088" s="154"/>
      <c r="AD2088" s="154"/>
      <c r="AE2088" s="154"/>
      <c r="AF2088" s="154"/>
    </row>
    <row r="2089" spans="1:36" x14ac:dyDescent="0.25">
      <c r="A2089" s="182">
        <v>2515</v>
      </c>
      <c r="B2089" s="182" t="s">
        <v>9698</v>
      </c>
      <c r="C2089" s="182" t="s">
        <v>9699</v>
      </c>
      <c r="D2089" s="182" t="s">
        <v>9700</v>
      </c>
      <c r="E2089" s="182" t="s">
        <v>1913</v>
      </c>
      <c r="F2089" s="182">
        <v>2009</v>
      </c>
      <c r="H2089" s="182" t="s">
        <v>2734</v>
      </c>
      <c r="I2089" s="184" t="s">
        <v>1929</v>
      </c>
      <c r="K2089" s="182" t="s">
        <v>1881</v>
      </c>
      <c r="L2089" s="184" t="s">
        <v>9701</v>
      </c>
      <c r="M2089" s="182">
        <v>111</v>
      </c>
      <c r="O2089" s="182" t="s">
        <v>9702</v>
      </c>
      <c r="P2089" s="17">
        <v>149</v>
      </c>
      <c r="Q2089" s="145">
        <f t="shared" si="148"/>
        <v>4.0868099999999998</v>
      </c>
      <c r="R2089" s="199">
        <v>1.2</v>
      </c>
      <c r="S2089" s="199">
        <v>4.2</v>
      </c>
      <c r="T2089" s="149"/>
      <c r="U2089" s="149">
        <v>2.2000000000000002</v>
      </c>
      <c r="V2089" s="149">
        <v>0.34</v>
      </c>
      <c r="W2089" s="149">
        <f t="shared" si="149"/>
        <v>1.143</v>
      </c>
      <c r="X2089" s="150">
        <f t="shared" si="150"/>
        <v>0.25780999999999998</v>
      </c>
      <c r="Y2089" s="150">
        <f t="shared" si="151"/>
        <v>1.3460000000000001</v>
      </c>
      <c r="Z2089" s="150">
        <f t="shared" si="147"/>
        <v>4.2</v>
      </c>
      <c r="AA2089" s="150">
        <f t="shared" si="152"/>
        <v>3.9408099999999999</v>
      </c>
      <c r="AB2089" s="150">
        <f t="shared" si="153"/>
        <v>5.28681</v>
      </c>
      <c r="AC2089" s="154"/>
      <c r="AD2089" s="154"/>
      <c r="AE2089" s="154"/>
      <c r="AF2089" s="154"/>
    </row>
    <row r="2090" spans="1:36" x14ac:dyDescent="0.25">
      <c r="A2090" s="182">
        <v>2515</v>
      </c>
      <c r="B2090" s="182" t="s">
        <v>9703</v>
      </c>
      <c r="C2090" s="182" t="s">
        <v>9704</v>
      </c>
      <c r="D2090" s="182" t="s">
        <v>9705</v>
      </c>
      <c r="H2090" s="182" t="s">
        <v>2734</v>
      </c>
      <c r="I2090" s="184" t="s">
        <v>1929</v>
      </c>
      <c r="J2090" s="182" t="s">
        <v>9706</v>
      </c>
      <c r="K2090" s="182" t="s">
        <v>1881</v>
      </c>
      <c r="L2090" s="184" t="s">
        <v>9707</v>
      </c>
      <c r="O2090" s="182" t="s">
        <v>9708</v>
      </c>
      <c r="P2090" s="17">
        <v>364</v>
      </c>
      <c r="Q2090" s="145">
        <f t="shared" si="148"/>
        <v>4.1428099999999999</v>
      </c>
      <c r="R2090" s="199">
        <v>1.2</v>
      </c>
      <c r="S2090" s="199">
        <v>4.9000000000000004</v>
      </c>
      <c r="T2090" s="149"/>
      <c r="U2090" s="149">
        <v>2.2000000000000002</v>
      </c>
      <c r="V2090" s="149">
        <v>0.34</v>
      </c>
      <c r="W2090" s="149">
        <f t="shared" si="149"/>
        <v>1.143</v>
      </c>
      <c r="X2090" s="150">
        <f t="shared" si="150"/>
        <v>0.25780999999999998</v>
      </c>
      <c r="Y2090" s="150">
        <f t="shared" si="151"/>
        <v>1.4020000000000001</v>
      </c>
      <c r="Z2090" s="150">
        <f t="shared" si="147"/>
        <v>4.9000000000000004</v>
      </c>
      <c r="AA2090" s="150">
        <f t="shared" si="152"/>
        <v>3.9408099999999999</v>
      </c>
      <c r="AB2090" s="150">
        <f t="shared" si="153"/>
        <v>5.3428100000000001</v>
      </c>
      <c r="AC2090" s="154"/>
      <c r="AD2090" s="154"/>
      <c r="AE2090" s="154"/>
      <c r="AF2090" s="154"/>
    </row>
    <row r="2091" spans="1:36" x14ac:dyDescent="0.25">
      <c r="A2091" s="182">
        <v>2515</v>
      </c>
      <c r="B2091" s="182" t="s">
        <v>9709</v>
      </c>
      <c r="C2091" s="182" t="s">
        <v>9710</v>
      </c>
      <c r="D2091" s="182" t="s">
        <v>9711</v>
      </c>
      <c r="F2091" s="182">
        <v>2003</v>
      </c>
      <c r="H2091" s="182" t="s">
        <v>1878</v>
      </c>
      <c r="I2091" s="184" t="s">
        <v>1879</v>
      </c>
      <c r="K2091" s="182" t="s">
        <v>1881</v>
      </c>
      <c r="L2091" s="184" t="s">
        <v>9712</v>
      </c>
      <c r="M2091" s="182">
        <v>184</v>
      </c>
      <c r="O2091" s="182" t="s">
        <v>9713</v>
      </c>
      <c r="P2091" s="17">
        <v>249</v>
      </c>
      <c r="Q2091" s="145">
        <f t="shared" si="148"/>
        <v>4.0660748</v>
      </c>
      <c r="R2091" s="199">
        <v>1.2</v>
      </c>
      <c r="S2091" s="199">
        <v>2.99</v>
      </c>
      <c r="T2091" s="149"/>
      <c r="U2091" s="149">
        <v>2.2000000000000002</v>
      </c>
      <c r="V2091" s="149">
        <v>0.34</v>
      </c>
      <c r="W2091" s="149">
        <f t="shared" si="149"/>
        <v>1.143</v>
      </c>
      <c r="X2091" s="150">
        <f t="shared" si="150"/>
        <v>0.25780999999999998</v>
      </c>
      <c r="Y2091" s="150">
        <f t="shared" si="151"/>
        <v>1.3252648</v>
      </c>
      <c r="Z2091" s="150">
        <f t="shared" si="147"/>
        <v>2.99</v>
      </c>
      <c r="AA2091" s="150">
        <f t="shared" si="152"/>
        <v>3.9408099999999999</v>
      </c>
      <c r="AB2091" s="150">
        <f t="shared" si="153"/>
        <v>5.2660748000000002</v>
      </c>
      <c r="AC2091" s="154"/>
      <c r="AD2091" s="154"/>
      <c r="AE2091" s="154"/>
      <c r="AF2091" s="154"/>
    </row>
    <row r="2092" spans="1:36" x14ac:dyDescent="0.25">
      <c r="A2092" s="182">
        <v>1921</v>
      </c>
      <c r="B2092" s="182" t="s">
        <v>9714</v>
      </c>
      <c r="C2092" s="182" t="s">
        <v>9715</v>
      </c>
      <c r="D2092" s="182" t="s">
        <v>9716</v>
      </c>
      <c r="H2092" s="182" t="s">
        <v>2734</v>
      </c>
      <c r="I2092" s="184" t="s">
        <v>1929</v>
      </c>
      <c r="J2092" s="182" t="s">
        <v>9706</v>
      </c>
      <c r="K2092" s="182" t="s">
        <v>1881</v>
      </c>
      <c r="L2092" s="184" t="s">
        <v>9717</v>
      </c>
      <c r="O2092" s="182" t="s">
        <v>9718</v>
      </c>
      <c r="P2092" s="17">
        <v>444</v>
      </c>
      <c r="Q2092" s="145">
        <f t="shared" si="148"/>
        <v>4.1572100000000001</v>
      </c>
      <c r="R2092" s="199">
        <v>1.2</v>
      </c>
      <c r="S2092" s="199">
        <v>5.08</v>
      </c>
      <c r="U2092" s="149">
        <v>2.2000000000000002</v>
      </c>
      <c r="V2092" s="149">
        <v>0.34</v>
      </c>
      <c r="W2092" s="149">
        <f t="shared" si="149"/>
        <v>1.143</v>
      </c>
      <c r="X2092" s="150">
        <f t="shared" si="150"/>
        <v>0.25780999999999998</v>
      </c>
      <c r="Y2092" s="150">
        <f t="shared" si="151"/>
        <v>1.4164000000000001</v>
      </c>
      <c r="Z2092" s="150">
        <f t="shared" si="147"/>
        <v>5.08</v>
      </c>
      <c r="AA2092" s="150">
        <f t="shared" si="152"/>
        <v>3.9408099999999999</v>
      </c>
      <c r="AB2092" s="150">
        <f t="shared" si="153"/>
        <v>5.3572100000000002</v>
      </c>
      <c r="AC2092" s="154"/>
      <c r="AD2092" s="154"/>
      <c r="AE2092" s="154"/>
      <c r="AF2092" s="154"/>
    </row>
    <row r="2093" spans="1:36" x14ac:dyDescent="0.25">
      <c r="A2093" s="182">
        <v>766</v>
      </c>
      <c r="C2093" s="182" t="s">
        <v>9719</v>
      </c>
      <c r="D2093" s="182" t="s">
        <v>1979</v>
      </c>
      <c r="F2093" s="182">
        <v>2004</v>
      </c>
      <c r="H2093" s="182" t="s">
        <v>2734</v>
      </c>
      <c r="I2093" s="184" t="s">
        <v>1879</v>
      </c>
      <c r="K2093" s="182" t="s">
        <v>1881</v>
      </c>
      <c r="L2093" s="184" t="s">
        <v>9720</v>
      </c>
      <c r="M2093" s="182">
        <v>120</v>
      </c>
      <c r="O2093" s="182" t="s">
        <v>9721</v>
      </c>
      <c r="P2093" s="17">
        <v>501</v>
      </c>
      <c r="Q2093" s="145">
        <f t="shared" si="148"/>
        <v>3.5660748</v>
      </c>
      <c r="R2093" s="199">
        <v>1.7</v>
      </c>
      <c r="S2093" s="199">
        <v>2.77</v>
      </c>
      <c r="U2093" s="149">
        <v>2.2000000000000002</v>
      </c>
      <c r="V2093" s="149">
        <v>0.34</v>
      </c>
      <c r="W2093" s="149">
        <f t="shared" si="149"/>
        <v>1.143</v>
      </c>
      <c r="X2093" s="150">
        <f t="shared" si="150"/>
        <v>0.25780999999999998</v>
      </c>
      <c r="Y2093" s="150">
        <f t="shared" si="151"/>
        <v>1.3252648</v>
      </c>
      <c r="Z2093" s="150">
        <f t="shared" si="147"/>
        <v>2.77</v>
      </c>
      <c r="AA2093" s="150">
        <f t="shared" si="152"/>
        <v>3.9408099999999999</v>
      </c>
      <c r="AB2093" s="150">
        <f t="shared" si="153"/>
        <v>5.2660748000000002</v>
      </c>
      <c r="AC2093" s="154"/>
      <c r="AD2093" s="154"/>
      <c r="AE2093" s="154"/>
      <c r="AF2093" s="154"/>
    </row>
    <row r="2094" spans="1:36" x14ac:dyDescent="0.25">
      <c r="A2094" s="182">
        <v>701</v>
      </c>
      <c r="B2094" s="182" t="s">
        <v>2097</v>
      </c>
      <c r="C2094" s="182" t="s">
        <v>9722</v>
      </c>
      <c r="D2094" s="182" t="s">
        <v>1920</v>
      </c>
      <c r="F2094" s="182">
        <v>2015</v>
      </c>
      <c r="H2094" s="182" t="s">
        <v>1878</v>
      </c>
      <c r="I2094" s="184" t="s">
        <v>1879</v>
      </c>
      <c r="J2094" s="182" t="s">
        <v>9196</v>
      </c>
      <c r="K2094" s="182" t="s">
        <v>1881</v>
      </c>
      <c r="L2094" s="184" t="s">
        <v>9723</v>
      </c>
      <c r="M2094" s="182">
        <v>307</v>
      </c>
      <c r="O2094" s="182" t="s">
        <v>9724</v>
      </c>
      <c r="P2094" s="17">
        <v>418</v>
      </c>
      <c r="Q2094" s="145">
        <f t="shared" si="148"/>
        <v>4.0660748</v>
      </c>
      <c r="R2094" s="199">
        <v>1.2</v>
      </c>
      <c r="S2094" s="199">
        <v>1.65</v>
      </c>
      <c r="U2094" s="149">
        <v>2.2000000000000002</v>
      </c>
      <c r="V2094" s="149">
        <v>0.34</v>
      </c>
      <c r="W2094" s="149">
        <f t="shared" si="149"/>
        <v>1.143</v>
      </c>
      <c r="X2094" s="150">
        <f t="shared" si="150"/>
        <v>0.25780999999999998</v>
      </c>
      <c r="Y2094" s="150">
        <f t="shared" si="151"/>
        <v>1.3252648</v>
      </c>
      <c r="Z2094" s="150">
        <f t="shared" si="147"/>
        <v>1.65</v>
      </c>
      <c r="AA2094" s="150">
        <f t="shared" si="152"/>
        <v>3.9408099999999999</v>
      </c>
      <c r="AB2094" s="150">
        <f t="shared" si="153"/>
        <v>5.2660748000000002</v>
      </c>
      <c r="AC2094" s="154"/>
      <c r="AD2094" s="154"/>
      <c r="AE2094" s="154"/>
      <c r="AF2094" s="154"/>
    </row>
    <row r="2095" spans="1:36" x14ac:dyDescent="0.25">
      <c r="A2095" s="182">
        <v>1324</v>
      </c>
      <c r="B2095" s="182" t="s">
        <v>9725</v>
      </c>
      <c r="C2095" s="182" t="s">
        <v>9726</v>
      </c>
      <c r="D2095" s="182" t="s">
        <v>2054</v>
      </c>
      <c r="F2095" s="182">
        <v>2006</v>
      </c>
      <c r="H2095" s="182" t="s">
        <v>1878</v>
      </c>
      <c r="I2095" s="184" t="s">
        <v>1914</v>
      </c>
      <c r="K2095" s="182" t="s">
        <v>1881</v>
      </c>
      <c r="L2095" s="184" t="s">
        <v>9727</v>
      </c>
      <c r="M2095" s="182">
        <v>302</v>
      </c>
      <c r="O2095" s="182" t="s">
        <v>9728</v>
      </c>
      <c r="P2095" s="17">
        <v>385</v>
      </c>
      <c r="Q2095" s="145">
        <f t="shared" si="148"/>
        <v>4.0660748</v>
      </c>
      <c r="R2095" s="199">
        <v>1.2</v>
      </c>
      <c r="S2095" s="199">
        <v>1.6</v>
      </c>
      <c r="U2095" s="149">
        <v>2.2000000000000002</v>
      </c>
      <c r="V2095" s="149">
        <v>0.34</v>
      </c>
      <c r="W2095" s="149">
        <f t="shared" si="149"/>
        <v>1.143</v>
      </c>
      <c r="X2095" s="150">
        <f t="shared" si="150"/>
        <v>0.25780999999999998</v>
      </c>
      <c r="Y2095" s="150">
        <f t="shared" si="151"/>
        <v>1.3252648</v>
      </c>
      <c r="Z2095" s="150">
        <f t="shared" si="147"/>
        <v>1.6</v>
      </c>
      <c r="AA2095" s="150">
        <f t="shared" si="152"/>
        <v>3.9408099999999999</v>
      </c>
      <c r="AB2095" s="150">
        <f t="shared" si="153"/>
        <v>5.2660748000000002</v>
      </c>
      <c r="AC2095" s="154"/>
      <c r="AD2095" s="154"/>
      <c r="AE2095" s="154"/>
      <c r="AF2095" s="154"/>
    </row>
    <row r="2096" spans="1:36" x14ac:dyDescent="0.25">
      <c r="A2096" s="182">
        <v>2515</v>
      </c>
      <c r="B2096" s="182" t="s">
        <v>9729</v>
      </c>
      <c r="C2096" s="182" t="s">
        <v>9730</v>
      </c>
      <c r="D2096" s="182" t="s">
        <v>9731</v>
      </c>
      <c r="E2096" s="182" t="s">
        <v>1913</v>
      </c>
      <c r="F2096" s="182">
        <v>2013</v>
      </c>
      <c r="H2096" s="182" t="s">
        <v>2734</v>
      </c>
      <c r="I2096" s="184" t="s">
        <v>1879</v>
      </c>
      <c r="J2096" s="182" t="s">
        <v>9732</v>
      </c>
      <c r="K2096" s="182" t="s">
        <v>1881</v>
      </c>
      <c r="L2096" s="184" t="s">
        <v>9733</v>
      </c>
      <c r="M2096" s="182">
        <v>96</v>
      </c>
      <c r="O2096" s="182" t="s">
        <v>9734</v>
      </c>
      <c r="P2096" s="17">
        <v>329</v>
      </c>
      <c r="Q2096" s="145">
        <f t="shared" si="148"/>
        <v>4.0660748</v>
      </c>
      <c r="R2096" s="199">
        <v>1.2</v>
      </c>
      <c r="S2096" s="199">
        <v>3.3</v>
      </c>
      <c r="U2096" s="149">
        <v>2.2000000000000002</v>
      </c>
      <c r="V2096" s="149">
        <v>0.34</v>
      </c>
      <c r="W2096" s="149">
        <f t="shared" si="149"/>
        <v>1.143</v>
      </c>
      <c r="X2096" s="150">
        <f t="shared" si="150"/>
        <v>0.25780999999999998</v>
      </c>
      <c r="Y2096" s="150">
        <f t="shared" si="151"/>
        <v>1.3252648</v>
      </c>
      <c r="Z2096" s="150">
        <f t="shared" si="147"/>
        <v>3.3</v>
      </c>
      <c r="AA2096" s="150">
        <f t="shared" si="152"/>
        <v>3.9408099999999999</v>
      </c>
      <c r="AB2096" s="150">
        <f t="shared" si="153"/>
        <v>5.2660748000000002</v>
      </c>
      <c r="AC2096" s="154"/>
      <c r="AD2096" s="154"/>
      <c r="AE2096" s="154"/>
      <c r="AF2096" s="154"/>
    </row>
    <row r="2097" spans="1:32" x14ac:dyDescent="0.25">
      <c r="A2097" s="182">
        <v>2515</v>
      </c>
      <c r="B2097" s="182" t="s">
        <v>9735</v>
      </c>
      <c r="C2097" s="182" t="s">
        <v>9736</v>
      </c>
      <c r="D2097" s="182" t="s">
        <v>7982</v>
      </c>
      <c r="E2097" s="182" t="s">
        <v>1877</v>
      </c>
      <c r="F2097" s="182">
        <v>2003</v>
      </c>
      <c r="H2097" s="182" t="s">
        <v>2734</v>
      </c>
      <c r="I2097" s="184" t="s">
        <v>1879</v>
      </c>
      <c r="J2097" s="182" t="s">
        <v>9495</v>
      </c>
      <c r="K2097" s="182" t="s">
        <v>1881</v>
      </c>
      <c r="L2097" s="184" t="s">
        <v>9737</v>
      </c>
      <c r="M2097" s="182">
        <v>239</v>
      </c>
      <c r="O2097" s="182" t="s">
        <v>9738</v>
      </c>
      <c r="P2097" s="17">
        <v>402</v>
      </c>
      <c r="Q2097" s="145">
        <f t="shared" si="148"/>
        <v>6.3999999999999995</v>
      </c>
      <c r="R2097" s="199">
        <v>1.2</v>
      </c>
      <c r="S2097" s="199">
        <v>7.6</v>
      </c>
      <c r="U2097" s="149">
        <v>2.2000000000000002</v>
      </c>
      <c r="V2097" s="149">
        <v>0.34</v>
      </c>
      <c r="W2097" s="149">
        <f t="shared" si="149"/>
        <v>1.143</v>
      </c>
      <c r="X2097" s="150">
        <f t="shared" si="150"/>
        <v>0.25780999999999998</v>
      </c>
      <c r="Y2097" s="150">
        <f t="shared" si="151"/>
        <v>1.6179999999999999</v>
      </c>
      <c r="Z2097" s="150">
        <f t="shared" si="147"/>
        <v>7.6</v>
      </c>
      <c r="AA2097" s="150">
        <f t="shared" si="152"/>
        <v>3.9408099999999999</v>
      </c>
      <c r="AB2097" s="150">
        <f t="shared" si="153"/>
        <v>5.5588099999999994</v>
      </c>
      <c r="AC2097" s="154"/>
      <c r="AD2097" s="154"/>
      <c r="AE2097" s="154"/>
      <c r="AF2097" s="154"/>
    </row>
    <row r="2098" spans="1:32" x14ac:dyDescent="0.25">
      <c r="A2098" s="182">
        <v>692</v>
      </c>
      <c r="B2098" s="182" t="s">
        <v>4031</v>
      </c>
      <c r="C2098" s="182" t="s">
        <v>9739</v>
      </c>
      <c r="D2098" s="182" t="s">
        <v>2609</v>
      </c>
      <c r="F2098" s="182">
        <v>1995</v>
      </c>
      <c r="H2098" s="182" t="s">
        <v>2734</v>
      </c>
      <c r="I2098" s="184" t="s">
        <v>1879</v>
      </c>
      <c r="K2098" s="182" t="s">
        <v>1881</v>
      </c>
      <c r="L2098" s="184" t="s">
        <v>9740</v>
      </c>
      <c r="M2098" s="182">
        <v>522</v>
      </c>
      <c r="O2098" s="182" t="s">
        <v>9741</v>
      </c>
      <c r="P2098" s="17">
        <v>541</v>
      </c>
      <c r="Q2098" s="145">
        <f t="shared" si="148"/>
        <v>3.5660748</v>
      </c>
      <c r="R2098" s="199">
        <v>1.7</v>
      </c>
      <c r="S2098" s="199">
        <v>2.8</v>
      </c>
      <c r="U2098" s="149">
        <v>2.2000000000000002</v>
      </c>
      <c r="V2098" s="149">
        <v>0.34</v>
      </c>
      <c r="W2098" s="149">
        <f t="shared" si="149"/>
        <v>1.143</v>
      </c>
      <c r="X2098" s="150">
        <f t="shared" si="150"/>
        <v>0.25780999999999998</v>
      </c>
      <c r="Y2098" s="150">
        <f t="shared" si="151"/>
        <v>1.3252648</v>
      </c>
      <c r="Z2098" s="150">
        <f t="shared" si="147"/>
        <v>2.8</v>
      </c>
      <c r="AA2098" s="150">
        <f t="shared" si="152"/>
        <v>3.9408099999999999</v>
      </c>
      <c r="AB2098" s="150">
        <f t="shared" si="153"/>
        <v>5.2660748000000002</v>
      </c>
      <c r="AC2098" s="154"/>
      <c r="AD2098" s="154"/>
      <c r="AE2098" s="154"/>
      <c r="AF2098" s="154"/>
    </row>
    <row r="2099" spans="1:32" x14ac:dyDescent="0.25">
      <c r="A2099" s="182">
        <v>1386</v>
      </c>
      <c r="B2099" s="182" t="s">
        <v>9742</v>
      </c>
      <c r="C2099" s="182" t="s">
        <v>9743</v>
      </c>
      <c r="D2099" s="182" t="s">
        <v>9094</v>
      </c>
      <c r="F2099" s="182">
        <v>2004</v>
      </c>
      <c r="H2099" s="182" t="s">
        <v>2734</v>
      </c>
      <c r="I2099" s="184" t="s">
        <v>1879</v>
      </c>
      <c r="J2099" s="182" t="s">
        <v>9744</v>
      </c>
      <c r="K2099" s="182" t="s">
        <v>1881</v>
      </c>
      <c r="M2099" s="182">
        <v>574</v>
      </c>
      <c r="O2099" s="182" t="s">
        <v>9745</v>
      </c>
      <c r="P2099" s="17">
        <v>683</v>
      </c>
      <c r="Q2099" s="145">
        <f t="shared" si="148"/>
        <v>3.5660748</v>
      </c>
      <c r="R2099" s="199">
        <v>1.7</v>
      </c>
      <c r="S2099" s="199">
        <v>1.7</v>
      </c>
      <c r="U2099" s="149">
        <v>2.2000000000000002</v>
      </c>
      <c r="V2099" s="149">
        <v>0.34</v>
      </c>
      <c r="W2099" s="149">
        <f t="shared" si="149"/>
        <v>1.143</v>
      </c>
      <c r="X2099" s="150">
        <f t="shared" si="150"/>
        <v>0.25780999999999998</v>
      </c>
      <c r="Y2099" s="150">
        <f t="shared" si="151"/>
        <v>1.3252648</v>
      </c>
      <c r="Z2099" s="150">
        <f t="shared" si="147"/>
        <v>1.7</v>
      </c>
      <c r="AA2099" s="150">
        <f t="shared" si="152"/>
        <v>3.9408099999999999</v>
      </c>
      <c r="AB2099" s="150">
        <f t="shared" si="153"/>
        <v>5.2660748000000002</v>
      </c>
      <c r="AC2099" s="154"/>
      <c r="AD2099" s="154"/>
      <c r="AE2099" s="154"/>
      <c r="AF2099" s="154"/>
    </row>
    <row r="2100" spans="1:32" x14ac:dyDescent="0.25">
      <c r="A2100" s="182">
        <v>796</v>
      </c>
      <c r="B2100" s="182" t="s">
        <v>6186</v>
      </c>
      <c r="C2100" s="182" t="s">
        <v>9746</v>
      </c>
      <c r="D2100" s="182" t="s">
        <v>2309</v>
      </c>
      <c r="E2100" s="182" t="s">
        <v>1913</v>
      </c>
      <c r="F2100" s="182">
        <v>2008</v>
      </c>
      <c r="H2100" s="182" t="s">
        <v>1878</v>
      </c>
      <c r="I2100" s="184" t="s">
        <v>7527</v>
      </c>
      <c r="K2100" s="182" t="s">
        <v>1881</v>
      </c>
      <c r="L2100" s="184" t="s">
        <v>9747</v>
      </c>
      <c r="M2100" s="182">
        <v>212</v>
      </c>
      <c r="O2100" s="182" t="s">
        <v>9748</v>
      </c>
      <c r="P2100" s="17">
        <v>213</v>
      </c>
      <c r="Q2100" s="145">
        <f t="shared" si="148"/>
        <v>4.0660748</v>
      </c>
      <c r="R2100" s="199">
        <v>1.2</v>
      </c>
      <c r="S2100" s="199">
        <v>1.8</v>
      </c>
      <c r="U2100" s="149">
        <v>2.2000000000000002</v>
      </c>
      <c r="V2100" s="149">
        <v>0.34</v>
      </c>
      <c r="W2100" s="149">
        <f t="shared" si="149"/>
        <v>1.143</v>
      </c>
      <c r="X2100" s="150">
        <f t="shared" si="150"/>
        <v>0.25780999999999998</v>
      </c>
      <c r="Y2100" s="150">
        <f t="shared" si="151"/>
        <v>1.3252648</v>
      </c>
      <c r="Z2100" s="150">
        <f t="shared" si="147"/>
        <v>1.8</v>
      </c>
      <c r="AA2100" s="150">
        <f t="shared" si="152"/>
        <v>3.9408099999999999</v>
      </c>
      <c r="AB2100" s="150">
        <f t="shared" si="153"/>
        <v>5.2660748000000002</v>
      </c>
      <c r="AC2100" s="154"/>
      <c r="AD2100" s="154"/>
      <c r="AE2100" s="154"/>
      <c r="AF2100" s="154"/>
    </row>
    <row r="2101" spans="1:32" x14ac:dyDescent="0.25">
      <c r="A2101" s="182">
        <v>692</v>
      </c>
      <c r="B2101" s="182" t="s">
        <v>9749</v>
      </c>
      <c r="C2101" s="182" t="s">
        <v>9750</v>
      </c>
      <c r="D2101" s="182" t="s">
        <v>9751</v>
      </c>
      <c r="E2101" s="182" t="s">
        <v>1913</v>
      </c>
      <c r="F2101" s="182">
        <v>2002</v>
      </c>
      <c r="H2101" s="182" t="s">
        <v>1878</v>
      </c>
      <c r="I2101" s="184" t="s">
        <v>1914</v>
      </c>
      <c r="K2101" s="182" t="s">
        <v>1881</v>
      </c>
      <c r="L2101" s="184" t="s">
        <v>9752</v>
      </c>
      <c r="M2101" s="182">
        <v>382</v>
      </c>
      <c r="O2101" s="182" t="s">
        <v>9753</v>
      </c>
      <c r="P2101" s="17">
        <v>339</v>
      </c>
      <c r="Q2101" s="145">
        <f t="shared" si="148"/>
        <v>4.0660748</v>
      </c>
      <c r="R2101" s="199">
        <v>1.2</v>
      </c>
      <c r="S2101" s="199">
        <v>1.45</v>
      </c>
      <c r="U2101" s="149">
        <v>2.2000000000000002</v>
      </c>
      <c r="V2101" s="149">
        <v>0.34</v>
      </c>
      <c r="W2101" s="149">
        <f t="shared" si="149"/>
        <v>1.143</v>
      </c>
      <c r="X2101" s="150">
        <f t="shared" si="150"/>
        <v>0.25780999999999998</v>
      </c>
      <c r="Y2101" s="150">
        <f t="shared" si="151"/>
        <v>1.3252648</v>
      </c>
      <c r="Z2101" s="150">
        <f t="shared" si="147"/>
        <v>1.45</v>
      </c>
      <c r="AA2101" s="150">
        <f t="shared" si="152"/>
        <v>3.9408099999999999</v>
      </c>
      <c r="AB2101" s="150">
        <f t="shared" si="153"/>
        <v>5.2660748000000002</v>
      </c>
      <c r="AC2101" s="154"/>
      <c r="AD2101" s="154"/>
      <c r="AE2101" s="154"/>
      <c r="AF2101" s="154"/>
    </row>
    <row r="2102" spans="1:32" x14ac:dyDescent="0.25">
      <c r="A2102" s="182">
        <v>8</v>
      </c>
      <c r="B2102" s="182" t="s">
        <v>3369</v>
      </c>
      <c r="C2102" s="182" t="s">
        <v>9754</v>
      </c>
      <c r="D2102" s="182" t="s">
        <v>2209</v>
      </c>
      <c r="E2102" s="182" t="s">
        <v>2412</v>
      </c>
      <c r="F2102" s="182">
        <v>2004</v>
      </c>
      <c r="H2102" s="182" t="s">
        <v>1878</v>
      </c>
      <c r="I2102" s="184" t="s">
        <v>1914</v>
      </c>
      <c r="K2102" s="182" t="s">
        <v>1881</v>
      </c>
      <c r="L2102" s="184" t="s">
        <v>9755</v>
      </c>
      <c r="M2102" s="182">
        <v>796</v>
      </c>
      <c r="O2102" s="182" t="s">
        <v>9756</v>
      </c>
      <c r="P2102" s="17">
        <v>548</v>
      </c>
      <c r="Q2102" s="145">
        <f t="shared" si="148"/>
        <v>3.5660748</v>
      </c>
      <c r="R2102" s="199">
        <v>1.7</v>
      </c>
      <c r="S2102" s="199">
        <v>1.99</v>
      </c>
      <c r="U2102" s="149">
        <v>2.2000000000000002</v>
      </c>
      <c r="V2102" s="149">
        <v>0.34</v>
      </c>
      <c r="W2102" s="149">
        <f t="shared" si="149"/>
        <v>1.143</v>
      </c>
      <c r="X2102" s="150">
        <f t="shared" si="150"/>
        <v>0.25780999999999998</v>
      </c>
      <c r="Y2102" s="150">
        <f t="shared" si="151"/>
        <v>1.3252648</v>
      </c>
      <c r="Z2102" s="150">
        <f t="shared" si="147"/>
        <v>1.99</v>
      </c>
      <c r="AA2102" s="150">
        <f t="shared" si="152"/>
        <v>3.9408099999999999</v>
      </c>
      <c r="AB2102" s="150">
        <f t="shared" si="153"/>
        <v>5.2660748000000002</v>
      </c>
      <c r="AC2102" s="154"/>
      <c r="AD2102" s="154"/>
      <c r="AE2102" s="154"/>
      <c r="AF2102" s="154"/>
    </row>
    <row r="2103" spans="1:32" x14ac:dyDescent="0.25">
      <c r="A2103" s="182">
        <v>649</v>
      </c>
      <c r="B2103" s="182" t="s">
        <v>9757</v>
      </c>
      <c r="C2103" s="182" t="s">
        <v>9758</v>
      </c>
      <c r="D2103" s="182" t="s">
        <v>3057</v>
      </c>
      <c r="E2103" s="182" t="s">
        <v>1877</v>
      </c>
      <c r="F2103" s="182">
        <v>2001</v>
      </c>
      <c r="H2103" s="182" t="s">
        <v>2734</v>
      </c>
      <c r="I2103" s="184" t="s">
        <v>1879</v>
      </c>
      <c r="K2103" s="182" t="s">
        <v>1881</v>
      </c>
      <c r="L2103" s="184" t="s">
        <v>9759</v>
      </c>
      <c r="M2103" s="182">
        <v>155</v>
      </c>
      <c r="O2103" s="182" t="s">
        <v>9760</v>
      </c>
      <c r="P2103" s="17">
        <v>485</v>
      </c>
      <c r="Q2103" s="145">
        <f t="shared" si="148"/>
        <v>4.0660748</v>
      </c>
      <c r="R2103" s="199">
        <v>1.2</v>
      </c>
      <c r="S2103" s="199">
        <v>2</v>
      </c>
      <c r="U2103" s="149">
        <v>2.2000000000000002</v>
      </c>
      <c r="V2103" s="149">
        <v>0.34</v>
      </c>
      <c r="W2103" s="149">
        <f t="shared" si="149"/>
        <v>1.143</v>
      </c>
      <c r="X2103" s="150">
        <f t="shared" si="150"/>
        <v>0.25780999999999998</v>
      </c>
      <c r="Y2103" s="150">
        <f t="shared" si="151"/>
        <v>1.3252648</v>
      </c>
      <c r="Z2103" s="150">
        <f t="shared" si="147"/>
        <v>2</v>
      </c>
      <c r="AA2103" s="150">
        <f t="shared" si="152"/>
        <v>3.9408099999999999</v>
      </c>
      <c r="AB2103" s="150">
        <f t="shared" si="153"/>
        <v>5.2660748000000002</v>
      </c>
      <c r="AC2103" s="154"/>
      <c r="AD2103" s="154"/>
      <c r="AE2103" s="154"/>
      <c r="AF2103" s="154"/>
    </row>
    <row r="2104" spans="1:32" x14ac:dyDescent="0.25">
      <c r="A2104" s="182">
        <v>1386</v>
      </c>
      <c r="B2104" s="182" t="s">
        <v>9761</v>
      </c>
      <c r="C2104" s="182" t="s">
        <v>9762</v>
      </c>
      <c r="D2104" s="182" t="s">
        <v>9763</v>
      </c>
      <c r="F2104" s="182">
        <v>2011</v>
      </c>
      <c r="H2104" s="182" t="s">
        <v>1878</v>
      </c>
      <c r="I2104" s="184" t="s">
        <v>7527</v>
      </c>
      <c r="K2104" s="182" t="s">
        <v>1881</v>
      </c>
      <c r="L2104" s="184" t="s">
        <v>9764</v>
      </c>
      <c r="M2104" s="182">
        <v>399</v>
      </c>
      <c r="O2104" s="182" t="s">
        <v>9765</v>
      </c>
      <c r="P2104" s="17">
        <v>326</v>
      </c>
      <c r="Q2104" s="145">
        <f t="shared" si="148"/>
        <v>4.0660748</v>
      </c>
      <c r="R2104" s="199">
        <v>1.2</v>
      </c>
      <c r="S2104" s="199">
        <v>1.65</v>
      </c>
      <c r="U2104" s="149">
        <v>2.2000000000000002</v>
      </c>
      <c r="V2104" s="149">
        <v>0.34</v>
      </c>
      <c r="W2104" s="149">
        <f t="shared" si="149"/>
        <v>1.143</v>
      </c>
      <c r="X2104" s="150">
        <f t="shared" si="150"/>
        <v>0.25780999999999998</v>
      </c>
      <c r="Y2104" s="150">
        <f t="shared" si="151"/>
        <v>1.3252648</v>
      </c>
      <c r="Z2104" s="150">
        <f t="shared" si="147"/>
        <v>1.65</v>
      </c>
      <c r="AA2104" s="150">
        <f t="shared" si="152"/>
        <v>3.9408099999999999</v>
      </c>
      <c r="AB2104" s="150">
        <f t="shared" si="153"/>
        <v>5.2660748000000002</v>
      </c>
      <c r="AC2104" s="154"/>
      <c r="AD2104" s="154"/>
      <c r="AE2104" s="154"/>
      <c r="AF2104" s="154"/>
    </row>
    <row r="2105" spans="1:32" x14ac:dyDescent="0.25">
      <c r="A2105" s="182">
        <v>2851</v>
      </c>
      <c r="B2105" s="182" t="s">
        <v>2629</v>
      </c>
      <c r="C2105" s="182" t="s">
        <v>9766</v>
      </c>
      <c r="D2105" s="182" t="s">
        <v>1876</v>
      </c>
      <c r="E2105" s="182" t="s">
        <v>2175</v>
      </c>
      <c r="F2105" s="182">
        <v>2003</v>
      </c>
      <c r="H2105" s="182" t="s">
        <v>1878</v>
      </c>
      <c r="I2105" s="184" t="s">
        <v>7527</v>
      </c>
      <c r="K2105" s="182" t="s">
        <v>1881</v>
      </c>
      <c r="L2105" s="184" t="s">
        <v>9767</v>
      </c>
      <c r="M2105" s="182">
        <v>678</v>
      </c>
      <c r="O2105" s="182" t="s">
        <v>9768</v>
      </c>
      <c r="P2105" s="17">
        <v>518</v>
      </c>
      <c r="Q2105" s="145">
        <f t="shared" si="148"/>
        <v>3.5660748</v>
      </c>
      <c r="R2105" s="199">
        <v>1.7</v>
      </c>
      <c r="S2105" s="199">
        <v>2.0499999999999998</v>
      </c>
      <c r="U2105" s="149">
        <v>2.2000000000000002</v>
      </c>
      <c r="V2105" s="149">
        <v>0.34</v>
      </c>
      <c r="W2105" s="149">
        <f t="shared" si="149"/>
        <v>1.143</v>
      </c>
      <c r="X2105" s="150">
        <f t="shared" si="150"/>
        <v>0.25780999999999998</v>
      </c>
      <c r="Y2105" s="150">
        <f t="shared" si="151"/>
        <v>1.3252648</v>
      </c>
      <c r="Z2105" s="150">
        <f t="shared" si="147"/>
        <v>2.0499999999999998</v>
      </c>
      <c r="AA2105" s="150">
        <f t="shared" si="152"/>
        <v>3.9408099999999999</v>
      </c>
      <c r="AB2105" s="150">
        <f t="shared" si="153"/>
        <v>5.2660748000000002</v>
      </c>
      <c r="AC2105" s="154"/>
      <c r="AD2105" s="154"/>
      <c r="AE2105" s="154"/>
      <c r="AF2105" s="154"/>
    </row>
    <row r="2106" spans="1:32" x14ac:dyDescent="0.25">
      <c r="A2106" s="182">
        <v>692</v>
      </c>
      <c r="B2106" s="182" t="s">
        <v>9769</v>
      </c>
      <c r="C2106" s="182" t="s">
        <v>9770</v>
      </c>
      <c r="D2106" s="182" t="s">
        <v>2257</v>
      </c>
      <c r="E2106" s="182" t="s">
        <v>1913</v>
      </c>
      <c r="F2106" s="182">
        <v>2001</v>
      </c>
      <c r="H2106" s="182" t="s">
        <v>1878</v>
      </c>
      <c r="I2106" s="184" t="s">
        <v>7527</v>
      </c>
      <c r="K2106" s="182" t="s">
        <v>1881</v>
      </c>
      <c r="L2106" s="184" t="s">
        <v>9771</v>
      </c>
      <c r="M2106" s="182">
        <v>394</v>
      </c>
      <c r="O2106" s="182" t="s">
        <v>9772</v>
      </c>
      <c r="P2106" s="17">
        <v>213</v>
      </c>
      <c r="Q2106" s="145">
        <f t="shared" si="148"/>
        <v>4.0660748</v>
      </c>
      <c r="R2106" s="199">
        <v>1.2</v>
      </c>
      <c r="S2106" s="199">
        <f>0.25+1.29</f>
        <v>1.54</v>
      </c>
      <c r="U2106" s="149">
        <v>2.2000000000000002</v>
      </c>
      <c r="V2106" s="149">
        <v>0.34</v>
      </c>
      <c r="W2106" s="149">
        <f t="shared" si="149"/>
        <v>1.143</v>
      </c>
      <c r="X2106" s="150">
        <f t="shared" si="150"/>
        <v>0.25780999999999998</v>
      </c>
      <c r="Y2106" s="150">
        <f t="shared" si="151"/>
        <v>1.3252648</v>
      </c>
      <c r="Z2106" s="150">
        <f t="shared" si="147"/>
        <v>1.54</v>
      </c>
      <c r="AA2106" s="150">
        <f t="shared" si="152"/>
        <v>3.9408099999999999</v>
      </c>
      <c r="AB2106" s="150">
        <f t="shared" si="153"/>
        <v>5.2660748000000002</v>
      </c>
      <c r="AC2106" s="154"/>
      <c r="AD2106" s="154"/>
      <c r="AE2106" s="154"/>
      <c r="AF2106" s="154"/>
    </row>
    <row r="2107" spans="1:32" x14ac:dyDescent="0.25">
      <c r="A2107" s="182">
        <v>692</v>
      </c>
      <c r="B2107" s="182" t="s">
        <v>9773</v>
      </c>
      <c r="C2107" s="182" t="s">
        <v>9774</v>
      </c>
      <c r="D2107" s="182" t="s">
        <v>2257</v>
      </c>
      <c r="F2107" s="182">
        <v>2005</v>
      </c>
      <c r="H2107" s="182" t="s">
        <v>1878</v>
      </c>
      <c r="I2107" s="184" t="s">
        <v>1879</v>
      </c>
      <c r="K2107" s="182" t="s">
        <v>1881</v>
      </c>
      <c r="L2107" s="184" t="s">
        <v>9775</v>
      </c>
      <c r="M2107" s="182">
        <v>359</v>
      </c>
      <c r="O2107" s="182" t="s">
        <v>9776</v>
      </c>
      <c r="P2107" s="17">
        <v>358</v>
      </c>
      <c r="Q2107" s="145">
        <f t="shared" si="148"/>
        <v>4.0660748</v>
      </c>
      <c r="R2107" s="199">
        <v>1.2</v>
      </c>
      <c r="S2107" s="199">
        <v>1.55</v>
      </c>
      <c r="U2107" s="149">
        <v>2.2000000000000002</v>
      </c>
      <c r="V2107" s="149">
        <v>0.34</v>
      </c>
      <c r="W2107" s="149">
        <f t="shared" si="149"/>
        <v>1.143</v>
      </c>
      <c r="X2107" s="150">
        <f t="shared" si="150"/>
        <v>0.25780999999999998</v>
      </c>
      <c r="Y2107" s="150">
        <f t="shared" si="151"/>
        <v>1.3252648</v>
      </c>
      <c r="Z2107" s="150">
        <f t="shared" si="147"/>
        <v>1.55</v>
      </c>
      <c r="AA2107" s="150">
        <f t="shared" si="152"/>
        <v>3.9408099999999999</v>
      </c>
      <c r="AB2107" s="150">
        <f t="shared" si="153"/>
        <v>5.2660748000000002</v>
      </c>
      <c r="AC2107" s="154"/>
      <c r="AD2107" s="154"/>
      <c r="AE2107" s="154"/>
      <c r="AF2107" s="154"/>
    </row>
    <row r="2108" spans="1:32" x14ac:dyDescent="0.25">
      <c r="A2108" s="182">
        <v>692</v>
      </c>
      <c r="B2108" s="182" t="s">
        <v>3244</v>
      </c>
      <c r="C2108" s="182" t="s">
        <v>3245</v>
      </c>
      <c r="D2108" s="182" t="s">
        <v>2054</v>
      </c>
      <c r="F2108" s="182">
        <v>2011</v>
      </c>
      <c r="H2108" s="182" t="s">
        <v>1878</v>
      </c>
      <c r="I2108" s="184" t="s">
        <v>1879</v>
      </c>
      <c r="K2108" s="182" t="s">
        <v>1881</v>
      </c>
      <c r="L2108" s="184" t="s">
        <v>9777</v>
      </c>
      <c r="M2108" s="182">
        <v>381</v>
      </c>
      <c r="O2108" s="182" t="s">
        <v>9778</v>
      </c>
      <c r="P2108" s="17">
        <v>481</v>
      </c>
      <c r="Q2108" s="145">
        <f t="shared" si="148"/>
        <v>4.0660748</v>
      </c>
      <c r="R2108" s="199">
        <v>1.2</v>
      </c>
      <c r="S2108" s="199">
        <f>0.25+1.74</f>
        <v>1.99</v>
      </c>
      <c r="U2108" s="149">
        <v>2.2000000000000002</v>
      </c>
      <c r="V2108" s="149">
        <v>0.34</v>
      </c>
      <c r="W2108" s="149">
        <f t="shared" si="149"/>
        <v>1.143</v>
      </c>
      <c r="X2108" s="150">
        <f t="shared" si="150"/>
        <v>0.25780999999999998</v>
      </c>
      <c r="Y2108" s="150">
        <f t="shared" si="151"/>
        <v>1.3252648</v>
      </c>
      <c r="Z2108" s="150">
        <f t="shared" si="147"/>
        <v>1.99</v>
      </c>
      <c r="AA2108" s="150">
        <f t="shared" si="152"/>
        <v>3.9408099999999999</v>
      </c>
      <c r="AB2108" s="150">
        <f t="shared" si="153"/>
        <v>5.2660748000000002</v>
      </c>
      <c r="AC2108" s="154"/>
      <c r="AD2108" s="154"/>
      <c r="AE2108" s="154"/>
      <c r="AF2108" s="154"/>
    </row>
    <row r="2109" spans="1:32" x14ac:dyDescent="0.25">
      <c r="A2109" s="182">
        <v>2551</v>
      </c>
      <c r="B2109" s="182" t="s">
        <v>6327</v>
      </c>
      <c r="C2109" s="182" t="s">
        <v>9779</v>
      </c>
      <c r="D2109" s="182" t="s">
        <v>2054</v>
      </c>
      <c r="F2109" s="182">
        <v>2007</v>
      </c>
      <c r="H2109" s="182" t="s">
        <v>2734</v>
      </c>
      <c r="I2109" s="184" t="s">
        <v>1929</v>
      </c>
      <c r="K2109" s="182" t="s">
        <v>1881</v>
      </c>
      <c r="L2109" s="184" t="s">
        <v>9780</v>
      </c>
      <c r="M2109" s="182">
        <v>352</v>
      </c>
      <c r="O2109" s="182" t="s">
        <v>9781</v>
      </c>
      <c r="P2109" s="17">
        <v>419</v>
      </c>
      <c r="Q2109" s="145">
        <f t="shared" si="148"/>
        <v>4.0660748</v>
      </c>
      <c r="R2109" s="199">
        <v>1.2</v>
      </c>
      <c r="S2109" s="199">
        <v>2.25</v>
      </c>
      <c r="U2109" s="149">
        <v>2.2000000000000002</v>
      </c>
      <c r="V2109" s="149">
        <v>0.34</v>
      </c>
      <c r="W2109" s="149">
        <f t="shared" si="149"/>
        <v>1.143</v>
      </c>
      <c r="X2109" s="150">
        <f t="shared" si="150"/>
        <v>0.25780999999999998</v>
      </c>
      <c r="Y2109" s="150">
        <f t="shared" si="151"/>
        <v>1.3252648</v>
      </c>
      <c r="Z2109" s="150">
        <f t="shared" si="147"/>
        <v>2.25</v>
      </c>
      <c r="AA2109" s="150">
        <f t="shared" si="152"/>
        <v>3.9408099999999999</v>
      </c>
      <c r="AB2109" s="150">
        <f t="shared" si="153"/>
        <v>5.2660748000000002</v>
      </c>
      <c r="AC2109" s="154"/>
      <c r="AD2109" s="154"/>
      <c r="AE2109" s="154"/>
      <c r="AF2109" s="154"/>
    </row>
    <row r="2110" spans="1:32" x14ac:dyDescent="0.25">
      <c r="A2110" s="182">
        <v>4</v>
      </c>
      <c r="B2110" s="182" t="s">
        <v>9782</v>
      </c>
      <c r="C2110" s="182" t="s">
        <v>9783</v>
      </c>
      <c r="D2110" s="182" t="s">
        <v>9784</v>
      </c>
      <c r="E2110" s="182" t="s">
        <v>1877</v>
      </c>
      <c r="F2110" s="182">
        <v>2008</v>
      </c>
      <c r="H2110" s="182" t="s">
        <v>1878</v>
      </c>
      <c r="I2110" s="184" t="s">
        <v>1879</v>
      </c>
      <c r="K2110" s="182" t="s">
        <v>1881</v>
      </c>
      <c r="L2110" s="184" t="s">
        <v>9785</v>
      </c>
      <c r="M2110" s="182">
        <v>159</v>
      </c>
      <c r="O2110" s="182" t="s">
        <v>9786</v>
      </c>
      <c r="P2110" s="17">
        <v>103</v>
      </c>
      <c r="Q2110" s="145">
        <f t="shared" si="148"/>
        <v>5.1899999999999995</v>
      </c>
      <c r="R2110" s="199">
        <v>1.2</v>
      </c>
      <c r="S2110" s="199">
        <v>6.39</v>
      </c>
      <c r="U2110" s="149">
        <v>2.2000000000000002</v>
      </c>
      <c r="V2110" s="149">
        <v>0.34</v>
      </c>
      <c r="W2110" s="149">
        <f t="shared" si="149"/>
        <v>1.143</v>
      </c>
      <c r="X2110" s="150">
        <f t="shared" si="150"/>
        <v>0.25780999999999998</v>
      </c>
      <c r="Y2110" s="150">
        <f t="shared" si="151"/>
        <v>1.5211999999999999</v>
      </c>
      <c r="Z2110" s="150">
        <f t="shared" si="147"/>
        <v>6.39</v>
      </c>
      <c r="AA2110" s="150">
        <f t="shared" si="152"/>
        <v>3.9408099999999999</v>
      </c>
      <c r="AB2110" s="150">
        <f t="shared" si="153"/>
        <v>5.4620099999999994</v>
      </c>
      <c r="AC2110" s="154"/>
      <c r="AD2110" s="154"/>
      <c r="AE2110" s="154"/>
      <c r="AF2110" s="154"/>
    </row>
    <row r="2111" spans="1:32" x14ac:dyDescent="0.25">
      <c r="A2111" s="182">
        <v>692</v>
      </c>
      <c r="B2111" s="182" t="s">
        <v>9787</v>
      </c>
      <c r="C2111" s="182" t="s">
        <v>9788</v>
      </c>
      <c r="D2111" s="182" t="s">
        <v>1920</v>
      </c>
      <c r="E2111" s="182" t="s">
        <v>1899</v>
      </c>
      <c r="F2111" s="182">
        <v>2009</v>
      </c>
      <c r="H2111" s="182" t="s">
        <v>1878</v>
      </c>
      <c r="I2111" s="184" t="s">
        <v>1879</v>
      </c>
      <c r="K2111" s="182" t="s">
        <v>1881</v>
      </c>
      <c r="L2111" s="184" t="s">
        <v>9789</v>
      </c>
      <c r="M2111" s="182">
        <v>572</v>
      </c>
      <c r="O2111" s="182" t="s">
        <v>9790</v>
      </c>
      <c r="P2111" s="17">
        <v>351</v>
      </c>
      <c r="Q2111" s="145">
        <f t="shared" si="148"/>
        <v>4.0660748</v>
      </c>
      <c r="R2111" s="199">
        <v>1.2</v>
      </c>
      <c r="S2111" s="199">
        <v>2</v>
      </c>
      <c r="U2111" s="149">
        <v>2.2000000000000002</v>
      </c>
      <c r="V2111" s="149">
        <v>0.34</v>
      </c>
      <c r="W2111" s="149">
        <f t="shared" si="149"/>
        <v>1.143</v>
      </c>
      <c r="X2111" s="150">
        <f t="shared" si="150"/>
        <v>0.25780999999999998</v>
      </c>
      <c r="Y2111" s="150">
        <f t="shared" si="151"/>
        <v>1.3252648</v>
      </c>
      <c r="Z2111" s="150">
        <f t="shared" si="147"/>
        <v>2</v>
      </c>
      <c r="AA2111" s="150">
        <f t="shared" si="152"/>
        <v>3.9408099999999999</v>
      </c>
      <c r="AB2111" s="150">
        <f t="shared" si="153"/>
        <v>5.2660748000000002</v>
      </c>
      <c r="AC2111" s="154"/>
      <c r="AD2111" s="154"/>
      <c r="AE2111" s="154"/>
      <c r="AF2111" s="154"/>
    </row>
    <row r="2112" spans="1:32" x14ac:dyDescent="0.25">
      <c r="A2112" s="182">
        <v>735</v>
      </c>
      <c r="B2112" s="182" t="s">
        <v>9791</v>
      </c>
      <c r="C2112" s="182" t="s">
        <v>9792</v>
      </c>
      <c r="D2112" s="182" t="s">
        <v>9793</v>
      </c>
      <c r="F2112" s="182">
        <v>2000</v>
      </c>
      <c r="H2112" s="182" t="s">
        <v>2734</v>
      </c>
      <c r="I2112" s="184" t="s">
        <v>1914</v>
      </c>
      <c r="K2112" s="182" t="s">
        <v>1881</v>
      </c>
      <c r="L2112" s="184" t="s">
        <v>9794</v>
      </c>
      <c r="M2112" s="182">
        <v>378</v>
      </c>
      <c r="O2112" s="182" t="s">
        <v>9795</v>
      </c>
      <c r="P2112" s="17">
        <v>463</v>
      </c>
      <c r="Q2112" s="145">
        <f t="shared" si="148"/>
        <v>4.0660748</v>
      </c>
      <c r="R2112" s="199">
        <v>1.2</v>
      </c>
      <c r="S2112" s="199">
        <v>2.9</v>
      </c>
      <c r="U2112" s="149">
        <v>2.2000000000000002</v>
      </c>
      <c r="V2112" s="149">
        <v>0.34</v>
      </c>
      <c r="W2112" s="149">
        <f t="shared" si="149"/>
        <v>1.143</v>
      </c>
      <c r="X2112" s="150">
        <f t="shared" si="150"/>
        <v>0.25780999999999998</v>
      </c>
      <c r="Y2112" s="150">
        <f t="shared" si="151"/>
        <v>1.3252648</v>
      </c>
      <c r="Z2112" s="150">
        <f t="shared" si="147"/>
        <v>2.9</v>
      </c>
      <c r="AA2112" s="150">
        <f t="shared" si="152"/>
        <v>3.9408099999999999</v>
      </c>
      <c r="AB2112" s="150">
        <f t="shared" si="153"/>
        <v>5.2660748000000002</v>
      </c>
      <c r="AC2112" s="154"/>
      <c r="AD2112" s="154"/>
      <c r="AE2112" s="154"/>
      <c r="AF2112" s="154"/>
    </row>
    <row r="2113" spans="1:32" x14ac:dyDescent="0.25">
      <c r="A2113" s="182">
        <v>692</v>
      </c>
      <c r="B2113" s="182" t="s">
        <v>4816</v>
      </c>
      <c r="C2113" s="182" t="s">
        <v>9796</v>
      </c>
      <c r="D2113" s="182" t="s">
        <v>2257</v>
      </c>
      <c r="F2113" s="182">
        <v>2003</v>
      </c>
      <c r="H2113" s="182" t="s">
        <v>1878</v>
      </c>
      <c r="I2113" s="184" t="s">
        <v>7527</v>
      </c>
      <c r="K2113" s="182" t="s">
        <v>1881</v>
      </c>
      <c r="L2113" s="184" t="s">
        <v>9797</v>
      </c>
      <c r="M2113" s="182">
        <v>669</v>
      </c>
      <c r="O2113" s="182" t="s">
        <v>9798</v>
      </c>
      <c r="P2113" s="17">
        <v>419</v>
      </c>
      <c r="Q2113" s="145">
        <f t="shared" si="148"/>
        <v>4.0660748</v>
      </c>
      <c r="R2113" s="199">
        <v>1.2</v>
      </c>
      <c r="S2113" s="199">
        <v>1.64</v>
      </c>
      <c r="U2113" s="149">
        <v>2.2000000000000002</v>
      </c>
      <c r="V2113" s="149">
        <v>0.34</v>
      </c>
      <c r="W2113" s="149">
        <f t="shared" si="149"/>
        <v>1.143</v>
      </c>
      <c r="X2113" s="150">
        <f t="shared" si="150"/>
        <v>0.25780999999999998</v>
      </c>
      <c r="Y2113" s="150">
        <f t="shared" si="151"/>
        <v>1.3252648</v>
      </c>
      <c r="Z2113" s="150">
        <f t="shared" si="147"/>
        <v>1.64</v>
      </c>
      <c r="AA2113" s="150">
        <f t="shared" si="152"/>
        <v>3.9408099999999999</v>
      </c>
      <c r="AB2113" s="150">
        <f t="shared" si="153"/>
        <v>5.2660748000000002</v>
      </c>
      <c r="AC2113" s="154"/>
      <c r="AD2113" s="154"/>
      <c r="AE2113" s="154"/>
      <c r="AF2113" s="154"/>
    </row>
    <row r="2114" spans="1:32" x14ac:dyDescent="0.25">
      <c r="A2114" s="182">
        <v>735</v>
      </c>
      <c r="B2114" s="182" t="s">
        <v>9799</v>
      </c>
      <c r="C2114" s="182" t="s">
        <v>9800</v>
      </c>
      <c r="D2114" s="182" t="s">
        <v>1912</v>
      </c>
      <c r="E2114" s="182" t="s">
        <v>1913</v>
      </c>
      <c r="F2114" s="182">
        <v>2015</v>
      </c>
      <c r="H2114" s="182" t="s">
        <v>1878</v>
      </c>
      <c r="I2114" s="184" t="s">
        <v>1879</v>
      </c>
      <c r="K2114" s="182" t="s">
        <v>1881</v>
      </c>
      <c r="L2114" s="184" t="s">
        <v>9801</v>
      </c>
      <c r="M2114" s="182">
        <v>444</v>
      </c>
      <c r="O2114" s="182" t="s">
        <v>9802</v>
      </c>
      <c r="P2114" s="17">
        <v>384</v>
      </c>
      <c r="Q2114" s="145">
        <f t="shared" si="148"/>
        <v>4.0660748</v>
      </c>
      <c r="R2114" s="199">
        <v>1.2</v>
      </c>
      <c r="S2114" s="199">
        <v>3.72</v>
      </c>
      <c r="U2114" s="149">
        <v>2.2000000000000002</v>
      </c>
      <c r="V2114" s="149">
        <v>0.34</v>
      </c>
      <c r="W2114" s="149">
        <f t="shared" si="149"/>
        <v>1.143</v>
      </c>
      <c r="X2114" s="150">
        <f t="shared" si="150"/>
        <v>0.25780999999999998</v>
      </c>
      <c r="Y2114" s="150">
        <f t="shared" si="151"/>
        <v>1.3252648</v>
      </c>
      <c r="Z2114" s="150">
        <f t="shared" si="147"/>
        <v>3.72</v>
      </c>
      <c r="AA2114" s="150">
        <f t="shared" si="152"/>
        <v>3.9408099999999999</v>
      </c>
      <c r="AB2114" s="150">
        <f t="shared" si="153"/>
        <v>5.2660748000000002</v>
      </c>
      <c r="AC2114" s="154"/>
      <c r="AD2114" s="154"/>
      <c r="AE2114" s="154"/>
      <c r="AF2114" s="154"/>
    </row>
    <row r="2115" spans="1:32" x14ac:dyDescent="0.25">
      <c r="A2115" s="182">
        <v>632</v>
      </c>
      <c r="B2115" s="182" t="s">
        <v>9803</v>
      </c>
      <c r="C2115" s="182" t="s">
        <v>9804</v>
      </c>
      <c r="D2115" s="182" t="s">
        <v>1920</v>
      </c>
      <c r="E2115" s="182" t="s">
        <v>1913</v>
      </c>
      <c r="F2115" s="182">
        <v>2008</v>
      </c>
      <c r="H2115" s="182" t="s">
        <v>1878</v>
      </c>
      <c r="I2115" s="184" t="s">
        <v>1879</v>
      </c>
      <c r="J2115" s="182" t="s">
        <v>9805</v>
      </c>
      <c r="K2115" s="182" t="s">
        <v>1881</v>
      </c>
      <c r="L2115" s="184" t="s">
        <v>9806</v>
      </c>
      <c r="M2115" s="182">
        <v>543</v>
      </c>
      <c r="O2115" s="182" t="s">
        <v>9807</v>
      </c>
      <c r="P2115" s="17">
        <v>450</v>
      </c>
      <c r="Q2115" s="145">
        <f t="shared" si="148"/>
        <v>4.0660748</v>
      </c>
      <c r="R2115" s="199">
        <v>1.2</v>
      </c>
      <c r="S2115" s="199">
        <v>1.99</v>
      </c>
      <c r="U2115" s="149">
        <v>2.2000000000000002</v>
      </c>
      <c r="V2115" s="149">
        <v>0.34</v>
      </c>
      <c r="W2115" s="149">
        <f t="shared" si="149"/>
        <v>1.143</v>
      </c>
      <c r="X2115" s="150">
        <f t="shared" si="150"/>
        <v>0.25780999999999998</v>
      </c>
      <c r="Y2115" s="150">
        <f t="shared" si="151"/>
        <v>1.3252648</v>
      </c>
      <c r="Z2115" s="150">
        <f t="shared" si="147"/>
        <v>1.99</v>
      </c>
      <c r="AA2115" s="150">
        <f t="shared" si="152"/>
        <v>3.9408099999999999</v>
      </c>
      <c r="AB2115" s="150">
        <f t="shared" si="153"/>
        <v>5.2660748000000002</v>
      </c>
      <c r="AC2115" s="154"/>
      <c r="AD2115" s="154"/>
      <c r="AE2115" s="154"/>
      <c r="AF2115" s="154"/>
    </row>
    <row r="2116" spans="1:32" x14ac:dyDescent="0.25">
      <c r="A2116" s="182">
        <v>442</v>
      </c>
      <c r="B2116" s="182" t="s">
        <v>9808</v>
      </c>
      <c r="C2116" s="182" t="s">
        <v>9809</v>
      </c>
      <c r="D2116" s="182" t="s">
        <v>9810</v>
      </c>
      <c r="E2116" s="182" t="s">
        <v>1913</v>
      </c>
      <c r="F2116" s="182">
        <v>1997</v>
      </c>
      <c r="H2116" s="182" t="s">
        <v>1878</v>
      </c>
      <c r="I2116" s="184" t="s">
        <v>7817</v>
      </c>
      <c r="K2116" s="182" t="s">
        <v>1881</v>
      </c>
      <c r="L2116" s="184" t="s">
        <v>9811</v>
      </c>
      <c r="M2116" s="182">
        <v>221</v>
      </c>
      <c r="O2116" s="182" t="s">
        <v>9812</v>
      </c>
      <c r="P2116" s="17">
        <v>340</v>
      </c>
      <c r="Q2116" s="145">
        <f t="shared" si="148"/>
        <v>4.0660748</v>
      </c>
      <c r="R2116" s="199">
        <v>1.2</v>
      </c>
      <c r="S2116" s="199">
        <f>0.74+2.29</f>
        <v>3.0300000000000002</v>
      </c>
      <c r="U2116" s="149">
        <v>2.2000000000000002</v>
      </c>
      <c r="V2116" s="149">
        <v>0.34</v>
      </c>
      <c r="W2116" s="149">
        <f t="shared" si="149"/>
        <v>1.143</v>
      </c>
      <c r="X2116" s="150">
        <f t="shared" si="150"/>
        <v>0.25780999999999998</v>
      </c>
      <c r="Y2116" s="150">
        <f t="shared" si="151"/>
        <v>1.3252648</v>
      </c>
      <c r="Z2116" s="150">
        <f t="shared" si="147"/>
        <v>3.0300000000000002</v>
      </c>
      <c r="AA2116" s="150">
        <f t="shared" si="152"/>
        <v>3.9408099999999999</v>
      </c>
      <c r="AB2116" s="150">
        <f t="shared" si="153"/>
        <v>5.2660748000000002</v>
      </c>
      <c r="AC2116" s="154"/>
      <c r="AD2116" s="154"/>
      <c r="AE2116" s="154"/>
      <c r="AF2116" s="154"/>
    </row>
    <row r="2117" spans="1:32" x14ac:dyDescent="0.25">
      <c r="A2117" s="182">
        <v>1386</v>
      </c>
      <c r="B2117" s="182" t="s">
        <v>9813</v>
      </c>
      <c r="C2117" s="182" t="s">
        <v>9814</v>
      </c>
      <c r="D2117" s="182" t="s">
        <v>9815</v>
      </c>
      <c r="F2117" s="182">
        <v>1999</v>
      </c>
      <c r="H2117" s="182" t="s">
        <v>1878</v>
      </c>
      <c r="I2117" s="184" t="s">
        <v>1914</v>
      </c>
      <c r="K2117" s="182" t="s">
        <v>1881</v>
      </c>
      <c r="M2117" s="182">
        <v>188</v>
      </c>
      <c r="O2117" s="182" t="s">
        <v>9816</v>
      </c>
      <c r="P2117" s="17">
        <v>280</v>
      </c>
      <c r="Q2117" s="145">
        <f t="shared" si="148"/>
        <v>4.0660748</v>
      </c>
      <c r="R2117" s="199">
        <v>1.2</v>
      </c>
      <c r="S2117" s="199">
        <v>1.9</v>
      </c>
      <c r="U2117" s="149">
        <v>2.2000000000000002</v>
      </c>
      <c r="V2117" s="149">
        <v>0.34</v>
      </c>
      <c r="W2117" s="149">
        <f t="shared" si="149"/>
        <v>1.143</v>
      </c>
      <c r="X2117" s="150">
        <f t="shared" si="150"/>
        <v>0.25780999999999998</v>
      </c>
      <c r="Y2117" s="150">
        <f t="shared" si="151"/>
        <v>1.3252648</v>
      </c>
      <c r="Z2117" s="150">
        <f t="shared" si="147"/>
        <v>1.9</v>
      </c>
      <c r="AA2117" s="150">
        <f t="shared" si="152"/>
        <v>3.9408099999999999</v>
      </c>
      <c r="AB2117" s="150">
        <f t="shared" si="153"/>
        <v>5.2660748000000002</v>
      </c>
      <c r="AC2117" s="154"/>
      <c r="AD2117" s="154"/>
      <c r="AE2117" s="154"/>
      <c r="AF2117" s="154"/>
    </row>
    <row r="2118" spans="1:32" x14ac:dyDescent="0.25">
      <c r="A2118" s="182">
        <v>649</v>
      </c>
      <c r="B2118" s="182" t="s">
        <v>9817</v>
      </c>
      <c r="C2118" s="182" t="s">
        <v>9818</v>
      </c>
      <c r="D2118" s="182" t="s">
        <v>3606</v>
      </c>
      <c r="H2118" s="182" t="s">
        <v>1878</v>
      </c>
      <c r="I2118" s="184" t="s">
        <v>1879</v>
      </c>
      <c r="K2118" s="182" t="s">
        <v>1881</v>
      </c>
      <c r="L2118" s="184" t="s">
        <v>9819</v>
      </c>
      <c r="M2118" s="182">
        <v>95</v>
      </c>
      <c r="O2118" s="182" t="s">
        <v>9820</v>
      </c>
      <c r="P2118" s="17">
        <v>244</v>
      </c>
      <c r="Q2118" s="145">
        <f t="shared" si="148"/>
        <v>4.0660748</v>
      </c>
      <c r="R2118" s="199">
        <v>1.2</v>
      </c>
      <c r="S2118" s="199">
        <v>2.4</v>
      </c>
      <c r="U2118" s="149">
        <v>2.2000000000000002</v>
      </c>
      <c r="V2118" s="149">
        <v>0.34</v>
      </c>
      <c r="W2118" s="149">
        <f t="shared" si="149"/>
        <v>1.143</v>
      </c>
      <c r="X2118" s="150">
        <f t="shared" si="150"/>
        <v>0.25780999999999998</v>
      </c>
      <c r="Y2118" s="150">
        <f t="shared" si="151"/>
        <v>1.3252648</v>
      </c>
      <c r="Z2118" s="150">
        <f t="shared" si="147"/>
        <v>2.4</v>
      </c>
      <c r="AA2118" s="150">
        <f t="shared" si="152"/>
        <v>3.9408099999999999</v>
      </c>
      <c r="AB2118" s="150">
        <f t="shared" si="153"/>
        <v>5.2660748000000002</v>
      </c>
      <c r="AC2118" s="154"/>
      <c r="AD2118" s="154"/>
      <c r="AE2118" s="154"/>
      <c r="AF2118" s="154"/>
    </row>
    <row r="2119" spans="1:32" x14ac:dyDescent="0.25">
      <c r="A2119" s="182">
        <v>1386</v>
      </c>
      <c r="B2119" s="182" t="s">
        <v>9821</v>
      </c>
      <c r="C2119" s="182" t="s">
        <v>9822</v>
      </c>
      <c r="D2119" s="182" t="s">
        <v>2176</v>
      </c>
      <c r="F2119" s="182">
        <v>2009</v>
      </c>
      <c r="H2119" s="182" t="s">
        <v>2734</v>
      </c>
      <c r="I2119" s="184" t="s">
        <v>7527</v>
      </c>
      <c r="K2119" s="182" t="s">
        <v>1881</v>
      </c>
      <c r="L2119" s="184" t="s">
        <v>9823</v>
      </c>
      <c r="M2119" s="182">
        <v>253</v>
      </c>
      <c r="O2119" s="182" t="s">
        <v>9824</v>
      </c>
      <c r="P2119" s="17">
        <v>416</v>
      </c>
      <c r="Q2119" s="145">
        <f t="shared" si="148"/>
        <v>4.0660748</v>
      </c>
      <c r="R2119" s="199">
        <v>1.2</v>
      </c>
      <c r="S2119" s="199">
        <v>1.64</v>
      </c>
      <c r="U2119" s="149">
        <v>2.2000000000000002</v>
      </c>
      <c r="V2119" s="149">
        <v>0.34</v>
      </c>
      <c r="W2119" s="149">
        <f t="shared" si="149"/>
        <v>1.143</v>
      </c>
      <c r="X2119" s="150">
        <f t="shared" si="150"/>
        <v>0.25780999999999998</v>
      </c>
      <c r="Y2119" s="150">
        <f t="shared" si="151"/>
        <v>1.3252648</v>
      </c>
      <c r="Z2119" s="150">
        <f t="shared" si="147"/>
        <v>1.64</v>
      </c>
      <c r="AA2119" s="150">
        <f t="shared" si="152"/>
        <v>3.9408099999999999</v>
      </c>
      <c r="AB2119" s="150">
        <f t="shared" si="153"/>
        <v>5.2660748000000002</v>
      </c>
      <c r="AC2119" s="154"/>
      <c r="AD2119" s="154"/>
      <c r="AE2119" s="154"/>
      <c r="AF2119" s="154"/>
    </row>
    <row r="2120" spans="1:32" x14ac:dyDescent="0.25">
      <c r="A2120" s="182">
        <v>701</v>
      </c>
      <c r="B2120" s="182" t="s">
        <v>4638</v>
      </c>
      <c r="C2120" s="182" t="s">
        <v>9825</v>
      </c>
      <c r="D2120" s="182" t="s">
        <v>2926</v>
      </c>
      <c r="E2120" s="182" t="s">
        <v>2922</v>
      </c>
      <c r="F2120" s="182">
        <v>2010</v>
      </c>
      <c r="H2120" s="182" t="s">
        <v>1878</v>
      </c>
      <c r="I2120" s="184" t="s">
        <v>1879</v>
      </c>
      <c r="K2120" s="182" t="s">
        <v>1881</v>
      </c>
      <c r="L2120" s="184" t="s">
        <v>5064</v>
      </c>
      <c r="M2120" s="182">
        <v>303</v>
      </c>
      <c r="O2120" s="182" t="s">
        <v>9826</v>
      </c>
      <c r="P2120" s="17">
        <v>450</v>
      </c>
      <c r="Q2120" s="145">
        <f t="shared" si="148"/>
        <v>4.0660748</v>
      </c>
      <c r="R2120" s="199">
        <v>1.2</v>
      </c>
      <c r="S2120" s="199">
        <v>1.65</v>
      </c>
      <c r="U2120" s="149">
        <v>2.2000000000000002</v>
      </c>
      <c r="V2120" s="149">
        <v>0.34</v>
      </c>
      <c r="W2120" s="149">
        <f t="shared" si="149"/>
        <v>1.143</v>
      </c>
      <c r="X2120" s="150">
        <f t="shared" si="150"/>
        <v>0.25780999999999998</v>
      </c>
      <c r="Y2120" s="150">
        <f t="shared" si="151"/>
        <v>1.3252648</v>
      </c>
      <c r="Z2120" s="150">
        <f t="shared" si="147"/>
        <v>1.65</v>
      </c>
      <c r="AA2120" s="150">
        <f t="shared" si="152"/>
        <v>3.9408099999999999</v>
      </c>
      <c r="AB2120" s="150">
        <f t="shared" si="153"/>
        <v>5.2660748000000002</v>
      </c>
      <c r="AC2120" s="154"/>
      <c r="AD2120" s="154"/>
      <c r="AE2120" s="154"/>
      <c r="AF2120" s="154"/>
    </row>
    <row r="2121" spans="1:32" x14ac:dyDescent="0.25">
      <c r="A2121" s="182">
        <v>632</v>
      </c>
      <c r="B2121" s="182" t="s">
        <v>3154</v>
      </c>
      <c r="C2121" s="182" t="s">
        <v>9827</v>
      </c>
      <c r="D2121" s="182" t="s">
        <v>2209</v>
      </c>
      <c r="F2121" s="182">
        <v>2001</v>
      </c>
      <c r="H2121" s="182" t="s">
        <v>1878</v>
      </c>
      <c r="I2121" s="184" t="s">
        <v>1914</v>
      </c>
      <c r="J2121" s="182" t="s">
        <v>9196</v>
      </c>
      <c r="K2121" s="182" t="s">
        <v>1881</v>
      </c>
      <c r="L2121" s="184" t="s">
        <v>9828</v>
      </c>
      <c r="M2121" s="182">
        <v>378</v>
      </c>
      <c r="O2121" s="182" t="s">
        <v>9829</v>
      </c>
      <c r="P2121" s="17">
        <v>278</v>
      </c>
      <c r="Q2121" s="145">
        <f t="shared" si="148"/>
        <v>4.0660748</v>
      </c>
      <c r="R2121" s="199">
        <v>1.2</v>
      </c>
      <c r="S2121" s="199">
        <v>2.1</v>
      </c>
      <c r="U2121" s="149">
        <v>2.2000000000000002</v>
      </c>
      <c r="V2121" s="149">
        <v>0.34</v>
      </c>
      <c r="W2121" s="149">
        <f t="shared" si="149"/>
        <v>1.143</v>
      </c>
      <c r="X2121" s="150">
        <f t="shared" si="150"/>
        <v>0.25780999999999998</v>
      </c>
      <c r="Y2121" s="150">
        <f t="shared" si="151"/>
        <v>1.3252648</v>
      </c>
      <c r="Z2121" s="150">
        <f t="shared" si="147"/>
        <v>2.1</v>
      </c>
      <c r="AA2121" s="150">
        <f t="shared" si="152"/>
        <v>3.9408099999999999</v>
      </c>
      <c r="AB2121" s="150">
        <f t="shared" si="153"/>
        <v>5.2660748000000002</v>
      </c>
      <c r="AC2121" s="154"/>
      <c r="AD2121" s="154"/>
      <c r="AE2121" s="154"/>
      <c r="AF2121" s="154"/>
    </row>
    <row r="2122" spans="1:32" x14ac:dyDescent="0.25">
      <c r="A2122" s="182">
        <v>844</v>
      </c>
      <c r="B2122" s="182" t="s">
        <v>9830</v>
      </c>
      <c r="C2122" s="182" t="s">
        <v>9831</v>
      </c>
      <c r="D2122" s="182" t="s">
        <v>1979</v>
      </c>
      <c r="H2122" s="182" t="s">
        <v>2734</v>
      </c>
      <c r="K2122" s="182" t="s">
        <v>1881</v>
      </c>
      <c r="L2122" s="184" t="s">
        <v>9832</v>
      </c>
      <c r="O2122" s="182" t="s">
        <v>9833</v>
      </c>
      <c r="P2122" s="17">
        <v>255</v>
      </c>
      <c r="Q2122" s="145">
        <f t="shared" si="148"/>
        <v>12</v>
      </c>
      <c r="R2122" s="199">
        <v>1.2</v>
      </c>
      <c r="S2122" s="199">
        <v>13.2</v>
      </c>
      <c r="U2122" s="149">
        <v>2.2000000000000002</v>
      </c>
      <c r="V2122" s="149">
        <v>0.34</v>
      </c>
      <c r="W2122" s="149">
        <f t="shared" si="149"/>
        <v>1.143</v>
      </c>
      <c r="X2122" s="150">
        <f t="shared" si="150"/>
        <v>0.25780999999999998</v>
      </c>
      <c r="Y2122" s="150">
        <f t="shared" si="151"/>
        <v>2.0659999999999998</v>
      </c>
      <c r="Z2122" s="150">
        <f t="shared" si="147"/>
        <v>13.2</v>
      </c>
      <c r="AA2122" s="150">
        <f t="shared" si="152"/>
        <v>3.9408099999999999</v>
      </c>
      <c r="AB2122" s="150">
        <f t="shared" si="153"/>
        <v>6.0068099999999998</v>
      </c>
      <c r="AC2122" s="154"/>
      <c r="AD2122" s="154"/>
      <c r="AE2122" s="154"/>
      <c r="AF2122" s="154"/>
    </row>
    <row r="2123" spans="1:32" x14ac:dyDescent="0.25">
      <c r="A2123" s="182">
        <v>2547</v>
      </c>
      <c r="B2123" s="182" t="s">
        <v>9834</v>
      </c>
      <c r="C2123" s="182" t="s">
        <v>9835</v>
      </c>
      <c r="D2123" s="182" t="s">
        <v>2054</v>
      </c>
      <c r="F2123" s="182">
        <v>2000</v>
      </c>
      <c r="H2123" s="182" t="s">
        <v>1878</v>
      </c>
      <c r="I2123" s="184" t="s">
        <v>7527</v>
      </c>
      <c r="K2123" s="182" t="s">
        <v>1881</v>
      </c>
      <c r="L2123" s="184" t="s">
        <v>9836</v>
      </c>
      <c r="M2123" s="182">
        <v>318</v>
      </c>
      <c r="O2123" s="182" t="s">
        <v>9837</v>
      </c>
      <c r="P2123" s="17">
        <v>309</v>
      </c>
      <c r="Q2123" s="145">
        <f t="shared" si="148"/>
        <v>4.0660748</v>
      </c>
      <c r="R2123" s="199">
        <v>1.2</v>
      </c>
      <c r="S2123" s="199">
        <v>1.4</v>
      </c>
      <c r="U2123" s="149">
        <v>2.2000000000000002</v>
      </c>
      <c r="V2123" s="149">
        <v>0.34</v>
      </c>
      <c r="W2123" s="149">
        <f t="shared" si="149"/>
        <v>1.143</v>
      </c>
      <c r="X2123" s="150">
        <f t="shared" si="150"/>
        <v>0.25780999999999998</v>
      </c>
      <c r="Y2123" s="150">
        <f t="shared" si="151"/>
        <v>1.3252648</v>
      </c>
      <c r="Z2123" s="150">
        <f t="shared" si="147"/>
        <v>1.4</v>
      </c>
      <c r="AA2123" s="150">
        <f t="shared" si="152"/>
        <v>3.9408099999999999</v>
      </c>
      <c r="AB2123" s="150">
        <f t="shared" si="153"/>
        <v>5.2660748000000002</v>
      </c>
      <c r="AC2123" s="154"/>
      <c r="AD2123" s="154"/>
      <c r="AE2123" s="154"/>
      <c r="AF2123" s="154"/>
    </row>
    <row r="2124" spans="1:32" x14ac:dyDescent="0.25">
      <c r="A2124" s="182">
        <v>2553</v>
      </c>
      <c r="B2124" s="182" t="s">
        <v>2191</v>
      </c>
      <c r="C2124" s="182" t="s">
        <v>9838</v>
      </c>
      <c r="D2124" s="182" t="s">
        <v>1912</v>
      </c>
      <c r="E2124" s="182" t="s">
        <v>1899</v>
      </c>
      <c r="F2124" s="182">
        <v>2017</v>
      </c>
      <c r="H2124" s="182" t="s">
        <v>1878</v>
      </c>
      <c r="I2124" s="184" t="s">
        <v>1879</v>
      </c>
      <c r="K2124" s="182" t="s">
        <v>1881</v>
      </c>
      <c r="L2124" s="184" t="s">
        <v>9839</v>
      </c>
      <c r="M2124" s="182">
        <v>444</v>
      </c>
      <c r="O2124" s="182" t="s">
        <v>9840</v>
      </c>
      <c r="P2124" s="17">
        <v>403</v>
      </c>
      <c r="Q2124" s="145">
        <f t="shared" si="148"/>
        <v>4.0660748</v>
      </c>
      <c r="R2124" s="199">
        <v>1.2</v>
      </c>
      <c r="S2124" s="199">
        <v>2.35</v>
      </c>
      <c r="U2124" s="149">
        <v>2.2000000000000002</v>
      </c>
      <c r="V2124" s="149">
        <v>0.34</v>
      </c>
      <c r="W2124" s="149">
        <f t="shared" si="149"/>
        <v>1.143</v>
      </c>
      <c r="X2124" s="150">
        <f t="shared" si="150"/>
        <v>0.25780999999999998</v>
      </c>
      <c r="Y2124" s="150">
        <f t="shared" si="151"/>
        <v>1.3252648</v>
      </c>
      <c r="Z2124" s="150">
        <f t="shared" si="147"/>
        <v>2.35</v>
      </c>
      <c r="AA2124" s="150">
        <f t="shared" si="152"/>
        <v>3.9408099999999999</v>
      </c>
      <c r="AB2124" s="150">
        <f t="shared" si="153"/>
        <v>5.2660748000000002</v>
      </c>
      <c r="AC2124" s="154"/>
      <c r="AD2124" s="154"/>
      <c r="AE2124" s="154"/>
      <c r="AF2124" s="154"/>
    </row>
    <row r="2125" spans="1:32" x14ac:dyDescent="0.25">
      <c r="A2125" s="182">
        <v>2551</v>
      </c>
      <c r="B2125" s="182" t="s">
        <v>9841</v>
      </c>
      <c r="C2125" s="182" t="s">
        <v>9842</v>
      </c>
      <c r="D2125" s="182" t="s">
        <v>1876</v>
      </c>
      <c r="E2125" s="182" t="s">
        <v>2412</v>
      </c>
      <c r="F2125" s="182">
        <v>2017</v>
      </c>
      <c r="H2125" s="182" t="s">
        <v>1878</v>
      </c>
      <c r="I2125" s="184" t="s">
        <v>1929</v>
      </c>
      <c r="K2125" s="182" t="s">
        <v>1881</v>
      </c>
      <c r="L2125" s="184" t="s">
        <v>9843</v>
      </c>
      <c r="M2125" s="182">
        <v>413</v>
      </c>
      <c r="O2125" s="182" t="s">
        <v>9844</v>
      </c>
      <c r="P2125" s="17">
        <v>503</v>
      </c>
      <c r="Q2125" s="145">
        <f t="shared" si="148"/>
        <v>3.5660748</v>
      </c>
      <c r="R2125" s="199">
        <v>1.7</v>
      </c>
      <c r="S2125" s="199">
        <v>2.9</v>
      </c>
      <c r="U2125" s="149">
        <v>2.2000000000000002</v>
      </c>
      <c r="V2125" s="149">
        <v>0.34</v>
      </c>
      <c r="W2125" s="149">
        <f t="shared" si="149"/>
        <v>1.143</v>
      </c>
      <c r="X2125" s="150">
        <f t="shared" si="150"/>
        <v>0.25780999999999998</v>
      </c>
      <c r="Y2125" s="150">
        <f t="shared" si="151"/>
        <v>1.3252648</v>
      </c>
      <c r="Z2125" s="150">
        <f t="shared" si="147"/>
        <v>2.9</v>
      </c>
      <c r="AA2125" s="150">
        <f t="shared" si="152"/>
        <v>3.9408099999999999</v>
      </c>
      <c r="AB2125" s="150">
        <f t="shared" si="153"/>
        <v>5.2660748000000002</v>
      </c>
      <c r="AC2125" s="154"/>
      <c r="AD2125" s="154"/>
      <c r="AE2125" s="154"/>
      <c r="AF2125" s="154"/>
    </row>
    <row r="2126" spans="1:32" x14ac:dyDescent="0.25">
      <c r="A2126" s="182">
        <v>612</v>
      </c>
      <c r="B2126" s="182" t="s">
        <v>9845</v>
      </c>
      <c r="C2126" s="182" t="s">
        <v>9846</v>
      </c>
      <c r="D2126" s="182" t="s">
        <v>2209</v>
      </c>
      <c r="F2126" s="182">
        <v>1993</v>
      </c>
      <c r="H2126" s="182" t="s">
        <v>1878</v>
      </c>
      <c r="I2126" s="184" t="s">
        <v>1914</v>
      </c>
      <c r="K2126" s="182" t="s">
        <v>1881</v>
      </c>
      <c r="L2126" s="184" t="s">
        <v>9847</v>
      </c>
      <c r="M2126" s="182">
        <v>198</v>
      </c>
      <c r="O2126" s="182" t="s">
        <v>9848</v>
      </c>
      <c r="P2126" s="17">
        <v>212</v>
      </c>
      <c r="Q2126" s="145">
        <f t="shared" si="148"/>
        <v>4.0660748</v>
      </c>
      <c r="R2126" s="199">
        <v>1.2</v>
      </c>
      <c r="S2126" s="199">
        <v>2.85</v>
      </c>
      <c r="U2126" s="149">
        <v>2.2000000000000002</v>
      </c>
      <c r="V2126" s="149">
        <v>0.34</v>
      </c>
      <c r="W2126" s="149">
        <f t="shared" si="149"/>
        <v>1.143</v>
      </c>
      <c r="X2126" s="150">
        <f t="shared" si="150"/>
        <v>0.25780999999999998</v>
      </c>
      <c r="Y2126" s="150">
        <f t="shared" si="151"/>
        <v>1.3252648</v>
      </c>
      <c r="Z2126" s="150">
        <f t="shared" si="147"/>
        <v>2.85</v>
      </c>
      <c r="AA2126" s="150">
        <f t="shared" si="152"/>
        <v>3.9408099999999999</v>
      </c>
      <c r="AB2126" s="150">
        <f t="shared" si="153"/>
        <v>5.2660748000000002</v>
      </c>
      <c r="AC2126" s="154"/>
      <c r="AD2126" s="154"/>
      <c r="AE2126" s="154"/>
      <c r="AF2126" s="154"/>
    </row>
    <row r="2127" spans="1:32" x14ac:dyDescent="0.25">
      <c r="A2127" s="182">
        <v>2576</v>
      </c>
      <c r="B2127" s="182" t="s">
        <v>3808</v>
      </c>
      <c r="C2127" s="182" t="s">
        <v>9171</v>
      </c>
      <c r="D2127" s="182" t="s">
        <v>807</v>
      </c>
      <c r="F2127" s="182">
        <v>2005</v>
      </c>
      <c r="H2127" s="182" t="s">
        <v>1878</v>
      </c>
      <c r="I2127" s="184" t="s">
        <v>7527</v>
      </c>
      <c r="K2127" s="182" t="s">
        <v>1881</v>
      </c>
      <c r="L2127" s="184" t="s">
        <v>9172</v>
      </c>
      <c r="O2127" s="182" t="s">
        <v>9849</v>
      </c>
      <c r="P2127" s="17">
        <v>499</v>
      </c>
      <c r="Q2127" s="145">
        <f t="shared" si="148"/>
        <v>4.0660748</v>
      </c>
      <c r="R2127" s="199">
        <v>1.2</v>
      </c>
      <c r="S2127" s="199">
        <v>1.95</v>
      </c>
      <c r="U2127" s="149">
        <v>2.2000000000000002</v>
      </c>
      <c r="V2127" s="149">
        <v>0.34</v>
      </c>
      <c r="W2127" s="149">
        <f t="shared" si="149"/>
        <v>1.143</v>
      </c>
      <c r="X2127" s="150">
        <f t="shared" si="150"/>
        <v>0.25780999999999998</v>
      </c>
      <c r="Y2127" s="150">
        <f t="shared" si="151"/>
        <v>1.3252648</v>
      </c>
      <c r="Z2127" s="150">
        <f t="shared" si="147"/>
        <v>1.95</v>
      </c>
      <c r="AA2127" s="150">
        <f t="shared" si="152"/>
        <v>3.9408099999999999</v>
      </c>
      <c r="AB2127" s="150">
        <f t="shared" si="153"/>
        <v>5.2660748000000002</v>
      </c>
      <c r="AC2127" s="154"/>
      <c r="AD2127" s="154"/>
      <c r="AE2127" s="154"/>
      <c r="AF2127" s="154"/>
    </row>
    <row r="2128" spans="1:32" x14ac:dyDescent="0.25">
      <c r="A2128" s="182">
        <v>631</v>
      </c>
      <c r="B2128" s="182" t="s">
        <v>9850</v>
      </c>
      <c r="C2128" s="182" t="s">
        <v>9851</v>
      </c>
      <c r="D2128" s="182" t="s">
        <v>2209</v>
      </c>
      <c r="F2128" s="182">
        <v>2004</v>
      </c>
      <c r="H2128" s="182" t="s">
        <v>1878</v>
      </c>
      <c r="I2128" s="184" t="s">
        <v>1879</v>
      </c>
      <c r="K2128" s="182" t="s">
        <v>1881</v>
      </c>
      <c r="L2128" s="184" t="s">
        <v>9852</v>
      </c>
      <c r="M2128" s="182">
        <v>288</v>
      </c>
      <c r="O2128" s="182" t="s">
        <v>9853</v>
      </c>
      <c r="P2128" s="17">
        <v>274</v>
      </c>
      <c r="Q2128" s="145">
        <f t="shared" si="148"/>
        <v>4.0660748</v>
      </c>
      <c r="R2128" s="199">
        <v>1.2</v>
      </c>
      <c r="S2128" s="199">
        <v>1.9</v>
      </c>
      <c r="U2128" s="149">
        <v>2.2000000000000002</v>
      </c>
      <c r="V2128" s="149">
        <v>0.34</v>
      </c>
      <c r="W2128" s="149">
        <f t="shared" si="149"/>
        <v>1.143</v>
      </c>
      <c r="X2128" s="150">
        <f t="shared" si="150"/>
        <v>0.25780999999999998</v>
      </c>
      <c r="Y2128" s="150">
        <f t="shared" si="151"/>
        <v>1.3252648</v>
      </c>
      <c r="Z2128" s="150">
        <f t="shared" si="147"/>
        <v>1.9</v>
      </c>
      <c r="AA2128" s="150">
        <f t="shared" si="152"/>
        <v>3.9408099999999999</v>
      </c>
      <c r="AB2128" s="150">
        <f t="shared" si="153"/>
        <v>5.2660748000000002</v>
      </c>
      <c r="AC2128" s="154"/>
      <c r="AD2128" s="154"/>
      <c r="AE2128" s="154"/>
      <c r="AF2128" s="154"/>
    </row>
    <row r="2129" spans="1:36" x14ac:dyDescent="0.25">
      <c r="A2129" s="182">
        <v>692</v>
      </c>
      <c r="B2129" s="182" t="s">
        <v>9854</v>
      </c>
      <c r="C2129" s="182" t="s">
        <v>9855</v>
      </c>
      <c r="D2129" s="182" t="s">
        <v>2309</v>
      </c>
      <c r="E2129" s="182" t="s">
        <v>1913</v>
      </c>
      <c r="F2129" s="182">
        <v>2016</v>
      </c>
      <c r="H2129" s="182" t="s">
        <v>1878</v>
      </c>
      <c r="I2129" s="184" t="s">
        <v>1929</v>
      </c>
      <c r="K2129" s="182" t="s">
        <v>1881</v>
      </c>
      <c r="L2129" s="184" t="s">
        <v>9856</v>
      </c>
      <c r="M2129" s="182">
        <v>431</v>
      </c>
      <c r="O2129" s="182" t="s">
        <v>9857</v>
      </c>
      <c r="P2129" s="17">
        <v>523</v>
      </c>
      <c r="Q2129" s="145">
        <f t="shared" si="148"/>
        <v>3.5660748</v>
      </c>
      <c r="R2129" s="199">
        <v>1.7</v>
      </c>
      <c r="S2129" s="199">
        <v>3.9</v>
      </c>
      <c r="U2129" s="149">
        <v>2.2000000000000002</v>
      </c>
      <c r="V2129" s="149">
        <v>0.34</v>
      </c>
      <c r="W2129" s="149">
        <f t="shared" si="149"/>
        <v>1.143</v>
      </c>
      <c r="X2129" s="150">
        <f t="shared" si="150"/>
        <v>0.25780999999999998</v>
      </c>
      <c r="Y2129" s="150">
        <f t="shared" si="151"/>
        <v>1.3252648</v>
      </c>
      <c r="Z2129" s="150">
        <f t="shared" si="147"/>
        <v>3.9</v>
      </c>
      <c r="AA2129" s="150">
        <f t="shared" si="152"/>
        <v>3.9408099999999999</v>
      </c>
      <c r="AB2129" s="150">
        <f t="shared" si="153"/>
        <v>5.2660748000000002</v>
      </c>
      <c r="AC2129" s="154"/>
      <c r="AD2129" s="154"/>
      <c r="AE2129" s="154"/>
      <c r="AF2129" s="154"/>
    </row>
    <row r="2130" spans="1:36" x14ac:dyDescent="0.25">
      <c r="A2130" s="182">
        <v>1386</v>
      </c>
      <c r="B2130" s="182" t="s">
        <v>9858</v>
      </c>
      <c r="C2130" s="182" t="s">
        <v>9859</v>
      </c>
      <c r="D2130" s="182" t="s">
        <v>3077</v>
      </c>
      <c r="E2130" s="182" t="s">
        <v>1877</v>
      </c>
      <c r="F2130" s="182">
        <v>2013</v>
      </c>
      <c r="H2130" s="182" t="s">
        <v>1878</v>
      </c>
      <c r="I2130" s="184" t="s">
        <v>1879</v>
      </c>
      <c r="J2130" s="182" t="s">
        <v>9196</v>
      </c>
      <c r="K2130" s="182" t="s">
        <v>1881</v>
      </c>
      <c r="L2130" s="184" t="s">
        <v>9860</v>
      </c>
      <c r="M2130" s="182">
        <v>414</v>
      </c>
      <c r="O2130" s="182" t="s">
        <v>9861</v>
      </c>
      <c r="P2130" s="17">
        <v>359</v>
      </c>
      <c r="Q2130" s="145">
        <f t="shared" si="148"/>
        <v>4.0660748</v>
      </c>
      <c r="R2130" s="199">
        <v>1.2</v>
      </c>
      <c r="S2130" s="199">
        <v>3.1</v>
      </c>
      <c r="U2130" s="149">
        <v>2.2000000000000002</v>
      </c>
      <c r="V2130" s="149">
        <v>0.34</v>
      </c>
      <c r="W2130" s="149">
        <f t="shared" si="149"/>
        <v>1.143</v>
      </c>
      <c r="X2130" s="150">
        <f t="shared" si="150"/>
        <v>0.25780999999999998</v>
      </c>
      <c r="Y2130" s="150">
        <f t="shared" si="151"/>
        <v>1.3252648</v>
      </c>
      <c r="Z2130" s="150">
        <f t="shared" si="147"/>
        <v>3.1</v>
      </c>
      <c r="AA2130" s="150">
        <f t="shared" si="152"/>
        <v>3.9408099999999999</v>
      </c>
      <c r="AB2130" s="150">
        <f t="shared" si="153"/>
        <v>5.2660748000000002</v>
      </c>
      <c r="AC2130" s="154"/>
      <c r="AD2130" s="154"/>
      <c r="AE2130" s="154"/>
      <c r="AF2130" s="154"/>
    </row>
    <row r="2131" spans="1:36" x14ac:dyDescent="0.25">
      <c r="A2131" s="182">
        <v>692</v>
      </c>
      <c r="B2131" s="182" t="s">
        <v>9862</v>
      </c>
      <c r="C2131" s="182" t="s">
        <v>9863</v>
      </c>
      <c r="D2131" s="182" t="s">
        <v>2609</v>
      </c>
      <c r="F2131" s="182">
        <v>2016</v>
      </c>
      <c r="H2131" s="182" t="s">
        <v>1878</v>
      </c>
      <c r="I2131" s="184" t="s">
        <v>1914</v>
      </c>
      <c r="K2131" s="182" t="s">
        <v>1881</v>
      </c>
      <c r="L2131" s="184" t="s">
        <v>9864</v>
      </c>
      <c r="M2131" s="182">
        <v>286</v>
      </c>
      <c r="O2131" s="182" t="s">
        <v>9865</v>
      </c>
      <c r="P2131" s="17">
        <v>255</v>
      </c>
      <c r="Q2131" s="145">
        <f t="shared" si="148"/>
        <v>4.0660748</v>
      </c>
      <c r="R2131" s="199">
        <v>1.2</v>
      </c>
      <c r="S2131" s="199">
        <v>2.35</v>
      </c>
      <c r="U2131" s="149">
        <v>2.2000000000000002</v>
      </c>
      <c r="V2131" s="149">
        <v>0.34</v>
      </c>
      <c r="W2131" s="149">
        <f t="shared" si="149"/>
        <v>1.143</v>
      </c>
      <c r="X2131" s="150">
        <f t="shared" si="150"/>
        <v>0.25780999999999998</v>
      </c>
      <c r="Y2131" s="150">
        <f t="shared" si="151"/>
        <v>1.3252648</v>
      </c>
      <c r="Z2131" s="150">
        <f t="shared" si="147"/>
        <v>2.35</v>
      </c>
      <c r="AA2131" s="150">
        <f t="shared" si="152"/>
        <v>3.9408099999999999</v>
      </c>
      <c r="AB2131" s="150">
        <f t="shared" si="153"/>
        <v>5.2660748000000002</v>
      </c>
      <c r="AC2131" s="154"/>
      <c r="AD2131" s="154"/>
      <c r="AE2131" s="154"/>
      <c r="AF2131" s="154"/>
    </row>
    <row r="2132" spans="1:36" x14ac:dyDescent="0.25">
      <c r="A2132" s="182">
        <v>2547</v>
      </c>
      <c r="B2132" s="182" t="s">
        <v>9866</v>
      </c>
      <c r="C2132" s="182" t="s">
        <v>9867</v>
      </c>
      <c r="D2132" s="182" t="s">
        <v>5005</v>
      </c>
      <c r="F2132" s="182">
        <v>2007</v>
      </c>
      <c r="H2132" s="182" t="s">
        <v>2734</v>
      </c>
      <c r="I2132" s="184" t="s">
        <v>1879</v>
      </c>
      <c r="K2132" s="182" t="s">
        <v>1881</v>
      </c>
      <c r="M2132" s="182">
        <v>383</v>
      </c>
      <c r="O2132" s="182" t="s">
        <v>9868</v>
      </c>
      <c r="P2132" s="17">
        <v>485</v>
      </c>
      <c r="Q2132" s="145">
        <f t="shared" si="148"/>
        <v>4.0660748</v>
      </c>
      <c r="R2132" s="199">
        <v>1.2</v>
      </c>
      <c r="S2132" s="199">
        <v>2.0499999999999998</v>
      </c>
      <c r="U2132" s="149">
        <v>2.2000000000000002</v>
      </c>
      <c r="V2132" s="149">
        <v>0.34</v>
      </c>
      <c r="W2132" s="149">
        <f t="shared" si="149"/>
        <v>1.143</v>
      </c>
      <c r="X2132" s="150">
        <f t="shared" si="150"/>
        <v>0.25780999999999998</v>
      </c>
      <c r="Y2132" s="150">
        <f t="shared" si="151"/>
        <v>1.3252648</v>
      </c>
      <c r="Z2132" s="150">
        <f t="shared" si="147"/>
        <v>2.0499999999999998</v>
      </c>
      <c r="AA2132" s="150">
        <f t="shared" si="152"/>
        <v>3.9408099999999999</v>
      </c>
      <c r="AB2132" s="150">
        <f t="shared" si="153"/>
        <v>5.2660748000000002</v>
      </c>
      <c r="AC2132" s="154"/>
      <c r="AD2132" s="154"/>
      <c r="AE2132" s="154"/>
      <c r="AF2132" s="154"/>
    </row>
    <row r="2133" spans="1:36" x14ac:dyDescent="0.25">
      <c r="A2133" s="182">
        <v>691</v>
      </c>
      <c r="B2133" s="182" t="s">
        <v>4725</v>
      </c>
      <c r="C2133" s="182" t="s">
        <v>9869</v>
      </c>
      <c r="D2133" s="182" t="s">
        <v>9870</v>
      </c>
      <c r="H2133" s="182" t="s">
        <v>2734</v>
      </c>
      <c r="I2133" s="184" t="s">
        <v>1879</v>
      </c>
      <c r="K2133" s="182" t="s">
        <v>1881</v>
      </c>
      <c r="L2133" s="184" t="s">
        <v>9871</v>
      </c>
      <c r="M2133" s="182">
        <v>121</v>
      </c>
      <c r="O2133" s="182" t="s">
        <v>9872</v>
      </c>
      <c r="P2133" s="17">
        <v>200</v>
      </c>
      <c r="Q2133" s="145">
        <f t="shared" si="148"/>
        <v>4.0660748</v>
      </c>
      <c r="R2133" s="199">
        <v>1.2</v>
      </c>
      <c r="S2133" s="199">
        <v>1.65</v>
      </c>
      <c r="U2133" s="149">
        <v>2.2000000000000002</v>
      </c>
      <c r="V2133" s="149">
        <v>0.34</v>
      </c>
      <c r="W2133" s="149">
        <f t="shared" si="149"/>
        <v>1.143</v>
      </c>
      <c r="X2133" s="150">
        <f t="shared" si="150"/>
        <v>0.25780999999999998</v>
      </c>
      <c r="Y2133" s="150">
        <f t="shared" si="151"/>
        <v>1.3252648</v>
      </c>
      <c r="Z2133" s="150">
        <f t="shared" si="147"/>
        <v>1.65</v>
      </c>
      <c r="AA2133" s="150">
        <f t="shared" si="152"/>
        <v>3.9408099999999999</v>
      </c>
      <c r="AB2133" s="150">
        <f t="shared" si="153"/>
        <v>5.2660748000000002</v>
      </c>
      <c r="AC2133" s="154"/>
      <c r="AD2133" s="154"/>
      <c r="AE2133" s="154"/>
      <c r="AF2133" s="154"/>
    </row>
    <row r="2134" spans="1:36" x14ac:dyDescent="0.25">
      <c r="A2134" s="182">
        <v>1315</v>
      </c>
      <c r="B2134" s="182" t="s">
        <v>7746</v>
      </c>
      <c r="C2134" s="182" t="s">
        <v>9873</v>
      </c>
      <c r="D2134" s="182" t="s">
        <v>9874</v>
      </c>
      <c r="F2134" s="182">
        <v>2014</v>
      </c>
      <c r="H2134" s="182" t="s">
        <v>2734</v>
      </c>
      <c r="I2134" s="184" t="s">
        <v>1879</v>
      </c>
      <c r="K2134" s="182" t="s">
        <v>1881</v>
      </c>
      <c r="L2134" s="184" t="s">
        <v>9875</v>
      </c>
      <c r="M2134" s="182">
        <v>256</v>
      </c>
      <c r="O2134" s="182" t="s">
        <v>9876</v>
      </c>
      <c r="P2134" s="17">
        <v>250</v>
      </c>
      <c r="Q2134" s="145">
        <f t="shared" si="148"/>
        <v>4.0660748</v>
      </c>
      <c r="R2134" s="199">
        <v>1.2</v>
      </c>
      <c r="U2134" s="149">
        <v>2.2000000000000002</v>
      </c>
      <c r="V2134" s="149">
        <v>0.34</v>
      </c>
      <c r="W2134" s="149">
        <f t="shared" si="149"/>
        <v>1.143</v>
      </c>
      <c r="X2134" s="150">
        <f t="shared" si="150"/>
        <v>0.25780999999999998</v>
      </c>
      <c r="Y2134" s="150">
        <f t="shared" si="151"/>
        <v>1.3252648</v>
      </c>
      <c r="Z2134" s="150">
        <f t="shared" si="147"/>
        <v>0</v>
      </c>
      <c r="AA2134" s="150">
        <f t="shared" si="152"/>
        <v>3.9408099999999999</v>
      </c>
      <c r="AB2134" s="150">
        <f t="shared" si="153"/>
        <v>5.2660748000000002</v>
      </c>
      <c r="AC2134" s="154"/>
      <c r="AD2134" s="154"/>
      <c r="AE2134" s="154"/>
      <c r="AF2134" s="154"/>
    </row>
    <row r="2135" spans="1:36" x14ac:dyDescent="0.25">
      <c r="A2135" s="182">
        <v>1315</v>
      </c>
      <c r="B2135" s="182" t="s">
        <v>7746</v>
      </c>
      <c r="C2135" s="182" t="s">
        <v>9877</v>
      </c>
      <c r="D2135" s="182" t="s">
        <v>9874</v>
      </c>
      <c r="F2135" s="182">
        <v>2014</v>
      </c>
      <c r="H2135" s="182" t="s">
        <v>2734</v>
      </c>
      <c r="I2135" s="184" t="s">
        <v>1879</v>
      </c>
      <c r="K2135" s="182" t="s">
        <v>1881</v>
      </c>
      <c r="L2135" s="184" t="s">
        <v>9875</v>
      </c>
      <c r="M2135" s="182">
        <v>255</v>
      </c>
      <c r="O2135" s="182" t="s">
        <v>9878</v>
      </c>
      <c r="P2135" s="17">
        <v>249</v>
      </c>
      <c r="Q2135" s="145">
        <f t="shared" si="148"/>
        <v>4.0660748</v>
      </c>
      <c r="R2135" s="199">
        <v>1.2</v>
      </c>
      <c r="U2135" s="149">
        <v>2.2000000000000002</v>
      </c>
      <c r="V2135" s="149">
        <v>0.34</v>
      </c>
      <c r="W2135" s="149">
        <f t="shared" si="149"/>
        <v>1.143</v>
      </c>
      <c r="X2135" s="150">
        <f t="shared" si="150"/>
        <v>0.25780999999999998</v>
      </c>
      <c r="Y2135" s="150">
        <f t="shared" si="151"/>
        <v>1.3252648</v>
      </c>
      <c r="Z2135" s="150">
        <f t="shared" si="147"/>
        <v>0</v>
      </c>
      <c r="AA2135" s="150">
        <f t="shared" si="152"/>
        <v>3.9408099999999999</v>
      </c>
      <c r="AB2135" s="150">
        <f t="shared" si="153"/>
        <v>5.2660748000000002</v>
      </c>
      <c r="AC2135" s="154"/>
      <c r="AD2135" s="154"/>
      <c r="AE2135" s="154"/>
      <c r="AF2135" s="154"/>
    </row>
    <row r="2136" spans="1:36" x14ac:dyDescent="0.25">
      <c r="A2136" s="182">
        <v>1984</v>
      </c>
      <c r="B2136" s="182" t="s">
        <v>9879</v>
      </c>
      <c r="C2136" s="182" t="s">
        <v>9831</v>
      </c>
      <c r="D2136" s="182" t="s">
        <v>1979</v>
      </c>
      <c r="H2136" s="182" t="s">
        <v>2734</v>
      </c>
      <c r="I2136" s="184" t="s">
        <v>1879</v>
      </c>
      <c r="K2136" s="182" t="s">
        <v>1881</v>
      </c>
      <c r="L2136" s="184" t="s">
        <v>9832</v>
      </c>
      <c r="O2136" s="182" t="s">
        <v>9880</v>
      </c>
      <c r="P2136" s="17">
        <v>513</v>
      </c>
      <c r="Q2136" s="145">
        <f t="shared" si="148"/>
        <v>11.5</v>
      </c>
      <c r="R2136" s="199">
        <v>1.7</v>
      </c>
      <c r="S2136" s="199">
        <v>13.2</v>
      </c>
      <c r="U2136" s="149">
        <v>2.2000000000000002</v>
      </c>
      <c r="V2136" s="149">
        <v>0.34</v>
      </c>
      <c r="W2136" s="149">
        <f t="shared" si="149"/>
        <v>1.143</v>
      </c>
      <c r="X2136" s="150">
        <f t="shared" si="150"/>
        <v>0.25780999999999998</v>
      </c>
      <c r="Y2136" s="150">
        <f t="shared" si="151"/>
        <v>2.0659999999999998</v>
      </c>
      <c r="Z2136" s="150">
        <f t="shared" si="147"/>
        <v>13.2</v>
      </c>
      <c r="AA2136" s="150">
        <f t="shared" si="152"/>
        <v>3.9408099999999999</v>
      </c>
      <c r="AB2136" s="150">
        <f t="shared" si="153"/>
        <v>6.0068099999999998</v>
      </c>
      <c r="AC2136" s="154"/>
      <c r="AD2136" s="154"/>
      <c r="AE2136" s="154"/>
      <c r="AF2136" s="154"/>
    </row>
    <row r="2137" spans="1:36" x14ac:dyDescent="0.25">
      <c r="A2137" s="182">
        <v>632</v>
      </c>
      <c r="B2137" s="182" t="s">
        <v>9881</v>
      </c>
      <c r="C2137" s="182" t="s">
        <v>9882</v>
      </c>
      <c r="D2137" s="182" t="s">
        <v>3077</v>
      </c>
      <c r="E2137" s="182" t="s">
        <v>1913</v>
      </c>
      <c r="F2137" s="182">
        <v>2017</v>
      </c>
      <c r="H2137" s="182" t="s">
        <v>1878</v>
      </c>
      <c r="I2137" s="184" t="s">
        <v>1879</v>
      </c>
      <c r="K2137" s="182" t="s">
        <v>1881</v>
      </c>
      <c r="L2137" s="184" t="s">
        <v>9883</v>
      </c>
      <c r="M2137" s="182">
        <v>539</v>
      </c>
      <c r="O2137" s="182" t="s">
        <v>9884</v>
      </c>
      <c r="P2137" s="17">
        <v>446</v>
      </c>
      <c r="Q2137" s="145">
        <f t="shared" si="148"/>
        <v>4.3</v>
      </c>
      <c r="R2137" s="199">
        <v>1.2</v>
      </c>
      <c r="S2137" s="199">
        <v>5.5</v>
      </c>
      <c r="U2137" s="149">
        <v>2.2000000000000002</v>
      </c>
      <c r="V2137" s="149">
        <v>0.34</v>
      </c>
      <c r="W2137" s="149">
        <f t="shared" si="149"/>
        <v>1.143</v>
      </c>
      <c r="X2137" s="150">
        <f t="shared" si="150"/>
        <v>0.25780999999999998</v>
      </c>
      <c r="Y2137" s="150">
        <f t="shared" si="151"/>
        <v>1.45</v>
      </c>
      <c r="Z2137" s="150">
        <f t="shared" si="147"/>
        <v>5.5</v>
      </c>
      <c r="AA2137" s="150">
        <f t="shared" si="152"/>
        <v>3.9408099999999999</v>
      </c>
      <c r="AB2137" s="150">
        <f t="shared" si="153"/>
        <v>5.3908100000000001</v>
      </c>
      <c r="AC2137" s="154"/>
      <c r="AD2137" s="154"/>
      <c r="AE2137" s="154"/>
      <c r="AF2137" s="154"/>
    </row>
    <row r="2138" spans="1:36" x14ac:dyDescent="0.25">
      <c r="A2138" s="182">
        <v>796</v>
      </c>
      <c r="B2138" s="182" t="s">
        <v>6242</v>
      </c>
      <c r="C2138" s="182" t="s">
        <v>9885</v>
      </c>
      <c r="D2138" s="182" t="s">
        <v>1912</v>
      </c>
      <c r="E2138" s="182" t="s">
        <v>1913</v>
      </c>
      <c r="F2138" s="182">
        <v>2008</v>
      </c>
      <c r="H2138" s="182" t="s">
        <v>1878</v>
      </c>
      <c r="I2138" s="184" t="s">
        <v>1879</v>
      </c>
      <c r="K2138" s="182" t="s">
        <v>1881</v>
      </c>
      <c r="L2138" s="184" t="s">
        <v>9886</v>
      </c>
      <c r="M2138" s="182">
        <v>410</v>
      </c>
      <c r="O2138" s="182" t="s">
        <v>9887</v>
      </c>
      <c r="P2138" s="17">
        <v>341</v>
      </c>
      <c r="Q2138" s="145">
        <f t="shared" si="148"/>
        <v>4.0660748</v>
      </c>
      <c r="R2138" s="199">
        <v>1.2</v>
      </c>
      <c r="S2138" s="199">
        <v>1.95</v>
      </c>
      <c r="U2138" s="149">
        <v>2.2000000000000002</v>
      </c>
      <c r="V2138" s="149">
        <v>0.34</v>
      </c>
      <c r="W2138" s="149">
        <f t="shared" si="149"/>
        <v>1.143</v>
      </c>
      <c r="X2138" s="150">
        <f t="shared" si="150"/>
        <v>0.25780999999999998</v>
      </c>
      <c r="Y2138" s="150">
        <f t="shared" si="151"/>
        <v>1.3252648</v>
      </c>
      <c r="Z2138" s="150">
        <f t="shared" si="147"/>
        <v>1.95</v>
      </c>
      <c r="AA2138" s="150">
        <f t="shared" si="152"/>
        <v>3.9408099999999999</v>
      </c>
      <c r="AB2138" s="150">
        <f t="shared" si="153"/>
        <v>5.2660748000000002</v>
      </c>
      <c r="AC2138" s="154"/>
      <c r="AD2138" s="154"/>
      <c r="AE2138" s="154"/>
      <c r="AF2138" s="154"/>
    </row>
    <row r="2139" spans="1:36" x14ac:dyDescent="0.25">
      <c r="A2139" s="182">
        <v>735</v>
      </c>
      <c r="B2139" s="182" t="s">
        <v>9881</v>
      </c>
      <c r="C2139" s="182" t="s">
        <v>9888</v>
      </c>
      <c r="D2139" s="182" t="s">
        <v>3077</v>
      </c>
      <c r="E2139" s="182" t="s">
        <v>1913</v>
      </c>
      <c r="F2139" s="182">
        <v>2015</v>
      </c>
      <c r="H2139" s="182" t="s">
        <v>1878</v>
      </c>
      <c r="I2139" s="184" t="s">
        <v>1929</v>
      </c>
      <c r="K2139" s="182" t="s">
        <v>1881</v>
      </c>
      <c r="L2139" s="184" t="s">
        <v>9889</v>
      </c>
      <c r="M2139" s="182">
        <v>541</v>
      </c>
      <c r="O2139" s="182" t="s">
        <v>9890</v>
      </c>
      <c r="P2139" s="17">
        <v>443</v>
      </c>
      <c r="Q2139" s="145">
        <f t="shared" si="148"/>
        <v>4.0660748</v>
      </c>
      <c r="R2139" s="199">
        <v>1.2</v>
      </c>
      <c r="S2139" s="199">
        <v>3.2</v>
      </c>
      <c r="U2139" s="149">
        <v>2.2000000000000002</v>
      </c>
      <c r="V2139" s="149">
        <v>0.34</v>
      </c>
      <c r="W2139" s="149">
        <f t="shared" si="149"/>
        <v>1.143</v>
      </c>
      <c r="X2139" s="150">
        <f t="shared" si="150"/>
        <v>0.25780999999999998</v>
      </c>
      <c r="Y2139" s="150">
        <f t="shared" si="151"/>
        <v>1.3252648</v>
      </c>
      <c r="Z2139" s="150">
        <f>S2139</f>
        <v>3.2</v>
      </c>
      <c r="AA2139" s="150">
        <f t="shared" si="152"/>
        <v>3.9408099999999999</v>
      </c>
      <c r="AB2139" s="150">
        <f t="shared" si="153"/>
        <v>5.2660748000000002</v>
      </c>
      <c r="AC2139" s="154"/>
      <c r="AD2139" s="154"/>
      <c r="AE2139" s="154"/>
      <c r="AF2139" s="154"/>
    </row>
    <row r="2140" spans="1:36" x14ac:dyDescent="0.25">
      <c r="A2140" s="182">
        <v>2547</v>
      </c>
      <c r="B2140" s="182" t="s">
        <v>9891</v>
      </c>
      <c r="C2140" s="182" t="s">
        <v>9892</v>
      </c>
      <c r="D2140" s="182" t="s">
        <v>9893</v>
      </c>
      <c r="E2140" s="182" t="s">
        <v>2175</v>
      </c>
      <c r="F2140" s="182">
        <v>2008</v>
      </c>
      <c r="H2140" s="182" t="s">
        <v>1878</v>
      </c>
      <c r="I2140" s="184" t="s">
        <v>1879</v>
      </c>
      <c r="K2140" s="182" t="s">
        <v>1881</v>
      </c>
      <c r="L2140" s="184" t="s">
        <v>9894</v>
      </c>
      <c r="M2140" s="182">
        <v>430</v>
      </c>
      <c r="O2140" s="182" t="s">
        <v>9895</v>
      </c>
      <c r="P2140" s="17">
        <v>300</v>
      </c>
      <c r="Q2140" s="145">
        <f t="shared" si="148"/>
        <v>4.0660748</v>
      </c>
      <c r="R2140" s="199">
        <v>1.2</v>
      </c>
      <c r="S2140" s="199">
        <v>1.9</v>
      </c>
      <c r="U2140" s="149">
        <v>2.2000000000000002</v>
      </c>
      <c r="V2140" s="149">
        <v>0.34</v>
      </c>
      <c r="W2140" s="149">
        <f t="shared" si="149"/>
        <v>1.143</v>
      </c>
      <c r="X2140" s="150">
        <f t="shared" si="150"/>
        <v>0.25780999999999998</v>
      </c>
      <c r="Y2140" s="150">
        <f t="shared" si="151"/>
        <v>1.3252648</v>
      </c>
      <c r="Z2140" s="150">
        <f>S2140</f>
        <v>1.9</v>
      </c>
      <c r="AA2140" s="150">
        <f t="shared" si="152"/>
        <v>3.9408099999999999</v>
      </c>
      <c r="AB2140" s="150">
        <f t="shared" si="153"/>
        <v>5.2660748000000002</v>
      </c>
      <c r="AC2140" s="154"/>
      <c r="AD2140" s="154"/>
      <c r="AE2140" s="154"/>
      <c r="AF2140" s="154"/>
    </row>
    <row r="2141" spans="1:36" x14ac:dyDescent="0.25">
      <c r="A2141" s="182">
        <v>1339</v>
      </c>
      <c r="B2141" s="182" t="s">
        <v>9896</v>
      </c>
      <c r="C2141" s="182" t="s">
        <v>9897</v>
      </c>
      <c r="D2141" s="182" t="s">
        <v>9898</v>
      </c>
      <c r="F2141" s="182">
        <v>2011</v>
      </c>
      <c r="H2141" s="182" t="s">
        <v>2734</v>
      </c>
      <c r="I2141" s="184" t="s">
        <v>1929</v>
      </c>
      <c r="K2141" s="182" t="s">
        <v>1881</v>
      </c>
      <c r="L2141" s="184" t="s">
        <v>9899</v>
      </c>
      <c r="M2141" s="182">
        <v>285</v>
      </c>
      <c r="O2141" s="182" t="s">
        <v>9900</v>
      </c>
      <c r="P2141" s="17">
        <v>827</v>
      </c>
      <c r="Q2141" s="145">
        <f t="shared" si="148"/>
        <v>3.6508099999999999</v>
      </c>
      <c r="R2141" s="199">
        <v>1.7</v>
      </c>
      <c r="S2141" s="199">
        <v>5</v>
      </c>
      <c r="U2141" s="149">
        <v>2.2000000000000002</v>
      </c>
      <c r="V2141" s="149">
        <v>0.34</v>
      </c>
      <c r="W2141" s="149">
        <f t="shared" si="149"/>
        <v>1.143</v>
      </c>
      <c r="X2141" s="150">
        <f t="shared" si="150"/>
        <v>0.25780999999999998</v>
      </c>
      <c r="Y2141" s="150">
        <f t="shared" si="151"/>
        <v>1.4100000000000001</v>
      </c>
      <c r="Z2141" s="150">
        <f>S2141</f>
        <v>5</v>
      </c>
      <c r="AA2141" s="150">
        <f t="shared" si="152"/>
        <v>3.9408099999999999</v>
      </c>
      <c r="AB2141" s="150">
        <f t="shared" si="153"/>
        <v>5.3508100000000001</v>
      </c>
      <c r="AC2141" s="154"/>
      <c r="AD2141" s="154"/>
      <c r="AE2141" s="154"/>
      <c r="AF2141" s="154"/>
    </row>
    <row r="2142" spans="1:36" x14ac:dyDescent="0.25">
      <c r="A2142" s="182">
        <v>1339</v>
      </c>
      <c r="B2142" s="182" t="s">
        <v>9901</v>
      </c>
      <c r="C2142" s="182" t="s">
        <v>9902</v>
      </c>
      <c r="D2142" s="182" t="s">
        <v>9763</v>
      </c>
      <c r="F2142" s="182">
        <v>2010</v>
      </c>
      <c r="H2142" s="182" t="s">
        <v>1878</v>
      </c>
      <c r="I2142" s="184" t="s">
        <v>1929</v>
      </c>
      <c r="K2142" s="182" t="s">
        <v>1881</v>
      </c>
      <c r="L2142" s="184" t="s">
        <v>9903</v>
      </c>
      <c r="M2142" s="182">
        <v>192</v>
      </c>
      <c r="O2142" s="182" t="s">
        <v>9904</v>
      </c>
      <c r="P2142" s="17">
        <v>626</v>
      </c>
      <c r="Q2142" s="145">
        <f t="shared" si="148"/>
        <v>3.5660748</v>
      </c>
      <c r="R2142" s="199">
        <v>1.7</v>
      </c>
      <c r="S2142" s="199">
        <v>3.9</v>
      </c>
      <c r="U2142" s="149">
        <v>2.2000000000000002</v>
      </c>
      <c r="V2142" s="149">
        <v>0.34</v>
      </c>
      <c r="W2142" s="149">
        <f t="shared" si="149"/>
        <v>1.143</v>
      </c>
      <c r="X2142" s="150">
        <f t="shared" si="150"/>
        <v>0.25780999999999998</v>
      </c>
      <c r="Y2142" s="150">
        <f t="shared" si="151"/>
        <v>1.3252648</v>
      </c>
      <c r="Z2142" s="150">
        <f>S2142</f>
        <v>3.9</v>
      </c>
      <c r="AA2142" s="150">
        <f t="shared" si="152"/>
        <v>3.9408099999999999</v>
      </c>
      <c r="AB2142" s="150">
        <f t="shared" si="153"/>
        <v>5.2660748000000002</v>
      </c>
      <c r="AC2142" s="154"/>
      <c r="AD2142" s="154"/>
      <c r="AE2142" s="154"/>
      <c r="AF2142" s="154"/>
    </row>
    <row r="2143" spans="1:36" s="220" customFormat="1" x14ac:dyDescent="0.25">
      <c r="A2143" s="214">
        <v>548</v>
      </c>
      <c r="B2143" s="214" t="s">
        <v>9905</v>
      </c>
      <c r="C2143" s="214" t="s">
        <v>9906</v>
      </c>
      <c r="D2143" s="214" t="s">
        <v>9511</v>
      </c>
      <c r="E2143" s="214"/>
      <c r="F2143" s="214">
        <v>2010</v>
      </c>
      <c r="G2143" s="214"/>
      <c r="H2143" s="214" t="s">
        <v>2734</v>
      </c>
      <c r="I2143" s="215" t="s">
        <v>1879</v>
      </c>
      <c r="J2143" s="214"/>
      <c r="K2143" s="214" t="s">
        <v>1881</v>
      </c>
      <c r="L2143" s="215" t="s">
        <v>9907</v>
      </c>
      <c r="M2143" s="214">
        <v>191</v>
      </c>
      <c r="N2143" s="214"/>
      <c r="O2143" s="214" t="s">
        <v>9908</v>
      </c>
      <c r="P2143" s="216">
        <v>490</v>
      </c>
      <c r="Q2143" s="217">
        <f t="shared" si="148"/>
        <v>4.0660748</v>
      </c>
      <c r="R2143" s="202">
        <v>1.2</v>
      </c>
      <c r="S2143" s="202">
        <v>3.7</v>
      </c>
      <c r="T2143" s="202"/>
      <c r="U2143" s="211">
        <v>2.2000000000000002</v>
      </c>
      <c r="V2143" s="211">
        <v>0.34</v>
      </c>
      <c r="W2143" s="211">
        <f t="shared" si="149"/>
        <v>1.143</v>
      </c>
      <c r="X2143" s="218">
        <f t="shared" si="150"/>
        <v>0.25780999999999998</v>
      </c>
      <c r="Y2143" s="152">
        <f t="shared" si="151"/>
        <v>1.3252648</v>
      </c>
      <c r="Z2143" s="218">
        <f>S2143</f>
        <v>3.7</v>
      </c>
      <c r="AA2143" s="218">
        <f t="shared" si="152"/>
        <v>3.9408099999999999</v>
      </c>
      <c r="AB2143" s="218">
        <f t="shared" si="153"/>
        <v>5.2660748000000002</v>
      </c>
      <c r="AC2143" s="219"/>
      <c r="AD2143" s="219"/>
      <c r="AE2143" s="219"/>
      <c r="AF2143" s="219"/>
      <c r="AJ2143" s="221"/>
    </row>
    <row r="2144" spans="1:36" x14ac:dyDescent="0.25">
      <c r="A2144" s="182">
        <v>2547</v>
      </c>
      <c r="B2144" s="182" t="s">
        <v>9891</v>
      </c>
      <c r="C2144" s="182" t="s">
        <v>9910</v>
      </c>
      <c r="D2144" s="182" t="s">
        <v>9032</v>
      </c>
      <c r="E2144" s="182" t="s">
        <v>2412</v>
      </c>
      <c r="F2144" s="182">
        <v>2007</v>
      </c>
      <c r="H2144" s="182" t="s">
        <v>1878</v>
      </c>
      <c r="I2144" s="184" t="s">
        <v>1929</v>
      </c>
      <c r="K2144" s="182" t="s">
        <v>1881</v>
      </c>
      <c r="L2144" s="184" t="s">
        <v>9911</v>
      </c>
      <c r="M2144" s="182">
        <v>429</v>
      </c>
      <c r="O2144" s="182" t="s">
        <v>9912</v>
      </c>
      <c r="P2144" s="17">
        <v>296</v>
      </c>
      <c r="Q2144" s="145">
        <f t="shared" ref="Q2144:Q2201" si="154">IF(Y2144&gt;Z2144,Y2144,Z2144)-R2144</f>
        <v>2.7408099999999997</v>
      </c>
      <c r="R2144" s="199">
        <v>1.2</v>
      </c>
      <c r="S2144" s="199">
        <v>2</v>
      </c>
      <c r="U2144" s="55">
        <v>2.2000000000000002</v>
      </c>
      <c r="V2144" s="55">
        <v>0.34</v>
      </c>
      <c r="W2144" s="199">
        <f t="shared" si="149"/>
        <v>1.143</v>
      </c>
      <c r="X2144" s="150">
        <f t="shared" si="150"/>
        <v>0.25780999999999998</v>
      </c>
      <c r="Y2144" s="152">
        <f t="shared" si="151"/>
        <v>1.3252648</v>
      </c>
      <c r="Z2144" s="150">
        <f t="shared" ref="Z2144:Z2201" si="155">SUM(T2144:X2144)</f>
        <v>3.9408099999999999</v>
      </c>
      <c r="AA2144" s="152">
        <f t="shared" si="152"/>
        <v>3.9408099999999999</v>
      </c>
      <c r="AB2144" s="152">
        <f t="shared" si="153"/>
        <v>5.2660748000000002</v>
      </c>
      <c r="AC2144" s="154"/>
      <c r="AD2144" s="154"/>
      <c r="AE2144" s="198"/>
      <c r="AF2144" s="198"/>
      <c r="AH2144" s="20"/>
      <c r="AJ2144" s="198"/>
    </row>
    <row r="2145" spans="1:36" x14ac:dyDescent="0.25">
      <c r="A2145" s="182">
        <v>796</v>
      </c>
      <c r="B2145" s="182" t="s">
        <v>9913</v>
      </c>
      <c r="C2145" s="182" t="s">
        <v>9914</v>
      </c>
      <c r="D2145" s="182" t="s">
        <v>3895</v>
      </c>
      <c r="E2145" s="182" t="s">
        <v>1913</v>
      </c>
      <c r="F2145" s="182">
        <v>2010</v>
      </c>
      <c r="H2145" s="182" t="s">
        <v>1878</v>
      </c>
      <c r="I2145" s="184" t="s">
        <v>1929</v>
      </c>
      <c r="K2145" s="182" t="s">
        <v>1881</v>
      </c>
      <c r="L2145" s="184" t="s">
        <v>9915</v>
      </c>
      <c r="M2145" s="182">
        <v>416</v>
      </c>
      <c r="O2145" s="182" t="s">
        <v>9916</v>
      </c>
      <c r="P2145" s="17">
        <v>353</v>
      </c>
      <c r="Q2145" s="145">
        <f t="shared" si="154"/>
        <v>2.7408099999999997</v>
      </c>
      <c r="R2145" s="199">
        <v>1.2</v>
      </c>
      <c r="S2145" s="199">
        <v>5.85</v>
      </c>
      <c r="U2145" s="55">
        <v>2.2000000000000002</v>
      </c>
      <c r="V2145" s="55">
        <v>0.34</v>
      </c>
      <c r="W2145" s="199">
        <f t="shared" si="149"/>
        <v>1.143</v>
      </c>
      <c r="X2145" s="150">
        <f t="shared" si="150"/>
        <v>0.25780999999999998</v>
      </c>
      <c r="Y2145" s="152">
        <f t="shared" si="151"/>
        <v>1.3252648</v>
      </c>
      <c r="Z2145" s="150">
        <f t="shared" si="155"/>
        <v>3.9408099999999999</v>
      </c>
      <c r="AA2145" s="152">
        <f t="shared" si="152"/>
        <v>3.9408099999999999</v>
      </c>
      <c r="AB2145" s="152">
        <f t="shared" si="153"/>
        <v>5.2660748000000002</v>
      </c>
      <c r="AC2145" s="154"/>
      <c r="AD2145" s="154"/>
      <c r="AE2145" s="198"/>
      <c r="AF2145" s="198"/>
      <c r="AH2145" s="20"/>
      <c r="AJ2145" s="198"/>
    </row>
    <row r="2146" spans="1:36" x14ac:dyDescent="0.25">
      <c r="A2146" s="182">
        <v>2518</v>
      </c>
      <c r="B2146" s="182" t="s">
        <v>9917</v>
      </c>
      <c r="C2146" s="182" t="s">
        <v>9918</v>
      </c>
      <c r="D2146" s="182" t="s">
        <v>9919</v>
      </c>
      <c r="E2146" s="182" t="s">
        <v>1913</v>
      </c>
      <c r="F2146" s="182">
        <v>2013</v>
      </c>
      <c r="H2146" s="182" t="s">
        <v>1878</v>
      </c>
      <c r="I2146" s="184" t="s">
        <v>1879</v>
      </c>
      <c r="J2146" s="182" t="s">
        <v>9196</v>
      </c>
      <c r="K2146" s="182" t="s">
        <v>1881</v>
      </c>
      <c r="L2146" s="184" t="s">
        <v>9920</v>
      </c>
      <c r="M2146" s="182">
        <v>345</v>
      </c>
      <c r="O2146" s="182" t="s">
        <v>9921</v>
      </c>
      <c r="P2146" s="17">
        <v>301</v>
      </c>
      <c r="Q2146" s="145">
        <f t="shared" si="154"/>
        <v>2.7408099999999997</v>
      </c>
      <c r="R2146" s="199">
        <v>1.2</v>
      </c>
      <c r="S2146" s="199">
        <f>0.33+1.65</f>
        <v>1.98</v>
      </c>
      <c r="U2146" s="55">
        <v>2.2000000000000002</v>
      </c>
      <c r="V2146" s="55">
        <v>0.34</v>
      </c>
      <c r="W2146" s="199">
        <f t="shared" si="149"/>
        <v>1.143</v>
      </c>
      <c r="X2146" s="150">
        <f t="shared" si="150"/>
        <v>0.25780999999999998</v>
      </c>
      <c r="Y2146" s="152">
        <f t="shared" si="151"/>
        <v>1.3252648</v>
      </c>
      <c r="Z2146" s="150">
        <f t="shared" si="155"/>
        <v>3.9408099999999999</v>
      </c>
      <c r="AA2146" s="152">
        <f t="shared" si="152"/>
        <v>3.9408099999999999</v>
      </c>
      <c r="AB2146" s="152">
        <f t="shared" si="153"/>
        <v>5.2660748000000002</v>
      </c>
      <c r="AC2146" s="154"/>
      <c r="AD2146" s="154"/>
      <c r="AE2146" s="198"/>
      <c r="AF2146" s="198"/>
      <c r="AH2146" s="20"/>
      <c r="AJ2146" s="198"/>
    </row>
    <row r="2147" spans="1:36" x14ac:dyDescent="0.25">
      <c r="A2147" s="182">
        <v>2551</v>
      </c>
      <c r="B2147" s="182" t="s">
        <v>9922</v>
      </c>
      <c r="C2147" s="182" t="s">
        <v>9923</v>
      </c>
      <c r="D2147" s="182" t="s">
        <v>1876</v>
      </c>
      <c r="F2147" s="182">
        <v>2011</v>
      </c>
      <c r="H2147" s="182" t="s">
        <v>2734</v>
      </c>
      <c r="I2147" s="184" t="s">
        <v>1879</v>
      </c>
      <c r="K2147" s="182" t="s">
        <v>1881</v>
      </c>
      <c r="L2147" s="184" t="s">
        <v>9924</v>
      </c>
      <c r="M2147" s="182">
        <v>471</v>
      </c>
      <c r="O2147" s="182" t="s">
        <v>9925</v>
      </c>
      <c r="P2147" s="17">
        <v>741</v>
      </c>
      <c r="Q2147" s="145">
        <f t="shared" si="154"/>
        <v>2.2408099999999997</v>
      </c>
      <c r="R2147" s="199">
        <v>1.7</v>
      </c>
      <c r="S2147" s="199">
        <v>3</v>
      </c>
      <c r="U2147" s="55">
        <v>2.2000000000000002</v>
      </c>
      <c r="V2147" s="55">
        <v>0.34</v>
      </c>
      <c r="W2147" s="199">
        <f t="shared" si="149"/>
        <v>1.143</v>
      </c>
      <c r="X2147" s="150">
        <f t="shared" si="150"/>
        <v>0.25780999999999998</v>
      </c>
      <c r="Y2147" s="152">
        <f t="shared" si="151"/>
        <v>1.3252648</v>
      </c>
      <c r="Z2147" s="150">
        <f t="shared" si="155"/>
        <v>3.9408099999999999</v>
      </c>
      <c r="AA2147" s="152">
        <f t="shared" si="152"/>
        <v>3.9408099999999999</v>
      </c>
      <c r="AB2147" s="152">
        <f t="shared" si="153"/>
        <v>5.2660748000000002</v>
      </c>
      <c r="AC2147" s="154"/>
      <c r="AD2147" s="154"/>
      <c r="AE2147" s="198"/>
      <c r="AF2147" s="198"/>
      <c r="AH2147" s="20"/>
      <c r="AJ2147" s="198"/>
    </row>
    <row r="2148" spans="1:36" x14ac:dyDescent="0.25">
      <c r="A2148" s="182">
        <v>689</v>
      </c>
      <c r="B2148" s="182" t="s">
        <v>2920</v>
      </c>
      <c r="C2148" s="182" t="s">
        <v>9926</v>
      </c>
      <c r="D2148" s="182" t="s">
        <v>9927</v>
      </c>
      <c r="E2148" s="182" t="s">
        <v>1913</v>
      </c>
      <c r="F2148" s="182">
        <v>2012</v>
      </c>
      <c r="H2148" s="182" t="s">
        <v>2734</v>
      </c>
      <c r="I2148" s="184" t="s">
        <v>1879</v>
      </c>
      <c r="J2148" s="182" t="s">
        <v>9196</v>
      </c>
      <c r="K2148" s="182" t="s">
        <v>1881</v>
      </c>
      <c r="L2148" s="184" t="s">
        <v>9928</v>
      </c>
      <c r="M2148" s="182">
        <v>443</v>
      </c>
      <c r="O2148" s="182" t="s">
        <v>9929</v>
      </c>
      <c r="P2148" s="17">
        <v>737</v>
      </c>
      <c r="Q2148" s="145">
        <f t="shared" si="154"/>
        <v>2.2408099999999997</v>
      </c>
      <c r="R2148" s="199">
        <v>1.7</v>
      </c>
      <c r="S2148" s="199">
        <v>3.96</v>
      </c>
      <c r="U2148" s="55">
        <v>2.2000000000000002</v>
      </c>
      <c r="V2148" s="55">
        <v>0.34</v>
      </c>
      <c r="W2148" s="199">
        <f t="shared" si="149"/>
        <v>1.143</v>
      </c>
      <c r="X2148" s="150">
        <f t="shared" si="150"/>
        <v>0.25780999999999998</v>
      </c>
      <c r="Y2148" s="152">
        <f t="shared" si="151"/>
        <v>1.3252648</v>
      </c>
      <c r="Z2148" s="150">
        <f t="shared" si="155"/>
        <v>3.9408099999999999</v>
      </c>
      <c r="AA2148" s="152">
        <f t="shared" si="152"/>
        <v>3.9408099999999999</v>
      </c>
      <c r="AB2148" s="152">
        <f t="shared" si="153"/>
        <v>5.2660748000000002</v>
      </c>
      <c r="AC2148" s="154"/>
      <c r="AD2148" s="154"/>
      <c r="AE2148" s="198"/>
      <c r="AF2148" s="198"/>
      <c r="AH2148" s="20"/>
      <c r="AJ2148" s="198"/>
    </row>
    <row r="2149" spans="1:36" x14ac:dyDescent="0.25">
      <c r="A2149" s="182">
        <v>1374</v>
      </c>
      <c r="B2149" s="182" t="s">
        <v>4365</v>
      </c>
      <c r="C2149" s="182" t="s">
        <v>9930</v>
      </c>
      <c r="D2149" s="182" t="s">
        <v>1920</v>
      </c>
      <c r="F2149" s="182">
        <v>2012</v>
      </c>
      <c r="H2149" s="182" t="s">
        <v>1878</v>
      </c>
      <c r="I2149" s="184" t="s">
        <v>1879</v>
      </c>
      <c r="J2149" s="182" t="s">
        <v>9196</v>
      </c>
      <c r="K2149" s="182" t="s">
        <v>1881</v>
      </c>
      <c r="L2149" s="184" t="s">
        <v>9931</v>
      </c>
      <c r="M2149" s="182">
        <v>251</v>
      </c>
      <c r="O2149" s="182" t="s">
        <v>9932</v>
      </c>
      <c r="P2149" s="17">
        <v>257</v>
      </c>
      <c r="Q2149" s="145">
        <f t="shared" si="154"/>
        <v>2.7408099999999997</v>
      </c>
      <c r="R2149" s="199">
        <v>1.2</v>
      </c>
      <c r="S2149" s="199">
        <v>2.1</v>
      </c>
      <c r="U2149" s="55">
        <v>2.2000000000000002</v>
      </c>
      <c r="V2149" s="55">
        <v>0.34</v>
      </c>
      <c r="W2149" s="199">
        <f t="shared" si="149"/>
        <v>1.143</v>
      </c>
      <c r="X2149" s="150">
        <f t="shared" si="150"/>
        <v>0.25780999999999998</v>
      </c>
      <c r="Y2149" s="152">
        <f t="shared" si="151"/>
        <v>1.3252648</v>
      </c>
      <c r="Z2149" s="150">
        <f t="shared" si="155"/>
        <v>3.9408099999999999</v>
      </c>
      <c r="AA2149" s="152">
        <f t="shared" si="152"/>
        <v>3.9408099999999999</v>
      </c>
      <c r="AB2149" s="152">
        <f t="shared" si="153"/>
        <v>5.2660748000000002</v>
      </c>
      <c r="AC2149" s="154"/>
      <c r="AD2149" s="154"/>
      <c r="AE2149" s="198"/>
      <c r="AF2149" s="198"/>
      <c r="AH2149" s="20"/>
      <c r="AJ2149" s="198"/>
    </row>
    <row r="2150" spans="1:36" x14ac:dyDescent="0.25">
      <c r="A2150" s="182">
        <v>1374</v>
      </c>
      <c r="B2150" s="182" t="s">
        <v>4365</v>
      </c>
      <c r="C2150" s="182" t="s">
        <v>9933</v>
      </c>
      <c r="D2150" s="182" t="s">
        <v>1920</v>
      </c>
      <c r="F2150" s="182">
        <v>2014</v>
      </c>
      <c r="H2150" s="182" t="s">
        <v>1878</v>
      </c>
      <c r="I2150" s="184" t="s">
        <v>1929</v>
      </c>
      <c r="K2150" s="182" t="s">
        <v>1881</v>
      </c>
      <c r="L2150" s="184" t="s">
        <v>4367</v>
      </c>
      <c r="M2150" s="182">
        <v>237</v>
      </c>
      <c r="O2150" s="182" t="s">
        <v>9934</v>
      </c>
      <c r="P2150" s="17">
        <v>264</v>
      </c>
      <c r="Q2150" s="145">
        <f t="shared" si="154"/>
        <v>2.7408099999999997</v>
      </c>
      <c r="R2150" s="199">
        <v>1.2</v>
      </c>
      <c r="S2150" s="199">
        <v>1.69</v>
      </c>
      <c r="U2150" s="55">
        <v>2.2000000000000002</v>
      </c>
      <c r="V2150" s="55">
        <v>0.34</v>
      </c>
      <c r="W2150" s="199">
        <f t="shared" si="149"/>
        <v>1.143</v>
      </c>
      <c r="X2150" s="150">
        <f t="shared" si="150"/>
        <v>0.25780999999999998</v>
      </c>
      <c r="Y2150" s="152">
        <f t="shared" si="151"/>
        <v>1.3252648</v>
      </c>
      <c r="Z2150" s="150">
        <f t="shared" si="155"/>
        <v>3.9408099999999999</v>
      </c>
      <c r="AA2150" s="152">
        <f t="shared" si="152"/>
        <v>3.9408099999999999</v>
      </c>
      <c r="AB2150" s="152">
        <f t="shared" si="153"/>
        <v>5.2660748000000002</v>
      </c>
      <c r="AC2150" s="154"/>
      <c r="AD2150" s="154"/>
      <c r="AE2150" s="198"/>
      <c r="AF2150" s="198"/>
      <c r="AH2150" s="20"/>
      <c r="AJ2150" s="198"/>
    </row>
    <row r="2151" spans="1:36" x14ac:dyDescent="0.25">
      <c r="A2151" s="182">
        <v>2518</v>
      </c>
      <c r="B2151" s="182" t="s">
        <v>9935</v>
      </c>
      <c r="C2151" s="182" t="s">
        <v>9936</v>
      </c>
      <c r="D2151" s="182" t="s">
        <v>9138</v>
      </c>
      <c r="E2151" s="182" t="s">
        <v>1877</v>
      </c>
      <c r="F2151" s="182">
        <v>2015</v>
      </c>
      <c r="H2151" s="182" t="s">
        <v>1878</v>
      </c>
      <c r="I2151" s="184" t="s">
        <v>1929</v>
      </c>
      <c r="K2151" s="182" t="s">
        <v>1881</v>
      </c>
      <c r="L2151" s="184" t="s">
        <v>9937</v>
      </c>
      <c r="M2151" s="182">
        <v>374</v>
      </c>
      <c r="O2151" s="182" t="s">
        <v>9938</v>
      </c>
      <c r="P2151" s="17">
        <v>339</v>
      </c>
      <c r="Q2151" s="145">
        <f t="shared" si="154"/>
        <v>2.7408099999999997</v>
      </c>
      <c r="R2151" s="199">
        <v>1.2</v>
      </c>
      <c r="S2151" s="199">
        <v>5.4</v>
      </c>
      <c r="U2151" s="55">
        <v>2.2000000000000002</v>
      </c>
      <c r="V2151" s="55">
        <v>0.34</v>
      </c>
      <c r="W2151" s="199">
        <f t="shared" ref="W2151:W2201" si="156">(T2151+U2151+V2151)/100*45</f>
        <v>1.143</v>
      </c>
      <c r="X2151" s="150">
        <f t="shared" ref="X2151:X2201" si="157">(T2151+U2151+V2151+W2151)/100*7</f>
        <v>0.25780999999999998</v>
      </c>
      <c r="Y2151" s="152">
        <f t="shared" ref="Y2151:Y2201" si="158">(IF(Z2151&gt;AA2151,Z2151,AA2151)*0.08)+1.01</f>
        <v>1.3252648</v>
      </c>
      <c r="Z2151" s="150">
        <f t="shared" si="155"/>
        <v>3.9408099999999999</v>
      </c>
      <c r="AA2151" s="152">
        <f t="shared" ref="AA2151:AA2201" si="159">SUM(T2151:X2151)</f>
        <v>3.9408099999999999</v>
      </c>
      <c r="AB2151" s="152">
        <f t="shared" ref="AB2151:AB2201" si="160">SUM(T2151:Y2151)</f>
        <v>5.2660748000000002</v>
      </c>
      <c r="AC2151" s="154"/>
      <c r="AD2151" s="154"/>
      <c r="AE2151" s="198"/>
      <c r="AF2151" s="198"/>
      <c r="AH2151" s="20"/>
      <c r="AJ2151" s="198"/>
    </row>
    <row r="2152" spans="1:36" x14ac:dyDescent="0.25">
      <c r="A2152" s="182">
        <v>689</v>
      </c>
      <c r="B2152" s="182" t="s">
        <v>7852</v>
      </c>
      <c r="C2152" s="182" t="s">
        <v>9939</v>
      </c>
      <c r="D2152" s="182" t="s">
        <v>2054</v>
      </c>
      <c r="F2152" s="182">
        <v>2009</v>
      </c>
      <c r="H2152" s="182" t="s">
        <v>2734</v>
      </c>
      <c r="I2152" s="184" t="s">
        <v>1929</v>
      </c>
      <c r="K2152" s="182" t="s">
        <v>1881</v>
      </c>
      <c r="L2152" s="184" t="s">
        <v>9940</v>
      </c>
      <c r="M2152" s="182">
        <v>505</v>
      </c>
      <c r="O2152" s="182" t="s">
        <v>9941</v>
      </c>
      <c r="P2152" s="17">
        <v>454</v>
      </c>
      <c r="Q2152" s="145">
        <f t="shared" si="154"/>
        <v>2.7408099999999997</v>
      </c>
      <c r="R2152" s="199">
        <v>1.2</v>
      </c>
      <c r="S2152" s="199">
        <v>2.9</v>
      </c>
      <c r="U2152" s="55">
        <v>2.2000000000000002</v>
      </c>
      <c r="V2152" s="55">
        <v>0.34</v>
      </c>
      <c r="W2152" s="199">
        <f t="shared" si="156"/>
        <v>1.143</v>
      </c>
      <c r="X2152" s="150">
        <f t="shared" si="157"/>
        <v>0.25780999999999998</v>
      </c>
      <c r="Y2152" s="152">
        <f t="shared" si="158"/>
        <v>1.3252648</v>
      </c>
      <c r="Z2152" s="150">
        <f t="shared" si="155"/>
        <v>3.9408099999999999</v>
      </c>
      <c r="AA2152" s="152">
        <f t="shared" si="159"/>
        <v>3.9408099999999999</v>
      </c>
      <c r="AB2152" s="152">
        <f t="shared" si="160"/>
        <v>5.2660748000000002</v>
      </c>
      <c r="AC2152" s="154"/>
      <c r="AD2152" s="154"/>
      <c r="AE2152" s="198"/>
      <c r="AF2152" s="198"/>
      <c r="AH2152" s="20"/>
      <c r="AJ2152" s="198"/>
    </row>
    <row r="2153" spans="1:36" x14ac:dyDescent="0.25">
      <c r="A2153" s="182">
        <v>2518</v>
      </c>
      <c r="B2153" s="182" t="s">
        <v>9935</v>
      </c>
      <c r="C2153" s="182" t="s">
        <v>9942</v>
      </c>
      <c r="D2153" s="182" t="s">
        <v>2609</v>
      </c>
      <c r="F2153" s="182">
        <v>2019</v>
      </c>
      <c r="H2153" s="182" t="s">
        <v>1878</v>
      </c>
      <c r="I2153" s="184" t="s">
        <v>1929</v>
      </c>
      <c r="K2153" s="182" t="s">
        <v>1881</v>
      </c>
      <c r="L2153" s="184" t="s">
        <v>9943</v>
      </c>
      <c r="M2153" s="182">
        <v>381</v>
      </c>
      <c r="O2153" s="182" t="s">
        <v>9944</v>
      </c>
      <c r="P2153" s="17">
        <v>341</v>
      </c>
      <c r="Q2153" s="145">
        <f t="shared" si="154"/>
        <v>2.7408099999999997</v>
      </c>
      <c r="R2153" s="199">
        <v>1.2</v>
      </c>
      <c r="S2153" s="199">
        <v>4.9000000000000004</v>
      </c>
      <c r="U2153" s="55">
        <v>2.2000000000000002</v>
      </c>
      <c r="V2153" s="55">
        <v>0.34</v>
      </c>
      <c r="W2153" s="199">
        <f t="shared" si="156"/>
        <v>1.143</v>
      </c>
      <c r="X2153" s="150">
        <f t="shared" si="157"/>
        <v>0.25780999999999998</v>
      </c>
      <c r="Y2153" s="152">
        <f t="shared" si="158"/>
        <v>1.3252648</v>
      </c>
      <c r="Z2153" s="150">
        <f t="shared" si="155"/>
        <v>3.9408099999999999</v>
      </c>
      <c r="AA2153" s="152">
        <f t="shared" si="159"/>
        <v>3.9408099999999999</v>
      </c>
      <c r="AB2153" s="152">
        <f t="shared" si="160"/>
        <v>5.2660748000000002</v>
      </c>
      <c r="AC2153" s="154"/>
      <c r="AD2153" s="154"/>
      <c r="AE2153" s="198"/>
      <c r="AF2153" s="198"/>
      <c r="AH2153" s="20"/>
      <c r="AJ2153" s="198"/>
    </row>
    <row r="2154" spans="1:36" x14ac:dyDescent="0.25">
      <c r="A2154" s="182">
        <v>2514</v>
      </c>
      <c r="B2154" s="182" t="s">
        <v>9945</v>
      </c>
      <c r="C2154" s="182" t="s">
        <v>9946</v>
      </c>
      <c r="D2154" s="182" t="s">
        <v>9947</v>
      </c>
      <c r="H2154" s="182" t="s">
        <v>2734</v>
      </c>
      <c r="I2154" s="184" t="s">
        <v>1879</v>
      </c>
      <c r="K2154" s="182" t="s">
        <v>1881</v>
      </c>
      <c r="L2154" s="184" t="s">
        <v>9948</v>
      </c>
      <c r="M2154" s="182">
        <v>143</v>
      </c>
      <c r="O2154" s="182" t="s">
        <v>9949</v>
      </c>
      <c r="P2154" s="17">
        <v>241</v>
      </c>
      <c r="Q2154" s="145">
        <f t="shared" si="154"/>
        <v>2.7408099999999997</v>
      </c>
      <c r="R2154" s="199">
        <v>1.2</v>
      </c>
      <c r="S2154" s="199">
        <v>2.1</v>
      </c>
      <c r="U2154" s="55">
        <v>2.2000000000000002</v>
      </c>
      <c r="V2154" s="55">
        <v>0.34</v>
      </c>
      <c r="W2154" s="199">
        <f t="shared" si="156"/>
        <v>1.143</v>
      </c>
      <c r="X2154" s="150">
        <f t="shared" si="157"/>
        <v>0.25780999999999998</v>
      </c>
      <c r="Y2154" s="152">
        <f t="shared" si="158"/>
        <v>1.3252648</v>
      </c>
      <c r="Z2154" s="150">
        <f t="shared" si="155"/>
        <v>3.9408099999999999</v>
      </c>
      <c r="AA2154" s="152">
        <f t="shared" si="159"/>
        <v>3.9408099999999999</v>
      </c>
      <c r="AB2154" s="152">
        <f t="shared" si="160"/>
        <v>5.2660748000000002</v>
      </c>
      <c r="AC2154" s="154"/>
      <c r="AD2154" s="154"/>
      <c r="AE2154" s="198"/>
      <c r="AF2154" s="198"/>
      <c r="AH2154" s="20"/>
      <c r="AJ2154" s="198"/>
    </row>
    <row r="2155" spans="1:36" x14ac:dyDescent="0.25">
      <c r="A2155" s="182">
        <v>973</v>
      </c>
      <c r="B2155" s="182" t="s">
        <v>9950</v>
      </c>
      <c r="C2155" s="182" t="s">
        <v>9951</v>
      </c>
      <c r="D2155" s="182" t="s">
        <v>9952</v>
      </c>
      <c r="F2155" s="182">
        <v>1995</v>
      </c>
      <c r="H2155" s="182" t="s">
        <v>2734</v>
      </c>
      <c r="I2155" s="184" t="s">
        <v>1929</v>
      </c>
      <c r="K2155" s="182" t="s">
        <v>2025</v>
      </c>
      <c r="L2155" s="184" t="s">
        <v>9953</v>
      </c>
      <c r="M2155" s="182">
        <v>438</v>
      </c>
      <c r="O2155" s="182" t="s">
        <v>9954</v>
      </c>
      <c r="P2155" s="17">
        <v>808</v>
      </c>
      <c r="Q2155" s="145">
        <f t="shared" si="154"/>
        <v>2.2408099999999997</v>
      </c>
      <c r="R2155" s="199">
        <v>1.7</v>
      </c>
      <c r="S2155" s="199">
        <v>4.46</v>
      </c>
      <c r="U2155" s="55">
        <v>2.2000000000000002</v>
      </c>
      <c r="V2155" s="55">
        <v>0.34</v>
      </c>
      <c r="W2155" s="199">
        <f t="shared" si="156"/>
        <v>1.143</v>
      </c>
      <c r="X2155" s="150">
        <f t="shared" si="157"/>
        <v>0.25780999999999998</v>
      </c>
      <c r="Y2155" s="152">
        <f t="shared" si="158"/>
        <v>1.3252648</v>
      </c>
      <c r="Z2155" s="150">
        <f t="shared" si="155"/>
        <v>3.9408099999999999</v>
      </c>
      <c r="AA2155" s="152">
        <f t="shared" si="159"/>
        <v>3.9408099999999999</v>
      </c>
      <c r="AB2155" s="152">
        <f t="shared" si="160"/>
        <v>5.2660748000000002</v>
      </c>
      <c r="AC2155" s="154"/>
      <c r="AD2155" s="154"/>
      <c r="AE2155" s="198"/>
      <c r="AF2155" s="198"/>
      <c r="AH2155" s="20"/>
      <c r="AJ2155" s="198"/>
    </row>
    <row r="2156" spans="1:36" x14ac:dyDescent="0.25">
      <c r="A2156" s="182">
        <v>692</v>
      </c>
      <c r="B2156" s="182" t="s">
        <v>9955</v>
      </c>
      <c r="C2156" s="182" t="s">
        <v>9956</v>
      </c>
      <c r="D2156" s="182" t="s">
        <v>2257</v>
      </c>
      <c r="F2156" s="182">
        <v>1994</v>
      </c>
      <c r="H2156" s="182" t="s">
        <v>1878</v>
      </c>
      <c r="I2156" s="184" t="s">
        <v>7527</v>
      </c>
      <c r="K2156" s="182" t="s">
        <v>1881</v>
      </c>
      <c r="L2156" s="184" t="s">
        <v>9957</v>
      </c>
      <c r="M2156" s="182">
        <v>425</v>
      </c>
      <c r="O2156" s="182" t="s">
        <v>9958</v>
      </c>
      <c r="P2156" s="17">
        <v>460</v>
      </c>
      <c r="Q2156" s="145">
        <f t="shared" si="154"/>
        <v>2.7408099999999997</v>
      </c>
      <c r="R2156" s="199">
        <v>1.2</v>
      </c>
      <c r="S2156" s="199">
        <f>0.35+1.45</f>
        <v>1.7999999999999998</v>
      </c>
      <c r="U2156" s="55">
        <v>2.2000000000000002</v>
      </c>
      <c r="V2156" s="55">
        <v>0.34</v>
      </c>
      <c r="W2156" s="199">
        <f t="shared" si="156"/>
        <v>1.143</v>
      </c>
      <c r="X2156" s="150">
        <f t="shared" si="157"/>
        <v>0.25780999999999998</v>
      </c>
      <c r="Y2156" s="152">
        <f t="shared" si="158"/>
        <v>1.3252648</v>
      </c>
      <c r="Z2156" s="150">
        <f t="shared" si="155"/>
        <v>3.9408099999999999</v>
      </c>
      <c r="AA2156" s="152">
        <f t="shared" si="159"/>
        <v>3.9408099999999999</v>
      </c>
      <c r="AB2156" s="152">
        <f t="shared" si="160"/>
        <v>5.2660748000000002</v>
      </c>
      <c r="AC2156" s="154"/>
      <c r="AD2156" s="154"/>
      <c r="AE2156" s="198"/>
      <c r="AF2156" s="198"/>
      <c r="AH2156" s="20"/>
      <c r="AJ2156" s="198"/>
    </row>
    <row r="2157" spans="1:36" x14ac:dyDescent="0.25">
      <c r="A2157" s="182">
        <v>1365</v>
      </c>
      <c r="B2157" s="182" t="s">
        <v>9959</v>
      </c>
      <c r="C2157" s="182" t="s">
        <v>9960</v>
      </c>
      <c r="D2157" s="182" t="s">
        <v>9961</v>
      </c>
      <c r="F2157" s="182">
        <v>1989</v>
      </c>
      <c r="H2157" s="182" t="s">
        <v>2734</v>
      </c>
      <c r="I2157" s="184" t="s">
        <v>1929</v>
      </c>
      <c r="K2157" s="182" t="s">
        <v>1881</v>
      </c>
      <c r="M2157" s="182">
        <v>310</v>
      </c>
      <c r="O2157" s="182" t="s">
        <v>9962</v>
      </c>
      <c r="P2157" s="17">
        <v>836</v>
      </c>
      <c r="Q2157" s="145">
        <f t="shared" si="154"/>
        <v>2.2408099999999997</v>
      </c>
      <c r="R2157" s="199">
        <v>1.7</v>
      </c>
      <c r="S2157" s="199">
        <f>0.25+1.95</f>
        <v>2.2000000000000002</v>
      </c>
      <c r="U2157" s="55">
        <v>2.2000000000000002</v>
      </c>
      <c r="V2157" s="55">
        <v>0.34</v>
      </c>
      <c r="W2157" s="199">
        <f t="shared" si="156"/>
        <v>1.143</v>
      </c>
      <c r="X2157" s="150">
        <f t="shared" si="157"/>
        <v>0.25780999999999998</v>
      </c>
      <c r="Y2157" s="152">
        <f t="shared" si="158"/>
        <v>1.3252648</v>
      </c>
      <c r="Z2157" s="150">
        <f t="shared" si="155"/>
        <v>3.9408099999999999</v>
      </c>
      <c r="AA2157" s="152">
        <f t="shared" si="159"/>
        <v>3.9408099999999999</v>
      </c>
      <c r="AB2157" s="152">
        <f t="shared" si="160"/>
        <v>5.2660748000000002</v>
      </c>
      <c r="AC2157" s="154"/>
      <c r="AD2157" s="154"/>
      <c r="AE2157" s="198"/>
      <c r="AF2157" s="198"/>
      <c r="AH2157" s="20"/>
      <c r="AJ2157" s="198"/>
    </row>
    <row r="2158" spans="1:36" x14ac:dyDescent="0.25">
      <c r="A2158" s="182">
        <v>826</v>
      </c>
      <c r="B2158" s="182" t="s">
        <v>9963</v>
      </c>
      <c r="C2158" s="182" t="s">
        <v>9964</v>
      </c>
      <c r="D2158" s="182" t="s">
        <v>9032</v>
      </c>
      <c r="E2158" s="182" t="s">
        <v>1877</v>
      </c>
      <c r="F2158" s="182">
        <v>2006</v>
      </c>
      <c r="H2158" s="182" t="s">
        <v>1878</v>
      </c>
      <c r="I2158" s="184" t="s">
        <v>1929</v>
      </c>
      <c r="K2158" s="182" t="s">
        <v>1881</v>
      </c>
      <c r="L2158" s="184" t="s">
        <v>9965</v>
      </c>
      <c r="M2158" s="182">
        <v>389</v>
      </c>
      <c r="O2158" s="182" t="s">
        <v>9966</v>
      </c>
      <c r="P2158" s="17">
        <v>389</v>
      </c>
      <c r="Q2158" s="145">
        <f t="shared" si="154"/>
        <v>2.7408099999999997</v>
      </c>
      <c r="R2158" s="199">
        <v>1.2</v>
      </c>
      <c r="S2158" s="199">
        <v>3.93</v>
      </c>
      <c r="U2158" s="55">
        <v>2.2000000000000002</v>
      </c>
      <c r="V2158" s="55">
        <v>0.34</v>
      </c>
      <c r="W2158" s="199">
        <f t="shared" si="156"/>
        <v>1.143</v>
      </c>
      <c r="X2158" s="150">
        <f t="shared" si="157"/>
        <v>0.25780999999999998</v>
      </c>
      <c r="Y2158" s="152">
        <f t="shared" si="158"/>
        <v>1.3252648</v>
      </c>
      <c r="Z2158" s="150">
        <f t="shared" si="155"/>
        <v>3.9408099999999999</v>
      </c>
      <c r="AA2158" s="152">
        <f t="shared" si="159"/>
        <v>3.9408099999999999</v>
      </c>
      <c r="AB2158" s="152">
        <f t="shared" si="160"/>
        <v>5.2660748000000002</v>
      </c>
      <c r="AC2158" s="154"/>
      <c r="AD2158" s="154"/>
      <c r="AE2158" s="198"/>
      <c r="AF2158" s="198"/>
      <c r="AH2158" s="20"/>
      <c r="AJ2158" s="198"/>
    </row>
    <row r="2159" spans="1:36" x14ac:dyDescent="0.25">
      <c r="A2159" s="182">
        <v>796</v>
      </c>
      <c r="B2159" s="182" t="s">
        <v>9967</v>
      </c>
      <c r="C2159" s="182" t="s">
        <v>8563</v>
      </c>
      <c r="F2159" s="182">
        <v>2010</v>
      </c>
      <c r="H2159" s="182" t="s">
        <v>1878</v>
      </c>
      <c r="I2159" s="184" t="s">
        <v>1879</v>
      </c>
      <c r="K2159" s="182" t="s">
        <v>1881</v>
      </c>
      <c r="L2159" s="184" t="s">
        <v>8564</v>
      </c>
      <c r="M2159" s="182">
        <v>479</v>
      </c>
      <c r="O2159" s="182" t="s">
        <v>9968</v>
      </c>
      <c r="P2159" s="17">
        <v>349</v>
      </c>
      <c r="Q2159" s="145">
        <f t="shared" si="154"/>
        <v>2.7408099999999997</v>
      </c>
      <c r="R2159" s="199">
        <v>1.2</v>
      </c>
      <c r="S2159" s="199">
        <v>3.38</v>
      </c>
      <c r="U2159" s="55">
        <v>2.2000000000000002</v>
      </c>
      <c r="V2159" s="55">
        <v>0.34</v>
      </c>
      <c r="W2159" s="199">
        <f t="shared" si="156"/>
        <v>1.143</v>
      </c>
      <c r="X2159" s="150">
        <f t="shared" si="157"/>
        <v>0.25780999999999998</v>
      </c>
      <c r="Y2159" s="152">
        <f t="shared" si="158"/>
        <v>1.3252648</v>
      </c>
      <c r="Z2159" s="150">
        <f t="shared" si="155"/>
        <v>3.9408099999999999</v>
      </c>
      <c r="AA2159" s="152">
        <f t="shared" si="159"/>
        <v>3.9408099999999999</v>
      </c>
      <c r="AB2159" s="152">
        <f t="shared" si="160"/>
        <v>5.2660748000000002</v>
      </c>
      <c r="AC2159" s="154"/>
      <c r="AD2159" s="154"/>
      <c r="AE2159" s="198"/>
      <c r="AF2159" s="198"/>
      <c r="AH2159" s="20"/>
      <c r="AJ2159" s="198"/>
    </row>
    <row r="2160" spans="1:36" x14ac:dyDescent="0.25">
      <c r="A2160" s="182">
        <v>2553</v>
      </c>
      <c r="B2160" s="182" t="s">
        <v>9969</v>
      </c>
      <c r="C2160" s="182" t="s">
        <v>9970</v>
      </c>
      <c r="D2160" s="182" t="s">
        <v>3077</v>
      </c>
      <c r="E2160" s="182" t="s">
        <v>1913</v>
      </c>
      <c r="F2160" s="182">
        <v>2012</v>
      </c>
      <c r="H2160" s="182" t="s">
        <v>1878</v>
      </c>
      <c r="I2160" s="184" t="s">
        <v>7817</v>
      </c>
      <c r="K2160" s="182" t="s">
        <v>1881</v>
      </c>
      <c r="L2160" s="184" t="s">
        <v>9971</v>
      </c>
      <c r="M2160" s="182">
        <v>509</v>
      </c>
      <c r="O2160" s="182" t="s">
        <v>9972</v>
      </c>
      <c r="P2160" s="17">
        <v>456</v>
      </c>
      <c r="Q2160" s="145">
        <f t="shared" si="154"/>
        <v>2.7408099999999997</v>
      </c>
      <c r="R2160" s="199">
        <v>1.2</v>
      </c>
      <c r="S2160" s="199">
        <v>4.1900000000000004</v>
      </c>
      <c r="U2160" s="55">
        <v>2.2000000000000002</v>
      </c>
      <c r="V2160" s="55">
        <v>0.34</v>
      </c>
      <c r="W2160" s="199">
        <f t="shared" si="156"/>
        <v>1.143</v>
      </c>
      <c r="X2160" s="150">
        <f t="shared" si="157"/>
        <v>0.25780999999999998</v>
      </c>
      <c r="Y2160" s="152">
        <f t="shared" si="158"/>
        <v>1.3252648</v>
      </c>
      <c r="Z2160" s="150">
        <f t="shared" si="155"/>
        <v>3.9408099999999999</v>
      </c>
      <c r="AA2160" s="152">
        <f t="shared" si="159"/>
        <v>3.9408099999999999</v>
      </c>
      <c r="AB2160" s="152">
        <f t="shared" si="160"/>
        <v>5.2660748000000002</v>
      </c>
      <c r="AC2160" s="154"/>
      <c r="AD2160" s="154"/>
      <c r="AE2160" s="198"/>
      <c r="AF2160" s="198"/>
      <c r="AH2160" s="20"/>
      <c r="AJ2160" s="198"/>
    </row>
    <row r="2161" spans="1:36" x14ac:dyDescent="0.25">
      <c r="A2161" s="182">
        <v>2553</v>
      </c>
      <c r="B2161" s="182" t="s">
        <v>3637</v>
      </c>
      <c r="C2161" s="182" t="s">
        <v>9973</v>
      </c>
      <c r="D2161" s="182" t="s">
        <v>9974</v>
      </c>
      <c r="F2161" s="182">
        <v>1990</v>
      </c>
      <c r="H2161" s="182" t="s">
        <v>2734</v>
      </c>
      <c r="I2161" s="184" t="s">
        <v>1879</v>
      </c>
      <c r="K2161" s="182" t="s">
        <v>1881</v>
      </c>
      <c r="M2161" s="182">
        <v>448</v>
      </c>
      <c r="O2161" s="182" t="s">
        <v>9975</v>
      </c>
      <c r="P2161" s="17">
        <v>533</v>
      </c>
      <c r="Q2161" s="145">
        <f t="shared" si="154"/>
        <v>2.2408099999999997</v>
      </c>
      <c r="R2161" s="199">
        <v>1.7</v>
      </c>
      <c r="S2161" s="199">
        <v>3.56</v>
      </c>
      <c r="U2161" s="55">
        <v>2.2000000000000002</v>
      </c>
      <c r="V2161" s="55">
        <v>0.34</v>
      </c>
      <c r="W2161" s="199">
        <f t="shared" si="156"/>
        <v>1.143</v>
      </c>
      <c r="X2161" s="150">
        <f t="shared" si="157"/>
        <v>0.25780999999999998</v>
      </c>
      <c r="Y2161" s="152">
        <f t="shared" si="158"/>
        <v>1.3252648</v>
      </c>
      <c r="Z2161" s="150">
        <f t="shared" si="155"/>
        <v>3.9408099999999999</v>
      </c>
      <c r="AA2161" s="152">
        <f t="shared" si="159"/>
        <v>3.9408099999999999</v>
      </c>
      <c r="AB2161" s="152">
        <f t="shared" si="160"/>
        <v>5.2660748000000002</v>
      </c>
      <c r="AC2161" s="154"/>
      <c r="AD2161" s="154"/>
      <c r="AE2161" s="198"/>
      <c r="AF2161" s="198"/>
      <c r="AH2161" s="20"/>
      <c r="AJ2161" s="198"/>
    </row>
    <row r="2162" spans="1:36" x14ac:dyDescent="0.25">
      <c r="A2162" s="182">
        <v>1386</v>
      </c>
      <c r="B2162" s="182" t="s">
        <v>9976</v>
      </c>
      <c r="C2162" s="182" t="s">
        <v>9977</v>
      </c>
      <c r="D2162" s="182" t="s">
        <v>2609</v>
      </c>
      <c r="E2162" s="182" t="s">
        <v>1899</v>
      </c>
      <c r="F2162" s="182">
        <v>2018</v>
      </c>
      <c r="H2162" s="182" t="s">
        <v>1878</v>
      </c>
      <c r="I2162" s="184" t="s">
        <v>1879</v>
      </c>
      <c r="J2162" s="182" t="s">
        <v>9196</v>
      </c>
      <c r="K2162" s="182" t="s">
        <v>1881</v>
      </c>
      <c r="L2162" s="184" t="s">
        <v>9978</v>
      </c>
      <c r="M2162" s="182">
        <v>682</v>
      </c>
      <c r="O2162" s="182" t="s">
        <v>9979</v>
      </c>
      <c r="P2162" s="17">
        <v>531</v>
      </c>
      <c r="Q2162" s="145">
        <f t="shared" si="154"/>
        <v>2.2408099999999997</v>
      </c>
      <c r="R2162" s="199">
        <v>1.7</v>
      </c>
      <c r="S2162" s="199">
        <v>4.24</v>
      </c>
      <c r="U2162" s="55">
        <v>2.2000000000000002</v>
      </c>
      <c r="V2162" s="55">
        <v>0.34</v>
      </c>
      <c r="W2162" s="199">
        <f t="shared" si="156"/>
        <v>1.143</v>
      </c>
      <c r="X2162" s="150">
        <f t="shared" si="157"/>
        <v>0.25780999999999998</v>
      </c>
      <c r="Y2162" s="152">
        <f t="shared" si="158"/>
        <v>1.3252648</v>
      </c>
      <c r="Z2162" s="150">
        <f t="shared" si="155"/>
        <v>3.9408099999999999</v>
      </c>
      <c r="AA2162" s="152">
        <f t="shared" si="159"/>
        <v>3.9408099999999999</v>
      </c>
      <c r="AB2162" s="152">
        <f t="shared" si="160"/>
        <v>5.2660748000000002</v>
      </c>
      <c r="AC2162" s="154"/>
      <c r="AD2162" s="154"/>
      <c r="AE2162" s="198"/>
      <c r="AF2162" s="198"/>
      <c r="AH2162" s="20"/>
      <c r="AJ2162" s="198"/>
    </row>
    <row r="2163" spans="1:36" x14ac:dyDescent="0.25">
      <c r="A2163" s="182">
        <v>8</v>
      </c>
      <c r="B2163" s="182" t="s">
        <v>9980</v>
      </c>
      <c r="C2163" s="182" t="s">
        <v>9981</v>
      </c>
      <c r="D2163" s="182" t="s">
        <v>1988</v>
      </c>
      <c r="E2163" s="182" t="s">
        <v>1877</v>
      </c>
      <c r="F2163" s="182">
        <v>1998</v>
      </c>
      <c r="H2163" s="182" t="s">
        <v>1878</v>
      </c>
      <c r="I2163" s="184" t="s">
        <v>1929</v>
      </c>
      <c r="K2163" s="182" t="s">
        <v>1881</v>
      </c>
      <c r="L2163" s="184" t="s">
        <v>9982</v>
      </c>
      <c r="M2163" s="182">
        <v>338</v>
      </c>
      <c r="O2163" s="182" t="s">
        <v>9983</v>
      </c>
      <c r="P2163" s="17">
        <v>303</v>
      </c>
      <c r="Q2163" s="145">
        <f t="shared" si="154"/>
        <v>2.7408099999999997</v>
      </c>
      <c r="R2163" s="199">
        <v>1.2</v>
      </c>
      <c r="S2163" s="199">
        <v>4.22</v>
      </c>
      <c r="U2163" s="55">
        <v>2.2000000000000002</v>
      </c>
      <c r="V2163" s="55">
        <v>0.34</v>
      </c>
      <c r="W2163" s="199">
        <f t="shared" si="156"/>
        <v>1.143</v>
      </c>
      <c r="X2163" s="150">
        <f t="shared" si="157"/>
        <v>0.25780999999999998</v>
      </c>
      <c r="Y2163" s="152">
        <f t="shared" si="158"/>
        <v>1.3252648</v>
      </c>
      <c r="Z2163" s="150">
        <f t="shared" si="155"/>
        <v>3.9408099999999999</v>
      </c>
      <c r="AA2163" s="152">
        <f t="shared" si="159"/>
        <v>3.9408099999999999</v>
      </c>
      <c r="AB2163" s="152">
        <f t="shared" si="160"/>
        <v>5.2660748000000002</v>
      </c>
      <c r="AC2163" s="154"/>
      <c r="AD2163" s="154"/>
      <c r="AE2163" s="198"/>
      <c r="AF2163" s="198"/>
      <c r="AH2163" s="20"/>
      <c r="AJ2163" s="198"/>
    </row>
    <row r="2164" spans="1:36" x14ac:dyDescent="0.25">
      <c r="A2164" s="182">
        <v>2546</v>
      </c>
      <c r="B2164" s="182" t="s">
        <v>9984</v>
      </c>
      <c r="C2164" s="182" t="s">
        <v>9985</v>
      </c>
      <c r="D2164" s="182" t="s">
        <v>2232</v>
      </c>
      <c r="E2164" s="182" t="s">
        <v>1913</v>
      </c>
      <c r="F2164" s="182">
        <v>2001</v>
      </c>
      <c r="H2164" s="182" t="s">
        <v>1878</v>
      </c>
      <c r="I2164" s="184" t="s">
        <v>1929</v>
      </c>
      <c r="K2164" s="182" t="s">
        <v>1881</v>
      </c>
      <c r="L2164" s="184" t="s">
        <v>9986</v>
      </c>
      <c r="M2164" s="182">
        <v>220</v>
      </c>
      <c r="O2164" s="182" t="s">
        <v>9987</v>
      </c>
      <c r="P2164" s="17">
        <v>223</v>
      </c>
      <c r="Q2164" s="145">
        <f t="shared" si="154"/>
        <v>2.7408099999999997</v>
      </c>
      <c r="R2164" s="199">
        <v>1.2</v>
      </c>
      <c r="S2164" s="199">
        <v>4.2</v>
      </c>
      <c r="U2164" s="55">
        <v>2.2000000000000002</v>
      </c>
      <c r="V2164" s="55">
        <v>0.34</v>
      </c>
      <c r="W2164" s="199">
        <f t="shared" si="156"/>
        <v>1.143</v>
      </c>
      <c r="X2164" s="150">
        <f t="shared" si="157"/>
        <v>0.25780999999999998</v>
      </c>
      <c r="Y2164" s="152">
        <f t="shared" si="158"/>
        <v>1.3252648</v>
      </c>
      <c r="Z2164" s="150">
        <f t="shared" si="155"/>
        <v>3.9408099999999999</v>
      </c>
      <c r="AA2164" s="152">
        <f t="shared" si="159"/>
        <v>3.9408099999999999</v>
      </c>
      <c r="AB2164" s="152">
        <f t="shared" si="160"/>
        <v>5.2660748000000002</v>
      </c>
      <c r="AC2164" s="154"/>
      <c r="AD2164" s="154"/>
      <c r="AE2164" s="198"/>
      <c r="AF2164" s="198"/>
      <c r="AH2164" s="20"/>
      <c r="AJ2164" s="198"/>
    </row>
    <row r="2165" spans="1:36" x14ac:dyDescent="0.25">
      <c r="A2165" s="182">
        <v>1395</v>
      </c>
      <c r="B2165" s="182" t="s">
        <v>9988</v>
      </c>
      <c r="C2165" s="182" t="s">
        <v>9989</v>
      </c>
      <c r="D2165" s="182" t="s">
        <v>1920</v>
      </c>
      <c r="E2165" s="182" t="s">
        <v>3998</v>
      </c>
      <c r="F2165" s="182">
        <v>2009</v>
      </c>
      <c r="H2165" s="182" t="s">
        <v>1878</v>
      </c>
      <c r="I2165" s="184" t="s">
        <v>1879</v>
      </c>
      <c r="K2165" s="182" t="s">
        <v>1881</v>
      </c>
      <c r="L2165" s="184" t="s">
        <v>9990</v>
      </c>
      <c r="M2165" s="182">
        <v>111</v>
      </c>
      <c r="O2165" s="182" t="s">
        <v>9991</v>
      </c>
      <c r="P2165" s="17">
        <v>114</v>
      </c>
      <c r="Q2165" s="145">
        <f t="shared" si="154"/>
        <v>2.7408099999999997</v>
      </c>
      <c r="R2165" s="199">
        <v>1.2</v>
      </c>
      <c r="S2165" s="199">
        <v>3.87</v>
      </c>
      <c r="U2165" s="55">
        <v>2.2000000000000002</v>
      </c>
      <c r="V2165" s="55">
        <v>0.34</v>
      </c>
      <c r="W2165" s="199">
        <f t="shared" si="156"/>
        <v>1.143</v>
      </c>
      <c r="X2165" s="150">
        <f t="shared" si="157"/>
        <v>0.25780999999999998</v>
      </c>
      <c r="Y2165" s="152">
        <f t="shared" si="158"/>
        <v>1.3252648</v>
      </c>
      <c r="Z2165" s="150">
        <f t="shared" si="155"/>
        <v>3.9408099999999999</v>
      </c>
      <c r="AA2165" s="152">
        <f t="shared" si="159"/>
        <v>3.9408099999999999</v>
      </c>
      <c r="AB2165" s="152">
        <f t="shared" si="160"/>
        <v>5.2660748000000002</v>
      </c>
      <c r="AC2165" s="154"/>
      <c r="AD2165" s="154"/>
      <c r="AE2165" s="198"/>
      <c r="AF2165" s="198"/>
      <c r="AH2165" s="20"/>
      <c r="AJ2165" s="198"/>
    </row>
    <row r="2166" spans="1:36" x14ac:dyDescent="0.25">
      <c r="A2166" s="182">
        <v>2546</v>
      </c>
      <c r="B2166" s="182" t="s">
        <v>9992</v>
      </c>
      <c r="C2166" s="182" t="s">
        <v>9993</v>
      </c>
      <c r="D2166" s="182" t="s">
        <v>2644</v>
      </c>
      <c r="F2166" s="182">
        <v>2010</v>
      </c>
      <c r="H2166" s="182" t="s">
        <v>1878</v>
      </c>
      <c r="I2166" s="184" t="s">
        <v>1929</v>
      </c>
      <c r="K2166" s="182" t="s">
        <v>1881</v>
      </c>
      <c r="L2166" s="184" t="s">
        <v>9994</v>
      </c>
      <c r="M2166" s="182">
        <v>380</v>
      </c>
      <c r="O2166" s="182" t="s">
        <v>9995</v>
      </c>
      <c r="P2166" s="17">
        <v>292</v>
      </c>
      <c r="Q2166" s="145">
        <f t="shared" si="154"/>
        <v>2.7408099999999997</v>
      </c>
      <c r="R2166" s="199">
        <v>1.2</v>
      </c>
      <c r="S2166" s="199">
        <v>4.2300000000000004</v>
      </c>
      <c r="U2166" s="55">
        <v>2.2000000000000002</v>
      </c>
      <c r="V2166" s="55">
        <v>0.34</v>
      </c>
      <c r="W2166" s="199">
        <f t="shared" si="156"/>
        <v>1.143</v>
      </c>
      <c r="X2166" s="150">
        <f t="shared" si="157"/>
        <v>0.25780999999999998</v>
      </c>
      <c r="Y2166" s="152">
        <f t="shared" si="158"/>
        <v>1.3252648</v>
      </c>
      <c r="Z2166" s="150">
        <f t="shared" si="155"/>
        <v>3.9408099999999999</v>
      </c>
      <c r="AA2166" s="152">
        <f t="shared" si="159"/>
        <v>3.9408099999999999</v>
      </c>
      <c r="AB2166" s="152">
        <f t="shared" si="160"/>
        <v>5.2660748000000002</v>
      </c>
      <c r="AC2166" s="154"/>
      <c r="AD2166" s="154"/>
      <c r="AE2166" s="198"/>
      <c r="AF2166" s="198"/>
      <c r="AH2166" s="20"/>
      <c r="AJ2166" s="198"/>
    </row>
    <row r="2167" spans="1:36" x14ac:dyDescent="0.25">
      <c r="A2167" s="182">
        <v>692</v>
      </c>
      <c r="B2167" s="182" t="s">
        <v>9996</v>
      </c>
      <c r="C2167" s="182" t="s">
        <v>9997</v>
      </c>
      <c r="D2167" s="182" t="s">
        <v>1876</v>
      </c>
      <c r="F2167" s="182">
        <v>2018</v>
      </c>
      <c r="H2167" s="182" t="s">
        <v>1878</v>
      </c>
      <c r="I2167" s="184" t="s">
        <v>1929</v>
      </c>
      <c r="K2167" s="182" t="s">
        <v>1881</v>
      </c>
      <c r="L2167" s="184" t="s">
        <v>9998</v>
      </c>
      <c r="M2167" s="182">
        <v>276</v>
      </c>
      <c r="O2167" s="182" t="s">
        <v>9999</v>
      </c>
      <c r="P2167" s="17">
        <v>275</v>
      </c>
      <c r="Q2167" s="145">
        <f t="shared" si="154"/>
        <v>2.7408099999999997</v>
      </c>
      <c r="R2167" s="199">
        <v>1.2</v>
      </c>
      <c r="S2167" s="199">
        <v>3.6</v>
      </c>
      <c r="U2167" s="55">
        <v>2.2000000000000002</v>
      </c>
      <c r="V2167" s="55">
        <v>0.34</v>
      </c>
      <c r="W2167" s="199">
        <f t="shared" si="156"/>
        <v>1.143</v>
      </c>
      <c r="X2167" s="150">
        <f t="shared" si="157"/>
        <v>0.25780999999999998</v>
      </c>
      <c r="Y2167" s="152">
        <f t="shared" si="158"/>
        <v>1.3252648</v>
      </c>
      <c r="Z2167" s="150">
        <f t="shared" si="155"/>
        <v>3.9408099999999999</v>
      </c>
      <c r="AA2167" s="152">
        <f t="shared" si="159"/>
        <v>3.9408099999999999</v>
      </c>
      <c r="AB2167" s="152">
        <f t="shared" si="160"/>
        <v>5.2660748000000002</v>
      </c>
      <c r="AC2167" s="154"/>
      <c r="AD2167" s="154"/>
      <c r="AE2167" s="198"/>
      <c r="AF2167" s="198"/>
      <c r="AH2167" s="20"/>
      <c r="AJ2167" s="198"/>
    </row>
    <row r="2168" spans="1:36" x14ac:dyDescent="0.25">
      <c r="A2168" s="182">
        <v>765</v>
      </c>
      <c r="B2168" s="182" t="s">
        <v>10000</v>
      </c>
      <c r="C2168" s="182" t="s">
        <v>10001</v>
      </c>
      <c r="D2168" s="182" t="s">
        <v>2309</v>
      </c>
      <c r="E2168" s="182" t="s">
        <v>1913</v>
      </c>
      <c r="F2168" s="182">
        <v>2009</v>
      </c>
      <c r="H2168" s="182" t="s">
        <v>1878</v>
      </c>
      <c r="I2168" s="184" t="s">
        <v>1879</v>
      </c>
      <c r="K2168" s="182" t="s">
        <v>1881</v>
      </c>
      <c r="L2168" s="184" t="s">
        <v>10002</v>
      </c>
      <c r="M2168" s="182">
        <v>318</v>
      </c>
      <c r="O2168" s="182" t="s">
        <v>10003</v>
      </c>
      <c r="P2168" s="17">
        <v>307</v>
      </c>
      <c r="Q2168" s="145">
        <f t="shared" si="154"/>
        <v>2.7408099999999997</v>
      </c>
      <c r="R2168" s="199">
        <v>1.2</v>
      </c>
      <c r="S2168" s="199">
        <v>4.13</v>
      </c>
      <c r="U2168" s="55">
        <v>2.2000000000000002</v>
      </c>
      <c r="V2168" s="55">
        <v>0.34</v>
      </c>
      <c r="W2168" s="199">
        <f t="shared" si="156"/>
        <v>1.143</v>
      </c>
      <c r="X2168" s="150">
        <f t="shared" si="157"/>
        <v>0.25780999999999998</v>
      </c>
      <c r="Y2168" s="152">
        <f t="shared" si="158"/>
        <v>1.3252648</v>
      </c>
      <c r="Z2168" s="150">
        <f t="shared" si="155"/>
        <v>3.9408099999999999</v>
      </c>
      <c r="AA2168" s="152">
        <f t="shared" si="159"/>
        <v>3.9408099999999999</v>
      </c>
      <c r="AB2168" s="152">
        <f t="shared" si="160"/>
        <v>5.2660748000000002</v>
      </c>
      <c r="AC2168" s="154"/>
      <c r="AD2168" s="154"/>
      <c r="AE2168" s="198"/>
      <c r="AF2168" s="198"/>
      <c r="AH2168" s="20"/>
      <c r="AJ2168" s="198"/>
    </row>
    <row r="2169" spans="1:36" x14ac:dyDescent="0.25">
      <c r="A2169" s="182">
        <v>1374</v>
      </c>
      <c r="B2169" s="182" t="s">
        <v>10004</v>
      </c>
      <c r="C2169" s="182" t="s">
        <v>10005</v>
      </c>
      <c r="D2169" s="182" t="s">
        <v>1876</v>
      </c>
      <c r="E2169" s="182" t="s">
        <v>1877</v>
      </c>
      <c r="F2169" s="182">
        <v>2012</v>
      </c>
      <c r="H2169" s="182" t="s">
        <v>1878</v>
      </c>
      <c r="I2169" s="184" t="s">
        <v>1929</v>
      </c>
      <c r="K2169" s="182" t="s">
        <v>1881</v>
      </c>
      <c r="L2169" s="184" t="s">
        <v>10006</v>
      </c>
      <c r="O2169" s="182" t="s">
        <v>10007</v>
      </c>
      <c r="P2169" s="17">
        <v>166</v>
      </c>
      <c r="Q2169" s="145">
        <f t="shared" si="154"/>
        <v>2.7408099999999997</v>
      </c>
      <c r="R2169" s="199">
        <v>1.2</v>
      </c>
      <c r="S2169" s="199">
        <v>4.2300000000000004</v>
      </c>
      <c r="U2169" s="55">
        <v>2.2000000000000002</v>
      </c>
      <c r="V2169" s="55">
        <v>0.34</v>
      </c>
      <c r="W2169" s="199">
        <f t="shared" si="156"/>
        <v>1.143</v>
      </c>
      <c r="X2169" s="150">
        <f t="shared" si="157"/>
        <v>0.25780999999999998</v>
      </c>
      <c r="Y2169" s="152">
        <f t="shared" si="158"/>
        <v>1.3252648</v>
      </c>
      <c r="Z2169" s="150">
        <f t="shared" si="155"/>
        <v>3.9408099999999999</v>
      </c>
      <c r="AA2169" s="152">
        <f t="shared" si="159"/>
        <v>3.9408099999999999</v>
      </c>
      <c r="AB2169" s="152">
        <f t="shared" si="160"/>
        <v>5.2660748000000002</v>
      </c>
      <c r="AC2169" s="154"/>
      <c r="AD2169" s="154"/>
      <c r="AE2169" s="198"/>
      <c r="AF2169" s="198"/>
      <c r="AH2169" s="20"/>
      <c r="AJ2169" s="198"/>
    </row>
    <row r="2170" spans="1:36" x14ac:dyDescent="0.25">
      <c r="A2170" s="182">
        <v>2547</v>
      </c>
      <c r="B2170" s="182" t="s">
        <v>2456</v>
      </c>
      <c r="C2170" s="182" t="s">
        <v>7822</v>
      </c>
      <c r="D2170" s="182" t="s">
        <v>3077</v>
      </c>
      <c r="E2170" s="182" t="s">
        <v>1913</v>
      </c>
      <c r="F2170" s="182">
        <v>2003</v>
      </c>
      <c r="H2170" s="182" t="s">
        <v>2734</v>
      </c>
      <c r="I2170" s="184" t="s">
        <v>1879</v>
      </c>
      <c r="K2170" s="182" t="s">
        <v>1881</v>
      </c>
      <c r="L2170" s="184" t="s">
        <v>10008</v>
      </c>
      <c r="M2170" s="182">
        <v>602</v>
      </c>
      <c r="O2170" s="182" t="s">
        <v>10009</v>
      </c>
      <c r="P2170" s="17">
        <v>817</v>
      </c>
      <c r="Q2170" s="145">
        <f t="shared" si="154"/>
        <v>2.2408099999999997</v>
      </c>
      <c r="R2170" s="199">
        <v>1.7</v>
      </c>
      <c r="S2170" s="199">
        <v>2.85</v>
      </c>
      <c r="U2170" s="55">
        <v>2.2000000000000002</v>
      </c>
      <c r="V2170" s="55">
        <v>0.34</v>
      </c>
      <c r="W2170" s="199">
        <f t="shared" si="156"/>
        <v>1.143</v>
      </c>
      <c r="X2170" s="150">
        <f t="shared" si="157"/>
        <v>0.25780999999999998</v>
      </c>
      <c r="Y2170" s="152">
        <f t="shared" si="158"/>
        <v>1.3252648</v>
      </c>
      <c r="Z2170" s="150">
        <f t="shared" si="155"/>
        <v>3.9408099999999999</v>
      </c>
      <c r="AA2170" s="152">
        <f t="shared" si="159"/>
        <v>3.9408099999999999</v>
      </c>
      <c r="AB2170" s="152">
        <f t="shared" si="160"/>
        <v>5.2660748000000002</v>
      </c>
      <c r="AC2170" s="154"/>
      <c r="AD2170" s="154"/>
      <c r="AE2170" s="198"/>
      <c r="AF2170" s="198"/>
      <c r="AH2170" s="20"/>
      <c r="AJ2170" s="198"/>
    </row>
    <row r="2171" spans="1:36" x14ac:dyDescent="0.25">
      <c r="A2171" s="182">
        <v>2522</v>
      </c>
      <c r="B2171" s="182" t="s">
        <v>9866</v>
      </c>
      <c r="C2171" s="182" t="s">
        <v>10010</v>
      </c>
      <c r="D2171" s="182" t="s">
        <v>1912</v>
      </c>
      <c r="E2171" s="182" t="s">
        <v>1913</v>
      </c>
      <c r="F2171" s="182">
        <v>2010</v>
      </c>
      <c r="H2171" s="182" t="s">
        <v>1878</v>
      </c>
      <c r="I2171" s="184" t="s">
        <v>1879</v>
      </c>
      <c r="K2171" s="182" t="s">
        <v>1881</v>
      </c>
      <c r="L2171" s="184" t="s">
        <v>10011</v>
      </c>
      <c r="M2171" s="182">
        <v>413</v>
      </c>
      <c r="O2171" s="182" t="s">
        <v>10012</v>
      </c>
      <c r="P2171" s="17">
        <v>375</v>
      </c>
      <c r="Q2171" s="145">
        <f t="shared" si="154"/>
        <v>2.7408099999999997</v>
      </c>
      <c r="R2171" s="199">
        <v>1.2</v>
      </c>
      <c r="S2171" s="199">
        <v>4.33</v>
      </c>
      <c r="U2171" s="55">
        <v>2.2000000000000002</v>
      </c>
      <c r="V2171" s="55">
        <v>0.34</v>
      </c>
      <c r="W2171" s="199">
        <f t="shared" si="156"/>
        <v>1.143</v>
      </c>
      <c r="X2171" s="150">
        <f t="shared" si="157"/>
        <v>0.25780999999999998</v>
      </c>
      <c r="Y2171" s="152">
        <f t="shared" si="158"/>
        <v>1.3252648</v>
      </c>
      <c r="Z2171" s="150">
        <f t="shared" si="155"/>
        <v>3.9408099999999999</v>
      </c>
      <c r="AA2171" s="152">
        <f t="shared" si="159"/>
        <v>3.9408099999999999</v>
      </c>
      <c r="AB2171" s="152">
        <f t="shared" si="160"/>
        <v>5.2660748000000002</v>
      </c>
      <c r="AC2171" s="154"/>
      <c r="AD2171" s="154"/>
      <c r="AE2171" s="198"/>
      <c r="AF2171" s="198"/>
      <c r="AH2171" s="20"/>
      <c r="AJ2171" s="198"/>
    </row>
    <row r="2172" spans="1:36" x14ac:dyDescent="0.25">
      <c r="A2172" s="182">
        <v>2518</v>
      </c>
      <c r="B2172" s="182" t="s">
        <v>10013</v>
      </c>
      <c r="C2172" s="182" t="s">
        <v>10014</v>
      </c>
      <c r="D2172" s="182" t="s">
        <v>9192</v>
      </c>
      <c r="E2172" s="182" t="s">
        <v>1913</v>
      </c>
      <c r="F2172" s="182">
        <v>2016</v>
      </c>
      <c r="H2172" s="182" t="s">
        <v>1878</v>
      </c>
      <c r="I2172" s="184" t="s">
        <v>1879</v>
      </c>
      <c r="K2172" s="182" t="s">
        <v>1881</v>
      </c>
      <c r="L2172" s="184" t="s">
        <v>10015</v>
      </c>
      <c r="M2172" s="182">
        <v>206</v>
      </c>
      <c r="O2172" s="182" t="s">
        <v>10016</v>
      </c>
      <c r="P2172" s="17">
        <v>226</v>
      </c>
      <c r="Q2172" s="145">
        <f t="shared" si="154"/>
        <v>2.7408099999999997</v>
      </c>
      <c r="R2172" s="199">
        <v>1.2</v>
      </c>
      <c r="S2172" s="199">
        <v>4.21</v>
      </c>
      <c r="U2172" s="55">
        <v>2.2000000000000002</v>
      </c>
      <c r="V2172" s="55">
        <v>0.34</v>
      </c>
      <c r="W2172" s="199">
        <f t="shared" si="156"/>
        <v>1.143</v>
      </c>
      <c r="X2172" s="150">
        <f t="shared" si="157"/>
        <v>0.25780999999999998</v>
      </c>
      <c r="Y2172" s="152">
        <f t="shared" si="158"/>
        <v>1.3252648</v>
      </c>
      <c r="Z2172" s="150">
        <f t="shared" si="155"/>
        <v>3.9408099999999999</v>
      </c>
      <c r="AA2172" s="152">
        <f t="shared" si="159"/>
        <v>3.9408099999999999</v>
      </c>
      <c r="AB2172" s="152">
        <f t="shared" si="160"/>
        <v>5.2660748000000002</v>
      </c>
      <c r="AC2172" s="154"/>
      <c r="AD2172" s="154"/>
      <c r="AE2172" s="198"/>
      <c r="AF2172" s="198"/>
      <c r="AH2172" s="20"/>
      <c r="AJ2172" s="198"/>
    </row>
    <row r="2173" spans="1:36" x14ac:dyDescent="0.25">
      <c r="A2173" s="182">
        <v>689</v>
      </c>
      <c r="B2173" s="182" t="s">
        <v>10017</v>
      </c>
      <c r="C2173" s="182" t="s">
        <v>10018</v>
      </c>
      <c r="D2173" s="182" t="s">
        <v>10019</v>
      </c>
      <c r="E2173" s="182" t="s">
        <v>1913</v>
      </c>
      <c r="F2173" s="182">
        <v>2008</v>
      </c>
      <c r="H2173" s="182" t="s">
        <v>1878</v>
      </c>
      <c r="I2173" s="184" t="s">
        <v>7527</v>
      </c>
      <c r="J2173" s="182" t="s">
        <v>9196</v>
      </c>
      <c r="K2173" s="182" t="s">
        <v>1881</v>
      </c>
      <c r="L2173" s="184" t="s">
        <v>10020</v>
      </c>
      <c r="M2173" s="182">
        <v>284</v>
      </c>
      <c r="O2173" s="182" t="s">
        <v>10021</v>
      </c>
      <c r="P2173" s="17">
        <v>383</v>
      </c>
      <c r="Q2173" s="145">
        <f t="shared" si="154"/>
        <v>2.7408099999999997</v>
      </c>
      <c r="R2173" s="199">
        <v>1.2</v>
      </c>
      <c r="S2173" s="199">
        <v>3.4</v>
      </c>
      <c r="U2173" s="55">
        <v>2.2000000000000002</v>
      </c>
      <c r="V2173" s="55">
        <v>0.34</v>
      </c>
      <c r="W2173" s="199">
        <f t="shared" si="156"/>
        <v>1.143</v>
      </c>
      <c r="X2173" s="150">
        <f t="shared" si="157"/>
        <v>0.25780999999999998</v>
      </c>
      <c r="Y2173" s="152">
        <f t="shared" si="158"/>
        <v>1.3252648</v>
      </c>
      <c r="Z2173" s="150">
        <f t="shared" si="155"/>
        <v>3.9408099999999999</v>
      </c>
      <c r="AA2173" s="152">
        <f t="shared" si="159"/>
        <v>3.9408099999999999</v>
      </c>
      <c r="AB2173" s="152">
        <f t="shared" si="160"/>
        <v>5.2660748000000002</v>
      </c>
      <c r="AC2173" s="154"/>
      <c r="AD2173" s="154"/>
      <c r="AE2173" s="198"/>
      <c r="AF2173" s="198"/>
      <c r="AH2173" s="20"/>
      <c r="AJ2173" s="198"/>
    </row>
    <row r="2174" spans="1:36" x14ac:dyDescent="0.25">
      <c r="A2174" s="182">
        <v>2598</v>
      </c>
      <c r="B2174" s="182" t="s">
        <v>10022</v>
      </c>
      <c r="C2174" s="182" t="s">
        <v>10023</v>
      </c>
      <c r="D2174" s="182" t="s">
        <v>2257</v>
      </c>
      <c r="F2174" s="182">
        <v>2014</v>
      </c>
      <c r="H2174" s="182" t="s">
        <v>1878</v>
      </c>
      <c r="I2174" s="184" t="s">
        <v>1914</v>
      </c>
      <c r="J2174" s="182" t="s">
        <v>9196</v>
      </c>
      <c r="K2174" s="182" t="s">
        <v>1881</v>
      </c>
      <c r="L2174" s="184" t="s">
        <v>10024</v>
      </c>
      <c r="M2174" s="182">
        <v>288</v>
      </c>
      <c r="O2174" s="182" t="s">
        <v>10025</v>
      </c>
      <c r="P2174" s="17">
        <v>315</v>
      </c>
      <c r="Q2174" s="145">
        <f t="shared" si="154"/>
        <v>2.7408099999999997</v>
      </c>
      <c r="R2174" s="199">
        <v>1.2</v>
      </c>
      <c r="S2174" s="199">
        <v>3.66</v>
      </c>
      <c r="U2174" s="55">
        <v>2.2000000000000002</v>
      </c>
      <c r="V2174" s="55">
        <v>0.34</v>
      </c>
      <c r="W2174" s="199">
        <f t="shared" si="156"/>
        <v>1.143</v>
      </c>
      <c r="X2174" s="150">
        <f t="shared" si="157"/>
        <v>0.25780999999999998</v>
      </c>
      <c r="Y2174" s="152">
        <f t="shared" si="158"/>
        <v>1.3252648</v>
      </c>
      <c r="Z2174" s="150">
        <f t="shared" si="155"/>
        <v>3.9408099999999999</v>
      </c>
      <c r="AA2174" s="152">
        <f t="shared" si="159"/>
        <v>3.9408099999999999</v>
      </c>
      <c r="AB2174" s="152">
        <f t="shared" si="160"/>
        <v>5.2660748000000002</v>
      </c>
      <c r="AC2174" s="154"/>
      <c r="AD2174" s="154"/>
      <c r="AE2174" s="198"/>
      <c r="AF2174" s="198"/>
      <c r="AH2174" s="20"/>
      <c r="AJ2174" s="198"/>
    </row>
    <row r="2175" spans="1:36" x14ac:dyDescent="0.25">
      <c r="A2175" s="182">
        <v>690</v>
      </c>
      <c r="B2175" s="182" t="s">
        <v>10026</v>
      </c>
      <c r="C2175" s="182" t="s">
        <v>10027</v>
      </c>
      <c r="D2175" s="182" t="s">
        <v>10028</v>
      </c>
      <c r="F2175" s="182">
        <v>1998</v>
      </c>
      <c r="H2175" s="182" t="s">
        <v>2734</v>
      </c>
      <c r="I2175" s="184" t="s">
        <v>1929</v>
      </c>
      <c r="K2175" s="182" t="s">
        <v>1881</v>
      </c>
      <c r="L2175" s="184" t="s">
        <v>10029</v>
      </c>
      <c r="M2175" s="182">
        <v>191</v>
      </c>
      <c r="O2175" s="182" t="s">
        <v>10030</v>
      </c>
      <c r="P2175" s="17">
        <v>352</v>
      </c>
      <c r="Q2175" s="145">
        <f t="shared" si="154"/>
        <v>2.7408099999999997</v>
      </c>
      <c r="R2175" s="199">
        <v>1.2</v>
      </c>
      <c r="S2175" s="199">
        <v>2.1</v>
      </c>
      <c r="U2175" s="55">
        <v>2.2000000000000002</v>
      </c>
      <c r="V2175" s="55">
        <v>0.34</v>
      </c>
      <c r="W2175" s="199">
        <f t="shared" si="156"/>
        <v>1.143</v>
      </c>
      <c r="X2175" s="150">
        <f t="shared" si="157"/>
        <v>0.25780999999999998</v>
      </c>
      <c r="Y2175" s="152">
        <f t="shared" si="158"/>
        <v>1.3252648</v>
      </c>
      <c r="Z2175" s="150">
        <f t="shared" si="155"/>
        <v>3.9408099999999999</v>
      </c>
      <c r="AA2175" s="152">
        <f t="shared" si="159"/>
        <v>3.9408099999999999</v>
      </c>
      <c r="AB2175" s="152">
        <f t="shared" si="160"/>
        <v>5.2660748000000002</v>
      </c>
      <c r="AC2175" s="154"/>
      <c r="AD2175" s="154"/>
      <c r="AE2175" s="198"/>
      <c r="AF2175" s="198"/>
      <c r="AH2175" s="20"/>
      <c r="AJ2175" s="198"/>
    </row>
    <row r="2176" spans="1:36" x14ac:dyDescent="0.25">
      <c r="A2176" s="182">
        <v>701</v>
      </c>
      <c r="B2176" s="182" t="s">
        <v>10031</v>
      </c>
      <c r="C2176" s="182" t="s">
        <v>10032</v>
      </c>
      <c r="D2176" s="182" t="s">
        <v>8098</v>
      </c>
      <c r="F2176" s="182">
        <v>2012</v>
      </c>
      <c r="H2176" s="182" t="s">
        <v>1878</v>
      </c>
      <c r="I2176" s="184" t="s">
        <v>1879</v>
      </c>
      <c r="K2176" s="182" t="s">
        <v>1881</v>
      </c>
      <c r="L2176" s="184" t="s">
        <v>10033</v>
      </c>
      <c r="M2176" s="182">
        <v>284</v>
      </c>
      <c r="O2176" s="182" t="s">
        <v>10034</v>
      </c>
      <c r="P2176" s="17">
        <v>362</v>
      </c>
      <c r="Q2176" s="145">
        <f t="shared" si="154"/>
        <v>2.7408099999999997</v>
      </c>
      <c r="R2176" s="199">
        <v>1.2</v>
      </c>
      <c r="S2176" s="199">
        <v>4.33</v>
      </c>
      <c r="U2176" s="55">
        <v>2.2000000000000002</v>
      </c>
      <c r="V2176" s="55">
        <v>0.34</v>
      </c>
      <c r="W2176" s="199">
        <f t="shared" si="156"/>
        <v>1.143</v>
      </c>
      <c r="X2176" s="150">
        <f t="shared" si="157"/>
        <v>0.25780999999999998</v>
      </c>
      <c r="Y2176" s="152">
        <f t="shared" si="158"/>
        <v>1.3252648</v>
      </c>
      <c r="Z2176" s="150">
        <f t="shared" si="155"/>
        <v>3.9408099999999999</v>
      </c>
      <c r="AA2176" s="152">
        <f t="shared" si="159"/>
        <v>3.9408099999999999</v>
      </c>
      <c r="AB2176" s="152">
        <f t="shared" si="160"/>
        <v>5.2660748000000002</v>
      </c>
      <c r="AC2176" s="154"/>
      <c r="AD2176" s="154"/>
      <c r="AE2176" s="198"/>
      <c r="AF2176" s="198"/>
      <c r="AH2176" s="20"/>
      <c r="AJ2176" s="198"/>
    </row>
    <row r="2177" spans="1:36" x14ac:dyDescent="0.25">
      <c r="A2177" s="182">
        <v>2547</v>
      </c>
      <c r="B2177" s="182" t="s">
        <v>3941</v>
      </c>
      <c r="C2177" s="182" t="s">
        <v>10035</v>
      </c>
      <c r="D2177" s="182" t="s">
        <v>1912</v>
      </c>
      <c r="F2177" s="182">
        <v>2005</v>
      </c>
      <c r="H2177" s="182" t="s">
        <v>1878</v>
      </c>
      <c r="I2177" s="184" t="s">
        <v>1914</v>
      </c>
      <c r="J2177" s="182" t="s">
        <v>9196</v>
      </c>
      <c r="K2177" s="182" t="s">
        <v>1881</v>
      </c>
      <c r="L2177" s="184" t="s">
        <v>10036</v>
      </c>
      <c r="M2177" s="182">
        <v>348</v>
      </c>
      <c r="O2177" s="182" t="s">
        <v>10037</v>
      </c>
      <c r="P2177" s="17">
        <v>274</v>
      </c>
      <c r="Q2177" s="145">
        <f t="shared" si="154"/>
        <v>2.7408099999999997</v>
      </c>
      <c r="R2177" s="199">
        <v>1.2</v>
      </c>
      <c r="S2177" s="199">
        <v>2.3199999999999998</v>
      </c>
      <c r="U2177" s="55">
        <v>2.2000000000000002</v>
      </c>
      <c r="V2177" s="55">
        <v>0.34</v>
      </c>
      <c r="W2177" s="199">
        <f t="shared" si="156"/>
        <v>1.143</v>
      </c>
      <c r="X2177" s="150">
        <f t="shared" si="157"/>
        <v>0.25780999999999998</v>
      </c>
      <c r="Y2177" s="152">
        <f t="shared" si="158"/>
        <v>1.3252648</v>
      </c>
      <c r="Z2177" s="150">
        <f t="shared" si="155"/>
        <v>3.9408099999999999</v>
      </c>
      <c r="AA2177" s="152">
        <f t="shared" si="159"/>
        <v>3.9408099999999999</v>
      </c>
      <c r="AB2177" s="152">
        <f t="shared" si="160"/>
        <v>5.2660748000000002</v>
      </c>
      <c r="AC2177" s="154"/>
      <c r="AD2177" s="154"/>
      <c r="AE2177" s="198"/>
      <c r="AF2177" s="198"/>
      <c r="AH2177" s="20"/>
      <c r="AJ2177" s="198"/>
    </row>
    <row r="2178" spans="1:36" x14ac:dyDescent="0.25">
      <c r="A2178" s="182">
        <v>1386</v>
      </c>
      <c r="B2178" s="182" t="s">
        <v>10038</v>
      </c>
      <c r="C2178" s="182" t="s">
        <v>10039</v>
      </c>
      <c r="D2178" s="182" t="s">
        <v>2054</v>
      </c>
      <c r="F2178" s="182">
        <v>2010</v>
      </c>
      <c r="H2178" s="182" t="s">
        <v>2734</v>
      </c>
      <c r="I2178" s="184" t="s">
        <v>1929</v>
      </c>
      <c r="K2178" s="182" t="s">
        <v>1881</v>
      </c>
      <c r="L2178" s="184" t="s">
        <v>10040</v>
      </c>
      <c r="M2178" s="182">
        <v>462</v>
      </c>
      <c r="O2178" s="182" t="s">
        <v>10041</v>
      </c>
      <c r="P2178" s="17">
        <v>402</v>
      </c>
      <c r="Q2178" s="145">
        <f t="shared" si="154"/>
        <v>2.7408099999999997</v>
      </c>
      <c r="R2178" s="199">
        <v>1.2</v>
      </c>
      <c r="S2178" s="199">
        <v>3.5</v>
      </c>
      <c r="U2178" s="55">
        <v>2.2000000000000002</v>
      </c>
      <c r="V2178" s="55">
        <v>0.34</v>
      </c>
      <c r="W2178" s="199">
        <f t="shared" si="156"/>
        <v>1.143</v>
      </c>
      <c r="X2178" s="150">
        <f t="shared" si="157"/>
        <v>0.25780999999999998</v>
      </c>
      <c r="Y2178" s="152">
        <f t="shared" si="158"/>
        <v>1.3252648</v>
      </c>
      <c r="Z2178" s="150">
        <f t="shared" si="155"/>
        <v>3.9408099999999999</v>
      </c>
      <c r="AA2178" s="152">
        <f t="shared" si="159"/>
        <v>3.9408099999999999</v>
      </c>
      <c r="AB2178" s="152">
        <f t="shared" si="160"/>
        <v>5.2660748000000002</v>
      </c>
      <c r="AC2178" s="154"/>
      <c r="AD2178" s="154"/>
      <c r="AE2178" s="198"/>
      <c r="AF2178" s="198"/>
      <c r="AH2178" s="20"/>
      <c r="AJ2178" s="198"/>
    </row>
    <row r="2179" spans="1:36" x14ac:dyDescent="0.25">
      <c r="A2179" s="182">
        <v>1386</v>
      </c>
      <c r="B2179" s="182" t="s">
        <v>10042</v>
      </c>
      <c r="C2179" s="182" t="s">
        <v>10043</v>
      </c>
      <c r="D2179" s="182" t="s">
        <v>10044</v>
      </c>
      <c r="E2179" s="182" t="s">
        <v>1913</v>
      </c>
      <c r="F2179" s="182">
        <v>2010</v>
      </c>
      <c r="H2179" s="182" t="s">
        <v>2734</v>
      </c>
      <c r="I2179" s="184" t="s">
        <v>1929</v>
      </c>
      <c r="K2179" s="182" t="s">
        <v>1881</v>
      </c>
      <c r="L2179" s="184" t="s">
        <v>10045</v>
      </c>
      <c r="M2179" s="182">
        <v>308</v>
      </c>
      <c r="O2179" s="182" t="s">
        <v>10046</v>
      </c>
      <c r="P2179" s="17">
        <v>456</v>
      </c>
      <c r="Q2179" s="145">
        <f t="shared" si="154"/>
        <v>2.7408099999999997</v>
      </c>
      <c r="R2179" s="199">
        <v>1.2</v>
      </c>
      <c r="S2179" s="199">
        <v>4.05</v>
      </c>
      <c r="U2179" s="55">
        <v>2.2000000000000002</v>
      </c>
      <c r="V2179" s="55">
        <v>0.34</v>
      </c>
      <c r="W2179" s="199">
        <f t="shared" si="156"/>
        <v>1.143</v>
      </c>
      <c r="X2179" s="150">
        <f t="shared" si="157"/>
        <v>0.25780999999999998</v>
      </c>
      <c r="Y2179" s="152">
        <f t="shared" si="158"/>
        <v>1.3252648</v>
      </c>
      <c r="Z2179" s="150">
        <f t="shared" si="155"/>
        <v>3.9408099999999999</v>
      </c>
      <c r="AA2179" s="152">
        <f t="shared" si="159"/>
        <v>3.9408099999999999</v>
      </c>
      <c r="AB2179" s="152">
        <f t="shared" si="160"/>
        <v>5.2660748000000002</v>
      </c>
      <c r="AC2179" s="154"/>
      <c r="AD2179" s="154"/>
      <c r="AE2179" s="198"/>
      <c r="AF2179" s="198"/>
      <c r="AH2179" s="20"/>
      <c r="AJ2179" s="198"/>
    </row>
    <row r="2180" spans="1:36" x14ac:dyDescent="0.25">
      <c r="A2180" s="182">
        <v>632</v>
      </c>
      <c r="B2180" s="182" t="s">
        <v>10047</v>
      </c>
      <c r="C2180" s="182" t="s">
        <v>10048</v>
      </c>
      <c r="D2180" s="182" t="s">
        <v>10049</v>
      </c>
      <c r="F2180" s="182">
        <v>2005</v>
      </c>
      <c r="H2180" s="182" t="s">
        <v>2734</v>
      </c>
      <c r="I2180" s="184" t="s">
        <v>1879</v>
      </c>
      <c r="K2180" s="182" t="s">
        <v>1881</v>
      </c>
      <c r="L2180" s="184" t="s">
        <v>10050</v>
      </c>
      <c r="M2180" s="182">
        <v>267</v>
      </c>
      <c r="O2180" s="182" t="s">
        <v>10051</v>
      </c>
      <c r="P2180" s="17">
        <v>313</v>
      </c>
      <c r="Q2180" s="145">
        <f t="shared" si="154"/>
        <v>2.7408099999999997</v>
      </c>
      <c r="R2180" s="199">
        <v>1.2</v>
      </c>
      <c r="S2180" s="199">
        <v>5.74</v>
      </c>
      <c r="U2180" s="55">
        <v>2.2000000000000002</v>
      </c>
      <c r="V2180" s="55">
        <v>0.34</v>
      </c>
      <c r="W2180" s="199">
        <f t="shared" si="156"/>
        <v>1.143</v>
      </c>
      <c r="X2180" s="150">
        <f t="shared" si="157"/>
        <v>0.25780999999999998</v>
      </c>
      <c r="Y2180" s="152">
        <f t="shared" si="158"/>
        <v>1.3252648</v>
      </c>
      <c r="Z2180" s="150">
        <f t="shared" si="155"/>
        <v>3.9408099999999999</v>
      </c>
      <c r="AA2180" s="152">
        <f t="shared" si="159"/>
        <v>3.9408099999999999</v>
      </c>
      <c r="AB2180" s="152">
        <f t="shared" si="160"/>
        <v>5.2660748000000002</v>
      </c>
      <c r="AC2180" s="154"/>
      <c r="AD2180" s="154"/>
      <c r="AE2180" s="198"/>
      <c r="AF2180" s="198"/>
      <c r="AH2180" s="20"/>
      <c r="AJ2180" s="198"/>
    </row>
    <row r="2181" spans="1:36" x14ac:dyDescent="0.25">
      <c r="A2181" s="182">
        <v>632</v>
      </c>
      <c r="B2181" s="182" t="s">
        <v>7321</v>
      </c>
      <c r="C2181" s="182" t="s">
        <v>10052</v>
      </c>
      <c r="D2181" s="182" t="s">
        <v>2209</v>
      </c>
      <c r="E2181" s="182" t="s">
        <v>1899</v>
      </c>
      <c r="F2181" s="182">
        <v>2014</v>
      </c>
      <c r="H2181" s="182" t="s">
        <v>1878</v>
      </c>
      <c r="I2181" s="184" t="s">
        <v>1879</v>
      </c>
      <c r="J2181" s="182" t="s">
        <v>9196</v>
      </c>
      <c r="K2181" s="182" t="s">
        <v>1881</v>
      </c>
      <c r="L2181" s="184" t="s">
        <v>10053</v>
      </c>
      <c r="M2181" s="182">
        <v>539</v>
      </c>
      <c r="O2181" s="182" t="s">
        <v>10054</v>
      </c>
      <c r="P2181" s="17">
        <v>476</v>
      </c>
      <c r="Q2181" s="145">
        <f t="shared" si="154"/>
        <v>2.7408099999999997</v>
      </c>
      <c r="R2181" s="199">
        <v>1.2</v>
      </c>
      <c r="S2181" s="199">
        <v>4.2300000000000004</v>
      </c>
      <c r="U2181" s="55">
        <v>2.2000000000000002</v>
      </c>
      <c r="V2181" s="55">
        <v>0.34</v>
      </c>
      <c r="W2181" s="199">
        <f t="shared" si="156"/>
        <v>1.143</v>
      </c>
      <c r="X2181" s="150">
        <f t="shared" si="157"/>
        <v>0.25780999999999998</v>
      </c>
      <c r="Y2181" s="152">
        <f t="shared" si="158"/>
        <v>1.3252648</v>
      </c>
      <c r="Z2181" s="150">
        <f t="shared" si="155"/>
        <v>3.9408099999999999</v>
      </c>
      <c r="AA2181" s="152">
        <f t="shared" si="159"/>
        <v>3.9408099999999999</v>
      </c>
      <c r="AB2181" s="152">
        <f t="shared" si="160"/>
        <v>5.2660748000000002</v>
      </c>
      <c r="AC2181" s="154"/>
      <c r="AD2181" s="154"/>
      <c r="AE2181" s="198"/>
      <c r="AF2181" s="198"/>
      <c r="AH2181" s="20"/>
      <c r="AJ2181" s="198"/>
    </row>
    <row r="2182" spans="1:36" x14ac:dyDescent="0.25">
      <c r="A2182" s="182">
        <v>796</v>
      </c>
      <c r="B2182" s="182" t="s">
        <v>10055</v>
      </c>
      <c r="C2182" s="182" t="s">
        <v>10056</v>
      </c>
      <c r="D2182" s="182" t="s">
        <v>9919</v>
      </c>
      <c r="E2182" s="182" t="s">
        <v>1913</v>
      </c>
      <c r="F2182" s="182">
        <v>2016</v>
      </c>
      <c r="H2182" s="182" t="s">
        <v>1878</v>
      </c>
      <c r="I2182" s="184" t="s">
        <v>1929</v>
      </c>
      <c r="K2182" s="182" t="s">
        <v>1881</v>
      </c>
      <c r="L2182" s="184" t="s">
        <v>10057</v>
      </c>
      <c r="M2182" s="182">
        <v>373</v>
      </c>
      <c r="O2182" s="182" t="s">
        <v>10058</v>
      </c>
      <c r="P2182" s="17">
        <v>329</v>
      </c>
      <c r="Q2182" s="145">
        <f t="shared" si="154"/>
        <v>2.7408099999999997</v>
      </c>
      <c r="R2182" s="199">
        <v>1.2</v>
      </c>
      <c r="S2182" s="199">
        <v>9.0399999999999991</v>
      </c>
      <c r="U2182" s="55">
        <v>2.2000000000000002</v>
      </c>
      <c r="V2182" s="55">
        <v>0.34</v>
      </c>
      <c r="W2182" s="199">
        <f t="shared" si="156"/>
        <v>1.143</v>
      </c>
      <c r="X2182" s="150">
        <f t="shared" si="157"/>
        <v>0.25780999999999998</v>
      </c>
      <c r="Y2182" s="152">
        <f t="shared" si="158"/>
        <v>1.3252648</v>
      </c>
      <c r="Z2182" s="150">
        <f t="shared" si="155"/>
        <v>3.9408099999999999</v>
      </c>
      <c r="AA2182" s="152">
        <f t="shared" si="159"/>
        <v>3.9408099999999999</v>
      </c>
      <c r="AB2182" s="152">
        <f>SUM(T2182:Y2182)</f>
        <v>5.2660748000000002</v>
      </c>
      <c r="AC2182" s="154"/>
      <c r="AD2182" s="154"/>
      <c r="AE2182" s="198"/>
      <c r="AF2182" s="198"/>
      <c r="AH2182" s="20"/>
      <c r="AJ2182" s="198"/>
    </row>
    <row r="2183" spans="1:36" x14ac:dyDescent="0.25">
      <c r="A2183" s="182">
        <v>2530</v>
      </c>
      <c r="C2183" s="182" t="s">
        <v>10059</v>
      </c>
      <c r="E2183" s="182" t="s">
        <v>2518</v>
      </c>
      <c r="F2183" s="182">
        <v>1994</v>
      </c>
      <c r="H2183" s="182" t="s">
        <v>2734</v>
      </c>
      <c r="I2183" s="184" t="s">
        <v>1914</v>
      </c>
      <c r="K2183" s="182" t="s">
        <v>1881</v>
      </c>
      <c r="L2183" s="184" t="s">
        <v>10060</v>
      </c>
      <c r="M2183" s="182">
        <v>215</v>
      </c>
      <c r="O2183" s="182" t="s">
        <v>10061</v>
      </c>
      <c r="P2183" s="17">
        <v>351</v>
      </c>
      <c r="Q2183" s="145">
        <f t="shared" si="154"/>
        <v>2.7408099999999997</v>
      </c>
      <c r="R2183" s="199">
        <v>1.2</v>
      </c>
      <c r="S2183" s="199">
        <v>6.49</v>
      </c>
      <c r="U2183" s="55">
        <v>2.2000000000000002</v>
      </c>
      <c r="V2183" s="55">
        <v>0.34</v>
      </c>
      <c r="W2183" s="199">
        <f t="shared" si="156"/>
        <v>1.143</v>
      </c>
      <c r="X2183" s="150">
        <f t="shared" si="157"/>
        <v>0.25780999999999998</v>
      </c>
      <c r="Y2183" s="152">
        <f t="shared" si="158"/>
        <v>1.3252648</v>
      </c>
      <c r="Z2183" s="150">
        <f t="shared" si="155"/>
        <v>3.9408099999999999</v>
      </c>
      <c r="AA2183" s="152">
        <f t="shared" si="159"/>
        <v>3.9408099999999999</v>
      </c>
      <c r="AB2183" s="152">
        <f t="shared" si="160"/>
        <v>5.2660748000000002</v>
      </c>
      <c r="AC2183" s="154"/>
      <c r="AD2183" s="154"/>
      <c r="AE2183" s="198"/>
      <c r="AF2183" s="198"/>
      <c r="AH2183" s="20"/>
      <c r="AJ2183" s="198"/>
    </row>
    <row r="2184" spans="1:36" x14ac:dyDescent="0.25">
      <c r="A2184" s="182">
        <v>1386</v>
      </c>
      <c r="B2184" s="182" t="s">
        <v>10062</v>
      </c>
      <c r="C2184" s="182" t="s">
        <v>10063</v>
      </c>
      <c r="D2184" s="182" t="s">
        <v>9119</v>
      </c>
      <c r="H2184" s="182" t="s">
        <v>2734</v>
      </c>
      <c r="I2184" s="184" t="s">
        <v>1879</v>
      </c>
      <c r="K2184" s="182" t="s">
        <v>1881</v>
      </c>
      <c r="L2184" s="184" t="s">
        <v>10064</v>
      </c>
      <c r="M2184" s="182">
        <v>312</v>
      </c>
      <c r="O2184" s="182" t="s">
        <v>10065</v>
      </c>
      <c r="P2184" s="17">
        <v>391</v>
      </c>
      <c r="Q2184" s="145">
        <f t="shared" si="154"/>
        <v>2.7408099999999997</v>
      </c>
      <c r="R2184" s="199">
        <v>1.2</v>
      </c>
      <c r="S2184" s="199">
        <v>10.09</v>
      </c>
      <c r="U2184" s="55">
        <v>2.2000000000000002</v>
      </c>
      <c r="V2184" s="55">
        <v>0.34</v>
      </c>
      <c r="W2184" s="199">
        <f t="shared" si="156"/>
        <v>1.143</v>
      </c>
      <c r="X2184" s="150">
        <f t="shared" si="157"/>
        <v>0.25780999999999998</v>
      </c>
      <c r="Y2184" s="152">
        <f t="shared" si="158"/>
        <v>1.3252648</v>
      </c>
      <c r="Z2184" s="150">
        <f t="shared" si="155"/>
        <v>3.9408099999999999</v>
      </c>
      <c r="AA2184" s="152">
        <f t="shared" si="159"/>
        <v>3.9408099999999999</v>
      </c>
      <c r="AB2184" s="152">
        <f t="shared" si="160"/>
        <v>5.2660748000000002</v>
      </c>
      <c r="AC2184" s="154"/>
      <c r="AD2184" s="154"/>
      <c r="AE2184" s="198"/>
      <c r="AF2184" s="198"/>
      <c r="AH2184" s="20"/>
      <c r="AJ2184" s="198"/>
    </row>
    <row r="2185" spans="1:36" x14ac:dyDescent="0.25">
      <c r="A2185" s="182">
        <v>692</v>
      </c>
      <c r="B2185" s="182" t="s">
        <v>10066</v>
      </c>
      <c r="C2185" s="182" t="s">
        <v>10067</v>
      </c>
      <c r="D2185" s="182" t="s">
        <v>1920</v>
      </c>
      <c r="E2185" s="182" t="s">
        <v>1913</v>
      </c>
      <c r="F2185" s="182">
        <v>2008</v>
      </c>
      <c r="H2185" s="182" t="s">
        <v>1878</v>
      </c>
      <c r="I2185" s="184" t="s">
        <v>1879</v>
      </c>
      <c r="K2185" s="182" t="s">
        <v>1881</v>
      </c>
      <c r="L2185" s="184" t="s">
        <v>10068</v>
      </c>
      <c r="M2185" s="182">
        <v>349</v>
      </c>
      <c r="O2185" s="182" t="s">
        <v>10069</v>
      </c>
      <c r="P2185" s="17">
        <v>357</v>
      </c>
      <c r="Q2185" s="145">
        <f t="shared" si="154"/>
        <v>2.7408099999999997</v>
      </c>
      <c r="R2185" s="199">
        <v>1.2</v>
      </c>
      <c r="S2185" s="199">
        <v>4.4000000000000004</v>
      </c>
      <c r="U2185" s="55">
        <v>2.2000000000000002</v>
      </c>
      <c r="V2185" s="55">
        <v>0.34</v>
      </c>
      <c r="W2185" s="199">
        <f t="shared" si="156"/>
        <v>1.143</v>
      </c>
      <c r="X2185" s="150">
        <f t="shared" si="157"/>
        <v>0.25780999999999998</v>
      </c>
      <c r="Y2185" s="152">
        <f t="shared" si="158"/>
        <v>1.3252648</v>
      </c>
      <c r="Z2185" s="150">
        <f t="shared" si="155"/>
        <v>3.9408099999999999</v>
      </c>
      <c r="AA2185" s="152">
        <f t="shared" si="159"/>
        <v>3.9408099999999999</v>
      </c>
      <c r="AB2185" s="152">
        <f t="shared" si="160"/>
        <v>5.2660748000000002</v>
      </c>
      <c r="AC2185" s="154"/>
      <c r="AD2185" s="154"/>
      <c r="AE2185" s="198"/>
      <c r="AF2185" s="198"/>
      <c r="AH2185" s="20"/>
      <c r="AJ2185" s="198"/>
    </row>
    <row r="2186" spans="1:36" x14ac:dyDescent="0.25">
      <c r="A2186" s="182">
        <v>796</v>
      </c>
      <c r="B2186" s="182" t="s">
        <v>10070</v>
      </c>
      <c r="C2186" s="182" t="s">
        <v>10071</v>
      </c>
      <c r="D2186" s="182" t="s">
        <v>9893</v>
      </c>
      <c r="E2186" s="182" t="s">
        <v>2175</v>
      </c>
      <c r="F2186" s="182">
        <v>2013</v>
      </c>
      <c r="H2186" s="182" t="s">
        <v>1878</v>
      </c>
      <c r="I2186" s="184" t="s">
        <v>1879</v>
      </c>
      <c r="K2186" s="182" t="s">
        <v>1881</v>
      </c>
      <c r="L2186" s="184" t="s">
        <v>10072</v>
      </c>
      <c r="M2186" s="182">
        <v>462</v>
      </c>
      <c r="O2186" s="182" t="s">
        <v>10073</v>
      </c>
      <c r="P2186" s="17">
        <v>469</v>
      </c>
      <c r="Q2186" s="145">
        <f t="shared" si="154"/>
        <v>2.7408099999999997</v>
      </c>
      <c r="R2186" s="199">
        <v>1.2</v>
      </c>
      <c r="S2186" s="199">
        <v>4.2</v>
      </c>
      <c r="U2186" s="55">
        <v>2.2000000000000002</v>
      </c>
      <c r="V2186" s="55">
        <v>0.34</v>
      </c>
      <c r="W2186" s="199">
        <f t="shared" si="156"/>
        <v>1.143</v>
      </c>
      <c r="X2186" s="150">
        <f t="shared" si="157"/>
        <v>0.25780999999999998</v>
      </c>
      <c r="Y2186" s="152">
        <f t="shared" si="158"/>
        <v>1.3252648</v>
      </c>
      <c r="Z2186" s="150">
        <f t="shared" si="155"/>
        <v>3.9408099999999999</v>
      </c>
      <c r="AA2186" s="152">
        <f t="shared" si="159"/>
        <v>3.9408099999999999</v>
      </c>
      <c r="AB2186" s="152">
        <f t="shared" si="160"/>
        <v>5.2660748000000002</v>
      </c>
      <c r="AC2186" s="154"/>
      <c r="AD2186" s="154"/>
      <c r="AE2186" s="198"/>
      <c r="AF2186" s="198"/>
      <c r="AH2186" s="20"/>
      <c r="AJ2186" s="198"/>
    </row>
    <row r="2187" spans="1:36" x14ac:dyDescent="0.25">
      <c r="A2187" s="182">
        <v>796</v>
      </c>
      <c r="B2187" s="182" t="s">
        <v>10074</v>
      </c>
      <c r="C2187" s="182" t="s">
        <v>10075</v>
      </c>
      <c r="D2187" s="182" t="s">
        <v>3077</v>
      </c>
      <c r="E2187" s="182" t="s">
        <v>1913</v>
      </c>
      <c r="F2187" s="182">
        <v>2019</v>
      </c>
      <c r="H2187" s="182" t="s">
        <v>1878</v>
      </c>
      <c r="I2187" s="184" t="s">
        <v>1929</v>
      </c>
      <c r="K2187" s="182" t="s">
        <v>1881</v>
      </c>
      <c r="L2187" s="184" t="s">
        <v>10076</v>
      </c>
      <c r="M2187" s="182">
        <v>573</v>
      </c>
      <c r="O2187" s="182" t="s">
        <v>10077</v>
      </c>
      <c r="P2187" s="17">
        <v>474</v>
      </c>
      <c r="Q2187" s="145">
        <f t="shared" si="154"/>
        <v>2.7408099999999997</v>
      </c>
      <c r="R2187" s="199">
        <v>1.2</v>
      </c>
      <c r="S2187" s="199">
        <v>4.4000000000000004</v>
      </c>
      <c r="U2187" s="55">
        <v>2.2000000000000002</v>
      </c>
      <c r="V2187" s="55">
        <v>0.34</v>
      </c>
      <c r="W2187" s="199">
        <f t="shared" si="156"/>
        <v>1.143</v>
      </c>
      <c r="X2187" s="150">
        <f t="shared" si="157"/>
        <v>0.25780999999999998</v>
      </c>
      <c r="Y2187" s="152">
        <f t="shared" si="158"/>
        <v>1.3252648</v>
      </c>
      <c r="Z2187" s="150">
        <f t="shared" si="155"/>
        <v>3.9408099999999999</v>
      </c>
      <c r="AA2187" s="152">
        <f t="shared" si="159"/>
        <v>3.9408099999999999</v>
      </c>
      <c r="AB2187" s="152">
        <f t="shared" si="160"/>
        <v>5.2660748000000002</v>
      </c>
      <c r="AC2187" s="154"/>
      <c r="AD2187" s="154"/>
      <c r="AE2187" s="198"/>
      <c r="AF2187" s="198"/>
      <c r="AH2187" s="20"/>
      <c r="AJ2187" s="198"/>
    </row>
    <row r="2188" spans="1:36" x14ac:dyDescent="0.25">
      <c r="A2188" s="182">
        <v>2551</v>
      </c>
      <c r="B2188" s="182" t="s">
        <v>8057</v>
      </c>
      <c r="C2188" s="182" t="s">
        <v>10078</v>
      </c>
      <c r="D2188" s="182" t="s">
        <v>2309</v>
      </c>
      <c r="E2188" s="182" t="s">
        <v>1913</v>
      </c>
      <c r="F2188" s="182">
        <v>2012</v>
      </c>
      <c r="H2188" s="182" t="s">
        <v>1878</v>
      </c>
      <c r="I2188" s="184" t="s">
        <v>1929</v>
      </c>
      <c r="K2188" s="182" t="s">
        <v>1881</v>
      </c>
      <c r="L2188" s="184" t="s">
        <v>10079</v>
      </c>
      <c r="M2188" s="182">
        <v>549</v>
      </c>
      <c r="O2188" s="182" t="s">
        <v>10080</v>
      </c>
      <c r="P2188" s="17">
        <v>416</v>
      </c>
      <c r="Q2188" s="145">
        <f t="shared" si="154"/>
        <v>2.7408099999999997</v>
      </c>
      <c r="R2188" s="199">
        <v>1.2</v>
      </c>
      <c r="S2188" s="199">
        <v>4.59</v>
      </c>
      <c r="U2188" s="55">
        <v>2.2000000000000002</v>
      </c>
      <c r="V2188" s="55">
        <v>0.34</v>
      </c>
      <c r="W2188" s="199">
        <f t="shared" si="156"/>
        <v>1.143</v>
      </c>
      <c r="X2188" s="150">
        <f t="shared" si="157"/>
        <v>0.25780999999999998</v>
      </c>
      <c r="Y2188" s="152">
        <f t="shared" si="158"/>
        <v>1.3252648</v>
      </c>
      <c r="Z2188" s="150">
        <f t="shared" si="155"/>
        <v>3.9408099999999999</v>
      </c>
      <c r="AA2188" s="152">
        <f t="shared" si="159"/>
        <v>3.9408099999999999</v>
      </c>
      <c r="AB2188" s="152">
        <f t="shared" si="160"/>
        <v>5.2660748000000002</v>
      </c>
      <c r="AC2188" s="154"/>
      <c r="AD2188" s="154"/>
      <c r="AE2188" s="198"/>
      <c r="AF2188" s="198"/>
      <c r="AH2188" s="20"/>
      <c r="AJ2188" s="198"/>
    </row>
    <row r="2189" spans="1:36" x14ac:dyDescent="0.25">
      <c r="A2189" s="182">
        <v>632</v>
      </c>
      <c r="B2189" s="182" t="s">
        <v>3233</v>
      </c>
      <c r="C2189" s="182" t="s">
        <v>10081</v>
      </c>
      <c r="D2189" s="182" t="s">
        <v>2257</v>
      </c>
      <c r="E2189" s="182" t="s">
        <v>1913</v>
      </c>
      <c r="F2189" s="182">
        <v>2019</v>
      </c>
      <c r="H2189" s="182" t="s">
        <v>1878</v>
      </c>
      <c r="I2189" s="184" t="s">
        <v>1929</v>
      </c>
      <c r="K2189" s="182" t="s">
        <v>1881</v>
      </c>
      <c r="L2189" s="184" t="s">
        <v>10082</v>
      </c>
      <c r="M2189" s="182">
        <v>523</v>
      </c>
      <c r="O2189" s="182" t="s">
        <v>10083</v>
      </c>
      <c r="P2189" s="17">
        <v>398</v>
      </c>
      <c r="Q2189" s="145">
        <f t="shared" si="154"/>
        <v>2.7408099999999997</v>
      </c>
      <c r="R2189" s="199">
        <v>1.2</v>
      </c>
      <c r="S2189" s="199">
        <v>8</v>
      </c>
      <c r="U2189" s="55">
        <v>2.2000000000000002</v>
      </c>
      <c r="V2189" s="55">
        <v>0.34</v>
      </c>
      <c r="W2189" s="199">
        <f t="shared" si="156"/>
        <v>1.143</v>
      </c>
      <c r="X2189" s="150">
        <f t="shared" si="157"/>
        <v>0.25780999999999998</v>
      </c>
      <c r="Y2189" s="152">
        <f t="shared" si="158"/>
        <v>1.3252648</v>
      </c>
      <c r="Z2189" s="150">
        <f t="shared" si="155"/>
        <v>3.9408099999999999</v>
      </c>
      <c r="AA2189" s="152">
        <f t="shared" si="159"/>
        <v>3.9408099999999999</v>
      </c>
      <c r="AB2189" s="152">
        <f t="shared" si="160"/>
        <v>5.2660748000000002</v>
      </c>
      <c r="AC2189" s="154"/>
      <c r="AD2189" s="154"/>
      <c r="AE2189" s="198"/>
      <c r="AF2189" s="198"/>
      <c r="AH2189" s="20"/>
      <c r="AJ2189" s="198"/>
    </row>
    <row r="2190" spans="1:36" x14ac:dyDescent="0.25">
      <c r="A2190" s="182">
        <v>692</v>
      </c>
      <c r="B2190" s="182" t="s">
        <v>10084</v>
      </c>
      <c r="C2190" s="182" t="s">
        <v>10085</v>
      </c>
      <c r="D2190" s="182" t="s">
        <v>9763</v>
      </c>
      <c r="F2190" s="182">
        <v>2006</v>
      </c>
      <c r="H2190" s="182" t="s">
        <v>1878</v>
      </c>
      <c r="I2190" s="184" t="s">
        <v>1879</v>
      </c>
      <c r="J2190" s="182" t="s">
        <v>9196</v>
      </c>
      <c r="K2190" s="182" t="s">
        <v>1881</v>
      </c>
      <c r="L2190" s="184" t="s">
        <v>10086</v>
      </c>
      <c r="M2190" s="182">
        <v>495</v>
      </c>
      <c r="O2190" s="182" t="s">
        <v>10087</v>
      </c>
      <c r="P2190" s="17">
        <v>413</v>
      </c>
      <c r="Q2190" s="145">
        <f t="shared" si="154"/>
        <v>2.7408099999999997</v>
      </c>
      <c r="R2190" s="199">
        <v>1.2</v>
      </c>
      <c r="S2190" s="199">
        <v>3.9</v>
      </c>
      <c r="U2190" s="55">
        <v>2.2000000000000002</v>
      </c>
      <c r="V2190" s="55">
        <v>0.34</v>
      </c>
      <c r="W2190" s="199">
        <f t="shared" si="156"/>
        <v>1.143</v>
      </c>
      <c r="X2190" s="150">
        <f t="shared" si="157"/>
        <v>0.25780999999999998</v>
      </c>
      <c r="Y2190" s="152">
        <f t="shared" si="158"/>
        <v>1.3252648</v>
      </c>
      <c r="Z2190" s="150">
        <f t="shared" si="155"/>
        <v>3.9408099999999999</v>
      </c>
      <c r="AA2190" s="152">
        <f t="shared" si="159"/>
        <v>3.9408099999999999</v>
      </c>
      <c r="AB2190" s="152">
        <f t="shared" si="160"/>
        <v>5.2660748000000002</v>
      </c>
      <c r="AC2190" s="154"/>
      <c r="AD2190" s="154"/>
      <c r="AE2190" s="198"/>
      <c r="AF2190" s="198"/>
      <c r="AH2190" s="20"/>
      <c r="AJ2190" s="198"/>
    </row>
    <row r="2191" spans="1:36" x14ac:dyDescent="0.25">
      <c r="A2191" s="182">
        <v>2553</v>
      </c>
      <c r="B2191" s="182" t="s">
        <v>10088</v>
      </c>
      <c r="C2191" s="182" t="s">
        <v>10089</v>
      </c>
      <c r="D2191" s="182" t="s">
        <v>1912</v>
      </c>
      <c r="F2191" s="182">
        <v>1995</v>
      </c>
      <c r="H2191" s="182" t="s">
        <v>1878</v>
      </c>
      <c r="I2191" s="184" t="s">
        <v>7527</v>
      </c>
      <c r="J2191" s="182" t="s">
        <v>9196</v>
      </c>
      <c r="K2191" s="182" t="s">
        <v>1881</v>
      </c>
      <c r="L2191" s="184" t="s">
        <v>10090</v>
      </c>
      <c r="M2191" s="182">
        <v>380</v>
      </c>
      <c r="O2191" s="182" t="s">
        <v>10091</v>
      </c>
      <c r="P2191" s="17">
        <v>359</v>
      </c>
      <c r="Q2191" s="145">
        <f t="shared" si="154"/>
        <v>2.7408099999999997</v>
      </c>
      <c r="R2191" s="199">
        <v>1.2</v>
      </c>
      <c r="S2191" s="199">
        <v>1.9</v>
      </c>
      <c r="U2191" s="55">
        <v>2.2000000000000002</v>
      </c>
      <c r="V2191" s="55">
        <v>0.34</v>
      </c>
      <c r="W2191" s="199">
        <f t="shared" si="156"/>
        <v>1.143</v>
      </c>
      <c r="X2191" s="150">
        <f t="shared" si="157"/>
        <v>0.25780999999999998</v>
      </c>
      <c r="Y2191" s="152">
        <f t="shared" si="158"/>
        <v>1.3252648</v>
      </c>
      <c r="Z2191" s="150">
        <f t="shared" si="155"/>
        <v>3.9408099999999999</v>
      </c>
      <c r="AA2191" s="152">
        <f t="shared" si="159"/>
        <v>3.9408099999999999</v>
      </c>
      <c r="AB2191" s="152">
        <f t="shared" si="160"/>
        <v>5.2660748000000002</v>
      </c>
      <c r="AC2191" s="154"/>
      <c r="AD2191" s="154"/>
      <c r="AE2191" s="198"/>
      <c r="AF2191" s="198"/>
      <c r="AH2191" s="20"/>
      <c r="AJ2191" s="198"/>
    </row>
    <row r="2192" spans="1:36" x14ac:dyDescent="0.25">
      <c r="A2192" s="182">
        <v>2518</v>
      </c>
      <c r="B2192" s="182" t="s">
        <v>8303</v>
      </c>
      <c r="C2192" s="182" t="s">
        <v>10092</v>
      </c>
      <c r="D2192" s="182" t="s">
        <v>10093</v>
      </c>
      <c r="H2192" s="182" t="s">
        <v>1878</v>
      </c>
      <c r="I2192" s="184" t="s">
        <v>1914</v>
      </c>
      <c r="K2192" s="182" t="s">
        <v>1881</v>
      </c>
      <c r="L2192" s="184" t="s">
        <v>10094</v>
      </c>
      <c r="M2192" s="182">
        <v>222</v>
      </c>
      <c r="O2192" s="182" t="s">
        <v>10095</v>
      </c>
      <c r="P2192" s="17">
        <v>263</v>
      </c>
      <c r="Q2192" s="145">
        <f t="shared" si="154"/>
        <v>2.7408099999999997</v>
      </c>
      <c r="R2192" s="199">
        <v>1.2</v>
      </c>
      <c r="S2192" s="199">
        <v>3.99</v>
      </c>
      <c r="U2192" s="55">
        <v>2.2000000000000002</v>
      </c>
      <c r="V2192" s="55">
        <v>0.34</v>
      </c>
      <c r="W2192" s="199">
        <f t="shared" si="156"/>
        <v>1.143</v>
      </c>
      <c r="X2192" s="150">
        <f t="shared" si="157"/>
        <v>0.25780999999999998</v>
      </c>
      <c r="Y2192" s="152">
        <f t="shared" si="158"/>
        <v>1.3252648</v>
      </c>
      <c r="Z2192" s="150">
        <f t="shared" si="155"/>
        <v>3.9408099999999999</v>
      </c>
      <c r="AA2192" s="152">
        <f t="shared" si="159"/>
        <v>3.9408099999999999</v>
      </c>
      <c r="AB2192" s="152">
        <f t="shared" si="160"/>
        <v>5.2660748000000002</v>
      </c>
      <c r="AC2192" s="154"/>
      <c r="AD2192" s="154"/>
      <c r="AE2192" s="198"/>
      <c r="AF2192" s="198"/>
      <c r="AH2192" s="20"/>
      <c r="AJ2192" s="198"/>
    </row>
    <row r="2193" spans="1:36" x14ac:dyDescent="0.25">
      <c r="A2193" s="182">
        <v>2518</v>
      </c>
      <c r="B2193" s="182" t="s">
        <v>10096</v>
      </c>
      <c r="C2193" s="182" t="s">
        <v>10097</v>
      </c>
      <c r="D2193" s="182" t="s">
        <v>1988</v>
      </c>
      <c r="E2193" s="182" t="s">
        <v>1913</v>
      </c>
      <c r="F2193" s="182">
        <v>2008</v>
      </c>
      <c r="H2193" s="182" t="s">
        <v>1878</v>
      </c>
      <c r="I2193" s="184" t="s">
        <v>1914</v>
      </c>
      <c r="K2193" s="182" t="s">
        <v>1881</v>
      </c>
      <c r="L2193" s="184" t="s">
        <v>10098</v>
      </c>
      <c r="M2193" s="182">
        <v>237</v>
      </c>
      <c r="O2193" s="182" t="s">
        <v>10099</v>
      </c>
      <c r="P2193" s="17">
        <v>232</v>
      </c>
      <c r="Q2193" s="145">
        <f t="shared" si="154"/>
        <v>2.7408099999999997</v>
      </c>
      <c r="R2193" s="199">
        <v>1.2</v>
      </c>
      <c r="S2193" s="199">
        <v>3.67</v>
      </c>
      <c r="U2193" s="55">
        <v>2.2000000000000002</v>
      </c>
      <c r="V2193" s="55">
        <v>0.34</v>
      </c>
      <c r="W2193" s="199">
        <f t="shared" si="156"/>
        <v>1.143</v>
      </c>
      <c r="X2193" s="150">
        <f t="shared" si="157"/>
        <v>0.25780999999999998</v>
      </c>
      <c r="Y2193" s="152">
        <f t="shared" si="158"/>
        <v>1.3252648</v>
      </c>
      <c r="Z2193" s="150">
        <f t="shared" si="155"/>
        <v>3.9408099999999999</v>
      </c>
      <c r="AA2193" s="152">
        <f t="shared" si="159"/>
        <v>3.9408099999999999</v>
      </c>
      <c r="AB2193" s="152">
        <f t="shared" si="160"/>
        <v>5.2660748000000002</v>
      </c>
      <c r="AC2193" s="154"/>
      <c r="AD2193" s="154"/>
      <c r="AE2193" s="198"/>
      <c r="AF2193" s="198"/>
      <c r="AH2193" s="20"/>
      <c r="AJ2193" s="198"/>
    </row>
    <row r="2194" spans="1:36" x14ac:dyDescent="0.25">
      <c r="A2194" s="182">
        <v>2518</v>
      </c>
      <c r="B2194" s="182" t="s">
        <v>10100</v>
      </c>
      <c r="C2194" s="182" t="s">
        <v>10101</v>
      </c>
      <c r="D2194" s="182" t="s">
        <v>10102</v>
      </c>
      <c r="F2194" s="182">
        <v>1996</v>
      </c>
      <c r="H2194" s="182" t="s">
        <v>1878</v>
      </c>
      <c r="I2194" s="184" t="s">
        <v>1899</v>
      </c>
      <c r="K2194" s="182" t="s">
        <v>1881</v>
      </c>
      <c r="L2194" s="184" t="s">
        <v>10103</v>
      </c>
      <c r="M2194" s="182">
        <v>195</v>
      </c>
      <c r="O2194" s="182" t="s">
        <v>10104</v>
      </c>
      <c r="P2194" s="17">
        <v>178</v>
      </c>
      <c r="Q2194" s="145">
        <f t="shared" si="154"/>
        <v>2.7408099999999997</v>
      </c>
      <c r="R2194" s="199">
        <v>1.2</v>
      </c>
      <c r="S2194" s="199">
        <v>3.5</v>
      </c>
      <c r="U2194" s="55">
        <v>2.2000000000000002</v>
      </c>
      <c r="V2194" s="55">
        <v>0.34</v>
      </c>
      <c r="W2194" s="199">
        <f t="shared" si="156"/>
        <v>1.143</v>
      </c>
      <c r="X2194" s="150">
        <f t="shared" si="157"/>
        <v>0.25780999999999998</v>
      </c>
      <c r="Y2194" s="152">
        <f t="shared" si="158"/>
        <v>1.3252648</v>
      </c>
      <c r="Z2194" s="150">
        <f t="shared" si="155"/>
        <v>3.9408099999999999</v>
      </c>
      <c r="AA2194" s="152">
        <f t="shared" si="159"/>
        <v>3.9408099999999999</v>
      </c>
      <c r="AB2194" s="152">
        <f t="shared" si="160"/>
        <v>5.2660748000000002</v>
      </c>
      <c r="AC2194" s="154"/>
      <c r="AD2194" s="154"/>
      <c r="AE2194" s="198"/>
      <c r="AF2194" s="198"/>
      <c r="AH2194" s="20"/>
      <c r="AJ2194" s="198"/>
    </row>
    <row r="2195" spans="1:36" x14ac:dyDescent="0.25">
      <c r="A2195" s="182">
        <v>1913</v>
      </c>
      <c r="B2195" s="182" t="s">
        <v>2877</v>
      </c>
      <c r="C2195" s="182" t="s">
        <v>10105</v>
      </c>
      <c r="D2195" s="182" t="s">
        <v>1988</v>
      </c>
      <c r="E2195" s="182" t="s">
        <v>1913</v>
      </c>
      <c r="F2195" s="182">
        <v>2007</v>
      </c>
      <c r="H2195" s="182" t="s">
        <v>1878</v>
      </c>
      <c r="I2195" s="184" t="s">
        <v>1879</v>
      </c>
      <c r="J2195" s="182" t="s">
        <v>9196</v>
      </c>
      <c r="K2195" s="182" t="s">
        <v>1881</v>
      </c>
      <c r="L2195" s="184" t="s">
        <v>10106</v>
      </c>
      <c r="M2195" s="182">
        <v>376</v>
      </c>
      <c r="O2195" s="182" t="s">
        <v>10107</v>
      </c>
      <c r="P2195" s="17">
        <v>462</v>
      </c>
      <c r="Q2195" s="145">
        <f t="shared" si="154"/>
        <v>2.7408099999999997</v>
      </c>
      <c r="R2195" s="199">
        <v>1.2</v>
      </c>
      <c r="S2195" s="199">
        <v>3.08</v>
      </c>
      <c r="U2195" s="55">
        <v>2.2000000000000002</v>
      </c>
      <c r="V2195" s="55">
        <v>0.34</v>
      </c>
      <c r="W2195" s="199">
        <f t="shared" si="156"/>
        <v>1.143</v>
      </c>
      <c r="X2195" s="150">
        <f t="shared" si="157"/>
        <v>0.25780999999999998</v>
      </c>
      <c r="Y2195" s="152">
        <f t="shared" si="158"/>
        <v>1.3252648</v>
      </c>
      <c r="Z2195" s="150">
        <f t="shared" si="155"/>
        <v>3.9408099999999999</v>
      </c>
      <c r="AA2195" s="152">
        <f t="shared" si="159"/>
        <v>3.9408099999999999</v>
      </c>
      <c r="AB2195" s="152">
        <f t="shared" si="160"/>
        <v>5.2660748000000002</v>
      </c>
      <c r="AC2195" s="154"/>
      <c r="AD2195" s="154"/>
      <c r="AE2195" s="198"/>
      <c r="AF2195" s="198"/>
      <c r="AH2195" s="20"/>
      <c r="AJ2195" s="198"/>
    </row>
    <row r="2196" spans="1:36" x14ac:dyDescent="0.25">
      <c r="A2196" s="182">
        <v>796</v>
      </c>
      <c r="B2196" s="182" t="s">
        <v>4888</v>
      </c>
      <c r="C2196" s="182" t="s">
        <v>10108</v>
      </c>
      <c r="D2196" s="182" t="s">
        <v>1912</v>
      </c>
      <c r="E2196" s="182" t="s">
        <v>2937</v>
      </c>
      <c r="F2196" s="182">
        <v>2002</v>
      </c>
      <c r="H2196" s="182" t="s">
        <v>1878</v>
      </c>
      <c r="I2196" s="184" t="s">
        <v>1879</v>
      </c>
      <c r="K2196" s="182" t="s">
        <v>1881</v>
      </c>
      <c r="L2196" s="184" t="s">
        <v>10109</v>
      </c>
      <c r="M2196" s="182">
        <v>443</v>
      </c>
      <c r="O2196" s="182" t="s">
        <v>10110</v>
      </c>
      <c r="P2196" s="17">
        <v>366</v>
      </c>
      <c r="Q2196" s="145">
        <f t="shared" si="154"/>
        <v>2.7408099999999997</v>
      </c>
      <c r="R2196" s="199">
        <v>1.2</v>
      </c>
      <c r="S2196" s="199">
        <v>3.2</v>
      </c>
      <c r="U2196" s="55">
        <v>2.2000000000000002</v>
      </c>
      <c r="V2196" s="55">
        <v>0.34</v>
      </c>
      <c r="W2196" s="199">
        <f t="shared" si="156"/>
        <v>1.143</v>
      </c>
      <c r="X2196" s="150">
        <f t="shared" si="157"/>
        <v>0.25780999999999998</v>
      </c>
      <c r="Y2196" s="152">
        <f t="shared" si="158"/>
        <v>1.3252648</v>
      </c>
      <c r="Z2196" s="150">
        <f t="shared" si="155"/>
        <v>3.9408099999999999</v>
      </c>
      <c r="AA2196" s="152">
        <f t="shared" si="159"/>
        <v>3.9408099999999999</v>
      </c>
      <c r="AB2196" s="152">
        <f t="shared" si="160"/>
        <v>5.2660748000000002</v>
      </c>
      <c r="AE2196" s="198"/>
      <c r="AF2196" s="198"/>
      <c r="AH2196" s="20"/>
      <c r="AJ2196" s="198"/>
    </row>
    <row r="2197" spans="1:36" x14ac:dyDescent="0.25">
      <c r="A2197" s="182">
        <v>2548</v>
      </c>
      <c r="B2197" s="182" t="s">
        <v>10111</v>
      </c>
      <c r="C2197" s="182" t="s">
        <v>10112</v>
      </c>
      <c r="D2197" s="182" t="s">
        <v>1920</v>
      </c>
      <c r="E2197" s="182" t="s">
        <v>1913</v>
      </c>
      <c r="F2197" s="182">
        <v>2001</v>
      </c>
      <c r="H2197" s="182" t="s">
        <v>1878</v>
      </c>
      <c r="I2197" s="184" t="s">
        <v>1879</v>
      </c>
      <c r="K2197" s="182" t="s">
        <v>1881</v>
      </c>
      <c r="L2197" s="184" t="s">
        <v>10113</v>
      </c>
      <c r="M2197" s="182">
        <v>347</v>
      </c>
      <c r="O2197" s="182" t="s">
        <v>10114</v>
      </c>
      <c r="P2197" s="17">
        <v>307</v>
      </c>
      <c r="Q2197" s="145">
        <f t="shared" si="154"/>
        <v>2.7408099999999997</v>
      </c>
      <c r="R2197" s="199">
        <v>1.2</v>
      </c>
      <c r="S2197" s="199">
        <v>2.92</v>
      </c>
      <c r="U2197" s="55">
        <v>2.2000000000000002</v>
      </c>
      <c r="V2197" s="55">
        <v>0.34</v>
      </c>
      <c r="W2197" s="199">
        <f t="shared" si="156"/>
        <v>1.143</v>
      </c>
      <c r="X2197" s="150">
        <f t="shared" si="157"/>
        <v>0.25780999999999998</v>
      </c>
      <c r="Y2197" s="152">
        <f t="shared" si="158"/>
        <v>1.3252648</v>
      </c>
      <c r="Z2197" s="150">
        <f t="shared" si="155"/>
        <v>3.9408099999999999</v>
      </c>
      <c r="AA2197" s="152">
        <f t="shared" si="159"/>
        <v>3.9408099999999999</v>
      </c>
      <c r="AB2197" s="152">
        <f t="shared" si="160"/>
        <v>5.2660748000000002</v>
      </c>
      <c r="AE2197" s="198"/>
      <c r="AF2197" s="198"/>
      <c r="AH2197" s="20"/>
      <c r="AJ2197" s="198"/>
    </row>
    <row r="2198" spans="1:36" x14ac:dyDescent="0.25">
      <c r="A2198" s="182">
        <v>692</v>
      </c>
      <c r="B2198" s="182" t="s">
        <v>10115</v>
      </c>
      <c r="C2198" s="182" t="s">
        <v>10116</v>
      </c>
      <c r="D2198" s="182" t="s">
        <v>2609</v>
      </c>
      <c r="E2198" s="182" t="s">
        <v>1877</v>
      </c>
      <c r="F2198" s="182">
        <v>1999</v>
      </c>
      <c r="H2198" s="182" t="s">
        <v>1878</v>
      </c>
      <c r="I2198" s="184" t="s">
        <v>7527</v>
      </c>
      <c r="K2198" s="182" t="s">
        <v>1881</v>
      </c>
      <c r="L2198" s="184" t="s">
        <v>10117</v>
      </c>
      <c r="M2198" s="182">
        <v>380</v>
      </c>
      <c r="O2198" s="182" t="s">
        <v>10118</v>
      </c>
      <c r="P2198" s="17">
        <v>413</v>
      </c>
      <c r="Q2198" s="145">
        <f t="shared" si="154"/>
        <v>2.7408099999999997</v>
      </c>
      <c r="R2198" s="199">
        <v>1.2</v>
      </c>
      <c r="S2198" s="199">
        <v>3.36</v>
      </c>
      <c r="U2198" s="55">
        <v>2.2000000000000002</v>
      </c>
      <c r="V2198" s="55">
        <v>0.34</v>
      </c>
      <c r="W2198" s="199">
        <f t="shared" si="156"/>
        <v>1.143</v>
      </c>
      <c r="X2198" s="150">
        <f t="shared" si="157"/>
        <v>0.25780999999999998</v>
      </c>
      <c r="Y2198" s="152">
        <f t="shared" si="158"/>
        <v>1.3252648</v>
      </c>
      <c r="Z2198" s="150">
        <f t="shared" si="155"/>
        <v>3.9408099999999999</v>
      </c>
      <c r="AA2198" s="152">
        <f t="shared" si="159"/>
        <v>3.9408099999999999</v>
      </c>
      <c r="AB2198" s="152">
        <f t="shared" si="160"/>
        <v>5.2660748000000002</v>
      </c>
      <c r="AE2198" s="198"/>
      <c r="AF2198" s="198"/>
      <c r="AH2198" s="20"/>
      <c r="AJ2198" s="198"/>
    </row>
    <row r="2199" spans="1:36" x14ac:dyDescent="0.25">
      <c r="A2199" s="182">
        <v>2547</v>
      </c>
      <c r="B2199" s="182" t="s">
        <v>10119</v>
      </c>
      <c r="C2199" s="182" t="s">
        <v>10120</v>
      </c>
      <c r="D2199" s="182" t="s">
        <v>10121</v>
      </c>
      <c r="H2199" s="182" t="s">
        <v>1878</v>
      </c>
      <c r="I2199" s="184" t="s">
        <v>7527</v>
      </c>
      <c r="K2199" s="182" t="s">
        <v>1881</v>
      </c>
      <c r="M2199" s="182">
        <v>654</v>
      </c>
      <c r="O2199" s="182" t="s">
        <v>10122</v>
      </c>
      <c r="P2199" s="17">
        <v>468</v>
      </c>
      <c r="Q2199" s="145">
        <f t="shared" si="154"/>
        <v>2.7408099999999997</v>
      </c>
      <c r="R2199" s="199">
        <v>1.2</v>
      </c>
      <c r="S2199" s="199">
        <v>4.3</v>
      </c>
      <c r="U2199" s="55">
        <v>2.2000000000000002</v>
      </c>
      <c r="V2199" s="55">
        <v>0.34</v>
      </c>
      <c r="W2199" s="199">
        <f t="shared" si="156"/>
        <v>1.143</v>
      </c>
      <c r="X2199" s="150">
        <f t="shared" si="157"/>
        <v>0.25780999999999998</v>
      </c>
      <c r="Y2199" s="152">
        <f t="shared" si="158"/>
        <v>1.3252648</v>
      </c>
      <c r="Z2199" s="150">
        <f t="shared" si="155"/>
        <v>3.9408099999999999</v>
      </c>
      <c r="AA2199" s="152">
        <f t="shared" si="159"/>
        <v>3.9408099999999999</v>
      </c>
      <c r="AB2199" s="152">
        <f t="shared" si="160"/>
        <v>5.2660748000000002</v>
      </c>
      <c r="AE2199" s="198"/>
      <c r="AF2199" s="198"/>
      <c r="AH2199" s="20"/>
      <c r="AJ2199" s="198"/>
    </row>
    <row r="2200" spans="1:36" x14ac:dyDescent="0.25">
      <c r="A2200" s="182">
        <v>2547</v>
      </c>
      <c r="B2200" s="182" t="s">
        <v>10123</v>
      </c>
      <c r="C2200" s="182" t="s">
        <v>10124</v>
      </c>
      <c r="D2200" s="182" t="s">
        <v>2054</v>
      </c>
      <c r="F2200" s="182">
        <v>2011</v>
      </c>
      <c r="H2200" s="182" t="s">
        <v>1878</v>
      </c>
      <c r="I2200" s="184" t="s">
        <v>1879</v>
      </c>
      <c r="K2200" s="182" t="s">
        <v>1881</v>
      </c>
      <c r="L2200" s="184" t="s">
        <v>10125</v>
      </c>
      <c r="M2200" s="182">
        <v>398</v>
      </c>
      <c r="O2200" s="182" t="s">
        <v>10126</v>
      </c>
      <c r="P2200" s="17">
        <v>383</v>
      </c>
      <c r="Q2200" s="145">
        <f t="shared" si="154"/>
        <v>2.7408099999999997</v>
      </c>
      <c r="R2200" s="199">
        <v>1.2</v>
      </c>
      <c r="S2200" s="199">
        <v>3.99</v>
      </c>
      <c r="U2200" s="55">
        <v>2.2000000000000002</v>
      </c>
      <c r="V2200" s="55">
        <v>0.34</v>
      </c>
      <c r="W2200" s="199">
        <f t="shared" si="156"/>
        <v>1.143</v>
      </c>
      <c r="X2200" s="150">
        <f t="shared" si="157"/>
        <v>0.25780999999999998</v>
      </c>
      <c r="Y2200" s="152">
        <f t="shared" si="158"/>
        <v>1.3252648</v>
      </c>
      <c r="Z2200" s="150">
        <f t="shared" si="155"/>
        <v>3.9408099999999999</v>
      </c>
      <c r="AA2200" s="152">
        <f t="shared" si="159"/>
        <v>3.9408099999999999</v>
      </c>
      <c r="AB2200" s="152">
        <f t="shared" si="160"/>
        <v>5.2660748000000002</v>
      </c>
      <c r="AE2200" s="198"/>
      <c r="AF2200" s="198"/>
      <c r="AH2200" s="20"/>
      <c r="AJ2200" s="198"/>
    </row>
    <row r="2201" spans="1:36" x14ac:dyDescent="0.25">
      <c r="A2201" s="182">
        <v>692</v>
      </c>
      <c r="B2201" s="182" t="s">
        <v>10127</v>
      </c>
      <c r="C2201" s="182" t="s">
        <v>10128</v>
      </c>
      <c r="D2201" s="182" t="s">
        <v>3077</v>
      </c>
      <c r="E2201" s="182" t="s">
        <v>1913</v>
      </c>
      <c r="F2201" s="182">
        <v>2014</v>
      </c>
      <c r="H2201" s="182" t="s">
        <v>1878</v>
      </c>
      <c r="I2201" s="184" t="s">
        <v>1879</v>
      </c>
      <c r="J2201" s="182" t="s">
        <v>9196</v>
      </c>
      <c r="K2201" s="182" t="s">
        <v>1881</v>
      </c>
      <c r="L2201" s="184" t="s">
        <v>10129</v>
      </c>
      <c r="M2201" s="182">
        <v>573</v>
      </c>
      <c r="O2201" s="182" t="s">
        <v>10130</v>
      </c>
      <c r="P2201" s="17">
        <v>470</v>
      </c>
      <c r="Q2201" s="145">
        <f t="shared" si="154"/>
        <v>2.7408099999999997</v>
      </c>
      <c r="R2201" s="199">
        <v>1.2</v>
      </c>
      <c r="S2201" s="199">
        <v>3.97</v>
      </c>
      <c r="U2201" s="55">
        <v>2.2000000000000002</v>
      </c>
      <c r="V2201" s="55">
        <v>0.34</v>
      </c>
      <c r="W2201" s="199">
        <f t="shared" si="156"/>
        <v>1.143</v>
      </c>
      <c r="X2201" s="150">
        <f t="shared" si="157"/>
        <v>0.25780999999999998</v>
      </c>
      <c r="Y2201" s="152">
        <f t="shared" si="158"/>
        <v>1.3252648</v>
      </c>
      <c r="Z2201" s="150">
        <f t="shared" si="155"/>
        <v>3.9408099999999999</v>
      </c>
      <c r="AA2201" s="152">
        <f t="shared" si="159"/>
        <v>3.9408099999999999</v>
      </c>
      <c r="AB2201" s="152">
        <f t="shared" si="160"/>
        <v>5.2660748000000002</v>
      </c>
      <c r="AE2201" s="198"/>
      <c r="AF2201" s="198"/>
      <c r="AH2201" s="20"/>
      <c r="AJ2201" s="198"/>
    </row>
  </sheetData>
  <sheetProtection selectLockedCells="1" selectUnlockedCells="1"/>
  <autoFilter ref="A4:AP2195" xr:uid="{DC0DB6FE-DC25-450C-9375-BB27525C6641}"/>
  <dataValidations count="3">
    <dataValidation type="list" allowBlank="1" showErrorMessage="1" sqref="AL9:AM12 AL300:AM301 AL49:AM50 AL314:AM316 AL318:AM321 AL64:AM68 AL387:AM392 AL87:AM87 AL303:AM311 AL92:AM92 AL338:AM345 AL347:AM363 AL95:AM95 AL323:AM330 AL332:AM336 AL365:AM385" xr:uid="{42FE8D4B-9D4B-4D04-B955-D0C317CFD3EE}">
      <formula1>"nein,ja"</formula1>
      <formula2>0</formula2>
    </dataValidation>
    <dataValidation type="list" allowBlank="1" showErrorMessage="1" sqref="AK9:AK12 AK300:AK301 AK49:AK50 AK314:AK316 AK318:AK321 AK64:AK68 AK387:AK392 AK87 AK303:AK311 AK92 AK338:AK345 AK347:AK363 AK95 AK323:AK330 AK332:AK336 AK365:AK385" xr:uid="{AA976831-1D36-4A6C-BD7D-25D0D2EA384B}">
      <formula1>"nein,ja (nur gewerblich),"</formula1>
      <formula2>0</formula2>
    </dataValidation>
    <dataValidation type="decimal" allowBlank="1" showDropDown="1" showErrorMessage="1" sqref="R7:S7 Q4:Q7" xr:uid="{B44E2AB4-9909-47CC-B3BA-C6EAA80DB37C}">
      <formula1>0</formula1>
      <formula2>100000</formula2>
    </dataValidation>
  </dataValidations>
  <hyperlinks>
    <hyperlink ref="B321" r:id="rId1" display="https://www.booklooker.de/B%C3%BCcher/Angebote/autor=Nurosi+Aki+und+Mark+Shulman" xr:uid="{26474C0E-1550-47E3-83DC-A7F2776061C4}"/>
    <hyperlink ref="B324" r:id="rId2" display="https://www.booklooker.de/B%C3%BCcher/Angebote/autor=Klaus+Hammerschmidt" xr:uid="{E9534AEF-FD35-4AAC-B1F1-C75BC5F8C76D}"/>
    <hyperlink ref="C324" r:id="rId3" display="https://www.booklooker.de/B%C3%BCcher/Angebote/titel=Kreuzwortr%C3%A4tsellexikon+-+000+Begriffe" xr:uid="{5DC97F70-41A3-4168-AFD2-D2AF5C505AD3}"/>
    <hyperlink ref="B327" r:id="rId4" display="https://www.booklooker.de/B%C3%BCcher/Angebote/autor=Richard+Blank" xr:uid="{B43A0BB5-8B41-499E-B320-BF4B40D24341}"/>
    <hyperlink ref="B328" r:id="rId5" display="https://www.booklooker.de/B%C3%BCcher/Angebote/autor=falken+%252B+ohara" xr:uid="{B7F3CB07-CEC6-486B-9EB1-7C0131E88321}"/>
    <hyperlink ref="B329" r:id="rId6" display="https://www.booklooker.de/B%C3%BCcher/Angebote/autor=Drolshagen+Ebba+D%3B+Els%C3%A4sser+Regine" xr:uid="{1D459970-98FB-4DD2-83FA-DF29F54C7063}"/>
    <hyperlink ref="B344" r:id="rId7" display="https://www.booklooker.de/B%C3%BCcher/Angebote/autor=Finke+Gisela%252F+Schweizer+Ursula%252F+Wiedemann+Bernhard" xr:uid="{FF8F2FA8-24B6-4891-A38B-CCE093827B60}"/>
    <hyperlink ref="D344" r:id="rId8" display="https://www.booklooker.de/B%C3%BCcher/Angebote/verlag=Naumann+%2526+G%C3%B6bel+Verlagsgesellschaft" xr:uid="{1454CF59-88D4-4739-8B97-D0011FE85FE9}"/>
    <hyperlink ref="B351" r:id="rId9" display="https://www.booklooker.de/B%C3%BCcher/Angebote/autor=Eichendorff+Joseph+von" xr:uid="{33104EC2-3768-4BD2-B423-95E2550A7E73}"/>
    <hyperlink ref="B354" r:id="rId10" display="https://www.booklooker.de/B%C3%BCcher/Angebote/autor=Harder+Gustav+Susi+Harder+und+Sigi+Sirtl" xr:uid="{12B8E60C-8433-48DB-9003-8B022E87BF8C}"/>
    <hyperlink ref="L365" r:id="rId11" display="https://www.booklooker.de/B%C3%BCcher/Angebote/isbn=342662933X" xr:uid="{0CDC5D10-B777-4184-A00D-F1A6631FC73B}"/>
    <hyperlink ref="B1507" r:id="rId12" display="https://www.booklooker.de/B%C3%BCcher/Angebote/autor=Konfuzius" xr:uid="{A88153AC-6D40-4E30-BCF1-40B90E88FF71}"/>
    <hyperlink ref="C1507" r:id="rId13" display="https://www.booklooker.de/B%C3%BCcher/Angebote/titel=Gespr%C3%A4che+Lun-y%C3%BC+Bibliothek+der+Philosophie+Band" xr:uid="{B998B93E-A3C2-49E4-AC32-AE45ABC1D266}"/>
    <hyperlink ref="L1673" r:id="rId14" display="https://www.booklooker.de/B%C3%BCcher/Angebote/isbn=9783869972398" xr:uid="{93FB3120-EC5E-48B8-AFD7-943AE922CBFE}"/>
  </hyperlinks>
  <pageMargins left="0.78749999999999998" right="0.78749999999999998" top="0.78749999999999998" bottom="0.78749999999999998" header="0.51180555555555551" footer="0.51180555555555551"/>
  <pageSetup paperSize="9" firstPageNumber="0" orientation="portrait" horizontalDpi="300" verticalDpi="300" r:id="rId1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99"/>
  <sheetViews>
    <sheetView workbookViewId="0">
      <selection activeCell="P2" sqref="P2:P4"/>
    </sheetView>
  </sheetViews>
  <sheetFormatPr baseColWidth="10" defaultColWidth="11.5546875" defaultRowHeight="13.2" x14ac:dyDescent="0.25"/>
  <cols>
    <col min="6" max="6" width="15.44140625" customWidth="1"/>
    <col min="7" max="7" width="16.44140625" customWidth="1"/>
    <col min="8" max="8" width="14.88671875" customWidth="1"/>
    <col min="9" max="9" width="21.6640625" customWidth="1"/>
    <col min="13" max="13" width="14.88671875" customWidth="1"/>
    <col min="15" max="15" width="14.44140625" customWidth="1"/>
    <col min="16" max="16" width="15" customWidth="1"/>
    <col min="19" max="20" width="23.109375" customWidth="1"/>
    <col min="21" max="21" width="42.33203125" style="2" customWidth="1"/>
  </cols>
  <sheetData>
    <row r="1" spans="1:21" x14ac:dyDescent="0.25">
      <c r="A1" s="21" t="s">
        <v>26</v>
      </c>
      <c r="B1" s="22" t="s">
        <v>27</v>
      </c>
      <c r="C1" s="23" t="s">
        <v>28</v>
      </c>
      <c r="D1" s="21" t="s">
        <v>29</v>
      </c>
      <c r="E1" s="21" t="s">
        <v>31</v>
      </c>
      <c r="F1" s="21" t="s">
        <v>52</v>
      </c>
      <c r="G1" s="23" t="s">
        <v>53</v>
      </c>
      <c r="H1" s="24" t="s">
        <v>34</v>
      </c>
      <c r="I1" s="21" t="s">
        <v>35</v>
      </c>
      <c r="J1" s="21" t="s">
        <v>36</v>
      </c>
      <c r="K1" s="25" t="s">
        <v>54</v>
      </c>
      <c r="L1" s="21" t="s">
        <v>55</v>
      </c>
      <c r="M1" s="21" t="s">
        <v>37</v>
      </c>
      <c r="N1" s="21" t="s">
        <v>40</v>
      </c>
      <c r="O1" s="26" t="s">
        <v>41</v>
      </c>
      <c r="P1" s="27" t="s">
        <v>42</v>
      </c>
      <c r="Q1" s="21" t="s">
        <v>44</v>
      </c>
      <c r="R1" s="21" t="s">
        <v>45</v>
      </c>
      <c r="S1" s="21" t="s">
        <v>46</v>
      </c>
      <c r="T1" s="21" t="s">
        <v>47</v>
      </c>
      <c r="U1" s="21" t="s">
        <v>50</v>
      </c>
    </row>
    <row r="2" spans="1:21" x14ac:dyDescent="0.25">
      <c r="C2" t="s">
        <v>8931</v>
      </c>
      <c r="D2" t="s">
        <v>8932</v>
      </c>
      <c r="F2" s="2" t="s">
        <v>8933</v>
      </c>
      <c r="G2" s="2" t="s">
        <v>8905</v>
      </c>
      <c r="H2">
        <v>1</v>
      </c>
      <c r="J2" t="s">
        <v>1881</v>
      </c>
      <c r="L2">
        <v>30</v>
      </c>
      <c r="N2" t="s">
        <v>8934</v>
      </c>
      <c r="O2">
        <v>25</v>
      </c>
      <c r="P2" s="30">
        <v>3.8687999999999998</v>
      </c>
      <c r="S2" s="2" t="s">
        <v>51</v>
      </c>
      <c r="T2" s="2" t="s">
        <v>51</v>
      </c>
      <c r="U2" s="18"/>
    </row>
    <row r="3" spans="1:21" x14ac:dyDescent="0.25">
      <c r="B3" t="s">
        <v>8936</v>
      </c>
      <c r="C3" t="s">
        <v>8937</v>
      </c>
      <c r="D3" t="s">
        <v>8939</v>
      </c>
      <c r="E3">
        <v>2015</v>
      </c>
      <c r="F3" s="2" t="s">
        <v>8933</v>
      </c>
      <c r="G3" s="2" t="s">
        <v>8905</v>
      </c>
      <c r="H3">
        <v>1</v>
      </c>
      <c r="J3" t="s">
        <v>1881</v>
      </c>
      <c r="K3" t="s">
        <v>8938</v>
      </c>
      <c r="L3">
        <v>390</v>
      </c>
      <c r="M3" s="101">
        <v>9783455310313</v>
      </c>
      <c r="N3" t="s">
        <v>8935</v>
      </c>
      <c r="O3">
        <v>141</v>
      </c>
      <c r="P3" s="30">
        <v>5.0992999999999995</v>
      </c>
      <c r="S3" s="2" t="s">
        <v>51</v>
      </c>
      <c r="T3" s="2" t="s">
        <v>51</v>
      </c>
      <c r="U3" s="18"/>
    </row>
    <row r="4" spans="1:21" x14ac:dyDescent="0.25">
      <c r="A4" s="2"/>
      <c r="B4" s="2"/>
      <c r="C4" s="2" t="s">
        <v>8980</v>
      </c>
      <c r="D4" s="2"/>
      <c r="E4" s="1"/>
      <c r="F4" s="2" t="s">
        <v>8933</v>
      </c>
      <c r="G4" s="2" t="s">
        <v>8905</v>
      </c>
      <c r="H4" s="16" t="s">
        <v>1879</v>
      </c>
      <c r="I4" s="1"/>
      <c r="J4" s="2" t="s">
        <v>1881</v>
      </c>
      <c r="K4" s="16"/>
      <c r="L4" s="2"/>
      <c r="M4" s="18"/>
      <c r="N4" t="s">
        <v>9007</v>
      </c>
      <c r="O4" s="49">
        <v>88</v>
      </c>
      <c r="P4" s="30">
        <v>3.8152999999999997</v>
      </c>
      <c r="S4" s="2" t="s">
        <v>51</v>
      </c>
      <c r="T4" s="2" t="s">
        <v>51</v>
      </c>
      <c r="U4" s="18"/>
    </row>
    <row r="5" spans="1:21" x14ac:dyDescent="0.25">
      <c r="F5" s="2" t="s">
        <v>56</v>
      </c>
      <c r="G5" s="2" t="s">
        <v>56</v>
      </c>
      <c r="P5" s="30"/>
      <c r="S5" s="2" t="s">
        <v>51</v>
      </c>
      <c r="T5" s="2" t="s">
        <v>51</v>
      </c>
      <c r="U5" s="18"/>
    </row>
    <row r="6" spans="1:21" x14ac:dyDescent="0.25">
      <c r="F6" s="2" t="s">
        <v>56</v>
      </c>
      <c r="G6" s="2" t="s">
        <v>56</v>
      </c>
      <c r="P6" s="30"/>
      <c r="S6" s="2" t="s">
        <v>51</v>
      </c>
      <c r="T6" s="2" t="s">
        <v>51</v>
      </c>
      <c r="U6" s="18"/>
    </row>
    <row r="7" spans="1:21" x14ac:dyDescent="0.25">
      <c r="F7" s="2" t="s">
        <v>56</v>
      </c>
      <c r="G7" s="2" t="s">
        <v>56</v>
      </c>
      <c r="P7" s="30"/>
      <c r="S7" s="2" t="s">
        <v>51</v>
      </c>
      <c r="T7" s="2" t="s">
        <v>51</v>
      </c>
      <c r="U7" s="18"/>
    </row>
    <row r="8" spans="1:21" x14ac:dyDescent="0.25">
      <c r="F8" s="2" t="s">
        <v>56</v>
      </c>
      <c r="G8" s="2" t="s">
        <v>56</v>
      </c>
      <c r="P8" s="30"/>
      <c r="S8" s="2" t="s">
        <v>51</v>
      </c>
      <c r="T8" s="2" t="s">
        <v>51</v>
      </c>
      <c r="U8" s="18"/>
    </row>
    <row r="9" spans="1:21" x14ac:dyDescent="0.25">
      <c r="F9" s="2" t="s">
        <v>56</v>
      </c>
      <c r="G9" s="2" t="s">
        <v>56</v>
      </c>
      <c r="P9" s="30"/>
      <c r="S9" s="2" t="s">
        <v>51</v>
      </c>
      <c r="T9" s="2" t="s">
        <v>51</v>
      </c>
      <c r="U9" s="18"/>
    </row>
    <row r="10" spans="1:21" x14ac:dyDescent="0.25">
      <c r="F10" s="2" t="s">
        <v>56</v>
      </c>
      <c r="G10" s="2" t="s">
        <v>56</v>
      </c>
      <c r="P10" s="30"/>
      <c r="S10" s="2" t="s">
        <v>51</v>
      </c>
      <c r="T10" s="2" t="s">
        <v>51</v>
      </c>
      <c r="U10" s="18"/>
    </row>
    <row r="11" spans="1:21" x14ac:dyDescent="0.25">
      <c r="F11" s="2" t="s">
        <v>56</v>
      </c>
      <c r="G11" s="2" t="s">
        <v>56</v>
      </c>
      <c r="P11" s="30"/>
      <c r="S11" s="2" t="s">
        <v>51</v>
      </c>
      <c r="T11" s="2" t="s">
        <v>51</v>
      </c>
      <c r="U11" s="18"/>
    </row>
    <row r="12" spans="1:21" x14ac:dyDescent="0.25">
      <c r="F12" s="2" t="s">
        <v>56</v>
      </c>
      <c r="G12" s="2" t="s">
        <v>56</v>
      </c>
      <c r="P12" s="30"/>
      <c r="S12" s="2" t="s">
        <v>51</v>
      </c>
      <c r="T12" s="2" t="s">
        <v>51</v>
      </c>
      <c r="U12" s="18"/>
    </row>
    <row r="13" spans="1:21" x14ac:dyDescent="0.25">
      <c r="F13" s="2" t="s">
        <v>56</v>
      </c>
      <c r="G13" s="2" t="s">
        <v>56</v>
      </c>
      <c r="P13" s="30"/>
      <c r="S13" s="2" t="s">
        <v>51</v>
      </c>
      <c r="T13" s="2" t="s">
        <v>51</v>
      </c>
      <c r="U13" s="18"/>
    </row>
    <row r="14" spans="1:21" x14ac:dyDescent="0.25">
      <c r="F14" s="2" t="s">
        <v>56</v>
      </c>
      <c r="G14" s="2" t="s">
        <v>56</v>
      </c>
      <c r="P14" s="30"/>
      <c r="S14" s="2" t="s">
        <v>51</v>
      </c>
      <c r="T14" s="2" t="s">
        <v>51</v>
      </c>
      <c r="U14" s="18"/>
    </row>
    <row r="15" spans="1:21" x14ac:dyDescent="0.25">
      <c r="F15" s="2" t="s">
        <v>56</v>
      </c>
      <c r="G15" s="2" t="s">
        <v>56</v>
      </c>
      <c r="P15" s="30"/>
      <c r="S15" s="2" t="s">
        <v>51</v>
      </c>
      <c r="T15" s="2" t="s">
        <v>51</v>
      </c>
      <c r="U15" s="18"/>
    </row>
    <row r="16" spans="1:21" x14ac:dyDescent="0.25">
      <c r="F16" s="2" t="s">
        <v>56</v>
      </c>
      <c r="G16" s="2" t="s">
        <v>56</v>
      </c>
      <c r="P16" s="30"/>
      <c r="S16" s="2" t="s">
        <v>51</v>
      </c>
      <c r="T16" s="2" t="s">
        <v>51</v>
      </c>
      <c r="U16" s="18"/>
    </row>
    <row r="17" spans="6:21" x14ac:dyDescent="0.25">
      <c r="F17" s="2" t="s">
        <v>56</v>
      </c>
      <c r="G17" s="2" t="s">
        <v>56</v>
      </c>
      <c r="P17" s="30"/>
      <c r="S17" s="2" t="s">
        <v>51</v>
      </c>
      <c r="T17" s="2" t="s">
        <v>51</v>
      </c>
      <c r="U17" s="18"/>
    </row>
    <row r="18" spans="6:21" x14ac:dyDescent="0.25">
      <c r="F18" s="2" t="s">
        <v>56</v>
      </c>
      <c r="G18" s="2" t="s">
        <v>56</v>
      </c>
      <c r="P18" s="30"/>
      <c r="S18" s="2" t="s">
        <v>51</v>
      </c>
      <c r="T18" s="2" t="s">
        <v>51</v>
      </c>
      <c r="U18" s="18"/>
    </row>
    <row r="19" spans="6:21" x14ac:dyDescent="0.25">
      <c r="F19" s="2" t="s">
        <v>56</v>
      </c>
      <c r="G19" s="2" t="s">
        <v>56</v>
      </c>
      <c r="P19" s="30"/>
      <c r="S19" s="2" t="s">
        <v>51</v>
      </c>
      <c r="T19" s="2" t="s">
        <v>51</v>
      </c>
      <c r="U19" s="18"/>
    </row>
    <row r="20" spans="6:21" x14ac:dyDescent="0.25">
      <c r="F20" s="2" t="s">
        <v>56</v>
      </c>
      <c r="G20" s="2" t="s">
        <v>56</v>
      </c>
      <c r="P20" s="30"/>
      <c r="S20" s="2" t="s">
        <v>51</v>
      </c>
      <c r="T20" s="2" t="s">
        <v>51</v>
      </c>
      <c r="U20" s="18"/>
    </row>
    <row r="21" spans="6:21" x14ac:dyDescent="0.25">
      <c r="F21" s="2" t="s">
        <v>56</v>
      </c>
      <c r="G21" s="2" t="s">
        <v>56</v>
      </c>
      <c r="P21" s="30"/>
      <c r="S21" s="2" t="s">
        <v>51</v>
      </c>
      <c r="T21" s="2" t="s">
        <v>51</v>
      </c>
      <c r="U21" s="18"/>
    </row>
    <row r="22" spans="6:21" x14ac:dyDescent="0.25">
      <c r="F22" s="2" t="s">
        <v>56</v>
      </c>
      <c r="G22" s="2" t="s">
        <v>56</v>
      </c>
      <c r="P22" s="30"/>
      <c r="S22" s="2" t="s">
        <v>51</v>
      </c>
      <c r="T22" s="2" t="s">
        <v>51</v>
      </c>
      <c r="U22" s="18"/>
    </row>
    <row r="23" spans="6:21" x14ac:dyDescent="0.25">
      <c r="F23" s="2" t="s">
        <v>56</v>
      </c>
      <c r="G23" s="2" t="s">
        <v>56</v>
      </c>
      <c r="P23" s="30"/>
      <c r="S23" s="2" t="s">
        <v>51</v>
      </c>
      <c r="T23" s="2" t="s">
        <v>51</v>
      </c>
      <c r="U23" s="18"/>
    </row>
    <row r="24" spans="6:21" x14ac:dyDescent="0.25">
      <c r="F24" s="2" t="s">
        <v>56</v>
      </c>
      <c r="G24" s="2" t="s">
        <v>56</v>
      </c>
      <c r="P24" s="30"/>
      <c r="S24" s="2" t="s">
        <v>51</v>
      </c>
      <c r="T24" s="2" t="s">
        <v>51</v>
      </c>
      <c r="U24" s="18"/>
    </row>
    <row r="25" spans="6:21" x14ac:dyDescent="0.25">
      <c r="F25" s="2" t="s">
        <v>56</v>
      </c>
      <c r="G25" s="2" t="s">
        <v>56</v>
      </c>
      <c r="P25" s="30"/>
      <c r="S25" s="2" t="s">
        <v>51</v>
      </c>
      <c r="T25" s="2" t="s">
        <v>51</v>
      </c>
      <c r="U25" s="18"/>
    </row>
    <row r="26" spans="6:21" x14ac:dyDescent="0.25">
      <c r="F26" s="2" t="s">
        <v>56</v>
      </c>
      <c r="G26" s="2" t="s">
        <v>56</v>
      </c>
      <c r="P26" s="30"/>
      <c r="S26" s="2" t="s">
        <v>51</v>
      </c>
      <c r="T26" s="2" t="s">
        <v>51</v>
      </c>
      <c r="U26" s="18"/>
    </row>
    <row r="27" spans="6:21" x14ac:dyDescent="0.25">
      <c r="F27" s="2" t="s">
        <v>56</v>
      </c>
      <c r="G27" s="2" t="s">
        <v>56</v>
      </c>
      <c r="P27" s="30"/>
      <c r="S27" s="2" t="s">
        <v>51</v>
      </c>
      <c r="T27" s="2" t="s">
        <v>51</v>
      </c>
      <c r="U27" s="18"/>
    </row>
    <row r="28" spans="6:21" x14ac:dyDescent="0.25">
      <c r="F28" s="2" t="s">
        <v>56</v>
      </c>
      <c r="G28" s="2" t="s">
        <v>56</v>
      </c>
      <c r="P28" s="30"/>
      <c r="S28" s="2" t="s">
        <v>51</v>
      </c>
      <c r="T28" s="2" t="s">
        <v>51</v>
      </c>
      <c r="U28" s="18"/>
    </row>
    <row r="29" spans="6:21" x14ac:dyDescent="0.25">
      <c r="F29" s="2" t="s">
        <v>56</v>
      </c>
      <c r="G29" s="2" t="s">
        <v>56</v>
      </c>
      <c r="P29" s="30"/>
      <c r="S29" s="2" t="s">
        <v>51</v>
      </c>
      <c r="T29" s="2" t="s">
        <v>51</v>
      </c>
      <c r="U29" s="18"/>
    </row>
    <row r="30" spans="6:21" x14ac:dyDescent="0.25">
      <c r="F30" s="2" t="s">
        <v>56</v>
      </c>
      <c r="G30" s="2" t="s">
        <v>56</v>
      </c>
      <c r="P30" s="30"/>
      <c r="S30" s="2" t="s">
        <v>51</v>
      </c>
      <c r="T30" s="2" t="s">
        <v>51</v>
      </c>
      <c r="U30" s="18"/>
    </row>
    <row r="31" spans="6:21" x14ac:dyDescent="0.25">
      <c r="F31" s="2" t="s">
        <v>56</v>
      </c>
      <c r="G31" s="2" t="s">
        <v>56</v>
      </c>
      <c r="P31" s="30"/>
      <c r="S31" s="2" t="s">
        <v>51</v>
      </c>
      <c r="T31" s="2" t="s">
        <v>51</v>
      </c>
      <c r="U31" s="18"/>
    </row>
    <row r="32" spans="6:21" x14ac:dyDescent="0.25">
      <c r="F32" s="2" t="s">
        <v>56</v>
      </c>
      <c r="G32" s="2" t="s">
        <v>56</v>
      </c>
      <c r="P32" s="30"/>
      <c r="S32" s="2" t="s">
        <v>51</v>
      </c>
      <c r="T32" s="2" t="s">
        <v>51</v>
      </c>
      <c r="U32" s="18"/>
    </row>
    <row r="33" spans="6:21" x14ac:dyDescent="0.25">
      <c r="F33" s="2" t="s">
        <v>56</v>
      </c>
      <c r="G33" s="2" t="s">
        <v>56</v>
      </c>
      <c r="P33" s="30"/>
      <c r="S33" s="2" t="s">
        <v>51</v>
      </c>
      <c r="T33" s="2" t="s">
        <v>51</v>
      </c>
      <c r="U33" s="18"/>
    </row>
    <row r="34" spans="6:21" x14ac:dyDescent="0.25">
      <c r="F34" s="2" t="s">
        <v>56</v>
      </c>
      <c r="G34" s="2" t="s">
        <v>56</v>
      </c>
      <c r="P34" s="30"/>
      <c r="S34" s="2" t="s">
        <v>51</v>
      </c>
      <c r="T34" s="2" t="s">
        <v>51</v>
      </c>
      <c r="U34" s="18"/>
    </row>
    <row r="35" spans="6:21" x14ac:dyDescent="0.25">
      <c r="F35" s="2" t="s">
        <v>56</v>
      </c>
      <c r="G35" s="2" t="s">
        <v>56</v>
      </c>
      <c r="P35" s="30"/>
      <c r="S35" s="2" t="s">
        <v>51</v>
      </c>
      <c r="T35" s="2" t="s">
        <v>51</v>
      </c>
      <c r="U35" s="18"/>
    </row>
    <row r="36" spans="6:21" x14ac:dyDescent="0.25">
      <c r="F36" s="2" t="s">
        <v>56</v>
      </c>
      <c r="G36" s="2" t="s">
        <v>56</v>
      </c>
      <c r="P36" s="30"/>
      <c r="S36" s="2" t="s">
        <v>51</v>
      </c>
      <c r="T36" s="2" t="s">
        <v>51</v>
      </c>
      <c r="U36" s="18"/>
    </row>
    <row r="37" spans="6:21" x14ac:dyDescent="0.25">
      <c r="F37" s="2" t="s">
        <v>56</v>
      </c>
      <c r="G37" s="2" t="s">
        <v>56</v>
      </c>
      <c r="P37" s="30"/>
      <c r="S37" s="2" t="s">
        <v>51</v>
      </c>
      <c r="T37" s="2" t="s">
        <v>51</v>
      </c>
      <c r="U37" s="18"/>
    </row>
    <row r="38" spans="6:21" x14ac:dyDescent="0.25">
      <c r="F38" s="2" t="s">
        <v>56</v>
      </c>
      <c r="G38" s="2" t="s">
        <v>56</v>
      </c>
      <c r="P38" s="30"/>
      <c r="S38" s="2" t="s">
        <v>51</v>
      </c>
      <c r="T38" s="2" t="s">
        <v>51</v>
      </c>
      <c r="U38" s="18"/>
    </row>
    <row r="39" spans="6:21" x14ac:dyDescent="0.25">
      <c r="F39" s="2" t="s">
        <v>56</v>
      </c>
      <c r="G39" s="2" t="s">
        <v>56</v>
      </c>
      <c r="P39" s="30"/>
      <c r="S39" s="2" t="s">
        <v>51</v>
      </c>
      <c r="T39" s="2" t="s">
        <v>51</v>
      </c>
      <c r="U39" s="18"/>
    </row>
    <row r="40" spans="6:21" x14ac:dyDescent="0.25">
      <c r="F40" s="2" t="s">
        <v>56</v>
      </c>
      <c r="G40" s="2" t="s">
        <v>56</v>
      </c>
      <c r="P40" s="30"/>
      <c r="S40" s="2" t="s">
        <v>51</v>
      </c>
      <c r="T40" s="2" t="s">
        <v>51</v>
      </c>
      <c r="U40" s="18"/>
    </row>
    <row r="41" spans="6:21" x14ac:dyDescent="0.25">
      <c r="F41" s="2" t="s">
        <v>56</v>
      </c>
      <c r="G41" s="2" t="s">
        <v>56</v>
      </c>
      <c r="P41" s="30"/>
      <c r="S41" s="2" t="s">
        <v>51</v>
      </c>
      <c r="T41" s="2" t="s">
        <v>51</v>
      </c>
      <c r="U41" s="18"/>
    </row>
    <row r="42" spans="6:21" x14ac:dyDescent="0.25">
      <c r="F42" s="2" t="s">
        <v>56</v>
      </c>
      <c r="G42" s="2" t="s">
        <v>56</v>
      </c>
      <c r="P42" s="30"/>
      <c r="S42" s="2" t="s">
        <v>51</v>
      </c>
      <c r="T42" s="2" t="s">
        <v>51</v>
      </c>
      <c r="U42" s="18"/>
    </row>
    <row r="43" spans="6:21" x14ac:dyDescent="0.25">
      <c r="F43" s="2" t="s">
        <v>56</v>
      </c>
      <c r="G43" s="2" t="s">
        <v>56</v>
      </c>
      <c r="P43" s="30"/>
      <c r="S43" s="2" t="s">
        <v>51</v>
      </c>
      <c r="T43" s="2" t="s">
        <v>51</v>
      </c>
      <c r="U43" s="18"/>
    </row>
    <row r="44" spans="6:21" x14ac:dyDescent="0.25">
      <c r="F44" s="2" t="s">
        <v>56</v>
      </c>
      <c r="G44" s="2" t="s">
        <v>56</v>
      </c>
      <c r="P44" s="30"/>
      <c r="S44" s="2" t="s">
        <v>51</v>
      </c>
      <c r="T44" s="2" t="s">
        <v>51</v>
      </c>
      <c r="U44" s="18"/>
    </row>
    <row r="45" spans="6:21" x14ac:dyDescent="0.25">
      <c r="F45" s="2" t="s">
        <v>56</v>
      </c>
      <c r="G45" s="2" t="s">
        <v>56</v>
      </c>
      <c r="P45" s="30"/>
      <c r="S45" s="2" t="s">
        <v>51</v>
      </c>
      <c r="T45" s="2" t="s">
        <v>51</v>
      </c>
      <c r="U45" s="18"/>
    </row>
    <row r="46" spans="6:21" x14ac:dyDescent="0.25">
      <c r="F46" s="2" t="s">
        <v>56</v>
      </c>
      <c r="G46" s="2" t="s">
        <v>56</v>
      </c>
      <c r="P46" s="30"/>
      <c r="S46" s="2" t="s">
        <v>51</v>
      </c>
      <c r="T46" s="2" t="s">
        <v>51</v>
      </c>
      <c r="U46" s="18"/>
    </row>
    <row r="47" spans="6:21" x14ac:dyDescent="0.25">
      <c r="F47" s="2" t="s">
        <v>56</v>
      </c>
      <c r="G47" s="2" t="s">
        <v>56</v>
      </c>
      <c r="P47" s="30"/>
      <c r="S47" s="2" t="s">
        <v>51</v>
      </c>
      <c r="T47" s="2" t="s">
        <v>51</v>
      </c>
      <c r="U47" s="18"/>
    </row>
    <row r="48" spans="6:21" x14ac:dyDescent="0.25">
      <c r="F48" s="2" t="s">
        <v>56</v>
      </c>
      <c r="G48" s="2" t="s">
        <v>56</v>
      </c>
      <c r="P48" s="30"/>
      <c r="S48" s="2" t="s">
        <v>51</v>
      </c>
      <c r="T48" s="2" t="s">
        <v>51</v>
      </c>
      <c r="U48" s="18"/>
    </row>
    <row r="49" spans="6:21" x14ac:dyDescent="0.25">
      <c r="F49" s="2" t="s">
        <v>56</v>
      </c>
      <c r="G49" s="2" t="s">
        <v>56</v>
      </c>
      <c r="P49" s="30"/>
      <c r="S49" s="2" t="s">
        <v>51</v>
      </c>
      <c r="T49" s="2" t="s">
        <v>51</v>
      </c>
      <c r="U49" s="18"/>
    </row>
    <row r="50" spans="6:21" x14ac:dyDescent="0.25">
      <c r="F50" s="2" t="s">
        <v>56</v>
      </c>
      <c r="G50" s="2" t="s">
        <v>56</v>
      </c>
      <c r="P50" s="30"/>
      <c r="S50" s="2" t="s">
        <v>51</v>
      </c>
      <c r="T50" s="2" t="s">
        <v>51</v>
      </c>
      <c r="U50" s="18"/>
    </row>
    <row r="51" spans="6:21" x14ac:dyDescent="0.25">
      <c r="F51" s="2" t="s">
        <v>56</v>
      </c>
      <c r="G51" s="2" t="s">
        <v>56</v>
      </c>
      <c r="P51" s="30"/>
      <c r="S51" s="2" t="s">
        <v>51</v>
      </c>
      <c r="T51" s="2" t="s">
        <v>51</v>
      </c>
      <c r="U51" s="18"/>
    </row>
    <row r="52" spans="6:21" x14ac:dyDescent="0.25">
      <c r="F52" s="2" t="s">
        <v>56</v>
      </c>
      <c r="G52" s="2" t="s">
        <v>56</v>
      </c>
      <c r="P52" s="30"/>
      <c r="S52" s="2" t="s">
        <v>51</v>
      </c>
      <c r="T52" s="2" t="s">
        <v>51</v>
      </c>
      <c r="U52" s="18"/>
    </row>
    <row r="53" spans="6:21" x14ac:dyDescent="0.25">
      <c r="F53" s="2" t="s">
        <v>56</v>
      </c>
      <c r="G53" s="2" t="s">
        <v>56</v>
      </c>
      <c r="P53" s="30"/>
      <c r="S53" s="2" t="s">
        <v>51</v>
      </c>
      <c r="T53" s="2" t="s">
        <v>51</v>
      </c>
      <c r="U53" s="18"/>
    </row>
    <row r="54" spans="6:21" x14ac:dyDescent="0.25">
      <c r="F54" s="2" t="s">
        <v>56</v>
      </c>
      <c r="G54" s="2" t="s">
        <v>56</v>
      </c>
      <c r="P54" s="30"/>
      <c r="S54" s="2" t="s">
        <v>51</v>
      </c>
      <c r="T54" s="2" t="s">
        <v>51</v>
      </c>
      <c r="U54" s="18"/>
    </row>
    <row r="55" spans="6:21" x14ac:dyDescent="0.25">
      <c r="F55" s="2" t="s">
        <v>56</v>
      </c>
      <c r="G55" s="2" t="s">
        <v>56</v>
      </c>
      <c r="P55" s="30"/>
      <c r="S55" s="2" t="s">
        <v>51</v>
      </c>
      <c r="T55" s="2" t="s">
        <v>51</v>
      </c>
      <c r="U55" s="18"/>
    </row>
    <row r="56" spans="6:21" x14ac:dyDescent="0.25">
      <c r="F56" s="2" t="s">
        <v>56</v>
      </c>
      <c r="G56" s="2" t="s">
        <v>56</v>
      </c>
      <c r="P56" s="30"/>
      <c r="S56" s="2" t="s">
        <v>51</v>
      </c>
      <c r="T56" s="2" t="s">
        <v>51</v>
      </c>
      <c r="U56" s="18"/>
    </row>
    <row r="57" spans="6:21" x14ac:dyDescent="0.25">
      <c r="F57" s="2" t="s">
        <v>56</v>
      </c>
      <c r="G57" s="2" t="s">
        <v>56</v>
      </c>
      <c r="P57" s="30"/>
      <c r="S57" s="2" t="s">
        <v>51</v>
      </c>
      <c r="T57" s="2" t="s">
        <v>51</v>
      </c>
      <c r="U57" s="18"/>
    </row>
    <row r="58" spans="6:21" x14ac:dyDescent="0.25">
      <c r="F58" s="2" t="s">
        <v>56</v>
      </c>
      <c r="G58" s="2" t="s">
        <v>56</v>
      </c>
      <c r="P58" s="30"/>
      <c r="S58" s="2" t="s">
        <v>51</v>
      </c>
      <c r="T58" s="2" t="s">
        <v>51</v>
      </c>
      <c r="U58" s="18"/>
    </row>
    <row r="59" spans="6:21" x14ac:dyDescent="0.25">
      <c r="F59" s="2" t="s">
        <v>56</v>
      </c>
      <c r="G59" s="2" t="s">
        <v>56</v>
      </c>
      <c r="P59" s="30"/>
      <c r="S59" s="2" t="s">
        <v>51</v>
      </c>
      <c r="T59" s="2" t="s">
        <v>51</v>
      </c>
      <c r="U59" s="18"/>
    </row>
    <row r="60" spans="6:21" x14ac:dyDescent="0.25">
      <c r="F60" s="2" t="s">
        <v>56</v>
      </c>
      <c r="G60" s="2" t="s">
        <v>56</v>
      </c>
      <c r="P60" s="30"/>
      <c r="S60" s="2" t="s">
        <v>51</v>
      </c>
      <c r="T60" s="2" t="s">
        <v>51</v>
      </c>
      <c r="U60" s="18"/>
    </row>
    <row r="61" spans="6:21" x14ac:dyDescent="0.25">
      <c r="F61" s="2" t="s">
        <v>56</v>
      </c>
      <c r="G61" s="2" t="s">
        <v>56</v>
      </c>
      <c r="P61" s="30"/>
      <c r="S61" s="2" t="s">
        <v>51</v>
      </c>
      <c r="T61" s="2" t="s">
        <v>51</v>
      </c>
      <c r="U61" s="18"/>
    </row>
    <row r="62" spans="6:21" x14ac:dyDescent="0.25">
      <c r="F62" s="2" t="s">
        <v>56</v>
      </c>
      <c r="G62" s="2" t="s">
        <v>56</v>
      </c>
      <c r="P62" s="30"/>
      <c r="S62" s="2" t="s">
        <v>51</v>
      </c>
      <c r="T62" s="2" t="s">
        <v>51</v>
      </c>
      <c r="U62" s="18"/>
    </row>
    <row r="63" spans="6:21" x14ac:dyDescent="0.25">
      <c r="F63" s="2" t="s">
        <v>56</v>
      </c>
      <c r="G63" s="2" t="s">
        <v>56</v>
      </c>
      <c r="P63" s="30"/>
      <c r="S63" s="2" t="s">
        <v>51</v>
      </c>
      <c r="T63" s="2" t="s">
        <v>51</v>
      </c>
      <c r="U63" s="18"/>
    </row>
    <row r="64" spans="6:21" x14ac:dyDescent="0.25">
      <c r="F64" s="2" t="s">
        <v>56</v>
      </c>
      <c r="G64" s="2" t="s">
        <v>56</v>
      </c>
      <c r="P64" s="30"/>
      <c r="S64" s="2" t="s">
        <v>51</v>
      </c>
      <c r="T64" s="2" t="s">
        <v>51</v>
      </c>
      <c r="U64" s="18"/>
    </row>
    <row r="65" spans="6:21" x14ac:dyDescent="0.25">
      <c r="F65" s="2" t="s">
        <v>56</v>
      </c>
      <c r="G65" s="2" t="s">
        <v>56</v>
      </c>
      <c r="P65" s="30"/>
      <c r="S65" s="2" t="s">
        <v>51</v>
      </c>
      <c r="T65" s="2" t="s">
        <v>51</v>
      </c>
      <c r="U65" s="18"/>
    </row>
    <row r="66" spans="6:21" x14ac:dyDescent="0.25">
      <c r="F66" s="2" t="s">
        <v>56</v>
      </c>
      <c r="G66" s="2" t="s">
        <v>56</v>
      </c>
      <c r="P66" s="30"/>
      <c r="S66" s="2" t="s">
        <v>51</v>
      </c>
      <c r="T66" s="2" t="s">
        <v>51</v>
      </c>
      <c r="U66" s="18"/>
    </row>
    <row r="67" spans="6:21" x14ac:dyDescent="0.25">
      <c r="F67" s="2" t="s">
        <v>56</v>
      </c>
      <c r="G67" s="2" t="s">
        <v>56</v>
      </c>
      <c r="P67" s="30"/>
      <c r="S67" s="2" t="s">
        <v>51</v>
      </c>
      <c r="T67" s="2" t="s">
        <v>51</v>
      </c>
      <c r="U67" s="18"/>
    </row>
    <row r="68" spans="6:21" x14ac:dyDescent="0.25">
      <c r="F68" s="2" t="s">
        <v>56</v>
      </c>
      <c r="G68" s="2" t="s">
        <v>56</v>
      </c>
      <c r="P68" s="30"/>
      <c r="S68" s="2" t="s">
        <v>51</v>
      </c>
      <c r="T68" s="2" t="s">
        <v>51</v>
      </c>
      <c r="U68" s="18"/>
    </row>
    <row r="69" spans="6:21" x14ac:dyDescent="0.25">
      <c r="F69" s="2" t="s">
        <v>56</v>
      </c>
      <c r="G69" s="2" t="s">
        <v>56</v>
      </c>
      <c r="P69" s="30"/>
      <c r="S69" s="2" t="s">
        <v>51</v>
      </c>
      <c r="T69" s="2" t="s">
        <v>51</v>
      </c>
      <c r="U69" s="18"/>
    </row>
    <row r="70" spans="6:21" x14ac:dyDescent="0.25">
      <c r="F70" s="2" t="s">
        <v>56</v>
      </c>
      <c r="G70" s="2" t="s">
        <v>56</v>
      </c>
      <c r="P70" s="30"/>
      <c r="S70" s="2" t="s">
        <v>51</v>
      </c>
      <c r="T70" s="2" t="s">
        <v>51</v>
      </c>
      <c r="U70" s="18"/>
    </row>
    <row r="71" spans="6:21" x14ac:dyDescent="0.25">
      <c r="F71" s="2" t="s">
        <v>56</v>
      </c>
      <c r="G71" s="2" t="s">
        <v>56</v>
      </c>
      <c r="P71" s="30"/>
      <c r="S71" s="2" t="s">
        <v>51</v>
      </c>
      <c r="T71" s="2" t="s">
        <v>51</v>
      </c>
      <c r="U71" s="18"/>
    </row>
    <row r="72" spans="6:21" x14ac:dyDescent="0.25">
      <c r="F72" s="2" t="s">
        <v>56</v>
      </c>
      <c r="G72" s="2" t="s">
        <v>56</v>
      </c>
      <c r="P72" s="30"/>
      <c r="S72" s="2" t="s">
        <v>51</v>
      </c>
      <c r="T72" s="2" t="s">
        <v>51</v>
      </c>
      <c r="U72" s="18"/>
    </row>
    <row r="73" spans="6:21" x14ac:dyDescent="0.25">
      <c r="F73" s="2" t="s">
        <v>56</v>
      </c>
      <c r="G73" s="2" t="s">
        <v>56</v>
      </c>
      <c r="P73" s="30"/>
      <c r="S73" s="2" t="s">
        <v>51</v>
      </c>
      <c r="T73" s="2" t="s">
        <v>51</v>
      </c>
      <c r="U73" s="18"/>
    </row>
    <row r="74" spans="6:21" x14ac:dyDescent="0.25">
      <c r="F74" s="2" t="s">
        <v>56</v>
      </c>
      <c r="G74" s="2" t="s">
        <v>56</v>
      </c>
      <c r="P74" s="30"/>
      <c r="S74" s="2" t="s">
        <v>51</v>
      </c>
      <c r="T74" s="2" t="s">
        <v>51</v>
      </c>
      <c r="U74" s="18"/>
    </row>
    <row r="75" spans="6:21" x14ac:dyDescent="0.25">
      <c r="F75" s="2" t="s">
        <v>56</v>
      </c>
      <c r="G75" s="2" t="s">
        <v>56</v>
      </c>
      <c r="P75" s="30"/>
      <c r="S75" s="2" t="s">
        <v>51</v>
      </c>
      <c r="T75" s="2" t="s">
        <v>51</v>
      </c>
      <c r="U75" s="18"/>
    </row>
    <row r="76" spans="6:21" x14ac:dyDescent="0.25">
      <c r="F76" s="2" t="s">
        <v>56</v>
      </c>
      <c r="G76" s="2" t="s">
        <v>56</v>
      </c>
      <c r="P76" s="30"/>
      <c r="S76" s="2" t="s">
        <v>51</v>
      </c>
      <c r="T76" s="2" t="s">
        <v>51</v>
      </c>
      <c r="U76" s="18"/>
    </row>
    <row r="77" spans="6:21" x14ac:dyDescent="0.25">
      <c r="F77" s="2" t="s">
        <v>56</v>
      </c>
      <c r="G77" s="2" t="s">
        <v>56</v>
      </c>
      <c r="P77" s="30"/>
      <c r="S77" s="2" t="s">
        <v>51</v>
      </c>
      <c r="T77" s="2" t="s">
        <v>51</v>
      </c>
      <c r="U77" s="18"/>
    </row>
    <row r="78" spans="6:21" x14ac:dyDescent="0.25">
      <c r="F78" s="2" t="s">
        <v>56</v>
      </c>
      <c r="G78" s="2" t="s">
        <v>56</v>
      </c>
      <c r="P78" s="30"/>
      <c r="S78" s="2" t="s">
        <v>51</v>
      </c>
      <c r="T78" s="2" t="s">
        <v>51</v>
      </c>
      <c r="U78" s="18"/>
    </row>
    <row r="79" spans="6:21" x14ac:dyDescent="0.25">
      <c r="F79" s="2" t="s">
        <v>56</v>
      </c>
      <c r="G79" s="2" t="s">
        <v>56</v>
      </c>
      <c r="P79" s="30"/>
      <c r="S79" s="2" t="s">
        <v>51</v>
      </c>
      <c r="T79" s="2" t="s">
        <v>51</v>
      </c>
      <c r="U79" s="18"/>
    </row>
    <row r="80" spans="6:21" x14ac:dyDescent="0.25">
      <c r="F80" s="2" t="s">
        <v>56</v>
      </c>
      <c r="G80" s="2" t="s">
        <v>56</v>
      </c>
      <c r="P80" s="30"/>
      <c r="S80" s="2" t="s">
        <v>51</v>
      </c>
      <c r="T80" s="2" t="s">
        <v>51</v>
      </c>
      <c r="U80" s="18"/>
    </row>
    <row r="81" spans="6:21" x14ac:dyDescent="0.25">
      <c r="F81" s="2" t="s">
        <v>56</v>
      </c>
      <c r="G81" s="2" t="s">
        <v>56</v>
      </c>
      <c r="P81" s="30"/>
      <c r="S81" s="2" t="s">
        <v>51</v>
      </c>
      <c r="T81" s="2" t="s">
        <v>51</v>
      </c>
      <c r="U81" s="18"/>
    </row>
    <row r="82" spans="6:21" x14ac:dyDescent="0.25">
      <c r="F82" s="2" t="s">
        <v>56</v>
      </c>
      <c r="G82" s="2" t="s">
        <v>56</v>
      </c>
      <c r="P82" s="30"/>
      <c r="S82" s="2" t="s">
        <v>51</v>
      </c>
      <c r="T82" s="2" t="s">
        <v>51</v>
      </c>
      <c r="U82" s="18"/>
    </row>
    <row r="83" spans="6:21" x14ac:dyDescent="0.25">
      <c r="F83" s="2" t="s">
        <v>56</v>
      </c>
      <c r="G83" s="2" t="s">
        <v>56</v>
      </c>
      <c r="P83" s="30"/>
      <c r="S83" s="2" t="s">
        <v>51</v>
      </c>
      <c r="T83" s="2" t="s">
        <v>51</v>
      </c>
      <c r="U83" s="18"/>
    </row>
    <row r="84" spans="6:21" x14ac:dyDescent="0.25">
      <c r="F84" s="2" t="s">
        <v>56</v>
      </c>
      <c r="G84" s="2" t="s">
        <v>56</v>
      </c>
      <c r="P84" s="30"/>
      <c r="S84" s="2" t="s">
        <v>51</v>
      </c>
      <c r="T84" s="2" t="s">
        <v>51</v>
      </c>
      <c r="U84" s="18"/>
    </row>
    <row r="85" spans="6:21" x14ac:dyDescent="0.25">
      <c r="F85" s="2" t="s">
        <v>56</v>
      </c>
      <c r="G85" s="2" t="s">
        <v>56</v>
      </c>
      <c r="P85" s="30"/>
      <c r="S85" s="2" t="s">
        <v>51</v>
      </c>
      <c r="T85" s="2" t="s">
        <v>51</v>
      </c>
      <c r="U85" s="18"/>
    </row>
    <row r="86" spans="6:21" x14ac:dyDescent="0.25">
      <c r="F86" s="2" t="s">
        <v>56</v>
      </c>
      <c r="G86" s="2" t="s">
        <v>56</v>
      </c>
      <c r="P86" s="30"/>
      <c r="S86" s="2" t="s">
        <v>51</v>
      </c>
      <c r="T86" s="2" t="s">
        <v>51</v>
      </c>
      <c r="U86" s="18"/>
    </row>
    <row r="87" spans="6:21" x14ac:dyDescent="0.25">
      <c r="F87" s="2" t="s">
        <v>56</v>
      </c>
      <c r="G87" s="2" t="s">
        <v>56</v>
      </c>
      <c r="P87" s="30"/>
      <c r="S87" s="2" t="s">
        <v>51</v>
      </c>
      <c r="T87" s="2" t="s">
        <v>51</v>
      </c>
      <c r="U87" s="18"/>
    </row>
    <row r="88" spans="6:21" x14ac:dyDescent="0.25">
      <c r="F88" s="2" t="s">
        <v>56</v>
      </c>
      <c r="G88" s="2" t="s">
        <v>56</v>
      </c>
      <c r="P88" s="30"/>
      <c r="S88" s="2" t="s">
        <v>51</v>
      </c>
      <c r="T88" s="2" t="s">
        <v>51</v>
      </c>
      <c r="U88" s="18"/>
    </row>
    <row r="89" spans="6:21" x14ac:dyDescent="0.25">
      <c r="F89" s="2" t="s">
        <v>56</v>
      </c>
      <c r="G89" s="2" t="s">
        <v>56</v>
      </c>
      <c r="P89" s="30"/>
      <c r="S89" s="2" t="s">
        <v>51</v>
      </c>
      <c r="T89" s="2" t="s">
        <v>51</v>
      </c>
      <c r="U89" s="18"/>
    </row>
    <row r="90" spans="6:21" x14ac:dyDescent="0.25">
      <c r="F90" s="2" t="s">
        <v>56</v>
      </c>
      <c r="G90" s="2" t="s">
        <v>56</v>
      </c>
      <c r="P90" s="30"/>
      <c r="S90" s="2" t="s">
        <v>51</v>
      </c>
      <c r="T90" s="2" t="s">
        <v>51</v>
      </c>
      <c r="U90" s="18"/>
    </row>
    <row r="91" spans="6:21" x14ac:dyDescent="0.25">
      <c r="F91" s="2" t="s">
        <v>56</v>
      </c>
      <c r="G91" s="2" t="s">
        <v>56</v>
      </c>
      <c r="P91" s="30"/>
      <c r="S91" s="2" t="s">
        <v>51</v>
      </c>
      <c r="T91" s="2" t="s">
        <v>51</v>
      </c>
      <c r="U91" s="18"/>
    </row>
    <row r="92" spans="6:21" x14ac:dyDescent="0.25">
      <c r="F92" s="2" t="s">
        <v>56</v>
      </c>
      <c r="G92" s="2" t="s">
        <v>56</v>
      </c>
      <c r="P92" s="30"/>
      <c r="S92" s="2" t="s">
        <v>51</v>
      </c>
      <c r="T92" s="2" t="s">
        <v>51</v>
      </c>
      <c r="U92" s="18"/>
    </row>
    <row r="93" spans="6:21" x14ac:dyDescent="0.25">
      <c r="F93" s="2" t="s">
        <v>56</v>
      </c>
      <c r="G93" s="2" t="s">
        <v>56</v>
      </c>
      <c r="P93" s="30"/>
      <c r="S93" s="2" t="s">
        <v>51</v>
      </c>
      <c r="T93" s="2" t="s">
        <v>51</v>
      </c>
      <c r="U93" s="18"/>
    </row>
    <row r="94" spans="6:21" x14ac:dyDescent="0.25">
      <c r="F94" s="2" t="s">
        <v>56</v>
      </c>
      <c r="G94" s="2" t="s">
        <v>56</v>
      </c>
      <c r="P94" s="30"/>
      <c r="S94" s="2" t="s">
        <v>51</v>
      </c>
      <c r="T94" s="2" t="s">
        <v>51</v>
      </c>
      <c r="U94" s="18"/>
    </row>
    <row r="95" spans="6:21" x14ac:dyDescent="0.25">
      <c r="F95" s="2" t="s">
        <v>56</v>
      </c>
      <c r="G95" s="2" t="s">
        <v>56</v>
      </c>
      <c r="P95" s="30"/>
      <c r="S95" s="2" t="s">
        <v>51</v>
      </c>
      <c r="T95" s="2" t="s">
        <v>51</v>
      </c>
      <c r="U95" s="18"/>
    </row>
    <row r="96" spans="6:21" x14ac:dyDescent="0.25">
      <c r="F96" s="2" t="s">
        <v>56</v>
      </c>
      <c r="G96" s="2" t="s">
        <v>56</v>
      </c>
      <c r="P96" s="30"/>
      <c r="S96" s="2" t="s">
        <v>51</v>
      </c>
      <c r="T96" s="2" t="s">
        <v>51</v>
      </c>
      <c r="U96" s="18"/>
    </row>
    <row r="97" spans="6:21" x14ac:dyDescent="0.25">
      <c r="F97" s="2" t="s">
        <v>56</v>
      </c>
      <c r="G97" s="2" t="s">
        <v>56</v>
      </c>
      <c r="P97" s="30"/>
      <c r="S97" s="2" t="s">
        <v>51</v>
      </c>
      <c r="T97" s="2" t="s">
        <v>51</v>
      </c>
      <c r="U97" s="18"/>
    </row>
    <row r="98" spans="6:21" x14ac:dyDescent="0.25">
      <c r="F98" s="2" t="s">
        <v>56</v>
      </c>
      <c r="G98" s="2" t="s">
        <v>56</v>
      </c>
      <c r="P98" s="30"/>
      <c r="S98" s="2" t="s">
        <v>51</v>
      </c>
      <c r="T98" s="2" t="s">
        <v>51</v>
      </c>
      <c r="U98" s="18"/>
    </row>
    <row r="99" spans="6:21" x14ac:dyDescent="0.25">
      <c r="F99" s="2" t="s">
        <v>56</v>
      </c>
      <c r="G99" s="2" t="s">
        <v>56</v>
      </c>
      <c r="P99" s="30"/>
      <c r="S99" s="2" t="s">
        <v>51</v>
      </c>
      <c r="T99" s="2" t="s">
        <v>51</v>
      </c>
      <c r="U99" s="18"/>
    </row>
  </sheetData>
  <sheetProtection selectLockedCells="1" selectUnlockedCells="1"/>
  <dataValidations count="5">
    <dataValidation type="decimal" allowBlank="1" showDropDown="1" showErrorMessage="1" sqref="P1" xr:uid="{00000000-0002-0000-0200-000000000000}">
      <formula1>0</formula1>
      <formula2>100000</formula2>
    </dataValidation>
    <dataValidation type="list" allowBlank="1" showErrorMessage="1" sqref="T2:T99" xr:uid="{00000000-0002-0000-0200-000001000000}">
      <formula1>"nein,ja (nur gewerblich),"</formula1>
      <formula2>0</formula2>
    </dataValidation>
    <dataValidation type="list" allowBlank="1" showErrorMessage="1" sqref="G2:G99" xr:uid="{00000000-0002-0000-0200-000002000000}">
      <formula1>"bitte auswählen,CD,DVD,CD-ROM,Kassette,LP"</formula1>
      <formula2>0</formula2>
    </dataValidation>
    <dataValidation type="list" allowBlank="1" showErrorMessage="1" sqref="F2:F99" xr:uid="{00000000-0002-0000-0200-000003000000}">
      <formula1>"bitte auswählen,Hörbuch,Hörspiel"</formula1>
      <formula2>0</formula2>
    </dataValidation>
    <dataValidation type="list" allowBlank="1" showErrorMessage="1" sqref="S2:S99" xr:uid="{00000000-0002-0000-0200-000004000000}">
      <formula1>"nein,ja"</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Roman,Standard"&amp;12&amp;A</oddHeader>
    <oddFooter>&amp;C&amp;"Times New Roman,Standard"&amp;12Seite &amp;P</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Bitte lesen_</vt:lpstr>
      <vt:lpstr>Tabelle4</vt:lpstr>
      <vt:lpstr>Verkauft gesamt</vt:lpstr>
      <vt:lpstr>Buecher</vt:lpstr>
      <vt:lpstr>booklooker_vorlage_neu</vt:lpstr>
      <vt:lpstr>Tabelle1</vt:lpstr>
      <vt:lpstr>Bücher_Sparten</vt:lpstr>
      <vt:lpstr>Amazon kalk</vt:lpstr>
      <vt:lpstr>Hoerbuecher</vt:lpstr>
      <vt:lpstr>Hörbücher kalk</vt:lpstr>
      <vt:lpstr>Filme</vt:lpstr>
      <vt:lpstr>Filme kalk</vt:lpstr>
      <vt:lpstr>Musik</vt:lpstr>
      <vt:lpstr>Musik kalk</vt:lpstr>
      <vt:lpstr>Spiele</vt:lpstr>
      <vt:lpstr>Spiele kalk</vt:lpstr>
      <vt:lpstr>Hörbücher Sparten</vt:lpstr>
      <vt:lpstr>Musik_Sparten</vt:lpstr>
      <vt:lpstr>Film_Sparten</vt:lpstr>
      <vt:lpstr>Tabelle2</vt:lpstr>
      <vt:lpstr>Spiele_Sparten</vt:lpstr>
      <vt:lpstr>Verkaufsgrafik</vt:lpstr>
      <vt:lpstr>Bücher_Sparten (2)</vt:lpstr>
      <vt:lpstr>Tabelle3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Standard</cp:lastModifiedBy>
  <cp:lastPrinted>2020-01-03T15:50:48Z</cp:lastPrinted>
  <dcterms:created xsi:type="dcterms:W3CDTF">2019-10-04T20:44:55Z</dcterms:created>
  <dcterms:modified xsi:type="dcterms:W3CDTF">2020-01-08T19:38:36Z</dcterms:modified>
</cp:coreProperties>
</file>